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1.AzureAD\Downloads\"/>
    </mc:Choice>
  </mc:AlternateContent>
  <xr:revisionPtr revIDLastSave="0" documentId="13_ncr:1_{2F1DC959-FE25-4A96-AC58-16E72482A7E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Adj Highlights" sheetId="2" r:id="rId1"/>
    <sheet name="GAAP Highlights" sheetId="3" r:id="rId2"/>
    <sheet name="Earnings" sheetId="4" r:id="rId3"/>
    <sheet name="Enterprise Value" sheetId="5" r:id="rId4"/>
    <sheet name="Multiples" sheetId="6" r:id="rId5"/>
    <sheet name="Per Share" sheetId="7" r:id="rId6"/>
    <sheet name="Stock Value" sheetId="8" r:id="rId7"/>
    <sheet name="EV Ex Operating Leases" sheetId="9" r:id="rId8"/>
    <sheet name="Income - Adjusted" sheetId="10" r:id="rId9"/>
    <sheet name="Income - GAAP" sheetId="11" r:id="rId10"/>
    <sheet name="Income - As Reported" sheetId="12" r:id="rId11"/>
    <sheet name="Reconciliation" sheetId="13" r:id="rId12"/>
    <sheet name="SBC &amp; Amort" sheetId="14" r:id="rId13"/>
    <sheet name="Adj %" sheetId="15" r:id="rId14"/>
    <sheet name="GAAP %" sheetId="16" r:id="rId15"/>
    <sheet name="Bal Sheet - Standardized" sheetId="17" r:id="rId16"/>
    <sheet name="Bal Sheet - As Reported" sheetId="18" r:id="rId17"/>
    <sheet name="Bal Sheet - Common Size" sheetId="19" r:id="rId18"/>
    <sheet name="Fair Value Analysis" sheetId="20" r:id="rId19"/>
    <sheet name="Cash Flow - Standardized" sheetId="21" r:id="rId20"/>
    <sheet name="Cash Flow - As Reported" sheetId="22" r:id="rId21"/>
    <sheet name="Profitability" sheetId="23" r:id="rId22"/>
    <sheet name="Growth" sheetId="24" r:id="rId23"/>
    <sheet name="Credit" sheetId="25" r:id="rId24"/>
    <sheet name="Credit Ex Operating Leases" sheetId="26" r:id="rId25"/>
    <sheet name="Liquidity" sheetId="27" r:id="rId26"/>
    <sheet name="Working Capital" sheetId="28" r:id="rId27"/>
    <sheet name="Yield Analysis" sheetId="29" r:id="rId28"/>
    <sheet name="DuPont Analysis" sheetId="30" r:id="rId29"/>
    <sheet name="By Measure" sheetId="31" r:id="rId30"/>
    <sheet name="By Geography" sheetId="32" r:id="rId31"/>
    <sheet name="By Segment" sheetId="33" r:id="rId32"/>
    <sheet name="ESG Ratios" sheetId="34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D8" i="6"/>
  <c r="D11" i="6"/>
  <c r="D29" i="6"/>
  <c r="D22" i="6"/>
  <c r="D28" i="6"/>
  <c r="D7" i="6"/>
  <c r="D30" i="6"/>
  <c r="E49" i="4"/>
  <c r="D9" i="6"/>
  <c r="E27" i="7"/>
  <c r="D15" i="5"/>
  <c r="E14" i="4"/>
  <c r="D25" i="5"/>
  <c r="G21" i="3"/>
  <c r="E42" i="4"/>
  <c r="E7" i="4"/>
  <c r="E36" i="4"/>
  <c r="E28" i="4"/>
  <c r="E35" i="4"/>
  <c r="E15" i="4"/>
  <c r="G13" i="6"/>
  <c r="H49" i="4"/>
  <c r="G30" i="6"/>
  <c r="I6" i="8"/>
  <c r="G47" i="6"/>
  <c r="G9" i="6"/>
  <c r="H21" i="4"/>
  <c r="G14" i="6"/>
  <c r="H36" i="4"/>
  <c r="G22" i="6"/>
  <c r="H15" i="4"/>
  <c r="H14" i="4"/>
  <c r="I13" i="8"/>
  <c r="I7" i="8"/>
  <c r="G8" i="6"/>
  <c r="G15" i="5"/>
  <c r="G25" i="6"/>
  <c r="G25" i="5"/>
  <c r="H35" i="4"/>
  <c r="G25" i="9"/>
  <c r="H42" i="4"/>
  <c r="G24" i="6"/>
  <c r="Q7" i="8"/>
  <c r="P35" i="4"/>
  <c r="Q8" i="8"/>
  <c r="P7" i="4"/>
  <c r="O30" i="6"/>
  <c r="O25" i="5"/>
  <c r="Q6" i="8"/>
  <c r="O47" i="6"/>
  <c r="O9" i="6"/>
  <c r="Q13" i="8"/>
  <c r="P15" i="4"/>
  <c r="O22" i="6"/>
  <c r="P42" i="4"/>
  <c r="O11" i="6"/>
  <c r="O14" i="6"/>
  <c r="O8" i="6"/>
  <c r="O25" i="6"/>
  <c r="O6" i="6"/>
  <c r="P14" i="4"/>
  <c r="R21" i="3"/>
  <c r="P49" i="4"/>
  <c r="P28" i="4"/>
  <c r="W25" i="9"/>
  <c r="Y8" i="8"/>
  <c r="X27" i="7"/>
  <c r="X42" i="4"/>
  <c r="Y13" i="8"/>
  <c r="W25" i="6"/>
  <c r="Z21" i="3"/>
  <c r="Y14" i="8"/>
  <c r="W13" i="6"/>
  <c r="X21" i="4"/>
  <c r="W9" i="6"/>
  <c r="W24" i="6"/>
  <c r="W6" i="6"/>
  <c r="Y6" i="8"/>
  <c r="W47" i="6"/>
  <c r="X36" i="4"/>
  <c r="W11" i="6"/>
  <c r="W15" i="5"/>
  <c r="X35" i="4"/>
  <c r="X15" i="4"/>
  <c r="X14" i="4"/>
  <c r="W22" i="6"/>
  <c r="K21" i="3"/>
  <c r="H9" i="6"/>
  <c r="H12" i="6"/>
  <c r="I28" i="4"/>
  <c r="H15" i="5"/>
  <c r="I42" i="4"/>
  <c r="I25" i="7"/>
  <c r="I36" i="4"/>
  <c r="I15" i="4"/>
  <c r="I21" i="4"/>
  <c r="H30" i="6"/>
  <c r="I49" i="4"/>
  <c r="H24" i="6"/>
  <c r="H15" i="9"/>
  <c r="H11" i="6"/>
  <c r="I14" i="4"/>
  <c r="I7" i="4"/>
  <c r="I35" i="4"/>
  <c r="H13" i="6"/>
  <c r="H23" i="6"/>
  <c r="H22" i="6"/>
  <c r="K27" i="7"/>
  <c r="J28" i="6"/>
  <c r="K7" i="4"/>
  <c r="J15" i="5"/>
  <c r="K15" i="4"/>
  <c r="J9" i="6"/>
  <c r="K49" i="4"/>
  <c r="K36" i="4"/>
  <c r="J25" i="9"/>
  <c r="M21" i="3"/>
  <c r="K14" i="4"/>
  <c r="J30" i="6"/>
  <c r="J6" i="6"/>
  <c r="L9" i="8"/>
  <c r="J48" i="6"/>
  <c r="K42" i="4"/>
  <c r="L7" i="8"/>
  <c r="L14" i="8"/>
  <c r="J7" i="6"/>
  <c r="K35" i="4"/>
  <c r="K21" i="4"/>
  <c r="K28" i="4"/>
  <c r="U7" i="4"/>
  <c r="T7" i="6"/>
  <c r="U28" i="4"/>
  <c r="U21" i="4"/>
  <c r="T29" i="6"/>
  <c r="T25" i="5"/>
  <c r="U49" i="4"/>
  <c r="U35" i="4"/>
  <c r="U15" i="4"/>
  <c r="U14" i="4"/>
  <c r="T22" i="6"/>
  <c r="T11" i="6"/>
  <c r="T28" i="6"/>
  <c r="W27" i="12"/>
  <c r="T15" i="5"/>
  <c r="U36" i="4"/>
  <c r="W21" i="3"/>
  <c r="T8" i="6"/>
  <c r="T9" i="6"/>
  <c r="U42" i="4"/>
  <c r="T15" i="9"/>
  <c r="F35" i="4"/>
  <c r="F21" i="4"/>
  <c r="E7" i="6"/>
  <c r="E15" i="5"/>
  <c r="G7" i="8"/>
  <c r="F42" i="4"/>
  <c r="F25" i="7"/>
  <c r="H21" i="3"/>
  <c r="E9" i="6"/>
  <c r="F36" i="4"/>
  <c r="E14" i="6"/>
  <c r="E25" i="5"/>
  <c r="E25" i="6"/>
  <c r="E15" i="9"/>
  <c r="E24" i="6"/>
  <c r="E12" i="6"/>
  <c r="F28" i="4"/>
  <c r="E8" i="6"/>
  <c r="E25" i="9"/>
  <c r="E30" i="6"/>
  <c r="E13" i="6"/>
  <c r="X21" i="3"/>
  <c r="U8" i="6"/>
  <c r="U24" i="6"/>
  <c r="U30" i="6"/>
  <c r="U7" i="6"/>
  <c r="V14" i="4"/>
  <c r="V42" i="4"/>
  <c r="U23" i="6"/>
  <c r="U28" i="6"/>
  <c r="W9" i="8"/>
  <c r="U48" i="6"/>
  <c r="U29" i="6"/>
  <c r="V25" i="7"/>
  <c r="V35" i="4"/>
  <c r="W7" i="8"/>
  <c r="U12" i="6"/>
  <c r="U14" i="6"/>
  <c r="V28" i="4"/>
  <c r="U25" i="5"/>
  <c r="V7" i="4"/>
  <c r="U9" i="6"/>
  <c r="V36" i="4"/>
  <c r="K29" i="6"/>
  <c r="K7" i="6"/>
  <c r="K13" i="6"/>
  <c r="L15" i="4"/>
  <c r="L35" i="4"/>
  <c r="K28" i="6"/>
  <c r="K25" i="5"/>
  <c r="L21" i="4"/>
  <c r="N21" i="3"/>
  <c r="K11" i="6"/>
  <c r="L42" i="4"/>
  <c r="K22" i="6"/>
  <c r="K24" i="6"/>
  <c r="K15" i="5"/>
  <c r="K12" i="6"/>
  <c r="L7" i="4"/>
  <c r="K8" i="6"/>
  <c r="L22" i="7"/>
  <c r="L14" i="4"/>
  <c r="L36" i="4"/>
  <c r="L49" i="4"/>
  <c r="C7" i="6"/>
  <c r="C15" i="9"/>
  <c r="F21" i="3"/>
  <c r="C15" i="5"/>
  <c r="C12" i="6"/>
  <c r="C6" i="6"/>
  <c r="C13" i="6"/>
  <c r="C25" i="5"/>
  <c r="D22" i="7"/>
  <c r="D15" i="4"/>
  <c r="C23" i="6"/>
  <c r="D42" i="4"/>
  <c r="C28" i="6"/>
  <c r="D21" i="4"/>
  <c r="D7" i="4"/>
  <c r="C24" i="6"/>
  <c r="C29" i="6"/>
  <c r="C11" i="6"/>
  <c r="D28" i="4"/>
  <c r="D14" i="4"/>
  <c r="C8" i="6"/>
  <c r="S49" i="4"/>
  <c r="S21" i="4"/>
  <c r="R7" i="6"/>
  <c r="S25" i="7"/>
  <c r="S14" i="4"/>
  <c r="T13" i="8"/>
  <c r="R23" i="6"/>
  <c r="S7" i="4"/>
  <c r="S15" i="4"/>
  <c r="S28" i="4"/>
  <c r="R24" i="6"/>
  <c r="S35" i="4"/>
  <c r="R13" i="6"/>
  <c r="R11" i="6"/>
  <c r="T8" i="8"/>
  <c r="R12" i="6"/>
  <c r="R22" i="6"/>
  <c r="R25" i="6"/>
  <c r="S42" i="4"/>
  <c r="R14" i="6"/>
  <c r="U21" i="3"/>
  <c r="W26" i="7"/>
  <c r="V15" i="9"/>
  <c r="W42" i="4"/>
  <c r="W36" i="4"/>
  <c r="W22" i="7"/>
  <c r="V28" i="6"/>
  <c r="W35" i="4"/>
  <c r="V25" i="9"/>
  <c r="V14" i="6"/>
  <c r="V24" i="6"/>
  <c r="W14" i="4"/>
  <c r="V6" i="6"/>
  <c r="W15" i="4"/>
  <c r="W28" i="4"/>
  <c r="W21" i="4"/>
  <c r="W7" i="4"/>
  <c r="W49" i="4"/>
  <c r="V7" i="6"/>
  <c r="V13" i="6"/>
  <c r="V25" i="6"/>
  <c r="Y21" i="3"/>
  <c r="O21" i="4"/>
  <c r="O49" i="4"/>
  <c r="N9" i="6"/>
  <c r="O35" i="4"/>
  <c r="O42" i="4"/>
  <c r="N29" i="6"/>
  <c r="N22" i="6"/>
  <c r="N15" i="5"/>
  <c r="O28" i="4"/>
  <c r="Q21" i="3"/>
  <c r="N25" i="5"/>
  <c r="O15" i="4"/>
  <c r="N8" i="6"/>
  <c r="N11" i="6"/>
  <c r="O14" i="4"/>
  <c r="O26" i="7"/>
  <c r="O36" i="4"/>
  <c r="N23" i="6"/>
  <c r="N12" i="6"/>
  <c r="O7" i="4"/>
  <c r="N30" i="6"/>
  <c r="I22" i="6"/>
  <c r="I25" i="5"/>
  <c r="I30" i="6"/>
  <c r="J36" i="4"/>
  <c r="I7" i="6"/>
  <c r="J21" i="4"/>
  <c r="I25" i="6"/>
  <c r="I11" i="6"/>
  <c r="I6" i="6"/>
  <c r="J49" i="4"/>
  <c r="L21" i="3"/>
  <c r="I23" i="6"/>
  <c r="I14" i="6"/>
  <c r="J42" i="4"/>
  <c r="J14" i="4"/>
  <c r="I9" i="6"/>
  <c r="I15" i="5"/>
  <c r="I12" i="6"/>
  <c r="I28" i="6"/>
  <c r="J7" i="4"/>
  <c r="J15" i="4"/>
  <c r="N13" i="8"/>
  <c r="M14" i="4"/>
  <c r="L24" i="6"/>
  <c r="M36" i="4"/>
  <c r="M7" i="4"/>
  <c r="M21" i="4"/>
  <c r="L14" i="6"/>
  <c r="M49" i="4"/>
  <c r="L15" i="5"/>
  <c r="L13" i="6"/>
  <c r="L23" i="6"/>
  <c r="L25" i="5"/>
  <c r="L12" i="6"/>
  <c r="M28" i="4"/>
  <c r="M15" i="4"/>
  <c r="M35" i="4"/>
  <c r="L6" i="6"/>
  <c r="M42" i="4"/>
  <c r="M26" i="7"/>
  <c r="O21" i="3"/>
  <c r="L25" i="6"/>
  <c r="R35" i="4"/>
  <c r="Q22" i="6"/>
  <c r="Q9" i="6"/>
  <c r="Q12" i="6"/>
  <c r="T21" i="3"/>
  <c r="R28" i="4"/>
  <c r="R22" i="7"/>
  <c r="Q7" i="6"/>
  <c r="R26" i="7"/>
  <c r="Q14" i="6"/>
  <c r="Q25" i="6"/>
  <c r="R36" i="4"/>
  <c r="R15" i="4"/>
  <c r="R21" i="4"/>
  <c r="Q11" i="6"/>
  <c r="Q23" i="6"/>
  <c r="R14" i="4"/>
  <c r="Q28" i="6"/>
  <c r="Q6" i="6"/>
  <c r="R7" i="4"/>
  <c r="R42" i="4"/>
  <c r="Y21" i="4"/>
  <c r="Y35" i="4"/>
  <c r="X15" i="5"/>
  <c r="X30" i="6"/>
  <c r="Y36" i="4"/>
  <c r="X11" i="6"/>
  <c r="X22" i="6"/>
  <c r="Y7" i="4"/>
  <c r="X13" i="6"/>
  <c r="X12" i="6"/>
  <c r="X23" i="6"/>
  <c r="Y28" i="4"/>
  <c r="Y25" i="7"/>
  <c r="X9" i="6"/>
  <c r="X6" i="6"/>
  <c r="Y42" i="4"/>
  <c r="Y49" i="4"/>
  <c r="AA21" i="3"/>
  <c r="Y15" i="4"/>
  <c r="Y14" i="4"/>
  <c r="X24" i="6"/>
  <c r="P15" i="5"/>
  <c r="Q35" i="4"/>
  <c r="P8" i="6"/>
  <c r="Q22" i="7"/>
  <c r="Q14" i="4"/>
  <c r="P7" i="6"/>
  <c r="Q15" i="4"/>
  <c r="P14" i="6"/>
  <c r="Q21" i="4"/>
  <c r="P11" i="6"/>
  <c r="P25" i="5"/>
  <c r="Q42" i="4"/>
  <c r="Q36" i="4"/>
  <c r="Q49" i="4"/>
  <c r="P29" i="6"/>
  <c r="P25" i="6"/>
  <c r="Q28" i="4"/>
  <c r="P6" i="6"/>
  <c r="Q7" i="4"/>
  <c r="S21" i="3"/>
  <c r="P28" i="6"/>
  <c r="E35" i="6"/>
  <c r="E38" i="6"/>
  <c r="E19" i="9"/>
  <c r="E34" i="6"/>
  <c r="E19" i="6"/>
  <c r="F12" i="7"/>
  <c r="E21" i="5"/>
  <c r="E20" i="6"/>
  <c r="E20" i="5"/>
  <c r="S29" i="6"/>
  <c r="T42" i="4"/>
  <c r="T15" i="4"/>
  <c r="V21" i="3"/>
  <c r="T21" i="4"/>
  <c r="S25" i="5"/>
  <c r="S11" i="6"/>
  <c r="T7" i="4"/>
  <c r="T36" i="4"/>
  <c r="S28" i="6"/>
  <c r="S22" i="6"/>
  <c r="T22" i="7"/>
  <c r="S12" i="6"/>
  <c r="S23" i="6"/>
  <c r="S24" i="6"/>
  <c r="T49" i="4"/>
  <c r="T14" i="4"/>
  <c r="T28" i="4"/>
  <c r="T35" i="4"/>
  <c r="S6" i="6"/>
  <c r="T25" i="7"/>
  <c r="E34" i="12"/>
  <c r="E14" i="12"/>
  <c r="E14" i="3"/>
  <c r="C7" i="2"/>
  <c r="C22" i="4"/>
  <c r="C24" i="2"/>
  <c r="C50" i="4"/>
  <c r="E25" i="3"/>
  <c r="F7" i="6"/>
  <c r="G36" i="4"/>
  <c r="F9" i="6"/>
  <c r="G49" i="4"/>
  <c r="F24" i="6"/>
  <c r="F30" i="6"/>
  <c r="G22" i="7"/>
  <c r="G35" i="4"/>
  <c r="G42" i="4"/>
  <c r="F14" i="6"/>
  <c r="G26" i="7"/>
  <c r="F25" i="6"/>
  <c r="F6" i="6"/>
  <c r="G28" i="4"/>
  <c r="I21" i="3"/>
  <c r="G15" i="4"/>
  <c r="G14" i="4"/>
  <c r="F28" i="6"/>
  <c r="G7" i="4"/>
  <c r="G21" i="4"/>
  <c r="F13" i="6"/>
  <c r="U35" i="6"/>
  <c r="U45" i="6"/>
  <c r="U20" i="5"/>
  <c r="U21" i="5"/>
  <c r="U18" i="6"/>
  <c r="U44" i="6"/>
  <c r="U40" i="6"/>
  <c r="U19" i="6"/>
  <c r="V12" i="7"/>
  <c r="C21" i="4"/>
  <c r="D6" i="8"/>
  <c r="G20" i="9"/>
  <c r="W37" i="6"/>
  <c r="W18" i="5"/>
  <c r="G19" i="9"/>
  <c r="G19" i="6"/>
  <c r="X11" i="7"/>
  <c r="G42" i="6"/>
  <c r="G19" i="5"/>
  <c r="W20" i="5"/>
  <c r="G34" i="6"/>
  <c r="W17" i="6"/>
  <c r="G35" i="6"/>
  <c r="W32" i="6"/>
  <c r="W17" i="5"/>
  <c r="G20" i="6"/>
  <c r="W44" i="6"/>
  <c r="W40" i="6"/>
  <c r="G20" i="5"/>
  <c r="W21" i="5"/>
  <c r="G32" i="6"/>
  <c r="G17" i="5"/>
  <c r="W19" i="9"/>
  <c r="C38" i="6"/>
  <c r="C21" i="9"/>
  <c r="C42" i="6"/>
  <c r="C19" i="5"/>
  <c r="C19" i="6"/>
  <c r="C18" i="6"/>
  <c r="C20" i="5"/>
  <c r="C39" i="6"/>
  <c r="C34" i="6"/>
  <c r="C43" i="6"/>
  <c r="M44" i="6"/>
  <c r="M35" i="6"/>
  <c r="M43" i="6"/>
  <c r="M20" i="6"/>
  <c r="M40" i="6"/>
  <c r="M21" i="5"/>
  <c r="M34" i="6"/>
  <c r="M18" i="6"/>
  <c r="M39" i="6"/>
  <c r="N28" i="4"/>
  <c r="N36" i="4"/>
  <c r="M14" i="6"/>
  <c r="M25" i="5"/>
  <c r="M29" i="6"/>
  <c r="M9" i="6"/>
  <c r="M30" i="6"/>
  <c r="M25" i="6"/>
  <c r="P21" i="3"/>
  <c r="M8" i="6"/>
  <c r="M7" i="6"/>
  <c r="N7" i="4"/>
  <c r="N21" i="4"/>
  <c r="O10" i="8"/>
  <c r="M49" i="6"/>
  <c r="M12" i="6"/>
  <c r="N25" i="7"/>
  <c r="M23" i="6"/>
  <c r="O13" i="8"/>
  <c r="N15" i="4"/>
  <c r="M13" i="6"/>
  <c r="M15" i="5"/>
  <c r="K20" i="5"/>
  <c r="K44" i="6"/>
  <c r="K34" i="6"/>
  <c r="K19" i="9"/>
  <c r="K39" i="6"/>
  <c r="K21" i="5"/>
  <c r="K19" i="6"/>
  <c r="K43" i="6"/>
  <c r="K38" i="6"/>
  <c r="Q33" i="6"/>
  <c r="Q20" i="6"/>
  <c r="Q18" i="6"/>
  <c r="Q17" i="6"/>
  <c r="Q38" i="6"/>
  <c r="Q32" i="6"/>
  <c r="Q17" i="5"/>
  <c r="Q35" i="6"/>
  <c r="R11" i="7"/>
  <c r="Q43" i="6"/>
  <c r="O17" i="6"/>
  <c r="O21" i="5"/>
  <c r="O20" i="6"/>
  <c r="O40" i="6"/>
  <c r="O35" i="6"/>
  <c r="O32" i="6"/>
  <c r="O17" i="5"/>
  <c r="O39" i="6"/>
  <c r="O17" i="9"/>
  <c r="O37" i="6"/>
  <c r="O18" i="5"/>
  <c r="J12" i="7"/>
  <c r="I17" i="6"/>
  <c r="I43" i="6"/>
  <c r="I38" i="6"/>
  <c r="S34" i="6"/>
  <c r="I21" i="5"/>
  <c r="I42" i="6"/>
  <c r="I19" i="5"/>
  <c r="I33" i="6"/>
  <c r="I20" i="6"/>
  <c r="S44" i="6"/>
  <c r="I32" i="6"/>
  <c r="I17" i="5"/>
  <c r="S17" i="6"/>
  <c r="S18" i="6"/>
  <c r="S33" i="6"/>
  <c r="S39" i="6"/>
  <c r="T13" i="7"/>
  <c r="S43" i="6"/>
  <c r="S38" i="6"/>
  <c r="C28" i="4"/>
  <c r="C26" i="7"/>
  <c r="D10" i="8"/>
  <c r="D13" i="8"/>
  <c r="C49" i="4"/>
  <c r="C22" i="7"/>
  <c r="C14" i="4"/>
  <c r="C25" i="7"/>
  <c r="C35" i="4"/>
  <c r="C16" i="7"/>
  <c r="C43" i="11"/>
  <c r="C53" i="10"/>
  <c r="C36" i="4"/>
  <c r="D14" i="8"/>
  <c r="C15" i="7"/>
  <c r="C42" i="11"/>
  <c r="C52" i="10"/>
  <c r="C7" i="4"/>
  <c r="C42" i="4"/>
  <c r="D9" i="8"/>
  <c r="C27" i="7"/>
  <c r="C15" i="4"/>
  <c r="E100" i="12"/>
  <c r="D7" i="8"/>
  <c r="D8" i="8"/>
  <c r="E21" i="3"/>
  <c r="V20" i="5"/>
  <c r="V21" i="9"/>
  <c r="V35" i="6"/>
  <c r="V18" i="6"/>
  <c r="V21" i="5"/>
  <c r="V45" i="6"/>
  <c r="V44" i="6"/>
  <c r="V34" i="6"/>
  <c r="V20" i="9"/>
  <c r="P39" i="6"/>
  <c r="P37" i="6"/>
  <c r="P18" i="5"/>
  <c r="P21" i="9"/>
  <c r="P17" i="6"/>
  <c r="P35" i="6"/>
  <c r="Q12" i="7"/>
  <c r="Q11" i="7"/>
  <c r="P18" i="9"/>
  <c r="P21" i="5"/>
  <c r="C11" i="9"/>
  <c r="C53" i="6"/>
  <c r="F44" i="12"/>
  <c r="D8" i="4"/>
  <c r="D24" i="2"/>
  <c r="D8" i="2"/>
  <c r="F62" i="12"/>
  <c r="F25" i="3"/>
  <c r="D22" i="4"/>
  <c r="D43" i="4"/>
  <c r="F14" i="3"/>
  <c r="C7" i="9"/>
  <c r="C7" i="5"/>
  <c r="D7" i="2"/>
  <c r="D29" i="4"/>
  <c r="D24" i="10"/>
  <c r="C13" i="5"/>
  <c r="D50" i="4"/>
  <c r="C24" i="5"/>
  <c r="R42" i="6"/>
  <c r="R19" i="5"/>
  <c r="R32" i="6"/>
  <c r="R17" i="5"/>
  <c r="R35" i="6"/>
  <c r="R21" i="9"/>
  <c r="R43" i="6"/>
  <c r="R45" i="6"/>
  <c r="R33" i="6"/>
  <c r="R21" i="5"/>
  <c r="S12" i="7"/>
  <c r="L20" i="5"/>
  <c r="L33" i="6"/>
  <c r="L18" i="9"/>
  <c r="L43" i="6"/>
  <c r="L17" i="6"/>
  <c r="L34" i="6"/>
  <c r="L44" i="6"/>
  <c r="M11" i="7"/>
  <c r="M59" i="11"/>
  <c r="X42" i="6"/>
  <c r="X19" i="5"/>
  <c r="X44" i="6"/>
  <c r="X40" i="6"/>
  <c r="X20" i="6"/>
  <c r="Y59" i="11"/>
  <c r="X34" i="6"/>
  <c r="X32" i="6"/>
  <c r="X17" i="5"/>
  <c r="X20" i="5"/>
  <c r="X33" i="6"/>
  <c r="T19" i="6"/>
  <c r="T20" i="5"/>
  <c r="T39" i="6"/>
  <c r="T32" i="6"/>
  <c r="T17" i="5"/>
  <c r="T18" i="6"/>
  <c r="T20" i="6"/>
  <c r="T20" i="9"/>
  <c r="T17" i="9"/>
  <c r="T38" i="6"/>
  <c r="F45" i="6"/>
  <c r="F20" i="5"/>
  <c r="F21" i="5"/>
  <c r="F44" i="6"/>
  <c r="F38" i="6"/>
  <c r="F34" i="6"/>
  <c r="F35" i="6"/>
  <c r="F18" i="6"/>
  <c r="F17" i="6"/>
  <c r="N33" i="6"/>
  <c r="N40" i="6"/>
  <c r="N19" i="6"/>
  <c r="N39" i="6"/>
  <c r="N32" i="6"/>
  <c r="N17" i="5"/>
  <c r="N43" i="6"/>
  <c r="N21" i="5"/>
  <c r="N20" i="6"/>
  <c r="O13" i="7"/>
  <c r="D19" i="6"/>
  <c r="D20" i="9"/>
  <c r="D20" i="6"/>
  <c r="D39" i="6"/>
  <c r="D32" i="6"/>
  <c r="D17" i="5"/>
  <c r="D20" i="5"/>
  <c r="D40" i="6"/>
  <c r="D18" i="6"/>
  <c r="D38" i="6"/>
  <c r="J18" i="9"/>
  <c r="J38" i="6"/>
  <c r="J17" i="6"/>
  <c r="J18" i="6"/>
  <c r="J20" i="6"/>
  <c r="J39" i="6"/>
  <c r="J19" i="6"/>
  <c r="K12" i="7"/>
  <c r="J40" i="6"/>
  <c r="H20" i="6"/>
  <c r="H33" i="6"/>
  <c r="H42" i="6"/>
  <c r="H19" i="5"/>
  <c r="H32" i="6"/>
  <c r="H17" i="5"/>
  <c r="H34" i="6"/>
  <c r="H43" i="6"/>
  <c r="H20" i="5"/>
  <c r="H40" i="6"/>
  <c r="H44" i="6"/>
  <c r="U25" i="3"/>
  <c r="S22" i="4"/>
  <c r="R11" i="9"/>
  <c r="U78" i="12"/>
  <c r="S8" i="2"/>
  <c r="R13" i="9"/>
  <c r="S43" i="4"/>
  <c r="R52" i="6"/>
  <c r="R54" i="6"/>
  <c r="S24" i="2"/>
  <c r="U50" i="12"/>
  <c r="S8" i="4"/>
  <c r="S29" i="4"/>
  <c r="R53" i="6"/>
  <c r="R24" i="5"/>
  <c r="S50" i="4"/>
  <c r="W8" i="8"/>
  <c r="V7" i="7"/>
  <c r="V45" i="11"/>
  <c r="V55" i="10"/>
  <c r="X12" i="3"/>
  <c r="V22" i="7"/>
  <c r="W10" i="8"/>
  <c r="U49" i="6"/>
  <c r="V21" i="4"/>
  <c r="X27" i="12"/>
  <c r="U6" i="6"/>
  <c r="V27" i="7"/>
  <c r="W13" i="8"/>
  <c r="U13" i="6"/>
  <c r="U15" i="5"/>
  <c r="V49" i="4"/>
  <c r="U22" i="6"/>
  <c r="U11" i="6"/>
  <c r="U25" i="6"/>
  <c r="U25" i="9"/>
  <c r="V15" i="4"/>
  <c r="W6" i="8"/>
  <c r="U47" i="6"/>
  <c r="W14" i="8"/>
  <c r="U15" i="9"/>
  <c r="V8" i="7"/>
  <c r="V40" i="11"/>
  <c r="V50" i="10"/>
  <c r="X11" i="3"/>
  <c r="V26" i="7"/>
  <c r="D13" i="5"/>
  <c r="E29" i="4"/>
  <c r="E24" i="2"/>
  <c r="E50" i="4"/>
  <c r="D54" i="6"/>
  <c r="E24" i="10"/>
  <c r="D52" i="6"/>
  <c r="E8" i="4"/>
  <c r="D24" i="5"/>
  <c r="G53" i="12"/>
  <c r="E22" i="4"/>
  <c r="D11" i="9"/>
  <c r="E8" i="2"/>
  <c r="G19" i="12"/>
  <c r="E43" i="4"/>
  <c r="G25" i="3"/>
  <c r="F15" i="4"/>
  <c r="H60" i="12"/>
  <c r="E6" i="6"/>
  <c r="F8" i="7"/>
  <c r="F40" i="11"/>
  <c r="F50" i="10"/>
  <c r="H11" i="3"/>
  <c r="E23" i="6"/>
  <c r="H29" i="12"/>
  <c r="E29" i="6"/>
  <c r="G14" i="8"/>
  <c r="E28" i="6"/>
  <c r="E22" i="6"/>
  <c r="F22" i="7"/>
  <c r="G10" i="8"/>
  <c r="E49" i="6"/>
  <c r="F49" i="4"/>
  <c r="G8" i="8"/>
  <c r="F7" i="4"/>
  <c r="G9" i="8"/>
  <c r="E48" i="6"/>
  <c r="G6" i="8"/>
  <c r="E47" i="6"/>
  <c r="F27" i="7"/>
  <c r="G13" i="8"/>
  <c r="F26" i="7"/>
  <c r="E11" i="6"/>
  <c r="F14" i="4"/>
  <c r="K15" i="9"/>
  <c r="K6" i="6"/>
  <c r="L16" i="7"/>
  <c r="L43" i="11"/>
  <c r="L53" i="10"/>
  <c r="K14" i="6"/>
  <c r="K9" i="6"/>
  <c r="M10" i="8"/>
  <c r="K49" i="6"/>
  <c r="K25" i="9"/>
  <c r="L7" i="7"/>
  <c r="L45" i="11"/>
  <c r="L55" i="10"/>
  <c r="N12" i="3"/>
  <c r="M6" i="8"/>
  <c r="K47" i="6"/>
  <c r="N28" i="12"/>
  <c r="M13" i="8"/>
  <c r="K23" i="6"/>
  <c r="M9" i="8"/>
  <c r="K48" i="6"/>
  <c r="K25" i="6"/>
  <c r="M14" i="8"/>
  <c r="L26" i="7"/>
  <c r="L28" i="4"/>
  <c r="K30" i="6"/>
  <c r="M8" i="8"/>
  <c r="M7" i="8"/>
  <c r="L27" i="7"/>
  <c r="L25" i="7"/>
  <c r="Y10" i="8"/>
  <c r="W49" i="6"/>
  <c r="X49" i="4"/>
  <c r="X26" i="7"/>
  <c r="X22" i="7"/>
  <c r="W25" i="5"/>
  <c r="W7" i="6"/>
  <c r="Z73" i="12"/>
  <c r="X20" i="7"/>
  <c r="X60" i="11"/>
  <c r="X70" i="10"/>
  <c r="W23" i="6"/>
  <c r="W8" i="6"/>
  <c r="W29" i="6"/>
  <c r="X8" i="7"/>
  <c r="X40" i="11"/>
  <c r="X50" i="10"/>
  <c r="Z11" i="3"/>
  <c r="W30" i="6"/>
  <c r="W14" i="6"/>
  <c r="Y7" i="8"/>
  <c r="W12" i="6"/>
  <c r="X28" i="4"/>
  <c r="X7" i="4"/>
  <c r="W28" i="6"/>
  <c r="X25" i="7"/>
  <c r="Y9" i="8"/>
  <c r="W48" i="6"/>
  <c r="W15" i="9"/>
  <c r="T43" i="4"/>
  <c r="T22" i="4"/>
  <c r="T50" i="4"/>
  <c r="V14" i="3"/>
  <c r="S7" i="9"/>
  <c r="S7" i="5"/>
  <c r="T7" i="2"/>
  <c r="V78" i="12"/>
  <c r="T8" i="4"/>
  <c r="T29" i="4"/>
  <c r="T8" i="2"/>
  <c r="S53" i="6"/>
  <c r="V14" i="12"/>
  <c r="S11" i="9"/>
  <c r="S13" i="5"/>
  <c r="S54" i="6"/>
  <c r="S24" i="5"/>
  <c r="T24" i="2"/>
  <c r="V25" i="3"/>
  <c r="H8" i="4"/>
  <c r="H50" i="4"/>
  <c r="G13" i="5"/>
  <c r="J43" i="12"/>
  <c r="J33" i="12"/>
  <c r="H24" i="10"/>
  <c r="H8" i="2"/>
  <c r="G54" i="6"/>
  <c r="G24" i="9"/>
  <c r="H22" i="4"/>
  <c r="H43" i="4"/>
  <c r="G24" i="5"/>
  <c r="H24" i="2"/>
  <c r="H29" i="4"/>
  <c r="G11" i="9"/>
  <c r="J25" i="3"/>
  <c r="R29" i="4"/>
  <c r="T65" i="12"/>
  <c r="R50" i="4"/>
  <c r="R15" i="10"/>
  <c r="T25" i="3"/>
  <c r="R8" i="2"/>
  <c r="Q13" i="9"/>
  <c r="Q23" i="9"/>
  <c r="Q23" i="5"/>
  <c r="Q52" i="6"/>
  <c r="R8" i="4"/>
  <c r="Q11" i="9"/>
  <c r="R24" i="2"/>
  <c r="Q24" i="5"/>
  <c r="R22" i="4"/>
  <c r="R43" i="4"/>
  <c r="Q13" i="5"/>
  <c r="X50" i="4"/>
  <c r="X43" i="4"/>
  <c r="W13" i="5"/>
  <c r="Z25" i="3"/>
  <c r="X24" i="10"/>
  <c r="X24" i="2"/>
  <c r="X22" i="4"/>
  <c r="Z19" i="12"/>
  <c r="X29" i="4"/>
  <c r="Z34" i="12"/>
  <c r="W11" i="9"/>
  <c r="X8" i="4"/>
  <c r="W54" i="6"/>
  <c r="X8" i="2"/>
  <c r="X63" i="11"/>
  <c r="X73" i="10"/>
  <c r="Z51" i="12"/>
  <c r="P25" i="3"/>
  <c r="N22" i="4"/>
  <c r="M24" i="9"/>
  <c r="M13" i="9"/>
  <c r="P14" i="3"/>
  <c r="M7" i="9"/>
  <c r="M7" i="5"/>
  <c r="N7" i="2"/>
  <c r="N15" i="10"/>
  <c r="N8" i="2"/>
  <c r="M24" i="5"/>
  <c r="N8" i="4"/>
  <c r="N29" i="4"/>
  <c r="M53" i="6"/>
  <c r="N43" i="4"/>
  <c r="M54" i="6"/>
  <c r="N24" i="2"/>
  <c r="P81" i="12"/>
  <c r="N50" i="4"/>
  <c r="F22" i="4"/>
  <c r="H43" i="12"/>
  <c r="F8" i="4"/>
  <c r="E13" i="5"/>
  <c r="E11" i="9"/>
  <c r="F29" i="4"/>
  <c r="H25" i="3"/>
  <c r="F50" i="4"/>
  <c r="F24" i="10"/>
  <c r="H19" i="12"/>
  <c r="F24" i="2"/>
  <c r="F43" i="4"/>
  <c r="H53" i="12"/>
  <c r="E54" i="6"/>
  <c r="F8" i="2"/>
  <c r="E24" i="5"/>
  <c r="D21" i="3"/>
  <c r="C6" i="8"/>
  <c r="C13" i="8"/>
  <c r="C10" i="8"/>
  <c r="D12" i="3"/>
  <c r="D11" i="3"/>
  <c r="C8" i="8"/>
  <c r="D27" i="12"/>
  <c r="Q8" i="2"/>
  <c r="S8" i="12"/>
  <c r="S25" i="3"/>
  <c r="P13" i="9"/>
  <c r="Q8" i="4"/>
  <c r="Q22" i="4"/>
  <c r="P13" i="5"/>
  <c r="S20" i="12"/>
  <c r="Q24" i="2"/>
  <c r="P23" i="9"/>
  <c r="P23" i="5"/>
  <c r="Q15" i="10"/>
  <c r="Q29" i="4"/>
  <c r="Q50" i="4"/>
  <c r="P24" i="5"/>
  <c r="Q43" i="4"/>
  <c r="P52" i="6"/>
  <c r="T11" i="9"/>
  <c r="U24" i="10"/>
  <c r="U8" i="2"/>
  <c r="U29" i="4"/>
  <c r="T24" i="5"/>
  <c r="U8" i="4"/>
  <c r="W25" i="3"/>
  <c r="W14" i="12"/>
  <c r="T54" i="6"/>
  <c r="T13" i="5"/>
  <c r="T52" i="6"/>
  <c r="U22" i="4"/>
  <c r="U43" i="4"/>
  <c r="U24" i="2"/>
  <c r="W50" i="12"/>
  <c r="U50" i="4"/>
  <c r="Y8" i="4"/>
  <c r="Y63" i="11"/>
  <c r="Y73" i="10"/>
  <c r="Y24" i="2"/>
  <c r="AA14" i="3"/>
  <c r="X7" i="9"/>
  <c r="X7" i="5"/>
  <c r="Y7" i="2"/>
  <c r="X53" i="6"/>
  <c r="AA25" i="3"/>
  <c r="X13" i="5"/>
  <c r="Y33" i="11"/>
  <c r="Y43" i="10"/>
  <c r="X54" i="6"/>
  <c r="Y50" i="4"/>
  <c r="X52" i="6"/>
  <c r="Y8" i="2"/>
  <c r="Y22" i="4"/>
  <c r="AA34" i="12"/>
  <c r="Y29" i="4"/>
  <c r="Y43" i="4"/>
  <c r="J24" i="2"/>
  <c r="L13" i="12"/>
  <c r="L14" i="3"/>
  <c r="I7" i="9"/>
  <c r="I7" i="5"/>
  <c r="J7" i="2"/>
  <c r="I24" i="5"/>
  <c r="L25" i="3"/>
  <c r="I52" i="6"/>
  <c r="J22" i="4"/>
  <c r="J50" i="4"/>
  <c r="L22" i="12"/>
  <c r="J29" i="4"/>
  <c r="I54" i="6"/>
  <c r="I13" i="5"/>
  <c r="J8" i="2"/>
  <c r="I53" i="6"/>
  <c r="J8" i="4"/>
  <c r="J43" i="4"/>
  <c r="N26" i="7"/>
  <c r="N42" i="4"/>
  <c r="M25" i="9"/>
  <c r="N22" i="7"/>
  <c r="O6" i="8"/>
  <c r="M47" i="6"/>
  <c r="M28" i="6"/>
  <c r="O8" i="8"/>
  <c r="M6" i="6"/>
  <c r="N27" i="7"/>
  <c r="N49" i="4"/>
  <c r="M15" i="9"/>
  <c r="O14" i="8"/>
  <c r="M22" i="6"/>
  <c r="M11" i="6"/>
  <c r="O9" i="8"/>
  <c r="M48" i="6"/>
  <c r="P28" i="12"/>
  <c r="P31" i="12"/>
  <c r="P57" i="12"/>
  <c r="O7" i="8"/>
  <c r="N14" i="4"/>
  <c r="M24" i="6"/>
  <c r="N35" i="4"/>
  <c r="L24" i="2"/>
  <c r="L8" i="2"/>
  <c r="K13" i="5"/>
  <c r="K24" i="5"/>
  <c r="L50" i="4"/>
  <c r="L15" i="10"/>
  <c r="L43" i="4"/>
  <c r="N25" i="3"/>
  <c r="L29" i="4"/>
  <c r="K23" i="9"/>
  <c r="K23" i="5"/>
  <c r="L8" i="4"/>
  <c r="K24" i="9"/>
  <c r="K53" i="6"/>
  <c r="L22" i="4"/>
  <c r="N14" i="3"/>
  <c r="K7" i="9"/>
  <c r="K7" i="5"/>
  <c r="L7" i="2"/>
  <c r="N54" i="12"/>
  <c r="W8" i="7"/>
  <c r="W40" i="11"/>
  <c r="W50" i="10"/>
  <c r="Y11" i="3"/>
  <c r="X9" i="8"/>
  <c r="V48" i="6"/>
  <c r="V9" i="6"/>
  <c r="V8" i="6"/>
  <c r="V22" i="6"/>
  <c r="Y29" i="12"/>
  <c r="V15" i="5"/>
  <c r="V11" i="6"/>
  <c r="V29" i="6"/>
  <c r="X7" i="8"/>
  <c r="X14" i="8"/>
  <c r="V30" i="6"/>
  <c r="X13" i="8"/>
  <c r="X8" i="8"/>
  <c r="X10" i="8"/>
  <c r="V49" i="6"/>
  <c r="X6" i="8"/>
  <c r="V47" i="6"/>
  <c r="V12" i="6"/>
  <c r="W25" i="7"/>
  <c r="W27" i="7"/>
  <c r="Y73" i="12"/>
  <c r="V23" i="6"/>
  <c r="V25" i="5"/>
  <c r="G29" i="6"/>
  <c r="H28" i="4"/>
  <c r="G6" i="6"/>
  <c r="H20" i="7"/>
  <c r="H60" i="11"/>
  <c r="H70" i="10"/>
  <c r="I9" i="8"/>
  <c r="G48" i="6"/>
  <c r="H15" i="7"/>
  <c r="H42" i="11"/>
  <c r="H52" i="10"/>
  <c r="G7" i="6"/>
  <c r="H25" i="7"/>
  <c r="H22" i="7"/>
  <c r="J21" i="3"/>
  <c r="G28" i="6"/>
  <c r="I14" i="8"/>
  <c r="H8" i="7"/>
  <c r="H40" i="11"/>
  <c r="H50" i="10"/>
  <c r="J11" i="3"/>
  <c r="I10" i="8"/>
  <c r="G49" i="6"/>
  <c r="G12" i="6"/>
  <c r="I8" i="8"/>
  <c r="G11" i="6"/>
  <c r="H27" i="7"/>
  <c r="H26" i="7"/>
  <c r="G23" i="6"/>
  <c r="H7" i="4"/>
  <c r="G15" i="9"/>
  <c r="Y27" i="7"/>
  <c r="X25" i="5"/>
  <c r="X25" i="9"/>
  <c r="Y22" i="7"/>
  <c r="X15" i="9"/>
  <c r="X7" i="6"/>
  <c r="X8" i="6"/>
  <c r="Z8" i="8"/>
  <c r="AA29" i="12"/>
  <c r="Z6" i="8"/>
  <c r="X47" i="6"/>
  <c r="Z10" i="8"/>
  <c r="X49" i="6"/>
  <c r="X29" i="6"/>
  <c r="Z9" i="8"/>
  <c r="X48" i="6"/>
  <c r="X25" i="6"/>
  <c r="Z13" i="8"/>
  <c r="Z14" i="8"/>
  <c r="X14" i="6"/>
  <c r="Y26" i="7"/>
  <c r="Z7" i="8"/>
  <c r="AA73" i="12"/>
  <c r="Y15" i="7"/>
  <c r="Y42" i="11"/>
  <c r="Y52" i="10"/>
  <c r="X28" i="6"/>
  <c r="I8" i="4"/>
  <c r="I24" i="2"/>
  <c r="H54" i="6"/>
  <c r="H52" i="6"/>
  <c r="H53" i="6"/>
  <c r="K13" i="12"/>
  <c r="K14" i="3"/>
  <c r="H7" i="9"/>
  <c r="H7" i="5"/>
  <c r="I7" i="2"/>
  <c r="I22" i="4"/>
  <c r="I43" i="4"/>
  <c r="K25" i="3"/>
  <c r="I8" i="2"/>
  <c r="I29" i="4"/>
  <c r="H13" i="5"/>
  <c r="I50" i="4"/>
  <c r="H24" i="9"/>
  <c r="H24" i="5"/>
  <c r="V8" i="4"/>
  <c r="U52" i="6"/>
  <c r="V29" i="4"/>
  <c r="V50" i="4"/>
  <c r="U13" i="5"/>
  <c r="X35" i="12"/>
  <c r="U11" i="9"/>
  <c r="V24" i="2"/>
  <c r="U24" i="5"/>
  <c r="V43" i="4"/>
  <c r="V24" i="10"/>
  <c r="V22" i="4"/>
  <c r="X63" i="12"/>
  <c r="U54" i="6"/>
  <c r="X25" i="3"/>
  <c r="V8" i="2"/>
  <c r="O29" i="4"/>
  <c r="O50" i="4"/>
  <c r="O43" i="4"/>
  <c r="Q15" i="12"/>
  <c r="Q25" i="3"/>
  <c r="O15" i="10"/>
  <c r="N13" i="9"/>
  <c r="N24" i="9"/>
  <c r="O22" i="4"/>
  <c r="N53" i="6"/>
  <c r="Q14" i="3"/>
  <c r="N7" i="9"/>
  <c r="N7" i="5"/>
  <c r="O7" i="2"/>
  <c r="O8" i="4"/>
  <c r="O24" i="2"/>
  <c r="N52" i="6"/>
  <c r="N13" i="5"/>
  <c r="O8" i="2"/>
  <c r="M24" i="2"/>
  <c r="L13" i="5"/>
  <c r="M29" i="4"/>
  <c r="M43" i="4"/>
  <c r="L24" i="9"/>
  <c r="L13" i="9"/>
  <c r="L23" i="9"/>
  <c r="L23" i="5"/>
  <c r="O54" i="12"/>
  <c r="M50" i="4"/>
  <c r="M15" i="10"/>
  <c r="M22" i="4"/>
  <c r="L53" i="6"/>
  <c r="O25" i="3"/>
  <c r="M8" i="2"/>
  <c r="L54" i="6"/>
  <c r="M8" i="4"/>
  <c r="Q25" i="9"/>
  <c r="T27" i="12"/>
  <c r="Q30" i="6"/>
  <c r="S10" i="8"/>
  <c r="Q49" i="6"/>
  <c r="T58" i="12"/>
  <c r="Q15" i="5"/>
  <c r="R25" i="7"/>
  <c r="S8" i="8"/>
  <c r="Q24" i="6"/>
  <c r="Q29" i="6"/>
  <c r="S9" i="8"/>
  <c r="Q48" i="6"/>
  <c r="S6" i="8"/>
  <c r="Q47" i="6"/>
  <c r="Q25" i="5"/>
  <c r="S7" i="8"/>
  <c r="R27" i="7"/>
  <c r="S14" i="8"/>
  <c r="Q15" i="9"/>
  <c r="Q8" i="6"/>
  <c r="R49" i="4"/>
  <c r="Q13" i="6"/>
  <c r="R16" i="7"/>
  <c r="R43" i="11"/>
  <c r="R53" i="10"/>
  <c r="S13" i="8"/>
  <c r="V52" i="6"/>
  <c r="W50" i="4"/>
  <c r="V54" i="6"/>
  <c r="W8" i="4"/>
  <c r="W22" i="4"/>
  <c r="Y63" i="12"/>
  <c r="W24" i="2"/>
  <c r="Y19" i="12"/>
  <c r="V13" i="5"/>
  <c r="Y25" i="3"/>
  <c r="W8" i="2"/>
  <c r="Y51" i="12"/>
  <c r="V24" i="5"/>
  <c r="W29" i="4"/>
  <c r="W24" i="10"/>
  <c r="V11" i="9"/>
  <c r="O13" i="5"/>
  <c r="O52" i="6"/>
  <c r="O24" i="5"/>
  <c r="O53" i="6"/>
  <c r="P22" i="4"/>
  <c r="P8" i="4"/>
  <c r="P43" i="4"/>
  <c r="P29" i="4"/>
  <c r="O13" i="9"/>
  <c r="R37" i="12"/>
  <c r="P24" i="2"/>
  <c r="R14" i="3"/>
  <c r="O7" i="9"/>
  <c r="O7" i="5"/>
  <c r="P7" i="2"/>
  <c r="P50" i="4"/>
  <c r="O24" i="9"/>
  <c r="P8" i="2"/>
  <c r="R25" i="3"/>
  <c r="I13" i="6"/>
  <c r="J15" i="7"/>
  <c r="J42" i="11"/>
  <c r="J52" i="10"/>
  <c r="J7" i="7"/>
  <c r="J45" i="11"/>
  <c r="J55" i="10"/>
  <c r="L12" i="3"/>
  <c r="I15" i="9"/>
  <c r="K13" i="8"/>
  <c r="L57" i="12"/>
  <c r="I29" i="6"/>
  <c r="J35" i="4"/>
  <c r="K14" i="8"/>
  <c r="K8" i="8"/>
  <c r="K10" i="8"/>
  <c r="I49" i="6"/>
  <c r="I24" i="6"/>
  <c r="I25" i="9"/>
  <c r="K7" i="8"/>
  <c r="K6" i="8"/>
  <c r="I47" i="6"/>
  <c r="J25" i="7"/>
  <c r="J26" i="7"/>
  <c r="J27" i="7"/>
  <c r="K9" i="8"/>
  <c r="I48" i="6"/>
  <c r="J28" i="4"/>
  <c r="I8" i="6"/>
  <c r="J22" i="7"/>
  <c r="F54" i="6"/>
  <c r="F52" i="6"/>
  <c r="G22" i="4"/>
  <c r="G29" i="4"/>
  <c r="G24" i="2"/>
  <c r="G24" i="10"/>
  <c r="F13" i="5"/>
  <c r="G50" i="4"/>
  <c r="F11" i="9"/>
  <c r="I33" i="12"/>
  <c r="G8" i="2"/>
  <c r="F24" i="5"/>
  <c r="I16" i="12"/>
  <c r="I67" i="12"/>
  <c r="I25" i="3"/>
  <c r="G8" i="4"/>
  <c r="S27" i="7"/>
  <c r="T10" i="8"/>
  <c r="R49" i="6"/>
  <c r="R25" i="5"/>
  <c r="R15" i="9"/>
  <c r="T14" i="8"/>
  <c r="S15" i="7"/>
  <c r="S42" i="11"/>
  <c r="S52" i="10"/>
  <c r="R25" i="9"/>
  <c r="R6" i="6"/>
  <c r="S22" i="7"/>
  <c r="R8" i="6"/>
  <c r="S36" i="4"/>
  <c r="S20" i="7"/>
  <c r="S60" i="11"/>
  <c r="S70" i="10"/>
  <c r="R30" i="6"/>
  <c r="R15" i="5"/>
  <c r="T7" i="8"/>
  <c r="U58" i="12"/>
  <c r="R29" i="6"/>
  <c r="T6" i="8"/>
  <c r="R47" i="6"/>
  <c r="R9" i="6"/>
  <c r="R28" i="6"/>
  <c r="T9" i="8"/>
  <c r="R48" i="6"/>
  <c r="S26" i="7"/>
  <c r="J13" i="5"/>
  <c r="M69" i="12"/>
  <c r="J24" i="9"/>
  <c r="K8" i="4"/>
  <c r="J53" i="6"/>
  <c r="K24" i="2"/>
  <c r="M25" i="3"/>
  <c r="M14" i="3"/>
  <c r="J7" i="9"/>
  <c r="J7" i="5"/>
  <c r="K7" i="2"/>
  <c r="M22" i="12"/>
  <c r="J54" i="6"/>
  <c r="K29" i="4"/>
  <c r="M8" i="12"/>
  <c r="K22" i="4"/>
  <c r="K43" i="4"/>
  <c r="K8" i="2"/>
  <c r="J24" i="5"/>
  <c r="P25" i="9"/>
  <c r="R10" i="8"/>
  <c r="P49" i="6"/>
  <c r="Q8" i="7"/>
  <c r="Q40" i="11"/>
  <c r="Q50" i="10"/>
  <c r="S11" i="3"/>
  <c r="S31" i="12"/>
  <c r="P24" i="6"/>
  <c r="R9" i="8"/>
  <c r="P48" i="6"/>
  <c r="Q25" i="7"/>
  <c r="Q26" i="7"/>
  <c r="R6" i="8"/>
  <c r="P47" i="6"/>
  <c r="S60" i="12"/>
  <c r="P23" i="6"/>
  <c r="Q27" i="7"/>
  <c r="P13" i="6"/>
  <c r="P30" i="6"/>
  <c r="P15" i="9"/>
  <c r="R13" i="8"/>
  <c r="P12" i="6"/>
  <c r="R8" i="8"/>
  <c r="P9" i="6"/>
  <c r="R7" i="8"/>
  <c r="P22" i="6"/>
  <c r="R14" i="8"/>
  <c r="F25" i="9"/>
  <c r="G25" i="7"/>
  <c r="H7" i="8"/>
  <c r="F25" i="5"/>
  <c r="F29" i="6"/>
  <c r="H10" i="8"/>
  <c r="F49" i="6"/>
  <c r="F8" i="6"/>
  <c r="F12" i="6"/>
  <c r="G15" i="7"/>
  <c r="G42" i="11"/>
  <c r="G52" i="10"/>
  <c r="H13" i="8"/>
  <c r="F22" i="6"/>
  <c r="F11" i="6"/>
  <c r="F23" i="6"/>
  <c r="H8" i="8"/>
  <c r="F15" i="5"/>
  <c r="H14" i="8"/>
  <c r="G27" i="7"/>
  <c r="G8" i="7"/>
  <c r="G40" i="11"/>
  <c r="G50" i="10"/>
  <c r="I11" i="3"/>
  <c r="I29" i="12"/>
  <c r="H6" i="8"/>
  <c r="F47" i="6"/>
  <c r="H9" i="8"/>
  <c r="F48" i="6"/>
  <c r="F15" i="9"/>
  <c r="U25" i="7"/>
  <c r="V6" i="8"/>
  <c r="T47" i="6"/>
  <c r="T30" i="6"/>
  <c r="T25" i="6"/>
  <c r="V8" i="8"/>
  <c r="U22" i="7"/>
  <c r="U26" i="7"/>
  <c r="T14" i="6"/>
  <c r="T12" i="6"/>
  <c r="T24" i="6"/>
  <c r="W58" i="12"/>
  <c r="T25" i="9"/>
  <c r="T23" i="6"/>
  <c r="T13" i="6"/>
  <c r="T6" i="6"/>
  <c r="V14" i="8"/>
  <c r="U27" i="7"/>
  <c r="V7" i="8"/>
  <c r="V9" i="8"/>
  <c r="T48" i="6"/>
  <c r="V10" i="8"/>
  <c r="T49" i="6"/>
  <c r="V13" i="8"/>
  <c r="W30" i="12"/>
  <c r="D25" i="3"/>
  <c r="D86" i="12"/>
  <c r="D45" i="12"/>
  <c r="D14" i="3"/>
  <c r="D34" i="12"/>
  <c r="D53" i="12"/>
  <c r="D44" i="12"/>
  <c r="D14" i="12"/>
  <c r="D23" i="12"/>
  <c r="D47" i="12"/>
  <c r="D76" i="12"/>
  <c r="D17" i="12"/>
  <c r="O15" i="9"/>
  <c r="P22" i="7"/>
  <c r="P16" i="7"/>
  <c r="P43" i="11"/>
  <c r="P53" i="10"/>
  <c r="O7" i="6"/>
  <c r="O23" i="6"/>
  <c r="P25" i="7"/>
  <c r="O13" i="6"/>
  <c r="P26" i="7"/>
  <c r="P21" i="4"/>
  <c r="O15" i="5"/>
  <c r="Q9" i="8"/>
  <c r="O48" i="6"/>
  <c r="O28" i="6"/>
  <c r="Q10" i="8"/>
  <c r="O49" i="6"/>
  <c r="O25" i="9"/>
  <c r="P27" i="7"/>
  <c r="R31" i="12"/>
  <c r="P36" i="4"/>
  <c r="Q14" i="8"/>
  <c r="O12" i="6"/>
  <c r="O29" i="6"/>
  <c r="R60" i="12"/>
  <c r="O24" i="6"/>
  <c r="H29" i="6"/>
  <c r="I27" i="7"/>
  <c r="K29" i="12"/>
  <c r="J14" i="8"/>
  <c r="H8" i="6"/>
  <c r="I15" i="7"/>
  <c r="I42" i="11"/>
  <c r="I52" i="10"/>
  <c r="H25" i="5"/>
  <c r="J8" i="8"/>
  <c r="J13" i="8"/>
  <c r="J7" i="8"/>
  <c r="J6" i="8"/>
  <c r="H47" i="6"/>
  <c r="H14" i="6"/>
  <c r="H28" i="6"/>
  <c r="I7" i="7"/>
  <c r="I45" i="11"/>
  <c r="I55" i="10"/>
  <c r="K12" i="3"/>
  <c r="I22" i="7"/>
  <c r="J10" i="8"/>
  <c r="H49" i="6"/>
  <c r="H25" i="9"/>
  <c r="I26" i="7"/>
  <c r="H25" i="6"/>
  <c r="H6" i="6"/>
  <c r="H7" i="6"/>
  <c r="J9" i="8"/>
  <c r="H48" i="6"/>
  <c r="L6" i="8"/>
  <c r="J47" i="6"/>
  <c r="M57" i="12"/>
  <c r="J25" i="6"/>
  <c r="K7" i="7"/>
  <c r="K45" i="11"/>
  <c r="K55" i="10"/>
  <c r="M12" i="3"/>
  <c r="L8" i="8"/>
  <c r="J22" i="6"/>
  <c r="J24" i="6"/>
  <c r="J11" i="6"/>
  <c r="J14" i="6"/>
  <c r="K26" i="7"/>
  <c r="K22" i="7"/>
  <c r="L13" i="8"/>
  <c r="J12" i="6"/>
  <c r="M29" i="12"/>
  <c r="J8" i="6"/>
  <c r="J25" i="5"/>
  <c r="J15" i="9"/>
  <c r="K25" i="7"/>
  <c r="J13" i="6"/>
  <c r="J23" i="6"/>
  <c r="J29" i="6"/>
  <c r="L10" i="8"/>
  <c r="J49" i="6"/>
  <c r="W69" i="12"/>
  <c r="W14" i="3"/>
  <c r="T7" i="9"/>
  <c r="T7" i="5"/>
  <c r="U7" i="2"/>
  <c r="T53" i="6"/>
  <c r="U61" i="11"/>
  <c r="U71" i="10"/>
  <c r="W23" i="12"/>
  <c r="U15" i="10"/>
  <c r="U37" i="11"/>
  <c r="U47" i="10"/>
  <c r="W78" i="12"/>
  <c r="W48" i="12"/>
  <c r="T23" i="9"/>
  <c r="T23" i="5"/>
  <c r="W46" i="12"/>
  <c r="T13" i="9"/>
  <c r="W8" i="12"/>
  <c r="W49" i="12"/>
  <c r="W47" i="12"/>
  <c r="W63" i="12"/>
  <c r="W17" i="12"/>
  <c r="W10" i="12"/>
  <c r="T24" i="9"/>
  <c r="W35" i="12"/>
  <c r="W54" i="12"/>
  <c r="W65" i="12"/>
  <c r="F7" i="8"/>
  <c r="D6" i="6"/>
  <c r="F6" i="8"/>
  <c r="D47" i="6"/>
  <c r="E25" i="7"/>
  <c r="F8" i="8"/>
  <c r="G29" i="12"/>
  <c r="D13" i="6"/>
  <c r="E26" i="7"/>
  <c r="F9" i="8"/>
  <c r="D48" i="6"/>
  <c r="D12" i="6"/>
  <c r="F13" i="8"/>
  <c r="D15" i="9"/>
  <c r="D25" i="9"/>
  <c r="F10" i="8"/>
  <c r="D49" i="6"/>
  <c r="E8" i="7"/>
  <c r="E40" i="11"/>
  <c r="E50" i="10"/>
  <c r="G11" i="3"/>
  <c r="D23" i="6"/>
  <c r="F14" i="8"/>
  <c r="D14" i="6"/>
  <c r="E7" i="7"/>
  <c r="E45" i="11"/>
  <c r="E55" i="10"/>
  <c r="G12" i="3"/>
  <c r="E22" i="7"/>
  <c r="D24" i="6"/>
  <c r="D25" i="6"/>
  <c r="N14" i="6"/>
  <c r="N25" i="9"/>
  <c r="P14" i="8"/>
  <c r="N28" i="6"/>
  <c r="P9" i="8"/>
  <c r="N48" i="6"/>
  <c r="O22" i="7"/>
  <c r="P13" i="8"/>
  <c r="N13" i="6"/>
  <c r="N25" i="6"/>
  <c r="P10" i="8"/>
  <c r="N49" i="6"/>
  <c r="P7" i="8"/>
  <c r="P6" i="8"/>
  <c r="N47" i="6"/>
  <c r="O27" i="7"/>
  <c r="N7" i="6"/>
  <c r="N24" i="6"/>
  <c r="P8" i="8"/>
  <c r="Q28" i="12"/>
  <c r="N15" i="9"/>
  <c r="Q60" i="12"/>
  <c r="Q74" i="12"/>
  <c r="N6" i="6"/>
  <c r="O25" i="7"/>
  <c r="J93" i="12"/>
  <c r="J10" i="12"/>
  <c r="J16" i="12"/>
  <c r="J23" i="12"/>
  <c r="J9" i="13"/>
  <c r="J42" i="12"/>
  <c r="J34" i="12"/>
  <c r="J32" i="12"/>
  <c r="G52" i="6"/>
  <c r="J45" i="12"/>
  <c r="J19" i="12"/>
  <c r="J41" i="12"/>
  <c r="G13" i="9"/>
  <c r="J53" i="12"/>
  <c r="G23" i="9"/>
  <c r="G23" i="5"/>
  <c r="H63" i="11"/>
  <c r="H73" i="10"/>
  <c r="H15" i="10"/>
  <c r="J14" i="3"/>
  <c r="G7" i="9"/>
  <c r="G7" i="5"/>
  <c r="H7" i="2"/>
  <c r="J25" i="12"/>
  <c r="H33" i="11"/>
  <c r="H43" i="10"/>
  <c r="G53" i="6"/>
  <c r="J52" i="12"/>
  <c r="X23" i="12"/>
  <c r="V15" i="10"/>
  <c r="U24" i="9"/>
  <c r="U53" i="6"/>
  <c r="X23" i="13"/>
  <c r="X49" i="12"/>
  <c r="V61" i="11"/>
  <c r="V71" i="10"/>
  <c r="X14" i="3"/>
  <c r="U7" i="9"/>
  <c r="U7" i="5"/>
  <c r="V7" i="2"/>
  <c r="U13" i="9"/>
  <c r="X8" i="12"/>
  <c r="X47" i="12"/>
  <c r="X19" i="12"/>
  <c r="X34" i="12"/>
  <c r="X17" i="12"/>
  <c r="X10" i="12"/>
  <c r="X69" i="12"/>
  <c r="V37" i="11"/>
  <c r="V47" i="10"/>
  <c r="X37" i="12"/>
  <c r="U23" i="9"/>
  <c r="U23" i="5"/>
  <c r="X71" i="12"/>
  <c r="X86" i="12"/>
  <c r="X55" i="12"/>
  <c r="N14" i="8"/>
  <c r="O31" i="12"/>
  <c r="L15" i="9"/>
  <c r="L9" i="6"/>
  <c r="L29" i="6"/>
  <c r="L22" i="6"/>
  <c r="L28" i="6"/>
  <c r="N7" i="8"/>
  <c r="M22" i="7"/>
  <c r="L11" i="6"/>
  <c r="L8" i="6"/>
  <c r="O28" i="12"/>
  <c r="N9" i="8"/>
  <c r="L48" i="6"/>
  <c r="N6" i="8"/>
  <c r="L47" i="6"/>
  <c r="M27" i="7"/>
  <c r="L7" i="6"/>
  <c r="N10" i="8"/>
  <c r="L49" i="6"/>
  <c r="L25" i="9"/>
  <c r="N8" i="8"/>
  <c r="L30" i="6"/>
  <c r="M25" i="7"/>
  <c r="O57" i="12"/>
  <c r="C68" i="10"/>
  <c r="C13" i="2"/>
  <c r="C67" i="10"/>
  <c r="C69" i="10"/>
  <c r="C21" i="2"/>
  <c r="C63" i="10"/>
  <c r="C66" i="10"/>
  <c r="C39" i="4"/>
  <c r="AA10" i="12"/>
  <c r="AA75" i="12"/>
  <c r="Y24" i="10"/>
  <c r="AA25" i="12"/>
  <c r="AA35" i="12"/>
  <c r="AA14" i="12"/>
  <c r="AA48" i="12"/>
  <c r="X24" i="9"/>
  <c r="X11" i="9"/>
  <c r="AA16" i="12"/>
  <c r="X24" i="5"/>
  <c r="AA46" i="12"/>
  <c r="Y15" i="10"/>
  <c r="AA47" i="12"/>
  <c r="AA71" i="12"/>
  <c r="AA99" i="12"/>
  <c r="AA50" i="12"/>
  <c r="AA23" i="12"/>
  <c r="X23" i="9"/>
  <c r="X23" i="5"/>
  <c r="AA45" i="12"/>
  <c r="X13" i="9"/>
  <c r="AA44" i="12"/>
  <c r="F72" i="12"/>
  <c r="F101" i="12"/>
  <c r="F14" i="12"/>
  <c r="F23" i="12"/>
  <c r="F19" i="12"/>
  <c r="C24" i="9"/>
  <c r="F47" i="12"/>
  <c r="C54" i="6"/>
  <c r="F43" i="12"/>
  <c r="F86" i="12"/>
  <c r="F10" i="12"/>
  <c r="F82" i="12"/>
  <c r="C23" i="9"/>
  <c r="C23" i="5"/>
  <c r="D15" i="10"/>
  <c r="C13" i="9"/>
  <c r="D33" i="11"/>
  <c r="D43" i="10"/>
  <c r="F8" i="12"/>
  <c r="F45" i="12"/>
  <c r="D37" i="11"/>
  <c r="D47" i="10"/>
  <c r="F46" i="12"/>
  <c r="F56" i="12"/>
  <c r="C52" i="6"/>
  <c r="S13" i="6"/>
  <c r="S7" i="6"/>
  <c r="V30" i="12"/>
  <c r="U10" i="8"/>
  <c r="S49" i="6"/>
  <c r="S8" i="6"/>
  <c r="U14" i="8"/>
  <c r="S30" i="6"/>
  <c r="U9" i="8"/>
  <c r="S48" i="6"/>
  <c r="T27" i="7"/>
  <c r="V58" i="12"/>
  <c r="S15" i="5"/>
  <c r="U7" i="8"/>
  <c r="T26" i="7"/>
  <c r="S9" i="6"/>
  <c r="U6" i="8"/>
  <c r="S47" i="6"/>
  <c r="U8" i="8"/>
  <c r="U13" i="8"/>
  <c r="S15" i="9"/>
  <c r="S14" i="6"/>
  <c r="V31" i="12"/>
  <c r="V27" i="12"/>
  <c r="S25" i="6"/>
  <c r="S69" i="10"/>
  <c r="S63" i="10"/>
  <c r="S13" i="2"/>
  <c r="S21" i="2"/>
  <c r="S68" i="10"/>
  <c r="S66" i="10"/>
  <c r="S39" i="4"/>
  <c r="S67" i="10"/>
  <c r="N32" i="12"/>
  <c r="N15" i="12"/>
  <c r="K54" i="6"/>
  <c r="N41" i="12"/>
  <c r="N33" i="12"/>
  <c r="N13" i="12"/>
  <c r="L25" i="11"/>
  <c r="L35" i="10"/>
  <c r="N53" i="13"/>
  <c r="N22" i="12"/>
  <c r="L24" i="10"/>
  <c r="N71" i="12"/>
  <c r="N9" i="12"/>
  <c r="K13" i="9"/>
  <c r="L63" i="11"/>
  <c r="L73" i="10"/>
  <c r="N93" i="12"/>
  <c r="L38" i="11"/>
  <c r="L26" i="11"/>
  <c r="L48" i="10"/>
  <c r="L36" i="10"/>
  <c r="N81" i="12"/>
  <c r="K52" i="6"/>
  <c r="N18" i="12"/>
  <c r="N43" i="12"/>
  <c r="N16" i="12"/>
  <c r="K11" i="9"/>
  <c r="W43" i="4"/>
  <c r="Y14" i="3"/>
  <c r="V7" i="9"/>
  <c r="V7" i="5"/>
  <c r="W7" i="2"/>
  <c r="Y69" i="12"/>
  <c r="Y37" i="12"/>
  <c r="Y71" i="12"/>
  <c r="V24" i="9"/>
  <c r="Y47" i="12"/>
  <c r="V13" i="9"/>
  <c r="V53" i="6"/>
  <c r="Y17" i="12"/>
  <c r="W15" i="10"/>
  <c r="W61" i="11"/>
  <c r="W71" i="10"/>
  <c r="Y48" i="12"/>
  <c r="Y35" i="12"/>
  <c r="Y46" i="12"/>
  <c r="V23" i="9"/>
  <c r="V23" i="5"/>
  <c r="Y8" i="12"/>
  <c r="Y86" i="12"/>
  <c r="Y10" i="12"/>
  <c r="Y14" i="12"/>
  <c r="W63" i="11"/>
  <c r="W73" i="10"/>
  <c r="Y49" i="12"/>
  <c r="Z14" i="3"/>
  <c r="W7" i="9"/>
  <c r="W7" i="5"/>
  <c r="X7" i="2"/>
  <c r="Z63" i="12"/>
  <c r="W52" i="6"/>
  <c r="Z17" i="12"/>
  <c r="Z71" i="12"/>
  <c r="W23" i="9"/>
  <c r="W23" i="5"/>
  <c r="W13" i="9"/>
  <c r="W53" i="6"/>
  <c r="Z10" i="12"/>
  <c r="Z45" i="12"/>
  <c r="Z47" i="12"/>
  <c r="X15" i="10"/>
  <c r="Z23" i="13"/>
  <c r="Z16" i="12"/>
  <c r="X33" i="11"/>
  <c r="X43" i="10"/>
  <c r="W24" i="9"/>
  <c r="Z14" i="12"/>
  <c r="Z69" i="12"/>
  <c r="Z35" i="12"/>
  <c r="X62" i="11"/>
  <c r="X72" i="10"/>
  <c r="Z23" i="12"/>
  <c r="W24" i="5"/>
  <c r="M16" i="12"/>
  <c r="K50" i="4"/>
  <c r="K15" i="10"/>
  <c r="J52" i="6"/>
  <c r="M64" i="12"/>
  <c r="M13" i="12"/>
  <c r="J13" i="9"/>
  <c r="M32" i="12"/>
  <c r="M9" i="12"/>
  <c r="M92" i="12"/>
  <c r="M25" i="12"/>
  <c r="M79" i="12"/>
  <c r="K24" i="10"/>
  <c r="K33" i="11"/>
  <c r="K43" i="10"/>
  <c r="K32" i="11"/>
  <c r="K42" i="10"/>
  <c r="M40" i="12"/>
  <c r="J11" i="9"/>
  <c r="J23" i="9"/>
  <c r="J23" i="5"/>
  <c r="M42" i="12"/>
  <c r="M33" i="12"/>
  <c r="M41" i="12"/>
  <c r="M43" i="12"/>
  <c r="U49" i="13"/>
  <c r="U49" i="12"/>
  <c r="S37" i="11"/>
  <c r="S47" i="10"/>
  <c r="R24" i="9"/>
  <c r="U20" i="12"/>
  <c r="U15" i="12"/>
  <c r="U65" i="12"/>
  <c r="U37" i="12"/>
  <c r="R13" i="5"/>
  <c r="U24" i="12"/>
  <c r="U55" i="12"/>
  <c r="S25" i="11"/>
  <c r="S35" i="10"/>
  <c r="U40" i="12"/>
  <c r="S15" i="10"/>
  <c r="U35" i="12"/>
  <c r="R23" i="9"/>
  <c r="R23" i="5"/>
  <c r="U14" i="3"/>
  <c r="R7" i="9"/>
  <c r="R7" i="5"/>
  <c r="S7" i="2"/>
  <c r="U48" i="12"/>
  <c r="U17" i="12"/>
  <c r="U12" i="12"/>
  <c r="U67" i="12"/>
  <c r="U14" i="12"/>
  <c r="I9" i="13"/>
  <c r="G15" i="10"/>
  <c r="F23" i="9"/>
  <c r="F23" i="5"/>
  <c r="G43" i="4"/>
  <c r="I13" i="12"/>
  <c r="I10" i="12"/>
  <c r="F53" i="6"/>
  <c r="F13" i="9"/>
  <c r="F24" i="9"/>
  <c r="I14" i="12"/>
  <c r="I46" i="12"/>
  <c r="I45" i="12"/>
  <c r="I44" i="12"/>
  <c r="I14" i="3"/>
  <c r="F7" i="9"/>
  <c r="F7" i="5"/>
  <c r="G7" i="2"/>
  <c r="I25" i="12"/>
  <c r="G63" i="11"/>
  <c r="G73" i="10"/>
  <c r="I19" i="12"/>
  <c r="I76" i="12"/>
  <c r="G61" i="11"/>
  <c r="G71" i="10"/>
  <c r="I69" i="12"/>
  <c r="I52" i="12"/>
  <c r="G62" i="11"/>
  <c r="G72" i="10"/>
  <c r="K34" i="12"/>
  <c r="I33" i="11"/>
  <c r="I43" i="10"/>
  <c r="H13" i="9"/>
  <c r="K10" i="12"/>
  <c r="I15" i="10"/>
  <c r="I63" i="11"/>
  <c r="I73" i="10"/>
  <c r="K65" i="12"/>
  <c r="H23" i="9"/>
  <c r="H23" i="5"/>
  <c r="K16" i="12"/>
  <c r="K42" i="12"/>
  <c r="K45" i="12"/>
  <c r="I24" i="10"/>
  <c r="H11" i="9"/>
  <c r="K33" i="12"/>
  <c r="K22" i="12"/>
  <c r="K44" i="12"/>
  <c r="K23" i="12"/>
  <c r="K54" i="12"/>
  <c r="K43" i="12"/>
  <c r="K85" i="12"/>
  <c r="K9" i="12"/>
  <c r="K25" i="12"/>
  <c r="G21" i="11"/>
  <c r="G18" i="11"/>
  <c r="G31" i="11"/>
  <c r="G41" i="10"/>
  <c r="F31" i="5"/>
  <c r="G15" i="11"/>
  <c r="G12" i="11"/>
  <c r="G24" i="11"/>
  <c r="G34" i="10"/>
  <c r="G29" i="11"/>
  <c r="G39" i="10"/>
  <c r="G11" i="11"/>
  <c r="F34" i="9"/>
  <c r="F30" i="9"/>
  <c r="F30" i="5"/>
  <c r="F33" i="5"/>
  <c r="G22" i="11"/>
  <c r="F32" i="5"/>
  <c r="G8" i="11"/>
  <c r="F33" i="9"/>
  <c r="F32" i="9"/>
  <c r="G13" i="11"/>
  <c r="G19" i="11"/>
  <c r="G55" i="11"/>
  <c r="G24" i="4"/>
  <c r="F31" i="9"/>
  <c r="Y54" i="11"/>
  <c r="Y21" i="11"/>
  <c r="Y7" i="11"/>
  <c r="X34" i="9"/>
  <c r="Y31" i="11"/>
  <c r="Y41" i="10"/>
  <c r="Y22" i="11"/>
  <c r="Y8" i="11"/>
  <c r="Y14" i="11"/>
  <c r="Y30" i="11"/>
  <c r="Y40" i="10"/>
  <c r="Y15" i="11"/>
  <c r="Y10" i="11"/>
  <c r="X31" i="9"/>
  <c r="Y55" i="11"/>
  <c r="Y24" i="4"/>
  <c r="Y24" i="11"/>
  <c r="Y34" i="10"/>
  <c r="X33" i="5"/>
  <c r="X32" i="5"/>
  <c r="X33" i="9"/>
  <c r="X31" i="5"/>
  <c r="X32" i="9"/>
  <c r="X30" i="9"/>
  <c r="X30" i="5"/>
  <c r="Y13" i="11"/>
  <c r="Q22" i="12"/>
  <c r="Q12" i="12"/>
  <c r="Q18" i="12"/>
  <c r="Q20" i="12"/>
  <c r="Q41" i="12"/>
  <c r="N24" i="5"/>
  <c r="Q24" i="12"/>
  <c r="Q9" i="12"/>
  <c r="Q40" i="12"/>
  <c r="Q53" i="12"/>
  <c r="Q37" i="12"/>
  <c r="O62" i="11"/>
  <c r="O72" i="10"/>
  <c r="N11" i="9"/>
  <c r="N54" i="6"/>
  <c r="Q10" i="13"/>
  <c r="Q62" i="12"/>
  <c r="O37" i="11"/>
  <c r="O47" i="10"/>
  <c r="Q42" i="12"/>
  <c r="N23" i="9"/>
  <c r="N23" i="5"/>
  <c r="O24" i="10"/>
  <c r="Q54" i="12"/>
  <c r="O32" i="11"/>
  <c r="O42" i="10"/>
  <c r="W12" i="11"/>
  <c r="V33" i="5"/>
  <c r="W19" i="11"/>
  <c r="W29" i="11"/>
  <c r="W39" i="10"/>
  <c r="W31" i="11"/>
  <c r="W41" i="10"/>
  <c r="W13" i="11"/>
  <c r="V34" i="9"/>
  <c r="V30" i="9"/>
  <c r="V30" i="5"/>
  <c r="V32" i="5"/>
  <c r="V31" i="9"/>
  <c r="W15" i="11"/>
  <c r="W55" i="11"/>
  <c r="W24" i="4"/>
  <c r="V32" i="9"/>
  <c r="W11" i="11"/>
  <c r="W22" i="11"/>
  <c r="W8" i="11"/>
  <c r="V31" i="5"/>
  <c r="V33" i="9"/>
  <c r="W18" i="11"/>
  <c r="W24" i="11"/>
  <c r="W34" i="10"/>
  <c r="W21" i="11"/>
  <c r="G8" i="12"/>
  <c r="G34" i="12"/>
  <c r="G14" i="3"/>
  <c r="D7" i="9"/>
  <c r="D7" i="5"/>
  <c r="E7" i="2"/>
  <c r="G47" i="12"/>
  <c r="G33" i="12"/>
  <c r="G56" i="12"/>
  <c r="D24" i="9"/>
  <c r="G46" i="13"/>
  <c r="E27" i="11"/>
  <c r="E37" i="10"/>
  <c r="G42" i="12"/>
  <c r="G14" i="12"/>
  <c r="E37" i="11"/>
  <c r="E47" i="10"/>
  <c r="G46" i="12"/>
  <c r="G10" i="12"/>
  <c r="E61" i="11"/>
  <c r="E71" i="10"/>
  <c r="G35" i="12"/>
  <c r="D13" i="9"/>
  <c r="G57" i="13"/>
  <c r="D53" i="6"/>
  <c r="D23" i="9"/>
  <c r="D23" i="5"/>
  <c r="G23" i="12"/>
  <c r="E15" i="10"/>
  <c r="G17" i="12"/>
  <c r="E6" i="8"/>
  <c r="C47" i="6"/>
  <c r="E14" i="8"/>
  <c r="D36" i="4"/>
  <c r="D26" i="7"/>
  <c r="E13" i="8"/>
  <c r="E9" i="8"/>
  <c r="C48" i="6"/>
  <c r="E7" i="8"/>
  <c r="D16" i="7"/>
  <c r="D43" i="11"/>
  <c r="D53" i="10"/>
  <c r="F30" i="12"/>
  <c r="E10" i="8"/>
  <c r="C49" i="6"/>
  <c r="D25" i="7"/>
  <c r="E8" i="8"/>
  <c r="C14" i="6"/>
  <c r="C22" i="6"/>
  <c r="D35" i="4"/>
  <c r="C25" i="6"/>
  <c r="D49" i="4"/>
  <c r="C9" i="6"/>
  <c r="C30" i="6"/>
  <c r="F27" i="12"/>
  <c r="D27" i="7"/>
  <c r="C25" i="9"/>
  <c r="H17" i="12"/>
  <c r="F15" i="10"/>
  <c r="H23" i="12"/>
  <c r="H45" i="12"/>
  <c r="H34" i="12"/>
  <c r="E53" i="6"/>
  <c r="H35" i="12"/>
  <c r="E23" i="9"/>
  <c r="E23" i="5"/>
  <c r="E24" i="9"/>
  <c r="H82" i="12"/>
  <c r="H47" i="12"/>
  <c r="H101" i="12"/>
  <c r="F61" i="11"/>
  <c r="F71" i="10"/>
  <c r="F37" i="11"/>
  <c r="F47" i="10"/>
  <c r="H42" i="12"/>
  <c r="H16" i="12"/>
  <c r="H14" i="3"/>
  <c r="E7" i="9"/>
  <c r="E7" i="5"/>
  <c r="F7" i="2"/>
  <c r="H10" i="12"/>
  <c r="E13" i="9"/>
  <c r="H44" i="12"/>
  <c r="H67" i="12"/>
  <c r="E52" i="6"/>
  <c r="M11" i="9"/>
  <c r="M23" i="9"/>
  <c r="M23" i="5"/>
  <c r="P10" i="13"/>
  <c r="P41" i="12"/>
  <c r="N62" i="11"/>
  <c r="N72" i="10"/>
  <c r="P25" i="13"/>
  <c r="P91" i="12"/>
  <c r="P13" i="12"/>
  <c r="P18" i="12"/>
  <c r="P25" i="12"/>
  <c r="P53" i="12"/>
  <c r="M13" i="5"/>
  <c r="P62" i="12"/>
  <c r="P22" i="12"/>
  <c r="P32" i="12"/>
  <c r="P12" i="12"/>
  <c r="P72" i="12"/>
  <c r="P9" i="12"/>
  <c r="N24" i="10"/>
  <c r="P15" i="12"/>
  <c r="M52" i="6"/>
  <c r="P40" i="12"/>
  <c r="S32" i="12"/>
  <c r="P11" i="9"/>
  <c r="S50" i="12"/>
  <c r="S22" i="12"/>
  <c r="S15" i="12"/>
  <c r="S14" i="3"/>
  <c r="P7" i="9"/>
  <c r="P7" i="5"/>
  <c r="Q7" i="2"/>
  <c r="P53" i="6"/>
  <c r="Q25" i="11"/>
  <c r="Q35" i="10"/>
  <c r="P24" i="9"/>
  <c r="P54" i="6"/>
  <c r="S37" i="12"/>
  <c r="S24" i="12"/>
  <c r="S78" i="12"/>
  <c r="S41" i="12"/>
  <c r="S40" i="12"/>
  <c r="S76" i="12"/>
  <c r="Q61" i="11"/>
  <c r="Q71" i="10"/>
  <c r="S18" i="12"/>
  <c r="S9" i="12"/>
  <c r="Q32" i="11"/>
  <c r="Q42" i="10"/>
  <c r="S53" i="12"/>
  <c r="S17" i="12"/>
  <c r="L52" i="6"/>
  <c r="O9" i="12"/>
  <c r="O44" i="12"/>
  <c r="O64" i="12"/>
  <c r="O43" i="12"/>
  <c r="O42" i="12"/>
  <c r="O70" i="12"/>
  <c r="O79" i="12"/>
  <c r="O14" i="3"/>
  <c r="L7" i="9"/>
  <c r="L7" i="5"/>
  <c r="M7" i="2"/>
  <c r="O22" i="12"/>
  <c r="M61" i="11"/>
  <c r="M71" i="10"/>
  <c r="L24" i="5"/>
  <c r="O41" i="12"/>
  <c r="O18" i="12"/>
  <c r="L11" i="9"/>
  <c r="O62" i="12"/>
  <c r="O24" i="12"/>
  <c r="M24" i="10"/>
  <c r="O40" i="12"/>
  <c r="M63" i="11"/>
  <c r="M73" i="10"/>
  <c r="O25" i="12"/>
  <c r="O13" i="12"/>
  <c r="U31" i="5"/>
  <c r="U33" i="9"/>
  <c r="V55" i="11"/>
  <c r="V24" i="4"/>
  <c r="V11" i="11"/>
  <c r="V9" i="11"/>
  <c r="V10" i="11"/>
  <c r="V22" i="11"/>
  <c r="V13" i="11"/>
  <c r="U30" i="9"/>
  <c r="U30" i="5"/>
  <c r="V18" i="11"/>
  <c r="U32" i="5"/>
  <c r="U31" i="9"/>
  <c r="V29" i="11"/>
  <c r="V39" i="10"/>
  <c r="U32" i="9"/>
  <c r="V31" i="11"/>
  <c r="V41" i="10"/>
  <c r="U34" i="9"/>
  <c r="V15" i="11"/>
  <c r="V16" i="11"/>
  <c r="U33" i="5"/>
  <c r="V12" i="11"/>
  <c r="V19" i="11"/>
  <c r="V20" i="12"/>
  <c r="S23" i="9"/>
  <c r="S23" i="5"/>
  <c r="V37" i="12"/>
  <c r="T24" i="10"/>
  <c r="V49" i="12"/>
  <c r="V40" i="12"/>
  <c r="T37" i="11"/>
  <c r="T47" i="10"/>
  <c r="V23" i="12"/>
  <c r="V12" i="12"/>
  <c r="T15" i="10"/>
  <c r="S52" i="6"/>
  <c r="V55" i="12"/>
  <c r="V8" i="12"/>
  <c r="V15" i="12"/>
  <c r="S13" i="9"/>
  <c r="V51" i="12"/>
  <c r="S24" i="9"/>
  <c r="V24" i="12"/>
  <c r="V65" i="12"/>
  <c r="V87" i="12"/>
  <c r="V67" i="12"/>
  <c r="T33" i="11"/>
  <c r="T43" i="10"/>
  <c r="E12" i="12"/>
  <c r="E50" i="13"/>
  <c r="E44" i="12"/>
  <c r="E17" i="12"/>
  <c r="E48" i="12"/>
  <c r="E35" i="12"/>
  <c r="E23" i="12"/>
  <c r="C29" i="4"/>
  <c r="C15" i="10"/>
  <c r="E56" i="12"/>
  <c r="E20" i="12"/>
  <c r="C8" i="4"/>
  <c r="E51" i="12"/>
  <c r="E70" i="12"/>
  <c r="E82" i="12"/>
  <c r="E49" i="12"/>
  <c r="E10" i="12"/>
  <c r="C37" i="11"/>
  <c r="C47" i="10"/>
  <c r="C43" i="4"/>
  <c r="C8" i="2"/>
  <c r="E13" i="13"/>
  <c r="C25" i="11"/>
  <c r="C35" i="10"/>
  <c r="I31" i="11"/>
  <c r="I41" i="10"/>
  <c r="I15" i="11"/>
  <c r="I24" i="11"/>
  <c r="I34" i="10"/>
  <c r="H34" i="9"/>
  <c r="I14" i="11"/>
  <c r="I21" i="11"/>
  <c r="H31" i="5"/>
  <c r="H32" i="5"/>
  <c r="H33" i="5"/>
  <c r="I13" i="11"/>
  <c r="I22" i="11"/>
  <c r="H32" i="9"/>
  <c r="I7" i="11"/>
  <c r="H33" i="9"/>
  <c r="I8" i="11"/>
  <c r="H31" i="9"/>
  <c r="H30" i="9"/>
  <c r="H30" i="5"/>
  <c r="I30" i="11"/>
  <c r="I40" i="10"/>
  <c r="I10" i="11"/>
  <c r="I11" i="11"/>
  <c r="I54" i="11"/>
  <c r="M30" i="11"/>
  <c r="M40" i="10"/>
  <c r="M11" i="11"/>
  <c r="L30" i="9"/>
  <c r="L30" i="5"/>
  <c r="M18" i="11"/>
  <c r="L32" i="5"/>
  <c r="M31" i="11"/>
  <c r="M41" i="10"/>
  <c r="M19" i="11"/>
  <c r="M8" i="11"/>
  <c r="L31" i="9"/>
  <c r="M9" i="11"/>
  <c r="M54" i="11"/>
  <c r="M12" i="11"/>
  <c r="L34" i="9"/>
  <c r="L32" i="9"/>
  <c r="L33" i="9"/>
  <c r="M10" i="11"/>
  <c r="M21" i="11"/>
  <c r="L31" i="5"/>
  <c r="L33" i="5"/>
  <c r="M15" i="11"/>
  <c r="M14" i="11"/>
  <c r="L92" i="12"/>
  <c r="L79" i="12"/>
  <c r="L91" i="12"/>
  <c r="L25" i="13"/>
  <c r="J33" i="11"/>
  <c r="J43" i="10"/>
  <c r="J37" i="11"/>
  <c r="J47" i="10"/>
  <c r="L19" i="12"/>
  <c r="J15" i="10"/>
  <c r="L41" i="12"/>
  <c r="J24" i="10"/>
  <c r="L33" i="12"/>
  <c r="L43" i="12"/>
  <c r="I23" i="9"/>
  <c r="I23" i="5"/>
  <c r="L16" i="12"/>
  <c r="I13" i="9"/>
  <c r="L67" i="12"/>
  <c r="L25" i="12"/>
  <c r="I11" i="9"/>
  <c r="L94" i="12"/>
  <c r="L18" i="12"/>
  <c r="L23" i="12"/>
  <c r="L32" i="12"/>
  <c r="X8" i="11"/>
  <c r="X55" i="11"/>
  <c r="X24" i="4"/>
  <c r="W33" i="5"/>
  <c r="X12" i="11"/>
  <c r="X24" i="11"/>
  <c r="X34" i="10"/>
  <c r="W34" i="9"/>
  <c r="X21" i="11"/>
  <c r="X15" i="11"/>
  <c r="W30" i="9"/>
  <c r="W30" i="5"/>
  <c r="W32" i="5"/>
  <c r="X29" i="11"/>
  <c r="X39" i="10"/>
  <c r="X31" i="11"/>
  <c r="X41" i="10"/>
  <c r="X13" i="11"/>
  <c r="W31" i="9"/>
  <c r="W32" i="9"/>
  <c r="W31" i="5"/>
  <c r="X18" i="11"/>
  <c r="X14" i="11"/>
  <c r="X22" i="11"/>
  <c r="X11" i="11"/>
  <c r="W33" i="9"/>
  <c r="P33" i="9"/>
  <c r="Q12" i="11"/>
  <c r="Q14" i="11"/>
  <c r="P30" i="9"/>
  <c r="P30" i="5"/>
  <c r="P31" i="9"/>
  <c r="Q30" i="11"/>
  <c r="Q40" i="10"/>
  <c r="Q9" i="11"/>
  <c r="P32" i="5"/>
  <c r="Q16" i="11"/>
  <c r="Q10" i="11"/>
  <c r="Q21" i="11"/>
  <c r="Q18" i="11"/>
  <c r="Q15" i="11"/>
  <c r="Q13" i="11"/>
  <c r="P34" i="9"/>
  <c r="Q22" i="11"/>
  <c r="Q7" i="11"/>
  <c r="Q19" i="11"/>
  <c r="P32" i="9"/>
  <c r="P31" i="5"/>
  <c r="P33" i="5"/>
  <c r="E30" i="9"/>
  <c r="E30" i="5"/>
  <c r="E31" i="9"/>
  <c r="E32" i="9"/>
  <c r="F18" i="11"/>
  <c r="F16" i="11"/>
  <c r="E33" i="5"/>
  <c r="F29" i="11"/>
  <c r="F39" i="10"/>
  <c r="E31" i="5"/>
  <c r="F55" i="11"/>
  <c r="F24" i="4"/>
  <c r="E33" i="9"/>
  <c r="F12" i="11"/>
  <c r="F31" i="11"/>
  <c r="F41" i="10"/>
  <c r="F15" i="11"/>
  <c r="E32" i="5"/>
  <c r="F11" i="11"/>
  <c r="F19" i="11"/>
  <c r="F10" i="11"/>
  <c r="F13" i="11"/>
  <c r="E34" i="9"/>
  <c r="F22" i="11"/>
  <c r="F9" i="11"/>
  <c r="K13" i="11"/>
  <c r="K24" i="11"/>
  <c r="K34" i="10"/>
  <c r="K29" i="11"/>
  <c r="K39" i="10"/>
  <c r="K16" i="11"/>
  <c r="J34" i="9"/>
  <c r="J33" i="9"/>
  <c r="J31" i="5"/>
  <c r="K19" i="11"/>
  <c r="K12" i="11"/>
  <c r="K22" i="11"/>
  <c r="K54" i="11"/>
  <c r="J32" i="5"/>
  <c r="K8" i="11"/>
  <c r="K15" i="11"/>
  <c r="J33" i="5"/>
  <c r="J31" i="9"/>
  <c r="K7" i="11"/>
  <c r="J32" i="9"/>
  <c r="K10" i="11"/>
  <c r="J30" i="9"/>
  <c r="J30" i="5"/>
  <c r="K9" i="11"/>
  <c r="M32" i="9"/>
  <c r="N21" i="11"/>
  <c r="M32" i="5"/>
  <c r="N19" i="11"/>
  <c r="N24" i="11"/>
  <c r="N34" i="10"/>
  <c r="N30" i="11"/>
  <c r="N40" i="10"/>
  <c r="N12" i="11"/>
  <c r="N15" i="11"/>
  <c r="M31" i="5"/>
  <c r="N18" i="11"/>
  <c r="N14" i="11"/>
  <c r="N10" i="11"/>
  <c r="M31" i="9"/>
  <c r="N8" i="11"/>
  <c r="N7" i="11"/>
  <c r="M30" i="9"/>
  <c r="M30" i="5"/>
  <c r="M33" i="9"/>
  <c r="N54" i="11"/>
  <c r="N11" i="11"/>
  <c r="M34" i="9"/>
  <c r="M33" i="5"/>
  <c r="G33" i="9"/>
  <c r="H15" i="11"/>
  <c r="G32" i="5"/>
  <c r="H31" i="11"/>
  <c r="H41" i="10"/>
  <c r="H13" i="11"/>
  <c r="G33" i="5"/>
  <c r="H55" i="11"/>
  <c r="H24" i="4"/>
  <c r="G31" i="5"/>
  <c r="G34" i="9"/>
  <c r="H24" i="11"/>
  <c r="H34" i="10"/>
  <c r="H22" i="11"/>
  <c r="H11" i="11"/>
  <c r="H14" i="11"/>
  <c r="H54" i="11"/>
  <c r="H18" i="11"/>
  <c r="G31" i="9"/>
  <c r="H8" i="11"/>
  <c r="G30" i="9"/>
  <c r="G30" i="5"/>
  <c r="G32" i="9"/>
  <c r="H12" i="11"/>
  <c r="H21" i="11"/>
  <c r="P25" i="11"/>
  <c r="P35" i="10"/>
  <c r="R9" i="12"/>
  <c r="R18" i="12"/>
  <c r="R8" i="12"/>
  <c r="O54" i="6"/>
  <c r="R12" i="12"/>
  <c r="R53" i="12"/>
  <c r="R32" i="12"/>
  <c r="O23" i="9"/>
  <c r="O23" i="5"/>
  <c r="P32" i="11"/>
  <c r="P42" i="10"/>
  <c r="R55" i="12"/>
  <c r="R24" i="12"/>
  <c r="P15" i="10"/>
  <c r="P38" i="11"/>
  <c r="P26" i="11"/>
  <c r="P48" i="10"/>
  <c r="P36" i="10"/>
  <c r="R13" i="12"/>
  <c r="R76" i="12"/>
  <c r="O11" i="9"/>
  <c r="R62" i="12"/>
  <c r="P33" i="11"/>
  <c r="P43" i="10"/>
  <c r="P24" i="10"/>
  <c r="R15" i="12"/>
  <c r="P62" i="11"/>
  <c r="P72" i="10"/>
  <c r="T8" i="11"/>
  <c r="S30" i="9"/>
  <c r="S30" i="5"/>
  <c r="T21" i="11"/>
  <c r="T7" i="11"/>
  <c r="S31" i="9"/>
  <c r="S33" i="9"/>
  <c r="S32" i="5"/>
  <c r="T16" i="11"/>
  <c r="T30" i="11"/>
  <c r="T40" i="10"/>
  <c r="T14" i="11"/>
  <c r="S31" i="5"/>
  <c r="T55" i="11"/>
  <c r="T24" i="4"/>
  <c r="S32" i="9"/>
  <c r="T10" i="11"/>
  <c r="T18" i="11"/>
  <c r="S33" i="5"/>
  <c r="T9" i="11"/>
  <c r="T13" i="11"/>
  <c r="S34" i="9"/>
  <c r="T11" i="11"/>
  <c r="T29" i="11"/>
  <c r="T39" i="10"/>
  <c r="J10" i="11"/>
  <c r="I32" i="9"/>
  <c r="I33" i="5"/>
  <c r="J13" i="11"/>
  <c r="I31" i="5"/>
  <c r="J16" i="11"/>
  <c r="J15" i="11"/>
  <c r="J7" i="11"/>
  <c r="J24" i="11"/>
  <c r="J34" i="10"/>
  <c r="J31" i="11"/>
  <c r="J41" i="10"/>
  <c r="I34" i="9"/>
  <c r="J22" i="11"/>
  <c r="I32" i="5"/>
  <c r="J11" i="11"/>
  <c r="J19" i="11"/>
  <c r="J54" i="11"/>
  <c r="I30" i="9"/>
  <c r="I30" i="5"/>
  <c r="J8" i="11"/>
  <c r="I31" i="9"/>
  <c r="I33" i="9"/>
  <c r="J14" i="11"/>
  <c r="D21" i="11"/>
  <c r="D29" i="11"/>
  <c r="D39" i="10"/>
  <c r="C32" i="9"/>
  <c r="C34" i="9"/>
  <c r="D7" i="11"/>
  <c r="D9" i="11"/>
  <c r="D30" i="11"/>
  <c r="D40" i="10"/>
  <c r="D10" i="11"/>
  <c r="C31" i="9"/>
  <c r="D16" i="11"/>
  <c r="D8" i="11"/>
  <c r="D14" i="11"/>
  <c r="D13" i="11"/>
  <c r="C33" i="5"/>
  <c r="C32" i="5"/>
  <c r="C31" i="5"/>
  <c r="D11" i="11"/>
  <c r="D55" i="11"/>
  <c r="D24" i="4"/>
  <c r="C30" i="9"/>
  <c r="C30" i="5"/>
  <c r="D18" i="11"/>
  <c r="C33" i="9"/>
  <c r="K33" i="9"/>
  <c r="L13" i="11"/>
  <c r="K30" i="9"/>
  <c r="K30" i="5"/>
  <c r="K34" i="9"/>
  <c r="L16" i="11"/>
  <c r="K31" i="9"/>
  <c r="K33" i="5"/>
  <c r="L54" i="11"/>
  <c r="L10" i="11"/>
  <c r="L29" i="11"/>
  <c r="L39" i="10"/>
  <c r="L12" i="11"/>
  <c r="L21" i="11"/>
  <c r="K32" i="9"/>
  <c r="L15" i="11"/>
  <c r="L9" i="11"/>
  <c r="K32" i="5"/>
  <c r="L8" i="11"/>
  <c r="L18" i="11"/>
  <c r="L22" i="11"/>
  <c r="L19" i="11"/>
  <c r="K31" i="5"/>
  <c r="N32" i="9"/>
  <c r="O7" i="11"/>
  <c r="N31" i="5"/>
  <c r="O30" i="11"/>
  <c r="O40" i="10"/>
  <c r="O12" i="11"/>
  <c r="N33" i="5"/>
  <c r="N33" i="9"/>
  <c r="N31" i="9"/>
  <c r="N32" i="5"/>
  <c r="O14" i="11"/>
  <c r="O16" i="11"/>
  <c r="O21" i="11"/>
  <c r="N30" i="9"/>
  <c r="N30" i="5"/>
  <c r="O55" i="11"/>
  <c r="O24" i="4"/>
  <c r="N34" i="9"/>
  <c r="O11" i="11"/>
  <c r="O13" i="11"/>
  <c r="O10" i="11"/>
  <c r="O19" i="11"/>
  <c r="O8" i="11"/>
  <c r="O54" i="11"/>
  <c r="Q31" i="9"/>
  <c r="R12" i="11"/>
  <c r="Q32" i="5"/>
  <c r="R31" i="11"/>
  <c r="R41" i="10"/>
  <c r="Q34" i="9"/>
  <c r="R8" i="11"/>
  <c r="R16" i="11"/>
  <c r="R21" i="11"/>
  <c r="Q33" i="5"/>
  <c r="R14" i="11"/>
  <c r="Q31" i="5"/>
  <c r="R19" i="11"/>
  <c r="R9" i="11"/>
  <c r="R7" i="11"/>
  <c r="R15" i="11"/>
  <c r="R11" i="11"/>
  <c r="R22" i="11"/>
  <c r="Q32" i="9"/>
  <c r="Q33" i="9"/>
  <c r="Q30" i="9"/>
  <c r="Q30" i="5"/>
  <c r="R18" i="11"/>
  <c r="J63" i="10"/>
  <c r="J13" i="2"/>
  <c r="J67" i="10"/>
  <c r="J21" i="2"/>
  <c r="J68" i="10"/>
  <c r="J69" i="10"/>
  <c r="J66" i="10"/>
  <c r="J39" i="4"/>
  <c r="E16" i="11"/>
  <c r="E22" i="11"/>
  <c r="E13" i="11"/>
  <c r="E7" i="11"/>
  <c r="D33" i="5"/>
  <c r="D33" i="9"/>
  <c r="D31" i="9"/>
  <c r="D31" i="5"/>
  <c r="E19" i="11"/>
  <c r="D30" i="9"/>
  <c r="D30" i="5"/>
  <c r="D34" i="9"/>
  <c r="E14" i="11"/>
  <c r="D32" i="9"/>
  <c r="D32" i="5"/>
  <c r="E55" i="11"/>
  <c r="E24" i="4"/>
  <c r="E9" i="11"/>
  <c r="E10" i="11"/>
  <c r="E30" i="11"/>
  <c r="E40" i="10"/>
  <c r="E29" i="11"/>
  <c r="E39" i="10"/>
  <c r="E18" i="11"/>
  <c r="E11" i="11"/>
  <c r="T22" i="12"/>
  <c r="R32" i="11"/>
  <c r="R42" i="10"/>
  <c r="T17" i="12"/>
  <c r="T32" i="12"/>
  <c r="T24" i="12"/>
  <c r="T9" i="12"/>
  <c r="R24" i="10"/>
  <c r="T48" i="12"/>
  <c r="T42" i="12"/>
  <c r="T15" i="12"/>
  <c r="R61" i="11"/>
  <c r="R71" i="10"/>
  <c r="Q53" i="6"/>
  <c r="T8" i="12"/>
  <c r="T12" i="12"/>
  <c r="T41" i="12"/>
  <c r="R63" i="11"/>
  <c r="R73" i="10"/>
  <c r="R25" i="11"/>
  <c r="R35" i="10"/>
  <c r="Q54" i="6"/>
  <c r="T14" i="3"/>
  <c r="Q7" i="9"/>
  <c r="Q7" i="5"/>
  <c r="R7" i="2"/>
  <c r="Q24" i="9"/>
  <c r="T76" i="12"/>
  <c r="T20" i="12"/>
  <c r="O33" i="5"/>
  <c r="P19" i="11"/>
  <c r="P13" i="11"/>
  <c r="O32" i="5"/>
  <c r="P30" i="11"/>
  <c r="P40" i="10"/>
  <c r="P16" i="11"/>
  <c r="O31" i="9"/>
  <c r="P22" i="11"/>
  <c r="O30" i="9"/>
  <c r="O30" i="5"/>
  <c r="P21" i="11"/>
  <c r="P7" i="11"/>
  <c r="O31" i="5"/>
  <c r="P12" i="11"/>
  <c r="O32" i="9"/>
  <c r="O34" i="9"/>
  <c r="P54" i="11"/>
  <c r="P14" i="11"/>
  <c r="P10" i="11"/>
  <c r="P9" i="11"/>
  <c r="O33" i="9"/>
  <c r="P29" i="11"/>
  <c r="P39" i="10"/>
  <c r="U18" i="11"/>
  <c r="U19" i="11"/>
  <c r="U54" i="11"/>
  <c r="T33" i="9"/>
  <c r="T31" i="9"/>
  <c r="U13" i="11"/>
  <c r="U14" i="11"/>
  <c r="U9" i="11"/>
  <c r="T32" i="9"/>
  <c r="T30" i="9"/>
  <c r="T30" i="5"/>
  <c r="U10" i="11"/>
  <c r="U16" i="11"/>
  <c r="T33" i="5"/>
  <c r="T32" i="5"/>
  <c r="T34" i="9"/>
  <c r="U29" i="11"/>
  <c r="U39" i="10"/>
  <c r="T31" i="5"/>
  <c r="U11" i="11"/>
  <c r="U7" i="11"/>
  <c r="U22" i="11"/>
  <c r="U55" i="11"/>
  <c r="U24" i="4"/>
  <c r="C62" i="12"/>
  <c r="C52" i="12"/>
  <c r="C20" i="12"/>
  <c r="C46" i="12"/>
  <c r="C14" i="3"/>
  <c r="C24" i="12"/>
  <c r="C51" i="12"/>
  <c r="C66" i="12"/>
  <c r="C15" i="12"/>
  <c r="C25" i="3"/>
  <c r="C86" i="12"/>
  <c r="C37" i="12"/>
  <c r="C17" i="12"/>
  <c r="C35" i="12"/>
  <c r="C34" i="12"/>
  <c r="C14" i="12"/>
  <c r="C22" i="12"/>
  <c r="C76" i="12"/>
  <c r="C8" i="12"/>
  <c r="C50" i="12"/>
  <c r="C40" i="12"/>
  <c r="C18" i="12"/>
  <c r="C54" i="11"/>
  <c r="C14" i="11"/>
  <c r="C55" i="11"/>
  <c r="C24" i="4"/>
  <c r="C24" i="11"/>
  <c r="C34" i="10"/>
  <c r="C16" i="11"/>
  <c r="C9" i="11"/>
  <c r="C7" i="11"/>
  <c r="C8" i="11"/>
  <c r="C11" i="11"/>
  <c r="C21" i="11"/>
  <c r="C15" i="11"/>
  <c r="C18" i="11"/>
  <c r="C12" i="11"/>
  <c r="Q69" i="10"/>
  <c r="Q67" i="10"/>
  <c r="Q68" i="10"/>
  <c r="Q13" i="2"/>
  <c r="Q21" i="2"/>
  <c r="Q63" i="10"/>
  <c r="Q66" i="10"/>
  <c r="Q39" i="4"/>
  <c r="X69" i="10"/>
  <c r="X66" i="10"/>
  <c r="X39" i="4"/>
  <c r="X21" i="2"/>
  <c r="X68" i="10"/>
  <c r="X67" i="10"/>
  <c r="X63" i="10"/>
  <c r="X13" i="2"/>
  <c r="X53" i="12"/>
  <c r="X11" i="13"/>
  <c r="X9" i="12"/>
  <c r="X24" i="12"/>
  <c r="X82" i="12"/>
  <c r="X22" i="12"/>
  <c r="X67" i="12"/>
  <c r="V38" i="11"/>
  <c r="V26" i="11"/>
  <c r="V48" i="10"/>
  <c r="V36" i="10"/>
  <c r="X12" i="12"/>
  <c r="X25" i="12"/>
  <c r="X54" i="12"/>
  <c r="X20" i="12"/>
  <c r="X40" i="12"/>
  <c r="V25" i="11"/>
  <c r="V35" i="10"/>
  <c r="X41" i="12"/>
  <c r="X18" i="12"/>
  <c r="V62" i="11"/>
  <c r="V72" i="10"/>
  <c r="X53" i="13"/>
  <c r="X42" i="12"/>
  <c r="X43" i="12"/>
  <c r="X65" i="12"/>
  <c r="V32" i="11"/>
  <c r="V42" i="10"/>
  <c r="R33" i="9"/>
  <c r="S18" i="11"/>
  <c r="S55" i="11"/>
  <c r="S24" i="4"/>
  <c r="R34" i="9"/>
  <c r="R32" i="5"/>
  <c r="S14" i="11"/>
  <c r="S8" i="11"/>
  <c r="S7" i="11"/>
  <c r="S19" i="11"/>
  <c r="R31" i="9"/>
  <c r="S12" i="11"/>
  <c r="S24" i="11"/>
  <c r="S34" i="10"/>
  <c r="R30" i="9"/>
  <c r="R30" i="5"/>
  <c r="S15" i="11"/>
  <c r="S9" i="11"/>
  <c r="R31" i="5"/>
  <c r="S16" i="11"/>
  <c r="S21" i="11"/>
  <c r="R33" i="5"/>
  <c r="S11" i="11"/>
  <c r="R32" i="9"/>
  <c r="F49" i="12"/>
  <c r="F9" i="12"/>
  <c r="F22" i="12"/>
  <c r="F20" i="12"/>
  <c r="F18" i="12"/>
  <c r="F80" i="12"/>
  <c r="F51" i="12"/>
  <c r="F13" i="12"/>
  <c r="D38" i="11"/>
  <c r="D26" i="11"/>
  <c r="D48" i="10"/>
  <c r="D36" i="10"/>
  <c r="F40" i="12"/>
  <c r="F12" i="12"/>
  <c r="F37" i="12"/>
  <c r="D61" i="11"/>
  <c r="D71" i="10"/>
  <c r="F13" i="13"/>
  <c r="D62" i="11"/>
  <c r="D72" i="10"/>
  <c r="F32" i="12"/>
  <c r="F55" i="12"/>
  <c r="D32" i="11"/>
  <c r="D42" i="10"/>
  <c r="F15" i="12"/>
  <c r="F24" i="12"/>
  <c r="F63" i="12"/>
  <c r="D25" i="11"/>
  <c r="D35" i="10"/>
  <c r="H63" i="10"/>
  <c r="H66" i="10"/>
  <c r="H39" i="4"/>
  <c r="H68" i="10"/>
  <c r="H69" i="10"/>
  <c r="H21" i="2"/>
  <c r="H67" i="10"/>
  <c r="H13" i="2"/>
  <c r="O13" i="2"/>
  <c r="O21" i="2"/>
  <c r="O63" i="10"/>
  <c r="O66" i="10"/>
  <c r="O39" i="4"/>
  <c r="O69" i="10"/>
  <c r="O68" i="10"/>
  <c r="O67" i="10"/>
  <c r="Q72" i="12"/>
  <c r="Q33" i="12"/>
  <c r="Q44" i="12"/>
  <c r="Q68" i="12"/>
  <c r="Q83" i="12"/>
  <c r="Q16" i="12"/>
  <c r="Q19" i="12"/>
  <c r="Q64" i="12"/>
  <c r="Q70" i="12"/>
  <c r="Q57" i="13"/>
  <c r="Q10" i="12"/>
  <c r="Q14" i="13"/>
  <c r="O33" i="11"/>
  <c r="O43" i="10"/>
  <c r="Q46" i="12"/>
  <c r="Q23" i="12"/>
  <c r="Q66" i="12"/>
  <c r="Q52" i="12"/>
  <c r="O63" i="11"/>
  <c r="O73" i="10"/>
  <c r="Q34" i="12"/>
  <c r="O38" i="11"/>
  <c r="O26" i="11"/>
  <c r="O48" i="10"/>
  <c r="O36" i="10"/>
  <c r="Q43" i="12"/>
  <c r="Q25" i="12"/>
  <c r="I67" i="10"/>
  <c r="I13" i="2"/>
  <c r="I21" i="2"/>
  <c r="I63" i="10"/>
  <c r="I68" i="10"/>
  <c r="I69" i="10"/>
  <c r="I66" i="10"/>
  <c r="I39" i="4"/>
  <c r="M56" i="12"/>
  <c r="M23" i="12"/>
  <c r="M46" i="13"/>
  <c r="K27" i="11"/>
  <c r="K37" i="10"/>
  <c r="M46" i="12"/>
  <c r="K37" i="11"/>
  <c r="K47" i="10"/>
  <c r="M66" i="12"/>
  <c r="M47" i="12"/>
  <c r="M48" i="12"/>
  <c r="M52" i="12"/>
  <c r="M50" i="12"/>
  <c r="K62" i="11"/>
  <c r="K72" i="10"/>
  <c r="M68" i="12"/>
  <c r="K25" i="11"/>
  <c r="K35" i="10"/>
  <c r="M45" i="12"/>
  <c r="M44" i="12"/>
  <c r="M20" i="12"/>
  <c r="M10" i="12"/>
  <c r="M14" i="13"/>
  <c r="M94" i="12"/>
  <c r="K61" i="11"/>
  <c r="K71" i="10"/>
  <c r="M14" i="12"/>
  <c r="M19" i="12"/>
  <c r="G63" i="12"/>
  <c r="G54" i="12"/>
  <c r="G40" i="12"/>
  <c r="G9" i="12"/>
  <c r="G80" i="12"/>
  <c r="G22" i="12"/>
  <c r="G51" i="12"/>
  <c r="G50" i="12"/>
  <c r="G12" i="12"/>
  <c r="G34" i="13"/>
  <c r="E25" i="10"/>
  <c r="E25" i="11"/>
  <c r="E35" i="10"/>
  <c r="E38" i="11"/>
  <c r="E26" i="11"/>
  <c r="E48" i="10"/>
  <c r="E36" i="10"/>
  <c r="G15" i="12"/>
  <c r="G48" i="12"/>
  <c r="G49" i="12"/>
  <c r="G29" i="13"/>
  <c r="E32" i="11"/>
  <c r="E42" i="10"/>
  <c r="G20" i="12"/>
  <c r="E62" i="11"/>
  <c r="E72" i="10"/>
  <c r="G18" i="12"/>
  <c r="G71" i="12"/>
  <c r="E33" i="11"/>
  <c r="E43" i="10"/>
  <c r="W15" i="12"/>
  <c r="U32" i="11"/>
  <c r="U42" i="10"/>
  <c r="U38" i="11"/>
  <c r="U26" i="11"/>
  <c r="U48" i="10"/>
  <c r="U36" i="10"/>
  <c r="W12" i="12"/>
  <c r="W53" i="12"/>
  <c r="W87" i="12"/>
  <c r="U33" i="11"/>
  <c r="U43" i="10"/>
  <c r="W20" i="12"/>
  <c r="W16" i="12"/>
  <c r="U62" i="11"/>
  <c r="U72" i="10"/>
  <c r="W11" i="13"/>
  <c r="W32" i="12"/>
  <c r="W13" i="12"/>
  <c r="U25" i="11"/>
  <c r="U35" i="10"/>
  <c r="W40" i="12"/>
  <c r="W9" i="12"/>
  <c r="W33" i="12"/>
  <c r="W72" i="12"/>
  <c r="W22" i="12"/>
  <c r="W18" i="12"/>
  <c r="W82" i="12"/>
  <c r="W42" i="12"/>
  <c r="L63" i="10"/>
  <c r="L67" i="10"/>
  <c r="L66" i="10"/>
  <c r="L39" i="4"/>
  <c r="L69" i="10"/>
  <c r="L13" i="2"/>
  <c r="L68" i="10"/>
  <c r="L21" i="2"/>
  <c r="Y66" i="10"/>
  <c r="Y39" i="4"/>
  <c r="Y13" i="2"/>
  <c r="Y68" i="10"/>
  <c r="Y63" i="10"/>
  <c r="Y69" i="10"/>
  <c r="Y21" i="2"/>
  <c r="Y67" i="10"/>
  <c r="D15" i="12"/>
  <c r="D48" i="12"/>
  <c r="D46" i="12"/>
  <c r="D16" i="12"/>
  <c r="D41" i="12"/>
  <c r="D51" i="12"/>
  <c r="D12" i="12"/>
  <c r="D80" i="12"/>
  <c r="D24" i="12"/>
  <c r="D87" i="12"/>
  <c r="D13" i="12"/>
  <c r="D68" i="12"/>
  <c r="D8" i="12"/>
  <c r="D20" i="12"/>
  <c r="D9" i="12"/>
  <c r="D65" i="12"/>
  <c r="D32" i="12"/>
  <c r="D42" i="12"/>
  <c r="D22" i="12"/>
  <c r="D25" i="12"/>
  <c r="D49" i="12"/>
  <c r="D64" i="12"/>
  <c r="R67" i="10"/>
  <c r="R69" i="10"/>
  <c r="R63" i="10"/>
  <c r="R21" i="2"/>
  <c r="R68" i="10"/>
  <c r="R66" i="10"/>
  <c r="R39" i="4"/>
  <c r="R13" i="2"/>
  <c r="N79" i="12"/>
  <c r="N10" i="12"/>
  <c r="L37" i="11"/>
  <c r="L47" i="10"/>
  <c r="N14" i="12"/>
  <c r="L33" i="11"/>
  <c r="L43" i="10"/>
  <c r="N66" i="12"/>
  <c r="N19" i="12"/>
  <c r="N77" i="12"/>
  <c r="N35" i="12"/>
  <c r="N23" i="12"/>
  <c r="N20" i="12"/>
  <c r="L32" i="11"/>
  <c r="L42" i="10"/>
  <c r="N17" i="12"/>
  <c r="N64" i="12"/>
  <c r="L61" i="11"/>
  <c r="L71" i="10"/>
  <c r="N48" i="12"/>
  <c r="N50" i="12"/>
  <c r="N17" i="13"/>
  <c r="N55" i="12"/>
  <c r="N47" i="12"/>
  <c r="N95" i="12"/>
  <c r="N34" i="12"/>
  <c r="I56" i="12"/>
  <c r="I24" i="12"/>
  <c r="G32" i="11"/>
  <c r="G42" i="10"/>
  <c r="G25" i="11"/>
  <c r="G35" i="10"/>
  <c r="G37" i="11"/>
  <c r="G47" i="10"/>
  <c r="I29" i="13"/>
  <c r="I75" i="12"/>
  <c r="I27" i="13"/>
  <c r="I35" i="12"/>
  <c r="I47" i="12"/>
  <c r="I51" i="12"/>
  <c r="I37" i="12"/>
  <c r="I40" i="12"/>
  <c r="I49" i="12"/>
  <c r="I12" i="12"/>
  <c r="I48" i="12"/>
  <c r="I8" i="12"/>
  <c r="I18" i="12"/>
  <c r="I20" i="12"/>
  <c r="I15" i="12"/>
  <c r="I17" i="12"/>
  <c r="I63" i="12"/>
  <c r="P67" i="10"/>
  <c r="P69" i="10"/>
  <c r="P63" i="10"/>
  <c r="P68" i="10"/>
  <c r="P66" i="10"/>
  <c r="P39" i="4"/>
  <c r="P13" i="2"/>
  <c r="P21" i="2"/>
  <c r="X25" i="11"/>
  <c r="X35" i="10"/>
  <c r="Z32" i="12"/>
  <c r="Z82" i="12"/>
  <c r="Z42" i="12"/>
  <c r="Z53" i="12"/>
  <c r="Z22" i="12"/>
  <c r="Z37" i="12"/>
  <c r="Z40" i="12"/>
  <c r="Z18" i="12"/>
  <c r="X61" i="11"/>
  <c r="X71" i="10"/>
  <c r="Z54" i="12"/>
  <c r="Z15" i="12"/>
  <c r="Z24" i="12"/>
  <c r="X32" i="11"/>
  <c r="X42" i="10"/>
  <c r="Z20" i="12"/>
  <c r="Z43" i="12"/>
  <c r="Z41" i="12"/>
  <c r="X37" i="11"/>
  <c r="X47" i="10"/>
  <c r="Z9" i="12"/>
  <c r="Z15" i="13"/>
  <c r="Z8" i="12"/>
  <c r="Z52" i="12"/>
  <c r="S72" i="12"/>
  <c r="S62" i="12"/>
  <c r="S13" i="12"/>
  <c r="S97" i="12"/>
  <c r="S19" i="12"/>
  <c r="S88" i="12"/>
  <c r="S16" i="12"/>
  <c r="S46" i="12"/>
  <c r="S83" i="12"/>
  <c r="Q63" i="11"/>
  <c r="Q73" i="10"/>
  <c r="S34" i="12"/>
  <c r="S96" i="12"/>
  <c r="S23" i="12"/>
  <c r="S25" i="12"/>
  <c r="S51" i="12"/>
  <c r="S44" i="12"/>
  <c r="Q33" i="11"/>
  <c r="Q43" i="10"/>
  <c r="Q38" i="11"/>
  <c r="Q26" i="11"/>
  <c r="Q48" i="10"/>
  <c r="Q36" i="10"/>
  <c r="S42" i="12"/>
  <c r="Q24" i="10"/>
  <c r="S33" i="12"/>
  <c r="S52" i="12"/>
  <c r="S38" i="11"/>
  <c r="S26" i="11"/>
  <c r="S48" i="10"/>
  <c r="S36" i="10"/>
  <c r="U56" i="12"/>
  <c r="U68" i="12"/>
  <c r="U97" i="12"/>
  <c r="U16" i="12"/>
  <c r="S62" i="11"/>
  <c r="S72" i="10"/>
  <c r="U76" i="12"/>
  <c r="S33" i="11"/>
  <c r="S43" i="10"/>
  <c r="S63" i="11"/>
  <c r="S73" i="10"/>
  <c r="S24" i="10"/>
  <c r="U80" i="12"/>
  <c r="U42" i="12"/>
  <c r="U33" i="12"/>
  <c r="U32" i="12"/>
  <c r="U105" i="12"/>
  <c r="U19" i="12"/>
  <c r="U18" i="12"/>
  <c r="U22" i="12"/>
  <c r="U25" i="12"/>
  <c r="U44" i="12"/>
  <c r="S32" i="11"/>
  <c r="S42" i="10"/>
  <c r="U13" i="12"/>
  <c r="L17" i="12"/>
  <c r="L77" i="12"/>
  <c r="L52" i="12"/>
  <c r="L20" i="12"/>
  <c r="L56" i="12"/>
  <c r="L37" i="12"/>
  <c r="L8" i="12"/>
  <c r="L50" i="12"/>
  <c r="L14" i="12"/>
  <c r="I24" i="9"/>
  <c r="L49" i="12"/>
  <c r="L45" i="12"/>
  <c r="L34" i="12"/>
  <c r="L24" i="12"/>
  <c r="L75" i="12"/>
  <c r="L51" i="12"/>
  <c r="L12" i="12"/>
  <c r="J61" i="11"/>
  <c r="J71" i="10"/>
  <c r="L66" i="12"/>
  <c r="J32" i="11"/>
  <c r="J42" i="10"/>
  <c r="J25" i="11"/>
  <c r="J35" i="10"/>
  <c r="L35" i="12"/>
  <c r="F62" i="11"/>
  <c r="F72" i="10"/>
  <c r="F32" i="11"/>
  <c r="F42" i="10"/>
  <c r="F25" i="11"/>
  <c r="F35" i="10"/>
  <c r="H56" i="12"/>
  <c r="H12" i="12"/>
  <c r="H40" i="12"/>
  <c r="H27" i="13"/>
  <c r="H49" i="12"/>
  <c r="F63" i="11"/>
  <c r="F73" i="10"/>
  <c r="H37" i="12"/>
  <c r="H9" i="12"/>
  <c r="H18" i="12"/>
  <c r="H71" i="12"/>
  <c r="H8" i="12"/>
  <c r="H24" i="12"/>
  <c r="H20" i="12"/>
  <c r="H22" i="12"/>
  <c r="H54" i="12"/>
  <c r="H55" i="12"/>
  <c r="H63" i="12"/>
  <c r="F38" i="11"/>
  <c r="F26" i="11"/>
  <c r="F48" i="10"/>
  <c r="F36" i="10"/>
  <c r="F33" i="11"/>
  <c r="F43" i="10"/>
  <c r="R19" i="12"/>
  <c r="R70" i="12"/>
  <c r="R34" i="12"/>
  <c r="R44" i="12"/>
  <c r="R88" i="12"/>
  <c r="R46" i="12"/>
  <c r="P37" i="11"/>
  <c r="P47" i="10"/>
  <c r="R45" i="12"/>
  <c r="R17" i="12"/>
  <c r="R25" i="12"/>
  <c r="R23" i="12"/>
  <c r="R10" i="12"/>
  <c r="R16" i="12"/>
  <c r="R35" i="12"/>
  <c r="R47" i="12"/>
  <c r="R51" i="12"/>
  <c r="R43" i="12"/>
  <c r="R72" i="12"/>
  <c r="R14" i="12"/>
  <c r="R89" i="12"/>
  <c r="P61" i="11"/>
  <c r="P71" i="10"/>
  <c r="P63" i="11"/>
  <c r="P73" i="10"/>
  <c r="M69" i="10"/>
  <c r="M21" i="2"/>
  <c r="M67" i="10"/>
  <c r="M13" i="2"/>
  <c r="M66" i="10"/>
  <c r="M39" i="4"/>
  <c r="M68" i="10"/>
  <c r="M63" i="10"/>
  <c r="T53" i="12"/>
  <c r="R38" i="11"/>
  <c r="R26" i="11"/>
  <c r="R48" i="10"/>
  <c r="R36" i="10"/>
  <c r="T44" i="12"/>
  <c r="T45" i="12"/>
  <c r="T15" i="14"/>
  <c r="T33" i="12"/>
  <c r="T47" i="12"/>
  <c r="R33" i="11"/>
  <c r="R43" i="10"/>
  <c r="T34" i="12"/>
  <c r="T64" i="12"/>
  <c r="T43" i="12"/>
  <c r="T89" i="12"/>
  <c r="T105" i="12"/>
  <c r="T66" i="12"/>
  <c r="T25" i="12"/>
  <c r="T16" i="12"/>
  <c r="T46" i="12"/>
  <c r="T10" i="12"/>
  <c r="T40" i="13"/>
  <c r="R31" i="10"/>
  <c r="T51" i="12"/>
  <c r="T23" i="12"/>
  <c r="T13" i="12"/>
  <c r="V67" i="10"/>
  <c r="V68" i="10"/>
  <c r="V69" i="10"/>
  <c r="V13" i="2"/>
  <c r="V66" i="10"/>
  <c r="V39" i="4"/>
  <c r="V63" i="10"/>
  <c r="V21" i="2"/>
  <c r="P64" i="12"/>
  <c r="P52" i="12"/>
  <c r="P70" i="12"/>
  <c r="N38" i="11"/>
  <c r="N26" i="11"/>
  <c r="N48" i="10"/>
  <c r="N36" i="10"/>
  <c r="P45" i="12"/>
  <c r="P83" i="12"/>
  <c r="P68" i="12"/>
  <c r="N25" i="11"/>
  <c r="N35" i="10"/>
  <c r="P33" i="12"/>
  <c r="P46" i="12"/>
  <c r="N63" i="11"/>
  <c r="N73" i="10"/>
  <c r="N37" i="11"/>
  <c r="N47" i="10"/>
  <c r="P34" i="12"/>
  <c r="P19" i="12"/>
  <c r="N33" i="11"/>
  <c r="N43" i="10"/>
  <c r="P16" i="12"/>
  <c r="P48" i="12"/>
  <c r="N61" i="11"/>
  <c r="N71" i="10"/>
  <c r="P47" i="12"/>
  <c r="P14" i="12"/>
  <c r="P17" i="12"/>
  <c r="P10" i="12"/>
  <c r="M25" i="11"/>
  <c r="M35" i="10"/>
  <c r="O96" i="12"/>
  <c r="O17" i="12"/>
  <c r="M62" i="11"/>
  <c r="M72" i="10"/>
  <c r="O8" i="12"/>
  <c r="O10" i="12"/>
  <c r="O19" i="12"/>
  <c r="O66" i="12"/>
  <c r="O14" i="12"/>
  <c r="O45" i="12"/>
  <c r="O17" i="13"/>
  <c r="M38" i="11"/>
  <c r="M26" i="11"/>
  <c r="M48" i="10"/>
  <c r="M36" i="10"/>
  <c r="M37" i="11"/>
  <c r="M47" i="10"/>
  <c r="O55" i="12"/>
  <c r="O23" i="12"/>
  <c r="O35" i="12"/>
  <c r="O46" i="12"/>
  <c r="O95" i="12"/>
  <c r="O48" i="12"/>
  <c r="O68" i="12"/>
  <c r="M33" i="11"/>
  <c r="M43" i="10"/>
  <c r="O50" i="12"/>
  <c r="H25" i="11"/>
  <c r="H35" i="10"/>
  <c r="J77" i="12"/>
  <c r="H32" i="11"/>
  <c r="H42" i="10"/>
  <c r="H37" i="11"/>
  <c r="H47" i="10"/>
  <c r="J15" i="12"/>
  <c r="J84" i="12"/>
  <c r="J17" i="12"/>
  <c r="J63" i="12"/>
  <c r="J40" i="12"/>
  <c r="J51" i="12"/>
  <c r="J24" i="12"/>
  <c r="J14" i="12"/>
  <c r="J20" i="12"/>
  <c r="J37" i="13"/>
  <c r="H28" i="10"/>
  <c r="J47" i="12"/>
  <c r="J35" i="12"/>
  <c r="H62" i="11"/>
  <c r="H72" i="10"/>
  <c r="J75" i="12"/>
  <c r="J8" i="12"/>
  <c r="H61" i="11"/>
  <c r="H71" i="10"/>
  <c r="J18" i="12"/>
  <c r="J37" i="12"/>
  <c r="AA54" i="12"/>
  <c r="AA42" i="12"/>
  <c r="AA52" i="12"/>
  <c r="AA77" i="12"/>
  <c r="Y61" i="11"/>
  <c r="Y71" i="10"/>
  <c r="Y32" i="11"/>
  <c r="Y42" i="10"/>
  <c r="AA43" i="12"/>
  <c r="AA24" i="12"/>
  <c r="Y38" i="11"/>
  <c r="Y26" i="11"/>
  <c r="Y48" i="10"/>
  <c r="Y36" i="10"/>
  <c r="AA18" i="12"/>
  <c r="AA22" i="12"/>
  <c r="Y62" i="11"/>
  <c r="Y72" i="10"/>
  <c r="AA8" i="12"/>
  <c r="AA13" i="12"/>
  <c r="Y37" i="11"/>
  <c r="Y47" i="10"/>
  <c r="Y25" i="11"/>
  <c r="Y35" i="10"/>
  <c r="AA12" i="12"/>
  <c r="AA17" i="12"/>
  <c r="AA33" i="12"/>
  <c r="AA9" i="12"/>
  <c r="AA49" i="12"/>
  <c r="AA15" i="12"/>
  <c r="T68" i="10"/>
  <c r="T66" i="10"/>
  <c r="T39" i="4"/>
  <c r="T69" i="10"/>
  <c r="T21" i="2"/>
  <c r="T13" i="2"/>
  <c r="T67" i="10"/>
  <c r="T63" i="10"/>
  <c r="F66" i="10"/>
  <c r="F39" i="4"/>
  <c r="F63" i="10"/>
  <c r="F13" i="2"/>
  <c r="F21" i="2"/>
  <c r="F67" i="10"/>
  <c r="F69" i="10"/>
  <c r="F68" i="10"/>
  <c r="I62" i="11"/>
  <c r="I72" i="10"/>
  <c r="K17" i="12"/>
  <c r="K77" i="12"/>
  <c r="I37" i="11"/>
  <c r="I47" i="10"/>
  <c r="K84" i="12"/>
  <c r="I32" i="11"/>
  <c r="I42" i="10"/>
  <c r="I61" i="11"/>
  <c r="I71" i="10"/>
  <c r="K50" i="12"/>
  <c r="K14" i="12"/>
  <c r="K46" i="12"/>
  <c r="K47" i="12"/>
  <c r="K52" i="12"/>
  <c r="I25" i="11"/>
  <c r="I35" i="10"/>
  <c r="K49" i="12"/>
  <c r="K24" i="12"/>
  <c r="K48" i="12"/>
  <c r="K15" i="12"/>
  <c r="I38" i="11"/>
  <c r="I26" i="11"/>
  <c r="I48" i="10"/>
  <c r="I36" i="10"/>
  <c r="K75" i="12"/>
  <c r="K35" i="12"/>
  <c r="K8" i="12"/>
  <c r="K12" i="12"/>
  <c r="C62" i="11"/>
  <c r="C72" i="10"/>
  <c r="E37" i="12"/>
  <c r="E24" i="12"/>
  <c r="C24" i="10"/>
  <c r="E15" i="12"/>
  <c r="E16" i="12"/>
  <c r="E25" i="12"/>
  <c r="E78" i="12"/>
  <c r="C38" i="11"/>
  <c r="C26" i="11"/>
  <c r="C48" i="10"/>
  <c r="C36" i="10"/>
  <c r="E40" i="12"/>
  <c r="E50" i="12"/>
  <c r="E55" i="12"/>
  <c r="E18" i="12"/>
  <c r="C32" i="11"/>
  <c r="C42" i="10"/>
  <c r="E32" i="12"/>
  <c r="E65" i="12"/>
  <c r="C33" i="11"/>
  <c r="C43" i="10"/>
  <c r="E13" i="12"/>
  <c r="E80" i="12"/>
  <c r="E42" i="12"/>
  <c r="C63" i="11"/>
  <c r="C73" i="10"/>
  <c r="E22" i="12"/>
  <c r="K63" i="10"/>
  <c r="K13" i="2"/>
  <c r="K67" i="10"/>
  <c r="K66" i="10"/>
  <c r="K39" i="4"/>
  <c r="K68" i="10"/>
  <c r="K21" i="2"/>
  <c r="K69" i="10"/>
  <c r="D21" i="2"/>
  <c r="D63" i="10"/>
  <c r="D69" i="10"/>
  <c r="D66" i="10"/>
  <c r="D39" i="4"/>
  <c r="D67" i="10"/>
  <c r="D13" i="2"/>
  <c r="D68" i="10"/>
  <c r="V62" i="12"/>
  <c r="V22" i="12"/>
  <c r="V80" i="12"/>
  <c r="V32" i="12"/>
  <c r="T25" i="11"/>
  <c r="T35" i="10"/>
  <c r="V41" i="12"/>
  <c r="V9" i="12"/>
  <c r="T32" i="11"/>
  <c r="T42" i="10"/>
  <c r="V44" i="12"/>
  <c r="V19" i="12"/>
  <c r="V56" i="12"/>
  <c r="T38" i="11"/>
  <c r="T26" i="11"/>
  <c r="T48" i="10"/>
  <c r="T36" i="10"/>
  <c r="V70" i="12"/>
  <c r="T62" i="11"/>
  <c r="T72" i="10"/>
  <c r="V25" i="12"/>
  <c r="V42" i="12"/>
  <c r="V43" i="12"/>
  <c r="T61" i="11"/>
  <c r="T71" i="10"/>
  <c r="V45" i="12"/>
  <c r="V13" i="12"/>
  <c r="V18" i="12"/>
  <c r="T63" i="11"/>
  <c r="T73" i="10"/>
  <c r="N67" i="10"/>
  <c r="N63" i="10"/>
  <c r="N13" i="2"/>
  <c r="N21" i="2"/>
  <c r="N68" i="10"/>
  <c r="N66" i="10"/>
  <c r="N39" i="4"/>
  <c r="N69" i="10"/>
  <c r="Y33" i="12"/>
  <c r="Y40" i="12"/>
  <c r="Y24" i="12"/>
  <c r="Y52" i="12"/>
  <c r="Y16" i="12"/>
  <c r="Y18" i="12"/>
  <c r="W33" i="11"/>
  <c r="W43" i="10"/>
  <c r="W62" i="11"/>
  <c r="W72" i="10"/>
  <c r="Y13" i="12"/>
  <c r="W38" i="11"/>
  <c r="W26" i="11"/>
  <c r="W48" i="10"/>
  <c r="W36" i="10"/>
  <c r="W37" i="11"/>
  <c r="W47" i="10"/>
  <c r="Y87" i="12"/>
  <c r="W25" i="11"/>
  <c r="W35" i="10"/>
  <c r="W32" i="11"/>
  <c r="W42" i="10"/>
  <c r="Y25" i="12"/>
  <c r="Y54" i="12"/>
  <c r="Y20" i="12"/>
  <c r="Y15" i="12"/>
  <c r="Y32" i="12"/>
  <c r="Y9" i="12"/>
  <c r="Y67" i="12"/>
  <c r="Y12" i="12"/>
  <c r="U69" i="10"/>
  <c r="U66" i="10"/>
  <c r="U39" i="4"/>
  <c r="U21" i="2"/>
  <c r="U68" i="10"/>
  <c r="U63" i="10"/>
  <c r="U67" i="10"/>
  <c r="U13" i="2"/>
  <c r="Q62" i="11"/>
  <c r="Q72" i="10"/>
  <c r="S91" i="12"/>
  <c r="S49" i="12"/>
  <c r="S55" i="12"/>
  <c r="S66" i="12"/>
  <c r="S95" i="12"/>
  <c r="S81" i="12"/>
  <c r="S10" i="12"/>
  <c r="Q37" i="11"/>
  <c r="Q47" i="10"/>
  <c r="S68" i="12"/>
  <c r="S14" i="13"/>
  <c r="S70" i="12"/>
  <c r="S27" i="13"/>
  <c r="S64" i="12"/>
  <c r="S14" i="12"/>
  <c r="S84" i="12"/>
  <c r="S12" i="12"/>
  <c r="S65" i="12"/>
  <c r="S35" i="12"/>
  <c r="S34" i="13"/>
  <c r="Q25" i="10"/>
  <c r="S48" i="12"/>
  <c r="S37" i="13"/>
  <c r="Q28" i="10"/>
  <c r="R57" i="13"/>
  <c r="R50" i="12"/>
  <c r="R90" i="12"/>
  <c r="R48" i="12"/>
  <c r="R17" i="13"/>
  <c r="R42" i="12"/>
  <c r="R93" i="12"/>
  <c r="R68" i="12"/>
  <c r="R22" i="12"/>
  <c r="R81" i="12"/>
  <c r="R83" i="12"/>
  <c r="R91" i="12"/>
  <c r="R49" i="13"/>
  <c r="R78" i="12"/>
  <c r="R95" i="12"/>
  <c r="R25" i="13"/>
  <c r="R29" i="13"/>
  <c r="R66" i="12"/>
  <c r="R41" i="13"/>
  <c r="P32" i="10"/>
  <c r="R105" i="12"/>
  <c r="R64" i="12"/>
  <c r="R97" i="12"/>
  <c r="G69" i="10"/>
  <c r="G13" i="2"/>
  <c r="G63" i="10"/>
  <c r="G66" i="10"/>
  <c r="G39" i="4"/>
  <c r="G67" i="10"/>
  <c r="G68" i="10"/>
  <c r="G21" i="2"/>
  <c r="W63" i="10"/>
  <c r="W67" i="10"/>
  <c r="W21" i="2"/>
  <c r="W66" i="10"/>
  <c r="W39" i="4"/>
  <c r="W68" i="10"/>
  <c r="W13" i="2"/>
  <c r="W69" i="10"/>
  <c r="C49" i="12"/>
  <c r="C41" i="12"/>
  <c r="C33" i="12"/>
  <c r="C23" i="12"/>
  <c r="C13" i="12"/>
  <c r="C8" i="13"/>
  <c r="C25" i="12"/>
  <c r="C78" i="12"/>
  <c r="C29" i="13"/>
  <c r="C19" i="12"/>
  <c r="C13" i="13"/>
  <c r="C42" i="12"/>
  <c r="C65" i="12"/>
  <c r="C12" i="13"/>
  <c r="C9" i="12"/>
  <c r="C12" i="12"/>
  <c r="C67" i="12"/>
  <c r="C44" i="12"/>
  <c r="C80" i="12"/>
  <c r="C32" i="12"/>
  <c r="C53" i="12"/>
  <c r="C16" i="12"/>
  <c r="I12" i="13"/>
  <c r="I25" i="13"/>
  <c r="I43" i="12"/>
  <c r="I24" i="13"/>
  <c r="I32" i="12"/>
  <c r="I65" i="12"/>
  <c r="I8" i="13"/>
  <c r="I85" i="12"/>
  <c r="G38" i="11"/>
  <c r="G26" i="11"/>
  <c r="G48" i="10"/>
  <c r="G36" i="10"/>
  <c r="I77" i="12"/>
  <c r="I101" i="12"/>
  <c r="I34" i="13"/>
  <c r="G25" i="10"/>
  <c r="I71" i="12"/>
  <c r="I23" i="12"/>
  <c r="I80" i="12"/>
  <c r="G33" i="11"/>
  <c r="G43" i="10"/>
  <c r="I9" i="12"/>
  <c r="I82" i="12"/>
  <c r="I54" i="12"/>
  <c r="I86" i="12"/>
  <c r="I93" i="12"/>
  <c r="I54" i="13"/>
  <c r="E68" i="10"/>
  <c r="E69" i="10"/>
  <c r="E63" i="10"/>
  <c r="E66" i="10"/>
  <c r="E39" i="4"/>
  <c r="E13" i="2"/>
  <c r="E67" i="10"/>
  <c r="E21" i="2"/>
  <c r="O25" i="11"/>
  <c r="O35" i="10"/>
  <c r="O61" i="11"/>
  <c r="O71" i="10"/>
  <c r="Q48" i="12"/>
  <c r="Q32" i="12"/>
  <c r="Q88" i="12"/>
  <c r="Q51" i="12"/>
  <c r="Q35" i="12"/>
  <c r="Q84" i="12"/>
  <c r="Q55" i="12"/>
  <c r="Q81" i="12"/>
  <c r="Q14" i="12"/>
  <c r="Q27" i="13"/>
  <c r="Q50" i="13"/>
  <c r="Q17" i="13"/>
  <c r="Q40" i="13"/>
  <c r="O31" i="10"/>
  <c r="Q76" i="12"/>
  <c r="Q8" i="12"/>
  <c r="Q75" i="12"/>
  <c r="Q93" i="12"/>
  <c r="Q7" i="17"/>
  <c r="Q17" i="12"/>
  <c r="Q90" i="12"/>
  <c r="X41" i="13"/>
  <c r="V32" i="10"/>
  <c r="X78" i="12"/>
  <c r="X15" i="12"/>
  <c r="V33" i="11"/>
  <c r="V43" i="10"/>
  <c r="X56" i="12"/>
  <c r="X13" i="12"/>
  <c r="X16" i="12"/>
  <c r="V63" i="11"/>
  <c r="V73" i="10"/>
  <c r="X45" i="12"/>
  <c r="X89" i="12"/>
  <c r="X44" i="12"/>
  <c r="X18" i="13"/>
  <c r="X25" i="13"/>
  <c r="X76" i="12"/>
  <c r="X87" i="12"/>
  <c r="X33" i="12"/>
  <c r="X52" i="12"/>
  <c r="X10" i="13"/>
  <c r="X80" i="12"/>
  <c r="X105" i="12"/>
  <c r="X15" i="13"/>
  <c r="X98" i="12"/>
  <c r="O15" i="12"/>
  <c r="O52" i="12"/>
  <c r="O72" i="12"/>
  <c r="O101" i="12"/>
  <c r="O33" i="12"/>
  <c r="O16" i="12"/>
  <c r="O41" i="13"/>
  <c r="M32" i="10"/>
  <c r="O92" i="12"/>
  <c r="O46" i="13"/>
  <c r="M27" i="11"/>
  <c r="M37" i="10"/>
  <c r="O81" i="12"/>
  <c r="O20" i="12"/>
  <c r="O12" i="12"/>
  <c r="O90" i="12"/>
  <c r="O37" i="12"/>
  <c r="M32" i="11"/>
  <c r="M42" i="10"/>
  <c r="O34" i="12"/>
  <c r="O8" i="13"/>
  <c r="O83" i="12"/>
  <c r="O77" i="12"/>
  <c r="O53" i="12"/>
  <c r="O84" i="12"/>
  <c r="O38" i="13"/>
  <c r="M29" i="10"/>
  <c r="L101" i="12"/>
  <c r="L10" i="12"/>
  <c r="L40" i="12"/>
  <c r="L95" i="12"/>
  <c r="L13" i="13"/>
  <c r="L47" i="12"/>
  <c r="L85" i="12"/>
  <c r="L81" i="12"/>
  <c r="J63" i="11"/>
  <c r="J73" i="10"/>
  <c r="L64" i="12"/>
  <c r="L14" i="13"/>
  <c r="J62" i="11"/>
  <c r="J72" i="10"/>
  <c r="J38" i="11"/>
  <c r="J26" i="11"/>
  <c r="J48" i="10"/>
  <c r="J36" i="10"/>
  <c r="L54" i="12"/>
  <c r="L63" i="12"/>
  <c r="L71" i="12"/>
  <c r="L15" i="12"/>
  <c r="L68" i="12"/>
  <c r="L27" i="13"/>
  <c r="L9" i="12"/>
  <c r="L17" i="13"/>
  <c r="L48" i="12"/>
  <c r="T62" i="12"/>
  <c r="T95" i="12"/>
  <c r="R62" i="11"/>
  <c r="R72" i="10"/>
  <c r="T80" i="12"/>
  <c r="T49" i="12"/>
  <c r="T91" i="12"/>
  <c r="T83" i="12"/>
  <c r="T14" i="12"/>
  <c r="T90" i="12"/>
  <c r="R37" i="11"/>
  <c r="R47" i="10"/>
  <c r="T37" i="13"/>
  <c r="R28" i="10"/>
  <c r="T19" i="12"/>
  <c r="T50" i="13"/>
  <c r="T72" i="12"/>
  <c r="T87" i="12"/>
  <c r="T70" i="12"/>
  <c r="T88" i="12"/>
  <c r="T67" i="12"/>
  <c r="T56" i="12"/>
  <c r="T29" i="13"/>
  <c r="T40" i="12"/>
  <c r="T23" i="13"/>
  <c r="Y46" i="13"/>
  <c r="W27" i="11"/>
  <c r="W37" i="10"/>
  <c r="Y76" i="12"/>
  <c r="Y43" i="12"/>
  <c r="Y53" i="13"/>
  <c r="Y89" i="12"/>
  <c r="Y25" i="13"/>
  <c r="Y96" i="12"/>
  <c r="Y18" i="13"/>
  <c r="Y98" i="12"/>
  <c r="Y23" i="12"/>
  <c r="Y90" i="12"/>
  <c r="Y78" i="12"/>
  <c r="Y44" i="12"/>
  <c r="Y80" i="12"/>
  <c r="Y22" i="12"/>
  <c r="Y45" i="12"/>
  <c r="Y14" i="13"/>
  <c r="Y75" i="12"/>
  <c r="Y105" i="12"/>
  <c r="Y42" i="12"/>
  <c r="Y56" i="12"/>
  <c r="Y82" i="12"/>
  <c r="U54" i="13"/>
  <c r="U96" i="12"/>
  <c r="U72" i="12"/>
  <c r="U11" i="13"/>
  <c r="U95" i="12"/>
  <c r="U51" i="12"/>
  <c r="U10" i="17"/>
  <c r="U63" i="12"/>
  <c r="U91" i="12"/>
  <c r="S61" i="11"/>
  <c r="S71" i="10"/>
  <c r="U47" i="12"/>
  <c r="U83" i="12"/>
  <c r="U34" i="12"/>
  <c r="U9" i="12"/>
  <c r="U23" i="12"/>
  <c r="U34" i="13"/>
  <c r="S25" i="10"/>
  <c r="U89" i="12"/>
  <c r="U94" i="12"/>
  <c r="U90" i="12"/>
  <c r="U10" i="13"/>
  <c r="U53" i="12"/>
  <c r="U10" i="12"/>
  <c r="D89" i="12"/>
  <c r="D98" i="12"/>
  <c r="D18" i="12"/>
  <c r="D40" i="12"/>
  <c r="D70" i="12"/>
  <c r="D41" i="13"/>
  <c r="D37" i="12"/>
  <c r="D33" i="12"/>
  <c r="D24" i="13"/>
  <c r="D67" i="12"/>
  <c r="D62" i="12"/>
  <c r="D43" i="12"/>
  <c r="D55" i="12"/>
  <c r="D72" i="12"/>
  <c r="D46" i="13"/>
  <c r="D69" i="12"/>
  <c r="D10" i="12"/>
  <c r="D56" i="12"/>
  <c r="D99" i="12"/>
  <c r="D82" i="12"/>
  <c r="D83" i="12"/>
  <c r="D19" i="12"/>
  <c r="H78" i="12"/>
  <c r="H33" i="12"/>
  <c r="H87" i="12"/>
  <c r="H14" i="12"/>
  <c r="H13" i="12"/>
  <c r="H86" i="12"/>
  <c r="H65" i="12"/>
  <c r="H15" i="12"/>
  <c r="H51" i="12"/>
  <c r="H41" i="12"/>
  <c r="H25" i="12"/>
  <c r="H84" i="12"/>
  <c r="H99" i="12"/>
  <c r="H75" i="12"/>
  <c r="H76" i="12"/>
  <c r="H98" i="12"/>
  <c r="H69" i="12"/>
  <c r="H85" i="12"/>
  <c r="H37" i="13"/>
  <c r="F28" i="10"/>
  <c r="H32" i="12"/>
  <c r="H52" i="12"/>
  <c r="H80" i="12"/>
  <c r="Z105" i="12"/>
  <c r="Z80" i="12"/>
  <c r="Z33" i="12"/>
  <c r="Z87" i="12"/>
  <c r="Z97" i="12"/>
  <c r="Z25" i="12"/>
  <c r="Z29" i="13"/>
  <c r="Z49" i="12"/>
  <c r="Z65" i="12"/>
  <c r="Z98" i="12"/>
  <c r="Z99" i="12"/>
  <c r="Z77" i="12"/>
  <c r="Z14" i="13"/>
  <c r="Z50" i="12"/>
  <c r="Z56" i="12"/>
  <c r="Z96" i="12"/>
  <c r="Z13" i="12"/>
  <c r="Z67" i="12"/>
  <c r="Z75" i="12"/>
  <c r="X38" i="11"/>
  <c r="X26" i="11"/>
  <c r="X48" i="10"/>
  <c r="X36" i="10"/>
  <c r="Z12" i="12"/>
  <c r="Z78" i="12"/>
  <c r="V16" i="12"/>
  <c r="V18" i="13"/>
  <c r="V97" i="12"/>
  <c r="V86" i="12"/>
  <c r="V17" i="12"/>
  <c r="V96" i="12"/>
  <c r="V72" i="12"/>
  <c r="V17" i="13"/>
  <c r="V63" i="12"/>
  <c r="V46" i="12"/>
  <c r="V82" i="12"/>
  <c r="V89" i="12"/>
  <c r="V53" i="12"/>
  <c r="V54" i="12"/>
  <c r="V69" i="12"/>
  <c r="V10" i="12"/>
  <c r="V34" i="12"/>
  <c r="V25" i="13"/>
  <c r="V15" i="14"/>
  <c r="V88" i="12"/>
  <c r="V35" i="12"/>
  <c r="V47" i="12"/>
  <c r="W89" i="12"/>
  <c r="W80" i="12"/>
  <c r="W19" i="12"/>
  <c r="W98" i="12"/>
  <c r="W94" i="12"/>
  <c r="W45" i="12"/>
  <c r="W44" i="12"/>
  <c r="W51" i="12"/>
  <c r="W88" i="12"/>
  <c r="W10" i="13"/>
  <c r="U63" i="11"/>
  <c r="U73" i="10"/>
  <c r="W54" i="13"/>
  <c r="W25" i="12"/>
  <c r="W92" i="12"/>
  <c r="W27" i="13"/>
  <c r="W76" i="12"/>
  <c r="W71" i="12"/>
  <c r="W14" i="13"/>
  <c r="W56" i="12"/>
  <c r="W34" i="12"/>
  <c r="W95" i="12"/>
  <c r="W24" i="12"/>
  <c r="J85" i="12"/>
  <c r="J13" i="12"/>
  <c r="J71" i="12"/>
  <c r="J22" i="12"/>
  <c r="J99" i="12"/>
  <c r="J49" i="12"/>
  <c r="J9" i="12"/>
  <c r="J67" i="12"/>
  <c r="J29" i="13"/>
  <c r="J56" i="12"/>
  <c r="J8" i="13"/>
  <c r="J69" i="12"/>
  <c r="J82" i="12"/>
  <c r="J13" i="13"/>
  <c r="J50" i="12"/>
  <c r="J65" i="12"/>
  <c r="J79" i="12"/>
  <c r="J12" i="12"/>
  <c r="J54" i="12"/>
  <c r="H38" i="11"/>
  <c r="H26" i="11"/>
  <c r="H48" i="10"/>
  <c r="H36" i="10"/>
  <c r="J22" i="14"/>
  <c r="J80" i="12"/>
  <c r="N94" i="12"/>
  <c r="N12" i="12"/>
  <c r="N49" i="12"/>
  <c r="N37" i="12"/>
  <c r="N70" i="12"/>
  <c r="N90" i="12"/>
  <c r="N101" i="12"/>
  <c r="N46" i="12"/>
  <c r="N96" i="12"/>
  <c r="N24" i="12"/>
  <c r="N85" i="12"/>
  <c r="N9" i="13"/>
  <c r="N8" i="12"/>
  <c r="L62" i="11"/>
  <c r="L72" i="10"/>
  <c r="N10" i="13"/>
  <c r="N89" i="12"/>
  <c r="N62" i="12"/>
  <c r="N75" i="12"/>
  <c r="N92" i="12"/>
  <c r="N52" i="12"/>
  <c r="N45" i="12"/>
  <c r="N25" i="12"/>
  <c r="F42" i="12"/>
  <c r="F78" i="12"/>
  <c r="F34" i="12"/>
  <c r="F41" i="12"/>
  <c r="F85" i="12"/>
  <c r="F16" i="12"/>
  <c r="F87" i="12"/>
  <c r="F50" i="13"/>
  <c r="D63" i="11"/>
  <c r="D73" i="10"/>
  <c r="F35" i="12"/>
  <c r="F54" i="12"/>
  <c r="F12" i="13"/>
  <c r="F53" i="12"/>
  <c r="F17" i="12"/>
  <c r="F67" i="12"/>
  <c r="F38" i="13"/>
  <c r="D29" i="10"/>
  <c r="F71" i="12"/>
  <c r="F25" i="12"/>
  <c r="F27" i="13"/>
  <c r="F69" i="12"/>
  <c r="F65" i="12"/>
  <c r="F35" i="13"/>
  <c r="D26" i="10"/>
  <c r="K40" i="12"/>
  <c r="K56" i="12"/>
  <c r="K53" i="13"/>
  <c r="K12" i="13"/>
  <c r="K10" i="17"/>
  <c r="K47" i="13"/>
  <c r="I28" i="11"/>
  <c r="I38" i="10"/>
  <c r="K86" i="12"/>
  <c r="K24" i="13"/>
  <c r="K92" i="12"/>
  <c r="K18" i="12"/>
  <c r="K69" i="12"/>
  <c r="K91" i="12"/>
  <c r="K94" i="12"/>
  <c r="K22" i="14"/>
  <c r="K67" i="12"/>
  <c r="K66" i="12"/>
  <c r="K82" i="12"/>
  <c r="K20" i="12"/>
  <c r="K19" i="12"/>
  <c r="K41" i="12"/>
  <c r="K71" i="12"/>
  <c r="K63" i="12"/>
  <c r="AA82" i="12"/>
  <c r="AA105" i="12"/>
  <c r="AA85" i="12"/>
  <c r="AA86" i="12"/>
  <c r="AA90" i="12"/>
  <c r="AA19" i="12"/>
  <c r="AA78" i="12"/>
  <c r="AA88" i="12"/>
  <c r="AA56" i="12"/>
  <c r="AA23" i="13"/>
  <c r="AA46" i="13"/>
  <c r="Y27" i="11"/>
  <c r="Y37" i="10"/>
  <c r="AA67" i="12"/>
  <c r="AA80" i="12"/>
  <c r="AA65" i="12"/>
  <c r="AA69" i="12"/>
  <c r="AA41" i="12"/>
  <c r="AA63" i="12"/>
  <c r="AA96" i="12"/>
  <c r="AA20" i="12"/>
  <c r="AA40" i="12"/>
  <c r="AA10" i="13"/>
  <c r="AA87" i="12"/>
  <c r="Y62" i="13"/>
  <c r="Y63" i="13"/>
  <c r="E53" i="12"/>
  <c r="E89" i="12"/>
  <c r="Y31" i="12"/>
  <c r="Y100" i="12"/>
  <c r="E24" i="13"/>
  <c r="E46" i="12"/>
  <c r="Y58" i="12"/>
  <c r="E57" i="13"/>
  <c r="Y61" i="12"/>
  <c r="W20" i="7"/>
  <c r="W60" i="11"/>
  <c r="W70" i="10"/>
  <c r="E11" i="13"/>
  <c r="W15" i="7"/>
  <c r="W42" i="11"/>
  <c r="W52" i="10"/>
  <c r="Y28" i="12"/>
  <c r="E63" i="12"/>
  <c r="E33" i="12"/>
  <c r="Y57" i="12"/>
  <c r="Y68" i="13"/>
  <c r="Y74" i="12"/>
  <c r="E35" i="13"/>
  <c r="C26" i="10"/>
  <c r="E8" i="12"/>
  <c r="Y7" i="14"/>
  <c r="E72" i="12"/>
  <c r="E19" i="12"/>
  <c r="C61" i="11"/>
  <c r="C71" i="10"/>
  <c r="Y60" i="12"/>
  <c r="Y102" i="12"/>
  <c r="W7" i="7"/>
  <c r="W45" i="11"/>
  <c r="W55" i="10"/>
  <c r="Y12" i="3"/>
  <c r="E47" i="12"/>
  <c r="W16" i="7"/>
  <c r="W43" i="11"/>
  <c r="W53" i="10"/>
  <c r="E62" i="12"/>
  <c r="Y10" i="14"/>
  <c r="E86" i="12"/>
  <c r="Y30" i="12"/>
  <c r="E67" i="12"/>
  <c r="Y27" i="12"/>
  <c r="Y106" i="12"/>
  <c r="Y59" i="12"/>
  <c r="E76" i="12"/>
  <c r="E83" i="12"/>
  <c r="E41" i="13"/>
  <c r="C32" i="10"/>
  <c r="E12" i="13"/>
  <c r="E9" i="12"/>
  <c r="D91" i="12"/>
  <c r="D93" i="12"/>
  <c r="D79" i="12"/>
  <c r="D81" i="12"/>
  <c r="D77" i="12"/>
  <c r="D29" i="14"/>
  <c r="D52" i="12"/>
  <c r="D84" i="12"/>
  <c r="D23" i="13"/>
  <c r="D39" i="13"/>
  <c r="D66" i="12"/>
  <c r="D54" i="12"/>
  <c r="D51" i="13"/>
  <c r="D105" i="12"/>
  <c r="D15" i="13"/>
  <c r="D88" i="12"/>
  <c r="D50" i="12"/>
  <c r="D11" i="13"/>
  <c r="D90" i="12"/>
  <c r="D95" i="12"/>
  <c r="D75" i="12"/>
  <c r="D35" i="12"/>
  <c r="P13" i="13"/>
  <c r="P38" i="13"/>
  <c r="N29" i="10"/>
  <c r="P93" i="12"/>
  <c r="P79" i="12"/>
  <c r="P23" i="12"/>
  <c r="P37" i="12"/>
  <c r="P75" i="12"/>
  <c r="P8" i="13"/>
  <c r="P50" i="12"/>
  <c r="N32" i="11"/>
  <c r="N42" i="10"/>
  <c r="P49" i="12"/>
  <c r="P8" i="12"/>
  <c r="P44" i="12"/>
  <c r="P24" i="12"/>
  <c r="P55" i="12"/>
  <c r="P90" i="12"/>
  <c r="P94" i="12"/>
  <c r="P43" i="12"/>
  <c r="P92" i="12"/>
  <c r="P20" i="12"/>
  <c r="P77" i="12"/>
  <c r="P9" i="13"/>
  <c r="M63" i="12"/>
  <c r="M81" i="12"/>
  <c r="M101" i="12"/>
  <c r="M17" i="12"/>
  <c r="M71" i="12"/>
  <c r="M24" i="12"/>
  <c r="M12" i="12"/>
  <c r="M37" i="12"/>
  <c r="K38" i="11"/>
  <c r="K26" i="11"/>
  <c r="K48" i="10"/>
  <c r="K36" i="10"/>
  <c r="M54" i="12"/>
  <c r="M86" i="12"/>
  <c r="M35" i="12"/>
  <c r="M55" i="12"/>
  <c r="M85" i="12"/>
  <c r="M54" i="13"/>
  <c r="M75" i="12"/>
  <c r="M13" i="13"/>
  <c r="M8" i="13"/>
  <c r="K63" i="11"/>
  <c r="K73" i="10"/>
  <c r="M18" i="12"/>
  <c r="M15" i="12"/>
  <c r="M84" i="12"/>
  <c r="Q47" i="12"/>
  <c r="Q99" i="12"/>
  <c r="Q45" i="12"/>
  <c r="Q50" i="12"/>
  <c r="Q79" i="12"/>
  <c r="Q63" i="12"/>
  <c r="Q94" i="12"/>
  <c r="Q26" i="13"/>
  <c r="Q77" i="12"/>
  <c r="Q71" i="12"/>
  <c r="Q86" i="12"/>
  <c r="Q13" i="12"/>
  <c r="Q98" i="12"/>
  <c r="Q101" i="12"/>
  <c r="Q67" i="12"/>
  <c r="Q82" i="12"/>
  <c r="Q24" i="13"/>
  <c r="Q69" i="12"/>
  <c r="Q56" i="12"/>
  <c r="Q35" i="13"/>
  <c r="O26" i="10"/>
  <c r="Q85" i="12"/>
  <c r="Q9" i="13"/>
  <c r="C97" i="12"/>
  <c r="C15" i="13"/>
  <c r="C48" i="12"/>
  <c r="C64" i="12"/>
  <c r="C96" i="12"/>
  <c r="C51" i="13"/>
  <c r="C79" i="12"/>
  <c r="C91" i="12"/>
  <c r="C88" i="12"/>
  <c r="C18" i="13"/>
  <c r="C99" i="12"/>
  <c r="C38" i="13"/>
  <c r="C83" i="12"/>
  <c r="C10" i="12"/>
  <c r="C81" i="12"/>
  <c r="C55" i="12"/>
  <c r="C8" i="17"/>
  <c r="C68" i="12"/>
  <c r="C26" i="13"/>
  <c r="C98" i="12"/>
  <c r="C72" i="12"/>
  <c r="C70" i="12"/>
  <c r="G76" i="12"/>
  <c r="G82" i="12"/>
  <c r="G72" i="12"/>
  <c r="G11" i="13"/>
  <c r="G69" i="12"/>
  <c r="G8" i="13"/>
  <c r="G62" i="12"/>
  <c r="E63" i="11"/>
  <c r="E73" i="10"/>
  <c r="G9" i="13"/>
  <c r="G16" i="12"/>
  <c r="G37" i="12"/>
  <c r="G32" i="12"/>
  <c r="G41" i="12"/>
  <c r="G98" i="12"/>
  <c r="G44" i="12"/>
  <c r="G87" i="12"/>
  <c r="G45" i="12"/>
  <c r="G25" i="12"/>
  <c r="G24" i="12"/>
  <c r="G65" i="12"/>
  <c r="G13" i="12"/>
  <c r="G78" i="12"/>
  <c r="O32" i="12"/>
  <c r="O82" i="12"/>
  <c r="O67" i="12"/>
  <c r="O63" i="12"/>
  <c r="O99" i="12"/>
  <c r="O85" i="12"/>
  <c r="O51" i="13"/>
  <c r="O56" i="12"/>
  <c r="O12" i="13"/>
  <c r="O49" i="12"/>
  <c r="O80" i="12"/>
  <c r="O65" i="12"/>
  <c r="O11" i="13"/>
  <c r="O78" i="12"/>
  <c r="O28" i="13"/>
  <c r="O18" i="13"/>
  <c r="O24" i="13"/>
  <c r="O87" i="12"/>
  <c r="O69" i="12"/>
  <c r="O71" i="12"/>
  <c r="O86" i="12"/>
  <c r="O47" i="12"/>
  <c r="Z89" i="12"/>
  <c r="Z38" i="13"/>
  <c r="X29" i="10"/>
  <c r="Z70" i="12"/>
  <c r="Z35" i="13"/>
  <c r="X26" i="10"/>
  <c r="Z8" i="13"/>
  <c r="Z27" i="17"/>
  <c r="Z13" i="13"/>
  <c r="Z9" i="13"/>
  <c r="Z46" i="12"/>
  <c r="Z76" i="12"/>
  <c r="Z55" i="12"/>
  <c r="Z48" i="12"/>
  <c r="Z81" i="12"/>
  <c r="Z83" i="12"/>
  <c r="Z41" i="13"/>
  <c r="X32" i="10"/>
  <c r="Z92" i="12"/>
  <c r="Z27" i="13"/>
  <c r="Z84" i="12"/>
  <c r="Z62" i="12"/>
  <c r="Z44" i="12"/>
  <c r="Z68" i="12"/>
  <c r="Z93" i="12"/>
  <c r="V77" i="12"/>
  <c r="V66" i="12"/>
  <c r="V64" i="12"/>
  <c r="V33" i="12"/>
  <c r="V68" i="12"/>
  <c r="V39" i="13"/>
  <c r="T30" i="10"/>
  <c r="V84" i="12"/>
  <c r="V91" i="12"/>
  <c r="V13" i="13"/>
  <c r="V81" i="12"/>
  <c r="V75" i="12"/>
  <c r="V12" i="13"/>
  <c r="V48" i="12"/>
  <c r="V93" i="12"/>
  <c r="V47" i="13"/>
  <c r="T28" i="11"/>
  <c r="T38" i="10"/>
  <c r="V9" i="13"/>
  <c r="V50" i="12"/>
  <c r="V83" i="12"/>
  <c r="V55" i="13"/>
  <c r="V101" i="12"/>
  <c r="V79" i="12"/>
  <c r="V85" i="12"/>
  <c r="X81" i="12"/>
  <c r="X70" i="12"/>
  <c r="X94" i="12"/>
  <c r="X68" i="12"/>
  <c r="X79" i="12"/>
  <c r="X85" i="12"/>
  <c r="X32" i="12"/>
  <c r="X101" i="12"/>
  <c r="X17" i="13"/>
  <c r="X83" i="12"/>
  <c r="X64" i="12"/>
  <c r="X14" i="12"/>
  <c r="X51" i="12"/>
  <c r="X47" i="13"/>
  <c r="V28" i="11"/>
  <c r="V38" i="10"/>
  <c r="X48" i="12"/>
  <c r="X91" i="12"/>
  <c r="X84" i="12"/>
  <c r="X72" i="12"/>
  <c r="X62" i="12"/>
  <c r="X95" i="12"/>
  <c r="X66" i="12"/>
  <c r="X46" i="12"/>
  <c r="E96" i="12"/>
  <c r="E75" i="12"/>
  <c r="E10" i="13"/>
  <c r="E77" i="12"/>
  <c r="E84" i="12"/>
  <c r="E66" i="12"/>
  <c r="E97" i="12"/>
  <c r="E94" i="12"/>
  <c r="E68" i="12"/>
  <c r="E91" i="12"/>
  <c r="E52" i="12"/>
  <c r="E105" i="12"/>
  <c r="E79" i="12"/>
  <c r="E64" i="12"/>
  <c r="E43" i="12"/>
  <c r="E18" i="13"/>
  <c r="E95" i="12"/>
  <c r="E81" i="12"/>
  <c r="E93" i="12"/>
  <c r="E28" i="13"/>
  <c r="E90" i="12"/>
  <c r="E41" i="12"/>
  <c r="N88" i="12"/>
  <c r="N69" i="12"/>
  <c r="N82" i="12"/>
  <c r="N80" i="12"/>
  <c r="N23" i="13"/>
  <c r="N12" i="13"/>
  <c r="N65" i="12"/>
  <c r="N15" i="13"/>
  <c r="N42" i="12"/>
  <c r="N67" i="12"/>
  <c r="N76" i="12"/>
  <c r="N78" i="12"/>
  <c r="N26" i="13"/>
  <c r="N99" i="12"/>
  <c r="N40" i="12"/>
  <c r="N44" i="12"/>
  <c r="N11" i="13"/>
  <c r="N52" i="13"/>
  <c r="N51" i="12"/>
  <c r="N56" i="12"/>
  <c r="N63" i="12"/>
  <c r="N35" i="13"/>
  <c r="L26" i="10"/>
  <c r="R51" i="13"/>
  <c r="R33" i="12"/>
  <c r="R56" i="12"/>
  <c r="R75" i="12"/>
  <c r="R71" i="12"/>
  <c r="R54" i="12"/>
  <c r="R13" i="13"/>
  <c r="R86" i="12"/>
  <c r="R20" i="12"/>
  <c r="R8" i="13"/>
  <c r="R40" i="12"/>
  <c r="R85" i="12"/>
  <c r="R77" i="12"/>
  <c r="R101" i="12"/>
  <c r="R24" i="13"/>
  <c r="R79" i="12"/>
  <c r="R41" i="12"/>
  <c r="R84" i="12"/>
  <c r="R69" i="12"/>
  <c r="R92" i="12"/>
  <c r="R52" i="12"/>
  <c r="R63" i="12"/>
  <c r="J46" i="12"/>
  <c r="J44" i="12"/>
  <c r="J64" i="12"/>
  <c r="J56" i="13"/>
  <c r="J96" i="12"/>
  <c r="J89" i="12"/>
  <c r="J48" i="12"/>
  <c r="J98" i="12"/>
  <c r="J39" i="13"/>
  <c r="H30" i="10"/>
  <c r="J26" i="13"/>
  <c r="J15" i="13"/>
  <c r="J105" i="12"/>
  <c r="J83" i="12"/>
  <c r="J62" i="12"/>
  <c r="J70" i="12"/>
  <c r="J23" i="13"/>
  <c r="J76" i="12"/>
  <c r="J87" i="12"/>
  <c r="J78" i="12"/>
  <c r="J68" i="12"/>
  <c r="J97" i="12"/>
  <c r="J55" i="12"/>
  <c r="K23" i="13"/>
  <c r="K99" i="12"/>
  <c r="K105" i="12"/>
  <c r="K51" i="12"/>
  <c r="K53" i="12"/>
  <c r="K76" i="12"/>
  <c r="K83" i="12"/>
  <c r="K37" i="12"/>
  <c r="K62" i="12"/>
  <c r="K90" i="12"/>
  <c r="K32" i="12"/>
  <c r="K55" i="12"/>
  <c r="K28" i="13"/>
  <c r="K89" i="12"/>
  <c r="K78" i="12"/>
  <c r="K72" i="12"/>
  <c r="K55" i="13"/>
  <c r="K70" i="12"/>
  <c r="K87" i="12"/>
  <c r="K96" i="12"/>
  <c r="K80" i="12"/>
  <c r="K88" i="12"/>
  <c r="U18" i="17"/>
  <c r="U45" i="12"/>
  <c r="U8" i="12"/>
  <c r="U79" i="12"/>
  <c r="U70" i="12"/>
  <c r="U64" i="12"/>
  <c r="U13" i="13"/>
  <c r="U81" i="12"/>
  <c r="U52" i="12"/>
  <c r="U77" i="12"/>
  <c r="U28" i="14"/>
  <c r="U43" i="12"/>
  <c r="U41" i="12"/>
  <c r="U93" i="12"/>
  <c r="U75" i="12"/>
  <c r="U12" i="13"/>
  <c r="U24" i="13"/>
  <c r="U66" i="12"/>
  <c r="U62" i="12"/>
  <c r="U84" i="12"/>
  <c r="U71" i="12"/>
  <c r="U46" i="12"/>
  <c r="Y9" i="13"/>
  <c r="Y68" i="12"/>
  <c r="Y70" i="12"/>
  <c r="Y53" i="12"/>
  <c r="Y55" i="12"/>
  <c r="Y72" i="12"/>
  <c r="Y62" i="12"/>
  <c r="Y24" i="13"/>
  <c r="Y41" i="12"/>
  <c r="Y79" i="12"/>
  <c r="Y8" i="13"/>
  <c r="Y85" i="12"/>
  <c r="Y34" i="12"/>
  <c r="Y64" i="12"/>
  <c r="Y27" i="13"/>
  <c r="Y91" i="12"/>
  <c r="Y101" i="12"/>
  <c r="Y94" i="12"/>
  <c r="Y66" i="12"/>
  <c r="Y93" i="12"/>
  <c r="Y92" i="12"/>
  <c r="Y23" i="14"/>
  <c r="P97" i="12"/>
  <c r="P76" i="12"/>
  <c r="P28" i="13"/>
  <c r="P54" i="12"/>
  <c r="P51" i="12"/>
  <c r="P86" i="12"/>
  <c r="P67" i="12"/>
  <c r="P88" i="12"/>
  <c r="P24" i="13"/>
  <c r="P69" i="12"/>
  <c r="P63" i="12"/>
  <c r="P35" i="12"/>
  <c r="P65" i="12"/>
  <c r="P71" i="12"/>
  <c r="P80" i="12"/>
  <c r="P87" i="12"/>
  <c r="P99" i="12"/>
  <c r="P26" i="13"/>
  <c r="P42" i="12"/>
  <c r="P78" i="12"/>
  <c r="P15" i="13"/>
  <c r="P56" i="12"/>
  <c r="F48" i="12"/>
  <c r="F64" i="12"/>
  <c r="F88" i="12"/>
  <c r="F18" i="13"/>
  <c r="F79" i="12"/>
  <c r="F68" i="12"/>
  <c r="F56" i="13"/>
  <c r="F52" i="12"/>
  <c r="F84" i="12"/>
  <c r="F91" i="12"/>
  <c r="F97" i="12"/>
  <c r="F50" i="12"/>
  <c r="F70" i="12"/>
  <c r="F83" i="12"/>
  <c r="F89" i="12"/>
  <c r="F23" i="17"/>
  <c r="F96" i="12"/>
  <c r="F33" i="12"/>
  <c r="F77" i="12"/>
  <c r="F66" i="12"/>
  <c r="F75" i="12"/>
  <c r="F81" i="12"/>
  <c r="T59" i="12"/>
  <c r="T30" i="12"/>
  <c r="T57" i="12"/>
  <c r="T31" i="12"/>
  <c r="T74" i="12"/>
  <c r="T103" i="12"/>
  <c r="T73" i="12"/>
  <c r="T102" i="12"/>
  <c r="R20" i="7"/>
  <c r="R60" i="11"/>
  <c r="R70" i="10"/>
  <c r="T67" i="13"/>
  <c r="R8" i="7"/>
  <c r="R40" i="11"/>
  <c r="R50" i="10"/>
  <c r="T11" i="3"/>
  <c r="R7" i="7"/>
  <c r="R45" i="11"/>
  <c r="R55" i="10"/>
  <c r="T12" i="3"/>
  <c r="T28" i="12"/>
  <c r="T60" i="12"/>
  <c r="T104" i="12"/>
  <c r="T106" i="12"/>
  <c r="R15" i="7"/>
  <c r="R42" i="11"/>
  <c r="R52" i="10"/>
  <c r="T7" i="14"/>
  <c r="T17" i="14"/>
  <c r="T29" i="12"/>
  <c r="T72" i="13"/>
  <c r="T61" i="12"/>
  <c r="G92" i="12"/>
  <c r="G79" i="12"/>
  <c r="G10" i="13"/>
  <c r="G84" i="12"/>
  <c r="G52" i="12"/>
  <c r="G64" i="12"/>
  <c r="G94" i="12"/>
  <c r="G70" i="12"/>
  <c r="G68" i="12"/>
  <c r="G55" i="12"/>
  <c r="G43" i="12"/>
  <c r="G88" i="12"/>
  <c r="G95" i="12"/>
  <c r="G91" i="12"/>
  <c r="G77" i="12"/>
  <c r="G66" i="12"/>
  <c r="G89" i="12"/>
  <c r="G81" i="12"/>
  <c r="G14" i="13"/>
  <c r="G93" i="12"/>
  <c r="G23" i="17"/>
  <c r="G75" i="12"/>
  <c r="C59" i="12"/>
  <c r="C31" i="12"/>
  <c r="C74" i="12"/>
  <c r="C12" i="3"/>
  <c r="C61" i="12"/>
  <c r="C74" i="13"/>
  <c r="C60" i="12"/>
  <c r="C11" i="3"/>
  <c r="C104" i="12"/>
  <c r="C30" i="12"/>
  <c r="C21" i="3"/>
  <c r="C65" i="13"/>
  <c r="C58" i="12"/>
  <c r="C102" i="12"/>
  <c r="C29" i="12"/>
  <c r="C73" i="12"/>
  <c r="C57" i="12"/>
  <c r="C28" i="12"/>
  <c r="C27" i="12"/>
  <c r="AA51" i="12"/>
  <c r="AA37" i="12"/>
  <c r="AA66" i="12"/>
  <c r="AA91" i="12"/>
  <c r="AA24" i="13"/>
  <c r="AA62" i="12"/>
  <c r="AA83" i="12"/>
  <c r="AA53" i="12"/>
  <c r="AA70" i="12"/>
  <c r="AA64" i="12"/>
  <c r="AA94" i="12"/>
  <c r="AA51" i="13"/>
  <c r="AA72" i="12"/>
  <c r="AA76" i="12"/>
  <c r="AA35" i="13"/>
  <c r="Y26" i="10"/>
  <c r="AA84" i="12"/>
  <c r="AA68" i="12"/>
  <c r="AA55" i="12"/>
  <c r="AA32" i="12"/>
  <c r="AA89" i="12"/>
  <c r="AA92" i="12"/>
  <c r="AA81" i="12"/>
  <c r="U28" i="12"/>
  <c r="U60" i="12"/>
  <c r="U7" i="14"/>
  <c r="S16" i="7"/>
  <c r="S43" i="11"/>
  <c r="S53" i="10"/>
  <c r="U59" i="12"/>
  <c r="U29" i="12"/>
  <c r="U31" i="12"/>
  <c r="U67" i="13"/>
  <c r="U25" i="14"/>
  <c r="S7" i="7"/>
  <c r="S45" i="11"/>
  <c r="S55" i="10"/>
  <c r="U12" i="3"/>
  <c r="S8" i="7"/>
  <c r="S40" i="11"/>
  <c r="S50" i="10"/>
  <c r="U11" i="3"/>
  <c r="U27" i="12"/>
  <c r="U74" i="12"/>
  <c r="U72" i="13"/>
  <c r="U100" i="12"/>
  <c r="U57" i="12"/>
  <c r="U104" i="12"/>
  <c r="U30" i="12"/>
  <c r="U61" i="12"/>
  <c r="U73" i="12"/>
  <c r="U102" i="12"/>
  <c r="U106" i="12"/>
  <c r="R72" i="13"/>
  <c r="R74" i="12"/>
  <c r="R57" i="12"/>
  <c r="R67" i="13"/>
  <c r="P7" i="7"/>
  <c r="P45" i="11"/>
  <c r="P55" i="10"/>
  <c r="R12" i="3"/>
  <c r="R69" i="13"/>
  <c r="R30" i="12"/>
  <c r="R25" i="14"/>
  <c r="R27" i="12"/>
  <c r="R106" i="12"/>
  <c r="R17" i="14"/>
  <c r="R104" i="12"/>
  <c r="R58" i="12"/>
  <c r="R28" i="12"/>
  <c r="R73" i="12"/>
  <c r="P8" i="7"/>
  <c r="P40" i="11"/>
  <c r="P50" i="10"/>
  <c r="R11" i="3"/>
  <c r="R59" i="12"/>
  <c r="R61" i="12"/>
  <c r="R29" i="12"/>
  <c r="P20" i="7"/>
  <c r="P60" i="11"/>
  <c r="P70" i="10"/>
  <c r="R100" i="12"/>
  <c r="P15" i="7"/>
  <c r="P42" i="11"/>
  <c r="P52" i="10"/>
  <c r="N104" i="12"/>
  <c r="N103" i="12"/>
  <c r="N27" i="12"/>
  <c r="N61" i="12"/>
  <c r="N73" i="12"/>
  <c r="L20" i="7"/>
  <c r="L60" i="11"/>
  <c r="L70" i="10"/>
  <c r="N30" i="12"/>
  <c r="L15" i="7"/>
  <c r="L42" i="11"/>
  <c r="L52" i="10"/>
  <c r="N59" i="12"/>
  <c r="N31" i="12"/>
  <c r="L8" i="7"/>
  <c r="L40" i="11"/>
  <c r="L50" i="10"/>
  <c r="N11" i="3"/>
  <c r="N29" i="12"/>
  <c r="N58" i="12"/>
  <c r="N60" i="12"/>
  <c r="N10" i="14"/>
  <c r="N65" i="13"/>
  <c r="N57" i="12"/>
  <c r="N71" i="13"/>
  <c r="N74" i="13"/>
  <c r="L19" i="7"/>
  <c r="L48" i="11"/>
  <c r="L58" i="10"/>
  <c r="L18" i="4"/>
  <c r="L20" i="2"/>
  <c r="N66" i="13"/>
  <c r="N17" i="14"/>
  <c r="N74" i="12"/>
  <c r="W9" i="13"/>
  <c r="W93" i="12"/>
  <c r="W70" i="12"/>
  <c r="W62" i="12"/>
  <c r="W55" i="12"/>
  <c r="W18" i="17"/>
  <c r="W28" i="17"/>
  <c r="W91" i="12"/>
  <c r="W64" i="12"/>
  <c r="W37" i="12"/>
  <c r="W81" i="12"/>
  <c r="W79" i="12"/>
  <c r="W75" i="12"/>
  <c r="W43" i="12"/>
  <c r="W52" i="12"/>
  <c r="W8" i="13"/>
  <c r="W23" i="14"/>
  <c r="W84" i="12"/>
  <c r="W66" i="12"/>
  <c r="W41" i="12"/>
  <c r="W77" i="12"/>
  <c r="W68" i="12"/>
  <c r="M60" i="12"/>
  <c r="M66" i="13"/>
  <c r="M73" i="12"/>
  <c r="M30" i="12"/>
  <c r="M12" i="14"/>
  <c r="K15" i="7"/>
  <c r="K42" i="11"/>
  <c r="K52" i="10"/>
  <c r="M58" i="12"/>
  <c r="M27" i="12"/>
  <c r="K16" i="7"/>
  <c r="K43" i="11"/>
  <c r="K53" i="10"/>
  <c r="M59" i="12"/>
  <c r="K20" i="7"/>
  <c r="K60" i="11"/>
  <c r="K70" i="10"/>
  <c r="K8" i="7"/>
  <c r="K40" i="11"/>
  <c r="K50" i="10"/>
  <c r="M11" i="3"/>
  <c r="M61" i="12"/>
  <c r="M28" i="12"/>
  <c r="M17" i="14"/>
  <c r="M104" i="12"/>
  <c r="M74" i="13"/>
  <c r="K19" i="7"/>
  <c r="K48" i="11"/>
  <c r="K58" i="10"/>
  <c r="K18" i="4"/>
  <c r="K20" i="2"/>
  <c r="M71" i="13"/>
  <c r="M31" i="12"/>
  <c r="M74" i="12"/>
  <c r="M102" i="12"/>
  <c r="M103" i="12"/>
  <c r="Q104" i="12"/>
  <c r="Q30" i="12"/>
  <c r="Q57" i="12"/>
  <c r="Q58" i="12"/>
  <c r="Q27" i="12"/>
  <c r="Q64" i="13"/>
  <c r="O18" i="7"/>
  <c r="O47" i="11"/>
  <c r="O57" i="10"/>
  <c r="O16" i="7"/>
  <c r="O43" i="11"/>
  <c r="O53" i="10"/>
  <c r="Q100" i="12"/>
  <c r="Q29" i="12"/>
  <c r="Q67" i="13"/>
  <c r="Q61" i="12"/>
  <c r="Q10" i="14"/>
  <c r="Q63" i="13"/>
  <c r="Q71" i="13"/>
  <c r="O20" i="7"/>
  <c r="O60" i="11"/>
  <c r="O70" i="10"/>
  <c r="Q59" i="12"/>
  <c r="Q106" i="12"/>
  <c r="Q70" i="13"/>
  <c r="O8" i="7"/>
  <c r="O40" i="11"/>
  <c r="O50" i="10"/>
  <c r="Q11" i="3"/>
  <c r="O15" i="7"/>
  <c r="O42" i="11"/>
  <c r="O52" i="10"/>
  <c r="O7" i="7"/>
  <c r="O45" i="11"/>
  <c r="O55" i="10"/>
  <c r="Q12" i="3"/>
  <c r="Q31" i="12"/>
  <c r="H10" i="13"/>
  <c r="H48" i="12"/>
  <c r="H62" i="12"/>
  <c r="H83" i="12"/>
  <c r="H79" i="12"/>
  <c r="H105" i="12"/>
  <c r="H64" i="12"/>
  <c r="H23" i="13"/>
  <c r="H68" i="12"/>
  <c r="H70" i="12"/>
  <c r="H91" i="12"/>
  <c r="H72" i="12"/>
  <c r="H55" i="13"/>
  <c r="H46" i="12"/>
  <c r="H81" i="12"/>
  <c r="H18" i="13"/>
  <c r="H66" i="12"/>
  <c r="H50" i="12"/>
  <c r="H15" i="13"/>
  <c r="H89" i="12"/>
  <c r="H11" i="13"/>
  <c r="H26" i="13"/>
  <c r="V68" i="13"/>
  <c r="V103" i="12"/>
  <c r="V60" i="12"/>
  <c r="V73" i="12"/>
  <c r="V59" i="12"/>
  <c r="V61" i="12"/>
  <c r="V74" i="12"/>
  <c r="V57" i="12"/>
  <c r="V65" i="13"/>
  <c r="T16" i="7"/>
  <c r="T43" i="11"/>
  <c r="T53" i="10"/>
  <c r="T7" i="7"/>
  <c r="T45" i="11"/>
  <c r="T55" i="10"/>
  <c r="V12" i="3"/>
  <c r="V100" i="12"/>
  <c r="V29" i="12"/>
  <c r="V7" i="14"/>
  <c r="T15" i="7"/>
  <c r="T42" i="11"/>
  <c r="T52" i="10"/>
  <c r="S25" i="9"/>
  <c r="V104" i="12"/>
  <c r="V28" i="12"/>
  <c r="V35" i="14"/>
  <c r="T20" i="7"/>
  <c r="T60" i="11"/>
  <c r="T70" i="10"/>
  <c r="T8" i="7"/>
  <c r="T40" i="11"/>
  <c r="T50" i="10"/>
  <c r="V11" i="3"/>
  <c r="V102" i="12"/>
  <c r="T82" i="12"/>
  <c r="T35" i="12"/>
  <c r="T77" i="12"/>
  <c r="T75" i="12"/>
  <c r="T93" i="12"/>
  <c r="T79" i="12"/>
  <c r="T85" i="12"/>
  <c r="T55" i="12"/>
  <c r="T68" i="12"/>
  <c r="T18" i="12"/>
  <c r="T26" i="13"/>
  <c r="T9" i="13"/>
  <c r="T84" i="12"/>
  <c r="T99" i="12"/>
  <c r="T71" i="12"/>
  <c r="T52" i="12"/>
  <c r="T50" i="12"/>
  <c r="T86" i="12"/>
  <c r="T55" i="13"/>
  <c r="T81" i="12"/>
  <c r="T37" i="12"/>
  <c r="T54" i="12"/>
  <c r="I28" i="13"/>
  <c r="I72" i="12"/>
  <c r="I78" i="12"/>
  <c r="I55" i="12"/>
  <c r="I89" i="12"/>
  <c r="I90" i="12"/>
  <c r="I98" i="12"/>
  <c r="I68" i="12"/>
  <c r="I22" i="12"/>
  <c r="I42" i="12"/>
  <c r="I105" i="12"/>
  <c r="I96" i="12"/>
  <c r="I62" i="12"/>
  <c r="I87" i="12"/>
  <c r="I70" i="12"/>
  <c r="I18" i="13"/>
  <c r="I41" i="12"/>
  <c r="I66" i="12"/>
  <c r="I34" i="12"/>
  <c r="I64" i="12"/>
  <c r="I53" i="12"/>
  <c r="I92" i="12"/>
  <c r="AA74" i="12"/>
  <c r="AA30" i="12"/>
  <c r="AA62" i="13"/>
  <c r="AA31" i="12"/>
  <c r="AA28" i="12"/>
  <c r="AA10" i="14"/>
  <c r="Y7" i="7"/>
  <c r="Y45" i="11"/>
  <c r="Y55" i="10"/>
  <c r="AA12" i="3"/>
  <c r="AA68" i="13"/>
  <c r="AA60" i="12"/>
  <c r="AA57" i="12"/>
  <c r="AA58" i="12"/>
  <c r="AA103" i="12"/>
  <c r="AA106" i="12"/>
  <c r="AA27" i="12"/>
  <c r="Y8" i="7"/>
  <c r="Y40" i="11"/>
  <c r="Y50" i="10"/>
  <c r="AA11" i="3"/>
  <c r="Y20" i="7"/>
  <c r="Y60" i="11"/>
  <c r="Y70" i="10"/>
  <c r="AA18" i="14"/>
  <c r="AA61" i="12"/>
  <c r="AA104" i="12"/>
  <c r="Y16" i="7"/>
  <c r="Y43" i="11"/>
  <c r="Y53" i="10"/>
  <c r="AA59" i="12"/>
  <c r="AA100" i="12"/>
  <c r="K59" i="12"/>
  <c r="K30" i="12"/>
  <c r="K58" i="12"/>
  <c r="K103" i="12"/>
  <c r="K106" i="12"/>
  <c r="K74" i="12"/>
  <c r="K71" i="13"/>
  <c r="K24" i="14"/>
  <c r="I8" i="7"/>
  <c r="I40" i="11"/>
  <c r="I50" i="10"/>
  <c r="K11" i="3"/>
  <c r="I20" i="7"/>
  <c r="I60" i="11"/>
  <c r="I70" i="10"/>
  <c r="K61" i="12"/>
  <c r="I16" i="7"/>
  <c r="I43" i="11"/>
  <c r="I53" i="10"/>
  <c r="K100" i="12"/>
  <c r="K31" i="12"/>
  <c r="K73" i="12"/>
  <c r="K66" i="13"/>
  <c r="K57" i="12"/>
  <c r="K104" i="12"/>
  <c r="K28" i="12"/>
  <c r="K27" i="12"/>
  <c r="K68" i="13"/>
  <c r="K60" i="12"/>
  <c r="L44" i="12"/>
  <c r="L78" i="12"/>
  <c r="L97" i="12"/>
  <c r="L65" i="12"/>
  <c r="L62" i="12"/>
  <c r="L69" i="12"/>
  <c r="L83" i="12"/>
  <c r="L82" i="12"/>
  <c r="L47" i="13"/>
  <c r="J28" i="11"/>
  <c r="J38" i="10"/>
  <c r="L12" i="13"/>
  <c r="L72" i="12"/>
  <c r="L53" i="12"/>
  <c r="L90" i="12"/>
  <c r="L11" i="13"/>
  <c r="L42" i="12"/>
  <c r="L39" i="13"/>
  <c r="J30" i="10"/>
  <c r="L46" i="12"/>
  <c r="L98" i="12"/>
  <c r="L87" i="12"/>
  <c r="L76" i="12"/>
  <c r="L36" i="13"/>
  <c r="J27" i="10"/>
  <c r="L80" i="12"/>
  <c r="S15" i="13"/>
  <c r="S77" i="12"/>
  <c r="S67" i="12"/>
  <c r="S99" i="12"/>
  <c r="S79" i="12"/>
  <c r="S75" i="12"/>
  <c r="S98" i="12"/>
  <c r="S82" i="12"/>
  <c r="S43" i="12"/>
  <c r="S45" i="12"/>
  <c r="S69" i="12"/>
  <c r="S12" i="13"/>
  <c r="S8" i="13"/>
  <c r="S13" i="13"/>
  <c r="S80" i="12"/>
  <c r="S86" i="12"/>
  <c r="S54" i="12"/>
  <c r="S63" i="12"/>
  <c r="S92" i="12"/>
  <c r="S18" i="13"/>
  <c r="S56" i="12"/>
  <c r="S47" i="12"/>
  <c r="O27" i="12"/>
  <c r="O74" i="12"/>
  <c r="O100" i="12"/>
  <c r="O60" i="12"/>
  <c r="M16" i="7"/>
  <c r="M43" i="11"/>
  <c r="M53" i="10"/>
  <c r="M8" i="7"/>
  <c r="M40" i="11"/>
  <c r="M50" i="10"/>
  <c r="O11" i="3"/>
  <c r="O10" i="14"/>
  <c r="M15" i="7"/>
  <c r="M42" i="11"/>
  <c r="M52" i="10"/>
  <c r="O58" i="12"/>
  <c r="O103" i="12"/>
  <c r="O106" i="12"/>
  <c r="O61" i="12"/>
  <c r="O29" i="12"/>
  <c r="O59" i="12"/>
  <c r="O67" i="13"/>
  <c r="O17" i="14"/>
  <c r="O73" i="12"/>
  <c r="O64" i="13"/>
  <c r="M18" i="7"/>
  <c r="M47" i="11"/>
  <c r="M57" i="10"/>
  <c r="O30" i="12"/>
  <c r="O102" i="12"/>
  <c r="M20" i="7"/>
  <c r="M60" i="11"/>
  <c r="M70" i="10"/>
  <c r="M7" i="7"/>
  <c r="M45" i="11"/>
  <c r="M55" i="10"/>
  <c r="O12" i="3"/>
  <c r="G31" i="12"/>
  <c r="G70" i="13"/>
  <c r="G73" i="12"/>
  <c r="G100" i="12"/>
  <c r="G9" i="14"/>
  <c r="G60" i="12"/>
  <c r="G104" i="12"/>
  <c r="G57" i="12"/>
  <c r="G74" i="12"/>
  <c r="G28" i="12"/>
  <c r="E20" i="7"/>
  <c r="E60" i="11"/>
  <c r="E70" i="10"/>
  <c r="G12" i="14"/>
  <c r="G59" i="12"/>
  <c r="E15" i="7"/>
  <c r="E42" i="11"/>
  <c r="E52" i="10"/>
  <c r="G58" i="12"/>
  <c r="G27" i="12"/>
  <c r="E16" i="7"/>
  <c r="E43" i="11"/>
  <c r="E53" i="10"/>
  <c r="G64" i="13"/>
  <c r="E18" i="7"/>
  <c r="E47" i="11"/>
  <c r="E57" i="10"/>
  <c r="G103" i="12"/>
  <c r="G61" i="12"/>
  <c r="G30" i="12"/>
  <c r="G102" i="12"/>
  <c r="M34" i="12"/>
  <c r="M70" i="12"/>
  <c r="M98" i="12"/>
  <c r="M65" i="12"/>
  <c r="M67" i="12"/>
  <c r="M97" i="12"/>
  <c r="M53" i="12"/>
  <c r="M78" i="12"/>
  <c r="M82" i="12"/>
  <c r="M83" i="12"/>
  <c r="M49" i="12"/>
  <c r="M51" i="12"/>
  <c r="M87" i="12"/>
  <c r="M89" i="12"/>
  <c r="M88" i="12"/>
  <c r="M105" i="12"/>
  <c r="M80" i="12"/>
  <c r="M23" i="13"/>
  <c r="M72" i="12"/>
  <c r="M62" i="12"/>
  <c r="M18" i="13"/>
  <c r="M76" i="12"/>
  <c r="D70" i="13"/>
  <c r="D30" i="12"/>
  <c r="C7" i="8"/>
  <c r="C14" i="8"/>
  <c r="D57" i="12"/>
  <c r="D29" i="12"/>
  <c r="D9" i="14"/>
  <c r="D74" i="12"/>
  <c r="D65" i="13"/>
  <c r="D102" i="12"/>
  <c r="D59" i="12"/>
  <c r="D60" i="12"/>
  <c r="D67" i="13"/>
  <c r="D104" i="12"/>
  <c r="C9" i="8"/>
  <c r="D61" i="12"/>
  <c r="D73" i="12"/>
  <c r="D28" i="12"/>
  <c r="D58" i="12"/>
  <c r="D106" i="12"/>
  <c r="D103" i="12"/>
  <c r="D31" i="12"/>
  <c r="J12" i="14"/>
  <c r="J66" i="13"/>
  <c r="J70" i="13"/>
  <c r="J29" i="12"/>
  <c r="J9" i="14"/>
  <c r="J73" i="12"/>
  <c r="J100" i="12"/>
  <c r="J58" i="12"/>
  <c r="J31" i="12"/>
  <c r="J62" i="13"/>
  <c r="J60" i="12"/>
  <c r="H7" i="7"/>
  <c r="H45" i="11"/>
  <c r="H55" i="10"/>
  <c r="J12" i="3"/>
  <c r="J30" i="12"/>
  <c r="J103" i="12"/>
  <c r="J74" i="12"/>
  <c r="J63" i="13"/>
  <c r="J28" i="12"/>
  <c r="J57" i="12"/>
  <c r="J61" i="12"/>
  <c r="J27" i="12"/>
  <c r="H16" i="7"/>
  <c r="H43" i="11"/>
  <c r="H53" i="10"/>
  <c r="J59" i="12"/>
  <c r="F73" i="13"/>
  <c r="F65" i="13"/>
  <c r="F59" i="12"/>
  <c r="F61" i="12"/>
  <c r="F58" i="12"/>
  <c r="F74" i="12"/>
  <c r="F60" i="12"/>
  <c r="F57" i="12"/>
  <c r="F100" i="12"/>
  <c r="D20" i="7"/>
  <c r="D60" i="11"/>
  <c r="D70" i="10"/>
  <c r="F104" i="12"/>
  <c r="F29" i="12"/>
  <c r="F70" i="13"/>
  <c r="F106" i="12"/>
  <c r="D7" i="7"/>
  <c r="D45" i="11"/>
  <c r="D55" i="10"/>
  <c r="F12" i="3"/>
  <c r="F73" i="12"/>
  <c r="D8" i="7"/>
  <c r="D40" i="11"/>
  <c r="D50" i="10"/>
  <c r="F11" i="3"/>
  <c r="F31" i="12"/>
  <c r="D15" i="7"/>
  <c r="D42" i="11"/>
  <c r="D52" i="10"/>
  <c r="F103" i="12"/>
  <c r="F102" i="12"/>
  <c r="F28" i="12"/>
  <c r="H31" i="12"/>
  <c r="H28" i="12"/>
  <c r="H57" i="12"/>
  <c r="H59" i="12"/>
  <c r="H58" i="12"/>
  <c r="H66" i="13"/>
  <c r="F16" i="7"/>
  <c r="F43" i="11"/>
  <c r="F53" i="10"/>
  <c r="H61" i="12"/>
  <c r="H64" i="13"/>
  <c r="F18" i="7"/>
  <c r="F47" i="11"/>
  <c r="F57" i="10"/>
  <c r="H27" i="12"/>
  <c r="H24" i="14"/>
  <c r="H102" i="12"/>
  <c r="H73" i="12"/>
  <c r="H104" i="12"/>
  <c r="F15" i="7"/>
  <c r="F42" i="11"/>
  <c r="F52" i="10"/>
  <c r="H9" i="14"/>
  <c r="H12" i="14"/>
  <c r="F7" i="7"/>
  <c r="F45" i="11"/>
  <c r="F55" i="10"/>
  <c r="H12" i="3"/>
  <c r="H65" i="13"/>
  <c r="H100" i="12"/>
  <c r="H30" i="12"/>
  <c r="F20" i="7"/>
  <c r="F60" i="11"/>
  <c r="F70" i="10"/>
  <c r="C82" i="12"/>
  <c r="C92" i="12"/>
  <c r="C23" i="17"/>
  <c r="C52" i="13"/>
  <c r="C69" i="12"/>
  <c r="C77" i="12"/>
  <c r="C45" i="12"/>
  <c r="C45" i="17"/>
  <c r="C43" i="12"/>
  <c r="C56" i="12"/>
  <c r="C11" i="13"/>
  <c r="C90" i="12"/>
  <c r="C41" i="13"/>
  <c r="C54" i="12"/>
  <c r="C84" i="12"/>
  <c r="C24" i="13"/>
  <c r="C75" i="12"/>
  <c r="C47" i="12"/>
  <c r="C95" i="12"/>
  <c r="C36" i="13"/>
  <c r="C14" i="13"/>
  <c r="C63" i="12"/>
  <c r="T8" i="13"/>
  <c r="T24" i="13"/>
  <c r="T24" i="17"/>
  <c r="T92" i="12"/>
  <c r="T97" i="12"/>
  <c r="T33" i="14"/>
  <c r="T36" i="13"/>
  <c r="R27" i="10"/>
  <c r="T101" i="12"/>
  <c r="T29" i="14"/>
  <c r="T98" i="12"/>
  <c r="T19" i="17"/>
  <c r="T69" i="12"/>
  <c r="T8" i="17"/>
  <c r="T18" i="13"/>
  <c r="T57" i="13"/>
  <c r="T54" i="13"/>
  <c r="T11" i="13"/>
  <c r="T63" i="12"/>
  <c r="T15" i="13"/>
  <c r="T13" i="13"/>
  <c r="T23" i="14"/>
  <c r="T46" i="13"/>
  <c r="R27" i="11"/>
  <c r="R37" i="10"/>
  <c r="F15" i="13"/>
  <c r="F25" i="13"/>
  <c r="F34" i="13"/>
  <c r="D25" i="10"/>
  <c r="F16" i="14"/>
  <c r="F95" i="12"/>
  <c r="F41" i="13"/>
  <c r="D32" i="10"/>
  <c r="F17" i="13"/>
  <c r="F49" i="13"/>
  <c r="F99" i="12"/>
  <c r="F9" i="13"/>
  <c r="F27" i="14"/>
  <c r="F24" i="13"/>
  <c r="F52" i="13"/>
  <c r="F90" i="12"/>
  <c r="F53" i="13"/>
  <c r="F11" i="13"/>
  <c r="F37" i="13"/>
  <c r="D28" i="10"/>
  <c r="F29" i="14"/>
  <c r="F28" i="13"/>
  <c r="F8" i="17"/>
  <c r="F93" i="12"/>
  <c r="F55" i="13"/>
  <c r="H50" i="13"/>
  <c r="H97" i="12"/>
  <c r="H33" i="14"/>
  <c r="H29" i="13"/>
  <c r="H35" i="13"/>
  <c r="F26" i="10"/>
  <c r="H51" i="13"/>
  <c r="H41" i="13"/>
  <c r="F32" i="10"/>
  <c r="H16" i="14"/>
  <c r="H95" i="12"/>
  <c r="H93" i="12"/>
  <c r="H30" i="17"/>
  <c r="H14" i="13"/>
  <c r="H40" i="13"/>
  <c r="F31" i="10"/>
  <c r="H94" i="12"/>
  <c r="H47" i="13"/>
  <c r="F28" i="11"/>
  <c r="F38" i="10"/>
  <c r="H77" i="12"/>
  <c r="H88" i="12"/>
  <c r="H25" i="13"/>
  <c r="H9" i="13"/>
  <c r="H27" i="14"/>
  <c r="H53" i="13"/>
  <c r="H17" i="13"/>
  <c r="I27" i="12"/>
  <c r="I24" i="14"/>
  <c r="I60" i="12"/>
  <c r="I31" i="12"/>
  <c r="G20" i="7"/>
  <c r="G60" i="11"/>
  <c r="G70" i="10"/>
  <c r="I57" i="12"/>
  <c r="I30" i="12"/>
  <c r="I74" i="12"/>
  <c r="G16" i="7"/>
  <c r="G43" i="11"/>
  <c r="G53" i="10"/>
  <c r="I61" i="12"/>
  <c r="I28" i="12"/>
  <c r="I102" i="12"/>
  <c r="I64" i="13"/>
  <c r="G18" i="7"/>
  <c r="G47" i="11"/>
  <c r="G57" i="10"/>
  <c r="I73" i="12"/>
  <c r="I58" i="12"/>
  <c r="I34" i="14"/>
  <c r="I70" i="13"/>
  <c r="I12" i="14"/>
  <c r="G7" i="7"/>
  <c r="G45" i="11"/>
  <c r="G55" i="10"/>
  <c r="I12" i="3"/>
  <c r="I100" i="12"/>
  <c r="I59" i="12"/>
  <c r="I106" i="12"/>
  <c r="Z58" i="12"/>
  <c r="Z102" i="12"/>
  <c r="X7" i="7"/>
  <c r="X45" i="11"/>
  <c r="X55" i="10"/>
  <c r="Z12" i="3"/>
  <c r="Z71" i="13"/>
  <c r="Z57" i="12"/>
  <c r="Z59" i="12"/>
  <c r="Z60" i="12"/>
  <c r="Z62" i="13"/>
  <c r="Z7" i="14"/>
  <c r="Z10" i="14"/>
  <c r="Z103" i="12"/>
  <c r="Z63" i="13"/>
  <c r="Z100" i="12"/>
  <c r="X15" i="7"/>
  <c r="X42" i="11"/>
  <c r="X52" i="10"/>
  <c r="Z27" i="12"/>
  <c r="Z31" i="12"/>
  <c r="X16" i="7"/>
  <c r="X43" i="11"/>
  <c r="X53" i="10"/>
  <c r="Z29" i="12"/>
  <c r="Z30" i="12"/>
  <c r="Z74" i="12"/>
  <c r="Z61" i="12"/>
  <c r="Z28" i="12"/>
  <c r="N72" i="12"/>
  <c r="N34" i="13"/>
  <c r="L25" i="10"/>
  <c r="N105" i="12"/>
  <c r="N29" i="13"/>
  <c r="N14" i="13"/>
  <c r="N57" i="13"/>
  <c r="N39" i="13"/>
  <c r="L30" i="10"/>
  <c r="N25" i="13"/>
  <c r="N83" i="12"/>
  <c r="N38" i="13"/>
  <c r="L29" i="10"/>
  <c r="N7" i="17"/>
  <c r="N27" i="14"/>
  <c r="N8" i="13"/>
  <c r="N40" i="13"/>
  <c r="L31" i="10"/>
  <c r="N27" i="13"/>
  <c r="N53" i="12"/>
  <c r="N98" i="12"/>
  <c r="N84" i="12"/>
  <c r="N49" i="13"/>
  <c r="N87" i="12"/>
  <c r="N91" i="12"/>
  <c r="N47" i="13"/>
  <c r="L28" i="11"/>
  <c r="L38" i="10"/>
  <c r="Y22" i="10"/>
  <c r="Y65" i="10"/>
  <c r="Y25" i="4"/>
  <c r="AA30" i="13"/>
  <c r="AA16" i="13"/>
  <c r="Y17" i="10"/>
  <c r="Y14" i="10"/>
  <c r="AA42" i="13"/>
  <c r="Y23" i="10"/>
  <c r="Y46" i="4"/>
  <c r="Y8" i="10"/>
  <c r="AA19" i="13"/>
  <c r="Y62" i="10"/>
  <c r="Y32" i="4"/>
  <c r="Y16" i="2"/>
  <c r="Y7" i="10"/>
  <c r="Y21" i="10"/>
  <c r="Y11" i="10"/>
  <c r="Y14" i="2"/>
  <c r="Y10" i="10"/>
  <c r="Y19" i="10"/>
  <c r="Y9" i="10"/>
  <c r="Y16" i="10"/>
  <c r="Y12" i="10"/>
  <c r="Y18" i="10"/>
  <c r="Y64" i="10"/>
  <c r="AA58" i="13"/>
  <c r="Y36" i="11"/>
  <c r="Y46" i="10"/>
  <c r="Y53" i="4"/>
  <c r="Y18" i="2"/>
  <c r="Y6" i="10"/>
  <c r="Y11" i="4"/>
  <c r="Y12" i="2"/>
  <c r="Y6" i="15"/>
  <c r="Y20" i="10"/>
  <c r="Y13" i="10"/>
  <c r="W103" i="12"/>
  <c r="W60" i="12"/>
  <c r="U20" i="7"/>
  <c r="U60" i="11"/>
  <c r="U70" i="10"/>
  <c r="U8" i="7"/>
  <c r="U40" i="11"/>
  <c r="U50" i="10"/>
  <c r="W11" i="3"/>
  <c r="W61" i="12"/>
  <c r="W73" i="12"/>
  <c r="W106" i="12"/>
  <c r="U16" i="7"/>
  <c r="U43" i="11"/>
  <c r="U53" i="10"/>
  <c r="W31" i="12"/>
  <c r="U15" i="7"/>
  <c r="U42" i="11"/>
  <c r="U52" i="10"/>
  <c r="W28" i="12"/>
  <c r="W59" i="12"/>
  <c r="W7" i="14"/>
  <c r="U7" i="7"/>
  <c r="U45" i="11"/>
  <c r="U55" i="10"/>
  <c r="W12" i="3"/>
  <c r="W74" i="12"/>
  <c r="W29" i="12"/>
  <c r="W104" i="12"/>
  <c r="W57" i="12"/>
  <c r="W25" i="14"/>
  <c r="W102" i="12"/>
  <c r="W72" i="13"/>
  <c r="W100" i="12"/>
  <c r="Y35" i="13"/>
  <c r="W26" i="10"/>
  <c r="Y55" i="13"/>
  <c r="Y84" i="12"/>
  <c r="Y50" i="12"/>
  <c r="Y23" i="13"/>
  <c r="Y54" i="13"/>
  <c r="Y57" i="13"/>
  <c r="Y11" i="13"/>
  <c r="Y88" i="12"/>
  <c r="Y18" i="17"/>
  <c r="Y36" i="13"/>
  <c r="W27" i="10"/>
  <c r="Y52" i="13"/>
  <c r="Y26" i="13"/>
  <c r="Y10" i="17"/>
  <c r="Y37" i="13"/>
  <c r="W28" i="10"/>
  <c r="Y97" i="12"/>
  <c r="Y77" i="12"/>
  <c r="Y65" i="12"/>
  <c r="Y29" i="13"/>
  <c r="Y95" i="12"/>
  <c r="Y12" i="13"/>
  <c r="Y81" i="12"/>
  <c r="Z56" i="13"/>
  <c r="Z28" i="17"/>
  <c r="Z23" i="17"/>
  <c r="Z22" i="14"/>
  <c r="Z86" i="12"/>
  <c r="Z72" i="12"/>
  <c r="Z28" i="13"/>
  <c r="Z53" i="13"/>
  <c r="Z11" i="13"/>
  <c r="Z88" i="12"/>
  <c r="Z85" i="12"/>
  <c r="Z51" i="13"/>
  <c r="Z66" i="12"/>
  <c r="Z79" i="12"/>
  <c r="Z12" i="13"/>
  <c r="Z91" i="12"/>
  <c r="Z37" i="13"/>
  <c r="X28" i="10"/>
  <c r="Z52" i="13"/>
  <c r="Z95" i="12"/>
  <c r="Z18" i="13"/>
  <c r="Z25" i="13"/>
  <c r="Z64" i="12"/>
  <c r="X50" i="12"/>
  <c r="X93" i="12"/>
  <c r="X36" i="13"/>
  <c r="V27" i="10"/>
  <c r="X54" i="13"/>
  <c r="X13" i="13"/>
  <c r="X27" i="13"/>
  <c r="X90" i="12"/>
  <c r="X27" i="17"/>
  <c r="X33" i="14"/>
  <c r="X55" i="13"/>
  <c r="X75" i="12"/>
  <c r="X28" i="13"/>
  <c r="X9" i="13"/>
  <c r="X14" i="13"/>
  <c r="X37" i="13"/>
  <c r="V28" i="10"/>
  <c r="X97" i="12"/>
  <c r="X99" i="12"/>
  <c r="X39" i="13"/>
  <c r="V30" i="10"/>
  <c r="X10" i="17"/>
  <c r="X77" i="12"/>
  <c r="X88" i="12"/>
  <c r="X23" i="17"/>
  <c r="D101" i="12"/>
  <c r="D50" i="13"/>
  <c r="D26" i="13"/>
  <c r="D30" i="17"/>
  <c r="D8" i="13"/>
  <c r="D9" i="13"/>
  <c r="D92" i="12"/>
  <c r="D37" i="13"/>
  <c r="D55" i="13"/>
  <c r="D52" i="13"/>
  <c r="D36" i="13"/>
  <c r="D54" i="13"/>
  <c r="D11" i="17"/>
  <c r="D85" i="12"/>
  <c r="D18" i="17"/>
  <c r="D78" i="12"/>
  <c r="D71" i="12"/>
  <c r="D63" i="12"/>
  <c r="D18" i="13"/>
  <c r="D17" i="13"/>
  <c r="D97" i="12"/>
  <c r="D13" i="13"/>
  <c r="O51" i="12"/>
  <c r="O88" i="12"/>
  <c r="O23" i="13"/>
  <c r="O98" i="12"/>
  <c r="O105" i="12"/>
  <c r="O34" i="13"/>
  <c r="M25" i="10"/>
  <c r="O27" i="13"/>
  <c r="O26" i="13"/>
  <c r="O91" i="12"/>
  <c r="O94" i="12"/>
  <c r="O40" i="13"/>
  <c r="M31" i="10"/>
  <c r="O10" i="13"/>
  <c r="O29" i="13"/>
  <c r="O36" i="13"/>
  <c r="M27" i="10"/>
  <c r="O15" i="13"/>
  <c r="O14" i="13"/>
  <c r="O75" i="12"/>
  <c r="O49" i="13"/>
  <c r="O76" i="12"/>
  <c r="O47" i="13"/>
  <c r="M28" i="11"/>
  <c r="M38" i="10"/>
  <c r="O11" i="17"/>
  <c r="O89" i="12"/>
  <c r="Q13" i="13"/>
  <c r="Q39" i="13"/>
  <c r="O30" i="10"/>
  <c r="Q15" i="14"/>
  <c r="Q87" i="12"/>
  <c r="Q19" i="17"/>
  <c r="Q92" i="12"/>
  <c r="Q46" i="13"/>
  <c r="O27" i="11"/>
  <c r="O37" i="10"/>
  <c r="Q15" i="13"/>
  <c r="Q97" i="12"/>
  <c r="Q49" i="12"/>
  <c r="Q65" i="12"/>
  <c r="Q8" i="13"/>
  <c r="Q80" i="12"/>
  <c r="Q34" i="13"/>
  <c r="O25" i="10"/>
  <c r="Q89" i="12"/>
  <c r="Q96" i="12"/>
  <c r="Q12" i="13"/>
  <c r="Q78" i="12"/>
  <c r="Q28" i="13"/>
  <c r="Q38" i="13"/>
  <c r="O29" i="10"/>
  <c r="Q52" i="13"/>
  <c r="Q47" i="13"/>
  <c r="O28" i="11"/>
  <c r="O38" i="10"/>
  <c r="Q15" i="7"/>
  <c r="Q42" i="11"/>
  <c r="Q52" i="10"/>
  <c r="S57" i="12"/>
  <c r="S106" i="12"/>
  <c r="Q7" i="7"/>
  <c r="Q45" i="11"/>
  <c r="Q55" i="10"/>
  <c r="S12" i="3"/>
  <c r="S29" i="12"/>
  <c r="S59" i="12"/>
  <c r="S104" i="12"/>
  <c r="S58" i="12"/>
  <c r="S73" i="12"/>
  <c r="S70" i="13"/>
  <c r="Q20" i="7"/>
  <c r="Q60" i="11"/>
  <c r="Q70" i="10"/>
  <c r="S28" i="12"/>
  <c r="S35" i="14"/>
  <c r="S102" i="12"/>
  <c r="S74" i="13"/>
  <c r="Q19" i="7"/>
  <c r="Q48" i="11"/>
  <c r="Q58" i="10"/>
  <c r="Q18" i="4"/>
  <c r="Q20" i="2"/>
  <c r="S30" i="12"/>
  <c r="S61" i="12"/>
  <c r="S9" i="14"/>
  <c r="S62" i="13"/>
  <c r="S74" i="12"/>
  <c r="S27" i="12"/>
  <c r="Q16" i="7"/>
  <c r="Q43" i="11"/>
  <c r="Q53" i="10"/>
  <c r="C20" i="7"/>
  <c r="C60" i="11"/>
  <c r="C70" i="10"/>
  <c r="E59" i="12"/>
  <c r="C8" i="7"/>
  <c r="C40" i="11"/>
  <c r="C50" i="10"/>
  <c r="E11" i="3"/>
  <c r="E27" i="12"/>
  <c r="E106" i="12"/>
  <c r="E9" i="14"/>
  <c r="E30" i="12"/>
  <c r="E29" i="12"/>
  <c r="E104" i="12"/>
  <c r="E58" i="12"/>
  <c r="E74" i="12"/>
  <c r="E60" i="12"/>
  <c r="E28" i="12"/>
  <c r="E31" i="12"/>
  <c r="C7" i="7"/>
  <c r="C45" i="11"/>
  <c r="C55" i="10"/>
  <c r="E12" i="3"/>
  <c r="E57" i="12"/>
  <c r="E61" i="12"/>
  <c r="E73" i="12"/>
  <c r="E68" i="13"/>
  <c r="E63" i="13"/>
  <c r="E74" i="13"/>
  <c r="C19" i="7"/>
  <c r="C48" i="11"/>
  <c r="C58" i="10"/>
  <c r="C18" i="4"/>
  <c r="C20" i="2"/>
  <c r="E102" i="12"/>
  <c r="G36" i="13"/>
  <c r="E27" i="10"/>
  <c r="G86" i="12"/>
  <c r="G24" i="13"/>
  <c r="G54" i="13"/>
  <c r="G29" i="14"/>
  <c r="G97" i="12"/>
  <c r="G52" i="13"/>
  <c r="G83" i="12"/>
  <c r="G18" i="13"/>
  <c r="G28" i="13"/>
  <c r="G51" i="13"/>
  <c r="G13" i="13"/>
  <c r="G10" i="17"/>
  <c r="G16" i="14"/>
  <c r="G57" i="17"/>
  <c r="G67" i="12"/>
  <c r="G27" i="13"/>
  <c r="G41" i="13"/>
  <c r="E32" i="10"/>
  <c r="G25" i="13"/>
  <c r="G90" i="12"/>
  <c r="G15" i="13"/>
  <c r="G99" i="12"/>
  <c r="X29" i="12"/>
  <c r="X30" i="12"/>
  <c r="X73" i="12"/>
  <c r="X31" i="12"/>
  <c r="X28" i="12"/>
  <c r="X11" i="14"/>
  <c r="I30" i="17"/>
  <c r="X74" i="12"/>
  <c r="X60" i="12"/>
  <c r="X100" i="12"/>
  <c r="I53" i="13"/>
  <c r="I91" i="12"/>
  <c r="V15" i="7"/>
  <c r="V42" i="11"/>
  <c r="V52" i="10"/>
  <c r="I88" i="12"/>
  <c r="X71" i="13"/>
  <c r="I11" i="13"/>
  <c r="X58" i="12"/>
  <c r="I8" i="17"/>
  <c r="I50" i="13"/>
  <c r="V20" i="7"/>
  <c r="V60" i="11"/>
  <c r="V70" i="10"/>
  <c r="X63" i="13"/>
  <c r="X61" i="12"/>
  <c r="I14" i="13"/>
  <c r="I40" i="13"/>
  <c r="G31" i="10"/>
  <c r="X102" i="12"/>
  <c r="X57" i="12"/>
  <c r="I27" i="14"/>
  <c r="X68" i="13"/>
  <c r="I84" i="12"/>
  <c r="X104" i="12"/>
  <c r="I97" i="12"/>
  <c r="X59" i="12"/>
  <c r="I95" i="12"/>
  <c r="X106" i="12"/>
  <c r="I81" i="12"/>
  <c r="I79" i="12"/>
  <c r="V16" i="7"/>
  <c r="V43" i="11"/>
  <c r="V53" i="10"/>
  <c r="I50" i="12"/>
  <c r="I94" i="12"/>
  <c r="I35" i="13"/>
  <c r="G26" i="10"/>
  <c r="I52" i="13"/>
  <c r="I39" i="13"/>
  <c r="G30" i="10"/>
  <c r="I49" i="13"/>
  <c r="I23" i="13"/>
  <c r="E40" i="13"/>
  <c r="C31" i="10"/>
  <c r="E71" i="12"/>
  <c r="E17" i="13"/>
  <c r="E69" i="12"/>
  <c r="E92" i="12"/>
  <c r="E54" i="13"/>
  <c r="E33" i="14"/>
  <c r="E54" i="12"/>
  <c r="E53" i="13"/>
  <c r="E45" i="12"/>
  <c r="E9" i="13"/>
  <c r="E85" i="12"/>
  <c r="E101" i="12"/>
  <c r="E88" i="12"/>
  <c r="E49" i="13"/>
  <c r="E99" i="12"/>
  <c r="E16" i="14"/>
  <c r="E8" i="17"/>
  <c r="E26" i="13"/>
  <c r="E15" i="13"/>
  <c r="E36" i="13"/>
  <c r="C27" i="10"/>
  <c r="E8" i="13"/>
  <c r="V29" i="14"/>
  <c r="V28" i="13"/>
  <c r="V8" i="17"/>
  <c r="V46" i="17"/>
  <c r="V57" i="13"/>
  <c r="V76" i="12"/>
  <c r="V38" i="13"/>
  <c r="T29" i="10"/>
  <c r="V50" i="17"/>
  <c r="V15" i="13"/>
  <c r="V92" i="12"/>
  <c r="V52" i="12"/>
  <c r="V71" i="12"/>
  <c r="V99" i="12"/>
  <c r="V11" i="13"/>
  <c r="V8" i="13"/>
  <c r="V24" i="17"/>
  <c r="V90" i="12"/>
  <c r="V56" i="13"/>
  <c r="V37" i="13"/>
  <c r="T28" i="10"/>
  <c r="V24" i="13"/>
  <c r="V95" i="12"/>
  <c r="V53" i="13"/>
  <c r="P74" i="13"/>
  <c r="N19" i="7"/>
  <c r="N48" i="11"/>
  <c r="N58" i="10"/>
  <c r="N18" i="4"/>
  <c r="N20" i="2"/>
  <c r="P61" i="12"/>
  <c r="N15" i="7"/>
  <c r="N42" i="11"/>
  <c r="N52" i="10"/>
  <c r="P58" i="12"/>
  <c r="P30" i="12"/>
  <c r="N16" i="7"/>
  <c r="N43" i="11"/>
  <c r="N53" i="10"/>
  <c r="P60" i="12"/>
  <c r="N20" i="7"/>
  <c r="N60" i="11"/>
  <c r="N70" i="10"/>
  <c r="P27" i="12"/>
  <c r="P29" i="12"/>
  <c r="N8" i="7"/>
  <c r="N40" i="11"/>
  <c r="N50" i="10"/>
  <c r="P11" i="3"/>
  <c r="N7" i="7"/>
  <c r="N45" i="11"/>
  <c r="N55" i="10"/>
  <c r="P12" i="3"/>
  <c r="P102" i="12"/>
  <c r="P106" i="12"/>
  <c r="P59" i="12"/>
  <c r="P65" i="13"/>
  <c r="P100" i="12"/>
  <c r="P71" i="13"/>
  <c r="P73" i="12"/>
  <c r="P24" i="14"/>
  <c r="P74" i="12"/>
  <c r="P103" i="12"/>
  <c r="J41" i="13"/>
  <c r="H32" i="10"/>
  <c r="J35" i="13"/>
  <c r="H26" i="10"/>
  <c r="J91" i="12"/>
  <c r="J51" i="13"/>
  <c r="J81" i="12"/>
  <c r="J72" i="12"/>
  <c r="J34" i="13"/>
  <c r="H25" i="10"/>
  <c r="J29" i="14"/>
  <c r="J95" i="12"/>
  <c r="J18" i="13"/>
  <c r="J12" i="13"/>
  <c r="J49" i="13"/>
  <c r="J66" i="12"/>
  <c r="J88" i="12"/>
  <c r="J53" i="13"/>
  <c r="J86" i="12"/>
  <c r="J14" i="13"/>
  <c r="J27" i="13"/>
  <c r="J92" i="12"/>
  <c r="J52" i="13"/>
  <c r="J25" i="13"/>
  <c r="J11" i="13"/>
  <c r="R56" i="13"/>
  <c r="R15" i="13"/>
  <c r="R80" i="12"/>
  <c r="R28" i="13"/>
  <c r="R67" i="12"/>
  <c r="R34" i="13"/>
  <c r="P25" i="10"/>
  <c r="R49" i="12"/>
  <c r="R65" i="12"/>
  <c r="R94" i="12"/>
  <c r="R23" i="13"/>
  <c r="R11" i="13"/>
  <c r="R12" i="13"/>
  <c r="R96" i="12"/>
  <c r="R38" i="13"/>
  <c r="P29" i="10"/>
  <c r="R99" i="12"/>
  <c r="R22" i="14"/>
  <c r="R10" i="13"/>
  <c r="R39" i="13"/>
  <c r="P30" i="10"/>
  <c r="R87" i="12"/>
  <c r="R26" i="13"/>
  <c r="R33" i="14"/>
  <c r="R11" i="17"/>
  <c r="U17" i="13"/>
  <c r="U54" i="12"/>
  <c r="U56" i="13"/>
  <c r="U92" i="12"/>
  <c r="U38" i="13"/>
  <c r="S29" i="10"/>
  <c r="U26" i="13"/>
  <c r="U57" i="13"/>
  <c r="U69" i="12"/>
  <c r="U86" i="12"/>
  <c r="U33" i="14"/>
  <c r="U36" i="13"/>
  <c r="S27" i="10"/>
  <c r="U101" i="12"/>
  <c r="U88" i="12"/>
  <c r="U85" i="12"/>
  <c r="U28" i="13"/>
  <c r="U18" i="13"/>
  <c r="U9" i="13"/>
  <c r="U8" i="13"/>
  <c r="U46" i="13"/>
  <c r="S27" i="11"/>
  <c r="S37" i="10"/>
  <c r="U99" i="12"/>
  <c r="U15" i="13"/>
  <c r="U82" i="12"/>
  <c r="W13" i="13"/>
  <c r="W57" i="13"/>
  <c r="W90" i="12"/>
  <c r="W52" i="13"/>
  <c r="W41" i="13"/>
  <c r="U32" i="10"/>
  <c r="W26" i="13"/>
  <c r="W28" i="13"/>
  <c r="W25" i="13"/>
  <c r="W48" i="17"/>
  <c r="W99" i="12"/>
  <c r="W67" i="12"/>
  <c r="W24" i="13"/>
  <c r="W15" i="13"/>
  <c r="W37" i="13"/>
  <c r="U28" i="10"/>
  <c r="W55" i="13"/>
  <c r="W86" i="12"/>
  <c r="W83" i="12"/>
  <c r="W18" i="13"/>
  <c r="W97" i="12"/>
  <c r="W56" i="13"/>
  <c r="W46" i="13"/>
  <c r="U27" i="11"/>
  <c r="U37" i="10"/>
  <c r="W36" i="13"/>
  <c r="U27" i="10"/>
  <c r="AA95" i="12"/>
  <c r="AA52" i="13"/>
  <c r="AA79" i="12"/>
  <c r="AA12" i="13"/>
  <c r="AA41" i="13"/>
  <c r="Y32" i="10"/>
  <c r="AA11" i="13"/>
  <c r="AA26" i="13"/>
  <c r="AA27" i="13"/>
  <c r="AA25" i="13"/>
  <c r="AA34" i="13"/>
  <c r="Y25" i="10"/>
  <c r="AA56" i="13"/>
  <c r="AA14" i="13"/>
  <c r="AA93" i="12"/>
  <c r="AA55" i="13"/>
  <c r="AA54" i="17"/>
  <c r="AA50" i="13"/>
  <c r="AA37" i="13"/>
  <c r="Y28" i="10"/>
  <c r="AA18" i="13"/>
  <c r="AA98" i="12"/>
  <c r="AA9" i="13"/>
  <c r="AA53" i="13"/>
  <c r="AA28" i="17"/>
  <c r="K40" i="13"/>
  <c r="I31" i="10"/>
  <c r="K35" i="13"/>
  <c r="I26" i="10"/>
  <c r="K95" i="12"/>
  <c r="K14" i="13"/>
  <c r="K79" i="12"/>
  <c r="K64" i="12"/>
  <c r="K34" i="13"/>
  <c r="I25" i="10"/>
  <c r="K52" i="13"/>
  <c r="K16" i="14"/>
  <c r="K10" i="13"/>
  <c r="K11" i="13"/>
  <c r="K81" i="12"/>
  <c r="K27" i="13"/>
  <c r="K25" i="13"/>
  <c r="K50" i="13"/>
  <c r="K93" i="12"/>
  <c r="K51" i="13"/>
  <c r="K9" i="13"/>
  <c r="K98" i="12"/>
  <c r="K68" i="12"/>
  <c r="K41" i="13"/>
  <c r="I32" i="10"/>
  <c r="K18" i="13"/>
  <c r="L50" i="13"/>
  <c r="L46" i="13"/>
  <c r="J27" i="11"/>
  <c r="J37" i="10"/>
  <c r="L89" i="12"/>
  <c r="L35" i="13"/>
  <c r="J26" i="10"/>
  <c r="L27" i="14"/>
  <c r="L84" i="12"/>
  <c r="L22" i="14"/>
  <c r="L51" i="13"/>
  <c r="L49" i="13"/>
  <c r="L18" i="13"/>
  <c r="L40" i="13"/>
  <c r="J31" i="10"/>
  <c r="L29" i="13"/>
  <c r="L41" i="13"/>
  <c r="J32" i="10"/>
  <c r="L93" i="12"/>
  <c r="L86" i="12"/>
  <c r="L96" i="12"/>
  <c r="L23" i="13"/>
  <c r="L10" i="13"/>
  <c r="L55" i="12"/>
  <c r="L105" i="12"/>
  <c r="L9" i="13"/>
  <c r="L70" i="12"/>
  <c r="L31" i="12"/>
  <c r="L103" i="12"/>
  <c r="L102" i="12"/>
  <c r="L8" i="14"/>
  <c r="L73" i="12"/>
  <c r="L29" i="12"/>
  <c r="J16" i="7"/>
  <c r="J43" i="11"/>
  <c r="J53" i="10"/>
  <c r="L106" i="12"/>
  <c r="L61" i="12"/>
  <c r="L27" i="12"/>
  <c r="L28" i="12"/>
  <c r="J8" i="7"/>
  <c r="J40" i="11"/>
  <c r="J50" i="10"/>
  <c r="L11" i="3"/>
  <c r="L64" i="13"/>
  <c r="J18" i="7"/>
  <c r="J47" i="11"/>
  <c r="J57" i="10"/>
  <c r="L74" i="12"/>
  <c r="J20" i="7"/>
  <c r="J60" i="11"/>
  <c r="J70" i="10"/>
  <c r="L58" i="12"/>
  <c r="L59" i="12"/>
  <c r="L60" i="12"/>
  <c r="L100" i="12"/>
  <c r="L30" i="12"/>
  <c r="L62" i="13"/>
  <c r="L69" i="13"/>
  <c r="P66" i="12"/>
  <c r="P84" i="12"/>
  <c r="P56" i="13"/>
  <c r="P27" i="13"/>
  <c r="P12" i="13"/>
  <c r="P50" i="13"/>
  <c r="P105" i="12"/>
  <c r="P98" i="12"/>
  <c r="P22" i="14"/>
  <c r="P29" i="13"/>
  <c r="P47" i="13"/>
  <c r="N28" i="11"/>
  <c r="N38" i="10"/>
  <c r="P82" i="12"/>
  <c r="P89" i="12"/>
  <c r="P46" i="13"/>
  <c r="N27" i="11"/>
  <c r="N37" i="10"/>
  <c r="P85" i="12"/>
  <c r="P101" i="12"/>
  <c r="P40" i="13"/>
  <c r="N31" i="10"/>
  <c r="P23" i="13"/>
  <c r="P17" i="13"/>
  <c r="P96" i="12"/>
  <c r="P37" i="13"/>
  <c r="N28" i="10"/>
  <c r="P14" i="13"/>
  <c r="S89" i="12"/>
  <c r="S28" i="13"/>
  <c r="S28" i="14"/>
  <c r="S11" i="13"/>
  <c r="S26" i="13"/>
  <c r="S94" i="12"/>
  <c r="S105" i="12"/>
  <c r="S38" i="13"/>
  <c r="Q29" i="10"/>
  <c r="S87" i="12"/>
  <c r="S55" i="13"/>
  <c r="S71" i="12"/>
  <c r="S90" i="12"/>
  <c r="S10" i="13"/>
  <c r="S24" i="13"/>
  <c r="S56" i="13"/>
  <c r="S23" i="13"/>
  <c r="S11" i="17"/>
  <c r="S101" i="12"/>
  <c r="S85" i="12"/>
  <c r="S19" i="17"/>
  <c r="S17" i="13"/>
  <c r="S47" i="13"/>
  <c r="Q28" i="11"/>
  <c r="Q38" i="10"/>
  <c r="M22" i="14"/>
  <c r="M35" i="13"/>
  <c r="K26" i="10"/>
  <c r="M50" i="13"/>
  <c r="M39" i="13"/>
  <c r="K30" i="10"/>
  <c r="M90" i="12"/>
  <c r="M17" i="13"/>
  <c r="M43" i="17"/>
  <c r="M11" i="13"/>
  <c r="M29" i="13"/>
  <c r="M16" i="14"/>
  <c r="M51" i="13"/>
  <c r="M49" i="13"/>
  <c r="M25" i="13"/>
  <c r="M93" i="12"/>
  <c r="M40" i="13"/>
  <c r="K31" i="10"/>
  <c r="M12" i="13"/>
  <c r="M9" i="13"/>
  <c r="M91" i="12"/>
  <c r="M77" i="12"/>
  <c r="M96" i="12"/>
  <c r="M95" i="12"/>
  <c r="M10" i="13"/>
  <c r="G65" i="10"/>
  <c r="G25" i="4"/>
  <c r="G18" i="10"/>
  <c r="G7" i="10"/>
  <c r="G16" i="10"/>
  <c r="G6" i="10"/>
  <c r="G11" i="4"/>
  <c r="G12" i="2"/>
  <c r="G6" i="15"/>
  <c r="G19" i="10"/>
  <c r="G10" i="10"/>
  <c r="G8" i="10"/>
  <c r="G64" i="10"/>
  <c r="G9" i="10"/>
  <c r="G11" i="10"/>
  <c r="G14" i="2"/>
  <c r="G12" i="10"/>
  <c r="I19" i="13"/>
  <c r="G62" i="10"/>
  <c r="G32" i="4"/>
  <c r="G16" i="2"/>
  <c r="G21" i="10"/>
  <c r="G13" i="10"/>
  <c r="I42" i="13"/>
  <c r="G23" i="10"/>
  <c r="G46" i="4"/>
  <c r="I30" i="13"/>
  <c r="I16" i="13"/>
  <c r="G17" i="10"/>
  <c r="G22" i="10"/>
  <c r="I58" i="13"/>
  <c r="G36" i="11"/>
  <c r="G46" i="10"/>
  <c r="G53" i="4"/>
  <c r="G18" i="2"/>
  <c r="G14" i="10"/>
  <c r="G20" i="10"/>
  <c r="C87" i="12"/>
  <c r="C47" i="13"/>
  <c r="C28" i="14"/>
  <c r="C101" i="12"/>
  <c r="C85" i="12"/>
  <c r="C93" i="12"/>
  <c r="C23" i="14"/>
  <c r="C27" i="13"/>
  <c r="C55" i="13"/>
  <c r="C17" i="13"/>
  <c r="C89" i="12"/>
  <c r="C56" i="13"/>
  <c r="C37" i="13"/>
  <c r="C34" i="13"/>
  <c r="C94" i="12"/>
  <c r="C71" i="12"/>
  <c r="C25" i="13"/>
  <c r="C24" i="17"/>
  <c r="C10" i="13"/>
  <c r="C28" i="13"/>
  <c r="C23" i="13"/>
  <c r="C105" i="12"/>
  <c r="V41" i="13"/>
  <c r="T32" i="10"/>
  <c r="V75" i="17"/>
  <c r="V27" i="13"/>
  <c r="V50" i="13"/>
  <c r="V10" i="13"/>
  <c r="V105" i="12"/>
  <c r="V49" i="13"/>
  <c r="V35" i="13"/>
  <c r="T26" i="10"/>
  <c r="V16" i="14"/>
  <c r="V26" i="13"/>
  <c r="V23" i="13"/>
  <c r="V29" i="13"/>
  <c r="V52" i="13"/>
  <c r="V98" i="12"/>
  <c r="V27" i="14"/>
  <c r="V14" i="13"/>
  <c r="V33" i="17"/>
  <c r="V34" i="13"/>
  <c r="T25" i="10"/>
  <c r="V28" i="17"/>
  <c r="V25" i="17"/>
  <c r="V46" i="13"/>
  <c r="T27" i="11"/>
  <c r="T37" i="10"/>
  <c r="V94" i="12"/>
  <c r="J64" i="10"/>
  <c r="J9" i="10"/>
  <c r="J18" i="10"/>
  <c r="J11" i="10"/>
  <c r="J14" i="2"/>
  <c r="J14" i="10"/>
  <c r="J19" i="10"/>
  <c r="J16" i="10"/>
  <c r="J6" i="10"/>
  <c r="J11" i="4"/>
  <c r="J12" i="2"/>
  <c r="J6" i="15"/>
  <c r="L42" i="13"/>
  <c r="J23" i="10"/>
  <c r="J46" i="4"/>
  <c r="L19" i="13"/>
  <c r="J62" i="10"/>
  <c r="J32" i="4"/>
  <c r="J16" i="2"/>
  <c r="J12" i="10"/>
  <c r="L58" i="13"/>
  <c r="J36" i="11"/>
  <c r="J46" i="10"/>
  <c r="J53" i="4"/>
  <c r="J18" i="2"/>
  <c r="J13" i="10"/>
  <c r="J21" i="10"/>
  <c r="L30" i="13"/>
  <c r="L16" i="13"/>
  <c r="J17" i="10"/>
  <c r="J22" i="10"/>
  <c r="J65" i="10"/>
  <c r="J25" i="4"/>
  <c r="J8" i="10"/>
  <c r="J7" i="10"/>
  <c r="J10" i="10"/>
  <c r="J20" i="10"/>
  <c r="K19" i="13"/>
  <c r="I62" i="10"/>
  <c r="I32" i="4"/>
  <c r="I16" i="2"/>
  <c r="I22" i="10"/>
  <c r="I18" i="10"/>
  <c r="I64" i="10"/>
  <c r="I11" i="10"/>
  <c r="I14" i="2"/>
  <c r="I6" i="10"/>
  <c r="I11" i="4"/>
  <c r="I12" i="2"/>
  <c r="I6" i="15"/>
  <c r="I12" i="10"/>
  <c r="I9" i="10"/>
  <c r="I20" i="10"/>
  <c r="I19" i="10"/>
  <c r="K58" i="13"/>
  <c r="I36" i="11"/>
  <c r="I46" i="10"/>
  <c r="I53" i="4"/>
  <c r="I18" i="2"/>
  <c r="K30" i="13"/>
  <c r="K16" i="13"/>
  <c r="I17" i="10"/>
  <c r="I14" i="10"/>
  <c r="I16" i="10"/>
  <c r="I8" i="10"/>
  <c r="I13" i="10"/>
  <c r="I10" i="10"/>
  <c r="I21" i="10"/>
  <c r="I65" i="10"/>
  <c r="I25" i="4"/>
  <c r="I7" i="10"/>
  <c r="K42" i="13"/>
  <c r="I23" i="10"/>
  <c r="I46" i="4"/>
  <c r="S93" i="12"/>
  <c r="S25" i="13"/>
  <c r="S46" i="17"/>
  <c r="S54" i="17"/>
  <c r="S41" i="13"/>
  <c r="Q32" i="10"/>
  <c r="S36" i="13"/>
  <c r="Q27" i="10"/>
  <c r="S8" i="17"/>
  <c r="S51" i="13"/>
  <c r="S26" i="17"/>
  <c r="S29" i="13"/>
  <c r="S33" i="14"/>
  <c r="S57" i="13"/>
  <c r="S27" i="17"/>
  <c r="S52" i="13"/>
  <c r="S50" i="13"/>
  <c r="S24" i="17"/>
  <c r="S9" i="13"/>
  <c r="S23" i="14"/>
  <c r="S40" i="13"/>
  <c r="Q31" i="10"/>
  <c r="S75" i="17"/>
  <c r="S39" i="13"/>
  <c r="Q30" i="10"/>
  <c r="S29" i="14"/>
  <c r="D94" i="12"/>
  <c r="D37" i="17"/>
  <c r="D96" i="12"/>
  <c r="D12" i="13"/>
  <c r="D57" i="13"/>
  <c r="D47" i="13"/>
  <c r="D34" i="13"/>
  <c r="D40" i="13"/>
  <c r="D33" i="14"/>
  <c r="D27" i="13"/>
  <c r="D29" i="13"/>
  <c r="D15" i="14"/>
  <c r="D23" i="14"/>
  <c r="D10" i="17"/>
  <c r="D49" i="13"/>
  <c r="D25" i="13"/>
  <c r="D23" i="17"/>
  <c r="D8" i="17"/>
  <c r="D28" i="13"/>
  <c r="D14" i="13"/>
  <c r="D10" i="13"/>
  <c r="D16" i="14"/>
  <c r="T96" i="12"/>
  <c r="T27" i="13"/>
  <c r="T25" i="17"/>
  <c r="T41" i="13"/>
  <c r="R32" i="10"/>
  <c r="T89" i="17"/>
  <c r="T16" i="14"/>
  <c r="T39" i="13"/>
  <c r="R30" i="10"/>
  <c r="T25" i="13"/>
  <c r="T34" i="13"/>
  <c r="R25" i="10"/>
  <c r="T49" i="13"/>
  <c r="T14" i="13"/>
  <c r="T28" i="13"/>
  <c r="T17" i="13"/>
  <c r="T27" i="17"/>
  <c r="T78" i="12"/>
  <c r="T51" i="13"/>
  <c r="T10" i="13"/>
  <c r="T94" i="12"/>
  <c r="T26" i="17"/>
  <c r="T52" i="13"/>
  <c r="T47" i="13"/>
  <c r="R28" i="11"/>
  <c r="R38" i="10"/>
  <c r="T12" i="13"/>
  <c r="U50" i="13"/>
  <c r="U29" i="14"/>
  <c r="U14" i="13"/>
  <c r="U39" i="13"/>
  <c r="S30" i="10"/>
  <c r="U37" i="13"/>
  <c r="S28" i="10"/>
  <c r="U8" i="17"/>
  <c r="U16" i="14"/>
  <c r="U26" i="17"/>
  <c r="U27" i="13"/>
  <c r="U55" i="13"/>
  <c r="U50" i="17"/>
  <c r="U29" i="13"/>
  <c r="U40" i="13"/>
  <c r="S31" i="10"/>
  <c r="U41" i="13"/>
  <c r="S32" i="10"/>
  <c r="U25" i="13"/>
  <c r="U87" i="12"/>
  <c r="U53" i="13"/>
  <c r="U35" i="13"/>
  <c r="S26" i="10"/>
  <c r="U23" i="13"/>
  <c r="U25" i="17"/>
  <c r="U98" i="12"/>
  <c r="U27" i="14"/>
  <c r="W12" i="13"/>
  <c r="W23" i="13"/>
  <c r="W29" i="14"/>
  <c r="W47" i="13"/>
  <c r="U28" i="11"/>
  <c r="U38" i="10"/>
  <c r="W24" i="17"/>
  <c r="W51" i="13"/>
  <c r="W105" i="12"/>
  <c r="W39" i="13"/>
  <c r="U30" i="10"/>
  <c r="W53" i="13"/>
  <c r="W85" i="12"/>
  <c r="W23" i="17"/>
  <c r="W17" i="13"/>
  <c r="W38" i="13"/>
  <c r="U29" i="10"/>
  <c r="W101" i="12"/>
  <c r="W16" i="14"/>
  <c r="W8" i="17"/>
  <c r="W29" i="13"/>
  <c r="W62" i="17"/>
  <c r="W27" i="14"/>
  <c r="W34" i="13"/>
  <c r="U25" i="10"/>
  <c r="W35" i="13"/>
  <c r="U26" i="10"/>
  <c r="W96" i="12"/>
  <c r="C58" i="13"/>
  <c r="C42" i="13"/>
  <c r="C19" i="13"/>
  <c r="C30" i="13"/>
  <c r="C16" i="13"/>
  <c r="K101" i="12"/>
  <c r="K13" i="13"/>
  <c r="K11" i="18"/>
  <c r="K9" i="17"/>
  <c r="K20" i="17"/>
  <c r="K49" i="13"/>
  <c r="K7" i="17"/>
  <c r="K18" i="3"/>
  <c r="K67" i="17"/>
  <c r="K12" i="17"/>
  <c r="K17" i="13"/>
  <c r="K8" i="13"/>
  <c r="K29" i="13"/>
  <c r="K26" i="13"/>
  <c r="K31" i="17"/>
  <c r="K56" i="13"/>
  <c r="K38" i="13"/>
  <c r="I29" i="10"/>
  <c r="K38" i="17"/>
  <c r="K37" i="13"/>
  <c r="I28" i="10"/>
  <c r="K46" i="13"/>
  <c r="I27" i="11"/>
  <c r="I37" i="10"/>
  <c r="K32" i="14"/>
  <c r="K97" i="12"/>
  <c r="K15" i="13"/>
  <c r="Y28" i="13"/>
  <c r="Y34" i="13"/>
  <c r="W25" i="10"/>
  <c r="Y39" i="13"/>
  <c r="W30" i="10"/>
  <c r="Y27" i="14"/>
  <c r="Y22" i="17"/>
  <c r="Y17" i="13"/>
  <c r="Y28" i="17"/>
  <c r="Y46" i="17"/>
  <c r="Y40" i="13"/>
  <c r="W31" i="10"/>
  <c r="Y99" i="12"/>
  <c r="Y33" i="17"/>
  <c r="Y10" i="13"/>
  <c r="Y83" i="12"/>
  <c r="Y49" i="13"/>
  <c r="Y39" i="17"/>
  <c r="Y26" i="17"/>
  <c r="Y50" i="13"/>
  <c r="Y51" i="13"/>
  <c r="Y15" i="13"/>
  <c r="Y23" i="17"/>
  <c r="Y13" i="13"/>
  <c r="Y22" i="14"/>
  <c r="G23" i="14"/>
  <c r="G56" i="13"/>
  <c r="G85" i="12"/>
  <c r="G39" i="13"/>
  <c r="E30" i="10"/>
  <c r="G12" i="13"/>
  <c r="G37" i="13"/>
  <c r="E28" i="10"/>
  <c r="G17" i="13"/>
  <c r="G23" i="13"/>
  <c r="G101" i="12"/>
  <c r="G12" i="17"/>
  <c r="G38" i="13"/>
  <c r="E29" i="10"/>
  <c r="G47" i="13"/>
  <c r="E28" i="11"/>
  <c r="E38" i="10"/>
  <c r="G105" i="12"/>
  <c r="G22" i="17"/>
  <c r="G53" i="13"/>
  <c r="G30" i="17"/>
  <c r="G96" i="12"/>
  <c r="G35" i="13"/>
  <c r="E26" i="10"/>
  <c r="G37" i="17"/>
  <c r="G27" i="14"/>
  <c r="G26" i="13"/>
  <c r="G55" i="13"/>
  <c r="X40" i="13"/>
  <c r="V31" i="10"/>
  <c r="X27" i="14"/>
  <c r="X92" i="12"/>
  <c r="X48" i="17"/>
  <c r="X12" i="13"/>
  <c r="X8" i="13"/>
  <c r="X29" i="13"/>
  <c r="X51" i="13"/>
  <c r="X26" i="17"/>
  <c r="N9" i="17"/>
  <c r="X57" i="13"/>
  <c r="X66" i="17"/>
  <c r="N36" i="13"/>
  <c r="L27" i="10"/>
  <c r="X96" i="12"/>
  <c r="N59" i="17"/>
  <c r="N54" i="13"/>
  <c r="X16" i="14"/>
  <c r="N68" i="12"/>
  <c r="X35" i="13"/>
  <c r="V26" i="10"/>
  <c r="N38" i="17"/>
  <c r="X25" i="17"/>
  <c r="N37" i="13"/>
  <c r="L28" i="10"/>
  <c r="X26" i="13"/>
  <c r="N13" i="13"/>
  <c r="X29" i="14"/>
  <c r="N11" i="17"/>
  <c r="N56" i="13"/>
  <c r="X24" i="13"/>
  <c r="N55" i="13"/>
  <c r="X46" i="13"/>
  <c r="V27" i="11"/>
  <c r="V37" i="10"/>
  <c r="X39" i="17"/>
  <c r="N15" i="3"/>
  <c r="N21" i="17"/>
  <c r="N97" i="12"/>
  <c r="X8" i="17"/>
  <c r="X50" i="13"/>
  <c r="N32" i="14"/>
  <c r="N15" i="14"/>
  <c r="N86" i="12"/>
  <c r="N24" i="13"/>
  <c r="N18" i="13"/>
  <c r="N31" i="17"/>
  <c r="N28" i="13"/>
  <c r="N28" i="14"/>
  <c r="N20" i="17"/>
  <c r="K9" i="10"/>
  <c r="K64" i="10"/>
  <c r="K11" i="10"/>
  <c r="K14" i="2"/>
  <c r="K22" i="10"/>
  <c r="K20" i="10"/>
  <c r="K12" i="10"/>
  <c r="K19" i="10"/>
  <c r="K10" i="10"/>
  <c r="M58" i="13"/>
  <c r="K36" i="11"/>
  <c r="K46" i="10"/>
  <c r="K53" i="4"/>
  <c r="K18" i="2"/>
  <c r="K13" i="10"/>
  <c r="K18" i="10"/>
  <c r="K8" i="10"/>
  <c r="K65" i="10"/>
  <c r="K25" i="4"/>
  <c r="M19" i="13"/>
  <c r="K62" i="10"/>
  <c r="K32" i="4"/>
  <c r="K16" i="2"/>
  <c r="K16" i="10"/>
  <c r="M42" i="13"/>
  <c r="K23" i="10"/>
  <c r="K46" i="4"/>
  <c r="K6" i="10"/>
  <c r="K11" i="4"/>
  <c r="K12" i="2"/>
  <c r="K6" i="15"/>
  <c r="K21" i="10"/>
  <c r="K14" i="10"/>
  <c r="M30" i="13"/>
  <c r="M16" i="13"/>
  <c r="K17" i="10"/>
  <c r="K7" i="10"/>
  <c r="L88" i="12"/>
  <c r="L99" i="12"/>
  <c r="L56" i="13"/>
  <c r="L12" i="17"/>
  <c r="L24" i="13"/>
  <c r="L26" i="13"/>
  <c r="L9" i="17"/>
  <c r="L15" i="13"/>
  <c r="L55" i="13"/>
  <c r="L38" i="13"/>
  <c r="J29" i="10"/>
  <c r="L54" i="13"/>
  <c r="L15" i="3"/>
  <c r="L21" i="17"/>
  <c r="L57" i="13"/>
  <c r="L59" i="17"/>
  <c r="L28" i="13"/>
  <c r="L8" i="13"/>
  <c r="L28" i="14"/>
  <c r="L7" i="17"/>
  <c r="L37" i="17"/>
  <c r="J57" i="13"/>
  <c r="J24" i="13"/>
  <c r="L45" i="17"/>
  <c r="L37" i="13"/>
  <c r="J28" i="10"/>
  <c r="J90" i="12"/>
  <c r="J46" i="13"/>
  <c r="H27" i="11"/>
  <c r="H37" i="10"/>
  <c r="L32" i="14"/>
  <c r="J28" i="13"/>
  <c r="J38" i="13"/>
  <c r="H29" i="10"/>
  <c r="J53" i="17"/>
  <c r="J15" i="3"/>
  <c r="J21" i="17"/>
  <c r="J94" i="12"/>
  <c r="J101" i="12"/>
  <c r="J55" i="13"/>
  <c r="J55" i="17"/>
  <c r="J57" i="17"/>
  <c r="J7" i="17"/>
  <c r="J17" i="13"/>
  <c r="G9" i="9"/>
  <c r="G9" i="5"/>
  <c r="J76" i="17"/>
  <c r="J12" i="17"/>
  <c r="J72" i="17"/>
  <c r="J32" i="14"/>
  <c r="J37" i="17"/>
  <c r="J40" i="13"/>
  <c r="H31" i="10"/>
  <c r="J10" i="13"/>
  <c r="E17" i="3"/>
  <c r="E51" i="17"/>
  <c r="E29" i="14"/>
  <c r="E46" i="13"/>
  <c r="C27" i="11"/>
  <c r="C37" i="10"/>
  <c r="E22" i="17"/>
  <c r="E56" i="13"/>
  <c r="E27" i="13"/>
  <c r="E28" i="14"/>
  <c r="E14" i="13"/>
  <c r="E29" i="13"/>
  <c r="E68" i="17"/>
  <c r="E37" i="13"/>
  <c r="C28" i="10"/>
  <c r="E27" i="14"/>
  <c r="E39" i="13"/>
  <c r="C30" i="10"/>
  <c r="E23" i="13"/>
  <c r="E84" i="17"/>
  <c r="E34" i="13"/>
  <c r="C25" i="10"/>
  <c r="E55" i="13"/>
  <c r="E38" i="13"/>
  <c r="C29" i="10"/>
  <c r="E10" i="17"/>
  <c r="E87" i="12"/>
  <c r="E25" i="13"/>
  <c r="E98" i="12"/>
  <c r="Z39" i="17"/>
  <c r="Z57" i="13"/>
  <c r="Z29" i="14"/>
  <c r="Z49" i="13"/>
  <c r="Z39" i="13"/>
  <c r="X30" i="10"/>
  <c r="Z94" i="12"/>
  <c r="Z34" i="13"/>
  <c r="X25" i="10"/>
  <c r="Z8" i="17"/>
  <c r="Z55" i="13"/>
  <c r="Z101" i="12"/>
  <c r="Z46" i="17"/>
  <c r="Z62" i="17"/>
  <c r="Z90" i="12"/>
  <c r="Z12" i="17"/>
  <c r="Z26" i="13"/>
  <c r="Z10" i="13"/>
  <c r="Z40" i="13"/>
  <c r="X31" i="10"/>
  <c r="Z17" i="13"/>
  <c r="Z46" i="13"/>
  <c r="X27" i="11"/>
  <c r="X37" i="10"/>
  <c r="Z24" i="13"/>
  <c r="Z29" i="17"/>
  <c r="Z32" i="14"/>
  <c r="Q43" i="17"/>
  <c r="Q32" i="14"/>
  <c r="Q53" i="13"/>
  <c r="Q25" i="13"/>
  <c r="Q54" i="13"/>
  <c r="Q95" i="12"/>
  <c r="Q63" i="17"/>
  <c r="Q20" i="17"/>
  <c r="Q49" i="13"/>
  <c r="Q23" i="13"/>
  <c r="Q38" i="17"/>
  <c r="Q36" i="13"/>
  <c r="O27" i="10"/>
  <c r="Q41" i="13"/>
  <c r="O32" i="10"/>
  <c r="Q29" i="13"/>
  <c r="Q11" i="13"/>
  <c r="Q91" i="12"/>
  <c r="Q23" i="14"/>
  <c r="Q28" i="14"/>
  <c r="Q56" i="13"/>
  <c r="Q105" i="12"/>
  <c r="Q33" i="14"/>
  <c r="Q18" i="13"/>
  <c r="I55" i="13"/>
  <c r="I12" i="17"/>
  <c r="I13" i="13"/>
  <c r="I17" i="13"/>
  <c r="I36" i="13"/>
  <c r="G27" i="10"/>
  <c r="I51" i="13"/>
  <c r="I37" i="13"/>
  <c r="G28" i="10"/>
  <c r="I17" i="3"/>
  <c r="I51" i="17"/>
  <c r="I26" i="13"/>
  <c r="I40" i="17"/>
  <c r="I10" i="13"/>
  <c r="I57" i="13"/>
  <c r="I46" i="13"/>
  <c r="G27" i="11"/>
  <c r="G37" i="10"/>
  <c r="I71" i="17"/>
  <c r="I83" i="12"/>
  <c r="I22" i="14"/>
  <c r="I55" i="17"/>
  <c r="I99" i="12"/>
  <c r="I15" i="13"/>
  <c r="I22" i="17"/>
  <c r="I15" i="3"/>
  <c r="I21" i="17"/>
  <c r="I23" i="14"/>
  <c r="M26" i="13"/>
  <c r="M27" i="13"/>
  <c r="M9" i="17"/>
  <c r="M7" i="17"/>
  <c r="M57" i="13"/>
  <c r="M28" i="13"/>
  <c r="M57" i="17"/>
  <c r="M56" i="13"/>
  <c r="M53" i="13"/>
  <c r="M36" i="13"/>
  <c r="K27" i="10"/>
  <c r="M15" i="13"/>
  <c r="M15" i="18"/>
  <c r="M63" i="17"/>
  <c r="M38" i="13"/>
  <c r="K29" i="10"/>
  <c r="M99" i="12"/>
  <c r="M32" i="14"/>
  <c r="M28" i="14"/>
  <c r="M24" i="13"/>
  <c r="M47" i="13"/>
  <c r="K28" i="11"/>
  <c r="K38" i="10"/>
  <c r="M15" i="14"/>
  <c r="M72" i="17"/>
  <c r="M12" i="17"/>
  <c r="M21" i="10"/>
  <c r="M12" i="10"/>
  <c r="M16" i="10"/>
  <c r="M18" i="10"/>
  <c r="M7" i="10"/>
  <c r="M6" i="10"/>
  <c r="M11" i="4"/>
  <c r="M12" i="2"/>
  <c r="M6" i="15"/>
  <c r="M20" i="10"/>
  <c r="M65" i="10"/>
  <c r="M25" i="4"/>
  <c r="M11" i="10"/>
  <c r="M14" i="2"/>
  <c r="M10" i="10"/>
  <c r="O42" i="13"/>
  <c r="M23" i="10"/>
  <c r="M46" i="4"/>
  <c r="O30" i="13"/>
  <c r="O16" i="13"/>
  <c r="M17" i="10"/>
  <c r="M14" i="10"/>
  <c r="O58" i="13"/>
  <c r="M36" i="11"/>
  <c r="M46" i="10"/>
  <c r="M53" i="4"/>
  <c r="M18" i="2"/>
  <c r="M64" i="10"/>
  <c r="M19" i="10"/>
  <c r="M9" i="10"/>
  <c r="M22" i="10"/>
  <c r="M13" i="10"/>
  <c r="O19" i="13"/>
  <c r="M62" i="10"/>
  <c r="M32" i="4"/>
  <c r="M16" i="2"/>
  <c r="M8" i="10"/>
  <c r="F47" i="13"/>
  <c r="D28" i="11"/>
  <c r="D38" i="10"/>
  <c r="F46" i="13"/>
  <c r="D27" i="11"/>
  <c r="D37" i="10"/>
  <c r="F15" i="14"/>
  <c r="F57" i="13"/>
  <c r="F39" i="13"/>
  <c r="D30" i="10"/>
  <c r="F33" i="14"/>
  <c r="F98" i="12"/>
  <c r="F29" i="13"/>
  <c r="F22" i="17"/>
  <c r="F76" i="12"/>
  <c r="F55" i="17"/>
  <c r="F43" i="17"/>
  <c r="F14" i="13"/>
  <c r="F23" i="13"/>
  <c r="F42" i="17"/>
  <c r="F10" i="17"/>
  <c r="F8" i="13"/>
  <c r="F26" i="13"/>
  <c r="F105" i="12"/>
  <c r="F10" i="13"/>
  <c r="F92" i="12"/>
  <c r="F94" i="12"/>
  <c r="O55" i="13"/>
  <c r="O31" i="17"/>
  <c r="O20" i="17"/>
  <c r="O97" i="12"/>
  <c r="O32" i="17"/>
  <c r="O18" i="3"/>
  <c r="O67" i="17"/>
  <c r="O52" i="13"/>
  <c r="O15" i="14"/>
  <c r="O25" i="13"/>
  <c r="O54" i="13"/>
  <c r="O45" i="17"/>
  <c r="O15" i="3"/>
  <c r="O21" i="17"/>
  <c r="O13" i="13"/>
  <c r="O7" i="17"/>
  <c r="O9" i="13"/>
  <c r="O71" i="17"/>
  <c r="O28" i="14"/>
  <c r="O93" i="12"/>
  <c r="O9" i="17"/>
  <c r="O56" i="13"/>
  <c r="O37" i="13"/>
  <c r="M28" i="10"/>
  <c r="O32" i="14"/>
  <c r="AA8" i="13"/>
  <c r="AA97" i="12"/>
  <c r="AA46" i="17"/>
  <c r="AA10" i="17"/>
  <c r="AA9" i="18"/>
  <c r="AA12" i="17"/>
  <c r="AA44" i="17"/>
  <c r="AA49" i="13"/>
  <c r="AA15" i="13"/>
  <c r="AA40" i="13"/>
  <c r="Y31" i="10"/>
  <c r="AA47" i="13"/>
  <c r="Y28" i="11"/>
  <c r="Y38" i="10"/>
  <c r="AA29" i="13"/>
  <c r="AA101" i="12"/>
  <c r="AA7" i="17"/>
  <c r="AA27" i="17"/>
  <c r="AA38" i="13"/>
  <c r="Y29" i="10"/>
  <c r="AA22" i="14"/>
  <c r="AA16" i="14"/>
  <c r="AA17" i="13"/>
  <c r="AA32" i="14"/>
  <c r="AA13" i="13"/>
  <c r="AA28" i="13"/>
  <c r="H59" i="17"/>
  <c r="H36" i="13"/>
  <c r="F27" i="10"/>
  <c r="H29" i="14"/>
  <c r="H22" i="17"/>
  <c r="H29" i="17"/>
  <c r="H96" i="12"/>
  <c r="H23" i="17"/>
  <c r="H10" i="17"/>
  <c r="H57" i="13"/>
  <c r="H54" i="13"/>
  <c r="H90" i="12"/>
  <c r="H31" i="17"/>
  <c r="H46" i="13"/>
  <c r="F27" i="11"/>
  <c r="F37" i="10"/>
  <c r="H8" i="17"/>
  <c r="H13" i="13"/>
  <c r="H12" i="13"/>
  <c r="H8" i="13"/>
  <c r="H39" i="13"/>
  <c r="F30" i="10"/>
  <c r="H24" i="13"/>
  <c r="H28" i="13"/>
  <c r="H92" i="12"/>
  <c r="H40" i="17"/>
  <c r="P54" i="13"/>
  <c r="P32" i="14"/>
  <c r="P49" i="13"/>
  <c r="P35" i="13"/>
  <c r="N26" i="10"/>
  <c r="P95" i="12"/>
  <c r="P55" i="13"/>
  <c r="P34" i="13"/>
  <c r="N25" i="10"/>
  <c r="P11" i="13"/>
  <c r="P89" i="17"/>
  <c r="P36" i="13"/>
  <c r="N27" i="10"/>
  <c r="P9" i="17"/>
  <c r="P18" i="13"/>
  <c r="P19" i="17"/>
  <c r="P31" i="17"/>
  <c r="P28" i="14"/>
  <c r="P15" i="14"/>
  <c r="P53" i="13"/>
  <c r="P11" i="17"/>
  <c r="P41" i="13"/>
  <c r="N32" i="10"/>
  <c r="P52" i="13"/>
  <c r="P23" i="14"/>
  <c r="P51" i="13"/>
  <c r="R9" i="13"/>
  <c r="R27" i="13"/>
  <c r="R25" i="17"/>
  <c r="R15" i="14"/>
  <c r="R32" i="17"/>
  <c r="R20" i="17"/>
  <c r="R35" i="13"/>
  <c r="P26" i="10"/>
  <c r="R82" i="12"/>
  <c r="R47" i="13"/>
  <c r="P28" i="11"/>
  <c r="P38" i="10"/>
  <c r="R98" i="12"/>
  <c r="R18" i="13"/>
  <c r="R14" i="13"/>
  <c r="R38" i="17"/>
  <c r="R19" i="17"/>
  <c r="R54" i="13"/>
  <c r="R31" i="17"/>
  <c r="R9" i="17"/>
  <c r="R23" i="14"/>
  <c r="R52" i="13"/>
  <c r="R50" i="13"/>
  <c r="R36" i="13"/>
  <c r="P27" i="10"/>
  <c r="R53" i="13"/>
  <c r="L21" i="10"/>
  <c r="N19" i="13"/>
  <c r="L62" i="10"/>
  <c r="L32" i="4"/>
  <c r="L16" i="2"/>
  <c r="L18" i="10"/>
  <c r="L9" i="10"/>
  <c r="L12" i="10"/>
  <c r="L22" i="10"/>
  <c r="L11" i="10"/>
  <c r="L14" i="2"/>
  <c r="N30" i="13"/>
  <c r="N16" i="13"/>
  <c r="L17" i="10"/>
  <c r="L19" i="10"/>
  <c r="L8" i="10"/>
  <c r="L13" i="10"/>
  <c r="L16" i="10"/>
  <c r="N58" i="13"/>
  <c r="L36" i="11"/>
  <c r="L46" i="10"/>
  <c r="L53" i="4"/>
  <c r="L18" i="2"/>
  <c r="L7" i="10"/>
  <c r="L64" i="10"/>
  <c r="L14" i="10"/>
  <c r="L65" i="10"/>
  <c r="L25" i="4"/>
  <c r="L20" i="10"/>
  <c r="L10" i="10"/>
  <c r="N42" i="13"/>
  <c r="L23" i="10"/>
  <c r="L46" i="4"/>
  <c r="L6" i="10"/>
  <c r="L11" i="4"/>
  <c r="L12" i="2"/>
  <c r="L6" i="15"/>
  <c r="K18" i="17"/>
  <c r="K78" i="17"/>
  <c r="K29" i="14"/>
  <c r="K23" i="14"/>
  <c r="K44" i="17"/>
  <c r="K37" i="17"/>
  <c r="K53" i="17"/>
  <c r="K33" i="14"/>
  <c r="K57" i="13"/>
  <c r="K30" i="17"/>
  <c r="K27" i="14"/>
  <c r="K39" i="13"/>
  <c r="I30" i="10"/>
  <c r="K57" i="17"/>
  <c r="K8" i="17"/>
  <c r="K24" i="17"/>
  <c r="K55" i="17"/>
  <c r="H8" i="9"/>
  <c r="H8" i="5"/>
  <c r="K68" i="17"/>
  <c r="K15" i="3"/>
  <c r="K21" i="17"/>
  <c r="K45" i="17"/>
  <c r="K49" i="17"/>
  <c r="K64" i="17"/>
  <c r="K65" i="17"/>
  <c r="N18" i="10"/>
  <c r="P58" i="13"/>
  <c r="N36" i="11"/>
  <c r="N46" i="10"/>
  <c r="N53" i="4"/>
  <c r="N18" i="2"/>
  <c r="P30" i="13"/>
  <c r="P16" i="13"/>
  <c r="N17" i="10"/>
  <c r="N11" i="10"/>
  <c r="N14" i="2"/>
  <c r="N14" i="10"/>
  <c r="N9" i="10"/>
  <c r="N12" i="10"/>
  <c r="N16" i="10"/>
  <c r="N20" i="10"/>
  <c r="N22" i="10"/>
  <c r="N13" i="10"/>
  <c r="N7" i="10"/>
  <c r="P42" i="13"/>
  <c r="N23" i="10"/>
  <c r="N46" i="4"/>
  <c r="N65" i="10"/>
  <c r="N25" i="4"/>
  <c r="N19" i="10"/>
  <c r="N8" i="10"/>
  <c r="N64" i="10"/>
  <c r="P19" i="13"/>
  <c r="N62" i="10"/>
  <c r="N32" i="4"/>
  <c r="N16" i="2"/>
  <c r="N6" i="10"/>
  <c r="N11" i="4"/>
  <c r="N12" i="2"/>
  <c r="N6" i="15"/>
  <c r="N21" i="10"/>
  <c r="N10" i="10"/>
  <c r="H20" i="10"/>
  <c r="H11" i="10"/>
  <c r="H14" i="2"/>
  <c r="H65" i="10"/>
  <c r="H25" i="4"/>
  <c r="J30" i="13"/>
  <c r="J16" i="13"/>
  <c r="H17" i="10"/>
  <c r="H9" i="10"/>
  <c r="H19" i="10"/>
  <c r="J42" i="13"/>
  <c r="H23" i="10"/>
  <c r="H46" i="4"/>
  <c r="H7" i="10"/>
  <c r="H14" i="10"/>
  <c r="H13" i="10"/>
  <c r="H12" i="10"/>
  <c r="J58" i="13"/>
  <c r="H36" i="11"/>
  <c r="H46" i="10"/>
  <c r="H53" i="4"/>
  <c r="H18" i="2"/>
  <c r="H64" i="10"/>
  <c r="H10" i="10"/>
  <c r="J19" i="13"/>
  <c r="H62" i="10"/>
  <c r="H32" i="4"/>
  <c r="H16" i="2"/>
  <c r="H16" i="10"/>
  <c r="H21" i="10"/>
  <c r="H18" i="10"/>
  <c r="H8" i="10"/>
  <c r="H6" i="10"/>
  <c r="H11" i="4"/>
  <c r="H12" i="2"/>
  <c r="H6" i="15"/>
  <c r="H22" i="10"/>
  <c r="R42" i="13"/>
  <c r="P23" i="10"/>
  <c r="P46" i="4"/>
  <c r="P7" i="10"/>
  <c r="P65" i="10"/>
  <c r="P25" i="4"/>
  <c r="P21" i="10"/>
  <c r="R19" i="13"/>
  <c r="P62" i="10"/>
  <c r="P32" i="4"/>
  <c r="P16" i="2"/>
  <c r="P8" i="10"/>
  <c r="P20" i="10"/>
  <c r="R58" i="13"/>
  <c r="P36" i="11"/>
  <c r="P46" i="10"/>
  <c r="P53" i="4"/>
  <c r="P18" i="2"/>
  <c r="P6" i="10"/>
  <c r="P11" i="4"/>
  <c r="P12" i="2"/>
  <c r="P6" i="15"/>
  <c r="R30" i="13"/>
  <c r="R16" i="13"/>
  <c r="P17" i="10"/>
  <c r="P9" i="10"/>
  <c r="P22" i="10"/>
  <c r="P14" i="10"/>
  <c r="P64" i="10"/>
  <c r="P13" i="10"/>
  <c r="P11" i="10"/>
  <c r="P14" i="2"/>
  <c r="P19" i="10"/>
  <c r="P16" i="10"/>
  <c r="P12" i="10"/>
  <c r="P18" i="10"/>
  <c r="P10" i="10"/>
  <c r="X65" i="10"/>
  <c r="X25" i="4"/>
  <c r="X13" i="10"/>
  <c r="X14" i="10"/>
  <c r="X22" i="10"/>
  <c r="X21" i="10"/>
  <c r="X18" i="10"/>
  <c r="X10" i="10"/>
  <c r="Z58" i="13"/>
  <c r="X36" i="11"/>
  <c r="X46" i="10"/>
  <c r="X53" i="4"/>
  <c r="X18" i="2"/>
  <c r="Z30" i="13"/>
  <c r="Z16" i="13"/>
  <c r="X17" i="10"/>
  <c r="Z19" i="13"/>
  <c r="X62" i="10"/>
  <c r="X32" i="4"/>
  <c r="X16" i="2"/>
  <c r="X6" i="10"/>
  <c r="X11" i="4"/>
  <c r="X12" i="2"/>
  <c r="X6" i="15"/>
  <c r="X7" i="10"/>
  <c r="X12" i="10"/>
  <c r="X9" i="10"/>
  <c r="X16" i="10"/>
  <c r="X8" i="10"/>
  <c r="X20" i="10"/>
  <c r="X19" i="10"/>
  <c r="Z42" i="13"/>
  <c r="X23" i="10"/>
  <c r="X46" i="4"/>
  <c r="X11" i="10"/>
  <c r="X14" i="2"/>
  <c r="X64" i="10"/>
  <c r="C27" i="17"/>
  <c r="C72" i="17"/>
  <c r="C57" i="13"/>
  <c r="C18" i="17"/>
  <c r="C39" i="13"/>
  <c r="C29" i="14"/>
  <c r="C26" i="17"/>
  <c r="C54" i="13"/>
  <c r="C28" i="17"/>
  <c r="C53" i="17"/>
  <c r="C85" i="17"/>
  <c r="C33" i="14"/>
  <c r="C15" i="14"/>
  <c r="C10" i="17"/>
  <c r="C86" i="17"/>
  <c r="C9" i="13"/>
  <c r="C49" i="13"/>
  <c r="C57" i="17"/>
  <c r="C11" i="17"/>
  <c r="C50" i="13"/>
  <c r="C19" i="17"/>
  <c r="C40" i="13"/>
  <c r="D26" i="17"/>
  <c r="D9" i="17"/>
  <c r="D22" i="14"/>
  <c r="D60" i="17"/>
  <c r="D19" i="17"/>
  <c r="D58" i="17"/>
  <c r="D24" i="17"/>
  <c r="D38" i="13"/>
  <c r="D27" i="17"/>
  <c r="D28" i="14"/>
  <c r="D29" i="17"/>
  <c r="D94" i="17"/>
  <c r="D33" i="17"/>
  <c r="D56" i="13"/>
  <c r="D48" i="17"/>
  <c r="D45" i="17"/>
  <c r="D13" i="18"/>
  <c r="D20" i="17"/>
  <c r="D25" i="17"/>
  <c r="D44" i="17"/>
  <c r="D7" i="17"/>
  <c r="D32" i="14"/>
  <c r="E20" i="17"/>
  <c r="E50" i="17"/>
  <c r="E47" i="13"/>
  <c r="C28" i="11"/>
  <c r="C38" i="10"/>
  <c r="E74" i="17"/>
  <c r="E18" i="17"/>
  <c r="E32" i="17"/>
  <c r="E9" i="17"/>
  <c r="E52" i="13"/>
  <c r="E51" i="13"/>
  <c r="E24" i="17"/>
  <c r="E25" i="17"/>
  <c r="E44" i="17"/>
  <c r="E33" i="17"/>
  <c r="E39" i="17"/>
  <c r="E26" i="17"/>
  <c r="E32" i="14"/>
  <c r="E11" i="17"/>
  <c r="E15" i="14"/>
  <c r="E58" i="17"/>
  <c r="E73" i="17"/>
  <c r="E19" i="3"/>
  <c r="E77" i="17"/>
  <c r="E23" i="14"/>
  <c r="O14" i="10"/>
  <c r="O22" i="10"/>
  <c r="O20" i="10"/>
  <c r="Q19" i="13"/>
  <c r="O62" i="10"/>
  <c r="O32" i="4"/>
  <c r="O16" i="2"/>
  <c r="O11" i="10"/>
  <c r="O14" i="2"/>
  <c r="O6" i="10"/>
  <c r="O11" i="4"/>
  <c r="O12" i="2"/>
  <c r="O6" i="15"/>
  <c r="Q42" i="13"/>
  <c r="O23" i="10"/>
  <c r="O46" i="4"/>
  <c r="O9" i="10"/>
  <c r="Q30" i="13"/>
  <c r="Q16" i="13"/>
  <c r="O17" i="10"/>
  <c r="O8" i="10"/>
  <c r="O18" i="10"/>
  <c r="O21" i="10"/>
  <c r="O12" i="10"/>
  <c r="O64" i="10"/>
  <c r="Q58" i="13"/>
  <c r="O36" i="11"/>
  <c r="O46" i="10"/>
  <c r="O53" i="4"/>
  <c r="O18" i="2"/>
  <c r="O16" i="10"/>
  <c r="O7" i="10"/>
  <c r="O13" i="10"/>
  <c r="O10" i="10"/>
  <c r="O19" i="10"/>
  <c r="O65" i="10"/>
  <c r="O25" i="4"/>
  <c r="L23" i="14"/>
  <c r="L33" i="14"/>
  <c r="L86" i="17"/>
  <c r="L10" i="17"/>
  <c r="L16" i="14"/>
  <c r="L19" i="3"/>
  <c r="L77" i="17"/>
  <c r="L61" i="17"/>
  <c r="L18" i="17"/>
  <c r="L53" i="17"/>
  <c r="L44" i="17"/>
  <c r="L34" i="13"/>
  <c r="J25" i="10"/>
  <c r="L33" i="17"/>
  <c r="L58" i="17"/>
  <c r="L85" i="17"/>
  <c r="L40" i="17"/>
  <c r="L52" i="13"/>
  <c r="L84" i="17"/>
  <c r="L17" i="3"/>
  <c r="L51" i="17"/>
  <c r="L23" i="17"/>
  <c r="L53" i="13"/>
  <c r="L22" i="17"/>
  <c r="L29" i="14"/>
  <c r="Q8" i="10"/>
  <c r="Q13" i="10"/>
  <c r="Q12" i="10"/>
  <c r="S19" i="13"/>
  <c r="Q62" i="10"/>
  <c r="Q32" i="4"/>
  <c r="Q16" i="2"/>
  <c r="Q21" i="10"/>
  <c r="S42" i="13"/>
  <c r="Q23" i="10"/>
  <c r="Q46" i="4"/>
  <c r="Q9" i="10"/>
  <c r="S30" i="13"/>
  <c r="S16" i="13"/>
  <c r="Q17" i="10"/>
  <c r="Q65" i="10"/>
  <c r="Q25" i="4"/>
  <c r="Q10" i="10"/>
  <c r="Q19" i="10"/>
  <c r="Q18" i="10"/>
  <c r="Q16" i="10"/>
  <c r="Q22" i="10"/>
  <c r="Q20" i="10"/>
  <c r="Q14" i="10"/>
  <c r="S58" i="13"/>
  <c r="Q36" i="11"/>
  <c r="Q46" i="10"/>
  <c r="Q53" i="4"/>
  <c r="Q18" i="2"/>
  <c r="Q64" i="10"/>
  <c r="Q6" i="10"/>
  <c r="Q11" i="4"/>
  <c r="Q12" i="2"/>
  <c r="Q6" i="15"/>
  <c r="Q7" i="10"/>
  <c r="Q11" i="10"/>
  <c r="Q14" i="2"/>
  <c r="R20" i="10"/>
  <c r="R11" i="10"/>
  <c r="R14" i="2"/>
  <c r="T19" i="13"/>
  <c r="R62" i="10"/>
  <c r="R32" i="4"/>
  <c r="R16" i="2"/>
  <c r="T42" i="13"/>
  <c r="R23" i="10"/>
  <c r="R46" i="4"/>
  <c r="R10" i="10"/>
  <c r="R21" i="10"/>
  <c r="R18" i="10"/>
  <c r="R8" i="10"/>
  <c r="R19" i="10"/>
  <c r="R65" i="10"/>
  <c r="R25" i="4"/>
  <c r="R7" i="10"/>
  <c r="T30" i="13"/>
  <c r="T16" i="13"/>
  <c r="R17" i="10"/>
  <c r="R14" i="10"/>
  <c r="R12" i="10"/>
  <c r="R22" i="10"/>
  <c r="R13" i="10"/>
  <c r="T58" i="13"/>
  <c r="R36" i="11"/>
  <c r="R46" i="10"/>
  <c r="R53" i="4"/>
  <c r="R18" i="2"/>
  <c r="R9" i="10"/>
  <c r="R64" i="10"/>
  <c r="R6" i="10"/>
  <c r="R11" i="4"/>
  <c r="R12" i="2"/>
  <c r="R6" i="15"/>
  <c r="R16" i="10"/>
  <c r="D30" i="13"/>
  <c r="D16" i="13"/>
  <c r="D19" i="13"/>
  <c r="D42" i="13"/>
  <c r="D58" i="13"/>
  <c r="C18" i="14"/>
  <c r="C17" i="14"/>
  <c r="C62" i="13"/>
  <c r="C70" i="13"/>
  <c r="C10" i="14"/>
  <c r="C25" i="14"/>
  <c r="C100" i="12"/>
  <c r="C9" i="14"/>
  <c r="C7" i="14"/>
  <c r="C103" i="12"/>
  <c r="C8" i="14"/>
  <c r="C11" i="14"/>
  <c r="C24" i="14"/>
  <c r="C71" i="13"/>
  <c r="C69" i="13"/>
  <c r="C34" i="14"/>
  <c r="C68" i="13"/>
  <c r="C63" i="13"/>
  <c r="C67" i="13"/>
  <c r="C35" i="14"/>
  <c r="C72" i="13"/>
  <c r="C106" i="12"/>
  <c r="G28" i="17"/>
  <c r="G64" i="17"/>
  <c r="G20" i="17"/>
  <c r="G40" i="13"/>
  <c r="E31" i="10"/>
  <c r="G49" i="13"/>
  <c r="G11" i="17"/>
  <c r="G8" i="17"/>
  <c r="G24" i="17"/>
  <c r="G49" i="17"/>
  <c r="G50" i="13"/>
  <c r="G48" i="17"/>
  <c r="G18" i="17"/>
  <c r="G53" i="17"/>
  <c r="G19" i="17"/>
  <c r="G32" i="17"/>
  <c r="G85" i="17"/>
  <c r="G15" i="14"/>
  <c r="G9" i="17"/>
  <c r="G94" i="17"/>
  <c r="G28" i="14"/>
  <c r="G33" i="14"/>
  <c r="G42" i="17"/>
  <c r="O18" i="18"/>
  <c r="O16" i="14"/>
  <c r="O86" i="17"/>
  <c r="O42" i="17"/>
  <c r="O39" i="13"/>
  <c r="M30" i="10"/>
  <c r="O12" i="17"/>
  <c r="O23" i="17"/>
  <c r="O40" i="17"/>
  <c r="O22" i="18"/>
  <c r="O53" i="13"/>
  <c r="O57" i="13"/>
  <c r="L8" i="9"/>
  <c r="L8" i="5"/>
  <c r="O68" i="17"/>
  <c r="O22" i="17"/>
  <c r="O10" i="17"/>
  <c r="O61" i="17"/>
  <c r="O8" i="17"/>
  <c r="O35" i="13"/>
  <c r="M26" i="10"/>
  <c r="O49" i="17"/>
  <c r="O22" i="14"/>
  <c r="O30" i="17"/>
  <c r="O27" i="14"/>
  <c r="O29" i="14"/>
  <c r="Y47" i="17"/>
  <c r="Y20" i="17"/>
  <c r="Y38" i="17"/>
  <c r="Y59" i="17"/>
  <c r="Y8" i="17"/>
  <c r="Y15" i="3"/>
  <c r="Y21" i="17"/>
  <c r="Y17" i="3"/>
  <c r="Y51" i="17"/>
  <c r="Y29" i="14"/>
  <c r="Y69" i="17"/>
  <c r="Y16" i="14"/>
  <c r="Y48" i="17"/>
  <c r="Y32" i="17"/>
  <c r="Y73" i="17"/>
  <c r="Y30" i="17"/>
  <c r="Y33" i="14"/>
  <c r="Y47" i="13"/>
  <c r="W28" i="11"/>
  <c r="W38" i="10"/>
  <c r="Y72" i="17"/>
  <c r="Y15" i="14"/>
  <c r="Y40" i="17"/>
  <c r="Y78" i="17"/>
  <c r="Y41" i="13"/>
  <c r="W32" i="10"/>
  <c r="Y11" i="17"/>
  <c r="M8" i="17"/>
  <c r="M33" i="17"/>
  <c r="M41" i="13"/>
  <c r="K32" i="10"/>
  <c r="M47" i="17"/>
  <c r="M10" i="17"/>
  <c r="M55" i="13"/>
  <c r="M18" i="17"/>
  <c r="M42" i="17"/>
  <c r="M23" i="17"/>
  <c r="M29" i="14"/>
  <c r="M52" i="13"/>
  <c r="M27" i="14"/>
  <c r="M60" i="17"/>
  <c r="M28" i="17"/>
  <c r="M29" i="17"/>
  <c r="M22" i="17"/>
  <c r="M17" i="3"/>
  <c r="M51" i="17"/>
  <c r="M24" i="17"/>
  <c r="M37" i="13"/>
  <c r="K28" i="10"/>
  <c r="M34" i="13"/>
  <c r="K25" i="10"/>
  <c r="M33" i="14"/>
  <c r="V33" i="14"/>
  <c r="M44" i="17"/>
  <c r="V16" i="18"/>
  <c r="V18" i="17"/>
  <c r="V31" i="17"/>
  <c r="V54" i="13"/>
  <c r="V51" i="13"/>
  <c r="V27" i="17"/>
  <c r="V28" i="14"/>
  <c r="V9" i="17"/>
  <c r="V11" i="17"/>
  <c r="V32" i="17"/>
  <c r="V43" i="17"/>
  <c r="V7" i="17"/>
  <c r="V65" i="17"/>
  <c r="V15" i="3"/>
  <c r="V21" i="17"/>
  <c r="V36" i="13"/>
  <c r="T27" i="10"/>
  <c r="V23" i="14"/>
  <c r="V60" i="17"/>
  <c r="V40" i="13"/>
  <c r="T31" i="10"/>
  <c r="V30" i="18"/>
  <c r="V42" i="17"/>
  <c r="V32" i="14"/>
  <c r="T53" i="13"/>
  <c r="T43" i="17"/>
  <c r="T48" i="17"/>
  <c r="T45" i="17"/>
  <c r="T32" i="14"/>
  <c r="T18" i="17"/>
  <c r="T37" i="17"/>
  <c r="T22" i="14"/>
  <c r="T28" i="14"/>
  <c r="T30" i="17"/>
  <c r="T56" i="13"/>
  <c r="T38" i="13"/>
  <c r="R29" i="10"/>
  <c r="T7" i="17"/>
  <c r="T58" i="17"/>
  <c r="T18" i="3"/>
  <c r="T67" i="17"/>
  <c r="T11" i="17"/>
  <c r="T63" i="17"/>
  <c r="T57" i="17"/>
  <c r="T9" i="17"/>
  <c r="T20" i="17"/>
  <c r="T10" i="17"/>
  <c r="T35" i="13"/>
  <c r="R26" i="10"/>
  <c r="AA24" i="17"/>
  <c r="AA45" i="17"/>
  <c r="AA39" i="13"/>
  <c r="Y30" i="10"/>
  <c r="AA31" i="17"/>
  <c r="AA37" i="17"/>
  <c r="AA27" i="14"/>
  <c r="AA26" i="17"/>
  <c r="AA57" i="17"/>
  <c r="AA18" i="17"/>
  <c r="AA19" i="17"/>
  <c r="AA57" i="13"/>
  <c r="AA11" i="17"/>
  <c r="AA65" i="17"/>
  <c r="AA8" i="17"/>
  <c r="AA29" i="14"/>
  <c r="AA53" i="17"/>
  <c r="AA23" i="14"/>
  <c r="AA33" i="14"/>
  <c r="AA55" i="17"/>
  <c r="AA38" i="17"/>
  <c r="AA20" i="17"/>
  <c r="AA49" i="17"/>
  <c r="Z53" i="17"/>
  <c r="Z18" i="17"/>
  <c r="Z25" i="17"/>
  <c r="Z55" i="17"/>
  <c r="Z54" i="13"/>
  <c r="Z19" i="17"/>
  <c r="Z33" i="14"/>
  <c r="Z27" i="14"/>
  <c r="Z61" i="17"/>
  <c r="Z47" i="13"/>
  <c r="X28" i="11"/>
  <c r="X38" i="10"/>
  <c r="Z16" i="14"/>
  <c r="Z64" i="17"/>
  <c r="Z11" i="17"/>
  <c r="Z23" i="14"/>
  <c r="W8" i="9"/>
  <c r="W8" i="5"/>
  <c r="Z68" i="17"/>
  <c r="Z19" i="18"/>
  <c r="Z36" i="13"/>
  <c r="X27" i="10"/>
  <c r="Z20" i="17"/>
  <c r="Z50" i="13"/>
  <c r="Z24" i="17"/>
  <c r="Z38" i="17"/>
  <c r="Z37" i="17"/>
  <c r="W50" i="13"/>
  <c r="W9" i="17"/>
  <c r="W7" i="17"/>
  <c r="W37" i="17"/>
  <c r="W33" i="14"/>
  <c r="W20" i="17"/>
  <c r="W19" i="17"/>
  <c r="W11" i="17"/>
  <c r="W30" i="17"/>
  <c r="W49" i="17"/>
  <c r="W49" i="13"/>
  <c r="W32" i="14"/>
  <c r="W31" i="17"/>
  <c r="W55" i="17"/>
  <c r="W40" i="13"/>
  <c r="U31" i="10"/>
  <c r="W10" i="17"/>
  <c r="W15" i="14"/>
  <c r="W28" i="14"/>
  <c r="W50" i="17"/>
  <c r="W32" i="17"/>
  <c r="W42" i="17"/>
  <c r="W53" i="17"/>
  <c r="J19" i="17"/>
  <c r="J18" i="17"/>
  <c r="J36" i="13"/>
  <c r="H27" i="10"/>
  <c r="J42" i="17"/>
  <c r="J28" i="17"/>
  <c r="J27" i="14"/>
  <c r="J8" i="17"/>
  <c r="J29" i="17"/>
  <c r="J54" i="17"/>
  <c r="J54" i="13"/>
  <c r="J24" i="17"/>
  <c r="J47" i="13"/>
  <c r="H28" i="11"/>
  <c r="H38" i="10"/>
  <c r="J25" i="17"/>
  <c r="J16" i="14"/>
  <c r="J23" i="17"/>
  <c r="J33" i="14"/>
  <c r="J39" i="17"/>
  <c r="J27" i="17"/>
  <c r="J15" i="14"/>
  <c r="J23" i="14"/>
  <c r="J11" i="17"/>
  <c r="J50" i="13"/>
  <c r="E30" i="13"/>
  <c r="E16" i="13"/>
  <c r="C17" i="10"/>
  <c r="C10" i="10"/>
  <c r="C7" i="10"/>
  <c r="C20" i="10"/>
  <c r="C12" i="10"/>
  <c r="E42" i="13"/>
  <c r="C23" i="10"/>
  <c r="C46" i="4"/>
  <c r="C64" i="10"/>
  <c r="C6" i="10"/>
  <c r="C11" i="4"/>
  <c r="C12" i="2"/>
  <c r="C6" i="15"/>
  <c r="C16" i="10"/>
  <c r="C11" i="10"/>
  <c r="C14" i="2"/>
  <c r="C14" i="10"/>
  <c r="E58" i="13"/>
  <c r="C36" i="11"/>
  <c r="C46" i="10"/>
  <c r="C53" i="4"/>
  <c r="C18" i="2"/>
  <c r="C65" i="10"/>
  <c r="C25" i="4"/>
  <c r="C13" i="10"/>
  <c r="E19" i="13"/>
  <c r="C62" i="10"/>
  <c r="C32" i="4"/>
  <c r="C16" i="2"/>
  <c r="C21" i="10"/>
  <c r="C19" i="10"/>
  <c r="C9" i="10"/>
  <c r="C18" i="10"/>
  <c r="C22" i="10"/>
  <c r="C8" i="10"/>
  <c r="U42" i="13"/>
  <c r="S23" i="10"/>
  <c r="S46" i="4"/>
  <c r="S21" i="10"/>
  <c r="S64" i="10"/>
  <c r="S12" i="10"/>
  <c r="S16" i="10"/>
  <c r="U58" i="13"/>
  <c r="S36" i="11"/>
  <c r="S46" i="10"/>
  <c r="S53" i="4"/>
  <c r="S18" i="2"/>
  <c r="U30" i="13"/>
  <c r="U16" i="13"/>
  <c r="S17" i="10"/>
  <c r="S19" i="10"/>
  <c r="S22" i="10"/>
  <c r="S65" i="10"/>
  <c r="S25" i="4"/>
  <c r="S7" i="10"/>
  <c r="S10" i="10"/>
  <c r="S9" i="10"/>
  <c r="S6" i="10"/>
  <c r="S11" i="4"/>
  <c r="S12" i="2"/>
  <c r="S6" i="15"/>
  <c r="U19" i="13"/>
  <c r="S62" i="10"/>
  <c r="S32" i="4"/>
  <c r="S16" i="2"/>
  <c r="S13" i="10"/>
  <c r="S18" i="10"/>
  <c r="S8" i="10"/>
  <c r="S11" i="10"/>
  <c r="S14" i="2"/>
  <c r="S20" i="10"/>
  <c r="S14" i="10"/>
  <c r="P24" i="18"/>
  <c r="P40" i="17"/>
  <c r="P39" i="17"/>
  <c r="P23" i="17"/>
  <c r="P29" i="17"/>
  <c r="P30" i="17"/>
  <c r="P10" i="17"/>
  <c r="P27" i="14"/>
  <c r="P7" i="17"/>
  <c r="P22" i="17"/>
  <c r="P74" i="17"/>
  <c r="P58" i="17"/>
  <c r="P15" i="3"/>
  <c r="P21" i="17"/>
  <c r="P8" i="17"/>
  <c r="P47" i="17"/>
  <c r="P12" i="17"/>
  <c r="P29" i="14"/>
  <c r="P49" i="17"/>
  <c r="P16" i="14"/>
  <c r="P57" i="13"/>
  <c r="P39" i="13"/>
  <c r="N30" i="10"/>
  <c r="P19" i="3"/>
  <c r="P77" i="17"/>
  <c r="I47" i="17"/>
  <c r="I26" i="17"/>
  <c r="I56" i="13"/>
  <c r="I69" i="17"/>
  <c r="I38" i="13"/>
  <c r="G29" i="10"/>
  <c r="I28" i="14"/>
  <c r="I15" i="14"/>
  <c r="I47" i="13"/>
  <c r="G28" i="11"/>
  <c r="G38" i="10"/>
  <c r="I41" i="13"/>
  <c r="G32" i="10"/>
  <c r="I39" i="17"/>
  <c r="I11" i="17"/>
  <c r="I16" i="14"/>
  <c r="I32" i="17"/>
  <c r="I18" i="17"/>
  <c r="I29" i="14"/>
  <c r="I46" i="17"/>
  <c r="I33" i="14"/>
  <c r="I28" i="17"/>
  <c r="I23" i="17"/>
  <c r="I29" i="17"/>
  <c r="I33" i="17"/>
  <c r="I10" i="17"/>
  <c r="F9" i="17"/>
  <c r="F28" i="17"/>
  <c r="F23" i="14"/>
  <c r="F24" i="17"/>
  <c r="F61" i="17"/>
  <c r="F33" i="17"/>
  <c r="F27" i="17"/>
  <c r="F46" i="17"/>
  <c r="F11" i="17"/>
  <c r="F18" i="17"/>
  <c r="F7" i="17"/>
  <c r="F50" i="17"/>
  <c r="F51" i="13"/>
  <c r="F54" i="13"/>
  <c r="F69" i="17"/>
  <c r="F28" i="14"/>
  <c r="F32" i="14"/>
  <c r="F25" i="17"/>
  <c r="F40" i="13"/>
  <c r="D31" i="10"/>
  <c r="F32" i="17"/>
  <c r="F22" i="14"/>
  <c r="F36" i="13"/>
  <c r="D27" i="10"/>
  <c r="U17" i="3"/>
  <c r="U51" i="17"/>
  <c r="U23" i="14"/>
  <c r="U32" i="17"/>
  <c r="U22" i="17"/>
  <c r="U58" i="17"/>
  <c r="U52" i="13"/>
  <c r="U59" i="17"/>
  <c r="U11" i="17"/>
  <c r="U43" i="17"/>
  <c r="U24" i="17"/>
  <c r="U47" i="13"/>
  <c r="S28" i="11"/>
  <c r="S38" i="10"/>
  <c r="U15" i="3"/>
  <c r="U21" i="17"/>
  <c r="U69" i="17"/>
  <c r="U51" i="13"/>
  <c r="U20" i="17"/>
  <c r="U9" i="17"/>
  <c r="U15" i="14"/>
  <c r="U32" i="14"/>
  <c r="U73" i="17"/>
  <c r="U12" i="17"/>
  <c r="U22" i="14"/>
  <c r="U39" i="18"/>
  <c r="K12" i="14"/>
  <c r="K18" i="14"/>
  <c r="K11" i="14"/>
  <c r="K35" i="14"/>
  <c r="K72" i="13"/>
  <c r="K17" i="14"/>
  <c r="K102" i="12"/>
  <c r="K10" i="14"/>
  <c r="K67" i="13"/>
  <c r="K88" i="17"/>
  <c r="K7" i="14"/>
  <c r="K8" i="14"/>
  <c r="K69" i="13"/>
  <c r="K34" i="14"/>
  <c r="I6" i="7"/>
  <c r="K20" i="3"/>
  <c r="K82" i="17"/>
  <c r="K62" i="13"/>
  <c r="K64" i="13"/>
  <c r="I18" i="7"/>
  <c r="I47" i="11"/>
  <c r="I57" i="10"/>
  <c r="K63" i="13"/>
  <c r="K70" i="13"/>
  <c r="K9" i="14"/>
  <c r="K25" i="14"/>
  <c r="K73" i="13"/>
  <c r="F12" i="10"/>
  <c r="H42" i="13"/>
  <c r="F23" i="10"/>
  <c r="F46" i="4"/>
  <c r="F21" i="10"/>
  <c r="F16" i="10"/>
  <c r="F13" i="10"/>
  <c r="F20" i="10"/>
  <c r="F8" i="10"/>
  <c r="F7" i="10"/>
  <c r="F18" i="10"/>
  <c r="H19" i="13"/>
  <c r="F62" i="10"/>
  <c r="F32" i="4"/>
  <c r="F16" i="2"/>
  <c r="F14" i="10"/>
  <c r="H58" i="13"/>
  <c r="F36" i="11"/>
  <c r="F46" i="10"/>
  <c r="F53" i="4"/>
  <c r="F18" i="2"/>
  <c r="F64" i="10"/>
  <c r="F9" i="10"/>
  <c r="F65" i="10"/>
  <c r="F25" i="4"/>
  <c r="F6" i="10"/>
  <c r="F11" i="4"/>
  <c r="F12" i="2"/>
  <c r="F6" i="15"/>
  <c r="F11" i="10"/>
  <c r="F14" i="2"/>
  <c r="F22" i="10"/>
  <c r="H30" i="13"/>
  <c r="H16" i="13"/>
  <c r="F17" i="10"/>
  <c r="F19" i="10"/>
  <c r="F10" i="10"/>
  <c r="AA64" i="13"/>
  <c r="Y18" i="7"/>
  <c r="Y47" i="11"/>
  <c r="Y57" i="10"/>
  <c r="AA46" i="18"/>
  <c r="AA63" i="13"/>
  <c r="AA17" i="14"/>
  <c r="AA7" i="14"/>
  <c r="AA12" i="14"/>
  <c r="AA70" i="13"/>
  <c r="AA35" i="14"/>
  <c r="AA69" i="13"/>
  <c r="AA11" i="14"/>
  <c r="AA25" i="14"/>
  <c r="AA34" i="14"/>
  <c r="AA9" i="14"/>
  <c r="AA71" i="13"/>
  <c r="AA24" i="14"/>
  <c r="AA65" i="13"/>
  <c r="AA8" i="14"/>
  <c r="AA72" i="13"/>
  <c r="AA73" i="13"/>
  <c r="AA102" i="12"/>
  <c r="AA66" i="13"/>
  <c r="AA67" i="13"/>
  <c r="D25" i="14"/>
  <c r="D20" i="3"/>
  <c r="D82" i="17"/>
  <c r="D8" i="14"/>
  <c r="D11" i="14"/>
  <c r="D68" i="13"/>
  <c r="D17" i="14"/>
  <c r="D64" i="13"/>
  <c r="D100" i="12"/>
  <c r="D35" i="14"/>
  <c r="D69" i="13"/>
  <c r="D7" i="14"/>
  <c r="D72" i="13"/>
  <c r="D12" i="14"/>
  <c r="D18" i="14"/>
  <c r="D24" i="14"/>
  <c r="D10" i="14"/>
  <c r="D74" i="13"/>
  <c r="D66" i="13"/>
  <c r="D63" i="13"/>
  <c r="D34" i="14"/>
  <c r="D62" i="13"/>
  <c r="D71" i="13"/>
  <c r="Y34" i="14"/>
  <c r="Y104" i="12"/>
  <c r="Y69" i="13"/>
  <c r="Y65" i="13"/>
  <c r="Y103" i="12"/>
  <c r="Y73" i="13"/>
  <c r="Y70" i="13"/>
  <c r="Y18" i="14"/>
  <c r="Y24" i="14"/>
  <c r="Y72" i="13"/>
  <c r="Y9" i="14"/>
  <c r="X65" i="13"/>
  <c r="Y66" i="13"/>
  <c r="Y71" i="13"/>
  <c r="X70" i="13"/>
  <c r="X10" i="14"/>
  <c r="Y25" i="14"/>
  <c r="Y17" i="14"/>
  <c r="X8" i="14"/>
  <c r="X18" i="14"/>
  <c r="Y64" i="13"/>
  <c r="W18" i="7"/>
  <c r="W47" i="11"/>
  <c r="W57" i="10"/>
  <c r="Y11" i="14"/>
  <c r="Y67" i="13"/>
  <c r="X67" i="13"/>
  <c r="X74" i="13"/>
  <c r="V19" i="7"/>
  <c r="V48" i="11"/>
  <c r="V58" i="10"/>
  <c r="V18" i="4"/>
  <c r="V20" i="2"/>
  <c r="Y95" i="17"/>
  <c r="X73" i="13"/>
  <c r="X66" i="13"/>
  <c r="Y12" i="14"/>
  <c r="X34" i="14"/>
  <c r="X72" i="13"/>
  <c r="X7" i="14"/>
  <c r="Y35" i="14"/>
  <c r="Y74" i="13"/>
  <c r="W19" i="7"/>
  <c r="W48" i="11"/>
  <c r="W58" i="10"/>
  <c r="W18" i="4"/>
  <c r="W20" i="2"/>
  <c r="X103" i="12"/>
  <c r="X17" i="14"/>
  <c r="X35" i="14"/>
  <c r="X25" i="14"/>
  <c r="X9" i="14"/>
  <c r="X62" i="13"/>
  <c r="X83" i="17"/>
  <c r="X64" i="13"/>
  <c r="V18" i="7"/>
  <c r="V47" i="11"/>
  <c r="V57" i="10"/>
  <c r="X12" i="14"/>
  <c r="X24" i="14"/>
  <c r="V10" i="10"/>
  <c r="V13" i="10"/>
  <c r="V19" i="10"/>
  <c r="X58" i="13"/>
  <c r="V36" i="11"/>
  <c r="V46" i="10"/>
  <c r="V53" i="4"/>
  <c r="V18" i="2"/>
  <c r="V20" i="10"/>
  <c r="V12" i="10"/>
  <c r="V64" i="10"/>
  <c r="V65" i="10"/>
  <c r="V25" i="4"/>
  <c r="V11" i="10"/>
  <c r="V14" i="2"/>
  <c r="V9" i="10"/>
  <c r="X30" i="13"/>
  <c r="X16" i="13"/>
  <c r="V17" i="10"/>
  <c r="V6" i="10"/>
  <c r="V11" i="4"/>
  <c r="V12" i="2"/>
  <c r="V6" i="15"/>
  <c r="V16" i="10"/>
  <c r="V21" i="10"/>
  <c r="V22" i="10"/>
  <c r="X42" i="13"/>
  <c r="V23" i="10"/>
  <c r="V46" i="4"/>
  <c r="V8" i="10"/>
  <c r="V7" i="10"/>
  <c r="X19" i="13"/>
  <c r="V62" i="10"/>
  <c r="V32" i="4"/>
  <c r="V16" i="2"/>
  <c r="V14" i="10"/>
  <c r="V18" i="10"/>
  <c r="T71" i="13"/>
  <c r="T69" i="13"/>
  <c r="T11" i="14"/>
  <c r="T24" i="14"/>
  <c r="T66" i="13"/>
  <c r="T70" i="13"/>
  <c r="T64" i="13"/>
  <c r="R18" i="7"/>
  <c r="R47" i="11"/>
  <c r="R57" i="10"/>
  <c r="T8" i="14"/>
  <c r="T10" i="14"/>
  <c r="T68" i="13"/>
  <c r="T25" i="14"/>
  <c r="T18" i="14"/>
  <c r="T12" i="14"/>
  <c r="I69" i="13"/>
  <c r="I9" i="14"/>
  <c r="T9" i="14"/>
  <c r="I66" i="13"/>
  <c r="T34" i="14"/>
  <c r="T35" i="14"/>
  <c r="T65" i="13"/>
  <c r="I63" i="13"/>
  <c r="I83" i="17"/>
  <c r="I65" i="13"/>
  <c r="I67" i="13"/>
  <c r="T100" i="12"/>
  <c r="T62" i="13"/>
  <c r="I104" i="12"/>
  <c r="I10" i="14"/>
  <c r="T63" i="13"/>
  <c r="I25" i="14"/>
  <c r="T87" i="17"/>
  <c r="T74" i="13"/>
  <c r="R19" i="7"/>
  <c r="R48" i="11"/>
  <c r="R58" i="10"/>
  <c r="R18" i="4"/>
  <c r="R20" i="2"/>
  <c r="I7" i="14"/>
  <c r="I103" i="12"/>
  <c r="I18" i="14"/>
  <c r="I73" i="13"/>
  <c r="I35" i="14"/>
  <c r="I74" i="13"/>
  <c r="G19" i="7"/>
  <c r="G48" i="11"/>
  <c r="G58" i="10"/>
  <c r="G18" i="4"/>
  <c r="G20" i="2"/>
  <c r="I95" i="17"/>
  <c r="I62" i="13"/>
  <c r="I11" i="14"/>
  <c r="I71" i="13"/>
  <c r="I68" i="13"/>
  <c r="I72" i="13"/>
  <c r="H19" i="17"/>
  <c r="H32" i="14"/>
  <c r="H26" i="17"/>
  <c r="H9" i="17"/>
  <c r="H28" i="14"/>
  <c r="H48" i="17"/>
  <c r="H44" i="17"/>
  <c r="H56" i="13"/>
  <c r="H34" i="13"/>
  <c r="F25" i="10"/>
  <c r="H73" i="17"/>
  <c r="H23" i="14"/>
  <c r="H25" i="17"/>
  <c r="H11" i="17"/>
  <c r="H52" i="13"/>
  <c r="H78" i="17"/>
  <c r="H65" i="17"/>
  <c r="H39" i="17"/>
  <c r="H27" i="17"/>
  <c r="H38" i="13"/>
  <c r="F29" i="10"/>
  <c r="H15" i="14"/>
  <c r="H49" i="13"/>
  <c r="H20" i="17"/>
  <c r="S55" i="17"/>
  <c r="S53" i="13"/>
  <c r="S15" i="14"/>
  <c r="S38" i="17"/>
  <c r="S20" i="17"/>
  <c r="S32" i="14"/>
  <c r="S12" i="17"/>
  <c r="S46" i="13"/>
  <c r="Q27" i="11"/>
  <c r="Q37" i="10"/>
  <c r="S54" i="13"/>
  <c r="S53" i="17"/>
  <c r="S27" i="14"/>
  <c r="S22" i="14"/>
  <c r="S35" i="13"/>
  <c r="Q26" i="10"/>
  <c r="S22" i="17"/>
  <c r="S71" i="17"/>
  <c r="S7" i="17"/>
  <c r="S23" i="17"/>
  <c r="S49" i="13"/>
  <c r="S37" i="17"/>
  <c r="P9" i="9"/>
  <c r="P9" i="5"/>
  <c r="S76" i="17"/>
  <c r="S60" i="17"/>
  <c r="S45" i="17"/>
  <c r="T11" i="10"/>
  <c r="T14" i="2"/>
  <c r="V42" i="13"/>
  <c r="T23" i="10"/>
  <c r="T46" i="4"/>
  <c r="T6" i="10"/>
  <c r="T11" i="4"/>
  <c r="T12" i="2"/>
  <c r="T6" i="15"/>
  <c r="T10" i="10"/>
  <c r="T21" i="10"/>
  <c r="T16" i="10"/>
  <c r="T13" i="10"/>
  <c r="T14" i="10"/>
  <c r="T65" i="10"/>
  <c r="T25" i="4"/>
  <c r="T19" i="10"/>
  <c r="T64" i="10"/>
  <c r="T12" i="10"/>
  <c r="T18" i="10"/>
  <c r="T7" i="10"/>
  <c r="T22" i="10"/>
  <c r="V30" i="13"/>
  <c r="V16" i="13"/>
  <c r="T17" i="10"/>
  <c r="V19" i="13"/>
  <c r="T62" i="10"/>
  <c r="T32" i="4"/>
  <c r="T16" i="2"/>
  <c r="T20" i="10"/>
  <c r="V58" i="13"/>
  <c r="T36" i="11"/>
  <c r="T46" i="10"/>
  <c r="T53" i="4"/>
  <c r="T18" i="2"/>
  <c r="T9" i="10"/>
  <c r="T8" i="10"/>
  <c r="N17" i="3"/>
  <c r="N51" i="17"/>
  <c r="N41" i="13"/>
  <c r="L32" i="10"/>
  <c r="N46" i="13"/>
  <c r="L27" i="11"/>
  <c r="L37" i="10"/>
  <c r="N10" i="17"/>
  <c r="N43" i="17"/>
  <c r="N8" i="17"/>
  <c r="N29" i="14"/>
  <c r="N24" i="17"/>
  <c r="N50" i="13"/>
  <c r="N33" i="14"/>
  <c r="N23" i="14"/>
  <c r="N16" i="14"/>
  <c r="N49" i="17"/>
  <c r="N22" i="14"/>
  <c r="N33" i="17"/>
  <c r="N54" i="17"/>
  <c r="N37" i="17"/>
  <c r="N42" i="17"/>
  <c r="N12" i="17"/>
  <c r="K9" i="9"/>
  <c r="K9" i="5"/>
  <c r="N76" i="17"/>
  <c r="N23" i="17"/>
  <c r="N51" i="13"/>
  <c r="L70" i="13"/>
  <c r="L7" i="14"/>
  <c r="L71" i="13"/>
  <c r="L10" i="14"/>
  <c r="L104" i="12"/>
  <c r="L65" i="13"/>
  <c r="L11" i="14"/>
  <c r="L66" i="13"/>
  <c r="L63" i="13"/>
  <c r="L73" i="13"/>
  <c r="L24" i="14"/>
  <c r="L25" i="14"/>
  <c r="L74" i="13"/>
  <c r="J19" i="7"/>
  <c r="J48" i="11"/>
  <c r="J58" i="10"/>
  <c r="J18" i="4"/>
  <c r="J20" i="2"/>
  <c r="L9" i="14"/>
  <c r="L35" i="14"/>
  <c r="L68" i="13"/>
  <c r="L67" i="13"/>
  <c r="L18" i="14"/>
  <c r="L12" i="14"/>
  <c r="L72" i="13"/>
  <c r="L17" i="14"/>
  <c r="L34" i="14"/>
  <c r="Q37" i="13"/>
  <c r="O28" i="10"/>
  <c r="Q22" i="17"/>
  <c r="Q18" i="17"/>
  <c r="Q30" i="17"/>
  <c r="Q9" i="17"/>
  <c r="Q8" i="17"/>
  <c r="Q47" i="17"/>
  <c r="Q29" i="17"/>
  <c r="Q28" i="17"/>
  <c r="Q27" i="14"/>
  <c r="Q22" i="14"/>
  <c r="Q12" i="17"/>
  <c r="Q29" i="14"/>
  <c r="Q35" i="18"/>
  <c r="Q10" i="17"/>
  <c r="Q39" i="17"/>
  <c r="Q16" i="14"/>
  <c r="Q40" i="17"/>
  <c r="Q15" i="3"/>
  <c r="Q21" i="17"/>
  <c r="Q55" i="13"/>
  <c r="Q64" i="17"/>
  <c r="Q51" i="13"/>
  <c r="Q87" i="17"/>
  <c r="Q72" i="13"/>
  <c r="Q73" i="13"/>
  <c r="Q103" i="12"/>
  <c r="Q65" i="13"/>
  <c r="Q73" i="12"/>
  <c r="Q34" i="14"/>
  <c r="Q17" i="14"/>
  <c r="Q8" i="14"/>
  <c r="Q24" i="14"/>
  <c r="Q66" i="13"/>
  <c r="Q74" i="13"/>
  <c r="O19" i="7"/>
  <c r="O48" i="11"/>
  <c r="O58" i="10"/>
  <c r="O18" i="4"/>
  <c r="O20" i="2"/>
  <c r="Q9" i="14"/>
  <c r="Q88" i="17"/>
  <c r="Q69" i="13"/>
  <c r="Q7" i="14"/>
  <c r="Q12" i="14"/>
  <c r="Q25" i="14"/>
  <c r="Q102" i="12"/>
  <c r="Q62" i="13"/>
  <c r="Q35" i="14"/>
  <c r="Q11" i="14"/>
  <c r="H17" i="14"/>
  <c r="H7" i="14"/>
  <c r="H11" i="14"/>
  <c r="H67" i="13"/>
  <c r="H103" i="12"/>
  <c r="H69" i="13"/>
  <c r="H8" i="14"/>
  <c r="H74" i="13"/>
  <c r="F19" i="7"/>
  <c r="F48" i="11"/>
  <c r="F58" i="10"/>
  <c r="F18" i="4"/>
  <c r="F20" i="2"/>
  <c r="H70" i="13"/>
  <c r="H73" i="13"/>
  <c r="H25" i="14"/>
  <c r="H34" i="14"/>
  <c r="H62" i="13"/>
  <c r="H10" i="14"/>
  <c r="H63" i="13"/>
  <c r="H35" i="14"/>
  <c r="H68" i="13"/>
  <c r="H106" i="12"/>
  <c r="H18" i="14"/>
  <c r="H71" i="13"/>
  <c r="H72" i="13"/>
  <c r="H74" i="12"/>
  <c r="N91" i="17"/>
  <c r="N63" i="13"/>
  <c r="N68" i="13"/>
  <c r="N62" i="13"/>
  <c r="N12" i="14"/>
  <c r="N25" i="14"/>
  <c r="N9" i="14"/>
  <c r="N102" i="12"/>
  <c r="N24" i="14"/>
  <c r="N7" i="14"/>
  <c r="N106" i="12"/>
  <c r="N34" i="14"/>
  <c r="N18" i="14"/>
  <c r="N67" i="13"/>
  <c r="N70" i="13"/>
  <c r="N64" i="13"/>
  <c r="L18" i="7"/>
  <c r="L47" i="11"/>
  <c r="L57" i="10"/>
  <c r="N72" i="13"/>
  <c r="N11" i="14"/>
  <c r="N73" i="13"/>
  <c r="N8" i="14"/>
  <c r="N69" i="13"/>
  <c r="N100" i="12"/>
  <c r="F66" i="13"/>
  <c r="F71" i="13"/>
  <c r="F17" i="14"/>
  <c r="F67" i="13"/>
  <c r="F35" i="14"/>
  <c r="F11" i="14"/>
  <c r="F72" i="13"/>
  <c r="F8" i="14"/>
  <c r="F25" i="14"/>
  <c r="F9" i="14"/>
  <c r="F34" i="14"/>
  <c r="F10" i="14"/>
  <c r="F87" i="17"/>
  <c r="F63" i="13"/>
  <c r="F68" i="13"/>
  <c r="F74" i="13"/>
  <c r="D19" i="7"/>
  <c r="D48" i="11"/>
  <c r="D58" i="10"/>
  <c r="D18" i="4"/>
  <c r="D20" i="2"/>
  <c r="F7" i="14"/>
  <c r="F69" i="13"/>
  <c r="F12" i="14"/>
  <c r="F62" i="13"/>
  <c r="F64" i="13"/>
  <c r="D18" i="7"/>
  <c r="D47" i="11"/>
  <c r="D57" i="10"/>
  <c r="F18" i="14"/>
  <c r="P12" i="14"/>
  <c r="P10" i="14"/>
  <c r="P64" i="13"/>
  <c r="N18" i="7"/>
  <c r="N47" i="11"/>
  <c r="N57" i="10"/>
  <c r="P73" i="13"/>
  <c r="P18" i="14"/>
  <c r="P67" i="13"/>
  <c r="P17" i="14"/>
  <c r="P9" i="14"/>
  <c r="P8" i="14"/>
  <c r="P25" i="14"/>
  <c r="P104" i="12"/>
  <c r="P69" i="13"/>
  <c r="P72" i="13"/>
  <c r="P62" i="13"/>
  <c r="P66" i="13"/>
  <c r="P35" i="14"/>
  <c r="P70" i="13"/>
  <c r="P34" i="14"/>
  <c r="P68" i="13"/>
  <c r="P11" i="14"/>
  <c r="P7" i="14"/>
  <c r="P63" i="13"/>
  <c r="D6" i="10"/>
  <c r="D11" i="4"/>
  <c r="D12" i="2"/>
  <c r="D6" i="15"/>
  <c r="D13" i="10"/>
  <c r="D9" i="10"/>
  <c r="D7" i="10"/>
  <c r="D18" i="10"/>
  <c r="D16" i="10"/>
  <c r="F58" i="13"/>
  <c r="D36" i="11"/>
  <c r="D46" i="10"/>
  <c r="D53" i="4"/>
  <c r="D18" i="2"/>
  <c r="D12" i="10"/>
  <c r="D21" i="10"/>
  <c r="D20" i="10"/>
  <c r="D22" i="10"/>
  <c r="F30" i="13"/>
  <c r="F16" i="13"/>
  <c r="D17" i="10"/>
  <c r="D19" i="10"/>
  <c r="D11" i="10"/>
  <c r="D14" i="2"/>
  <c r="D64" i="10"/>
  <c r="D14" i="10"/>
  <c r="D65" i="10"/>
  <c r="D25" i="4"/>
  <c r="D8" i="10"/>
  <c r="F42" i="13"/>
  <c r="D23" i="10"/>
  <c r="D46" i="4"/>
  <c r="D10" i="10"/>
  <c r="F19" i="13"/>
  <c r="D62" i="10"/>
  <c r="D32" i="4"/>
  <c r="D16" i="2"/>
  <c r="S8" i="14"/>
  <c r="S64" i="13"/>
  <c r="Q18" i="7"/>
  <c r="Q47" i="11"/>
  <c r="Q57" i="10"/>
  <c r="S65" i="13"/>
  <c r="S72" i="13"/>
  <c r="S73" i="13"/>
  <c r="S17" i="14"/>
  <c r="S7" i="14"/>
  <c r="S12" i="14"/>
  <c r="S68" i="13"/>
  <c r="S67" i="13"/>
  <c r="S66" i="13"/>
  <c r="S71" i="13"/>
  <c r="S18" i="14"/>
  <c r="S10" i="14"/>
  <c r="S24" i="14"/>
  <c r="S63" i="13"/>
  <c r="S25" i="14"/>
  <c r="S103" i="12"/>
  <c r="S100" i="12"/>
  <c r="S69" i="13"/>
  <c r="S34" i="14"/>
  <c r="S11" i="14"/>
  <c r="J73" i="13"/>
  <c r="J25" i="14"/>
  <c r="J72" i="13"/>
  <c r="J7" i="14"/>
  <c r="J18" i="14"/>
  <c r="J69" i="13"/>
  <c r="J71" i="13"/>
  <c r="J24" i="14"/>
  <c r="J17" i="14"/>
  <c r="J34" i="14"/>
  <c r="J104" i="12"/>
  <c r="J74" i="13"/>
  <c r="H19" i="7"/>
  <c r="H48" i="11"/>
  <c r="H58" i="10"/>
  <c r="H18" i="4"/>
  <c r="H20" i="2"/>
  <c r="J102" i="12"/>
  <c r="J64" i="13"/>
  <c r="H18" i="7"/>
  <c r="H47" i="11"/>
  <c r="H57" i="10"/>
  <c r="J67" i="13"/>
  <c r="J8" i="14"/>
  <c r="J35" i="14"/>
  <c r="J10" i="14"/>
  <c r="J68" i="13"/>
  <c r="J11" i="14"/>
  <c r="J106" i="12"/>
  <c r="J65" i="13"/>
  <c r="W7" i="10"/>
  <c r="W14" i="10"/>
  <c r="W65" i="10"/>
  <c r="W25" i="4"/>
  <c r="W13" i="10"/>
  <c r="W21" i="10"/>
  <c r="W12" i="10"/>
  <c r="Y42" i="13"/>
  <c r="W23" i="10"/>
  <c r="W46" i="4"/>
  <c r="Y19" i="13"/>
  <c r="W62" i="10"/>
  <c r="W32" i="4"/>
  <c r="W16" i="2"/>
  <c r="W6" i="10"/>
  <c r="W11" i="4"/>
  <c r="W12" i="2"/>
  <c r="W6" i="15"/>
  <c r="Y58" i="13"/>
  <c r="W36" i="11"/>
  <c r="W46" i="10"/>
  <c r="W53" i="4"/>
  <c r="W18" i="2"/>
  <c r="W16" i="10"/>
  <c r="W9" i="10"/>
  <c r="W19" i="10"/>
  <c r="W64" i="10"/>
  <c r="W20" i="10"/>
  <c r="W18" i="10"/>
  <c r="W10" i="10"/>
  <c r="W11" i="10"/>
  <c r="W14" i="2"/>
  <c r="W22" i="10"/>
  <c r="Y30" i="13"/>
  <c r="Y16" i="13"/>
  <c r="W17" i="10"/>
  <c r="W8" i="10"/>
  <c r="W17" i="14"/>
  <c r="W67" i="13"/>
  <c r="W62" i="13"/>
  <c r="W18" i="14"/>
  <c r="W12" i="14"/>
  <c r="W71" i="13"/>
  <c r="W63" i="13"/>
  <c r="U6" i="7"/>
  <c r="W20" i="3"/>
  <c r="W82" i="17"/>
  <c r="W10" i="14"/>
  <c r="W70" i="13"/>
  <c r="W69" i="13"/>
  <c r="W11" i="14"/>
  <c r="W66" i="13"/>
  <c r="W9" i="14"/>
  <c r="W74" i="13"/>
  <c r="U19" i="7"/>
  <c r="U48" i="11"/>
  <c r="U58" i="10"/>
  <c r="U18" i="4"/>
  <c r="U20" i="2"/>
  <c r="W8" i="14"/>
  <c r="W73" i="13"/>
  <c r="W35" i="14"/>
  <c r="W65" i="13"/>
  <c r="W24" i="14"/>
  <c r="W68" i="13"/>
  <c r="W64" i="13"/>
  <c r="U18" i="7"/>
  <c r="U47" i="11"/>
  <c r="U57" i="10"/>
  <c r="R35" i="14"/>
  <c r="R74" i="13"/>
  <c r="P19" i="7"/>
  <c r="P48" i="11"/>
  <c r="P58" i="10"/>
  <c r="P18" i="4"/>
  <c r="P20" i="2"/>
  <c r="R64" i="13"/>
  <c r="P18" i="7"/>
  <c r="P47" i="11"/>
  <c r="P57" i="10"/>
  <c r="R68" i="13"/>
  <c r="R34" i="14"/>
  <c r="R103" i="12"/>
  <c r="R24" i="14"/>
  <c r="R71" i="13"/>
  <c r="R73" i="13"/>
  <c r="R62" i="13"/>
  <c r="R8" i="14"/>
  <c r="R12" i="14"/>
  <c r="R66" i="13"/>
  <c r="R65" i="13"/>
  <c r="R11" i="14"/>
  <c r="R9" i="14"/>
  <c r="R70" i="13"/>
  <c r="R18" i="14"/>
  <c r="R7" i="14"/>
  <c r="R102" i="12"/>
  <c r="R10" i="14"/>
  <c r="R63" i="13"/>
  <c r="U62" i="13"/>
  <c r="U10" i="14"/>
  <c r="U34" i="14"/>
  <c r="U24" i="14"/>
  <c r="U8" i="14"/>
  <c r="U69" i="13"/>
  <c r="U17" i="14"/>
  <c r="U11" i="14"/>
  <c r="U66" i="13"/>
  <c r="U73" i="13"/>
  <c r="U18" i="14"/>
  <c r="U9" i="14"/>
  <c r="U12" i="14"/>
  <c r="U63" i="13"/>
  <c r="U103" i="12"/>
  <c r="U68" i="13"/>
  <c r="U71" i="13"/>
  <c r="U64" i="13"/>
  <c r="S18" i="7"/>
  <c r="S47" i="11"/>
  <c r="S57" i="10"/>
  <c r="U65" i="13"/>
  <c r="U35" i="14"/>
  <c r="U74" i="13"/>
  <c r="S19" i="7"/>
  <c r="S48" i="11"/>
  <c r="S58" i="10"/>
  <c r="S18" i="4"/>
  <c r="S20" i="2"/>
  <c r="U70" i="13"/>
  <c r="O8" i="14"/>
  <c r="O70" i="13"/>
  <c r="O71" i="13"/>
  <c r="O9" i="14"/>
  <c r="O104" i="12"/>
  <c r="O25" i="14"/>
  <c r="O66" i="13"/>
  <c r="O62" i="13"/>
  <c r="O18" i="14"/>
  <c r="O7" i="14"/>
  <c r="O34" i="14"/>
  <c r="O69" i="13"/>
  <c r="O73" i="13"/>
  <c r="O35" i="14"/>
  <c r="O65" i="13"/>
  <c r="O24" i="14"/>
  <c r="O74" i="13"/>
  <c r="M19" i="7"/>
  <c r="M48" i="11"/>
  <c r="M58" i="10"/>
  <c r="M18" i="4"/>
  <c r="M20" i="2"/>
  <c r="O72" i="13"/>
  <c r="O12" i="14"/>
  <c r="O11" i="14"/>
  <c r="O68" i="13"/>
  <c r="O63" i="13"/>
  <c r="Z9" i="14"/>
  <c r="Z24" i="14"/>
  <c r="Z67" i="13"/>
  <c r="Z64" i="13"/>
  <c r="X18" i="7"/>
  <c r="X47" i="11"/>
  <c r="X57" i="10"/>
  <c r="Z18" i="14"/>
  <c r="Z11" i="14"/>
  <c r="Z68" i="13"/>
  <c r="Z73" i="13"/>
  <c r="Z25" i="14"/>
  <c r="Z35" i="14"/>
  <c r="Z106" i="12"/>
  <c r="Z69" i="13"/>
  <c r="Z17" i="14"/>
  <c r="Z70" i="13"/>
  <c r="Z72" i="13"/>
  <c r="Z74" i="13"/>
  <c r="X19" i="7"/>
  <c r="X48" i="11"/>
  <c r="X58" i="10"/>
  <c r="X18" i="4"/>
  <c r="X20" i="2"/>
  <c r="Z66" i="13"/>
  <c r="Z104" i="12"/>
  <c r="Z8" i="14"/>
  <c r="Z65" i="13"/>
  <c r="Z12" i="14"/>
  <c r="Z34" i="14"/>
  <c r="R56" i="17"/>
  <c r="R22" i="17"/>
  <c r="R10" i="17"/>
  <c r="R15" i="3"/>
  <c r="R21" i="17"/>
  <c r="R12" i="17"/>
  <c r="R28" i="14"/>
  <c r="R40" i="13"/>
  <c r="P31" i="10"/>
  <c r="R29" i="17"/>
  <c r="R29" i="14"/>
  <c r="R39" i="17"/>
  <c r="R45" i="17"/>
  <c r="R28" i="17"/>
  <c r="R16" i="14"/>
  <c r="R32" i="14"/>
  <c r="R27" i="14"/>
  <c r="R7" i="17"/>
  <c r="R47" i="17"/>
  <c r="R37" i="17"/>
  <c r="R46" i="13"/>
  <c r="P27" i="11"/>
  <c r="P37" i="10"/>
  <c r="R55" i="13"/>
  <c r="R8" i="18"/>
  <c r="R37" i="13"/>
  <c r="P28" i="10"/>
  <c r="E12" i="14"/>
  <c r="E66" i="13"/>
  <c r="E10" i="14"/>
  <c r="E70" i="13"/>
  <c r="E64" i="13"/>
  <c r="C18" i="7"/>
  <c r="C47" i="11"/>
  <c r="C57" i="10"/>
  <c r="E103" i="12"/>
  <c r="E18" i="14"/>
  <c r="E73" i="13"/>
  <c r="E35" i="14"/>
  <c r="E7" i="14"/>
  <c r="E67" i="13"/>
  <c r="E62" i="13"/>
  <c r="E71" i="13"/>
  <c r="E17" i="14"/>
  <c r="E25" i="14"/>
  <c r="E8" i="14"/>
  <c r="E11" i="14"/>
  <c r="E65" i="13"/>
  <c r="E69" i="13"/>
  <c r="E34" i="14"/>
  <c r="E72" i="13"/>
  <c r="E24" i="14"/>
  <c r="M35" i="14"/>
  <c r="M18" i="14"/>
  <c r="M9" i="14"/>
  <c r="M65" i="13"/>
  <c r="M63" i="13"/>
  <c r="M62" i="13"/>
  <c r="M106" i="12"/>
  <c r="M64" i="13"/>
  <c r="K18" i="7"/>
  <c r="K47" i="11"/>
  <c r="K57" i="10"/>
  <c r="M8" i="14"/>
  <c r="M72" i="13"/>
  <c r="M67" i="13"/>
  <c r="M73" i="13"/>
  <c r="M11" i="14"/>
  <c r="M68" i="13"/>
  <c r="M100" i="12"/>
  <c r="M25" i="14"/>
  <c r="M34" i="14"/>
  <c r="M7" i="14"/>
  <c r="M10" i="14"/>
  <c r="M70" i="13"/>
  <c r="M24" i="14"/>
  <c r="M69" i="13"/>
  <c r="V70" i="13"/>
  <c r="V62" i="13"/>
  <c r="V63" i="13"/>
  <c r="V64" i="13"/>
  <c r="T18" i="7"/>
  <c r="T47" i="11"/>
  <c r="T57" i="10"/>
  <c r="V67" i="13"/>
  <c r="V8" i="14"/>
  <c r="V18" i="14"/>
  <c r="V72" i="13"/>
  <c r="V25" i="14"/>
  <c r="V66" i="13"/>
  <c r="V71" i="13"/>
  <c r="V69" i="13"/>
  <c r="V106" i="12"/>
  <c r="V74" i="13"/>
  <c r="T19" i="7"/>
  <c r="T48" i="11"/>
  <c r="T58" i="10"/>
  <c r="T18" i="4"/>
  <c r="T20" i="2"/>
  <c r="V10" i="14"/>
  <c r="V17" i="14"/>
  <c r="V9" i="14"/>
  <c r="V34" i="14"/>
  <c r="V11" i="14"/>
  <c r="V12" i="14"/>
  <c r="V24" i="14"/>
  <c r="V73" i="13"/>
  <c r="W19" i="13"/>
  <c r="U62" i="10"/>
  <c r="U32" i="4"/>
  <c r="U16" i="2"/>
  <c r="U8" i="10"/>
  <c r="U7" i="10"/>
  <c r="U14" i="10"/>
  <c r="U64" i="10"/>
  <c r="U65" i="10"/>
  <c r="U25" i="4"/>
  <c r="W30" i="13"/>
  <c r="W16" i="13"/>
  <c r="U17" i="10"/>
  <c r="U20" i="10"/>
  <c r="U21" i="10"/>
  <c r="U16" i="10"/>
  <c r="U18" i="10"/>
  <c r="U13" i="10"/>
  <c r="W42" i="13"/>
  <c r="U23" i="10"/>
  <c r="U46" i="4"/>
  <c r="U22" i="10"/>
  <c r="W58" i="13"/>
  <c r="U36" i="11"/>
  <c r="U46" i="10"/>
  <c r="U53" i="4"/>
  <c r="U18" i="2"/>
  <c r="U9" i="10"/>
  <c r="U12" i="10"/>
  <c r="U10" i="10"/>
  <c r="U6" i="10"/>
  <c r="U11" i="4"/>
  <c r="U12" i="2"/>
  <c r="U6" i="15"/>
  <c r="U19" i="10"/>
  <c r="U11" i="10"/>
  <c r="U14" i="2"/>
  <c r="K22" i="18"/>
  <c r="K28" i="17"/>
  <c r="K63" i="17"/>
  <c r="K28" i="14"/>
  <c r="K26" i="17"/>
  <c r="K75" i="17"/>
  <c r="K27" i="17"/>
  <c r="K36" i="13"/>
  <c r="I27" i="10"/>
  <c r="K58" i="17"/>
  <c r="K11" i="17"/>
  <c r="K19" i="17"/>
  <c r="K46" i="17"/>
  <c r="H9" i="9"/>
  <c r="H9" i="5"/>
  <c r="K76" i="17"/>
  <c r="K15" i="18"/>
  <c r="K54" i="17"/>
  <c r="K43" i="17"/>
  <c r="K25" i="17"/>
  <c r="K54" i="13"/>
  <c r="K29" i="17"/>
  <c r="K56" i="17"/>
  <c r="K60" i="17"/>
  <c r="K15" i="14"/>
  <c r="G68" i="13"/>
  <c r="G63" i="13"/>
  <c r="G66" i="13"/>
  <c r="G34" i="14"/>
  <c r="G11" i="14"/>
  <c r="G10" i="14"/>
  <c r="G72" i="13"/>
  <c r="G24" i="14"/>
  <c r="G17" i="14"/>
  <c r="G71" i="13"/>
  <c r="G73" i="13"/>
  <c r="G106" i="12"/>
  <c r="G65" i="13"/>
  <c r="G25" i="14"/>
  <c r="G67" i="13"/>
  <c r="G74" i="13"/>
  <c r="E19" i="7"/>
  <c r="E48" i="11"/>
  <c r="E58" i="10"/>
  <c r="E18" i="4"/>
  <c r="E20" i="2"/>
  <c r="G35" i="14"/>
  <c r="G62" i="13"/>
  <c r="G7" i="14"/>
  <c r="G8" i="14"/>
  <c r="G69" i="13"/>
  <c r="G18" i="14"/>
  <c r="E65" i="10"/>
  <c r="E25" i="4"/>
  <c r="G19" i="13"/>
  <c r="E62" i="10"/>
  <c r="E32" i="4"/>
  <c r="E16" i="2"/>
  <c r="E21" i="10"/>
  <c r="E19" i="10"/>
  <c r="E18" i="10"/>
  <c r="E7" i="10"/>
  <c r="E11" i="10"/>
  <c r="E14" i="2"/>
  <c r="E14" i="10"/>
  <c r="E10" i="10"/>
  <c r="E12" i="10"/>
  <c r="G42" i="13"/>
  <c r="E23" i="10"/>
  <c r="E46" i="4"/>
  <c r="E16" i="10"/>
  <c r="E13" i="10"/>
  <c r="E8" i="10"/>
  <c r="E9" i="10"/>
  <c r="E64" i="10"/>
  <c r="E6" i="10"/>
  <c r="E11" i="4"/>
  <c r="E12" i="2"/>
  <c r="E6" i="15"/>
  <c r="E22" i="10"/>
  <c r="G58" i="13"/>
  <c r="E36" i="11"/>
  <c r="E46" i="10"/>
  <c r="E53" i="4"/>
  <c r="E18" i="2"/>
  <c r="E20" i="10"/>
  <c r="G30" i="13"/>
  <c r="G16" i="13"/>
  <c r="E17" i="10"/>
  <c r="C22" i="14"/>
  <c r="C78" i="17"/>
  <c r="C37" i="17"/>
  <c r="C38" i="17"/>
  <c r="C46" i="13"/>
  <c r="C17" i="3"/>
  <c r="C51" i="17"/>
  <c r="C53" i="13"/>
  <c r="C20" i="17"/>
  <c r="C56" i="17"/>
  <c r="C7" i="17"/>
  <c r="C35" i="13"/>
  <c r="C54" i="17"/>
  <c r="C28" i="18"/>
  <c r="C32" i="14"/>
  <c r="C70" i="17"/>
  <c r="C33" i="17"/>
  <c r="C27" i="14"/>
  <c r="C46" i="17"/>
  <c r="C12" i="17"/>
  <c r="C16" i="14"/>
  <c r="C68" i="17"/>
  <c r="C22" i="17"/>
  <c r="D54" i="18"/>
  <c r="D12" i="17"/>
  <c r="D68" i="17"/>
  <c r="D46" i="17"/>
  <c r="D85" i="17"/>
  <c r="D78" i="17"/>
  <c r="D55" i="17"/>
  <c r="D28" i="17"/>
  <c r="D35" i="13"/>
  <c r="D18" i="18"/>
  <c r="D61" i="17"/>
  <c r="D42" i="17"/>
  <c r="D19" i="3"/>
  <c r="D77" i="17"/>
  <c r="D39" i="18"/>
  <c r="D28" i="18"/>
  <c r="D53" i="17"/>
  <c r="D17" i="3"/>
  <c r="D51" i="17"/>
  <c r="D43" i="17"/>
  <c r="D27" i="14"/>
  <c r="D59" i="17"/>
  <c r="D57" i="17"/>
  <c r="D53" i="13"/>
  <c r="Y38" i="13"/>
  <c r="W29" i="10"/>
  <c r="Y31" i="17"/>
  <c r="Y27" i="17"/>
  <c r="Y30" i="18"/>
  <c r="Y29" i="17"/>
  <c r="Y12" i="17"/>
  <c r="Y19" i="18"/>
  <c r="Y49" i="17"/>
  <c r="Y85" i="17"/>
  <c r="Y7" i="17"/>
  <c r="Y64" i="17"/>
  <c r="Y19" i="3"/>
  <c r="Y77" i="17"/>
  <c r="Y56" i="13"/>
  <c r="Y45" i="17"/>
  <c r="Y84" i="17"/>
  <c r="Y54" i="17"/>
  <c r="Y32" i="14"/>
  <c r="Y61" i="17"/>
  <c r="Y28" i="14"/>
  <c r="Y9" i="18"/>
  <c r="Y22" i="18"/>
  <c r="Y9" i="17"/>
  <c r="X29" i="17"/>
  <c r="X7" i="17"/>
  <c r="X22" i="17"/>
  <c r="X40" i="17"/>
  <c r="X20" i="17"/>
  <c r="X57" i="17"/>
  <c r="X52" i="13"/>
  <c r="X28" i="14"/>
  <c r="X15" i="3"/>
  <c r="X21" i="17"/>
  <c r="X34" i="13"/>
  <c r="V25" i="10"/>
  <c r="X11" i="17"/>
  <c r="X56" i="13"/>
  <c r="X23" i="14"/>
  <c r="X19" i="17"/>
  <c r="X31" i="17"/>
  <c r="X38" i="13"/>
  <c r="V29" i="10"/>
  <c r="X15" i="14"/>
  <c r="X32" i="14"/>
  <c r="X9" i="17"/>
  <c r="X49" i="13"/>
  <c r="X30" i="17"/>
  <c r="X22" i="14"/>
  <c r="E53" i="17"/>
  <c r="E13" i="18"/>
  <c r="E61" i="17"/>
  <c r="E57" i="17"/>
  <c r="E37" i="17"/>
  <c r="E85" i="17"/>
  <c r="E42" i="17"/>
  <c r="E49" i="17"/>
  <c r="E22" i="14"/>
  <c r="E65" i="17"/>
  <c r="E19" i="17"/>
  <c r="E66" i="17"/>
  <c r="E18" i="18"/>
  <c r="E64" i="17"/>
  <c r="E43" i="17"/>
  <c r="E12" i="17"/>
  <c r="E59" i="17"/>
  <c r="E15" i="3"/>
  <c r="E21" i="17"/>
  <c r="E38" i="17"/>
  <c r="E31" i="17"/>
  <c r="E78" i="17"/>
  <c r="E62" i="17"/>
  <c r="L27" i="17"/>
  <c r="L19" i="17"/>
  <c r="L89" i="17"/>
  <c r="L75" i="17"/>
  <c r="L15" i="18"/>
  <c r="L20" i="17"/>
  <c r="L56" i="17"/>
  <c r="L26" i="17"/>
  <c r="L15" i="14"/>
  <c r="L63" i="17"/>
  <c r="L25" i="17"/>
  <c r="L60" i="17"/>
  <c r="L50" i="17"/>
  <c r="L43" i="17"/>
  <c r="L22" i="18"/>
  <c r="L89" i="18"/>
  <c r="L18" i="3"/>
  <c r="L67" i="17"/>
  <c r="L11" i="17"/>
  <c r="L54" i="17"/>
  <c r="L65" i="18"/>
  <c r="L38" i="17"/>
  <c r="L32" i="17"/>
  <c r="AA78" i="17"/>
  <c r="AA72" i="17"/>
  <c r="AA19" i="18"/>
  <c r="AA71" i="17"/>
  <c r="AA47" i="17"/>
  <c r="AA94" i="18"/>
  <c r="AA74" i="17"/>
  <c r="AA9" i="17"/>
  <c r="AA61" i="17"/>
  <c r="AA15" i="3"/>
  <c r="AA21" i="17"/>
  <c r="AA15" i="14"/>
  <c r="AA28" i="14"/>
  <c r="AA54" i="13"/>
  <c r="AA29" i="17"/>
  <c r="X8" i="9"/>
  <c r="X8" i="5"/>
  <c r="AA68" i="17"/>
  <c r="AA56" i="17"/>
  <c r="AA58" i="17"/>
  <c r="AA30" i="17"/>
  <c r="AA25" i="17"/>
  <c r="AA64" i="17"/>
  <c r="AA36" i="13"/>
  <c r="Y27" i="10"/>
  <c r="AA43" i="17"/>
  <c r="O26" i="17"/>
  <c r="O66" i="17"/>
  <c r="O18" i="17"/>
  <c r="O60" i="17"/>
  <c r="O39" i="17"/>
  <c r="O24" i="17"/>
  <c r="O50" i="17"/>
  <c r="O63" i="17"/>
  <c r="O43" i="17"/>
  <c r="O50" i="13"/>
  <c r="O75" i="17"/>
  <c r="O70" i="17"/>
  <c r="O89" i="17"/>
  <c r="O26" i="18"/>
  <c r="O33" i="14"/>
  <c r="O27" i="17"/>
  <c r="O56" i="17"/>
  <c r="O15" i="18"/>
  <c r="O48" i="17"/>
  <c r="O74" i="17"/>
  <c r="O25" i="17"/>
  <c r="O23" i="14"/>
  <c r="Z22" i="17"/>
  <c r="Z15" i="14"/>
  <c r="Z19" i="3"/>
  <c r="Z77" i="17"/>
  <c r="Z47" i="17"/>
  <c r="Z65" i="17"/>
  <c r="Z45" i="17"/>
  <c r="Z22" i="18"/>
  <c r="Z54" i="17"/>
  <c r="Z15" i="3"/>
  <c r="Z21" i="17"/>
  <c r="Z56" i="17"/>
  <c r="Z78" i="17"/>
  <c r="Z42" i="17"/>
  <c r="Z71" i="17"/>
  <c r="Z28" i="14"/>
  <c r="Z9" i="17"/>
  <c r="Z40" i="17"/>
  <c r="Z31" i="17"/>
  <c r="Z7" i="17"/>
  <c r="Z24" i="18"/>
  <c r="Z9" i="18"/>
  <c r="Z72" i="17"/>
  <c r="Z49" i="17"/>
  <c r="I54" i="17"/>
  <c r="I27" i="17"/>
  <c r="I31" i="17"/>
  <c r="I101" i="18"/>
  <c r="I38" i="17"/>
  <c r="F9" i="9"/>
  <c r="F9" i="5"/>
  <c r="I76" i="17"/>
  <c r="I9" i="17"/>
  <c r="I55" i="18"/>
  <c r="I20" i="17"/>
  <c r="I19" i="3"/>
  <c r="I77" i="17"/>
  <c r="I11" i="18"/>
  <c r="I39" i="18"/>
  <c r="I45" i="17"/>
  <c r="I9" i="18"/>
  <c r="I18" i="3"/>
  <c r="I67" i="17"/>
  <c r="I49" i="17"/>
  <c r="I7" i="17"/>
  <c r="I56" i="17"/>
  <c r="I61" i="17"/>
  <c r="I48" i="17"/>
  <c r="I32" i="14"/>
  <c r="I64" i="17"/>
  <c r="V19" i="17"/>
  <c r="V26" i="17"/>
  <c r="V58" i="17"/>
  <c r="V22" i="14"/>
  <c r="V44" i="17"/>
  <c r="V59" i="17"/>
  <c r="V61" i="17"/>
  <c r="V17" i="3"/>
  <c r="V51" i="17"/>
  <c r="V69" i="17"/>
  <c r="V40" i="17"/>
  <c r="V72" i="17"/>
  <c r="S8" i="9"/>
  <c r="S8" i="5"/>
  <c r="V68" i="17"/>
  <c r="V37" i="17"/>
  <c r="V57" i="17"/>
  <c r="V10" i="17"/>
  <c r="V11" i="18"/>
  <c r="V23" i="17"/>
  <c r="V22" i="17"/>
  <c r="V73" i="17"/>
  <c r="V39" i="18"/>
  <c r="V49" i="17"/>
  <c r="V12" i="17"/>
  <c r="J40" i="17"/>
  <c r="J58" i="17"/>
  <c r="J11" i="18"/>
  <c r="J47" i="17"/>
  <c r="J86" i="17"/>
  <c r="J22" i="17"/>
  <c r="G8" i="9"/>
  <c r="G8" i="5"/>
  <c r="J68" i="17"/>
  <c r="J18" i="3"/>
  <c r="J67" i="17"/>
  <c r="J56" i="17"/>
  <c r="J61" i="17"/>
  <c r="J20" i="17"/>
  <c r="J9" i="17"/>
  <c r="J45" i="17"/>
  <c r="J71" i="17"/>
  <c r="J49" i="17"/>
  <c r="J17" i="18"/>
  <c r="J28" i="14"/>
  <c r="J38" i="17"/>
  <c r="J46" i="17"/>
  <c r="J19" i="3"/>
  <c r="J77" i="17"/>
  <c r="J31" i="17"/>
  <c r="J64" i="17"/>
  <c r="T23" i="17"/>
  <c r="T16" i="18"/>
  <c r="T29" i="17"/>
  <c r="T55" i="17"/>
  <c r="T15" i="3"/>
  <c r="T21" i="17"/>
  <c r="T17" i="3"/>
  <c r="T51" i="17"/>
  <c r="T56" i="17"/>
  <c r="T8" i="18"/>
  <c r="T69" i="17"/>
  <c r="T28" i="17"/>
  <c r="T53" i="17"/>
  <c r="T12" i="17"/>
  <c r="T33" i="17"/>
  <c r="T27" i="14"/>
  <c r="T42" i="17"/>
  <c r="T59" i="17"/>
  <c r="T73" i="17"/>
  <c r="T46" i="17"/>
  <c r="T74" i="17"/>
  <c r="T39" i="17"/>
  <c r="T44" i="17"/>
  <c r="T62" i="17"/>
  <c r="N32" i="17"/>
  <c r="N60" i="17"/>
  <c r="N58" i="17"/>
  <c r="N65" i="18"/>
  <c r="N30" i="17"/>
  <c r="N25" i="17"/>
  <c r="N24" i="18"/>
  <c r="N74" i="17"/>
  <c r="N18" i="17"/>
  <c r="N35" i="18"/>
  <c r="N48" i="17"/>
  <c r="N75" i="17"/>
  <c r="N63" i="17"/>
  <c r="N70" i="17"/>
  <c r="N15" i="18"/>
  <c r="N27" i="17"/>
  <c r="N31" i="18"/>
  <c r="N18" i="3"/>
  <c r="N67" i="17"/>
  <c r="N50" i="17"/>
  <c r="N56" i="17"/>
  <c r="N45" i="17"/>
  <c r="N19" i="17"/>
  <c r="R27" i="17"/>
  <c r="R53" i="17"/>
  <c r="R60" i="17"/>
  <c r="R65" i="17"/>
  <c r="R23" i="17"/>
  <c r="R46" i="17"/>
  <c r="R75" i="17"/>
  <c r="R89" i="17"/>
  <c r="R62" i="17"/>
  <c r="R44" i="17"/>
  <c r="R30" i="17"/>
  <c r="R48" i="17"/>
  <c r="R50" i="17"/>
  <c r="R26" i="17"/>
  <c r="R12" i="18"/>
  <c r="R73" i="17"/>
  <c r="R57" i="17"/>
  <c r="R66" i="17"/>
  <c r="R69" i="17"/>
  <c r="R54" i="17"/>
  <c r="R55" i="17"/>
  <c r="R8" i="17"/>
  <c r="U66" i="17"/>
  <c r="U57" i="17"/>
  <c r="U8" i="18"/>
  <c r="U84" i="17"/>
  <c r="U19" i="17"/>
  <c r="U39" i="17"/>
  <c r="U31" i="17"/>
  <c r="U37" i="17"/>
  <c r="U74" i="17"/>
  <c r="U62" i="17"/>
  <c r="U49" i="17"/>
  <c r="U16" i="18"/>
  <c r="U44" i="17"/>
  <c r="U30" i="18"/>
  <c r="U42" i="17"/>
  <c r="U28" i="17"/>
  <c r="U65" i="17"/>
  <c r="U53" i="17"/>
  <c r="U11" i="18"/>
  <c r="U46" i="17"/>
  <c r="U33" i="17"/>
  <c r="U55" i="17"/>
  <c r="F15" i="3"/>
  <c r="F21" i="17"/>
  <c r="F19" i="3"/>
  <c r="F77" i="17"/>
  <c r="F49" i="17"/>
  <c r="F19" i="17"/>
  <c r="F36" i="18"/>
  <c r="F53" i="17"/>
  <c r="F12" i="17"/>
  <c r="C8" i="9"/>
  <c r="C8" i="5"/>
  <c r="F68" i="17"/>
  <c r="F59" i="17"/>
  <c r="F31" i="17"/>
  <c r="F57" i="17"/>
  <c r="F40" i="17"/>
  <c r="F13" i="18"/>
  <c r="F64" i="17"/>
  <c r="F44" i="17"/>
  <c r="F28" i="18"/>
  <c r="F17" i="3"/>
  <c r="F51" i="17"/>
  <c r="F72" i="17"/>
  <c r="F85" i="17"/>
  <c r="F26" i="17"/>
  <c r="F65" i="17"/>
  <c r="F37" i="17"/>
  <c r="G59" i="17"/>
  <c r="G54" i="18"/>
  <c r="G33" i="17"/>
  <c r="G71" i="17"/>
  <c r="G13" i="18"/>
  <c r="D9" i="9"/>
  <c r="D9" i="5"/>
  <c r="G76" i="17"/>
  <c r="G72" i="17"/>
  <c r="G47" i="17"/>
  <c r="G78" i="17"/>
  <c r="G44" i="17"/>
  <c r="G17" i="3"/>
  <c r="G51" i="17"/>
  <c r="G29" i="17"/>
  <c r="G26" i="17"/>
  <c r="G86" i="17"/>
  <c r="G50" i="17"/>
  <c r="D8" i="9"/>
  <c r="D8" i="5"/>
  <c r="G68" i="17"/>
  <c r="G32" i="14"/>
  <c r="G36" i="18"/>
  <c r="G7" i="17"/>
  <c r="G22" i="14"/>
  <c r="G31" i="17"/>
  <c r="G40" i="17"/>
  <c r="M40" i="17"/>
  <c r="M11" i="17"/>
  <c r="M38" i="17"/>
  <c r="M26" i="17"/>
  <c r="M69" i="18"/>
  <c r="M54" i="17"/>
  <c r="M70" i="17"/>
  <c r="M35" i="18"/>
  <c r="M56" i="18"/>
  <c r="M27" i="17"/>
  <c r="M58" i="17"/>
  <c r="M25" i="17"/>
  <c r="M18" i="3"/>
  <c r="M67" i="17"/>
  <c r="M24" i="18"/>
  <c r="M19" i="17"/>
  <c r="J9" i="9"/>
  <c r="J9" i="5"/>
  <c r="M76" i="17"/>
  <c r="M23" i="14"/>
  <c r="M50" i="17"/>
  <c r="M45" i="17"/>
  <c r="M20" i="17"/>
  <c r="M32" i="17"/>
  <c r="M56" i="17"/>
  <c r="S18" i="17"/>
  <c r="S28" i="17"/>
  <c r="S107" i="18"/>
  <c r="S66" i="17"/>
  <c r="S39" i="17"/>
  <c r="X55" i="17"/>
  <c r="S10" i="17"/>
  <c r="X38" i="17"/>
  <c r="S30" i="17"/>
  <c r="X49" i="17"/>
  <c r="S16" i="14"/>
  <c r="S18" i="18"/>
  <c r="X44" i="17"/>
  <c r="S44" i="17"/>
  <c r="S88" i="18"/>
  <c r="X17" i="3"/>
  <c r="X51" i="17"/>
  <c r="X73" i="17"/>
  <c r="X19" i="18"/>
  <c r="S59" i="17"/>
  <c r="S8" i="18"/>
  <c r="X78" i="17"/>
  <c r="X70" i="17"/>
  <c r="S89" i="17"/>
  <c r="X42" i="17"/>
  <c r="S48" i="17"/>
  <c r="X69" i="17"/>
  <c r="X33" i="17"/>
  <c r="S15" i="3"/>
  <c r="S21" i="17"/>
  <c r="X37" i="17"/>
  <c r="S17" i="3"/>
  <c r="S51" i="17"/>
  <c r="X24" i="17"/>
  <c r="S56" i="17"/>
  <c r="X47" i="17"/>
  <c r="S70" i="17"/>
  <c r="X85" i="17"/>
  <c r="S33" i="17"/>
  <c r="X94" i="17"/>
  <c r="X36" i="18"/>
  <c r="X64" i="17"/>
  <c r="X65" i="17"/>
  <c r="X11" i="18"/>
  <c r="S62" i="17"/>
  <c r="X59" i="17"/>
  <c r="S57" i="17"/>
  <c r="P48" i="17"/>
  <c r="P75" i="17"/>
  <c r="P63" i="17"/>
  <c r="P18" i="18"/>
  <c r="P45" i="17"/>
  <c r="P46" i="17"/>
  <c r="P18" i="17"/>
  <c r="P33" i="17"/>
  <c r="P8" i="18"/>
  <c r="P15" i="18"/>
  <c r="P25" i="17"/>
  <c r="P66" i="17"/>
  <c r="P50" i="17"/>
  <c r="P43" i="17"/>
  <c r="P40" i="18"/>
  <c r="P33" i="14"/>
  <c r="P70" i="17"/>
  <c r="P27" i="17"/>
  <c r="P56" i="17"/>
  <c r="P28" i="17"/>
  <c r="P24" i="17"/>
  <c r="P32" i="17"/>
  <c r="Q70" i="17"/>
  <c r="Q53" i="17"/>
  <c r="Q58" i="17"/>
  <c r="Q46" i="17"/>
  <c r="Q8" i="18"/>
  <c r="Q18" i="18"/>
  <c r="Q89" i="17"/>
  <c r="Q55" i="17"/>
  <c r="Q26" i="17"/>
  <c r="Q25" i="17"/>
  <c r="Q37" i="17"/>
  <c r="Q62" i="17"/>
  <c r="Q32" i="17"/>
  <c r="Q54" i="17"/>
  <c r="Q40" i="18"/>
  <c r="Q23" i="17"/>
  <c r="Q74" i="17"/>
  <c r="Q48" i="17"/>
  <c r="Q50" i="17"/>
  <c r="Q24" i="17"/>
  <c r="Q66" i="17"/>
  <c r="Q26" i="18"/>
  <c r="I24" i="17"/>
  <c r="I73" i="17"/>
  <c r="I72" i="17"/>
  <c r="I42" i="17"/>
  <c r="I37" i="17"/>
  <c r="I53" i="17"/>
  <c r="I41" i="18"/>
  <c r="I84" i="17"/>
  <c r="I19" i="17"/>
  <c r="I62" i="17"/>
  <c r="I59" i="17"/>
  <c r="I85" i="17"/>
  <c r="I50" i="17"/>
  <c r="I17" i="18"/>
  <c r="I19" i="18"/>
  <c r="I65" i="17"/>
  <c r="I13" i="18"/>
  <c r="I74" i="17"/>
  <c r="I44" i="17"/>
  <c r="I66" i="17"/>
  <c r="I78" i="17"/>
  <c r="I57" i="17"/>
  <c r="T8" i="9"/>
  <c r="T8" i="5"/>
  <c r="W68" i="17"/>
  <c r="W22" i="14"/>
  <c r="W29" i="17"/>
  <c r="W22" i="17"/>
  <c r="W16" i="18"/>
  <c r="W74" i="17"/>
  <c r="W69" i="17"/>
  <c r="W17" i="3"/>
  <c r="W51" i="17"/>
  <c r="W40" i="17"/>
  <c r="W47" i="17"/>
  <c r="W73" i="17"/>
  <c r="W33" i="17"/>
  <c r="W26" i="17"/>
  <c r="W46" i="17"/>
  <c r="W44" i="17"/>
  <c r="W72" i="17"/>
  <c r="W57" i="17"/>
  <c r="W11" i="18"/>
  <c r="W94" i="17"/>
  <c r="W59" i="17"/>
  <c r="W12" i="17"/>
  <c r="W78" i="17"/>
  <c r="C94" i="17"/>
  <c r="C13" i="18"/>
  <c r="C48" i="17"/>
  <c r="C19" i="3"/>
  <c r="C77" i="17"/>
  <c r="C20" i="18"/>
  <c r="C39" i="17"/>
  <c r="C50" i="17"/>
  <c r="C10" i="18"/>
  <c r="C9" i="17"/>
  <c r="C60" i="17"/>
  <c r="C62" i="17"/>
  <c r="C44" i="17"/>
  <c r="C32" i="17"/>
  <c r="C59" i="17"/>
  <c r="C30" i="17"/>
  <c r="C55" i="17"/>
  <c r="C25" i="17"/>
  <c r="C23" i="18"/>
  <c r="C102" i="18"/>
  <c r="C66" i="17"/>
  <c r="C15" i="3"/>
  <c r="C21" i="17"/>
  <c r="C43" i="17"/>
  <c r="I9" i="9"/>
  <c r="I9" i="5"/>
  <c r="L76" i="17"/>
  <c r="L42" i="17"/>
  <c r="L28" i="17"/>
  <c r="L31" i="17"/>
  <c r="L29" i="17"/>
  <c r="L49" i="17"/>
  <c r="L24" i="17"/>
  <c r="L17" i="18"/>
  <c r="L73" i="18"/>
  <c r="L8" i="17"/>
  <c r="L9" i="18"/>
  <c r="L12" i="18"/>
  <c r="L72" i="17"/>
  <c r="L71" i="17"/>
  <c r="L65" i="17"/>
  <c r="L47" i="17"/>
  <c r="L46" i="17"/>
  <c r="L29" i="18"/>
  <c r="L60" i="18"/>
  <c r="L78" i="17"/>
  <c r="L69" i="17"/>
  <c r="L55" i="17"/>
  <c r="H54" i="17"/>
  <c r="H57" i="17"/>
  <c r="H38" i="17"/>
  <c r="H22" i="14"/>
  <c r="H24" i="17"/>
  <c r="H71" i="17"/>
  <c r="H7" i="17"/>
  <c r="H55" i="18"/>
  <c r="H15" i="3"/>
  <c r="H21" i="17"/>
  <c r="H33" i="17"/>
  <c r="H17" i="3"/>
  <c r="H51" i="17"/>
  <c r="H37" i="17"/>
  <c r="H13" i="18"/>
  <c r="H53" i="17"/>
  <c r="H47" i="17"/>
  <c r="H42" i="17"/>
  <c r="H85" i="17"/>
  <c r="H62" i="17"/>
  <c r="H30" i="18"/>
  <c r="H49" i="17"/>
  <c r="H64" i="17"/>
  <c r="H17" i="18"/>
  <c r="T50" i="17"/>
  <c r="T75" i="17"/>
  <c r="T70" i="17"/>
  <c r="T23" i="18"/>
  <c r="T13" i="18"/>
  <c r="T66" i="17"/>
  <c r="T85" i="17"/>
  <c r="T126" i="18"/>
  <c r="T20" i="18"/>
  <c r="T18" i="18"/>
  <c r="T71" i="17"/>
  <c r="T49" i="18"/>
  <c r="T38" i="17"/>
  <c r="T64" i="17"/>
  <c r="T54" i="17"/>
  <c r="T10" i="18"/>
  <c r="T60" i="17"/>
  <c r="T32" i="17"/>
  <c r="T28" i="18"/>
  <c r="T57" i="18"/>
  <c r="T73" i="18"/>
  <c r="T25" i="18"/>
  <c r="U54" i="17"/>
  <c r="U75" i="18"/>
  <c r="U64" i="17"/>
  <c r="U23" i="17"/>
  <c r="R9" i="9"/>
  <c r="R9" i="5"/>
  <c r="U76" i="17"/>
  <c r="U13" i="18"/>
  <c r="U50" i="18"/>
  <c r="U49" i="18"/>
  <c r="U29" i="17"/>
  <c r="U7" i="17"/>
  <c r="U28" i="18"/>
  <c r="U89" i="17"/>
  <c r="U45" i="17"/>
  <c r="U60" i="17"/>
  <c r="U75" i="17"/>
  <c r="U38" i="17"/>
  <c r="U18" i="18"/>
  <c r="U70" i="17"/>
  <c r="U30" i="17"/>
  <c r="U48" i="17"/>
  <c r="U27" i="17"/>
  <c r="U71" i="17"/>
  <c r="D42" i="18"/>
  <c r="D70" i="17"/>
  <c r="D32" i="17"/>
  <c r="D18" i="3"/>
  <c r="D67" i="17"/>
  <c r="D16" i="18"/>
  <c r="D74" i="17"/>
  <c r="D59" i="18"/>
  <c r="D56" i="17"/>
  <c r="D39" i="17"/>
  <c r="D73" i="17"/>
  <c r="D23" i="18"/>
  <c r="D38" i="17"/>
  <c r="D69" i="17"/>
  <c r="D20" i="18"/>
  <c r="D63" i="17"/>
  <c r="D50" i="17"/>
  <c r="D62" i="17"/>
  <c r="D54" i="17"/>
  <c r="D66" i="17"/>
  <c r="D15" i="3"/>
  <c r="D21" i="17"/>
  <c r="D10" i="18"/>
  <c r="D75" i="17"/>
  <c r="O54" i="17"/>
  <c r="O29" i="18"/>
  <c r="O29" i="17"/>
  <c r="O59" i="17"/>
  <c r="O31" i="18"/>
  <c r="O19" i="17"/>
  <c r="O64" i="17"/>
  <c r="O44" i="17"/>
  <c r="O12" i="18"/>
  <c r="L9" i="9"/>
  <c r="L9" i="5"/>
  <c r="O76" i="17"/>
  <c r="O33" i="17"/>
  <c r="O108" i="18"/>
  <c r="O84" i="17"/>
  <c r="O17" i="3"/>
  <c r="O51" i="17"/>
  <c r="O72" i="17"/>
  <c r="O65" i="17"/>
  <c r="O10" i="18"/>
  <c r="O58" i="17"/>
  <c r="O56" i="18"/>
  <c r="O38" i="17"/>
  <c r="O47" i="17"/>
  <c r="O57" i="17"/>
  <c r="Y24" i="17"/>
  <c r="V9" i="9"/>
  <c r="V9" i="5"/>
  <c r="Y76" i="17"/>
  <c r="Y65" i="17"/>
  <c r="Y44" i="17"/>
  <c r="Y18" i="3"/>
  <c r="Y67" i="17"/>
  <c r="Y70" i="17"/>
  <c r="Y57" i="17"/>
  <c r="Y25" i="18"/>
  <c r="Y42" i="17"/>
  <c r="Y66" i="17"/>
  <c r="Y19" i="17"/>
  <c r="Y60" i="17"/>
  <c r="Y62" i="17"/>
  <c r="Y50" i="17"/>
  <c r="Y53" i="17"/>
  <c r="Y11" i="18"/>
  <c r="Y74" i="17"/>
  <c r="Y37" i="17"/>
  <c r="Y55" i="17"/>
  <c r="Y36" i="18"/>
  <c r="Y17" i="18"/>
  <c r="Y32" i="18"/>
  <c r="N17" i="18"/>
  <c r="N10" i="18"/>
  <c r="K8" i="9"/>
  <c r="K8" i="5"/>
  <c r="N68" i="17"/>
  <c r="N60" i="18"/>
  <c r="N19" i="3"/>
  <c r="N77" i="17"/>
  <c r="N64" i="17"/>
  <c r="N53" i="17"/>
  <c r="N57" i="17"/>
  <c r="N84" i="17"/>
  <c r="N47" i="17"/>
  <c r="N65" i="17"/>
  <c r="N73" i="17"/>
  <c r="N40" i="17"/>
  <c r="N29" i="17"/>
  <c r="N72" i="17"/>
  <c r="N86" i="17"/>
  <c r="K71" i="18"/>
  <c r="K39" i="17"/>
  <c r="N44" i="17"/>
  <c r="N61" i="17"/>
  <c r="K61" i="17"/>
  <c r="K17" i="18"/>
  <c r="N12" i="18"/>
  <c r="K48" i="17"/>
  <c r="K59" i="17"/>
  <c r="N22" i="17"/>
  <c r="N26" i="17"/>
  <c r="K47" i="17"/>
  <c r="K32" i="18"/>
  <c r="N71" i="18"/>
  <c r="K17" i="3"/>
  <c r="K51" i="17"/>
  <c r="K19" i="18"/>
  <c r="K62" i="17"/>
  <c r="K86" i="17"/>
  <c r="K33" i="17"/>
  <c r="K42" i="17"/>
  <c r="K40" i="17"/>
  <c r="K22" i="17"/>
  <c r="K69" i="18"/>
  <c r="K74" i="17"/>
  <c r="K71" i="17"/>
  <c r="K69" i="17"/>
  <c r="K72" i="17"/>
  <c r="K9" i="18"/>
  <c r="O9" i="9"/>
  <c r="O9" i="5"/>
  <c r="R76" i="17"/>
  <c r="R58" i="17"/>
  <c r="R18" i="17"/>
  <c r="R49" i="17"/>
  <c r="R23" i="18"/>
  <c r="R61" i="17"/>
  <c r="R19" i="3"/>
  <c r="R77" i="17"/>
  <c r="R70" i="17"/>
  <c r="R43" i="17"/>
  <c r="R31" i="18"/>
  <c r="R25" i="18"/>
  <c r="R64" i="17"/>
  <c r="O8" i="9"/>
  <c r="O8" i="5"/>
  <c r="R68" i="17"/>
  <c r="R94" i="17"/>
  <c r="R10" i="18"/>
  <c r="R20" i="18"/>
  <c r="R40" i="17"/>
  <c r="R33" i="18"/>
  <c r="R63" i="17"/>
  <c r="R71" i="17"/>
  <c r="R116" i="18"/>
  <c r="R18" i="18"/>
  <c r="P20" i="18"/>
  <c r="P59" i="17"/>
  <c r="P71" i="17"/>
  <c r="P26" i="17"/>
  <c r="P38" i="17"/>
  <c r="P42" i="17"/>
  <c r="P29" i="18"/>
  <c r="M8" i="9"/>
  <c r="M8" i="5"/>
  <c r="P68" i="17"/>
  <c r="P84" i="17"/>
  <c r="P44" i="17"/>
  <c r="P86" i="17"/>
  <c r="P65" i="17"/>
  <c r="P17" i="3"/>
  <c r="P51" i="17"/>
  <c r="P54" i="17"/>
  <c r="P72" i="17"/>
  <c r="P18" i="3"/>
  <c r="P67" i="17"/>
  <c r="P61" i="17"/>
  <c r="P10" i="18"/>
  <c r="P85" i="17"/>
  <c r="P78" i="17"/>
  <c r="P57" i="17"/>
  <c r="P20" i="17"/>
  <c r="W66" i="17"/>
  <c r="W56" i="17"/>
  <c r="W75" i="17"/>
  <c r="W43" i="17"/>
  <c r="W15" i="3"/>
  <c r="W21" i="17"/>
  <c r="W86" i="17"/>
  <c r="W71" i="17"/>
  <c r="W25" i="18"/>
  <c r="T9" i="9"/>
  <c r="T9" i="5"/>
  <c r="W76" i="17"/>
  <c r="W13" i="18"/>
  <c r="W42" i="18"/>
  <c r="W27" i="17"/>
  <c r="W51" i="18"/>
  <c r="W28" i="18"/>
  <c r="W63" i="17"/>
  <c r="W39" i="17"/>
  <c r="W25" i="17"/>
  <c r="W75" i="18"/>
  <c r="W60" i="17"/>
  <c r="W18" i="3"/>
  <c r="W67" i="17"/>
  <c r="W45" i="17"/>
  <c r="W58" i="17"/>
  <c r="G32" i="18"/>
  <c r="G16" i="18"/>
  <c r="G28" i="18"/>
  <c r="G74" i="17"/>
  <c r="G60" i="17"/>
  <c r="G62" i="17"/>
  <c r="G43" i="17"/>
  <c r="G63" i="17"/>
  <c r="G55" i="17"/>
  <c r="G25" i="17"/>
  <c r="G19" i="18"/>
  <c r="G23" i="18"/>
  <c r="G69" i="17"/>
  <c r="G39" i="17"/>
  <c r="G58" i="17"/>
  <c r="G73" i="17"/>
  <c r="G66" i="17"/>
  <c r="G27" i="17"/>
  <c r="G15" i="3"/>
  <c r="G21" i="17"/>
  <c r="G46" i="17"/>
  <c r="G9" i="18"/>
  <c r="G56" i="17"/>
  <c r="S49" i="17"/>
  <c r="S31" i="17"/>
  <c r="P8" i="9"/>
  <c r="P8" i="5"/>
  <c r="S68" i="17"/>
  <c r="S94" i="17"/>
  <c r="S18" i="3"/>
  <c r="S67" i="17"/>
  <c r="S43" i="17"/>
  <c r="S32" i="17"/>
  <c r="S40" i="17"/>
  <c r="S13" i="18"/>
  <c r="S47" i="17"/>
  <c r="S63" i="17"/>
  <c r="S25" i="17"/>
  <c r="S85" i="17"/>
  <c r="S64" i="17"/>
  <c r="S19" i="3"/>
  <c r="S77" i="17"/>
  <c r="S9" i="17"/>
  <c r="S61" i="17"/>
  <c r="S86" i="17"/>
  <c r="S20" i="18"/>
  <c r="S50" i="17"/>
  <c r="S10" i="18"/>
  <c r="S29" i="17"/>
  <c r="P79" i="18"/>
  <c r="P62" i="17"/>
  <c r="P16" i="18"/>
  <c r="P43" i="18"/>
  <c r="P69" i="18"/>
  <c r="P63" i="18"/>
  <c r="P96" i="18"/>
  <c r="P12" i="18"/>
  <c r="P35" i="18"/>
  <c r="P53" i="17"/>
  <c r="P31" i="18"/>
  <c r="P108" i="18"/>
  <c r="P56" i="18"/>
  <c r="P83" i="18"/>
  <c r="P23" i="18"/>
  <c r="P41" i="18"/>
  <c r="P26" i="18"/>
  <c r="P37" i="17"/>
  <c r="P142" i="18"/>
  <c r="P73" i="17"/>
  <c r="P60" i="17"/>
  <c r="P55" i="17"/>
  <c r="Z10" i="17"/>
  <c r="Z15" i="18"/>
  <c r="Z33" i="17"/>
  <c r="Z44" i="17"/>
  <c r="Z63" i="17"/>
  <c r="W9" i="9"/>
  <c r="W9" i="5"/>
  <c r="Z76" i="17"/>
  <c r="Z17" i="3"/>
  <c r="Z51" i="17"/>
  <c r="Z86" i="17"/>
  <c r="Z57" i="17"/>
  <c r="Z30" i="17"/>
  <c r="Z69" i="17"/>
  <c r="Z17" i="18"/>
  <c r="Z11" i="18"/>
  <c r="Z73" i="17"/>
  <c r="Z48" i="17"/>
  <c r="Z26" i="17"/>
  <c r="Z60" i="17"/>
  <c r="Z32" i="17"/>
  <c r="Z52" i="18"/>
  <c r="Z18" i="3"/>
  <c r="Z67" i="17"/>
  <c r="Z50" i="17"/>
  <c r="Z32" i="18"/>
  <c r="E47" i="17"/>
  <c r="E28" i="17"/>
  <c r="E11" i="18"/>
  <c r="E70" i="17"/>
  <c r="E46" i="17"/>
  <c r="E16" i="18"/>
  <c r="E48" i="17"/>
  <c r="E94" i="17"/>
  <c r="E60" i="17"/>
  <c r="E27" i="17"/>
  <c r="E45" i="17"/>
  <c r="E30" i="17"/>
  <c r="E29" i="17"/>
  <c r="E54" i="17"/>
  <c r="E42" i="18"/>
  <c r="E23" i="17"/>
  <c r="E7" i="17"/>
  <c r="E75" i="17"/>
  <c r="E20" i="18"/>
  <c r="E69" i="17"/>
  <c r="E25" i="18"/>
  <c r="E55" i="17"/>
  <c r="AA62" i="17"/>
  <c r="AA22" i="17"/>
  <c r="AA15" i="18"/>
  <c r="AA23" i="17"/>
  <c r="AA11" i="18"/>
  <c r="AA70" i="17"/>
  <c r="AA17" i="3"/>
  <c r="AA51" i="17"/>
  <c r="AA39" i="17"/>
  <c r="AA33" i="17"/>
  <c r="AA58" i="18"/>
  <c r="AA24" i="18"/>
  <c r="AA42" i="17"/>
  <c r="AA63" i="17"/>
  <c r="AA59" i="17"/>
  <c r="AA60" i="17"/>
  <c r="AA40" i="17"/>
  <c r="AA22" i="18"/>
  <c r="AA48" i="17"/>
  <c r="AA69" i="17"/>
  <c r="AA75" i="17"/>
  <c r="AA17" i="18"/>
  <c r="AA86" i="17"/>
  <c r="X32" i="17"/>
  <c r="X42" i="18"/>
  <c r="X17" i="18"/>
  <c r="X28" i="18"/>
  <c r="X12" i="17"/>
  <c r="X53" i="17"/>
  <c r="X13" i="18"/>
  <c r="X61" i="18"/>
  <c r="X60" i="17"/>
  <c r="X43" i="17"/>
  <c r="X23" i="18"/>
  <c r="X46" i="17"/>
  <c r="X62" i="17"/>
  <c r="X75" i="17"/>
  <c r="X56" i="17"/>
  <c r="X18" i="3"/>
  <c r="X67" i="17"/>
  <c r="X18" i="17"/>
  <c r="X58" i="17"/>
  <c r="X74" i="17"/>
  <c r="X28" i="17"/>
  <c r="X63" i="17"/>
  <c r="X50" i="17"/>
  <c r="M73" i="17"/>
  <c r="M31" i="17"/>
  <c r="M39" i="17"/>
  <c r="M29" i="18"/>
  <c r="M37" i="17"/>
  <c r="M46" i="17"/>
  <c r="M12" i="18"/>
  <c r="M49" i="17"/>
  <c r="M69" i="17"/>
  <c r="M15" i="3"/>
  <c r="M21" i="17"/>
  <c r="M86" i="17"/>
  <c r="M65" i="17"/>
  <c r="M55" i="17"/>
  <c r="M19" i="3"/>
  <c r="M77" i="17"/>
  <c r="M9" i="18"/>
  <c r="M17" i="18"/>
  <c r="M84" i="17"/>
  <c r="M59" i="17"/>
  <c r="J8" i="9"/>
  <c r="J8" i="5"/>
  <c r="M68" i="17"/>
  <c r="M61" i="17"/>
  <c r="M78" i="17"/>
  <c r="M53" i="17"/>
  <c r="V71" i="17"/>
  <c r="V55" i="17"/>
  <c r="V20" i="17"/>
  <c r="V57" i="18"/>
  <c r="S9" i="9"/>
  <c r="S9" i="5"/>
  <c r="V76" i="17"/>
  <c r="V38" i="17"/>
  <c r="V50" i="18"/>
  <c r="V39" i="17"/>
  <c r="V23" i="18"/>
  <c r="V53" i="17"/>
  <c r="V45" i="17"/>
  <c r="V30" i="17"/>
  <c r="V56" i="17"/>
  <c r="V20" i="18"/>
  <c r="V66" i="17"/>
  <c r="V62" i="17"/>
  <c r="V48" i="17"/>
  <c r="V13" i="18"/>
  <c r="V8" i="18"/>
  <c r="V18" i="3"/>
  <c r="V67" i="17"/>
  <c r="V54" i="17"/>
  <c r="V25" i="18"/>
  <c r="Q23" i="18"/>
  <c r="Q45" i="17"/>
  <c r="Q63" i="18"/>
  <c r="Q72" i="17"/>
  <c r="Q10" i="18"/>
  <c r="Q78" i="17"/>
  <c r="Q17" i="3"/>
  <c r="Q51" i="17"/>
  <c r="Q59" i="17"/>
  <c r="Q20" i="18"/>
  <c r="Q61" i="17"/>
  <c r="Q31" i="17"/>
  <c r="Q27" i="17"/>
  <c r="Q19" i="3"/>
  <c r="Q77" i="17"/>
  <c r="Q84" i="17"/>
  <c r="Q16" i="18"/>
  <c r="Q49" i="17"/>
  <c r="N8" i="9"/>
  <c r="N8" i="5"/>
  <c r="Q68" i="17"/>
  <c r="Q56" i="17"/>
  <c r="Q33" i="17"/>
  <c r="Q42" i="17"/>
  <c r="Q11" i="17"/>
  <c r="Q43" i="18"/>
  <c r="H45" i="17"/>
  <c r="H69" i="17"/>
  <c r="H32" i="18"/>
  <c r="H94" i="17"/>
  <c r="H63" i="17"/>
  <c r="H12" i="17"/>
  <c r="H18" i="17"/>
  <c r="H9" i="18"/>
  <c r="H22" i="18"/>
  <c r="H25" i="18"/>
  <c r="H55" i="17"/>
  <c r="H70" i="17"/>
  <c r="H74" i="17"/>
  <c r="H58" i="17"/>
  <c r="H66" i="17"/>
  <c r="H46" i="17"/>
  <c r="H50" i="17"/>
  <c r="H19" i="18"/>
  <c r="H28" i="17"/>
  <c r="H43" i="17"/>
  <c r="H32" i="17"/>
  <c r="H60" i="17"/>
  <c r="C76" i="17"/>
  <c r="C75" i="17"/>
  <c r="C16" i="18"/>
  <c r="C18" i="18"/>
  <c r="C31" i="17"/>
  <c r="C8" i="18"/>
  <c r="C64" i="17"/>
  <c r="C49" i="17"/>
  <c r="C89" i="17"/>
  <c r="C63" i="17"/>
  <c r="C42" i="17"/>
  <c r="C39" i="18"/>
  <c r="C30" i="18"/>
  <c r="C18" i="3"/>
  <c r="C67" i="17"/>
  <c r="C40" i="17"/>
  <c r="C73" i="17"/>
  <c r="C161" i="18"/>
  <c r="C71" i="17"/>
  <c r="C29" i="17"/>
  <c r="C61" i="17"/>
  <c r="C47" i="17"/>
  <c r="C62" i="18"/>
  <c r="J9" i="18"/>
  <c r="J50" i="17"/>
  <c r="J33" i="17"/>
  <c r="J78" i="17"/>
  <c r="J69" i="17"/>
  <c r="J73" i="17"/>
  <c r="J30" i="17"/>
  <c r="J32" i="17"/>
  <c r="J44" i="17"/>
  <c r="J10" i="17"/>
  <c r="J63" i="17"/>
  <c r="J36" i="18"/>
  <c r="J65" i="17"/>
  <c r="J43" i="17"/>
  <c r="J48" i="17"/>
  <c r="J19" i="18"/>
  <c r="J26" i="17"/>
  <c r="J17" i="3"/>
  <c r="J51" i="17"/>
  <c r="J60" i="17"/>
  <c r="J62" i="17"/>
  <c r="J78" i="18"/>
  <c r="J41" i="18"/>
  <c r="F73" i="17"/>
  <c r="F29" i="17"/>
  <c r="F33" i="18"/>
  <c r="F66" i="17"/>
  <c r="F54" i="17"/>
  <c r="F39" i="17"/>
  <c r="F75" i="17"/>
  <c r="F48" i="17"/>
  <c r="F45" i="17"/>
  <c r="F56" i="17"/>
  <c r="F94" i="17"/>
  <c r="F62" i="17"/>
  <c r="F84" i="17"/>
  <c r="F18" i="3"/>
  <c r="F67" i="17"/>
  <c r="F25" i="18"/>
  <c r="F16" i="18"/>
  <c r="F30" i="17"/>
  <c r="F38" i="17"/>
  <c r="F11" i="18"/>
  <c r="F60" i="17"/>
  <c r="F58" i="17"/>
  <c r="F20" i="17"/>
  <c r="Y51" i="18"/>
  <c r="Y15" i="18"/>
  <c r="Y73" i="18"/>
  <c r="Y60" i="18"/>
  <c r="Y86" i="17"/>
  <c r="Y78" i="18"/>
  <c r="Y28" i="18"/>
  <c r="Y71" i="18"/>
  <c r="Y24" i="18"/>
  <c r="Y43" i="17"/>
  <c r="Y56" i="17"/>
  <c r="Y57" i="18"/>
  <c r="Y25" i="17"/>
  <c r="Y52" i="18"/>
  <c r="Y13" i="18"/>
  <c r="Y71" i="17"/>
  <c r="Y82" i="18"/>
  <c r="Y39" i="18"/>
  <c r="Y49" i="18"/>
  <c r="Y33" i="18"/>
  <c r="Y42" i="18"/>
  <c r="Y58" i="17"/>
  <c r="V70" i="17"/>
  <c r="V9" i="18"/>
  <c r="V102" i="18"/>
  <c r="V51" i="18"/>
  <c r="V43" i="18"/>
  <c r="V47" i="17"/>
  <c r="V160" i="18"/>
  <c r="V64" i="17"/>
  <c r="V40" i="18"/>
  <c r="V63" i="18"/>
  <c r="V42" i="18"/>
  <c r="V73" i="18"/>
  <c r="V29" i="17"/>
  <c r="V28" i="18"/>
  <c r="V126" i="18"/>
  <c r="V94" i="17"/>
  <c r="V33" i="18"/>
  <c r="V78" i="17"/>
  <c r="V19" i="3"/>
  <c r="V77" i="17"/>
  <c r="V85" i="17"/>
  <c r="V71" i="18"/>
  <c r="V89" i="17"/>
  <c r="H54" i="18"/>
  <c r="H58" i="18"/>
  <c r="E9" i="9"/>
  <c r="E9" i="5"/>
  <c r="H76" i="17"/>
  <c r="I26" i="18"/>
  <c r="I42" i="18"/>
  <c r="H18" i="3"/>
  <c r="H67" i="17"/>
  <c r="H65" i="18"/>
  <c r="I84" i="18"/>
  <c r="H64" i="18"/>
  <c r="I78" i="18"/>
  <c r="I60" i="17"/>
  <c r="H56" i="17"/>
  <c r="H53" i="18"/>
  <c r="H101" i="18"/>
  <c r="I36" i="18"/>
  <c r="I62" i="18"/>
  <c r="H16" i="18"/>
  <c r="H33" i="18"/>
  <c r="I24" i="18"/>
  <c r="H36" i="18"/>
  <c r="H41" i="18"/>
  <c r="I25" i="17"/>
  <c r="H84" i="18"/>
  <c r="I22" i="18"/>
  <c r="I32" i="18"/>
  <c r="E8" i="9"/>
  <c r="E8" i="5"/>
  <c r="H68" i="17"/>
  <c r="H11" i="18"/>
  <c r="I70" i="17"/>
  <c r="H42" i="18"/>
  <c r="I28" i="18"/>
  <c r="H75" i="17"/>
  <c r="I58" i="17"/>
  <c r="H28" i="18"/>
  <c r="H24" i="18"/>
  <c r="H89" i="17"/>
  <c r="I30" i="18"/>
  <c r="I76" i="18"/>
  <c r="I73" i="18"/>
  <c r="H164" i="18"/>
  <c r="I15" i="18"/>
  <c r="I43" i="17"/>
  <c r="I52" i="18"/>
  <c r="I71" i="18"/>
  <c r="I86" i="17"/>
  <c r="F20" i="18"/>
  <c r="F43" i="18"/>
  <c r="F9" i="18"/>
  <c r="F8" i="18"/>
  <c r="F23" i="18"/>
  <c r="F39" i="18"/>
  <c r="F89" i="17"/>
  <c r="F32" i="18"/>
  <c r="F71" i="17"/>
  <c r="F42" i="18"/>
  <c r="F55" i="18"/>
  <c r="F169" i="18"/>
  <c r="F19" i="18"/>
  <c r="F52" i="18"/>
  <c r="F18" i="18"/>
  <c r="F47" i="17"/>
  <c r="F128" i="18"/>
  <c r="F70" i="17"/>
  <c r="F51" i="18"/>
  <c r="C9" i="9"/>
  <c r="C9" i="5"/>
  <c r="F76" i="17"/>
  <c r="F78" i="17"/>
  <c r="F30" i="18"/>
  <c r="R56" i="18"/>
  <c r="R84" i="17"/>
  <c r="R74" i="17"/>
  <c r="R157" i="18"/>
  <c r="R55" i="18"/>
  <c r="R16" i="18"/>
  <c r="R85" i="17"/>
  <c r="R142" i="18"/>
  <c r="R40" i="18"/>
  <c r="R59" i="17"/>
  <c r="R103" i="18"/>
  <c r="R43" i="18"/>
  <c r="R107" i="18"/>
  <c r="R17" i="3"/>
  <c r="R51" i="17"/>
  <c r="R29" i="18"/>
  <c r="R35" i="18"/>
  <c r="R24" i="17"/>
  <c r="R13" i="18"/>
  <c r="R33" i="17"/>
  <c r="R88" i="18"/>
  <c r="R42" i="17"/>
  <c r="R72" i="17"/>
  <c r="K42" i="18"/>
  <c r="K73" i="17"/>
  <c r="K60" i="18"/>
  <c r="K53" i="18"/>
  <c r="K97" i="18"/>
  <c r="K84" i="17"/>
  <c r="K36" i="18"/>
  <c r="K50" i="17"/>
  <c r="K23" i="17"/>
  <c r="K74" i="18"/>
  <c r="K32" i="17"/>
  <c r="K29" i="18"/>
  <c r="K30" i="18"/>
  <c r="K26" i="18"/>
  <c r="K54" i="18"/>
  <c r="K24" i="18"/>
  <c r="K70" i="17"/>
  <c r="K41" i="18"/>
  <c r="K55" i="18"/>
  <c r="K76" i="18"/>
  <c r="K12" i="18"/>
  <c r="K39" i="18"/>
  <c r="Q65" i="17"/>
  <c r="Q75" i="17"/>
  <c r="Q57" i="17"/>
  <c r="Q31" i="18"/>
  <c r="Q94" i="17"/>
  <c r="Q33" i="18"/>
  <c r="Q60" i="18"/>
  <c r="Q86" i="17"/>
  <c r="Q69" i="17"/>
  <c r="Q49" i="18"/>
  <c r="Q29" i="18"/>
  <c r="Q59" i="18"/>
  <c r="Q15" i="18"/>
  <c r="Q96" i="18"/>
  <c r="Q83" i="18"/>
  <c r="Q73" i="17"/>
  <c r="Q12" i="18"/>
  <c r="Q79" i="18"/>
  <c r="Q25" i="18"/>
  <c r="Q65" i="18"/>
  <c r="Q44" i="17"/>
  <c r="Q18" i="3"/>
  <c r="Q67" i="17"/>
  <c r="W54" i="17"/>
  <c r="W50" i="18"/>
  <c r="W30" i="18"/>
  <c r="W57" i="18"/>
  <c r="W40" i="18"/>
  <c r="W102" i="18"/>
  <c r="W43" i="18"/>
  <c r="W19" i="3"/>
  <c r="W77" i="17"/>
  <c r="W61" i="17"/>
  <c r="W33" i="18"/>
  <c r="W17" i="18"/>
  <c r="W73" i="18"/>
  <c r="W8" i="18"/>
  <c r="W9" i="18"/>
  <c r="W19" i="18"/>
  <c r="W78" i="18"/>
  <c r="W23" i="18"/>
  <c r="W64" i="17"/>
  <c r="W144" i="18"/>
  <c r="W38" i="17"/>
  <c r="W85" i="17"/>
  <c r="W36" i="18"/>
  <c r="G51" i="18"/>
  <c r="G53" i="18"/>
  <c r="G45" i="17"/>
  <c r="G11" i="18"/>
  <c r="G25" i="18"/>
  <c r="G64" i="18"/>
  <c r="G38" i="17"/>
  <c r="G61" i="17"/>
  <c r="G75" i="17"/>
  <c r="G33" i="18"/>
  <c r="G22" i="18"/>
  <c r="G8" i="18"/>
  <c r="G43" i="18"/>
  <c r="G58" i="18"/>
  <c r="G59" i="18"/>
  <c r="G42" i="18"/>
  <c r="G19" i="3"/>
  <c r="G77" i="17"/>
  <c r="G30" i="18"/>
  <c r="G18" i="3"/>
  <c r="G67" i="17"/>
  <c r="G54" i="17"/>
  <c r="G62" i="18"/>
  <c r="G17" i="18"/>
  <c r="AA32" i="18"/>
  <c r="AA30" i="18"/>
  <c r="AA50" i="17"/>
  <c r="AA69" i="18"/>
  <c r="AA84" i="17"/>
  <c r="AA42" i="18"/>
  <c r="AA49" i="18"/>
  <c r="AA71" i="18"/>
  <c r="AA18" i="3"/>
  <c r="AA67" i="17"/>
  <c r="X9" i="9"/>
  <c r="X9" i="5"/>
  <c r="AA76" i="17"/>
  <c r="AA50" i="18"/>
  <c r="AA32" i="17"/>
  <c r="AA53" i="18"/>
  <c r="AA60" i="18"/>
  <c r="AA12" i="18"/>
  <c r="AA26" i="18"/>
  <c r="AA41" i="18"/>
  <c r="AA39" i="18"/>
  <c r="AA36" i="18"/>
  <c r="AA73" i="17"/>
  <c r="AA28" i="18"/>
  <c r="AA144" i="18"/>
  <c r="Z33" i="18"/>
  <c r="Z94" i="18"/>
  <c r="Z59" i="17"/>
  <c r="Z58" i="18"/>
  <c r="Z84" i="18"/>
  <c r="Z28" i="18"/>
  <c r="Z63" i="18"/>
  <c r="Z58" i="17"/>
  <c r="Z69" i="18"/>
  <c r="Z85" i="17"/>
  <c r="Z74" i="17"/>
  <c r="Z42" i="18"/>
  <c r="Z51" i="18"/>
  <c r="Z25" i="18"/>
  <c r="Z36" i="18"/>
  <c r="Z43" i="17"/>
  <c r="Z39" i="18"/>
  <c r="Z78" i="18"/>
  <c r="Z30" i="18"/>
  <c r="Z13" i="18"/>
  <c r="Z66" i="17"/>
  <c r="Z56" i="18"/>
  <c r="J42" i="18"/>
  <c r="J69" i="18"/>
  <c r="J30" i="18"/>
  <c r="J74" i="17"/>
  <c r="J24" i="18"/>
  <c r="J66" i="17"/>
  <c r="J22" i="18"/>
  <c r="J62" i="18"/>
  <c r="J59" i="18"/>
  <c r="J58" i="18"/>
  <c r="J28" i="18"/>
  <c r="J53" i="18"/>
  <c r="J85" i="17"/>
  <c r="J32" i="18"/>
  <c r="J52" i="18"/>
  <c r="J59" i="17"/>
  <c r="J13" i="18"/>
  <c r="J15" i="18"/>
  <c r="J97" i="18"/>
  <c r="J39" i="18"/>
  <c r="J64" i="18"/>
  <c r="J35" i="18"/>
  <c r="D40" i="17"/>
  <c r="D102" i="18"/>
  <c r="D72" i="17"/>
  <c r="D128" i="18"/>
  <c r="D30" i="18"/>
  <c r="D49" i="17"/>
  <c r="D11" i="18"/>
  <c r="D25" i="18"/>
  <c r="D40" i="18"/>
  <c r="D65" i="17"/>
  <c r="D70" i="18"/>
  <c r="D31" i="17"/>
  <c r="D49" i="18"/>
  <c r="D89" i="17"/>
  <c r="D71" i="17"/>
  <c r="D47" i="17"/>
  <c r="D22" i="17"/>
  <c r="D98" i="18"/>
  <c r="D52" i="18"/>
  <c r="D53" i="18"/>
  <c r="D64" i="17"/>
  <c r="D8" i="18"/>
  <c r="L56" i="18"/>
  <c r="L110" i="18"/>
  <c r="L104" i="18"/>
  <c r="L39" i="18"/>
  <c r="L62" i="17"/>
  <c r="L32" i="18"/>
  <c r="L66" i="17"/>
  <c r="L70" i="17"/>
  <c r="L36" i="18"/>
  <c r="L54" i="18"/>
  <c r="L74" i="17"/>
  <c r="L11" i="18"/>
  <c r="L78" i="18"/>
  <c r="L62" i="18"/>
  <c r="L76" i="18"/>
  <c r="L30" i="17"/>
  <c r="L19" i="18"/>
  <c r="L48" i="17"/>
  <c r="L57" i="17"/>
  <c r="L39" i="17"/>
  <c r="L26" i="18"/>
  <c r="L64" i="17"/>
  <c r="O8" i="18"/>
  <c r="O35" i="18"/>
  <c r="O37" i="17"/>
  <c r="O17" i="18"/>
  <c r="O69" i="17"/>
  <c r="O78" i="17"/>
  <c r="O32" i="18"/>
  <c r="O129" i="18"/>
  <c r="O65" i="18"/>
  <c r="O62" i="18"/>
  <c r="O46" i="17"/>
  <c r="O62" i="17"/>
  <c r="O55" i="17"/>
  <c r="O20" i="18"/>
  <c r="O55" i="18"/>
  <c r="O41" i="18"/>
  <c r="O24" i="18"/>
  <c r="O54" i="18"/>
  <c r="O89" i="18"/>
  <c r="O53" i="17"/>
  <c r="O19" i="3"/>
  <c r="O77" i="17"/>
  <c r="O28" i="17"/>
  <c r="U47" i="17"/>
  <c r="U20" i="18"/>
  <c r="U55" i="18"/>
  <c r="U60" i="18"/>
  <c r="U61" i="18"/>
  <c r="U35" i="18"/>
  <c r="U61" i="17"/>
  <c r="U31" i="18"/>
  <c r="U63" i="17"/>
  <c r="U94" i="17"/>
  <c r="U10" i="18"/>
  <c r="U19" i="3"/>
  <c r="U77" i="17"/>
  <c r="U40" i="18"/>
  <c r="U25" i="18"/>
  <c r="U56" i="17"/>
  <c r="U72" i="17"/>
  <c r="U56" i="18"/>
  <c r="U40" i="17"/>
  <c r="U85" i="17"/>
  <c r="R8" i="9"/>
  <c r="R8" i="5"/>
  <c r="U68" i="17"/>
  <c r="U78" i="17"/>
  <c r="U43" i="18"/>
  <c r="T39" i="18"/>
  <c r="T30" i="18"/>
  <c r="T61" i="17"/>
  <c r="T31" i="17"/>
  <c r="T22" i="17"/>
  <c r="T19" i="3"/>
  <c r="T77" i="17"/>
  <c r="T65" i="17"/>
  <c r="T35" i="18"/>
  <c r="T164" i="18"/>
  <c r="T72" i="17"/>
  <c r="T11" i="18"/>
  <c r="Q8" i="9"/>
  <c r="Q8" i="5"/>
  <c r="T68" i="17"/>
  <c r="T40" i="18"/>
  <c r="T31" i="18"/>
  <c r="T40" i="17"/>
  <c r="T47" i="17"/>
  <c r="T75" i="18"/>
  <c r="T49" i="17"/>
  <c r="T65" i="18"/>
  <c r="T94" i="17"/>
  <c r="T116" i="18"/>
  <c r="T78" i="17"/>
  <c r="C58" i="17"/>
  <c r="C61" i="18"/>
  <c r="C77" i="18"/>
  <c r="C91" i="18"/>
  <c r="C40" i="18"/>
  <c r="C26" i="18"/>
  <c r="C58" i="18"/>
  <c r="C15" i="18"/>
  <c r="C52" i="18"/>
  <c r="C57" i="18"/>
  <c r="C35" i="18"/>
  <c r="C74" i="18"/>
  <c r="C31" i="18"/>
  <c r="C12" i="18"/>
  <c r="C50" i="18"/>
  <c r="C84" i="17"/>
  <c r="C29" i="18"/>
  <c r="C74" i="17"/>
  <c r="C51" i="18"/>
  <c r="C66" i="18"/>
  <c r="C65" i="17"/>
  <c r="C33" i="18"/>
  <c r="S103" i="18"/>
  <c r="S42" i="17"/>
  <c r="S73" i="17"/>
  <c r="S57" i="18"/>
  <c r="S62" i="18"/>
  <c r="S40" i="18"/>
  <c r="S23" i="18"/>
  <c r="S29" i="18"/>
  <c r="S35" i="18"/>
  <c r="S50" i="18"/>
  <c r="S72" i="17"/>
  <c r="S84" i="17"/>
  <c r="S65" i="17"/>
  <c r="S28" i="18"/>
  <c r="S85" i="18"/>
  <c r="S16" i="18"/>
  <c r="S58" i="17"/>
  <c r="S55" i="18"/>
  <c r="S33" i="18"/>
  <c r="S63" i="18"/>
  <c r="S12" i="18"/>
  <c r="S31" i="18"/>
  <c r="N28" i="17"/>
  <c r="N110" i="18"/>
  <c r="N69" i="17"/>
  <c r="N54" i="18"/>
  <c r="N39" i="17"/>
  <c r="N89" i="17"/>
  <c r="N29" i="18"/>
  <c r="N55" i="17"/>
  <c r="N9" i="18"/>
  <c r="N76" i="18"/>
  <c r="N19" i="18"/>
  <c r="N46" i="17"/>
  <c r="N42" i="18"/>
  <c r="N59" i="18"/>
  <c r="N41" i="18"/>
  <c r="N109" i="18"/>
  <c r="N55" i="18"/>
  <c r="N78" i="17"/>
  <c r="N18" i="18"/>
  <c r="N71" i="17"/>
  <c r="N62" i="17"/>
  <c r="N26" i="18"/>
  <c r="K25" i="18"/>
  <c r="K58" i="18"/>
  <c r="K152" i="18"/>
  <c r="K10" i="18"/>
  <c r="K13" i="18"/>
  <c r="K43" i="18"/>
  <c r="K50" i="18"/>
  <c r="K31" i="18"/>
  <c r="K94" i="17"/>
  <c r="K28" i="18"/>
  <c r="K16" i="18"/>
  <c r="K66" i="18"/>
  <c r="K49" i="18"/>
  <c r="K18" i="18"/>
  <c r="K23" i="18"/>
  <c r="K20" i="18"/>
  <c r="K8" i="18"/>
  <c r="K19" i="3"/>
  <c r="K77" i="17"/>
  <c r="K66" i="17"/>
  <c r="K33" i="18"/>
  <c r="K85" i="17"/>
  <c r="K89" i="17"/>
  <c r="X43" i="18"/>
  <c r="X45" i="17"/>
  <c r="U9" i="9"/>
  <c r="U9" i="5"/>
  <c r="X76" i="17"/>
  <c r="X69" i="18"/>
  <c r="X54" i="17"/>
  <c r="X33" i="18"/>
  <c r="X20" i="18"/>
  <c r="X25" i="18"/>
  <c r="X157" i="18"/>
  <c r="X30" i="18"/>
  <c r="X49" i="18"/>
  <c r="X16" i="18"/>
  <c r="X71" i="17"/>
  <c r="X9" i="18"/>
  <c r="X50" i="18"/>
  <c r="X61" i="17"/>
  <c r="X71" i="18"/>
  <c r="X32" i="18"/>
  <c r="U8" i="9"/>
  <c r="U8" i="5"/>
  <c r="X68" i="17"/>
  <c r="X22" i="18"/>
  <c r="X82" i="18"/>
  <c r="X60" i="18"/>
  <c r="E76" i="17"/>
  <c r="E63" i="17"/>
  <c r="E36" i="18"/>
  <c r="E39" i="18"/>
  <c r="E53" i="18"/>
  <c r="E10" i="18"/>
  <c r="E72" i="18"/>
  <c r="E28" i="18"/>
  <c r="E30" i="18"/>
  <c r="E89" i="17"/>
  <c r="E50" i="18"/>
  <c r="E43" i="18"/>
  <c r="E49" i="18"/>
  <c r="E56" i="17"/>
  <c r="E8" i="18"/>
  <c r="E72" i="17"/>
  <c r="E59" i="18"/>
  <c r="E40" i="18"/>
  <c r="E64" i="18"/>
  <c r="E40" i="17"/>
  <c r="E66" i="18"/>
  <c r="E71" i="17"/>
  <c r="Q52" i="18"/>
  <c r="Q17" i="18"/>
  <c r="Q32" i="18"/>
  <c r="Q92" i="18"/>
  <c r="N9" i="9"/>
  <c r="N9" i="5"/>
  <c r="Q76" i="17"/>
  <c r="Q54" i="18"/>
  <c r="Q30" i="18"/>
  <c r="Q71" i="17"/>
  <c r="Q11" i="18"/>
  <c r="Q70" i="18"/>
  <c r="Q60" i="17"/>
  <c r="Q36" i="18"/>
  <c r="Q42" i="18"/>
  <c r="Q41" i="18"/>
  <c r="Q19" i="18"/>
  <c r="Q64" i="18"/>
  <c r="Q53" i="18"/>
  <c r="Q39" i="18"/>
  <c r="Q24" i="18"/>
  <c r="Q112" i="18"/>
  <c r="Q22" i="18"/>
  <c r="Q9" i="18"/>
  <c r="M48" i="17"/>
  <c r="M109" i="18"/>
  <c r="M31" i="18"/>
  <c r="M11" i="18"/>
  <c r="M36" i="18"/>
  <c r="M19" i="18"/>
  <c r="M111" i="18"/>
  <c r="M22" i="18"/>
  <c r="M53" i="18"/>
  <c r="M40" i="18"/>
  <c r="M129" i="18"/>
  <c r="M62" i="17"/>
  <c r="M30" i="17"/>
  <c r="M41" i="18"/>
  <c r="M71" i="17"/>
  <c r="M64" i="17"/>
  <c r="M10" i="18"/>
  <c r="M74" i="17"/>
  <c r="M66" i="17"/>
  <c r="M26" i="18"/>
  <c r="M72" i="18"/>
  <c r="M74" i="18"/>
  <c r="R41" i="18"/>
  <c r="R22" i="18"/>
  <c r="R54" i="18"/>
  <c r="R15" i="18"/>
  <c r="R24" i="18"/>
  <c r="R99" i="18"/>
  <c r="R19" i="18"/>
  <c r="R86" i="17"/>
  <c r="R11" i="18"/>
  <c r="R42" i="18"/>
  <c r="R30" i="18"/>
  <c r="R26" i="18"/>
  <c r="R78" i="17"/>
  <c r="R70" i="18"/>
  <c r="R18" i="3"/>
  <c r="R67" i="17"/>
  <c r="R77" i="18"/>
  <c r="R59" i="18"/>
  <c r="R32" i="18"/>
  <c r="R17" i="18"/>
  <c r="R72" i="18"/>
  <c r="R39" i="18"/>
  <c r="R9" i="18"/>
  <c r="AA20" i="18"/>
  <c r="AA74" i="18"/>
  <c r="AA13" i="18"/>
  <c r="AA40" i="18"/>
  <c r="AA23" i="18"/>
  <c r="AA55" i="18"/>
  <c r="AA10" i="18"/>
  <c r="AA54" i="18"/>
  <c r="AA85" i="17"/>
  <c r="AA25" i="18"/>
  <c r="AA105" i="18"/>
  <c r="AA16" i="18"/>
  <c r="AA89" i="17"/>
  <c r="AA66" i="17"/>
  <c r="AA43" i="18"/>
  <c r="AA76" i="18"/>
  <c r="AA19" i="3"/>
  <c r="AA77" i="17"/>
  <c r="AA18" i="18"/>
  <c r="AA94" i="17"/>
  <c r="AA33" i="18"/>
  <c r="AA31" i="18"/>
  <c r="AA8" i="18"/>
  <c r="P17" i="18"/>
  <c r="P58" i="18"/>
  <c r="P22" i="18"/>
  <c r="P69" i="17"/>
  <c r="P36" i="18"/>
  <c r="P72" i="18"/>
  <c r="P32" i="18"/>
  <c r="P77" i="18"/>
  <c r="P53" i="18"/>
  <c r="P39" i="18"/>
  <c r="P92" i="18"/>
  <c r="P52" i="18"/>
  <c r="P74" i="18"/>
  <c r="P61" i="18"/>
  <c r="P30" i="18"/>
  <c r="P11" i="18"/>
  <c r="P81" i="18"/>
  <c r="P9" i="18"/>
  <c r="M9" i="9"/>
  <c r="M9" i="5"/>
  <c r="P76" i="17"/>
  <c r="P42" i="18"/>
  <c r="P64" i="17"/>
  <c r="P112" i="18"/>
  <c r="M16" i="18"/>
  <c r="M147" i="18"/>
  <c r="M39" i="18"/>
  <c r="M58" i="18"/>
  <c r="M13" i="18"/>
  <c r="M104" i="18"/>
  <c r="M94" i="17"/>
  <c r="M52" i="18"/>
  <c r="M86" i="18"/>
  <c r="M23" i="18"/>
  <c r="M132" i="18"/>
  <c r="M75" i="17"/>
  <c r="M51" i="18"/>
  <c r="M28" i="18"/>
  <c r="M43" i="18"/>
  <c r="M25" i="18"/>
  <c r="M113" i="18"/>
  <c r="M8" i="18"/>
  <c r="M30" i="18"/>
  <c r="M85" i="17"/>
  <c r="M64" i="18"/>
  <c r="M33" i="18"/>
  <c r="Y89" i="17"/>
  <c r="Y63" i="17"/>
  <c r="Y31" i="18"/>
  <c r="Y168" i="18"/>
  <c r="Y43" i="18"/>
  <c r="Y76" i="18"/>
  <c r="Y55" i="18"/>
  <c r="V8" i="9"/>
  <c r="V8" i="5"/>
  <c r="Y68" i="17"/>
  <c r="Y94" i="17"/>
  <c r="Y40" i="18"/>
  <c r="Y16" i="18"/>
  <c r="Y75" i="17"/>
  <c r="Y84" i="18"/>
  <c r="Y23" i="18"/>
  <c r="Y62" i="18"/>
  <c r="Y29" i="18"/>
  <c r="Y10" i="18"/>
  <c r="Y56" i="18"/>
  <c r="Y130" i="18"/>
  <c r="Y20" i="18"/>
  <c r="Y98" i="18"/>
  <c r="Y8" i="18"/>
  <c r="I8" i="18"/>
  <c r="I25" i="18"/>
  <c r="I16" i="18"/>
  <c r="I23" i="18"/>
  <c r="I33" i="18"/>
  <c r="I18" i="18"/>
  <c r="I49" i="18"/>
  <c r="I43" i="18"/>
  <c r="F8" i="9"/>
  <c r="F8" i="5"/>
  <c r="I68" i="17"/>
  <c r="I29" i="18"/>
  <c r="I75" i="17"/>
  <c r="I56" i="18"/>
  <c r="I51" i="18"/>
  <c r="I89" i="17"/>
  <c r="I31" i="18"/>
  <c r="I63" i="17"/>
  <c r="I10" i="18"/>
  <c r="I12" i="18"/>
  <c r="I20" i="18"/>
  <c r="I57" i="18"/>
  <c r="I94" i="17"/>
  <c r="I40" i="18"/>
  <c r="W24" i="18"/>
  <c r="W64" i="18"/>
  <c r="W65" i="17"/>
  <c r="W58" i="18"/>
  <c r="W35" i="18"/>
  <c r="W41" i="18"/>
  <c r="W29" i="18"/>
  <c r="W70" i="17"/>
  <c r="W62" i="18"/>
  <c r="W80" i="18"/>
  <c r="W59" i="18"/>
  <c r="W70" i="18"/>
  <c r="W10" i="18"/>
  <c r="W12" i="18"/>
  <c r="W53" i="18"/>
  <c r="W26" i="18"/>
  <c r="W18" i="18"/>
  <c r="W89" i="17"/>
  <c r="W54" i="18"/>
  <c r="W84" i="17"/>
  <c r="W91" i="18"/>
  <c r="W15" i="18"/>
  <c r="H31" i="18"/>
  <c r="H184" i="18"/>
  <c r="H72" i="17"/>
  <c r="H23" i="18"/>
  <c r="H12" i="18"/>
  <c r="H49" i="18"/>
  <c r="H80" i="18"/>
  <c r="H10" i="18"/>
  <c r="H18" i="18"/>
  <c r="H105" i="18"/>
  <c r="H8" i="18"/>
  <c r="H185" i="18"/>
  <c r="H19" i="3"/>
  <c r="H77" i="17"/>
  <c r="H61" i="18"/>
  <c r="H84" i="17"/>
  <c r="H43" i="18"/>
  <c r="H50" i="18"/>
  <c r="H35" i="18"/>
  <c r="H61" i="17"/>
  <c r="H66" i="18"/>
  <c r="H20" i="18"/>
  <c r="H40" i="18"/>
  <c r="O39" i="18"/>
  <c r="O36" i="18"/>
  <c r="O70" i="18"/>
  <c r="O28" i="18"/>
  <c r="O49" i="18"/>
  <c r="O50" i="18"/>
  <c r="O51" i="18"/>
  <c r="O9" i="18"/>
  <c r="O42" i="18"/>
  <c r="O13" i="18"/>
  <c r="O73" i="17"/>
  <c r="O94" i="17"/>
  <c r="O25" i="18"/>
  <c r="O81" i="18"/>
  <c r="O85" i="17"/>
  <c r="O33" i="18"/>
  <c r="O19" i="18"/>
  <c r="O11" i="18"/>
  <c r="O72" i="18"/>
  <c r="O23" i="18"/>
  <c r="O61" i="18"/>
  <c r="O113" i="18"/>
  <c r="U86" i="17"/>
  <c r="U149" i="18"/>
  <c r="U36" i="18"/>
  <c r="U22" i="18"/>
  <c r="U53" i="18"/>
  <c r="U59" i="18"/>
  <c r="U9" i="18"/>
  <c r="U154" i="18"/>
  <c r="U24" i="18"/>
  <c r="U66" i="18"/>
  <c r="U64" i="18"/>
  <c r="U77" i="18"/>
  <c r="U19" i="18"/>
  <c r="U17" i="18"/>
  <c r="U29" i="18"/>
  <c r="U72" i="18"/>
  <c r="U99" i="18"/>
  <c r="U12" i="18"/>
  <c r="U32" i="18"/>
  <c r="U18" i="3"/>
  <c r="U67" i="17"/>
  <c r="U26" i="18"/>
  <c r="U15" i="18"/>
  <c r="X35" i="18"/>
  <c r="X53" i="18"/>
  <c r="X8" i="18"/>
  <c r="X86" i="17"/>
  <c r="X133" i="18"/>
  <c r="X89" i="17"/>
  <c r="X54" i="18"/>
  <c r="X80" i="18"/>
  <c r="X98" i="18"/>
  <c r="X26" i="18"/>
  <c r="X40" i="18"/>
  <c r="X66" i="18"/>
  <c r="X84" i="17"/>
  <c r="X19" i="3"/>
  <c r="X77" i="17"/>
  <c r="X18" i="18"/>
  <c r="X12" i="18"/>
  <c r="X55" i="18"/>
  <c r="X41" i="18"/>
  <c r="X64" i="18"/>
  <c r="X72" i="17"/>
  <c r="X31" i="18"/>
  <c r="X10" i="18"/>
  <c r="T19" i="18"/>
  <c r="T59" i="18"/>
  <c r="T53" i="18"/>
  <c r="T52" i="18"/>
  <c r="T86" i="17"/>
  <c r="T24" i="18"/>
  <c r="T9" i="18"/>
  <c r="T84" i="17"/>
  <c r="T15" i="18"/>
  <c r="Q9" i="9"/>
  <c r="Q9" i="5"/>
  <c r="T76" i="17"/>
  <c r="T26" i="18"/>
  <c r="T32" i="18"/>
  <c r="T22" i="18"/>
  <c r="T41" i="18"/>
  <c r="T42" i="18"/>
  <c r="T85" i="18"/>
  <c r="T17" i="18"/>
  <c r="T54" i="18"/>
  <c r="T36" i="18"/>
  <c r="T70" i="18"/>
  <c r="T29" i="18"/>
  <c r="T12" i="18"/>
  <c r="G105" i="18"/>
  <c r="G70" i="18"/>
  <c r="G40" i="18"/>
  <c r="G29" i="18"/>
  <c r="G84" i="17"/>
  <c r="G50" i="18"/>
  <c r="G18" i="18"/>
  <c r="G57" i="18"/>
  <c r="G175" i="18"/>
  <c r="G24" i="18"/>
  <c r="G89" i="17"/>
  <c r="G80" i="18"/>
  <c r="G35" i="18"/>
  <c r="G75" i="18"/>
  <c r="G176" i="18"/>
  <c r="G70" i="17"/>
  <c r="G15" i="18"/>
  <c r="G82" i="18"/>
  <c r="G65" i="17"/>
  <c r="G12" i="18"/>
  <c r="G10" i="18"/>
  <c r="G26" i="18"/>
  <c r="N74" i="18"/>
  <c r="N33" i="18"/>
  <c r="N85" i="17"/>
  <c r="N16" i="18"/>
  <c r="N23" i="18"/>
  <c r="N13" i="18"/>
  <c r="N52" i="18"/>
  <c r="N132" i="18"/>
  <c r="N36" i="18"/>
  <c r="N49" i="18"/>
  <c r="N39" i="18"/>
  <c r="N43" i="18"/>
  <c r="N66" i="17"/>
  <c r="N11" i="18"/>
  <c r="N58" i="18"/>
  <c r="N30" i="18"/>
  <c r="N28" i="18"/>
  <c r="N25" i="18"/>
  <c r="N8" i="18"/>
  <c r="N94" i="17"/>
  <c r="N111" i="18"/>
  <c r="N20" i="18"/>
  <c r="F94" i="18"/>
  <c r="F71" i="18"/>
  <c r="F29" i="18"/>
  <c r="F10" i="18"/>
  <c r="F57" i="18"/>
  <c r="F86" i="17"/>
  <c r="F63" i="17"/>
  <c r="F87" i="18"/>
  <c r="F40" i="18"/>
  <c r="F73" i="18"/>
  <c r="F50" i="18"/>
  <c r="F15" i="18"/>
  <c r="F147" i="18"/>
  <c r="F74" i="17"/>
  <c r="F26" i="18"/>
  <c r="F35" i="18"/>
  <c r="F17" i="18"/>
  <c r="F12" i="18"/>
  <c r="F63" i="18"/>
  <c r="F98" i="18"/>
  <c r="F66" i="18"/>
  <c r="F24" i="18"/>
  <c r="E75" i="18"/>
  <c r="E77" i="18"/>
  <c r="E87" i="18"/>
  <c r="E22" i="18"/>
  <c r="E26" i="18"/>
  <c r="E12" i="18"/>
  <c r="E31" i="18"/>
  <c r="E60" i="18"/>
  <c r="E56" i="18"/>
  <c r="E24" i="18"/>
  <c r="E35" i="18"/>
  <c r="E61" i="18"/>
  <c r="E15" i="18"/>
  <c r="E57" i="18"/>
  <c r="E29" i="18"/>
  <c r="E18" i="3"/>
  <c r="E67" i="17"/>
  <c r="E55" i="18"/>
  <c r="E9" i="18"/>
  <c r="E17" i="18"/>
  <c r="E32" i="18"/>
  <c r="E19" i="18"/>
  <c r="E86" i="17"/>
  <c r="L10" i="18"/>
  <c r="L86" i="18"/>
  <c r="L13" i="18"/>
  <c r="I8" i="9"/>
  <c r="I8" i="5"/>
  <c r="L68" i="17"/>
  <c r="L28" i="18"/>
  <c r="L25" i="18"/>
  <c r="L61" i="18"/>
  <c r="L49" i="18"/>
  <c r="L57" i="18"/>
  <c r="L30" i="18"/>
  <c r="L73" i="17"/>
  <c r="L94" i="17"/>
  <c r="L23" i="18"/>
  <c r="L33" i="18"/>
  <c r="L16" i="18"/>
  <c r="L51" i="18"/>
  <c r="L18" i="18"/>
  <c r="L31" i="18"/>
  <c r="L43" i="18"/>
  <c r="L8" i="18"/>
  <c r="L50" i="18"/>
  <c r="L20" i="18"/>
  <c r="Z20" i="18"/>
  <c r="Z59" i="18"/>
  <c r="Z10" i="18"/>
  <c r="Z149" i="18"/>
  <c r="Z16" i="18"/>
  <c r="Z70" i="17"/>
  <c r="Z84" i="17"/>
  <c r="Z89" i="17"/>
  <c r="Z94" i="17"/>
  <c r="Z40" i="18"/>
  <c r="Z64" i="18"/>
  <c r="Z105" i="18"/>
  <c r="Z18" i="18"/>
  <c r="Z29" i="18"/>
  <c r="Z8" i="18"/>
  <c r="Z62" i="18"/>
  <c r="Z31" i="18"/>
  <c r="Z41" i="18"/>
  <c r="Z12" i="18"/>
  <c r="Z35" i="18"/>
  <c r="Z75" i="17"/>
  <c r="Z23" i="18"/>
  <c r="J56" i="18"/>
  <c r="J8" i="18"/>
  <c r="J70" i="17"/>
  <c r="J43" i="18"/>
  <c r="J25" i="18"/>
  <c r="J20" i="18"/>
  <c r="J31" i="18"/>
  <c r="J23" i="18"/>
  <c r="J51" i="18"/>
  <c r="J152" i="18"/>
  <c r="J40" i="18"/>
  <c r="J33" i="18"/>
  <c r="J84" i="17"/>
  <c r="J89" i="17"/>
  <c r="J94" i="17"/>
  <c r="J10" i="18"/>
  <c r="J75" i="17"/>
  <c r="J16" i="18"/>
  <c r="J63" i="18"/>
  <c r="J18" i="18"/>
  <c r="J12" i="18"/>
  <c r="J29" i="18"/>
  <c r="V12" i="18"/>
  <c r="V91" i="18"/>
  <c r="V74" i="17"/>
  <c r="V52" i="18"/>
  <c r="V19" i="18"/>
  <c r="V17" i="18"/>
  <c r="V66" i="18"/>
  <c r="V10" i="18"/>
  <c r="V18" i="18"/>
  <c r="V22" i="18"/>
  <c r="V35" i="18"/>
  <c r="V32" i="18"/>
  <c r="V130" i="18"/>
  <c r="V15" i="18"/>
  <c r="V36" i="18"/>
  <c r="V55" i="18"/>
  <c r="V29" i="18"/>
  <c r="V86" i="17"/>
  <c r="V24" i="18"/>
  <c r="V84" i="17"/>
  <c r="V63" i="17"/>
  <c r="V26" i="18"/>
  <c r="P86" i="18"/>
  <c r="P49" i="18"/>
  <c r="P132" i="18"/>
  <c r="P33" i="18"/>
  <c r="P50" i="18"/>
  <c r="P13" i="18"/>
  <c r="P126" i="18"/>
  <c r="P85" i="18"/>
  <c r="P57" i="18"/>
  <c r="P109" i="18"/>
  <c r="P116" i="18"/>
  <c r="P28" i="18"/>
  <c r="P104" i="18"/>
  <c r="P94" i="17"/>
  <c r="P70" i="18"/>
  <c r="P114" i="18"/>
  <c r="P65" i="18"/>
  <c r="P51" i="18"/>
  <c r="P25" i="18"/>
  <c r="P54" i="18"/>
  <c r="P89" i="18"/>
  <c r="P161" i="18"/>
  <c r="D19" i="18"/>
  <c r="D31" i="18"/>
  <c r="D73" i="18"/>
  <c r="D32" i="18"/>
  <c r="D65" i="18"/>
  <c r="D15" i="18"/>
  <c r="D35" i="18"/>
  <c r="D84" i="17"/>
  <c r="D12" i="18"/>
  <c r="D86" i="17"/>
  <c r="D29" i="18"/>
  <c r="D57" i="18"/>
  <c r="D22" i="18"/>
  <c r="D75" i="18"/>
  <c r="D41" i="18"/>
  <c r="D9" i="18"/>
  <c r="D24" i="18"/>
  <c r="D17" i="18"/>
  <c r="D195" i="18"/>
  <c r="D26" i="18"/>
  <c r="D76" i="17"/>
  <c r="D36" i="18"/>
  <c r="S32" i="18"/>
  <c r="S26" i="18"/>
  <c r="S61" i="18"/>
  <c r="S77" i="18"/>
  <c r="S78" i="17"/>
  <c r="S69" i="17"/>
  <c r="S51" i="18"/>
  <c r="S74" i="17"/>
  <c r="S30" i="18"/>
  <c r="S41" i="18"/>
  <c r="S9" i="18"/>
  <c r="S52" i="18"/>
  <c r="S22" i="18"/>
  <c r="S11" i="18"/>
  <c r="S19" i="18"/>
  <c r="S66" i="18"/>
  <c r="S24" i="18"/>
  <c r="S58" i="18"/>
  <c r="S39" i="18"/>
  <c r="S15" i="18"/>
  <c r="S59" i="18"/>
  <c r="S17" i="18"/>
  <c r="O142" i="18"/>
  <c r="O86" i="18"/>
  <c r="O160" i="18"/>
  <c r="O76" i="18"/>
  <c r="O53" i="18"/>
  <c r="O132" i="18"/>
  <c r="O83" i="18"/>
  <c r="O111" i="18"/>
  <c r="O7" i="21"/>
  <c r="O79" i="18"/>
  <c r="O92" i="18"/>
  <c r="O109" i="18"/>
  <c r="O43" i="18"/>
  <c r="O69" i="18"/>
  <c r="O114" i="18"/>
  <c r="O97" i="18"/>
  <c r="O74" i="18"/>
  <c r="O60" i="18"/>
  <c r="O149" i="18"/>
  <c r="O58" i="18"/>
  <c r="O63" i="18"/>
  <c r="O16" i="18"/>
  <c r="Y80" i="18"/>
  <c r="Y41" i="18"/>
  <c r="Y66" i="18"/>
  <c r="Y87" i="18"/>
  <c r="Y88" i="18"/>
  <c r="Y12" i="18"/>
  <c r="Y50" i="18"/>
  <c r="Y105" i="18"/>
  <c r="Y107" i="18"/>
  <c r="Y26" i="18"/>
  <c r="Y127" i="18"/>
  <c r="Y157" i="18"/>
  <c r="Y75" i="18"/>
  <c r="Y106" i="18"/>
  <c r="Y59" i="18"/>
  <c r="Y133" i="18"/>
  <c r="Y64" i="18"/>
  <c r="Y69" i="18"/>
  <c r="Y91" i="18"/>
  <c r="Y152" i="18"/>
  <c r="Y53" i="18"/>
  <c r="Y35" i="18"/>
  <c r="W71" i="18"/>
  <c r="W61" i="18"/>
  <c r="W99" i="18"/>
  <c r="W87" i="18"/>
  <c r="W77" i="18"/>
  <c r="W133" i="18"/>
  <c r="W32" i="18"/>
  <c r="W194" i="18"/>
  <c r="W82" i="18"/>
  <c r="W113" i="18"/>
  <c r="W85" i="18"/>
  <c r="W22" i="18"/>
  <c r="W66" i="18"/>
  <c r="W154" i="18"/>
  <c r="W106" i="18"/>
  <c r="W55" i="18"/>
  <c r="W92" i="18"/>
  <c r="W107" i="18"/>
  <c r="W52" i="18"/>
  <c r="W98" i="18"/>
  <c r="W169" i="18"/>
  <c r="W103" i="18"/>
  <c r="Q77" i="18"/>
  <c r="Q114" i="18"/>
  <c r="Q89" i="18"/>
  <c r="Q13" i="18"/>
  <c r="Q58" i="18"/>
  <c r="Q61" i="18"/>
  <c r="Q107" i="18"/>
  <c r="Q152" i="18"/>
  <c r="Q103" i="18"/>
  <c r="Q72" i="18"/>
  <c r="Q108" i="18"/>
  <c r="Q88" i="18"/>
  <c r="Q99" i="18"/>
  <c r="Q85" i="17"/>
  <c r="Q57" i="18"/>
  <c r="Q56" i="18"/>
  <c r="Q111" i="18"/>
  <c r="Q104" i="18"/>
  <c r="Q81" i="18"/>
  <c r="Q113" i="18"/>
  <c r="Q74" i="18"/>
  <c r="Q109" i="18"/>
  <c r="C32" i="18"/>
  <c r="C79" i="18"/>
  <c r="C22" i="18"/>
  <c r="C54" i="18"/>
  <c r="C63" i="18"/>
  <c r="C70" i="18"/>
  <c r="C75" i="18"/>
  <c r="C69" i="17"/>
  <c r="C24" i="18"/>
  <c r="C106" i="18"/>
  <c r="C19" i="18"/>
  <c r="C11" i="18"/>
  <c r="C147" i="18"/>
  <c r="C56" i="18"/>
  <c r="C85" i="18"/>
  <c r="C9" i="18"/>
  <c r="C41" i="18"/>
  <c r="C98" i="18"/>
  <c r="C55" i="18"/>
  <c r="C59" i="18"/>
  <c r="C42" i="18"/>
  <c r="C17" i="18"/>
  <c r="U144" i="18"/>
  <c r="U63" i="18"/>
  <c r="U57" i="18"/>
  <c r="U102" i="18"/>
  <c r="U107" i="18"/>
  <c r="U103" i="18"/>
  <c r="U85" i="18"/>
  <c r="U73" i="18"/>
  <c r="U70" i="18"/>
  <c r="U142" i="18"/>
  <c r="U52" i="18"/>
  <c r="U42" i="18"/>
  <c r="U147" i="18"/>
  <c r="U54" i="18"/>
  <c r="U92" i="18"/>
  <c r="U79" i="18"/>
  <c r="U129" i="18"/>
  <c r="U88" i="18"/>
  <c r="U96" i="18"/>
  <c r="U83" i="18"/>
  <c r="U91" i="18"/>
  <c r="U108" i="18"/>
  <c r="X147" i="18"/>
  <c r="X106" i="18"/>
  <c r="X15" i="18"/>
  <c r="X78" i="18"/>
  <c r="X75" i="18"/>
  <c r="X85" i="18"/>
  <c r="X59" i="18"/>
  <c r="X58" i="18"/>
  <c r="X94" i="18"/>
  <c r="X88" i="18"/>
  <c r="X91" i="18"/>
  <c r="X57" i="18"/>
  <c r="X113" i="18"/>
  <c r="X132" i="18"/>
  <c r="X52" i="18"/>
  <c r="X84" i="18"/>
  <c r="X24" i="18"/>
  <c r="X62" i="18"/>
  <c r="X116" i="18"/>
  <c r="X99" i="18"/>
  <c r="X107" i="18"/>
  <c r="X73" i="18"/>
  <c r="R58" i="18"/>
  <c r="R104" i="18"/>
  <c r="R81" i="18"/>
  <c r="R63" i="18"/>
  <c r="R28" i="18"/>
  <c r="R52" i="18"/>
  <c r="R112" i="18"/>
  <c r="R65" i="18"/>
  <c r="R147" i="18"/>
  <c r="R61" i="18"/>
  <c r="R83" i="18"/>
  <c r="R49" i="18"/>
  <c r="R79" i="18"/>
  <c r="R130" i="18"/>
  <c r="R114" i="18"/>
  <c r="R96" i="18"/>
  <c r="R89" i="18"/>
  <c r="R110" i="18"/>
  <c r="R50" i="18"/>
  <c r="R74" i="18"/>
  <c r="H87" i="18"/>
  <c r="H199" i="18"/>
  <c r="R51" i="18"/>
  <c r="H60" i="18"/>
  <c r="R75" i="18"/>
  <c r="H143" i="18"/>
  <c r="H62" i="18"/>
  <c r="H94" i="18"/>
  <c r="H78" i="18"/>
  <c r="H86" i="17"/>
  <c r="H145" i="18"/>
  <c r="H26" i="18"/>
  <c r="H75" i="18"/>
  <c r="H73" i="18"/>
  <c r="H15" i="18"/>
  <c r="H82" i="18"/>
  <c r="H59" i="18"/>
  <c r="H98" i="18"/>
  <c r="H57" i="18"/>
  <c r="H69" i="18"/>
  <c r="H52" i="18"/>
  <c r="H71" i="18"/>
  <c r="H176" i="18"/>
  <c r="H91" i="18"/>
  <c r="C91" i="17"/>
  <c r="C117" i="18"/>
  <c r="C95" i="18"/>
  <c r="C48" i="18"/>
  <c r="C66" i="13"/>
  <c r="C83" i="17"/>
  <c r="C95" i="17"/>
  <c r="C87" i="17"/>
  <c r="C197" i="18"/>
  <c r="C20" i="3"/>
  <c r="C82" i="17"/>
  <c r="C12" i="14"/>
  <c r="C45" i="18"/>
  <c r="C47" i="18"/>
  <c r="C37" i="18"/>
  <c r="C73" i="13"/>
  <c r="C68" i="18"/>
  <c r="C88" i="17"/>
  <c r="C134" i="18"/>
  <c r="C141" i="18"/>
  <c r="C46" i="18"/>
  <c r="C64" i="13"/>
  <c r="C38" i="18"/>
  <c r="F54" i="18"/>
  <c r="F75" i="18"/>
  <c r="F150" i="18"/>
  <c r="F83" i="18"/>
  <c r="F106" i="18"/>
  <c r="F85" i="18"/>
  <c r="F22" i="18"/>
  <c r="F64" i="18"/>
  <c r="F70" i="18"/>
  <c r="F79" i="18"/>
  <c r="F61" i="18"/>
  <c r="F77" i="18"/>
  <c r="F102" i="18"/>
  <c r="F56" i="18"/>
  <c r="F80" i="18"/>
  <c r="F131" i="18"/>
  <c r="F99" i="18"/>
  <c r="F152" i="18"/>
  <c r="F59" i="18"/>
  <c r="F91" i="18"/>
  <c r="F82" i="18"/>
  <c r="F170" i="18"/>
  <c r="S109" i="18"/>
  <c r="S65" i="18"/>
  <c r="S75" i="18"/>
  <c r="S202" i="18"/>
  <c r="S49" i="18"/>
  <c r="S114" i="18"/>
  <c r="S79" i="18"/>
  <c r="S70" i="18"/>
  <c r="S56" i="18"/>
  <c r="S132" i="18"/>
  <c r="S81" i="18"/>
  <c r="S147" i="18"/>
  <c r="S112" i="18"/>
  <c r="S72" i="18"/>
  <c r="S54" i="18"/>
  <c r="S42" i="18"/>
  <c r="S89" i="18"/>
  <c r="S83" i="18"/>
  <c r="S110" i="18"/>
  <c r="S113" i="18"/>
  <c r="S111" i="18"/>
  <c r="S96" i="18"/>
  <c r="E105" i="18"/>
  <c r="E102" i="18"/>
  <c r="E158" i="18"/>
  <c r="E131" i="18"/>
  <c r="E170" i="18"/>
  <c r="E164" i="18"/>
  <c r="E127" i="18"/>
  <c r="E94" i="18"/>
  <c r="E54" i="18"/>
  <c r="E85" i="18"/>
  <c r="E73" i="18"/>
  <c r="E83" i="18"/>
  <c r="E13" i="21"/>
  <c r="E70" i="18"/>
  <c r="E88" i="18"/>
  <c r="E63" i="18"/>
  <c r="E91" i="18"/>
  <c r="E92" i="18"/>
  <c r="E52" i="18"/>
  <c r="E153" i="18"/>
  <c r="E79" i="18"/>
  <c r="E99" i="18"/>
  <c r="V59" i="18"/>
  <c r="V161" i="18"/>
  <c r="V75" i="18"/>
  <c r="V108" i="18"/>
  <c r="V114" i="18"/>
  <c r="V87" i="18"/>
  <c r="V64" i="18"/>
  <c r="V70" i="18"/>
  <c r="V99" i="18"/>
  <c r="V54" i="18"/>
  <c r="V103" i="18"/>
  <c r="V77" i="18"/>
  <c r="V106" i="18"/>
  <c r="V80" i="18"/>
  <c r="V129" i="18"/>
  <c r="V116" i="18"/>
  <c r="V83" i="18"/>
  <c r="V96" i="18"/>
  <c r="V92" i="18"/>
  <c r="V85" i="18"/>
  <c r="V61" i="18"/>
  <c r="V79" i="18"/>
  <c r="N51" i="18"/>
  <c r="N86" i="18"/>
  <c r="N78" i="18"/>
  <c r="N128" i="18"/>
  <c r="N145" i="18"/>
  <c r="N69" i="18"/>
  <c r="N186" i="18"/>
  <c r="N101" i="18"/>
  <c r="N108" i="18"/>
  <c r="N104" i="18"/>
  <c r="N63" i="18"/>
  <c r="N81" i="18"/>
  <c r="N82" i="18"/>
  <c r="N155" i="18"/>
  <c r="N72" i="18"/>
  <c r="N53" i="18"/>
  <c r="N56" i="18"/>
  <c r="N158" i="18"/>
  <c r="N62" i="18"/>
  <c r="N178" i="18"/>
  <c r="N84" i="18"/>
  <c r="N152" i="18"/>
  <c r="I91" i="18"/>
  <c r="I69" i="18"/>
  <c r="I97" i="18"/>
  <c r="I59" i="18"/>
  <c r="I53" i="18"/>
  <c r="I87" i="18"/>
  <c r="I64" i="18"/>
  <c r="I161" i="18"/>
  <c r="I50" i="18"/>
  <c r="I60" i="18"/>
  <c r="I98" i="18"/>
  <c r="I35" i="18"/>
  <c r="I82" i="18"/>
  <c r="I105" i="18"/>
  <c r="I132" i="18"/>
  <c r="I80" i="18"/>
  <c r="I143" i="18"/>
  <c r="I75" i="18"/>
  <c r="I66" i="18"/>
  <c r="I129" i="18"/>
  <c r="I150" i="18"/>
  <c r="I177" i="18"/>
  <c r="T165" i="18"/>
  <c r="T129" i="18"/>
  <c r="T108" i="18"/>
  <c r="T103" i="18"/>
  <c r="T81" i="18"/>
  <c r="T63" i="18"/>
  <c r="T154" i="18"/>
  <c r="T56" i="18"/>
  <c r="T77" i="18"/>
  <c r="T96" i="18"/>
  <c r="T114" i="18"/>
  <c r="T92" i="18"/>
  <c r="T88" i="18"/>
  <c r="T145" i="18"/>
  <c r="T50" i="18"/>
  <c r="T110" i="18"/>
  <c r="T72" i="18"/>
  <c r="T66" i="18"/>
  <c r="T61" i="18"/>
  <c r="T112" i="18"/>
  <c r="T79" i="18"/>
  <c r="T89" i="18"/>
  <c r="M128" i="18"/>
  <c r="M97" i="18"/>
  <c r="M89" i="17"/>
  <c r="M80" i="18"/>
  <c r="M62" i="18"/>
  <c r="M96" i="18"/>
  <c r="M65" i="18"/>
  <c r="M185" i="18"/>
  <c r="M186" i="18"/>
  <c r="M20" i="18"/>
  <c r="M18" i="18"/>
  <c r="M101" i="18"/>
  <c r="M145" i="18"/>
  <c r="M78" i="18"/>
  <c r="M49" i="18"/>
  <c r="M76" i="18"/>
  <c r="M57" i="18"/>
  <c r="M84" i="18"/>
  <c r="M71" i="18"/>
  <c r="M60" i="18"/>
  <c r="M55" i="18"/>
  <c r="M94" i="18"/>
  <c r="G101" i="18"/>
  <c r="G91" i="18"/>
  <c r="G66" i="18"/>
  <c r="G84" i="18"/>
  <c r="G71" i="18"/>
  <c r="G73" i="18"/>
  <c r="G106" i="18"/>
  <c r="G85" i="18"/>
  <c r="G78" i="18"/>
  <c r="G102" i="18"/>
  <c r="G87" i="18"/>
  <c r="G52" i="18"/>
  <c r="G61" i="18"/>
  <c r="G131" i="18"/>
  <c r="G41" i="18"/>
  <c r="G169" i="18"/>
  <c r="G77" i="18"/>
  <c r="G184" i="18"/>
  <c r="G94" i="18"/>
  <c r="G99" i="18"/>
  <c r="G98" i="18"/>
  <c r="G55" i="18"/>
  <c r="Z71" i="18"/>
  <c r="Z50" i="18"/>
  <c r="Z164" i="18"/>
  <c r="Z66" i="18"/>
  <c r="Z76" i="18"/>
  <c r="Z102" i="18"/>
  <c r="Z82" i="18"/>
  <c r="Z43" i="18"/>
  <c r="Z73" i="18"/>
  <c r="Z91" i="18"/>
  <c r="Z80" i="18"/>
  <c r="Z126" i="18"/>
  <c r="Z60" i="18"/>
  <c r="Z106" i="18"/>
  <c r="Z198" i="18"/>
  <c r="Z75" i="18"/>
  <c r="Z57" i="18"/>
  <c r="Z98" i="18"/>
  <c r="Z87" i="18"/>
  <c r="Z107" i="18"/>
  <c r="Z55" i="18"/>
  <c r="Z53" i="18"/>
  <c r="J105" i="18"/>
  <c r="J98" i="18"/>
  <c r="J76" i="18"/>
  <c r="J82" i="18"/>
  <c r="J102" i="18"/>
  <c r="J57" i="18"/>
  <c r="J75" i="18"/>
  <c r="J60" i="18"/>
  <c r="J94" i="18"/>
  <c r="J110" i="18"/>
  <c r="J73" i="18"/>
  <c r="J168" i="18"/>
  <c r="J50" i="18"/>
  <c r="J80" i="18"/>
  <c r="J177" i="18"/>
  <c r="J131" i="18"/>
  <c r="J87" i="18"/>
  <c r="J66" i="18"/>
  <c r="J71" i="18"/>
  <c r="J84" i="18"/>
  <c r="J55" i="18"/>
  <c r="J155" i="18"/>
  <c r="K105" i="18"/>
  <c r="K128" i="18"/>
  <c r="K73" i="18"/>
  <c r="K51" i="18"/>
  <c r="K89" i="18"/>
  <c r="K78" i="18"/>
  <c r="K94" i="18"/>
  <c r="K82" i="18"/>
  <c r="K62" i="18"/>
  <c r="K101" i="18"/>
  <c r="K80" i="18"/>
  <c r="K57" i="18"/>
  <c r="K40" i="18"/>
  <c r="K59" i="18"/>
  <c r="K98" i="18"/>
  <c r="K86" i="18"/>
  <c r="K143" i="18"/>
  <c r="K157" i="18"/>
  <c r="K64" i="18"/>
  <c r="K102" i="18"/>
  <c r="K104" i="18"/>
  <c r="K87" i="18"/>
  <c r="D81" i="18"/>
  <c r="D87" i="18"/>
  <c r="D143" i="18"/>
  <c r="D77" i="18"/>
  <c r="D127" i="18"/>
  <c r="D63" i="18"/>
  <c r="D50" i="18"/>
  <c r="D103" i="18"/>
  <c r="D131" i="18"/>
  <c r="D58" i="18"/>
  <c r="D72" i="18"/>
  <c r="D161" i="18"/>
  <c r="D85" i="18"/>
  <c r="D88" i="18"/>
  <c r="D56" i="18"/>
  <c r="D79" i="18"/>
  <c r="D61" i="18"/>
  <c r="D66" i="18"/>
  <c r="D92" i="18"/>
  <c r="D96" i="18"/>
  <c r="D74" i="18"/>
  <c r="D108" i="18"/>
  <c r="L55" i="18"/>
  <c r="L71" i="18"/>
  <c r="L58" i="18"/>
  <c r="L101" i="18"/>
  <c r="L113" i="18"/>
  <c r="L82" i="18"/>
  <c r="L74" i="18"/>
  <c r="L105" i="18"/>
  <c r="L84" i="18"/>
  <c r="L80" i="18"/>
  <c r="L41" i="18"/>
  <c r="L111" i="18"/>
  <c r="L97" i="18"/>
  <c r="L109" i="18"/>
  <c r="L112" i="18"/>
  <c r="L69" i="18"/>
  <c r="L64" i="18"/>
  <c r="L40" i="18"/>
  <c r="L66" i="18"/>
  <c r="L128" i="18"/>
  <c r="L94" i="18"/>
  <c r="L53" i="18"/>
  <c r="AA154" i="18"/>
  <c r="AA164" i="18"/>
  <c r="AA78" i="18"/>
  <c r="AA87" i="18"/>
  <c r="AA57" i="18"/>
  <c r="AA62" i="18"/>
  <c r="AA101" i="18"/>
  <c r="AA64" i="18"/>
  <c r="AA102" i="18"/>
  <c r="AA66" i="18"/>
  <c r="AA106" i="18"/>
  <c r="AA126" i="18"/>
  <c r="AA29" i="18"/>
  <c r="AA88" i="18"/>
  <c r="AA51" i="18"/>
  <c r="AA82" i="18"/>
  <c r="AA80" i="18"/>
  <c r="AA174" i="18"/>
  <c r="AA98" i="18"/>
  <c r="AA73" i="18"/>
  <c r="AA149" i="18"/>
  <c r="AA7" i="21"/>
  <c r="C49" i="18"/>
  <c r="C126" i="18"/>
  <c r="C36" i="18"/>
  <c r="C104" i="18"/>
  <c r="C53" i="18"/>
  <c r="C114" i="18"/>
  <c r="C65" i="18"/>
  <c r="C89" i="18"/>
  <c r="C88" i="18"/>
  <c r="C60" i="18"/>
  <c r="C86" i="18"/>
  <c r="C72" i="18"/>
  <c r="C43" i="18"/>
  <c r="C69" i="18"/>
  <c r="C103" i="18"/>
  <c r="C110" i="18"/>
  <c r="C96" i="18"/>
  <c r="C25" i="18"/>
  <c r="C107" i="18"/>
  <c r="C83" i="18"/>
  <c r="C81" i="18"/>
  <c r="C76" i="18"/>
  <c r="C6" i="7"/>
  <c r="E20" i="3"/>
  <c r="E82" i="17"/>
  <c r="E117" i="18"/>
  <c r="E138" i="18"/>
  <c r="E67" i="18"/>
  <c r="E47" i="18"/>
  <c r="E83" i="17"/>
  <c r="E48" i="18"/>
  <c r="E100" i="18"/>
  <c r="E139" i="18"/>
  <c r="E206" i="18"/>
  <c r="E38" i="18"/>
  <c r="E37" i="18"/>
  <c r="E95" i="17"/>
  <c r="E91" i="17"/>
  <c r="E95" i="18"/>
  <c r="E46" i="18"/>
  <c r="E87" i="17"/>
  <c r="E140" i="18"/>
  <c r="E88" i="17"/>
  <c r="E68" i="18"/>
  <c r="E45" i="18"/>
  <c r="E115" i="18"/>
  <c r="Z83" i="18"/>
  <c r="Z111" i="18"/>
  <c r="Z96" i="18"/>
  <c r="Z103" i="18"/>
  <c r="Z143" i="18"/>
  <c r="Z77" i="18"/>
  <c r="Z61" i="18"/>
  <c r="Z108" i="18"/>
  <c r="Z92" i="18"/>
  <c r="Z113" i="18"/>
  <c r="Z129" i="18"/>
  <c r="Z112" i="18"/>
  <c r="Z99" i="18"/>
  <c r="Z26" i="18"/>
  <c r="Z132" i="18"/>
  <c r="Z54" i="18"/>
  <c r="Z85" i="18"/>
  <c r="Z110" i="18"/>
  <c r="Z145" i="18"/>
  <c r="Z70" i="18"/>
  <c r="Z88" i="18"/>
  <c r="Z114" i="18"/>
  <c r="P60" i="18"/>
  <c r="P98" i="18"/>
  <c r="P78" i="18"/>
  <c r="P64" i="18"/>
  <c r="P162" i="18"/>
  <c r="P101" i="18"/>
  <c r="P80" i="18"/>
  <c r="P97" i="18"/>
  <c r="P84" i="18"/>
  <c r="P55" i="18"/>
  <c r="P165" i="18"/>
  <c r="P145" i="18"/>
  <c r="P82" i="18"/>
  <c r="P73" i="18"/>
  <c r="P66" i="18"/>
  <c r="P187" i="18"/>
  <c r="P105" i="18"/>
  <c r="P76" i="18"/>
  <c r="P19" i="18"/>
  <c r="P150" i="18"/>
  <c r="P62" i="18"/>
  <c r="P71" i="18"/>
  <c r="V83" i="17"/>
  <c r="V47" i="18"/>
  <c r="V93" i="18"/>
  <c r="V37" i="18"/>
  <c r="V68" i="18"/>
  <c r="V38" i="18"/>
  <c r="V45" i="18"/>
  <c r="V88" i="17"/>
  <c r="V117" i="18"/>
  <c r="V95" i="17"/>
  <c r="V100" i="18"/>
  <c r="V95" i="18"/>
  <c r="V87" i="17"/>
  <c r="V48" i="18"/>
  <c r="V141" i="18"/>
  <c r="V136" i="18"/>
  <c r="V91" i="17"/>
  <c r="V67" i="18"/>
  <c r="V46" i="18"/>
  <c r="V115" i="18"/>
  <c r="V90" i="18"/>
  <c r="T6" i="7"/>
  <c r="V20" i="3"/>
  <c r="V82" i="17"/>
  <c r="U58" i="18"/>
  <c r="U18" i="21"/>
  <c r="U110" i="18"/>
  <c r="U131" i="18"/>
  <c r="U112" i="18"/>
  <c r="U65" i="18"/>
  <c r="U89" i="18"/>
  <c r="U155" i="18"/>
  <c r="U74" i="18"/>
  <c r="U41" i="18"/>
  <c r="U165" i="18"/>
  <c r="U81" i="18"/>
  <c r="U128" i="18"/>
  <c r="U33" i="18"/>
  <c r="U104" i="18"/>
  <c r="U76" i="18"/>
  <c r="U188" i="18"/>
  <c r="U51" i="18"/>
  <c r="U109" i="18"/>
  <c r="U23" i="18"/>
  <c r="U111" i="18"/>
  <c r="U86" i="18"/>
  <c r="T179" i="18"/>
  <c r="T188" i="18"/>
  <c r="T74" i="18"/>
  <c r="T86" i="18"/>
  <c r="T105" i="18"/>
  <c r="T33" i="18"/>
  <c r="T180" i="18"/>
  <c r="T43" i="18"/>
  <c r="T202" i="18"/>
  <c r="T69" i="18"/>
  <c r="T84" i="18"/>
  <c r="T104" i="18"/>
  <c r="T51" i="18"/>
  <c r="T58" i="18"/>
  <c r="T76" i="18"/>
  <c r="T97" i="18"/>
  <c r="T101" i="18"/>
  <c r="T94" i="18"/>
  <c r="T78" i="18"/>
  <c r="T60" i="18"/>
  <c r="T153" i="18"/>
  <c r="T62" i="18"/>
  <c r="X29" i="18"/>
  <c r="X74" i="18"/>
  <c r="X83" i="18"/>
  <c r="X104" i="18"/>
  <c r="X110" i="18"/>
  <c r="X153" i="18"/>
  <c r="X96" i="18"/>
  <c r="X79" i="18"/>
  <c r="X39" i="18"/>
  <c r="X114" i="18"/>
  <c r="X92" i="18"/>
  <c r="X112" i="18"/>
  <c r="X72" i="18"/>
  <c r="X129" i="18"/>
  <c r="X70" i="18"/>
  <c r="X63" i="18"/>
  <c r="X81" i="18"/>
  <c r="X89" i="18"/>
  <c r="X65" i="18"/>
  <c r="X56" i="18"/>
  <c r="X108" i="18"/>
  <c r="X77" i="18"/>
  <c r="O94" i="18"/>
  <c r="O155" i="18"/>
  <c r="O101" i="18"/>
  <c r="O40" i="18"/>
  <c r="O73" i="18"/>
  <c r="O128" i="18"/>
  <c r="O187" i="18"/>
  <c r="O64" i="18"/>
  <c r="O80" i="18"/>
  <c r="O78" i="18"/>
  <c r="O82" i="18"/>
  <c r="O98" i="18"/>
  <c r="O30" i="18"/>
  <c r="O84" i="18"/>
  <c r="O66" i="18"/>
  <c r="O13" i="21"/>
  <c r="O178" i="18"/>
  <c r="O71" i="18"/>
  <c r="O57" i="18"/>
  <c r="O143" i="18"/>
  <c r="O148" i="18"/>
  <c r="O105" i="18"/>
  <c r="H39" i="18"/>
  <c r="H83" i="18"/>
  <c r="H107" i="18"/>
  <c r="H70" i="18"/>
  <c r="H29" i="18"/>
  <c r="H153" i="18"/>
  <c r="H148" i="18"/>
  <c r="H81" i="18"/>
  <c r="H79" i="18"/>
  <c r="H106" i="18"/>
  <c r="H85" i="18"/>
  <c r="H96" i="18"/>
  <c r="H63" i="18"/>
  <c r="H116" i="18"/>
  <c r="H92" i="18"/>
  <c r="H56" i="18"/>
  <c r="H159" i="18"/>
  <c r="H77" i="18"/>
  <c r="H99" i="18"/>
  <c r="H127" i="18"/>
  <c r="H88" i="18"/>
  <c r="H72" i="18"/>
  <c r="W20" i="18"/>
  <c r="W81" i="18"/>
  <c r="W110" i="18"/>
  <c r="W39" i="18"/>
  <c r="W56" i="18"/>
  <c r="W49" i="18"/>
  <c r="W86" i="18"/>
  <c r="W79" i="18"/>
  <c r="W72" i="18"/>
  <c r="W161" i="18"/>
  <c r="W150" i="18"/>
  <c r="W31" i="18"/>
  <c r="W97" i="18"/>
  <c r="W109" i="18"/>
  <c r="W89" i="18"/>
  <c r="W74" i="18"/>
  <c r="W128" i="18"/>
  <c r="W65" i="18"/>
  <c r="W63" i="18"/>
  <c r="W83" i="18"/>
  <c r="W108" i="18"/>
  <c r="W129" i="18"/>
  <c r="Y18" i="18"/>
  <c r="Y89" i="18"/>
  <c r="Y96" i="18"/>
  <c r="Y81" i="18"/>
  <c r="Y92" i="18"/>
  <c r="Y85" i="18"/>
  <c r="Y72" i="18"/>
  <c r="Y54" i="18"/>
  <c r="Y158" i="18"/>
  <c r="Y113" i="18"/>
  <c r="Y150" i="18"/>
  <c r="Y63" i="18"/>
  <c r="Y99" i="18"/>
  <c r="Y79" i="18"/>
  <c r="Y103" i="18"/>
  <c r="Y83" i="18"/>
  <c r="Y104" i="18"/>
  <c r="Y108" i="18"/>
  <c r="Y77" i="18"/>
  <c r="Y70" i="18"/>
  <c r="Y61" i="18"/>
  <c r="Y111" i="18"/>
  <c r="Q78" i="18"/>
  <c r="Q86" i="18"/>
  <c r="Q69" i="18"/>
  <c r="Q128" i="18"/>
  <c r="Q73" i="18"/>
  <c r="Q84" i="18"/>
  <c r="Q28" i="18"/>
  <c r="Q162" i="18"/>
  <c r="Q105" i="18"/>
  <c r="Q98" i="18"/>
  <c r="Q82" i="18"/>
  <c r="Q97" i="18"/>
  <c r="Q166" i="18"/>
  <c r="Q55" i="18"/>
  <c r="Q26" i="21"/>
  <c r="Q51" i="18"/>
  <c r="Q71" i="18"/>
  <c r="Q80" i="18"/>
  <c r="Q131" i="18"/>
  <c r="Q62" i="18"/>
  <c r="Q76" i="18"/>
  <c r="Q87" i="18"/>
  <c r="R86" i="18"/>
  <c r="R53" i="18"/>
  <c r="R84" i="18"/>
  <c r="R36" i="18"/>
  <c r="R105" i="18"/>
  <c r="R60" i="18"/>
  <c r="R87" i="18"/>
  <c r="R155" i="18"/>
  <c r="R64" i="18"/>
  <c r="R80" i="18"/>
  <c r="R166" i="18"/>
  <c r="R69" i="18"/>
  <c r="R76" i="18"/>
  <c r="R127" i="18"/>
  <c r="R71" i="18"/>
  <c r="R18" i="21"/>
  <c r="R62" i="18"/>
  <c r="R97" i="18"/>
  <c r="R78" i="18"/>
  <c r="R158" i="18"/>
  <c r="R82" i="18"/>
  <c r="R94" i="18"/>
  <c r="AA99" i="18"/>
  <c r="AA113" i="18"/>
  <c r="AA85" i="18"/>
  <c r="AA103" i="18"/>
  <c r="AA111" i="18"/>
  <c r="AA63" i="18"/>
  <c r="AA61" i="18"/>
  <c r="AA143" i="18"/>
  <c r="AA81" i="18"/>
  <c r="AA35" i="18"/>
  <c r="AA171" i="18"/>
  <c r="AA75" i="18"/>
  <c r="AA170" i="18"/>
  <c r="AA79" i="18"/>
  <c r="AA59" i="18"/>
  <c r="AA77" i="18"/>
  <c r="AA96" i="18"/>
  <c r="AA83" i="18"/>
  <c r="AA70" i="18"/>
  <c r="AA109" i="18"/>
  <c r="AA52" i="18"/>
  <c r="AA189" i="18"/>
  <c r="J83" i="18"/>
  <c r="J107" i="18"/>
  <c r="J54" i="18"/>
  <c r="J70" i="18"/>
  <c r="J146" i="18"/>
  <c r="J77" i="18"/>
  <c r="J156" i="18"/>
  <c r="J151" i="18"/>
  <c r="J61" i="18"/>
  <c r="J79" i="18"/>
  <c r="J92" i="18"/>
  <c r="J91" i="18"/>
  <c r="J26" i="18"/>
  <c r="J126" i="18"/>
  <c r="J106" i="18"/>
  <c r="J72" i="18"/>
  <c r="J81" i="18"/>
  <c r="J103" i="18"/>
  <c r="J99" i="18"/>
  <c r="J88" i="18"/>
  <c r="J49" i="18"/>
  <c r="J85" i="18"/>
  <c r="I103" i="18"/>
  <c r="I96" i="18"/>
  <c r="I106" i="18"/>
  <c r="I81" i="18"/>
  <c r="I83" i="18"/>
  <c r="I107" i="18"/>
  <c r="I74" i="18"/>
  <c r="I126" i="18"/>
  <c r="I58" i="18"/>
  <c r="I54" i="18"/>
  <c r="I70" i="18"/>
  <c r="I72" i="18"/>
  <c r="I79" i="18"/>
  <c r="I99" i="18"/>
  <c r="I156" i="18"/>
  <c r="I77" i="18"/>
  <c r="I92" i="18"/>
  <c r="I65" i="18"/>
  <c r="I61" i="18"/>
  <c r="I85" i="18"/>
  <c r="I63" i="18"/>
  <c r="I88" i="18"/>
  <c r="S74" i="18"/>
  <c r="S82" i="18"/>
  <c r="S76" i="18"/>
  <c r="S36" i="18"/>
  <c r="S158" i="18"/>
  <c r="S148" i="18"/>
  <c r="S64" i="18"/>
  <c r="S53" i="18"/>
  <c r="S104" i="18"/>
  <c r="S78" i="18"/>
  <c r="S86" i="18"/>
  <c r="S179" i="18"/>
  <c r="S105" i="18"/>
  <c r="S25" i="18"/>
  <c r="S69" i="18"/>
  <c r="S84" i="18"/>
  <c r="S43" i="18"/>
  <c r="S94" i="18"/>
  <c r="S101" i="18"/>
  <c r="S60" i="18"/>
  <c r="S71" i="18"/>
  <c r="S97" i="18"/>
  <c r="G49" i="18"/>
  <c r="G146" i="18"/>
  <c r="G20" i="18"/>
  <c r="G79" i="18"/>
  <c r="G92" i="18"/>
  <c r="G133" i="18"/>
  <c r="G72" i="18"/>
  <c r="G31" i="18"/>
  <c r="G83" i="18"/>
  <c r="G113" i="18"/>
  <c r="G108" i="18"/>
  <c r="G65" i="18"/>
  <c r="G74" i="18"/>
  <c r="G103" i="18"/>
  <c r="G89" i="18"/>
  <c r="G60" i="18"/>
  <c r="G56" i="18"/>
  <c r="G39" i="18"/>
  <c r="G130" i="18"/>
  <c r="G107" i="18"/>
  <c r="G63" i="18"/>
  <c r="G81" i="18"/>
  <c r="L77" i="18"/>
  <c r="L127" i="18"/>
  <c r="L59" i="18"/>
  <c r="L148" i="18"/>
  <c r="L130" i="18"/>
  <c r="L35" i="18"/>
  <c r="L24" i="18"/>
  <c r="L92" i="18"/>
  <c r="L162" i="18"/>
  <c r="L116" i="18"/>
  <c r="L35" i="21"/>
  <c r="L159" i="18"/>
  <c r="L75" i="18"/>
  <c r="L88" i="18"/>
  <c r="L102" i="18"/>
  <c r="L42" i="18"/>
  <c r="L85" i="18"/>
  <c r="L52" i="18"/>
  <c r="L87" i="18"/>
  <c r="L70" i="18"/>
  <c r="L63" i="18"/>
  <c r="L106" i="18"/>
  <c r="E23" i="18"/>
  <c r="E89" i="18"/>
  <c r="E33" i="18"/>
  <c r="E96" i="18"/>
  <c r="E130" i="18"/>
  <c r="E51" i="18"/>
  <c r="E104" i="18"/>
  <c r="E74" i="18"/>
  <c r="E65" i="18"/>
  <c r="E126" i="18"/>
  <c r="E133" i="18"/>
  <c r="E41" i="18"/>
  <c r="E86" i="18"/>
  <c r="E107" i="18"/>
  <c r="E58" i="18"/>
  <c r="E112" i="18"/>
  <c r="E81" i="18"/>
  <c r="E69" i="18"/>
  <c r="E76" i="18"/>
  <c r="E108" i="18"/>
  <c r="E111" i="18"/>
  <c r="E103" i="18"/>
  <c r="N40" i="18"/>
  <c r="N75" i="18"/>
  <c r="N50" i="18"/>
  <c r="N73" i="18"/>
  <c r="N22" i="18"/>
  <c r="N64" i="18"/>
  <c r="N94" i="18"/>
  <c r="N32" i="18"/>
  <c r="N102" i="18"/>
  <c r="N57" i="18"/>
  <c r="N61" i="18"/>
  <c r="N167" i="18"/>
  <c r="N91" i="18"/>
  <c r="N127" i="18"/>
  <c r="N77" i="18"/>
  <c r="N87" i="18"/>
  <c r="N131" i="18"/>
  <c r="N80" i="18"/>
  <c r="N66" i="18"/>
  <c r="N106" i="18"/>
  <c r="N98" i="18"/>
  <c r="N159" i="18"/>
  <c r="F116" i="18"/>
  <c r="F127" i="18"/>
  <c r="F60" i="18"/>
  <c r="F163" i="18"/>
  <c r="F114" i="18"/>
  <c r="F74" i="18"/>
  <c r="F133" i="18"/>
  <c r="F76" i="18"/>
  <c r="F92" i="18"/>
  <c r="F41" i="18"/>
  <c r="F153" i="18"/>
  <c r="F58" i="18"/>
  <c r="F96" i="18"/>
  <c r="F103" i="18"/>
  <c r="F69" i="18"/>
  <c r="F146" i="18"/>
  <c r="F210" i="18"/>
  <c r="F49" i="18"/>
  <c r="F31" i="18"/>
  <c r="F108" i="18"/>
  <c r="F72" i="18"/>
  <c r="F65" i="18"/>
  <c r="V56" i="18"/>
  <c r="V110" i="18"/>
  <c r="V60" i="18"/>
  <c r="V76" i="18"/>
  <c r="V74" i="18"/>
  <c r="V49" i="18"/>
  <c r="V131" i="18"/>
  <c r="V170" i="18"/>
  <c r="V143" i="18"/>
  <c r="V101" i="18"/>
  <c r="V69" i="18"/>
  <c r="V72" i="18"/>
  <c r="V181" i="18"/>
  <c r="V112" i="18"/>
  <c r="V53" i="18"/>
  <c r="V31" i="18"/>
  <c r="V150" i="18"/>
  <c r="V86" i="18"/>
  <c r="V41" i="18"/>
  <c r="V58" i="18"/>
  <c r="V62" i="18"/>
  <c r="V65" i="18"/>
  <c r="M77" i="18"/>
  <c r="M73" i="18"/>
  <c r="M54" i="18"/>
  <c r="M88" i="18"/>
  <c r="M70" i="18"/>
  <c r="M66" i="18"/>
  <c r="M148" i="18"/>
  <c r="M61" i="18"/>
  <c r="M99" i="18"/>
  <c r="M91" i="18"/>
  <c r="M107" i="18"/>
  <c r="M153" i="18"/>
  <c r="M87" i="18"/>
  <c r="M59" i="18"/>
  <c r="M130" i="18"/>
  <c r="M50" i="18"/>
  <c r="M102" i="18"/>
  <c r="M146" i="18"/>
  <c r="M75" i="18"/>
  <c r="M42" i="18"/>
  <c r="M32" i="18"/>
  <c r="M85" i="18"/>
  <c r="G46" i="18"/>
  <c r="G115" i="18"/>
  <c r="G48" i="18"/>
  <c r="G137" i="18"/>
  <c r="G83" i="17"/>
  <c r="G68" i="18"/>
  <c r="G91" i="17"/>
  <c r="G87" i="17"/>
  <c r="E6" i="7"/>
  <c r="G20" i="3"/>
  <c r="G82" i="17"/>
  <c r="G45" i="18"/>
  <c r="G47" i="18"/>
  <c r="G90" i="18"/>
  <c r="G117" i="18"/>
  <c r="G141" i="18"/>
  <c r="G67" i="18"/>
  <c r="G95" i="17"/>
  <c r="G37" i="18"/>
  <c r="G38" i="18"/>
  <c r="G88" i="17"/>
  <c r="G100" i="18"/>
  <c r="G136" i="18"/>
  <c r="G135" i="18"/>
  <c r="D71" i="18"/>
  <c r="D33" i="18"/>
  <c r="D162" i="18"/>
  <c r="D76" i="18"/>
  <c r="D171" i="18"/>
  <c r="D89" i="18"/>
  <c r="D112" i="18"/>
  <c r="D114" i="18"/>
  <c r="D51" i="18"/>
  <c r="D84" i="18"/>
  <c r="D156" i="18"/>
  <c r="D129" i="18"/>
  <c r="D116" i="18"/>
  <c r="D104" i="18"/>
  <c r="D55" i="18"/>
  <c r="D43" i="18"/>
  <c r="D60" i="18"/>
  <c r="D86" i="18"/>
  <c r="D110" i="18"/>
  <c r="D62" i="18"/>
  <c r="D78" i="18"/>
  <c r="D69" i="18"/>
  <c r="W90" i="18"/>
  <c r="W138" i="18"/>
  <c r="W38" i="18"/>
  <c r="W117" i="18"/>
  <c r="W141" i="18"/>
  <c r="W100" i="18"/>
  <c r="W37" i="18"/>
  <c r="W93" i="18"/>
  <c r="W67" i="18"/>
  <c r="W83" i="17"/>
  <c r="W95" i="17"/>
  <c r="W140" i="18"/>
  <c r="W68" i="18"/>
  <c r="W45" i="18"/>
  <c r="W46" i="18"/>
  <c r="W115" i="18"/>
  <c r="W48" i="18"/>
  <c r="W47" i="18"/>
  <c r="W87" i="17"/>
  <c r="W88" i="17"/>
  <c r="W91" i="17"/>
  <c r="W34" i="14"/>
  <c r="Q46" i="18"/>
  <c r="Q68" i="18"/>
  <c r="Q37" i="18"/>
  <c r="Q48" i="18"/>
  <c r="Q68" i="13"/>
  <c r="O6" i="7"/>
  <c r="Q20" i="3"/>
  <c r="Q82" i="17"/>
  <c r="Q67" i="18"/>
  <c r="Q45" i="18"/>
  <c r="Q83" i="17"/>
  <c r="Q95" i="17"/>
  <c r="Q47" i="18"/>
  <c r="Q95" i="18"/>
  <c r="Q134" i="18"/>
  <c r="Q140" i="18"/>
  <c r="Q100" i="18"/>
  <c r="Q38" i="18"/>
  <c r="Q141" i="18"/>
  <c r="Q115" i="18"/>
  <c r="Q18" i="14"/>
  <c r="Q93" i="18"/>
  <c r="Q90" i="18"/>
  <c r="Q91" i="17"/>
  <c r="Y6" i="7"/>
  <c r="AA20" i="3"/>
  <c r="AA82" i="17"/>
  <c r="AA88" i="17"/>
  <c r="AA74" i="13"/>
  <c r="Y19" i="7"/>
  <c r="Y48" i="11"/>
  <c r="Y58" i="10"/>
  <c r="Y18" i="4"/>
  <c r="Y20" i="2"/>
  <c r="AA38" i="18"/>
  <c r="AA48" i="18"/>
  <c r="AA138" i="18"/>
  <c r="AA117" i="18"/>
  <c r="AA90" i="18"/>
  <c r="AA115" i="18"/>
  <c r="AA67" i="18"/>
  <c r="AA45" i="18"/>
  <c r="AA47" i="18"/>
  <c r="AA83" i="17"/>
  <c r="AA93" i="18"/>
  <c r="AA91" i="17"/>
  <c r="AA95" i="18"/>
  <c r="AA196" i="18"/>
  <c r="AA87" i="17"/>
  <c r="AA95" i="17"/>
  <c r="AA134" i="18"/>
  <c r="AA68" i="18"/>
  <c r="AA37" i="18"/>
  <c r="K63" i="18"/>
  <c r="K35" i="18"/>
  <c r="K106" i="18"/>
  <c r="K72" i="18"/>
  <c r="K126" i="18"/>
  <c r="K52" i="18"/>
  <c r="K75" i="18"/>
  <c r="K166" i="18"/>
  <c r="K56" i="18"/>
  <c r="K65" i="18"/>
  <c r="K99" i="18"/>
  <c r="K83" i="18"/>
  <c r="K79" i="18"/>
  <c r="K85" i="18"/>
  <c r="K77" i="18"/>
  <c r="K88" i="18"/>
  <c r="K81" i="18"/>
  <c r="K70" i="18"/>
  <c r="K61" i="18"/>
  <c r="K163" i="18"/>
  <c r="K133" i="18"/>
  <c r="K103" i="18"/>
  <c r="C11" i="20"/>
  <c r="C122" i="18"/>
  <c r="C78" i="18"/>
  <c r="C71" i="18"/>
  <c r="C113" i="18"/>
  <c r="C157" i="18"/>
  <c r="C80" i="18"/>
  <c r="C82" i="18"/>
  <c r="C105" i="18"/>
  <c r="C142" i="18"/>
  <c r="C73" i="18"/>
  <c r="C109" i="18"/>
  <c r="C84" i="18"/>
  <c r="C64" i="18"/>
  <c r="C101" i="18"/>
  <c r="C112" i="18"/>
  <c r="C151" i="18"/>
  <c r="C97" i="18"/>
  <c r="C111" i="18"/>
  <c r="C172" i="18"/>
  <c r="C94" i="18"/>
  <c r="C173" i="18"/>
  <c r="C129" i="18"/>
  <c r="Y135" i="18"/>
  <c r="Y19" i="20"/>
  <c r="Y136" i="18"/>
  <c r="Y48" i="18"/>
  <c r="Y115" i="18"/>
  <c r="Y141" i="18"/>
  <c r="Y87" i="17"/>
  <c r="Y68" i="18"/>
  <c r="Y100" i="18"/>
  <c r="Y91" i="17"/>
  <c r="W6" i="7"/>
  <c r="Y20" i="3"/>
  <c r="Y82" i="17"/>
  <c r="Y38" i="18"/>
  <c r="Y88" i="17"/>
  <c r="Y95" i="18"/>
  <c r="Y134" i="18"/>
  <c r="Y45" i="18"/>
  <c r="Y37" i="18"/>
  <c r="Y47" i="18"/>
  <c r="Y117" i="18"/>
  <c r="Y46" i="18"/>
  <c r="Y83" i="17"/>
  <c r="Y8" i="14"/>
  <c r="O91" i="17"/>
  <c r="O67" i="18"/>
  <c r="O95" i="18"/>
  <c r="O46" i="18"/>
  <c r="O137" i="18"/>
  <c r="O47" i="18"/>
  <c r="O88" i="17"/>
  <c r="O83" i="17"/>
  <c r="O38" i="18"/>
  <c r="O100" i="18"/>
  <c r="M6" i="7"/>
  <c r="O20" i="3"/>
  <c r="O82" i="17"/>
  <c r="O90" i="18"/>
  <c r="O48" i="18"/>
  <c r="O45" i="18"/>
  <c r="O115" i="18"/>
  <c r="O117" i="18"/>
  <c r="O37" i="18"/>
  <c r="O134" i="18"/>
  <c r="O93" i="18"/>
  <c r="O95" i="17"/>
  <c r="O87" i="17"/>
  <c r="O68" i="18"/>
  <c r="N47" i="18"/>
  <c r="N67" i="18"/>
  <c r="N95" i="18"/>
  <c r="N87" i="17"/>
  <c r="N46" i="18"/>
  <c r="L6" i="7"/>
  <c r="N20" i="3"/>
  <c r="N82" i="17"/>
  <c r="N68" i="18"/>
  <c r="N37" i="18"/>
  <c r="N38" i="18"/>
  <c r="N134" i="18"/>
  <c r="N136" i="18"/>
  <c r="N206" i="18"/>
  <c r="N93" i="18"/>
  <c r="N48" i="18"/>
  <c r="N95" i="17"/>
  <c r="N35" i="14"/>
  <c r="N135" i="18"/>
  <c r="N88" i="17"/>
  <c r="N45" i="18"/>
  <c r="N90" i="18"/>
  <c r="N100" i="18"/>
  <c r="N83" i="17"/>
  <c r="H46" i="18"/>
  <c r="H100" i="18"/>
  <c r="H95" i="17"/>
  <c r="H135" i="18"/>
  <c r="H16" i="20"/>
  <c r="H90" i="18"/>
  <c r="H91" i="17"/>
  <c r="H138" i="18"/>
  <c r="H134" i="18"/>
  <c r="F6" i="7"/>
  <c r="H20" i="3"/>
  <c r="H82" i="17"/>
  <c r="H37" i="18"/>
  <c r="H48" i="18"/>
  <c r="H67" i="18"/>
  <c r="H68" i="18"/>
  <c r="H45" i="18"/>
  <c r="H93" i="18"/>
  <c r="H115" i="18"/>
  <c r="H38" i="18"/>
  <c r="H47" i="18"/>
  <c r="H87" i="17"/>
  <c r="H88" i="17"/>
  <c r="H83" i="17"/>
  <c r="F91" i="17"/>
  <c r="F90" i="18"/>
  <c r="D6" i="7"/>
  <c r="F20" i="3"/>
  <c r="F82" i="17"/>
  <c r="F117" i="18"/>
  <c r="F138" i="18"/>
  <c r="F135" i="18"/>
  <c r="F88" i="17"/>
  <c r="F83" i="17"/>
  <c r="F24" i="14"/>
  <c r="F95" i="18"/>
  <c r="F38" i="18"/>
  <c r="F95" i="17"/>
  <c r="F68" i="18"/>
  <c r="F115" i="18"/>
  <c r="F46" i="18"/>
  <c r="F67" i="18"/>
  <c r="F47" i="18"/>
  <c r="F45" i="18"/>
  <c r="F100" i="18"/>
  <c r="F93" i="18"/>
  <c r="F48" i="18"/>
  <c r="F37" i="18"/>
  <c r="J90" i="18"/>
  <c r="J95" i="17"/>
  <c r="J134" i="18"/>
  <c r="J95" i="18"/>
  <c r="J91" i="17"/>
  <c r="J37" i="18"/>
  <c r="J45" i="18"/>
  <c r="J115" i="18"/>
  <c r="J93" i="18"/>
  <c r="J140" i="18"/>
  <c r="J67" i="18"/>
  <c r="J68" i="18"/>
  <c r="H6" i="7"/>
  <c r="J20" i="3"/>
  <c r="J82" i="17"/>
  <c r="J47" i="18"/>
  <c r="J135" i="18"/>
  <c r="J87" i="17"/>
  <c r="J141" i="18"/>
  <c r="J83" i="17"/>
  <c r="J38" i="18"/>
  <c r="J88" i="17"/>
  <c r="J48" i="18"/>
  <c r="J46" i="18"/>
  <c r="T38" i="18"/>
  <c r="T136" i="18"/>
  <c r="T68" i="18"/>
  <c r="T115" i="18"/>
  <c r="T45" i="18"/>
  <c r="T37" i="18"/>
  <c r="T95" i="18"/>
  <c r="T100" i="18"/>
  <c r="T139" i="18"/>
  <c r="T73" i="13"/>
  <c r="T117" i="18"/>
  <c r="T88" i="17"/>
  <c r="T95" i="17"/>
  <c r="T48" i="18"/>
  <c r="R6" i="7"/>
  <c r="T20" i="3"/>
  <c r="T82" i="17"/>
  <c r="T46" i="18"/>
  <c r="T135" i="18"/>
  <c r="T91" i="17"/>
  <c r="T67" i="18"/>
  <c r="T47" i="18"/>
  <c r="T83" i="17"/>
  <c r="T93" i="18"/>
  <c r="X91" i="17"/>
  <c r="X45" i="18"/>
  <c r="X139" i="18"/>
  <c r="X38" i="18"/>
  <c r="X67" i="18"/>
  <c r="X37" i="18"/>
  <c r="X115" i="18"/>
  <c r="X209" i="18"/>
  <c r="X69" i="13"/>
  <c r="X68" i="18"/>
  <c r="X88" i="17"/>
  <c r="X46" i="18"/>
  <c r="X93" i="18"/>
  <c r="X90" i="18"/>
  <c r="X100" i="18"/>
  <c r="X95" i="17"/>
  <c r="X47" i="18"/>
  <c r="X138" i="18"/>
  <c r="V6" i="7"/>
  <c r="X20" i="3"/>
  <c r="X82" i="17"/>
  <c r="X87" i="17"/>
  <c r="X48" i="18"/>
  <c r="X19" i="20"/>
  <c r="U100" i="18"/>
  <c r="U117" i="18"/>
  <c r="U68" i="18"/>
  <c r="U93" i="18"/>
  <c r="U46" i="18"/>
  <c r="U48" i="18"/>
  <c r="U115" i="18"/>
  <c r="U45" i="18"/>
  <c r="U91" i="17"/>
  <c r="U196" i="18"/>
  <c r="U67" i="18"/>
  <c r="U38" i="18"/>
  <c r="U134" i="18"/>
  <c r="U88" i="17"/>
  <c r="U95" i="18"/>
  <c r="U83" i="17"/>
  <c r="U87" i="17"/>
  <c r="U47" i="18"/>
  <c r="S6" i="7"/>
  <c r="U20" i="3"/>
  <c r="U82" i="17"/>
  <c r="U37" i="18"/>
  <c r="U90" i="18"/>
  <c r="U95" i="17"/>
  <c r="D37" i="18"/>
  <c r="D67" i="18"/>
  <c r="D88" i="17"/>
  <c r="D48" i="18"/>
  <c r="D91" i="17"/>
  <c r="D47" i="18"/>
  <c r="D141" i="18"/>
  <c r="D136" i="18"/>
  <c r="D87" i="17"/>
  <c r="D45" i="18"/>
  <c r="D95" i="18"/>
  <c r="D95" i="17"/>
  <c r="D138" i="18"/>
  <c r="D73" i="13"/>
  <c r="D93" i="18"/>
  <c r="D115" i="18"/>
  <c r="D117" i="18"/>
  <c r="D46" i="18"/>
  <c r="D100" i="18"/>
  <c r="D38" i="18"/>
  <c r="D83" i="17"/>
  <c r="D68" i="18"/>
  <c r="M91" i="17"/>
  <c r="M88" i="17"/>
  <c r="M87" i="17"/>
  <c r="M48" i="18"/>
  <c r="M45" i="18"/>
  <c r="M95" i="18"/>
  <c r="M67" i="18"/>
  <c r="M95" i="17"/>
  <c r="M115" i="18"/>
  <c r="M68" i="18"/>
  <c r="M37" i="18"/>
  <c r="M140" i="18"/>
  <c r="M83" i="17"/>
  <c r="M134" i="18"/>
  <c r="M117" i="18"/>
  <c r="M38" i="18"/>
  <c r="M137" i="18"/>
  <c r="M47" i="18"/>
  <c r="M100" i="18"/>
  <c r="M93" i="18"/>
  <c r="M46" i="18"/>
  <c r="K6" i="7"/>
  <c r="M20" i="3"/>
  <c r="M82" i="17"/>
  <c r="K37" i="18"/>
  <c r="K45" i="18"/>
  <c r="K65" i="13"/>
  <c r="K95" i="18"/>
  <c r="K87" i="17"/>
  <c r="K115" i="18"/>
  <c r="K91" i="17"/>
  <c r="K100" i="18"/>
  <c r="K46" i="18"/>
  <c r="K83" i="17"/>
  <c r="K38" i="18"/>
  <c r="K74" i="13"/>
  <c r="I19" i="7"/>
  <c r="I48" i="11"/>
  <c r="I58" i="10"/>
  <c r="I18" i="4"/>
  <c r="I20" i="2"/>
  <c r="K67" i="18"/>
  <c r="K136" i="18"/>
  <c r="K117" i="18"/>
  <c r="K140" i="18"/>
  <c r="K90" i="18"/>
  <c r="K48" i="18"/>
  <c r="K68" i="18"/>
  <c r="K95" i="17"/>
  <c r="K93" i="18"/>
  <c r="K47" i="18"/>
  <c r="N36" i="21"/>
  <c r="N130" i="18"/>
  <c r="N179" i="18"/>
  <c r="N79" i="18"/>
  <c r="N114" i="18"/>
  <c r="N89" i="18"/>
  <c r="N148" i="18"/>
  <c r="N99" i="18"/>
  <c r="N70" i="18"/>
  <c r="N126" i="18"/>
  <c r="N85" i="18"/>
  <c r="N177" i="18"/>
  <c r="N103" i="18"/>
  <c r="N154" i="18"/>
  <c r="N107" i="18"/>
  <c r="N187" i="18"/>
  <c r="N142" i="18"/>
  <c r="N83" i="18"/>
  <c r="N105" i="18"/>
  <c r="N92" i="18"/>
  <c r="N88" i="18"/>
  <c r="N116" i="18"/>
  <c r="H149" i="18"/>
  <c r="H76" i="18"/>
  <c r="H108" i="18"/>
  <c r="H89" i="18"/>
  <c r="H133" i="18"/>
  <c r="H112" i="18"/>
  <c r="H27" i="21"/>
  <c r="H109" i="18"/>
  <c r="H51" i="18"/>
  <c r="H111" i="18"/>
  <c r="H113" i="18"/>
  <c r="H168" i="18"/>
  <c r="H144" i="18"/>
  <c r="H167" i="18"/>
  <c r="H97" i="18"/>
  <c r="H160" i="18"/>
  <c r="H126" i="18"/>
  <c r="H114" i="18"/>
  <c r="H177" i="18"/>
  <c r="H110" i="18"/>
  <c r="H104" i="18"/>
  <c r="H74" i="18"/>
  <c r="Z65" i="18"/>
  <c r="Z6" i="20"/>
  <c r="Z118" i="18"/>
  <c r="Z157" i="18"/>
  <c r="Z97" i="18"/>
  <c r="Z171" i="18"/>
  <c r="Z181" i="18"/>
  <c r="Z79" i="18"/>
  <c r="Z49" i="18"/>
  <c r="Z180" i="18"/>
  <c r="Z163" i="18"/>
  <c r="Z89" i="18"/>
  <c r="Z74" i="18"/>
  <c r="Z182" i="18"/>
  <c r="Z174" i="18"/>
  <c r="Z81" i="18"/>
  <c r="Z72" i="18"/>
  <c r="Z86" i="18"/>
  <c r="Z109" i="18"/>
  <c r="Z189" i="18"/>
  <c r="Z146" i="18"/>
  <c r="Z173" i="18"/>
  <c r="Z104" i="18"/>
  <c r="L139" i="18"/>
  <c r="L138" i="18"/>
  <c r="L48" i="18"/>
  <c r="L46" i="18"/>
  <c r="J6" i="7"/>
  <c r="L20" i="3"/>
  <c r="L82" i="17"/>
  <c r="L95" i="17"/>
  <c r="L93" i="18"/>
  <c r="L67" i="18"/>
  <c r="L90" i="18"/>
  <c r="L87" i="17"/>
  <c r="L68" i="18"/>
  <c r="L88" i="17"/>
  <c r="L45" i="18"/>
  <c r="L100" i="18"/>
  <c r="L140" i="18"/>
  <c r="L95" i="18"/>
  <c r="L91" i="17"/>
  <c r="L47" i="18"/>
  <c r="L83" i="17"/>
  <c r="L37" i="18"/>
  <c r="L38" i="18"/>
  <c r="L137" i="18"/>
  <c r="E110" i="18"/>
  <c r="E172" i="18"/>
  <c r="E78" i="18"/>
  <c r="E154" i="18"/>
  <c r="E149" i="18"/>
  <c r="E171" i="18"/>
  <c r="E62" i="18"/>
  <c r="E168" i="18"/>
  <c r="E101" i="18"/>
  <c r="E82" i="18"/>
  <c r="E161" i="18"/>
  <c r="E71" i="18"/>
  <c r="E109" i="18"/>
  <c r="E106" i="18"/>
  <c r="E174" i="18"/>
  <c r="E129" i="18"/>
  <c r="E146" i="18"/>
  <c r="E84" i="18"/>
  <c r="E80" i="18"/>
  <c r="E190" i="18"/>
  <c r="E195" i="18"/>
  <c r="E144" i="18"/>
  <c r="AA56" i="18"/>
  <c r="AA148" i="18"/>
  <c r="AA173" i="18"/>
  <c r="AA86" i="18"/>
  <c r="AA116" i="18"/>
  <c r="AA97" i="18"/>
  <c r="AA153" i="18"/>
  <c r="AA72" i="18"/>
  <c r="AA181" i="18"/>
  <c r="AA89" i="18"/>
  <c r="AA159" i="18"/>
  <c r="AA156" i="18"/>
  <c r="AA131" i="18"/>
  <c r="AA172" i="18"/>
  <c r="AA84" i="18"/>
  <c r="AA65" i="18"/>
  <c r="AA182" i="18"/>
  <c r="AA104" i="18"/>
  <c r="AA157" i="18"/>
  <c r="AA180" i="18"/>
  <c r="AA128" i="18"/>
  <c r="AA146" i="18"/>
  <c r="O75" i="18"/>
  <c r="O112" i="18"/>
  <c r="O116" i="18"/>
  <c r="O52" i="18"/>
  <c r="O26" i="21"/>
  <c r="O85" i="18"/>
  <c r="O91" i="18"/>
  <c r="O99" i="18"/>
  <c r="O166" i="18"/>
  <c r="O159" i="18"/>
  <c r="O102" i="18"/>
  <c r="O144" i="18"/>
  <c r="O186" i="18"/>
  <c r="O96" i="18"/>
  <c r="O77" i="18"/>
  <c r="O162" i="18"/>
  <c r="O151" i="18"/>
  <c r="O145" i="18"/>
  <c r="O107" i="18"/>
  <c r="O167" i="18"/>
  <c r="O130" i="18"/>
  <c r="O59" i="18"/>
  <c r="I113" i="18"/>
  <c r="I102" i="18"/>
  <c r="I108" i="18"/>
  <c r="I176" i="18"/>
  <c r="I6" i="20"/>
  <c r="I118" i="18"/>
  <c r="I152" i="18"/>
  <c r="I199" i="18"/>
  <c r="I160" i="18"/>
  <c r="I23" i="3"/>
  <c r="I19" i="21"/>
  <c r="G23" i="2"/>
  <c r="I111" i="18"/>
  <c r="I149" i="18"/>
  <c r="I191" i="18"/>
  <c r="I168" i="18"/>
  <c r="I184" i="18"/>
  <c r="I128" i="18"/>
  <c r="I104" i="18"/>
  <c r="I186" i="18"/>
  <c r="I146" i="18"/>
  <c r="I86" i="18"/>
  <c r="I89" i="18"/>
  <c r="I175" i="18"/>
  <c r="I164" i="18"/>
  <c r="S93" i="18"/>
  <c r="S47" i="18"/>
  <c r="S87" i="17"/>
  <c r="Q6" i="7"/>
  <c r="S20" i="3"/>
  <c r="S82" i="17"/>
  <c r="S91" i="17"/>
  <c r="S90" i="18"/>
  <c r="S95" i="18"/>
  <c r="S139" i="18"/>
  <c r="S138" i="18"/>
  <c r="S45" i="18"/>
  <c r="S95" i="17"/>
  <c r="S38" i="18"/>
  <c r="S21" i="20"/>
  <c r="S37" i="18"/>
  <c r="S88" i="17"/>
  <c r="S67" i="18"/>
  <c r="S46" i="18"/>
  <c r="S48" i="18"/>
  <c r="S68" i="18"/>
  <c r="S83" i="17"/>
  <c r="S136" i="18"/>
  <c r="S117" i="18"/>
  <c r="I47" i="18"/>
  <c r="I90" i="18"/>
  <c r="I8" i="14"/>
  <c r="I95" i="18"/>
  <c r="I67" i="18"/>
  <c r="I91" i="17"/>
  <c r="I117" i="18"/>
  <c r="I16" i="20"/>
  <c r="I135" i="18"/>
  <c r="I45" i="18"/>
  <c r="I88" i="17"/>
  <c r="I37" i="18"/>
  <c r="I115" i="18"/>
  <c r="I46" i="18"/>
  <c r="I17" i="14"/>
  <c r="I68" i="18"/>
  <c r="I100" i="18"/>
  <c r="I48" i="18"/>
  <c r="I87" i="17"/>
  <c r="I38" i="18"/>
  <c r="G6" i="7"/>
  <c r="I20" i="3"/>
  <c r="I82" i="17"/>
  <c r="I140" i="18"/>
  <c r="T82" i="18"/>
  <c r="T87" i="18"/>
  <c r="T102" i="18"/>
  <c r="T80" i="18"/>
  <c r="T71" i="18"/>
  <c r="T146" i="18"/>
  <c r="T64" i="18"/>
  <c r="T51" i="21"/>
  <c r="T162" i="18"/>
  <c r="T187" i="18"/>
  <c r="T158" i="18"/>
  <c r="T48" i="21"/>
  <c r="T99" i="18"/>
  <c r="T127" i="18"/>
  <c r="T186" i="18"/>
  <c r="T131" i="18"/>
  <c r="T83" i="18"/>
  <c r="T55" i="18"/>
  <c r="T11" i="20"/>
  <c r="T122" i="18"/>
  <c r="T98" i="18"/>
  <c r="T19" i="22"/>
  <c r="T147" i="18"/>
  <c r="Q110" i="18"/>
  <c r="Q148" i="18"/>
  <c r="Q66" i="18"/>
  <c r="Q159" i="18"/>
  <c r="Q127" i="18"/>
  <c r="Q142" i="18"/>
  <c r="Q94" i="18"/>
  <c r="Q167" i="18"/>
  <c r="Q147" i="18"/>
  <c r="Q163" i="18"/>
  <c r="Q132" i="18"/>
  <c r="Q50" i="18"/>
  <c r="Q151" i="18"/>
  <c r="Q106" i="18"/>
  <c r="Q36" i="21"/>
  <c r="Q158" i="18"/>
  <c r="Q75" i="18"/>
  <c r="Q156" i="18"/>
  <c r="Q178" i="18"/>
  <c r="Q91" i="18"/>
  <c r="Q14" i="22"/>
  <c r="Q191" i="18"/>
  <c r="D94" i="18"/>
  <c r="D172" i="18"/>
  <c r="D165" i="18"/>
  <c r="D80" i="18"/>
  <c r="D105" i="18"/>
  <c r="D82" i="18"/>
  <c r="D83" i="18"/>
  <c r="D173" i="18"/>
  <c r="D14" i="21"/>
  <c r="D169" i="18"/>
  <c r="D154" i="18"/>
  <c r="D174" i="18"/>
  <c r="D133" i="18"/>
  <c r="D101" i="18"/>
  <c r="D157" i="18"/>
  <c r="D164" i="18"/>
  <c r="D64" i="18"/>
  <c r="D183" i="18"/>
  <c r="D153" i="18"/>
  <c r="D170" i="18"/>
  <c r="D99" i="18"/>
  <c r="D97" i="18"/>
  <c r="U187" i="18"/>
  <c r="U84" i="18"/>
  <c r="U178" i="18"/>
  <c r="U71" i="18"/>
  <c r="U105" i="18"/>
  <c r="U78" i="18"/>
  <c r="U181" i="18"/>
  <c r="U62" i="18"/>
  <c r="U101" i="18"/>
  <c r="U180" i="18"/>
  <c r="U82" i="18"/>
  <c r="U158" i="18"/>
  <c r="U127" i="18"/>
  <c r="U161" i="18"/>
  <c r="U94" i="18"/>
  <c r="U133" i="18"/>
  <c r="U159" i="18"/>
  <c r="R139" i="18"/>
  <c r="R95" i="18"/>
  <c r="R95" i="17"/>
  <c r="R135" i="18"/>
  <c r="R67" i="18"/>
  <c r="R16" i="20"/>
  <c r="R38" i="18"/>
  <c r="R90" i="18"/>
  <c r="R117" i="18"/>
  <c r="R68" i="18"/>
  <c r="R87" i="17"/>
  <c r="R100" i="18"/>
  <c r="R47" i="18"/>
  <c r="R88" i="17"/>
  <c r="P6" i="7"/>
  <c r="R20" i="3"/>
  <c r="R82" i="17"/>
  <c r="R46" i="18"/>
  <c r="R37" i="18"/>
  <c r="R48" i="18"/>
  <c r="R45" i="18"/>
  <c r="R83" i="17"/>
  <c r="R91" i="17"/>
  <c r="R137" i="18"/>
  <c r="U87" i="18"/>
  <c r="U80" i="18"/>
  <c r="U106" i="18"/>
  <c r="U69" i="18"/>
  <c r="U179" i="18"/>
  <c r="P37" i="21"/>
  <c r="P133" i="18"/>
  <c r="P103" i="18"/>
  <c r="P91" i="18"/>
  <c r="P87" i="18"/>
  <c r="P106" i="18"/>
  <c r="P155" i="18"/>
  <c r="P59" i="18"/>
  <c r="P107" i="18"/>
  <c r="P34" i="21"/>
  <c r="P130" i="18"/>
  <c r="P151" i="18"/>
  <c r="P102" i="18"/>
  <c r="P178" i="18"/>
  <c r="P75" i="18"/>
  <c r="P14" i="20"/>
  <c r="P125" i="18"/>
  <c r="P99" i="18"/>
  <c r="P159" i="18"/>
  <c r="P167" i="18"/>
  <c r="P210" i="18"/>
  <c r="P88" i="18"/>
  <c r="P191" i="18"/>
  <c r="G210" i="18"/>
  <c r="G69" i="18"/>
  <c r="G170" i="18"/>
  <c r="G129" i="18"/>
  <c r="G160" i="18"/>
  <c r="G161" i="18"/>
  <c r="G132" i="18"/>
  <c r="G109" i="18"/>
  <c r="G154" i="18"/>
  <c r="G104" i="18"/>
  <c r="G193" i="18"/>
  <c r="G150" i="18"/>
  <c r="G86" i="18"/>
  <c r="G153" i="18"/>
  <c r="G143" i="18"/>
  <c r="G157" i="18"/>
  <c r="G97" i="18"/>
  <c r="G76" i="18"/>
  <c r="G110" i="18"/>
  <c r="G185" i="18"/>
  <c r="G88" i="18"/>
  <c r="G156" i="18"/>
  <c r="W157" i="18"/>
  <c r="W101" i="18"/>
  <c r="W84" i="18"/>
  <c r="W88" i="18"/>
  <c r="W104" i="18"/>
  <c r="W105" i="18"/>
  <c r="W156" i="18"/>
  <c r="W14" i="22"/>
  <c r="W127" i="18"/>
  <c r="W94" i="18"/>
  <c r="W151" i="18"/>
  <c r="W131" i="18"/>
  <c r="W69" i="18"/>
  <c r="W76" i="18"/>
  <c r="W188" i="18"/>
  <c r="W158" i="18"/>
  <c r="W192" i="18"/>
  <c r="W179" i="18"/>
  <c r="W146" i="18"/>
  <c r="W60" i="18"/>
  <c r="W153" i="18"/>
  <c r="W172" i="18"/>
  <c r="Z141" i="18"/>
  <c r="Z93" i="18"/>
  <c r="Z90" i="18"/>
  <c r="Z46" i="18"/>
  <c r="X6" i="7"/>
  <c r="Z20" i="3"/>
  <c r="Z82" i="17"/>
  <c r="Z87" i="17"/>
  <c r="Z68" i="18"/>
  <c r="Z88" i="17"/>
  <c r="Z95" i="18"/>
  <c r="Z45" i="18"/>
  <c r="Z48" i="18"/>
  <c r="Z16" i="20"/>
  <c r="Z95" i="17"/>
  <c r="Z83" i="17"/>
  <c r="Z91" i="17"/>
  <c r="Z67" i="18"/>
  <c r="Z38" i="18"/>
  <c r="Z47" i="18"/>
  <c r="Z135" i="18"/>
  <c r="Z37" i="18"/>
  <c r="Z115" i="18"/>
  <c r="Z137" i="18"/>
  <c r="M163" i="18"/>
  <c r="M92" i="18"/>
  <c r="M114" i="18"/>
  <c r="M103" i="18"/>
  <c r="M98" i="18"/>
  <c r="M63" i="18"/>
  <c r="M81" i="18"/>
  <c r="M19" i="22"/>
  <c r="M79" i="18"/>
  <c r="M126" i="18"/>
  <c r="M167" i="18"/>
  <c r="M168" i="18"/>
  <c r="M155" i="18"/>
  <c r="M156" i="18"/>
  <c r="M195" i="18"/>
  <c r="M82" i="18"/>
  <c r="M169" i="18"/>
  <c r="M160" i="18"/>
  <c r="M178" i="18"/>
  <c r="M152" i="18"/>
  <c r="M116" i="18"/>
  <c r="M83" i="18"/>
  <c r="F160" i="18"/>
  <c r="F81" i="18"/>
  <c r="F149" i="18"/>
  <c r="F86" i="18"/>
  <c r="F17" i="22"/>
  <c r="F110" i="18"/>
  <c r="F62" i="18"/>
  <c r="F207" i="18"/>
  <c r="F97" i="18"/>
  <c r="F171" i="18"/>
  <c r="F172" i="18"/>
  <c r="F78" i="18"/>
  <c r="F84" i="18"/>
  <c r="F112" i="18"/>
  <c r="F184" i="18"/>
  <c r="F53" i="18"/>
  <c r="F144" i="18"/>
  <c r="F113" i="18"/>
  <c r="F101" i="18"/>
  <c r="F161" i="18"/>
  <c r="F129" i="18"/>
  <c r="F193" i="18"/>
  <c r="S165" i="18"/>
  <c r="S154" i="18"/>
  <c r="S91" i="18"/>
  <c r="S102" i="18"/>
  <c r="S73" i="18"/>
  <c r="S87" i="18"/>
  <c r="S150" i="18"/>
  <c r="S151" i="18"/>
  <c r="S142" i="18"/>
  <c r="S129" i="18"/>
  <c r="S106" i="18"/>
  <c r="S144" i="18"/>
  <c r="S108" i="18"/>
  <c r="S180" i="18"/>
  <c r="S80" i="18"/>
  <c r="S145" i="18"/>
  <c r="S188" i="18"/>
  <c r="S98" i="18"/>
  <c r="S155" i="18"/>
  <c r="S92" i="18"/>
  <c r="S166" i="18"/>
  <c r="S162" i="18"/>
  <c r="L79" i="18"/>
  <c r="L91" i="18"/>
  <c r="Y58" i="18"/>
  <c r="L96" i="18"/>
  <c r="L81" i="18"/>
  <c r="Y192" i="18"/>
  <c r="L107" i="18"/>
  <c r="Y102" i="18"/>
  <c r="Y97" i="18"/>
  <c r="L83" i="18"/>
  <c r="L160" i="18"/>
  <c r="Y160" i="18"/>
  <c r="Y143" i="18"/>
  <c r="L132" i="18"/>
  <c r="Y164" i="18"/>
  <c r="L191" i="18"/>
  <c r="Y161" i="18"/>
  <c r="Y101" i="18"/>
  <c r="L203" i="18"/>
  <c r="L103" i="18"/>
  <c r="L55" i="21"/>
  <c r="Y170" i="18"/>
  <c r="Y198" i="18"/>
  <c r="L8" i="21"/>
  <c r="L7" i="21"/>
  <c r="Y199" i="18"/>
  <c r="Y74" i="18"/>
  <c r="L169" i="18"/>
  <c r="Y49" i="21"/>
  <c r="L143" i="18"/>
  <c r="Y86" i="18"/>
  <c r="L108" i="18"/>
  <c r="Y129" i="18"/>
  <c r="L195" i="18"/>
  <c r="Y149" i="18"/>
  <c r="Y131" i="18"/>
  <c r="L145" i="18"/>
  <c r="Y65" i="18"/>
  <c r="L156" i="18"/>
  <c r="L72" i="18"/>
  <c r="Y189" i="18"/>
  <c r="L163" i="18"/>
  <c r="Y126" i="18"/>
  <c r="Y146" i="18"/>
  <c r="O146" i="18"/>
  <c r="O174" i="18"/>
  <c r="O185" i="18"/>
  <c r="O193" i="18"/>
  <c r="O183" i="18"/>
  <c r="O88" i="18"/>
  <c r="O126" i="18"/>
  <c r="O104" i="18"/>
  <c r="O169" i="18"/>
  <c r="O10" i="21"/>
  <c r="O177" i="18"/>
  <c r="O170" i="18"/>
  <c r="O152" i="18"/>
  <c r="O8" i="21"/>
  <c r="O168" i="18"/>
  <c r="O133" i="18"/>
  <c r="O106" i="18"/>
  <c r="O153" i="18"/>
  <c r="O9" i="21"/>
  <c r="O164" i="18"/>
  <c r="O184" i="18"/>
  <c r="O176" i="18"/>
  <c r="C182" i="18"/>
  <c r="C154" i="18"/>
  <c r="C162" i="18"/>
  <c r="C183" i="18"/>
  <c r="C144" i="18"/>
  <c r="C165" i="18"/>
  <c r="C174" i="18"/>
  <c r="C50" i="21"/>
  <c r="C189" i="18"/>
  <c r="C181" i="18"/>
  <c r="C166" i="18"/>
  <c r="C176" i="18"/>
  <c r="C87" i="18"/>
  <c r="C190" i="18"/>
  <c r="C180" i="18"/>
  <c r="C150" i="18"/>
  <c r="C131" i="18"/>
  <c r="C203" i="18"/>
  <c r="C204" i="18"/>
  <c r="C108" i="18"/>
  <c r="C92" i="18"/>
  <c r="C158" i="18"/>
  <c r="J171" i="18"/>
  <c r="J112" i="18"/>
  <c r="J109" i="18"/>
  <c r="J108" i="18"/>
  <c r="J104" i="18"/>
  <c r="J74" i="18"/>
  <c r="J149" i="18"/>
  <c r="J157" i="18"/>
  <c r="J143" i="18"/>
  <c r="J142" i="18"/>
  <c r="J133" i="18"/>
  <c r="J96" i="18"/>
  <c r="J113" i="18"/>
  <c r="J114" i="18"/>
  <c r="J175" i="18"/>
  <c r="J164" i="18"/>
  <c r="J89" i="18"/>
  <c r="J184" i="18"/>
  <c r="J163" i="18"/>
  <c r="J86" i="18"/>
  <c r="J65" i="18"/>
  <c r="J111" i="18"/>
  <c r="P175" i="18"/>
  <c r="P152" i="18"/>
  <c r="P168" i="18"/>
  <c r="P24" i="22"/>
  <c r="P128" i="18"/>
  <c r="P146" i="18"/>
  <c r="P149" i="18"/>
  <c r="P176" i="18"/>
  <c r="P190" i="18"/>
  <c r="P160" i="18"/>
  <c r="P113" i="18"/>
  <c r="P143" i="18"/>
  <c r="P183" i="18"/>
  <c r="P177" i="18"/>
  <c r="P185" i="18"/>
  <c r="P111" i="18"/>
  <c r="P193" i="18"/>
  <c r="P156" i="18"/>
  <c r="P169" i="18"/>
  <c r="P174" i="18"/>
  <c r="P184" i="18"/>
  <c r="P28" i="21"/>
  <c r="P140" i="18"/>
  <c r="P83" i="17"/>
  <c r="P88" i="17"/>
  <c r="P90" i="18"/>
  <c r="P48" i="18"/>
  <c r="P100" i="18"/>
  <c r="P139" i="18"/>
  <c r="P137" i="18"/>
  <c r="P95" i="17"/>
  <c r="P45" i="18"/>
  <c r="P68" i="18"/>
  <c r="P87" i="17"/>
  <c r="P38" i="18"/>
  <c r="P19" i="20"/>
  <c r="P47" i="18"/>
  <c r="P134" i="18"/>
  <c r="N6" i="7"/>
  <c r="P20" i="3"/>
  <c r="P82" i="17"/>
  <c r="P91" i="17"/>
  <c r="P93" i="18"/>
  <c r="P37" i="18"/>
  <c r="P46" i="18"/>
  <c r="P67" i="18"/>
  <c r="R167" i="18"/>
  <c r="R57" i="18"/>
  <c r="R106" i="18"/>
  <c r="R91" i="18"/>
  <c r="R148" i="18"/>
  <c r="R145" i="18"/>
  <c r="R101" i="18"/>
  <c r="R73" i="18"/>
  <c r="R66" i="18"/>
  <c r="R102" i="18"/>
  <c r="R6" i="20"/>
  <c r="R118" i="18"/>
  <c r="R98" i="18"/>
  <c r="R191" i="18"/>
  <c r="R133" i="18"/>
  <c r="R199" i="18"/>
  <c r="R151" i="18"/>
  <c r="R85" i="18"/>
  <c r="R13" i="21"/>
  <c r="R144" i="18"/>
  <c r="R132" i="18"/>
  <c r="R24" i="3"/>
  <c r="R38" i="21"/>
  <c r="R12" i="21"/>
  <c r="V133" i="18"/>
  <c r="V98" i="18"/>
  <c r="V151" i="18"/>
  <c r="V78" i="18"/>
  <c r="V194" i="18"/>
  <c r="V23" i="3"/>
  <c r="V19" i="21"/>
  <c r="T23" i="2"/>
  <c r="V179" i="18"/>
  <c r="V165" i="18"/>
  <c r="V166" i="18"/>
  <c r="V188" i="18"/>
  <c r="V187" i="18"/>
  <c r="V27" i="21"/>
  <c r="V81" i="18"/>
  <c r="V97" i="18"/>
  <c r="V147" i="18"/>
  <c r="V82" i="18"/>
  <c r="V94" i="18"/>
  <c r="V144" i="18"/>
  <c r="V127" i="18"/>
  <c r="V154" i="18"/>
  <c r="V113" i="18"/>
  <c r="V84" i="18"/>
  <c r="X166" i="18"/>
  <c r="X154" i="18"/>
  <c r="X210" i="18"/>
  <c r="X87" i="18"/>
  <c r="X150" i="18"/>
  <c r="X179" i="18"/>
  <c r="X51" i="18"/>
  <c r="X158" i="18"/>
  <c r="X101" i="18"/>
  <c r="X161" i="18"/>
  <c r="X127" i="18"/>
  <c r="X165" i="18"/>
  <c r="X27" i="21"/>
  <c r="X105" i="18"/>
  <c r="X192" i="18"/>
  <c r="X191" i="18"/>
  <c r="X97" i="18"/>
  <c r="X41" i="21"/>
  <c r="X111" i="18"/>
  <c r="X131" i="18"/>
  <c r="X144" i="18"/>
  <c r="X76" i="18"/>
  <c r="K159" i="18"/>
  <c r="K156" i="18"/>
  <c r="K146" i="18"/>
  <c r="K202" i="18"/>
  <c r="K175" i="18"/>
  <c r="K96" i="18"/>
  <c r="K113" i="18"/>
  <c r="K148" i="18"/>
  <c r="K170" i="18"/>
  <c r="K171" i="18"/>
  <c r="K153" i="18"/>
  <c r="K164" i="18"/>
  <c r="K203" i="18"/>
  <c r="K172" i="18"/>
  <c r="K130" i="18"/>
  <c r="K184" i="18"/>
  <c r="K149" i="18"/>
  <c r="K116" i="18"/>
  <c r="K84" i="18"/>
  <c r="K168" i="18"/>
  <c r="K111" i="18"/>
  <c r="K109" i="18"/>
  <c r="R183" i="18"/>
  <c r="R143" i="18"/>
  <c r="R8" i="20"/>
  <c r="R120" i="18"/>
  <c r="R14" i="21"/>
  <c r="R185" i="18"/>
  <c r="R190" i="18"/>
  <c r="R156" i="18"/>
  <c r="R7" i="20"/>
  <c r="R119" i="18"/>
  <c r="R111" i="18"/>
  <c r="R109" i="18"/>
  <c r="R200" i="18"/>
  <c r="R126" i="18"/>
  <c r="R128" i="18"/>
  <c r="R15" i="21"/>
  <c r="R169" i="18"/>
  <c r="R159" i="18"/>
  <c r="R149" i="18"/>
  <c r="R176" i="18"/>
  <c r="R175" i="18"/>
  <c r="R61" i="21"/>
  <c r="R160" i="18"/>
  <c r="R163" i="18"/>
  <c r="I182" i="18"/>
  <c r="I158" i="18"/>
  <c r="I55" i="21"/>
  <c r="I189" i="18"/>
  <c r="I110" i="18"/>
  <c r="I166" i="18"/>
  <c r="I112" i="18"/>
  <c r="I190" i="18"/>
  <c r="I94" i="18"/>
  <c r="I165" i="18"/>
  <c r="I22" i="22"/>
  <c r="I170" i="18"/>
  <c r="I154" i="18"/>
  <c r="I183" i="18"/>
  <c r="I174" i="18"/>
  <c r="I173" i="18"/>
  <c r="I7" i="20"/>
  <c r="I119" i="18"/>
  <c r="I131" i="18"/>
  <c r="I133" i="18"/>
  <c r="I157" i="18"/>
  <c r="I127" i="18"/>
  <c r="I144" i="18"/>
  <c r="W178" i="18"/>
  <c r="W114" i="18"/>
  <c r="W185" i="18"/>
  <c r="W193" i="18"/>
  <c r="W24" i="22"/>
  <c r="W96" i="18"/>
  <c r="W176" i="18"/>
  <c r="W145" i="18"/>
  <c r="W162" i="18"/>
  <c r="W186" i="18"/>
  <c r="W112" i="18"/>
  <c r="W147" i="18"/>
  <c r="W23" i="3"/>
  <c r="W19" i="21"/>
  <c r="U23" i="2"/>
  <c r="W142" i="18"/>
  <c r="W207" i="18"/>
  <c r="W166" i="18"/>
  <c r="W191" i="18"/>
  <c r="W159" i="18"/>
  <c r="W184" i="18"/>
  <c r="W132" i="18"/>
  <c r="W177" i="18"/>
  <c r="W210" i="18"/>
  <c r="D188" i="18"/>
  <c r="D158" i="18"/>
  <c r="D151" i="18"/>
  <c r="D130" i="18"/>
  <c r="D147" i="18"/>
  <c r="D181" i="18"/>
  <c r="D13" i="20"/>
  <c r="D124" i="18"/>
  <c r="D152" i="18"/>
  <c r="D189" i="18"/>
  <c r="D204" i="18"/>
  <c r="D132" i="18"/>
  <c r="D145" i="18"/>
  <c r="D180" i="18"/>
  <c r="D107" i="18"/>
  <c r="D142" i="18"/>
  <c r="D10" i="21"/>
  <c r="D91" i="18"/>
  <c r="D187" i="18"/>
  <c r="D109" i="18"/>
  <c r="D12" i="20"/>
  <c r="D123" i="18"/>
  <c r="D179" i="18"/>
  <c r="D155" i="18"/>
  <c r="T132" i="18"/>
  <c r="T91" i="18"/>
  <c r="T203" i="18"/>
  <c r="T163" i="18"/>
  <c r="T156" i="18"/>
  <c r="T148" i="18"/>
  <c r="T169" i="18"/>
  <c r="T167" i="18"/>
  <c r="T151" i="18"/>
  <c r="T107" i="18"/>
  <c r="T195" i="18"/>
  <c r="T24" i="3"/>
  <c r="T38" i="21"/>
  <c r="T155" i="18"/>
  <c r="T168" i="18"/>
  <c r="T143" i="18"/>
  <c r="T152" i="18"/>
  <c r="T128" i="18"/>
  <c r="T130" i="18"/>
  <c r="T204" i="18"/>
  <c r="T142" i="18"/>
  <c r="T109" i="18"/>
  <c r="T170" i="18"/>
  <c r="E31" i="21"/>
  <c r="E188" i="18"/>
  <c r="E181" i="18"/>
  <c r="E194" i="18"/>
  <c r="E98" i="18"/>
  <c r="E187" i="18"/>
  <c r="E145" i="18"/>
  <c r="E116" i="18"/>
  <c r="E179" i="18"/>
  <c r="E132" i="18"/>
  <c r="E165" i="18"/>
  <c r="E114" i="18"/>
  <c r="E180" i="18"/>
  <c r="E159" i="18"/>
  <c r="E148" i="18"/>
  <c r="E24" i="21"/>
  <c r="E142" i="18"/>
  <c r="E147" i="18"/>
  <c r="E162" i="18"/>
  <c r="E155" i="18"/>
  <c r="E128" i="18"/>
  <c r="E208" i="18"/>
  <c r="H131" i="18"/>
  <c r="H129" i="18"/>
  <c r="H165" i="18"/>
  <c r="H142" i="18"/>
  <c r="H169" i="18"/>
  <c r="H103" i="18"/>
  <c r="H170" i="18"/>
  <c r="H161" i="18"/>
  <c r="H29" i="21"/>
  <c r="H154" i="18"/>
  <c r="H18" i="21"/>
  <c r="H147" i="18"/>
  <c r="H150" i="18"/>
  <c r="H157" i="18"/>
  <c r="H31" i="22"/>
  <c r="H158" i="18"/>
  <c r="H166" i="18"/>
  <c r="H183" i="18"/>
  <c r="H191" i="18"/>
  <c r="H182" i="18"/>
  <c r="H173" i="18"/>
  <c r="H175" i="18"/>
  <c r="L165" i="18"/>
  <c r="L153" i="18"/>
  <c r="L149" i="18"/>
  <c r="L154" i="18"/>
  <c r="L146" i="18"/>
  <c r="L129" i="18"/>
  <c r="L161" i="18"/>
  <c r="L131" i="18"/>
  <c r="L144" i="18"/>
  <c r="L133" i="18"/>
  <c r="L173" i="18"/>
  <c r="L171" i="18"/>
  <c r="L157" i="18"/>
  <c r="L12" i="20"/>
  <c r="L123" i="18"/>
  <c r="L164" i="18"/>
  <c r="L150" i="18"/>
  <c r="L172" i="18"/>
  <c r="L175" i="18"/>
  <c r="L204" i="18"/>
  <c r="L11" i="20"/>
  <c r="L122" i="18"/>
  <c r="L99" i="18"/>
  <c r="L182" i="18"/>
  <c r="Q6" i="20"/>
  <c r="Q118" i="18"/>
  <c r="Q23" i="21"/>
  <c r="Q164" i="18"/>
  <c r="Q168" i="18"/>
  <c r="Q185" i="18"/>
  <c r="Q176" i="18"/>
  <c r="Q184" i="18"/>
  <c r="Q149" i="18"/>
  <c r="Q183" i="18"/>
  <c r="Q169" i="18"/>
  <c r="Q160" i="18"/>
  <c r="Q126" i="18"/>
  <c r="Q14" i="21"/>
  <c r="Q172" i="18"/>
  <c r="Q175" i="18"/>
  <c r="Q130" i="18"/>
  <c r="Q102" i="18"/>
  <c r="Q190" i="18"/>
  <c r="Q200" i="18"/>
  <c r="Q116" i="18"/>
  <c r="Q143" i="18"/>
  <c r="Q174" i="18"/>
  <c r="AA187" i="18"/>
  <c r="AA127" i="18"/>
  <c r="AA150" i="18"/>
  <c r="AA142" i="18"/>
  <c r="AA110" i="18"/>
  <c r="AA22" i="21"/>
  <c r="AA9" i="20"/>
  <c r="AA121" i="18"/>
  <c r="AA162" i="18"/>
  <c r="AA147" i="18"/>
  <c r="AA108" i="18"/>
  <c r="AA92" i="18"/>
  <c r="AA188" i="18"/>
  <c r="AA133" i="18"/>
  <c r="AA155" i="18"/>
  <c r="AA7" i="20"/>
  <c r="AA119" i="18"/>
  <c r="AA129" i="18"/>
  <c r="AA112" i="18"/>
  <c r="AA200" i="18"/>
  <c r="AA8" i="20"/>
  <c r="AA120" i="18"/>
  <c r="AA166" i="18"/>
  <c r="AA158" i="18"/>
  <c r="AA165" i="18"/>
  <c r="Z161" i="18"/>
  <c r="Z155" i="18"/>
  <c r="Z142" i="18"/>
  <c r="Z162" i="18"/>
  <c r="Z148" i="18"/>
  <c r="Z158" i="18"/>
  <c r="Z131" i="18"/>
  <c r="Z159" i="18"/>
  <c r="Z22" i="21"/>
  <c r="Z7" i="20"/>
  <c r="Z119" i="18"/>
  <c r="Z177" i="18"/>
  <c r="Z199" i="18"/>
  <c r="Z147" i="18"/>
  <c r="Z165" i="18"/>
  <c r="Z167" i="18"/>
  <c r="Z101" i="18"/>
  <c r="Z166" i="18"/>
  <c r="Z8" i="21"/>
  <c r="Z150" i="18"/>
  <c r="Z127" i="18"/>
  <c r="Z151" i="18"/>
  <c r="Z133" i="18"/>
  <c r="N170" i="18"/>
  <c r="N113" i="18"/>
  <c r="N146" i="18"/>
  <c r="N161" i="18"/>
  <c r="N169" i="18"/>
  <c r="N171" i="18"/>
  <c r="N143" i="18"/>
  <c r="N176" i="18"/>
  <c r="N133" i="18"/>
  <c r="N185" i="18"/>
  <c r="N164" i="18"/>
  <c r="N193" i="18"/>
  <c r="N173" i="18"/>
  <c r="N195" i="18"/>
  <c r="N157" i="18"/>
  <c r="N153" i="18"/>
  <c r="N163" i="18"/>
  <c r="N207" i="18"/>
  <c r="N97" i="18"/>
  <c r="N28" i="22"/>
  <c r="N160" i="18"/>
  <c r="N9" i="21"/>
  <c r="K181" i="18"/>
  <c r="K112" i="18"/>
  <c r="K12" i="20"/>
  <c r="K123" i="18"/>
  <c r="K127" i="18"/>
  <c r="K180" i="18"/>
  <c r="K37" i="22"/>
  <c r="K189" i="18"/>
  <c r="K144" i="18"/>
  <c r="K108" i="18"/>
  <c r="K190" i="18"/>
  <c r="K154" i="18"/>
  <c r="K182" i="18"/>
  <c r="K165" i="18"/>
  <c r="K173" i="18"/>
  <c r="K150" i="18"/>
  <c r="K147" i="18"/>
  <c r="K110" i="18"/>
  <c r="K92" i="18"/>
  <c r="K174" i="18"/>
  <c r="K129" i="18"/>
  <c r="K29" i="21"/>
  <c r="K131" i="18"/>
  <c r="U186" i="18"/>
  <c r="U204" i="18"/>
  <c r="U42" i="21"/>
  <c r="U156" i="18"/>
  <c r="U145" i="18"/>
  <c r="U98" i="18"/>
  <c r="U162" i="18"/>
  <c r="U177" i="18"/>
  <c r="U190" i="18"/>
  <c r="U116" i="18"/>
  <c r="U114" i="18"/>
  <c r="U195" i="18"/>
  <c r="U152" i="18"/>
  <c r="U163" i="18"/>
  <c r="U143" i="18"/>
  <c r="U126" i="18"/>
  <c r="U130" i="18"/>
  <c r="U148" i="18"/>
  <c r="U132" i="18"/>
  <c r="U160" i="18"/>
  <c r="U12" i="20"/>
  <c r="U123" i="18"/>
  <c r="U168" i="18"/>
  <c r="X151" i="18"/>
  <c r="X42" i="21"/>
  <c r="X184" i="18"/>
  <c r="X142" i="18"/>
  <c r="X176" i="18"/>
  <c r="X186" i="18"/>
  <c r="X128" i="18"/>
  <c r="X167" i="18"/>
  <c r="X109" i="18"/>
  <c r="X61" i="21"/>
  <c r="X152" i="18"/>
  <c r="X168" i="18"/>
  <c r="X148" i="18"/>
  <c r="X159" i="18"/>
  <c r="X103" i="18"/>
  <c r="X177" i="18"/>
  <c r="X145" i="18"/>
  <c r="X30" i="21"/>
  <c r="X175" i="18"/>
  <c r="X185" i="18"/>
  <c r="X163" i="18"/>
  <c r="X183" i="18"/>
  <c r="Y114" i="18"/>
  <c r="Y155" i="18"/>
  <c r="Y148" i="18"/>
  <c r="Y112" i="18"/>
  <c r="Y110" i="18"/>
  <c r="Y94" i="18"/>
  <c r="Y186" i="18"/>
  <c r="Y191" i="18"/>
  <c r="Y144" i="18"/>
  <c r="Y167" i="18"/>
  <c r="Y177" i="18"/>
  <c r="Y14" i="20"/>
  <c r="Y125" i="18"/>
  <c r="Y159" i="18"/>
  <c r="Y176" i="18"/>
  <c r="Y142" i="18"/>
  <c r="Y154" i="18"/>
  <c r="Y166" i="18"/>
  <c r="Y31" i="21"/>
  <c r="Y132" i="18"/>
  <c r="Y151" i="18"/>
  <c r="Y190" i="18"/>
  <c r="Y145" i="18"/>
  <c r="F188" i="18"/>
  <c r="F187" i="18"/>
  <c r="F155" i="18"/>
  <c r="F181" i="18"/>
  <c r="F165" i="18"/>
  <c r="F194" i="18"/>
  <c r="F151" i="18"/>
  <c r="F154" i="18"/>
  <c r="F30" i="21"/>
  <c r="F162" i="18"/>
  <c r="F167" i="18"/>
  <c r="F166" i="18"/>
  <c r="F208" i="18"/>
  <c r="F107" i="18"/>
  <c r="F130" i="18"/>
  <c r="F159" i="18"/>
  <c r="F44" i="21"/>
  <c r="F109" i="18"/>
  <c r="F105" i="18"/>
  <c r="F145" i="18"/>
  <c r="F89" i="18"/>
  <c r="F179" i="18"/>
  <c r="G159" i="18"/>
  <c r="G114" i="18"/>
  <c r="G112" i="18"/>
  <c r="G116" i="18"/>
  <c r="G172" i="18"/>
  <c r="G147" i="18"/>
  <c r="S156" i="18"/>
  <c r="G188" i="18"/>
  <c r="G144" i="18"/>
  <c r="S160" i="18"/>
  <c r="G16" i="21"/>
  <c r="S163" i="18"/>
  <c r="S128" i="18"/>
  <c r="G151" i="18"/>
  <c r="S201" i="18"/>
  <c r="G179" i="18"/>
  <c r="S173" i="18"/>
  <c r="S126" i="18"/>
  <c r="G194" i="18"/>
  <c r="G145" i="18"/>
  <c r="G166" i="18"/>
  <c r="S174" i="18"/>
  <c r="S149" i="18"/>
  <c r="G15" i="21"/>
  <c r="S172" i="18"/>
  <c r="G127" i="18"/>
  <c r="G17" i="21"/>
  <c r="G96" i="18"/>
  <c r="G158" i="18"/>
  <c r="S15" i="21"/>
  <c r="S183" i="18"/>
  <c r="G192" i="18"/>
  <c r="S176" i="18"/>
  <c r="G142" i="18"/>
  <c r="S146" i="18"/>
  <c r="G162" i="18"/>
  <c r="S11" i="20"/>
  <c r="S122" i="18"/>
  <c r="S116" i="18"/>
  <c r="S167" i="18"/>
  <c r="S8" i="20"/>
  <c r="S120" i="18"/>
  <c r="S164" i="18"/>
  <c r="S130" i="18"/>
  <c r="S182" i="18"/>
  <c r="S170" i="18"/>
  <c r="V186" i="18"/>
  <c r="V168" i="18"/>
  <c r="V105" i="18"/>
  <c r="V184" i="18"/>
  <c r="V145" i="18"/>
  <c r="V185" i="18"/>
  <c r="V193" i="18"/>
  <c r="V162" i="18"/>
  <c r="V169" i="18"/>
  <c r="V167" i="18"/>
  <c r="V128" i="18"/>
  <c r="V178" i="18"/>
  <c r="V208" i="18"/>
  <c r="V177" i="18"/>
  <c r="V155" i="18"/>
  <c r="V89" i="18"/>
  <c r="V159" i="18"/>
  <c r="V152" i="18"/>
  <c r="V109" i="18"/>
  <c r="V107" i="18"/>
  <c r="V156" i="18"/>
  <c r="V163" i="18"/>
  <c r="J162" i="18"/>
  <c r="J174" i="18"/>
  <c r="J198" i="18"/>
  <c r="J173" i="18"/>
  <c r="J200" i="18"/>
  <c r="J150" i="18"/>
  <c r="J183" i="18"/>
  <c r="J190" i="18"/>
  <c r="J182" i="18"/>
  <c r="J8" i="20"/>
  <c r="J120" i="18"/>
  <c r="J189" i="18"/>
  <c r="J129" i="18"/>
  <c r="J158" i="18"/>
  <c r="J127" i="18"/>
  <c r="J180" i="18"/>
  <c r="J166" i="18"/>
  <c r="J181" i="18"/>
  <c r="J161" i="18"/>
  <c r="J7" i="20"/>
  <c r="J119" i="18"/>
  <c r="J147" i="18"/>
  <c r="J101" i="18"/>
  <c r="J165" i="18"/>
  <c r="M171" i="18"/>
  <c r="M207" i="18"/>
  <c r="M131" i="18"/>
  <c r="M170" i="18"/>
  <c r="M22" i="21"/>
  <c r="M154" i="18"/>
  <c r="M108" i="18"/>
  <c r="M144" i="18"/>
  <c r="M172" i="18"/>
  <c r="M127" i="18"/>
  <c r="M106" i="18"/>
  <c r="M194" i="18"/>
  <c r="M161" i="18"/>
  <c r="M112" i="18"/>
  <c r="M13" i="20"/>
  <c r="M124" i="18"/>
  <c r="M164" i="18"/>
  <c r="M150" i="18"/>
  <c r="M110" i="18"/>
  <c r="M182" i="18"/>
  <c r="M157" i="18"/>
  <c r="M180" i="18"/>
  <c r="M173" i="18"/>
  <c r="I145" i="18"/>
  <c r="I130" i="18"/>
  <c r="I148" i="18"/>
  <c r="I155" i="18"/>
  <c r="I171" i="18"/>
  <c r="I114" i="18"/>
  <c r="I16" i="3"/>
  <c r="I34" i="17"/>
  <c r="I6" i="19"/>
  <c r="I192" i="18"/>
  <c r="I187" i="18"/>
  <c r="I109" i="18"/>
  <c r="I194" i="18"/>
  <c r="I178" i="18"/>
  <c r="I162" i="18"/>
  <c r="I142" i="18"/>
  <c r="I151" i="18"/>
  <c r="I198" i="18"/>
  <c r="I167" i="18"/>
  <c r="I159" i="18"/>
  <c r="I201" i="18"/>
  <c r="I208" i="18"/>
  <c r="I10" i="22"/>
  <c r="I116" i="18"/>
  <c r="Q16" i="3"/>
  <c r="Q34" i="17"/>
  <c r="Q6" i="19"/>
  <c r="Q150" i="18"/>
  <c r="Q195" i="18"/>
  <c r="Q207" i="18"/>
  <c r="Q31" i="22"/>
  <c r="Q181" i="18"/>
  <c r="Q182" i="18"/>
  <c r="Q165" i="18"/>
  <c r="Q85" i="18"/>
  <c r="Q154" i="18"/>
  <c r="Q101" i="18"/>
  <c r="Q32" i="21"/>
  <c r="Q144" i="18"/>
  <c r="Q16" i="21"/>
  <c r="Q133" i="18"/>
  <c r="Q170" i="18"/>
  <c r="Q186" i="18"/>
  <c r="Q29" i="21"/>
  <c r="Q146" i="18"/>
  <c r="Q157" i="18"/>
  <c r="Q153" i="18"/>
  <c r="Q198" i="18"/>
  <c r="D159" i="18"/>
  <c r="D11" i="21"/>
  <c r="D126" i="18"/>
  <c r="D106" i="18"/>
  <c r="D191" i="18"/>
  <c r="D10" i="22"/>
  <c r="D111" i="18"/>
  <c r="D28" i="21"/>
  <c r="D168" i="18"/>
  <c r="D146" i="18"/>
  <c r="D184" i="18"/>
  <c r="D33" i="21"/>
  <c r="D12" i="21"/>
  <c r="D175" i="18"/>
  <c r="D167" i="18"/>
  <c r="D149" i="18"/>
  <c r="D6" i="20"/>
  <c r="D118" i="18"/>
  <c r="D148" i="18"/>
  <c r="D24" i="21"/>
  <c r="D186" i="18"/>
  <c r="D113" i="18"/>
  <c r="D163" i="18"/>
  <c r="T183" i="18"/>
  <c r="T113" i="18"/>
  <c r="T24" i="21"/>
  <c r="T157" i="18"/>
  <c r="T173" i="18"/>
  <c r="T171" i="18"/>
  <c r="T32" i="21"/>
  <c r="T111" i="18"/>
  <c r="T149" i="18"/>
  <c r="T191" i="18"/>
  <c r="T172" i="18"/>
  <c r="T33" i="21"/>
  <c r="T106" i="18"/>
  <c r="T189" i="18"/>
  <c r="T20" i="22"/>
  <c r="T161" i="18"/>
  <c r="T133" i="18"/>
  <c r="T174" i="18"/>
  <c r="T175" i="18"/>
  <c r="T181" i="18"/>
  <c r="T159" i="18"/>
  <c r="T9" i="20"/>
  <c r="T121" i="18"/>
  <c r="O25" i="21"/>
  <c r="O12" i="21"/>
  <c r="O180" i="18"/>
  <c r="O110" i="18"/>
  <c r="O165" i="18"/>
  <c r="O203" i="18"/>
  <c r="O154" i="18"/>
  <c r="O127" i="18"/>
  <c r="O12" i="20"/>
  <c r="O123" i="18"/>
  <c r="O103" i="18"/>
  <c r="O87" i="18"/>
  <c r="O161" i="18"/>
  <c r="O156" i="18"/>
  <c r="O188" i="18"/>
  <c r="O150" i="18"/>
  <c r="O171" i="18"/>
  <c r="O158" i="18"/>
  <c r="O181" i="18"/>
  <c r="O11" i="21"/>
  <c r="O172" i="18"/>
  <c r="O192" i="18"/>
  <c r="O208" i="18"/>
  <c r="R174" i="18"/>
  <c r="R16" i="21"/>
  <c r="R113" i="18"/>
  <c r="R181" i="18"/>
  <c r="R189" i="18"/>
  <c r="R108" i="18"/>
  <c r="R198" i="18"/>
  <c r="R17" i="21"/>
  <c r="R173" i="18"/>
  <c r="R150" i="18"/>
  <c r="R131" i="18"/>
  <c r="R172" i="18"/>
  <c r="R165" i="18"/>
  <c r="R153" i="18"/>
  <c r="R188" i="18"/>
  <c r="R171" i="18"/>
  <c r="R164" i="18"/>
  <c r="R182" i="18"/>
  <c r="R47" i="21"/>
  <c r="R154" i="18"/>
  <c r="R92" i="18"/>
  <c r="R129" i="18"/>
  <c r="C198" i="18"/>
  <c r="C188" i="18"/>
  <c r="C148" i="18"/>
  <c r="C99" i="18"/>
  <c r="C132" i="18"/>
  <c r="C156" i="18"/>
  <c r="C160" i="18"/>
  <c r="C13" i="20"/>
  <c r="C124" i="18"/>
  <c r="C167" i="18"/>
  <c r="C149" i="18"/>
  <c r="C179" i="18"/>
  <c r="C163" i="18"/>
  <c r="C130" i="18"/>
  <c r="C170" i="18"/>
  <c r="C146" i="18"/>
  <c r="C133" i="18"/>
  <c r="C128" i="18"/>
  <c r="C145" i="18"/>
  <c r="C45" i="21"/>
  <c r="C192" i="18"/>
  <c r="C116" i="18"/>
  <c r="C155" i="18"/>
  <c r="E113" i="18"/>
  <c r="E175" i="18"/>
  <c r="E177" i="18"/>
  <c r="E6" i="20"/>
  <c r="E118" i="18"/>
  <c r="E45" i="21"/>
  <c r="E163" i="18"/>
  <c r="E156" i="18"/>
  <c r="E11" i="22"/>
  <c r="E198" i="18"/>
  <c r="E152" i="18"/>
  <c r="E8" i="20"/>
  <c r="E120" i="18"/>
  <c r="E200" i="18"/>
  <c r="E191" i="18"/>
  <c r="E166" i="18"/>
  <c r="E182" i="18"/>
  <c r="E160" i="18"/>
  <c r="E143" i="18"/>
  <c r="E178" i="18"/>
  <c r="E186" i="18"/>
  <c r="E150" i="18"/>
  <c r="E97" i="18"/>
  <c r="E22" i="21"/>
  <c r="W170" i="18"/>
  <c r="W130" i="18"/>
  <c r="W173" i="18"/>
  <c r="W180" i="18"/>
  <c r="W8" i="20"/>
  <c r="W120" i="18"/>
  <c r="W143" i="18"/>
  <c r="W202" i="18"/>
  <c r="W200" i="18"/>
  <c r="W164" i="18"/>
  <c r="W208" i="18"/>
  <c r="W116" i="18"/>
  <c r="W168" i="18"/>
  <c r="W111" i="18"/>
  <c r="W152" i="18"/>
  <c r="W11" i="20"/>
  <c r="W122" i="18"/>
  <c r="W25" i="22"/>
  <c r="W126" i="18"/>
  <c r="W163" i="18"/>
  <c r="W175" i="18"/>
  <c r="W160" i="18"/>
  <c r="W148" i="18"/>
  <c r="W189" i="18"/>
  <c r="V104" i="18"/>
  <c r="V182" i="18"/>
  <c r="V198" i="18"/>
  <c r="V34" i="21"/>
  <c r="V13" i="21"/>
  <c r="V200" i="18"/>
  <c r="V149" i="18"/>
  <c r="V172" i="18"/>
  <c r="V6" i="20"/>
  <c r="V118" i="18"/>
  <c r="V153" i="18"/>
  <c r="V88" i="18"/>
  <c r="V26" i="21"/>
  <c r="V8" i="20"/>
  <c r="V120" i="18"/>
  <c r="V146" i="18"/>
  <c r="V171" i="18"/>
  <c r="V157" i="18"/>
  <c r="V189" i="18"/>
  <c r="V13" i="20"/>
  <c r="V124" i="18"/>
  <c r="V11" i="21"/>
  <c r="V173" i="18"/>
  <c r="V14" i="21"/>
  <c r="V111" i="18"/>
  <c r="F88" i="18"/>
  <c r="F111" i="18"/>
  <c r="F173" i="18"/>
  <c r="F104" i="18"/>
  <c r="F41" i="22"/>
  <c r="F126" i="18"/>
  <c r="F186" i="18"/>
  <c r="F189" i="18"/>
  <c r="F168" i="18"/>
  <c r="F185" i="18"/>
  <c r="F11" i="20"/>
  <c r="F122" i="18"/>
  <c r="F198" i="18"/>
  <c r="F156" i="18"/>
  <c r="F14" i="20"/>
  <c r="F125" i="18"/>
  <c r="F178" i="18"/>
  <c r="F177" i="18"/>
  <c r="F157" i="18"/>
  <c r="F8" i="20"/>
  <c r="F120" i="18"/>
  <c r="F202" i="18"/>
  <c r="F182" i="18"/>
  <c r="F143" i="18"/>
  <c r="F200" i="18"/>
  <c r="Y109" i="18"/>
  <c r="Y13" i="21"/>
  <c r="Y194" i="18"/>
  <c r="Y156" i="18"/>
  <c r="Y16" i="21"/>
  <c r="Y16" i="3"/>
  <c r="Y34" i="17"/>
  <c r="Y6" i="19"/>
  <c r="Y116" i="18"/>
  <c r="Y184" i="18"/>
  <c r="Y183" i="18"/>
  <c r="Y162" i="18"/>
  <c r="Y187" i="18"/>
  <c r="Y182" i="18"/>
  <c r="Y173" i="18"/>
  <c r="Y175" i="18"/>
  <c r="Y128" i="18"/>
  <c r="Y178" i="18"/>
  <c r="Y18" i="21"/>
  <c r="Y171" i="18"/>
  <c r="Y174" i="18"/>
  <c r="Y204" i="18"/>
  <c r="Y17" i="21"/>
  <c r="Y14" i="21"/>
  <c r="P47" i="22"/>
  <c r="P127" i="18"/>
  <c r="P110" i="18"/>
  <c r="P10" i="21"/>
  <c r="P179" i="18"/>
  <c r="P203" i="18"/>
  <c r="P171" i="18"/>
  <c r="P25" i="21"/>
  <c r="P144" i="18"/>
  <c r="P192" i="18"/>
  <c r="P129" i="18"/>
  <c r="P147" i="18"/>
  <c r="P172" i="18"/>
  <c r="P157" i="18"/>
  <c r="P94" i="18"/>
  <c r="P131" i="18"/>
  <c r="P163" i="18"/>
  <c r="P153" i="18"/>
  <c r="P158" i="18"/>
  <c r="P12" i="20"/>
  <c r="P123" i="18"/>
  <c r="P195" i="18"/>
  <c r="P188" i="18"/>
  <c r="K169" i="18"/>
  <c r="K158" i="18"/>
  <c r="K24" i="21"/>
  <c r="K46" i="21"/>
  <c r="K114" i="18"/>
  <c r="K155" i="18"/>
  <c r="K201" i="18"/>
  <c r="K160" i="18"/>
  <c r="K107" i="18"/>
  <c r="K210" i="18"/>
  <c r="K162" i="18"/>
  <c r="K91" i="18"/>
  <c r="K187" i="18"/>
  <c r="K9" i="20"/>
  <c r="K121" i="18"/>
  <c r="K176" i="18"/>
  <c r="K188" i="18"/>
  <c r="K47" i="21"/>
  <c r="K142" i="18"/>
  <c r="K132" i="18"/>
  <c r="K41" i="21"/>
  <c r="K192" i="18"/>
  <c r="K185" i="18"/>
  <c r="U113" i="18"/>
  <c r="U170" i="18"/>
  <c r="U12" i="21"/>
  <c r="U17" i="21"/>
  <c r="U194" i="18"/>
  <c r="U191" i="18"/>
  <c r="U164" i="18"/>
  <c r="U97" i="18"/>
  <c r="U153" i="18"/>
  <c r="U171" i="18"/>
  <c r="U6" i="20"/>
  <c r="U118" i="18"/>
  <c r="U166" i="18"/>
  <c r="U150" i="18"/>
  <c r="U174" i="18"/>
  <c r="U10" i="21"/>
  <c r="U45" i="21"/>
  <c r="U175" i="18"/>
  <c r="U182" i="18"/>
  <c r="U146" i="18"/>
  <c r="U172" i="18"/>
  <c r="U13" i="20"/>
  <c r="U124" i="18"/>
  <c r="U198" i="18"/>
  <c r="X180" i="18"/>
  <c r="X15" i="21"/>
  <c r="X173" i="18"/>
  <c r="X86" i="18"/>
  <c r="X143" i="18"/>
  <c r="X126" i="18"/>
  <c r="X171" i="18"/>
  <c r="X169" i="18"/>
  <c r="X102" i="18"/>
  <c r="X164" i="18"/>
  <c r="X200" i="18"/>
  <c r="X155" i="18"/>
  <c r="X202" i="18"/>
  <c r="X182" i="18"/>
  <c r="X160" i="18"/>
  <c r="X187" i="18"/>
  <c r="X149" i="18"/>
  <c r="X170" i="18"/>
  <c r="X36" i="21"/>
  <c r="X17" i="21"/>
  <c r="X204" i="18"/>
  <c r="X11" i="20"/>
  <c r="X122" i="18"/>
  <c r="AA152" i="18"/>
  <c r="AA168" i="18"/>
  <c r="AA190" i="18"/>
  <c r="AA169" i="18"/>
  <c r="AA160" i="18"/>
  <c r="AA194" i="18"/>
  <c r="AA130" i="18"/>
  <c r="AA47" i="21"/>
  <c r="AA201" i="18"/>
  <c r="AA13" i="20"/>
  <c r="AA124" i="18"/>
  <c r="AA192" i="18"/>
  <c r="AA107" i="18"/>
  <c r="AA20" i="22"/>
  <c r="AA91" i="18"/>
  <c r="AA163" i="18"/>
  <c r="AA178" i="18"/>
  <c r="AA185" i="18"/>
  <c r="AA175" i="18"/>
  <c r="AA132" i="18"/>
  <c r="AA114" i="18"/>
  <c r="AA176" i="18"/>
  <c r="AA184" i="18"/>
  <c r="G148" i="18"/>
  <c r="G164" i="18"/>
  <c r="G191" i="18"/>
  <c r="G41" i="21"/>
  <c r="G180" i="18"/>
  <c r="G128" i="18"/>
  <c r="G11" i="20"/>
  <c r="G122" i="18"/>
  <c r="G126" i="18"/>
  <c r="G168" i="18"/>
  <c r="G186" i="18"/>
  <c r="G163" i="18"/>
  <c r="G178" i="18"/>
  <c r="G13" i="20"/>
  <c r="G124" i="18"/>
  <c r="G111" i="18"/>
  <c r="G152" i="18"/>
  <c r="G41" i="22"/>
  <c r="G204" i="18"/>
  <c r="G177" i="18"/>
  <c r="Z130" i="18"/>
  <c r="Z169" i="18"/>
  <c r="G23" i="21"/>
  <c r="G189" i="18"/>
  <c r="Z185" i="18"/>
  <c r="Z208" i="18"/>
  <c r="G202" i="18"/>
  <c r="Z175" i="18"/>
  <c r="Z116" i="18"/>
  <c r="G173" i="18"/>
  <c r="Z184" i="18"/>
  <c r="Z13" i="20"/>
  <c r="Z124" i="18"/>
  <c r="Z156" i="18"/>
  <c r="Z168" i="18"/>
  <c r="Z153" i="18"/>
  <c r="Z25" i="21"/>
  <c r="Z42" i="22"/>
  <c r="Z190" i="18"/>
  <c r="Z152" i="18"/>
  <c r="Z16" i="3"/>
  <c r="Z34" i="17"/>
  <c r="Z6" i="19"/>
  <c r="Z187" i="18"/>
  <c r="Z16" i="21"/>
  <c r="Z194" i="18"/>
  <c r="Z178" i="18"/>
  <c r="Z15" i="22"/>
  <c r="Z183" i="18"/>
  <c r="E59" i="11"/>
  <c r="D35" i="6"/>
  <c r="D34" i="6"/>
  <c r="D33" i="6"/>
  <c r="E53" i="11"/>
  <c r="G60" i="21"/>
  <c r="D45" i="6"/>
  <c r="E14" i="7"/>
  <c r="E41" i="11"/>
  <c r="E51" i="10"/>
  <c r="G9" i="3"/>
  <c r="E11" i="7"/>
  <c r="D21" i="9"/>
  <c r="E13" i="7"/>
  <c r="D17" i="6"/>
  <c r="D44" i="6"/>
  <c r="D42" i="6"/>
  <c r="D19" i="5"/>
  <c r="D21" i="5"/>
  <c r="G9" i="24"/>
  <c r="D37" i="6"/>
  <c r="D18" i="5"/>
  <c r="D17" i="9"/>
  <c r="D43" i="6"/>
  <c r="G61" i="13"/>
  <c r="E17" i="7"/>
  <c r="E46" i="11"/>
  <c r="E56" i="10"/>
  <c r="G10" i="3"/>
  <c r="E17" i="4"/>
  <c r="D18" i="9"/>
  <c r="D19" i="9"/>
  <c r="E12" i="7"/>
  <c r="N149" i="18"/>
  <c r="N9" i="20"/>
  <c r="N121" i="18"/>
  <c r="N96" i="18"/>
  <c r="N129" i="18"/>
  <c r="N181" i="18"/>
  <c r="N144" i="18"/>
  <c r="N190" i="18"/>
  <c r="N112" i="18"/>
  <c r="N11" i="21"/>
  <c r="N7" i="20"/>
  <c r="N119" i="18"/>
  <c r="N147" i="18"/>
  <c r="N199" i="18"/>
  <c r="N189" i="18"/>
  <c r="N43" i="21"/>
  <c r="N194" i="18"/>
  <c r="N165" i="18"/>
  <c r="N174" i="18"/>
  <c r="N201" i="18"/>
  <c r="N151" i="18"/>
  <c r="N180" i="18"/>
  <c r="N14" i="20"/>
  <c r="N125" i="18"/>
  <c r="N162" i="18"/>
  <c r="H189" i="18"/>
  <c r="H192" i="18"/>
  <c r="H186" i="18"/>
  <c r="H171" i="18"/>
  <c r="H25" i="21"/>
  <c r="H16" i="3"/>
  <c r="H34" i="17"/>
  <c r="H6" i="19"/>
  <c r="H163" i="18"/>
  <c r="H102" i="18"/>
  <c r="H187" i="18"/>
  <c r="H132" i="18"/>
  <c r="H180" i="18"/>
  <c r="H204" i="18"/>
  <c r="H33" i="21"/>
  <c r="H86" i="18"/>
  <c r="H128" i="18"/>
  <c r="H179" i="18"/>
  <c r="H11" i="20"/>
  <c r="H122" i="18"/>
  <c r="H33" i="22"/>
  <c r="H151" i="18"/>
  <c r="H152" i="18"/>
  <c r="H155" i="18"/>
  <c r="H202" i="18"/>
  <c r="L183" i="18"/>
  <c r="L11" i="22"/>
  <c r="L98" i="18"/>
  <c r="L180" i="18"/>
  <c r="L176" i="18"/>
  <c r="L155" i="18"/>
  <c r="L147" i="18"/>
  <c r="L151" i="18"/>
  <c r="L187" i="18"/>
  <c r="L185" i="18"/>
  <c r="L188" i="18"/>
  <c r="L24" i="21"/>
  <c r="L192" i="18"/>
  <c r="L210" i="18"/>
  <c r="L179" i="18"/>
  <c r="L167" i="18"/>
  <c r="L16" i="3"/>
  <c r="L34" i="17"/>
  <c r="L6" i="19"/>
  <c r="L166" i="18"/>
  <c r="L181" i="18"/>
  <c r="L114" i="18"/>
  <c r="L178" i="18"/>
  <c r="L189" i="18"/>
  <c r="M190" i="18"/>
  <c r="M158" i="18"/>
  <c r="M7" i="20"/>
  <c r="M119" i="18"/>
  <c r="M192" i="18"/>
  <c r="M34" i="21"/>
  <c r="C44" i="6"/>
  <c r="M188" i="18"/>
  <c r="C37" i="6"/>
  <c r="C18" i="5"/>
  <c r="M166" i="18"/>
  <c r="M105" i="18"/>
  <c r="C19" i="9"/>
  <c r="M12" i="22"/>
  <c r="M179" i="18"/>
  <c r="C20" i="9"/>
  <c r="M187" i="18"/>
  <c r="D11" i="7"/>
  <c r="D59" i="11"/>
  <c r="M151" i="18"/>
  <c r="C45" i="6"/>
  <c r="C20" i="6"/>
  <c r="M176" i="18"/>
  <c r="D14" i="7"/>
  <c r="D41" i="11"/>
  <c r="D51" i="10"/>
  <c r="F9" i="3"/>
  <c r="M174" i="18"/>
  <c r="M31" i="21"/>
  <c r="C17" i="6"/>
  <c r="D13" i="7"/>
  <c r="C17" i="9"/>
  <c r="M199" i="18"/>
  <c r="M162" i="18"/>
  <c r="M142" i="18"/>
  <c r="C40" i="6"/>
  <c r="M16" i="3"/>
  <c r="M34" i="17"/>
  <c r="M6" i="19"/>
  <c r="C18" i="9"/>
  <c r="M43" i="21"/>
  <c r="M183" i="18"/>
  <c r="C33" i="6"/>
  <c r="C35" i="6"/>
  <c r="M89" i="18"/>
  <c r="D12" i="7"/>
  <c r="F61" i="13"/>
  <c r="D17" i="7"/>
  <c r="D46" i="11"/>
  <c r="D56" i="10"/>
  <c r="F10" i="3"/>
  <c r="D17" i="4"/>
  <c r="D53" i="11"/>
  <c r="F60" i="21"/>
  <c r="C21" i="5"/>
  <c r="F67" i="21"/>
  <c r="C32" i="6"/>
  <c r="C17" i="5"/>
  <c r="S161" i="18"/>
  <c r="S133" i="18"/>
  <c r="S9" i="21"/>
  <c r="S62" i="21"/>
  <c r="Q25" i="2"/>
  <c r="S131" i="18"/>
  <c r="S152" i="18"/>
  <c r="S8" i="21"/>
  <c r="S99" i="18"/>
  <c r="S189" i="18"/>
  <c r="S181" i="18"/>
  <c r="S207" i="18"/>
  <c r="S193" i="18"/>
  <c r="S177" i="18"/>
  <c r="S198" i="18"/>
  <c r="S7" i="21"/>
  <c r="S192" i="18"/>
  <c r="S14" i="20"/>
  <c r="S125" i="18"/>
  <c r="S168" i="18"/>
  <c r="S184" i="18"/>
  <c r="S25" i="21"/>
  <c r="S186" i="18"/>
  <c r="S157" i="18"/>
  <c r="C184" i="18"/>
  <c r="C152" i="18"/>
  <c r="C202" i="18"/>
  <c r="C195" i="18"/>
  <c r="C186" i="18"/>
  <c r="C193" i="18"/>
  <c r="C35" i="22"/>
  <c r="C164" i="18"/>
  <c r="C14" i="20"/>
  <c r="C125" i="18"/>
  <c r="C16" i="22"/>
  <c r="C12" i="21"/>
  <c r="C168" i="18"/>
  <c r="C14" i="21"/>
  <c r="C12" i="20"/>
  <c r="C123" i="18"/>
  <c r="C44" i="21"/>
  <c r="C27" i="21"/>
  <c r="C207" i="18"/>
  <c r="C15" i="21"/>
  <c r="C23" i="3"/>
  <c r="C19" i="21"/>
  <c r="C177" i="18"/>
  <c r="C47" i="22"/>
  <c r="C30" i="21"/>
  <c r="R203" i="18"/>
  <c r="R15" i="22"/>
  <c r="R186" i="18"/>
  <c r="R193" i="18"/>
  <c r="R192" i="18"/>
  <c r="R44" i="22"/>
  <c r="R12" i="22"/>
  <c r="R16" i="3"/>
  <c r="R34" i="17"/>
  <c r="R6" i="19"/>
  <c r="R179" i="18"/>
  <c r="R7" i="21"/>
  <c r="R46" i="21"/>
  <c r="R195" i="18"/>
  <c r="R23" i="21"/>
  <c r="R45" i="21"/>
  <c r="R12" i="20"/>
  <c r="R123" i="18"/>
  <c r="R170" i="18"/>
  <c r="R207" i="18"/>
  <c r="R9" i="20"/>
  <c r="R121" i="18"/>
  <c r="R201" i="18"/>
  <c r="R161" i="18"/>
  <c r="R210" i="18"/>
  <c r="R177" i="18"/>
  <c r="T44" i="6"/>
  <c r="T33" i="6"/>
  <c r="T40" i="6"/>
  <c r="T42" i="6"/>
  <c r="T19" i="5"/>
  <c r="U13" i="7"/>
  <c r="U12" i="7"/>
  <c r="T21" i="9"/>
  <c r="T21" i="5"/>
  <c r="U59" i="11"/>
  <c r="U14" i="7"/>
  <c r="U41" i="11"/>
  <c r="U51" i="10"/>
  <c r="W9" i="3"/>
  <c r="T17" i="6"/>
  <c r="T35" i="6"/>
  <c r="T18" i="9"/>
  <c r="T43" i="6"/>
  <c r="W61" i="13"/>
  <c r="U17" i="7"/>
  <c r="U46" i="11"/>
  <c r="U56" i="10"/>
  <c r="W10" i="3"/>
  <c r="U17" i="4"/>
  <c r="T19" i="9"/>
  <c r="T45" i="6"/>
  <c r="W18" i="23"/>
  <c r="U11" i="7"/>
  <c r="T34" i="6"/>
  <c r="U53" i="11"/>
  <c r="W60" i="21"/>
  <c r="T37" i="6"/>
  <c r="T18" i="5"/>
  <c r="F12" i="20"/>
  <c r="F123" i="18"/>
  <c r="F22" i="21"/>
  <c r="F26" i="21"/>
  <c r="F9" i="21"/>
  <c r="F195" i="18"/>
  <c r="F11" i="21"/>
  <c r="F6" i="20"/>
  <c r="F118" i="18"/>
  <c r="F17" i="21"/>
  <c r="F191" i="18"/>
  <c r="F203" i="18"/>
  <c r="F8" i="21"/>
  <c r="F175" i="18"/>
  <c r="F12" i="21"/>
  <c r="F9" i="20"/>
  <c r="F121" i="18"/>
  <c r="F37" i="21"/>
  <c r="F27" i="21"/>
  <c r="F14" i="21"/>
  <c r="F23" i="3"/>
  <c r="F19" i="21"/>
  <c r="D23" i="2"/>
  <c r="F49" i="21"/>
  <c r="F13" i="21"/>
  <c r="F10" i="21"/>
  <c r="F32" i="21"/>
  <c r="J167" i="18"/>
  <c r="J9" i="20"/>
  <c r="J121" i="18"/>
  <c r="J13" i="20"/>
  <c r="J124" i="18"/>
  <c r="J148" i="18"/>
  <c r="J116" i="18"/>
  <c r="J22" i="21"/>
  <c r="J159" i="18"/>
  <c r="J25" i="21"/>
  <c r="J178" i="18"/>
  <c r="J44" i="22"/>
  <c r="J130" i="18"/>
  <c r="J145" i="18"/>
  <c r="J31" i="21"/>
  <c r="J132" i="18"/>
  <c r="J23" i="21"/>
  <c r="J204" i="18"/>
  <c r="J187" i="18"/>
  <c r="J194" i="18"/>
  <c r="J208" i="18"/>
  <c r="J169" i="18"/>
  <c r="J185" i="18"/>
  <c r="J153" i="18"/>
  <c r="I202" i="18"/>
  <c r="I27" i="21"/>
  <c r="I193" i="18"/>
  <c r="I33" i="22"/>
  <c r="I204" i="18"/>
  <c r="I37" i="21"/>
  <c r="I17" i="21"/>
  <c r="I14" i="20"/>
  <c r="I125" i="18"/>
  <c r="I13" i="20"/>
  <c r="I124" i="18"/>
  <c r="I18" i="21"/>
  <c r="I200" i="18"/>
  <c r="I180" i="18"/>
  <c r="I11" i="20"/>
  <c r="I122" i="18"/>
  <c r="I8" i="22"/>
  <c r="I207" i="18"/>
  <c r="I13" i="21"/>
  <c r="I8" i="20"/>
  <c r="I120" i="18"/>
  <c r="I14" i="21"/>
  <c r="I35" i="21"/>
  <c r="I15" i="21"/>
  <c r="I21" i="22"/>
  <c r="I16" i="21"/>
  <c r="Q188" i="18"/>
  <c r="Q192" i="18"/>
  <c r="Q64" i="21"/>
  <c r="Q9" i="20"/>
  <c r="Q121" i="18"/>
  <c r="Q208" i="18"/>
  <c r="Q210" i="18"/>
  <c r="Q171" i="18"/>
  <c r="Q28" i="21"/>
  <c r="Q179" i="18"/>
  <c r="Q155" i="18"/>
  <c r="Q43" i="21"/>
  <c r="Q204" i="18"/>
  <c r="Q7" i="20"/>
  <c r="Q119" i="18"/>
  <c r="Q187" i="18"/>
  <c r="Q199" i="18"/>
  <c r="Q203" i="18"/>
  <c r="Q41" i="21"/>
  <c r="Q201" i="18"/>
  <c r="Q24" i="21"/>
  <c r="Q48" i="21"/>
  <c r="Q47" i="22"/>
  <c r="Q194" i="18"/>
  <c r="W35" i="6"/>
  <c r="W43" i="6"/>
  <c r="W38" i="6"/>
  <c r="W19" i="6"/>
  <c r="W33" i="6"/>
  <c r="W45" i="6"/>
  <c r="W18" i="6"/>
  <c r="X59" i="11"/>
  <c r="Z61" i="13"/>
  <c r="X17" i="7"/>
  <c r="X46" i="11"/>
  <c r="X56" i="10"/>
  <c r="Z10" i="3"/>
  <c r="X17" i="4"/>
  <c r="X53" i="11"/>
  <c r="Z60" i="21"/>
  <c r="W20" i="9"/>
  <c r="W18" i="9"/>
  <c r="X14" i="7"/>
  <c r="X41" i="11"/>
  <c r="X51" i="10"/>
  <c r="Z9" i="3"/>
  <c r="W39" i="6"/>
  <c r="W20" i="6"/>
  <c r="Z67" i="21"/>
  <c r="W21" i="9"/>
  <c r="W17" i="9"/>
  <c r="W34" i="6"/>
  <c r="X13" i="7"/>
  <c r="X12" i="7"/>
  <c r="W42" i="6"/>
  <c r="W19" i="5"/>
  <c r="D48" i="21"/>
  <c r="D193" i="18"/>
  <c r="D199" i="18"/>
  <c r="D13" i="21"/>
  <c r="D190" i="18"/>
  <c r="D21" i="22"/>
  <c r="D51" i="21"/>
  <c r="D203" i="18"/>
  <c r="D15" i="21"/>
  <c r="D14" i="20"/>
  <c r="D125" i="18"/>
  <c r="D177" i="18"/>
  <c r="D39" i="22"/>
  <c r="D16" i="21"/>
  <c r="D23" i="3"/>
  <c r="D19" i="21"/>
  <c r="D35" i="21"/>
  <c r="D7" i="20"/>
  <c r="D119" i="18"/>
  <c r="D144" i="18"/>
  <c r="D201" i="18"/>
  <c r="D35" i="22"/>
  <c r="D32" i="21"/>
  <c r="D42" i="21"/>
  <c r="D9" i="20"/>
  <c r="D121" i="18"/>
  <c r="Y46" i="21"/>
  <c r="Y9" i="21"/>
  <c r="Y147" i="18"/>
  <c r="Y15" i="21"/>
  <c r="Y11" i="20"/>
  <c r="Y122" i="18"/>
  <c r="Y35" i="21"/>
  <c r="Y180" i="18"/>
  <c r="Y207" i="18"/>
  <c r="Y6" i="20"/>
  <c r="Y118" i="18"/>
  <c r="Y195" i="18"/>
  <c r="Y163" i="18"/>
  <c r="Y33" i="21"/>
  <c r="Y8" i="21"/>
  <c r="Y202" i="18"/>
  <c r="G33" i="21"/>
  <c r="Y8" i="22"/>
  <c r="Y193" i="18"/>
  <c r="Y200" i="18"/>
  <c r="G22" i="21"/>
  <c r="G195" i="18"/>
  <c r="G11" i="21"/>
  <c r="Y179" i="18"/>
  <c r="G8" i="20"/>
  <c r="G120" i="18"/>
  <c r="G42" i="21"/>
  <c r="Y8" i="20"/>
  <c r="Y120" i="18"/>
  <c r="Y45" i="21"/>
  <c r="Y203" i="18"/>
  <c r="G18" i="21"/>
  <c r="Y24" i="21"/>
  <c r="G207" i="18"/>
  <c r="G14" i="20"/>
  <c r="G125" i="18"/>
  <c r="G16" i="22"/>
  <c r="G149" i="18"/>
  <c r="G8" i="21"/>
  <c r="G44" i="21"/>
  <c r="G23" i="3"/>
  <c r="G19" i="21"/>
  <c r="E23" i="2"/>
  <c r="G27" i="22"/>
  <c r="G198" i="18"/>
  <c r="G165" i="18"/>
  <c r="G6" i="20"/>
  <c r="G118" i="18"/>
  <c r="G10" i="21"/>
  <c r="G182" i="18"/>
  <c r="G200" i="18"/>
  <c r="G46" i="21"/>
  <c r="X25" i="21"/>
  <c r="X6" i="20"/>
  <c r="X118" i="18"/>
  <c r="X9" i="21"/>
  <c r="X33" i="21"/>
  <c r="X7" i="21"/>
  <c r="X8" i="21"/>
  <c r="X10" i="21"/>
  <c r="X24" i="21"/>
  <c r="X172" i="18"/>
  <c r="X8" i="20"/>
  <c r="X120" i="18"/>
  <c r="X12" i="21"/>
  <c r="X189" i="18"/>
  <c r="X11" i="21"/>
  <c r="X12" i="20"/>
  <c r="X123" i="18"/>
  <c r="X193" i="18"/>
  <c r="X207" i="18"/>
  <c r="X195" i="18"/>
  <c r="X29" i="21"/>
  <c r="X156" i="18"/>
  <c r="X16" i="22"/>
  <c r="X50" i="21"/>
  <c r="X198" i="18"/>
  <c r="V9" i="20"/>
  <c r="V121" i="18"/>
  <c r="V14" i="20"/>
  <c r="V125" i="18"/>
  <c r="V35" i="21"/>
  <c r="V37" i="22"/>
  <c r="V195" i="18"/>
  <c r="V7" i="20"/>
  <c r="V119" i="18"/>
  <c r="V12" i="21"/>
  <c r="V201" i="18"/>
  <c r="V10" i="21"/>
  <c r="V203" i="18"/>
  <c r="V31" i="21"/>
  <c r="V207" i="18"/>
  <c r="V9" i="21"/>
  <c r="V8" i="21"/>
  <c r="V62" i="21"/>
  <c r="T25" i="2"/>
  <c r="V142" i="18"/>
  <c r="V12" i="20"/>
  <c r="V123" i="18"/>
  <c r="V158" i="18"/>
  <c r="V174" i="18"/>
  <c r="V175" i="18"/>
  <c r="V48" i="21"/>
  <c r="V191" i="18"/>
  <c r="N24" i="21"/>
  <c r="N192" i="18"/>
  <c r="N182" i="18"/>
  <c r="N204" i="18"/>
  <c r="N30" i="21"/>
  <c r="N210" i="18"/>
  <c r="N23" i="21"/>
  <c r="N8" i="20"/>
  <c r="N120" i="18"/>
  <c r="N208" i="18"/>
  <c r="N202" i="18"/>
  <c r="N23" i="3"/>
  <c r="N19" i="21"/>
  <c r="L23" i="2"/>
  <c r="N11" i="20"/>
  <c r="N122" i="18"/>
  <c r="N166" i="18"/>
  <c r="N200" i="18"/>
  <c r="N11" i="22"/>
  <c r="N37" i="21"/>
  <c r="N198" i="18"/>
  <c r="N13" i="22"/>
  <c r="N22" i="21"/>
  <c r="N183" i="18"/>
  <c r="N16" i="3"/>
  <c r="N34" i="17"/>
  <c r="N6" i="19"/>
  <c r="N150" i="18"/>
  <c r="U16" i="3"/>
  <c r="U34" i="17"/>
  <c r="U6" i="19"/>
  <c r="U7" i="21"/>
  <c r="U28" i="22"/>
  <c r="U201" i="18"/>
  <c r="U23" i="21"/>
  <c r="U24" i="21"/>
  <c r="U184" i="18"/>
  <c r="U199" i="18"/>
  <c r="U203" i="18"/>
  <c r="U25" i="21"/>
  <c r="U9" i="20"/>
  <c r="U121" i="18"/>
  <c r="U51" i="21"/>
  <c r="U31" i="21"/>
  <c r="U193" i="18"/>
  <c r="U207" i="18"/>
  <c r="U28" i="21"/>
  <c r="U167" i="18"/>
  <c r="U22" i="21"/>
  <c r="U33" i="21"/>
  <c r="U183" i="18"/>
  <c r="U44" i="21"/>
  <c r="U151" i="18"/>
  <c r="O28" i="21"/>
  <c r="O210" i="18"/>
  <c r="O31" i="21"/>
  <c r="O11" i="20"/>
  <c r="O122" i="18"/>
  <c r="O13" i="20"/>
  <c r="O124" i="18"/>
  <c r="O16" i="3"/>
  <c r="O34" i="17"/>
  <c r="O6" i="19"/>
  <c r="O202" i="18"/>
  <c r="O35" i="21"/>
  <c r="O199" i="18"/>
  <c r="O8" i="20"/>
  <c r="O120" i="18"/>
  <c r="O173" i="18"/>
  <c r="O190" i="18"/>
  <c r="O201" i="18"/>
  <c r="O189" i="18"/>
  <c r="O30" i="21"/>
  <c r="O23" i="3"/>
  <c r="O19" i="21"/>
  <c r="M23" i="2"/>
  <c r="O194" i="18"/>
  <c r="O7" i="20"/>
  <c r="O119" i="18"/>
  <c r="O41" i="21"/>
  <c r="O157" i="18"/>
  <c r="O51" i="21"/>
  <c r="O9" i="20"/>
  <c r="O121" i="18"/>
  <c r="H59" i="11"/>
  <c r="G18" i="9"/>
  <c r="G45" i="6"/>
  <c r="H11" i="7"/>
  <c r="G40" i="6"/>
  <c r="H12" i="7"/>
  <c r="G33" i="6"/>
  <c r="J61" i="13"/>
  <c r="H17" i="7"/>
  <c r="H46" i="11"/>
  <c r="H56" i="10"/>
  <c r="J10" i="3"/>
  <c r="H17" i="4"/>
  <c r="H14" i="7"/>
  <c r="H41" i="11"/>
  <c r="H51" i="10"/>
  <c r="J9" i="3"/>
  <c r="J34" i="24"/>
  <c r="G21" i="9"/>
  <c r="G43" i="6"/>
  <c r="G18" i="6"/>
  <c r="G44" i="6"/>
  <c r="G37" i="6"/>
  <c r="G18" i="5"/>
  <c r="H13" i="7"/>
  <c r="G39" i="6"/>
  <c r="H53" i="11"/>
  <c r="J60" i="21"/>
  <c r="G21" i="5"/>
  <c r="G17" i="9"/>
  <c r="G38" i="6"/>
  <c r="G17" i="6"/>
  <c r="M202" i="18"/>
  <c r="M200" i="18"/>
  <c r="M159" i="18"/>
  <c r="M27" i="21"/>
  <c r="M18" i="22"/>
  <c r="M17" i="22"/>
  <c r="M210" i="18"/>
  <c r="M23" i="21"/>
  <c r="M33" i="21"/>
  <c r="M189" i="18"/>
  <c r="M11" i="20"/>
  <c r="M122" i="18"/>
  <c r="M204" i="18"/>
  <c r="M198" i="18"/>
  <c r="M208" i="18"/>
  <c r="M191" i="18"/>
  <c r="M143" i="18"/>
  <c r="M48" i="21"/>
  <c r="M49" i="22"/>
  <c r="M175" i="18"/>
  <c r="M6" i="20"/>
  <c r="M118" i="18"/>
  <c r="M8" i="20"/>
  <c r="M120" i="18"/>
  <c r="M18" i="21"/>
  <c r="K33" i="21"/>
  <c r="K200" i="18"/>
  <c r="K14" i="21"/>
  <c r="K191" i="18"/>
  <c r="K193" i="18"/>
  <c r="K8" i="20"/>
  <c r="K120" i="18"/>
  <c r="K6" i="20"/>
  <c r="K118" i="18"/>
  <c r="K178" i="18"/>
  <c r="K198" i="18"/>
  <c r="K11" i="20"/>
  <c r="K122" i="18"/>
  <c r="K49" i="22"/>
  <c r="K194" i="18"/>
  <c r="K161" i="18"/>
  <c r="K145" i="18"/>
  <c r="K177" i="18"/>
  <c r="K22" i="21"/>
  <c r="K17" i="21"/>
  <c r="K22" i="22"/>
  <c r="K14" i="20"/>
  <c r="K125" i="18"/>
  <c r="K13" i="20"/>
  <c r="K124" i="18"/>
  <c r="K16" i="21"/>
  <c r="K204" i="18"/>
  <c r="AA15" i="21"/>
  <c r="AA191" i="18"/>
  <c r="AA25" i="21"/>
  <c r="AA145" i="18"/>
  <c r="AA11" i="21"/>
  <c r="AA177" i="18"/>
  <c r="AA202" i="18"/>
  <c r="AA193" i="18"/>
  <c r="AA14" i="21"/>
  <c r="AA16" i="21"/>
  <c r="AA12" i="21"/>
  <c r="AA14" i="20"/>
  <c r="AA125" i="18"/>
  <c r="AA204" i="18"/>
  <c r="AA13" i="21"/>
  <c r="AA198" i="18"/>
  <c r="AA37" i="21"/>
  <c r="AA11" i="20"/>
  <c r="AA122" i="18"/>
  <c r="AA29" i="21"/>
  <c r="AA6" i="20"/>
  <c r="AA118" i="18"/>
  <c r="AA21" i="22"/>
  <c r="AA161" i="18"/>
  <c r="AA17" i="21"/>
  <c r="M133" i="18"/>
  <c r="M14" i="21"/>
  <c r="M201" i="18"/>
  <c r="M203" i="18"/>
  <c r="M49" i="21"/>
  <c r="M14" i="20"/>
  <c r="M125" i="18"/>
  <c r="M165" i="18"/>
  <c r="M9" i="22"/>
  <c r="M181" i="18"/>
  <c r="M149" i="18"/>
  <c r="M11" i="21"/>
  <c r="M9" i="21"/>
  <c r="M55" i="21"/>
  <c r="M13" i="21"/>
  <c r="M10" i="21"/>
  <c r="M15" i="21"/>
  <c r="M12" i="21"/>
  <c r="M193" i="18"/>
  <c r="M32" i="21"/>
  <c r="M184" i="18"/>
  <c r="M12" i="20"/>
  <c r="M123" i="18"/>
  <c r="M177" i="18"/>
  <c r="W203" i="18"/>
  <c r="W8" i="21"/>
  <c r="W195" i="18"/>
  <c r="W29" i="21"/>
  <c r="W181" i="18"/>
  <c r="W9" i="20"/>
  <c r="W121" i="18"/>
  <c r="W198" i="18"/>
  <c r="W10" i="21"/>
  <c r="W6" i="20"/>
  <c r="W118" i="18"/>
  <c r="W165" i="18"/>
  <c r="W149" i="18"/>
  <c r="W12" i="22"/>
  <c r="W201" i="18"/>
  <c r="W26" i="21"/>
  <c r="W7" i="20"/>
  <c r="W119" i="18"/>
  <c r="W23" i="21"/>
  <c r="W14" i="20"/>
  <c r="W125" i="18"/>
  <c r="W11" i="21"/>
  <c r="W62" i="21"/>
  <c r="U25" i="2"/>
  <c r="W37" i="21"/>
  <c r="W182" i="18"/>
  <c r="W50" i="21"/>
  <c r="H200" i="18"/>
  <c r="H12" i="20"/>
  <c r="H123" i="18"/>
  <c r="H17" i="21"/>
  <c r="H28" i="21"/>
  <c r="H35" i="21"/>
  <c r="H198" i="18"/>
  <c r="H8" i="20"/>
  <c r="H120" i="18"/>
  <c r="H30" i="21"/>
  <c r="H6" i="20"/>
  <c r="H118" i="18"/>
  <c r="H7" i="21"/>
  <c r="H15" i="21"/>
  <c r="H207" i="18"/>
  <c r="H11" i="21"/>
  <c r="H12" i="21"/>
  <c r="H10" i="21"/>
  <c r="H9" i="21"/>
  <c r="H188" i="18"/>
  <c r="H156" i="18"/>
  <c r="H195" i="18"/>
  <c r="H172" i="18"/>
  <c r="H17" i="22"/>
  <c r="H193" i="18"/>
  <c r="Z14" i="20"/>
  <c r="Z125" i="18"/>
  <c r="Z7" i="21"/>
  <c r="Z202" i="18"/>
  <c r="Z10" i="21"/>
  <c r="Z35" i="21"/>
  <c r="Z193" i="18"/>
  <c r="Z26" i="21"/>
  <c r="Z37" i="21"/>
  <c r="Z31" i="21"/>
  <c r="Z15" i="21"/>
  <c r="Z186" i="18"/>
  <c r="Z51" i="21"/>
  <c r="Z200" i="18"/>
  <c r="Z48" i="22"/>
  <c r="Z8" i="20"/>
  <c r="Z120" i="18"/>
  <c r="Z9" i="21"/>
  <c r="Z191" i="18"/>
  <c r="Z13" i="21"/>
  <c r="Z170" i="18"/>
  <c r="Z154" i="18"/>
  <c r="Z204" i="18"/>
  <c r="Z207" i="18"/>
  <c r="E35" i="21"/>
  <c r="E9" i="22"/>
  <c r="E203" i="18"/>
  <c r="E17" i="21"/>
  <c r="E27" i="22"/>
  <c r="E12" i="20"/>
  <c r="E123" i="18"/>
  <c r="E18" i="21"/>
  <c r="E199" i="18"/>
  <c r="E151" i="18"/>
  <c r="E176" i="18"/>
  <c r="E7" i="21"/>
  <c r="E9" i="20"/>
  <c r="E121" i="18"/>
  <c r="E201" i="18"/>
  <c r="E10" i="21"/>
  <c r="E28" i="21"/>
  <c r="E167" i="18"/>
  <c r="E184" i="18"/>
  <c r="E183" i="18"/>
  <c r="E28" i="22"/>
  <c r="E12" i="21"/>
  <c r="E207" i="18"/>
  <c r="E193" i="18"/>
  <c r="T208" i="18"/>
  <c r="T201" i="18"/>
  <c r="T28" i="21"/>
  <c r="T144" i="18"/>
  <c r="T190" i="18"/>
  <c r="T16" i="3"/>
  <c r="T34" i="17"/>
  <c r="T6" i="19"/>
  <c r="T185" i="18"/>
  <c r="T12" i="20"/>
  <c r="T123" i="18"/>
  <c r="T210" i="18"/>
  <c r="T50" i="21"/>
  <c r="T193" i="18"/>
  <c r="T184" i="18"/>
  <c r="T176" i="18"/>
  <c r="T199" i="18"/>
  <c r="T177" i="18"/>
  <c r="T23" i="21"/>
  <c r="T160" i="18"/>
  <c r="T37" i="22"/>
  <c r="T192" i="18"/>
  <c r="T7" i="20"/>
  <c r="T119" i="18"/>
  <c r="T14" i="20"/>
  <c r="T125" i="18"/>
  <c r="T64" i="21"/>
  <c r="P208" i="18"/>
  <c r="P22" i="22"/>
  <c r="P48" i="21"/>
  <c r="P28" i="22"/>
  <c r="P173" i="18"/>
  <c r="P199" i="18"/>
  <c r="P34" i="22"/>
  <c r="P23" i="22"/>
  <c r="P13" i="20"/>
  <c r="P124" i="18"/>
  <c r="P23" i="3"/>
  <c r="P19" i="21"/>
  <c r="N23" i="2"/>
  <c r="P16" i="3"/>
  <c r="P34" i="17"/>
  <c r="P6" i="19"/>
  <c r="P22" i="21"/>
  <c r="P148" i="18"/>
  <c r="P181" i="18"/>
  <c r="P204" i="18"/>
  <c r="P9" i="20"/>
  <c r="P121" i="18"/>
  <c r="P194" i="18"/>
  <c r="P46" i="21"/>
  <c r="P201" i="18"/>
  <c r="P7" i="20"/>
  <c r="P119" i="18"/>
  <c r="P180" i="18"/>
  <c r="P164" i="18"/>
  <c r="L27" i="22"/>
  <c r="L23" i="3"/>
  <c r="L19" i="21"/>
  <c r="J23" i="2"/>
  <c r="L23" i="21"/>
  <c r="L194" i="18"/>
  <c r="L202" i="18"/>
  <c r="L200" i="18"/>
  <c r="L41" i="21"/>
  <c r="L168" i="18"/>
  <c r="L32" i="21"/>
  <c r="L177" i="18"/>
  <c r="L44" i="21"/>
  <c r="L152" i="18"/>
  <c r="L18" i="21"/>
  <c r="L14" i="20"/>
  <c r="L125" i="18"/>
  <c r="L13" i="20"/>
  <c r="L124" i="18"/>
  <c r="L193" i="18"/>
  <c r="L208" i="18"/>
  <c r="L6" i="20"/>
  <c r="L118" i="18"/>
  <c r="L14" i="21"/>
  <c r="L184" i="18"/>
  <c r="L53" i="21"/>
  <c r="L198" i="18"/>
  <c r="F17" i="9"/>
  <c r="F39" i="6"/>
  <c r="F21" i="9"/>
  <c r="F42" i="6"/>
  <c r="F19" i="5"/>
  <c r="F33" i="6"/>
  <c r="F20" i="9"/>
  <c r="G11" i="7"/>
  <c r="I61" i="13"/>
  <c r="G17" i="7"/>
  <c r="G46" i="11"/>
  <c r="G56" i="10"/>
  <c r="I10" i="3"/>
  <c r="G17" i="4"/>
  <c r="F32" i="6"/>
  <c r="F17" i="5"/>
  <c r="G13" i="7"/>
  <c r="F43" i="6"/>
  <c r="I15" i="23"/>
  <c r="G57" i="11"/>
  <c r="G59" i="11"/>
  <c r="F20" i="6"/>
  <c r="F18" i="9"/>
  <c r="F40" i="6"/>
  <c r="I18" i="23"/>
  <c r="G14" i="7"/>
  <c r="G41" i="11"/>
  <c r="G51" i="10"/>
  <c r="I9" i="3"/>
  <c r="G12" i="7"/>
  <c r="F19" i="9"/>
  <c r="F19" i="6"/>
  <c r="F37" i="6"/>
  <c r="F18" i="5"/>
  <c r="J13" i="21"/>
  <c r="J186" i="18"/>
  <c r="J170" i="18"/>
  <c r="J12" i="22"/>
  <c r="J15" i="21"/>
  <c r="J14" i="20"/>
  <c r="J125" i="18"/>
  <c r="J195" i="18"/>
  <c r="J207" i="18"/>
  <c r="J6" i="20"/>
  <c r="J118" i="18"/>
  <c r="J179" i="18"/>
  <c r="J46" i="21"/>
  <c r="J27" i="21"/>
  <c r="J44" i="21"/>
  <c r="J49" i="21"/>
  <c r="J37" i="21"/>
  <c r="J154" i="18"/>
  <c r="J16" i="21"/>
  <c r="J193" i="18"/>
  <c r="J191" i="18"/>
  <c r="J28" i="21"/>
  <c r="J10" i="21"/>
  <c r="J202" i="18"/>
  <c r="S12" i="20"/>
  <c r="S123" i="18"/>
  <c r="S7" i="20"/>
  <c r="S119" i="18"/>
  <c r="S210" i="18"/>
  <c r="S199" i="18"/>
  <c r="S11" i="22"/>
  <c r="S29" i="22"/>
  <c r="S23" i="3"/>
  <c r="S19" i="21"/>
  <c r="Q23" i="2"/>
  <c r="S185" i="18"/>
  <c r="S195" i="18"/>
  <c r="S190" i="18"/>
  <c r="S153" i="18"/>
  <c r="S13" i="20"/>
  <c r="S124" i="18"/>
  <c r="S43" i="21"/>
  <c r="S44" i="22"/>
  <c r="S178" i="18"/>
  <c r="S203" i="18"/>
  <c r="S16" i="3"/>
  <c r="S34" i="17"/>
  <c r="S6" i="19"/>
  <c r="S24" i="21"/>
  <c r="S22" i="21"/>
  <c r="S169" i="18"/>
  <c r="S194" i="18"/>
  <c r="S208" i="18"/>
  <c r="C196" i="18"/>
  <c r="C67" i="18"/>
  <c r="C16" i="20"/>
  <c r="C137" i="18"/>
  <c r="C90" i="18"/>
  <c r="C135" i="18"/>
  <c r="C136" i="18"/>
  <c r="C23" i="20"/>
  <c r="C139" i="18"/>
  <c r="C211" i="18"/>
  <c r="C140" i="18"/>
  <c r="C206" i="18"/>
  <c r="C100" i="18"/>
  <c r="C24" i="20"/>
  <c r="C138" i="18"/>
  <c r="C93" i="18"/>
  <c r="C205" i="18"/>
  <c r="C18" i="20"/>
  <c r="C19" i="20"/>
  <c r="C209" i="18"/>
  <c r="C115" i="18"/>
  <c r="C22" i="20"/>
  <c r="P200" i="18"/>
  <c r="P7" i="21"/>
  <c r="P170" i="18"/>
  <c r="P198" i="18"/>
  <c r="P16" i="21"/>
  <c r="P15" i="21"/>
  <c r="P18" i="21"/>
  <c r="P11" i="20"/>
  <c r="P122" i="18"/>
  <c r="P182" i="18"/>
  <c r="P189" i="18"/>
  <c r="P42" i="21"/>
  <c r="P166" i="18"/>
  <c r="P6" i="20"/>
  <c r="P118" i="18"/>
  <c r="P17" i="21"/>
  <c r="P32" i="21"/>
  <c r="P9" i="21"/>
  <c r="P207" i="18"/>
  <c r="P202" i="18"/>
  <c r="P8" i="20"/>
  <c r="P120" i="18"/>
  <c r="P14" i="21"/>
  <c r="P154" i="18"/>
  <c r="P186" i="18"/>
  <c r="F180" i="18"/>
  <c r="F18" i="22"/>
  <c r="F190" i="18"/>
  <c r="F13" i="20"/>
  <c r="F124" i="18"/>
  <c r="F183" i="18"/>
  <c r="F24" i="3"/>
  <c r="F38" i="21"/>
  <c r="F158" i="18"/>
  <c r="F192" i="18"/>
  <c r="F9" i="22"/>
  <c r="F31" i="21"/>
  <c r="F142" i="18"/>
  <c r="F148" i="18"/>
  <c r="F174" i="18"/>
  <c r="F201" i="18"/>
  <c r="F7" i="20"/>
  <c r="F119" i="18"/>
  <c r="F204" i="18"/>
  <c r="F47" i="21"/>
  <c r="F199" i="18"/>
  <c r="F176" i="18"/>
  <c r="F16" i="3"/>
  <c r="F34" i="17"/>
  <c r="F6" i="19"/>
  <c r="F132" i="18"/>
  <c r="F164" i="18"/>
  <c r="C16" i="3"/>
  <c r="C34" i="17"/>
  <c r="C6" i="19"/>
  <c r="C194" i="18"/>
  <c r="C42" i="21"/>
  <c r="C201" i="18"/>
  <c r="C208" i="18"/>
  <c r="C199" i="18"/>
  <c r="C178" i="18"/>
  <c r="C153" i="18"/>
  <c r="Q11" i="20"/>
  <c r="Q122" i="18"/>
  <c r="C7" i="20"/>
  <c r="C119" i="18"/>
  <c r="Q7" i="21"/>
  <c r="C210" i="18"/>
  <c r="Q53" i="21"/>
  <c r="C171" i="18"/>
  <c r="C26" i="21"/>
  <c r="Q14" i="20"/>
  <c r="Q125" i="18"/>
  <c r="Q173" i="18"/>
  <c r="C25" i="21"/>
  <c r="C185" i="18"/>
  <c r="Q8" i="21"/>
  <c r="Q11" i="21"/>
  <c r="C34" i="21"/>
  <c r="Q17" i="21"/>
  <c r="C8" i="21"/>
  <c r="Q193" i="18"/>
  <c r="C169" i="18"/>
  <c r="C47" i="21"/>
  <c r="Q202" i="18"/>
  <c r="Q145" i="18"/>
  <c r="C187" i="18"/>
  <c r="Q8" i="20"/>
  <c r="Q120" i="18"/>
  <c r="C7" i="21"/>
  <c r="Q129" i="18"/>
  <c r="Q9" i="21"/>
  <c r="C24" i="21"/>
  <c r="C9" i="21"/>
  <c r="Q10" i="21"/>
  <c r="Q180" i="18"/>
  <c r="Q161" i="18"/>
  <c r="Q27" i="21"/>
  <c r="Q189" i="18"/>
  <c r="Q177" i="18"/>
  <c r="Q45" i="21"/>
  <c r="Q34" i="21"/>
  <c r="R168" i="18"/>
  <c r="R14" i="20"/>
  <c r="R125" i="18"/>
  <c r="R204" i="18"/>
  <c r="R194" i="18"/>
  <c r="R26" i="21"/>
  <c r="R178" i="18"/>
  <c r="R184" i="18"/>
  <c r="R11" i="20"/>
  <c r="R122" i="18"/>
  <c r="R30" i="21"/>
  <c r="R8" i="21"/>
  <c r="R162" i="18"/>
  <c r="R13" i="20"/>
  <c r="R124" i="18"/>
  <c r="R202" i="18"/>
  <c r="R152" i="18"/>
  <c r="R36" i="21"/>
  <c r="R180" i="18"/>
  <c r="R208" i="18"/>
  <c r="R23" i="22"/>
  <c r="R187" i="18"/>
  <c r="R146" i="18"/>
  <c r="R13" i="22"/>
  <c r="R53" i="21"/>
  <c r="X181" i="18"/>
  <c r="X194" i="18"/>
  <c r="X44" i="21"/>
  <c r="X130" i="18"/>
  <c r="X190" i="18"/>
  <c r="X199" i="18"/>
  <c r="X146" i="18"/>
  <c r="X18" i="21"/>
  <c r="X47" i="21"/>
  <c r="X178" i="18"/>
  <c r="X16" i="3"/>
  <c r="X34" i="17"/>
  <c r="X6" i="19"/>
  <c r="X203" i="18"/>
  <c r="X174" i="18"/>
  <c r="X9" i="20"/>
  <c r="X121" i="18"/>
  <c r="X28" i="21"/>
  <c r="X162" i="18"/>
  <c r="X208" i="18"/>
  <c r="X14" i="22"/>
  <c r="X42" i="22"/>
  <c r="X7" i="20"/>
  <c r="X119" i="18"/>
  <c r="X201" i="18"/>
  <c r="X188" i="18"/>
  <c r="I153" i="18"/>
  <c r="I12" i="20"/>
  <c r="I123" i="18"/>
  <c r="I147" i="18"/>
  <c r="I8" i="21"/>
  <c r="I185" i="18"/>
  <c r="I9" i="21"/>
  <c r="I9" i="20"/>
  <c r="I121" i="18"/>
  <c r="I181" i="18"/>
  <c r="I163" i="18"/>
  <c r="I24" i="21"/>
  <c r="I210" i="18"/>
  <c r="I195" i="18"/>
  <c r="I49" i="21"/>
  <c r="I31" i="21"/>
  <c r="I188" i="18"/>
  <c r="I42" i="21"/>
  <c r="I169" i="18"/>
  <c r="I23" i="22"/>
  <c r="I172" i="18"/>
  <c r="I47" i="21"/>
  <c r="I179" i="18"/>
  <c r="I203" i="18"/>
  <c r="Z160" i="18"/>
  <c r="Z201" i="18"/>
  <c r="Z176" i="18"/>
  <c r="Z188" i="18"/>
  <c r="Z179" i="18"/>
  <c r="Z128" i="18"/>
  <c r="Z42" i="21"/>
  <c r="Z172" i="18"/>
  <c r="Z210" i="18"/>
  <c r="Z144" i="18"/>
  <c r="Z27" i="21"/>
  <c r="Z192" i="18"/>
  <c r="Z203" i="18"/>
  <c r="Z23" i="21"/>
  <c r="Z61" i="21"/>
  <c r="Z32" i="22"/>
  <c r="Z195" i="18"/>
  <c r="Z12" i="20"/>
  <c r="Z123" i="18"/>
  <c r="Z9" i="20"/>
  <c r="Z121" i="18"/>
  <c r="Z29" i="22"/>
  <c r="Z13" i="22"/>
  <c r="Z28" i="21"/>
  <c r="W134" i="18"/>
  <c r="W18" i="20"/>
  <c r="W137" i="18"/>
  <c r="W19" i="24"/>
  <c r="W197" i="18"/>
  <c r="W135" i="18"/>
  <c r="W23" i="20"/>
  <c r="W95" i="18"/>
  <c r="W206" i="18"/>
  <c r="W209" i="18"/>
  <c r="W19" i="20"/>
  <c r="W24" i="20"/>
  <c r="W196" i="18"/>
  <c r="W17" i="20"/>
  <c r="W139" i="18"/>
  <c r="W21" i="20"/>
  <c r="W205" i="18"/>
  <c r="W211" i="18"/>
  <c r="W22" i="20"/>
  <c r="W25" i="24"/>
  <c r="W16" i="20"/>
  <c r="W136" i="18"/>
  <c r="D150" i="18"/>
  <c r="D210" i="18"/>
  <c r="D176" i="18"/>
  <c r="D202" i="18"/>
  <c r="D194" i="18"/>
  <c r="D182" i="18"/>
  <c r="D160" i="18"/>
  <c r="D178" i="18"/>
  <c r="D208" i="18"/>
  <c r="D207" i="18"/>
  <c r="D185" i="18"/>
  <c r="D192" i="18"/>
  <c r="D198" i="18"/>
  <c r="D11" i="20"/>
  <c r="D122" i="18"/>
  <c r="D36" i="21"/>
  <c r="D16" i="3"/>
  <c r="D34" i="17"/>
  <c r="D6" i="19"/>
  <c r="D17" i="21"/>
  <c r="D200" i="18"/>
  <c r="D50" i="21"/>
  <c r="D166" i="18"/>
  <c r="D23" i="21"/>
  <c r="D8" i="20"/>
  <c r="D120" i="18"/>
  <c r="T34" i="21"/>
  <c r="T207" i="18"/>
  <c r="T42" i="21"/>
  <c r="T10" i="21"/>
  <c r="T166" i="18"/>
  <c r="T8" i="20"/>
  <c r="T120" i="18"/>
  <c r="T6" i="20"/>
  <c r="T118" i="18"/>
  <c r="T178" i="18"/>
  <c r="T16" i="21"/>
  <c r="T12" i="21"/>
  <c r="T150" i="18"/>
  <c r="T182" i="18"/>
  <c r="T23" i="3"/>
  <c r="T19" i="21"/>
  <c r="R23" i="2"/>
  <c r="T13" i="20"/>
  <c r="T124" i="18"/>
  <c r="T18" i="22"/>
  <c r="T194" i="18"/>
  <c r="T14" i="21"/>
  <c r="T200" i="18"/>
  <c r="T13" i="21"/>
  <c r="T15" i="21"/>
  <c r="T198" i="18"/>
  <c r="T11" i="21"/>
  <c r="W24" i="21"/>
  <c r="W13" i="20"/>
  <c r="W124" i="18"/>
  <c r="W33" i="21"/>
  <c r="W190" i="18"/>
  <c r="W199" i="18"/>
  <c r="O42" i="22"/>
  <c r="W204" i="18"/>
  <c r="W24" i="3"/>
  <c r="W38" i="21"/>
  <c r="O200" i="18"/>
  <c r="W187" i="18"/>
  <c r="O204" i="18"/>
  <c r="O179" i="18"/>
  <c r="W15" i="21"/>
  <c r="W171" i="18"/>
  <c r="O29" i="21"/>
  <c r="O49" i="21"/>
  <c r="O198" i="18"/>
  <c r="W183" i="18"/>
  <c r="W22" i="21"/>
  <c r="W155" i="18"/>
  <c r="O14" i="20"/>
  <c r="O125" i="18"/>
  <c r="W167" i="18"/>
  <c r="O131" i="18"/>
  <c r="W174" i="18"/>
  <c r="O191" i="18"/>
  <c r="O175" i="18"/>
  <c r="W16" i="21"/>
  <c r="W47" i="21"/>
  <c r="O6" i="20"/>
  <c r="O118" i="18"/>
  <c r="W18" i="21"/>
  <c r="O182" i="18"/>
  <c r="W12" i="20"/>
  <c r="W123" i="18"/>
  <c r="W16" i="3"/>
  <c r="W34" i="17"/>
  <c r="W6" i="19"/>
  <c r="O16" i="21"/>
  <c r="W17" i="21"/>
  <c r="O207" i="18"/>
  <c r="W23" i="22"/>
  <c r="O18" i="22"/>
  <c r="O147" i="18"/>
  <c r="O14" i="21"/>
  <c r="O24" i="3"/>
  <c r="O38" i="21"/>
  <c r="O18" i="21"/>
  <c r="O163" i="18"/>
  <c r="O195" i="18"/>
  <c r="L11" i="21"/>
  <c r="L158" i="18"/>
  <c r="L26" i="21"/>
  <c r="L170" i="18"/>
  <c r="L25" i="21"/>
  <c r="L174" i="18"/>
  <c r="L199" i="18"/>
  <c r="L9" i="20"/>
  <c r="L121" i="18"/>
  <c r="L39" i="22"/>
  <c r="L34" i="21"/>
  <c r="L126" i="18"/>
  <c r="L9" i="21"/>
  <c r="L13" i="21"/>
  <c r="L8" i="20"/>
  <c r="L120" i="18"/>
  <c r="L7" i="20"/>
  <c r="L119" i="18"/>
  <c r="L29" i="21"/>
  <c r="L27" i="21"/>
  <c r="L142" i="18"/>
  <c r="L186" i="18"/>
  <c r="L190" i="18"/>
  <c r="L201" i="18"/>
  <c r="L207" i="18"/>
  <c r="G208" i="18"/>
  <c r="G9" i="20"/>
  <c r="G121" i="18"/>
  <c r="G174" i="18"/>
  <c r="G167" i="18"/>
  <c r="G199" i="18"/>
  <c r="G171" i="18"/>
  <c r="G12" i="20"/>
  <c r="G123" i="18"/>
  <c r="G50" i="21"/>
  <c r="G201" i="18"/>
  <c r="G61" i="21"/>
  <c r="G203" i="18"/>
  <c r="G29" i="21"/>
  <c r="G187" i="18"/>
  <c r="G7" i="20"/>
  <c r="G119" i="18"/>
  <c r="G190" i="18"/>
  <c r="G26" i="21"/>
  <c r="G36" i="21"/>
  <c r="G16" i="3"/>
  <c r="G34" i="17"/>
  <c r="G6" i="19"/>
  <c r="G181" i="18"/>
  <c r="G183" i="18"/>
  <c r="G155" i="18"/>
  <c r="G24" i="21"/>
  <c r="J12" i="20"/>
  <c r="J123" i="18"/>
  <c r="J29" i="21"/>
  <c r="J201" i="18"/>
  <c r="J176" i="18"/>
  <c r="J199" i="18"/>
  <c r="J9" i="21"/>
  <c r="J172" i="18"/>
  <c r="J16" i="3"/>
  <c r="J34" i="17"/>
  <c r="J6" i="19"/>
  <c r="J30" i="22"/>
  <c r="J11" i="21"/>
  <c r="J203" i="18"/>
  <c r="J128" i="18"/>
  <c r="J144" i="18"/>
  <c r="J7" i="21"/>
  <c r="J192" i="18"/>
  <c r="J188" i="18"/>
  <c r="J11" i="20"/>
  <c r="J122" i="18"/>
  <c r="J160" i="18"/>
  <c r="J26" i="21"/>
  <c r="J43" i="21"/>
  <c r="J210" i="18"/>
  <c r="J8" i="21"/>
  <c r="V16" i="3"/>
  <c r="V34" i="17"/>
  <c r="V6" i="19"/>
  <c r="V17" i="21"/>
  <c r="V210" i="18"/>
  <c r="V19" i="22"/>
  <c r="V192" i="18"/>
  <c r="V30" i="21"/>
  <c r="V11" i="20"/>
  <c r="V122" i="18"/>
  <c r="V15" i="21"/>
  <c r="V32" i="21"/>
  <c r="V36" i="21"/>
  <c r="V22" i="21"/>
  <c r="V199" i="18"/>
  <c r="V183" i="18"/>
  <c r="V180" i="18"/>
  <c r="V132" i="18"/>
  <c r="V202" i="18"/>
  <c r="V190" i="18"/>
  <c r="V148" i="18"/>
  <c r="V204" i="18"/>
  <c r="V50" i="21"/>
  <c r="V164" i="18"/>
  <c r="V176" i="18"/>
  <c r="W59" i="11"/>
  <c r="V32" i="6"/>
  <c r="V17" i="5"/>
  <c r="Y61" i="13"/>
  <c r="W17" i="7"/>
  <c r="W46" i="11"/>
  <c r="W56" i="10"/>
  <c r="Y10" i="3"/>
  <c r="W17" i="4"/>
  <c r="W12" i="7"/>
  <c r="V40" i="6"/>
  <c r="V19" i="6"/>
  <c r="W53" i="11"/>
  <c r="Y60" i="21"/>
  <c r="V38" i="6"/>
  <c r="V17" i="9"/>
  <c r="V43" i="6"/>
  <c r="Y67" i="21"/>
  <c r="V42" i="6"/>
  <c r="V19" i="5"/>
  <c r="W14" i="7"/>
  <c r="W41" i="11"/>
  <c r="W51" i="10"/>
  <c r="Y9" i="3"/>
  <c r="V17" i="6"/>
  <c r="V33" i="6"/>
  <c r="V18" i="9"/>
  <c r="W11" i="7"/>
  <c r="W13" i="7"/>
  <c r="V37" i="6"/>
  <c r="V18" i="5"/>
  <c r="V39" i="6"/>
  <c r="V19" i="9"/>
  <c r="V20" i="6"/>
  <c r="Q59" i="11"/>
  <c r="P32" i="6"/>
  <c r="P17" i="5"/>
  <c r="P40" i="6"/>
  <c r="P20" i="9"/>
  <c r="P18" i="6"/>
  <c r="P38" i="6"/>
  <c r="Q13" i="7"/>
  <c r="P20" i="6"/>
  <c r="S35" i="24"/>
  <c r="P19" i="9"/>
  <c r="P17" i="9"/>
  <c r="S8" i="23"/>
  <c r="P19" i="6"/>
  <c r="P42" i="6"/>
  <c r="P19" i="5"/>
  <c r="P33" i="6"/>
  <c r="P20" i="5"/>
  <c r="P43" i="6"/>
  <c r="S61" i="13"/>
  <c r="Q17" i="7"/>
  <c r="Q46" i="11"/>
  <c r="Q56" i="10"/>
  <c r="S10" i="3"/>
  <c r="Q17" i="4"/>
  <c r="P34" i="6"/>
  <c r="P44" i="6"/>
  <c r="Q14" i="7"/>
  <c r="Q41" i="11"/>
  <c r="Q51" i="10"/>
  <c r="S9" i="3"/>
  <c r="P45" i="6"/>
  <c r="S127" i="18"/>
  <c r="S143" i="18"/>
  <c r="S171" i="18"/>
  <c r="S204" i="18"/>
  <c r="S13" i="22"/>
  <c r="S6" i="20"/>
  <c r="S118" i="18"/>
  <c r="S200" i="18"/>
  <c r="S28" i="21"/>
  <c r="S9" i="20"/>
  <c r="S121" i="18"/>
  <c r="S10" i="21"/>
  <c r="S159" i="18"/>
  <c r="S40" i="22"/>
  <c r="S191" i="18"/>
  <c r="S26" i="21"/>
  <c r="S12" i="21"/>
  <c r="S42" i="21"/>
  <c r="S14" i="21"/>
  <c r="S27" i="21"/>
  <c r="S30" i="21"/>
  <c r="S187" i="18"/>
  <c r="S31" i="22"/>
  <c r="S175" i="18"/>
  <c r="S16" i="20"/>
  <c r="S17" i="20"/>
  <c r="S205" i="18"/>
  <c r="S22" i="20"/>
  <c r="S24" i="20"/>
  <c r="S196" i="18"/>
  <c r="S209" i="18"/>
  <c r="S115" i="18"/>
  <c r="S23" i="20"/>
  <c r="S135" i="18"/>
  <c r="S100" i="18"/>
  <c r="S18" i="20"/>
  <c r="S211" i="18"/>
  <c r="S141" i="18"/>
  <c r="S140" i="18"/>
  <c r="S137" i="18"/>
  <c r="S134" i="18"/>
  <c r="S206" i="18"/>
  <c r="S25" i="24"/>
  <c r="P27" i="6"/>
  <c r="S66" i="21"/>
  <c r="S19" i="20"/>
  <c r="S197" i="18"/>
  <c r="H7" i="20"/>
  <c r="H119" i="18"/>
  <c r="H8" i="21"/>
  <c r="H13" i="21"/>
  <c r="H174" i="18"/>
  <c r="H24" i="3"/>
  <c r="H38" i="21"/>
  <c r="H210" i="18"/>
  <c r="H9" i="20"/>
  <c r="H121" i="18"/>
  <c r="H31" i="21"/>
  <c r="H13" i="20"/>
  <c r="H124" i="18"/>
  <c r="H194" i="18"/>
  <c r="H208" i="18"/>
  <c r="H201" i="18"/>
  <c r="H181" i="18"/>
  <c r="H203" i="18"/>
  <c r="H146" i="18"/>
  <c r="H178" i="18"/>
  <c r="H162" i="18"/>
  <c r="H37" i="21"/>
  <c r="H24" i="21"/>
  <c r="H49" i="21"/>
  <c r="H190" i="18"/>
  <c r="H130" i="18"/>
  <c r="Y24" i="3"/>
  <c r="Y38" i="21"/>
  <c r="Y29" i="22"/>
  <c r="Y153" i="18"/>
  <c r="Y208" i="18"/>
  <c r="Y27" i="21"/>
  <c r="Y7" i="20"/>
  <c r="Y119" i="18"/>
  <c r="Y172" i="18"/>
  <c r="Y44" i="21"/>
  <c r="Y37" i="21"/>
  <c r="Y181" i="18"/>
  <c r="Y188" i="18"/>
  <c r="Y22" i="21"/>
  <c r="Y165" i="18"/>
  <c r="Y210" i="18"/>
  <c r="Y201" i="18"/>
  <c r="Y9" i="20"/>
  <c r="Y121" i="18"/>
  <c r="Y12" i="20"/>
  <c r="Y123" i="18"/>
  <c r="Y185" i="18"/>
  <c r="Y13" i="20"/>
  <c r="Y124" i="18"/>
  <c r="Y23" i="3"/>
  <c r="Y19" i="21"/>
  <c r="W23" i="2"/>
  <c r="Y169" i="18"/>
  <c r="Y24" i="22"/>
  <c r="U42" i="6"/>
  <c r="U19" i="5"/>
  <c r="X14" i="23"/>
  <c r="U32" i="6"/>
  <c r="U17" i="5"/>
  <c r="U39" i="6"/>
  <c r="V13" i="7"/>
  <c r="U18" i="9"/>
  <c r="U37" i="6"/>
  <c r="U18" i="5"/>
  <c r="V59" i="11"/>
  <c r="U17" i="6"/>
  <c r="U34" i="6"/>
  <c r="U20" i="9"/>
  <c r="X61" i="13"/>
  <c r="V17" i="7"/>
  <c r="V46" i="11"/>
  <c r="V56" i="10"/>
  <c r="X10" i="3"/>
  <c r="V17" i="4"/>
  <c r="U17" i="9"/>
  <c r="V11" i="7"/>
  <c r="U21" i="9"/>
  <c r="U43" i="6"/>
  <c r="U19" i="9"/>
  <c r="U20" i="6"/>
  <c r="U33" i="6"/>
  <c r="U38" i="6"/>
  <c r="X67" i="21"/>
  <c r="V14" i="7"/>
  <c r="V41" i="11"/>
  <c r="V51" i="10"/>
  <c r="X9" i="3"/>
  <c r="Y205" i="18"/>
  <c r="Y209" i="18"/>
  <c r="Y24" i="20"/>
  <c r="Y138" i="18"/>
  <c r="Y196" i="18"/>
  <c r="Y67" i="18"/>
  <c r="V27" i="6"/>
  <c r="Y66" i="21"/>
  <c r="Y17" i="20"/>
  <c r="Y90" i="18"/>
  <c r="Y206" i="18"/>
  <c r="Y16" i="20"/>
  <c r="Y21" i="20"/>
  <c r="Y93" i="18"/>
  <c r="Y137" i="18"/>
  <c r="Y140" i="18"/>
  <c r="Y197" i="18"/>
  <c r="Y48" i="24"/>
  <c r="Y45" i="24"/>
  <c r="Y18" i="20"/>
  <c r="Y211" i="18"/>
  <c r="Y22" i="20"/>
  <c r="Y139" i="18"/>
  <c r="E25" i="21"/>
  <c r="E34" i="21"/>
  <c r="E26" i="21"/>
  <c r="E202" i="18"/>
  <c r="E14" i="20"/>
  <c r="E125" i="18"/>
  <c r="E16" i="3"/>
  <c r="E34" i="17"/>
  <c r="E6" i="19"/>
  <c r="E204" i="18"/>
  <c r="E157" i="18"/>
  <c r="E25" i="22"/>
  <c r="E185" i="18"/>
  <c r="E11" i="20"/>
  <c r="E122" i="18"/>
  <c r="E62" i="21"/>
  <c r="C25" i="2"/>
  <c r="E7" i="20"/>
  <c r="E119" i="18"/>
  <c r="E13" i="20"/>
  <c r="E124" i="18"/>
  <c r="E210" i="18"/>
  <c r="E8" i="21"/>
  <c r="E23" i="21"/>
  <c r="E169" i="18"/>
  <c r="E173" i="18"/>
  <c r="E189" i="18"/>
  <c r="E44" i="21"/>
  <c r="E192" i="18"/>
  <c r="K10" i="22"/>
  <c r="K199" i="18"/>
  <c r="K151" i="18"/>
  <c r="K186" i="18"/>
  <c r="K183" i="18"/>
  <c r="K55" i="21"/>
  <c r="K39" i="22"/>
  <c r="K167" i="18"/>
  <c r="K13" i="21"/>
  <c r="K18" i="21"/>
  <c r="K179" i="18"/>
  <c r="K25" i="21"/>
  <c r="K16" i="3"/>
  <c r="K34" i="17"/>
  <c r="K6" i="19"/>
  <c r="K7" i="21"/>
  <c r="K207" i="18"/>
  <c r="K11" i="21"/>
  <c r="K195" i="18"/>
  <c r="K12" i="21"/>
  <c r="K208" i="18"/>
  <c r="K15" i="21"/>
  <c r="K7" i="20"/>
  <c r="K119" i="18"/>
  <c r="K11" i="22"/>
  <c r="T12" i="7"/>
  <c r="S20" i="9"/>
  <c r="S19" i="9"/>
  <c r="S20" i="5"/>
  <c r="S18" i="9"/>
  <c r="S17" i="9"/>
  <c r="S20" i="6"/>
  <c r="V67" i="21"/>
  <c r="T59" i="11"/>
  <c r="S32" i="6"/>
  <c r="S17" i="5"/>
  <c r="S35" i="6"/>
  <c r="S21" i="9"/>
  <c r="V14" i="23"/>
  <c r="S40" i="6"/>
  <c r="S42" i="6"/>
  <c r="S19" i="5"/>
  <c r="V61" i="13"/>
  <c r="T17" i="7"/>
  <c r="T46" i="11"/>
  <c r="T56" i="10"/>
  <c r="V10" i="3"/>
  <c r="T17" i="4"/>
  <c r="S45" i="6"/>
  <c r="S37" i="6"/>
  <c r="S18" i="5"/>
  <c r="S19" i="6"/>
  <c r="T14" i="7"/>
  <c r="T41" i="11"/>
  <c r="T51" i="10"/>
  <c r="V9" i="3"/>
  <c r="S21" i="5"/>
  <c r="T11" i="7"/>
  <c r="E44" i="6"/>
  <c r="F59" i="11"/>
  <c r="E18" i="9"/>
  <c r="F11" i="7"/>
  <c r="E40" i="6"/>
  <c r="E37" i="6"/>
  <c r="E18" i="5"/>
  <c r="F53" i="11"/>
  <c r="H60" i="21"/>
  <c r="H61" i="13"/>
  <c r="F17" i="7"/>
  <c r="F46" i="11"/>
  <c r="F56" i="10"/>
  <c r="H10" i="3"/>
  <c r="F17" i="4"/>
  <c r="E17" i="9"/>
  <c r="E43" i="6"/>
  <c r="E42" i="6"/>
  <c r="E19" i="5"/>
  <c r="E32" i="6"/>
  <c r="E17" i="5"/>
  <c r="E21" i="9"/>
  <c r="E18" i="6"/>
  <c r="E45" i="6"/>
  <c r="H34" i="24"/>
  <c r="F14" i="7"/>
  <c r="F41" i="11"/>
  <c r="F51" i="10"/>
  <c r="H9" i="3"/>
  <c r="E33" i="6"/>
  <c r="E17" i="6"/>
  <c r="E39" i="6"/>
  <c r="F13" i="7"/>
  <c r="E20" i="9"/>
  <c r="AA203" i="18"/>
  <c r="AA183" i="18"/>
  <c r="AA208" i="18"/>
  <c r="AA167" i="18"/>
  <c r="AA49" i="21"/>
  <c r="AA19" i="22"/>
  <c r="AA16" i="3"/>
  <c r="AA34" i="17"/>
  <c r="AA6" i="19"/>
  <c r="AA210" i="18"/>
  <c r="AA46" i="21"/>
  <c r="AA41" i="21"/>
  <c r="AA207" i="18"/>
  <c r="AA64" i="21"/>
  <c r="AA40" i="22"/>
  <c r="AA151" i="18"/>
  <c r="AA14" i="22"/>
  <c r="AA186" i="18"/>
  <c r="AA24" i="21"/>
  <c r="AA12" i="20"/>
  <c r="AA123" i="18"/>
  <c r="AA179" i="18"/>
  <c r="AA18" i="21"/>
  <c r="AA195" i="18"/>
  <c r="AA199" i="18"/>
  <c r="R34" i="6"/>
  <c r="R40" i="6"/>
  <c r="S13" i="7"/>
  <c r="R39" i="6"/>
  <c r="R38" i="6"/>
  <c r="R20" i="6"/>
  <c r="S14" i="7"/>
  <c r="S41" i="11"/>
  <c r="S51" i="10"/>
  <c r="U9" i="3"/>
  <c r="U10" i="23"/>
  <c r="R37" i="6"/>
  <c r="R18" i="5"/>
  <c r="R18" i="6"/>
  <c r="R19" i="6"/>
  <c r="U23" i="23"/>
  <c r="U61" i="13"/>
  <c r="S17" i="7"/>
  <c r="S46" i="11"/>
  <c r="S56" i="10"/>
  <c r="U10" i="3"/>
  <c r="S17" i="4"/>
  <c r="R20" i="5"/>
  <c r="R17" i="9"/>
  <c r="S11" i="7"/>
  <c r="R18" i="9"/>
  <c r="R20" i="9"/>
  <c r="S59" i="11"/>
  <c r="R44" i="6"/>
  <c r="R17" i="6"/>
  <c r="R19" i="9"/>
  <c r="U13" i="21"/>
  <c r="U173" i="18"/>
  <c r="U26" i="21"/>
  <c r="U11" i="20"/>
  <c r="U122" i="18"/>
  <c r="U176" i="18"/>
  <c r="U7" i="20"/>
  <c r="U119" i="18"/>
  <c r="U202" i="18"/>
  <c r="U208" i="18"/>
  <c r="U64" i="21"/>
  <c r="U8" i="20"/>
  <c r="U120" i="18"/>
  <c r="U53" i="21"/>
  <c r="U14" i="22"/>
  <c r="U157" i="18"/>
  <c r="U8" i="21"/>
  <c r="U62" i="21"/>
  <c r="S25" i="2"/>
  <c r="U210" i="18"/>
  <c r="U189" i="18"/>
  <c r="U169" i="18"/>
  <c r="U192" i="18"/>
  <c r="U185" i="18"/>
  <c r="U14" i="20"/>
  <c r="U125" i="18"/>
  <c r="U200" i="18"/>
  <c r="N8" i="23"/>
  <c r="L59" i="11"/>
  <c r="L12" i="7"/>
  <c r="K21" i="9"/>
  <c r="K32" i="6"/>
  <c r="K17" i="5"/>
  <c r="L14" i="7"/>
  <c r="L41" i="11"/>
  <c r="L51" i="10"/>
  <c r="N9" i="3"/>
  <c r="K35" i="6"/>
  <c r="L13" i="7"/>
  <c r="L11" i="7"/>
  <c r="K45" i="6"/>
  <c r="N15" i="23"/>
  <c r="L57" i="11"/>
  <c r="K20" i="6"/>
  <c r="K18" i="6"/>
  <c r="K20" i="9"/>
  <c r="K17" i="9"/>
  <c r="K33" i="6"/>
  <c r="K40" i="6"/>
  <c r="K18" i="9"/>
  <c r="K17" i="6"/>
  <c r="K42" i="6"/>
  <c r="K19" i="5"/>
  <c r="K37" i="6"/>
  <c r="K18" i="5"/>
  <c r="N61" i="13"/>
  <c r="L17" i="7"/>
  <c r="L46" i="11"/>
  <c r="L56" i="10"/>
  <c r="N10" i="3"/>
  <c r="L17" i="4"/>
  <c r="Q49" i="24"/>
  <c r="Q16" i="20"/>
  <c r="Q138" i="18"/>
  <c r="Q209" i="18"/>
  <c r="O23" i="7"/>
  <c r="Q65" i="21"/>
  <c r="Q205" i="18"/>
  <c r="Q136" i="18"/>
  <c r="Q23" i="20"/>
  <c r="Q17" i="20"/>
  <c r="Q18" i="20"/>
  <c r="Q196" i="18"/>
  <c r="Q206" i="18"/>
  <c r="Q19" i="20"/>
  <c r="Q117" i="18"/>
  <c r="Q24" i="20"/>
  <c r="Q139" i="18"/>
  <c r="N27" i="6"/>
  <c r="Q66" i="21"/>
  <c r="Q137" i="18"/>
  <c r="Q135" i="18"/>
  <c r="Q21" i="20"/>
  <c r="Q197" i="18"/>
  <c r="Q211" i="18"/>
  <c r="O61" i="13"/>
  <c r="M17" i="7"/>
  <c r="M46" i="11"/>
  <c r="M56" i="10"/>
  <c r="O10" i="3"/>
  <c r="M17" i="4"/>
  <c r="L37" i="6"/>
  <c r="L18" i="5"/>
  <c r="L19" i="9"/>
  <c r="L18" i="6"/>
  <c r="L45" i="6"/>
  <c r="L21" i="9"/>
  <c r="L39" i="6"/>
  <c r="L38" i="6"/>
  <c r="M12" i="7"/>
  <c r="L20" i="6"/>
  <c r="L21" i="5"/>
  <c r="L40" i="6"/>
  <c r="M13" i="7"/>
  <c r="O10" i="23"/>
  <c r="O19" i="23"/>
  <c r="M58" i="11"/>
  <c r="L35" i="6"/>
  <c r="L32" i="6"/>
  <c r="L17" i="5"/>
  <c r="L42" i="6"/>
  <c r="L19" i="5"/>
  <c r="L19" i="6"/>
  <c r="L20" i="9"/>
  <c r="L17" i="9"/>
  <c r="M14" i="7"/>
  <c r="M41" i="11"/>
  <c r="M51" i="10"/>
  <c r="O9" i="3"/>
  <c r="C8" i="20"/>
  <c r="C120" i="18"/>
  <c r="C36" i="21"/>
  <c r="C159" i="18"/>
  <c r="C28" i="21"/>
  <c r="C200" i="18"/>
  <c r="C23" i="21"/>
  <c r="C127" i="18"/>
  <c r="C143" i="18"/>
  <c r="C33" i="21"/>
  <c r="C62" i="21"/>
  <c r="C175" i="18"/>
  <c r="C22" i="21"/>
  <c r="C191" i="18"/>
  <c r="C51" i="21"/>
  <c r="C45" i="22"/>
  <c r="C9" i="20"/>
  <c r="C121" i="18"/>
  <c r="C16" i="21"/>
  <c r="C30" i="22"/>
  <c r="C6" i="20"/>
  <c r="C118" i="18"/>
  <c r="C10" i="21"/>
  <c r="C32" i="21"/>
  <c r="C48" i="21"/>
  <c r="N184" i="18"/>
  <c r="N18" i="21"/>
  <c r="N156" i="18"/>
  <c r="N172" i="18"/>
  <c r="N13" i="20"/>
  <c r="N124" i="18"/>
  <c r="N203" i="18"/>
  <c r="N41" i="21"/>
  <c r="N10" i="22"/>
  <c r="N45" i="21"/>
  <c r="N7" i="21"/>
  <c r="N37" i="22"/>
  <c r="N168" i="18"/>
  <c r="N27" i="21"/>
  <c r="N175" i="18"/>
  <c r="N12" i="21"/>
  <c r="N188" i="18"/>
  <c r="N6" i="20"/>
  <c r="N118" i="18"/>
  <c r="N12" i="20"/>
  <c r="N123" i="18"/>
  <c r="N16" i="21"/>
  <c r="N191" i="18"/>
  <c r="N17" i="21"/>
  <c r="N25" i="21"/>
  <c r="Z100" i="18"/>
  <c r="Z140" i="18"/>
  <c r="Z138" i="18"/>
  <c r="Z23" i="20"/>
  <c r="Z136" i="18"/>
  <c r="Z196" i="18"/>
  <c r="Z205" i="18"/>
  <c r="Z209" i="18"/>
  <c r="Z17" i="20"/>
  <c r="Z206" i="18"/>
  <c r="Z134" i="18"/>
  <c r="Z24" i="20"/>
  <c r="Z18" i="20"/>
  <c r="Z19" i="24"/>
  <c r="X23" i="7"/>
  <c r="Z65" i="21"/>
  <c r="Z197" i="18"/>
  <c r="Z22" i="20"/>
  <c r="Z48" i="24"/>
  <c r="Z211" i="18"/>
  <c r="Z139" i="18"/>
  <c r="Z117" i="18"/>
  <c r="Z19" i="20"/>
  <c r="M38" i="6"/>
  <c r="M20" i="9"/>
  <c r="M20" i="5"/>
  <c r="N13" i="7"/>
  <c r="M37" i="6"/>
  <c r="M18" i="5"/>
  <c r="N11" i="7"/>
  <c r="M32" i="6"/>
  <c r="M17" i="5"/>
  <c r="N14" i="7"/>
  <c r="N41" i="11"/>
  <c r="N51" i="10"/>
  <c r="P9" i="3"/>
  <c r="M17" i="6"/>
  <c r="M18" i="9"/>
  <c r="M19" i="9"/>
  <c r="M45" i="6"/>
  <c r="P15" i="23"/>
  <c r="N57" i="11"/>
  <c r="P19" i="23"/>
  <c r="N58" i="11"/>
  <c r="N12" i="7"/>
  <c r="P61" i="13"/>
  <c r="N17" i="7"/>
  <c r="N46" i="11"/>
  <c r="N56" i="10"/>
  <c r="P10" i="3"/>
  <c r="N17" i="4"/>
  <c r="M17" i="9"/>
  <c r="N59" i="11"/>
  <c r="M19" i="6"/>
  <c r="M21" i="9"/>
  <c r="M33" i="6"/>
  <c r="M42" i="6"/>
  <c r="M19" i="5"/>
  <c r="O44" i="6"/>
  <c r="O42" i="6"/>
  <c r="O19" i="5"/>
  <c r="P14" i="7"/>
  <c r="P41" i="11"/>
  <c r="P51" i="10"/>
  <c r="R9" i="3"/>
  <c r="O43" i="6"/>
  <c r="O20" i="9"/>
  <c r="R19" i="23"/>
  <c r="P58" i="11"/>
  <c r="R8" i="23"/>
  <c r="R61" i="13"/>
  <c r="P17" i="7"/>
  <c r="P46" i="11"/>
  <c r="P56" i="10"/>
  <c r="R10" i="3"/>
  <c r="P17" i="4"/>
  <c r="O21" i="9"/>
  <c r="O38" i="6"/>
  <c r="P12" i="7"/>
  <c r="O19" i="6"/>
  <c r="O33" i="6"/>
  <c r="O45" i="6"/>
  <c r="P11" i="7"/>
  <c r="O20" i="5"/>
  <c r="O19" i="9"/>
  <c r="O18" i="6"/>
  <c r="P59" i="11"/>
  <c r="O34" i="6"/>
  <c r="P13" i="7"/>
  <c r="O18" i="9"/>
  <c r="E23" i="20"/>
  <c r="E197" i="18"/>
  <c r="E17" i="20"/>
  <c r="E205" i="18"/>
  <c r="E211" i="18"/>
  <c r="E209" i="18"/>
  <c r="E93" i="18"/>
  <c r="E21" i="20"/>
  <c r="E196" i="18"/>
  <c r="E141" i="18"/>
  <c r="E136" i="18"/>
  <c r="E90" i="18"/>
  <c r="E22" i="20"/>
  <c r="E19" i="24"/>
  <c r="E135" i="18"/>
  <c r="E27" i="24"/>
  <c r="E134" i="18"/>
  <c r="E16" i="20"/>
  <c r="E137" i="18"/>
  <c r="E24" i="20"/>
  <c r="E19" i="20"/>
  <c r="E18" i="20"/>
  <c r="I12" i="7"/>
  <c r="H21" i="9"/>
  <c r="H18" i="9"/>
  <c r="H17" i="6"/>
  <c r="H20" i="9"/>
  <c r="I13" i="7"/>
  <c r="H17" i="9"/>
  <c r="I14" i="7"/>
  <c r="I41" i="11"/>
  <c r="I51" i="10"/>
  <c r="K9" i="3"/>
  <c r="H21" i="5"/>
  <c r="H39" i="6"/>
  <c r="H18" i="6"/>
  <c r="H38" i="6"/>
  <c r="H35" i="6"/>
  <c r="H19" i="6"/>
  <c r="I11" i="7"/>
  <c r="I59" i="11"/>
  <c r="K61" i="13"/>
  <c r="I17" i="7"/>
  <c r="I46" i="11"/>
  <c r="I56" i="10"/>
  <c r="K10" i="3"/>
  <c r="I17" i="4"/>
  <c r="H19" i="9"/>
  <c r="I53" i="11"/>
  <c r="K60" i="21"/>
  <c r="H45" i="6"/>
  <c r="K9" i="23"/>
  <c r="H37" i="6"/>
  <c r="H18" i="5"/>
  <c r="D67" i="21"/>
  <c r="D9" i="3"/>
  <c r="D61" i="13"/>
  <c r="D10" i="3"/>
  <c r="D9" i="24"/>
  <c r="T10" i="24"/>
  <c r="Q17" i="9"/>
  <c r="Q45" i="6"/>
  <c r="R59" i="11"/>
  <c r="Q19" i="6"/>
  <c r="R12" i="7"/>
  <c r="Q37" i="6"/>
  <c r="Q18" i="5"/>
  <c r="Q20" i="9"/>
  <c r="Q19" i="9"/>
  <c r="Q21" i="9"/>
  <c r="Q34" i="6"/>
  <c r="Q44" i="6"/>
  <c r="R13" i="7"/>
  <c r="T10" i="23"/>
  <c r="Q21" i="5"/>
  <c r="T61" i="13"/>
  <c r="R17" i="7"/>
  <c r="R46" i="11"/>
  <c r="R56" i="10"/>
  <c r="T10" i="3"/>
  <c r="R17" i="4"/>
  <c r="Q39" i="6"/>
  <c r="R14" i="7"/>
  <c r="R41" i="11"/>
  <c r="R51" i="10"/>
  <c r="T9" i="3"/>
  <c r="Q42" i="6"/>
  <c r="Q19" i="5"/>
  <c r="Q18" i="9"/>
  <c r="Q40" i="6"/>
  <c r="Q20" i="5"/>
  <c r="AA22" i="20"/>
  <c r="AA197" i="18"/>
  <c r="X27" i="6"/>
  <c r="AA66" i="21"/>
  <c r="AA136" i="18"/>
  <c r="AA16" i="20"/>
  <c r="AA209" i="18"/>
  <c r="AA19" i="20"/>
  <c r="AA18" i="20"/>
  <c r="AA17" i="20"/>
  <c r="AA26" i="24"/>
  <c r="AA139" i="18"/>
  <c r="AA211" i="18"/>
  <c r="Y23" i="7"/>
  <c r="AA65" i="21"/>
  <c r="AA140" i="18"/>
  <c r="AA21" i="24"/>
  <c r="AA135" i="18"/>
  <c r="AA206" i="18"/>
  <c r="AA24" i="20"/>
  <c r="AA137" i="18"/>
  <c r="AA205" i="18"/>
  <c r="AA141" i="18"/>
  <c r="AA100" i="18"/>
  <c r="J20" i="5"/>
  <c r="J19" i="9"/>
  <c r="J33" i="6"/>
  <c r="K59" i="11"/>
  <c r="M61" i="13"/>
  <c r="K17" i="7"/>
  <c r="K46" i="11"/>
  <c r="K56" i="10"/>
  <c r="M10" i="3"/>
  <c r="K17" i="4"/>
  <c r="J43" i="6"/>
  <c r="J42" i="6"/>
  <c r="J19" i="5"/>
  <c r="K11" i="7"/>
  <c r="J21" i="5"/>
  <c r="K13" i="7"/>
  <c r="J17" i="9"/>
  <c r="K14" i="7"/>
  <c r="K41" i="11"/>
  <c r="K51" i="10"/>
  <c r="M9" i="3"/>
  <c r="J45" i="6"/>
  <c r="J32" i="6"/>
  <c r="J17" i="5"/>
  <c r="J35" i="6"/>
  <c r="J34" i="6"/>
  <c r="J44" i="6"/>
  <c r="M15" i="23"/>
  <c r="K57" i="11"/>
  <c r="J20" i="9"/>
  <c r="M13" i="23"/>
  <c r="K56" i="11"/>
  <c r="K38" i="4"/>
  <c r="J37" i="6"/>
  <c r="J18" i="5"/>
  <c r="J21" i="9"/>
  <c r="J23" i="20"/>
  <c r="J196" i="18"/>
  <c r="J22" i="20"/>
  <c r="J138" i="18"/>
  <c r="J117" i="18"/>
  <c r="J136" i="18"/>
  <c r="J139" i="18"/>
  <c r="J205" i="18"/>
  <c r="J100" i="18"/>
  <c r="J16" i="20"/>
  <c r="J54" i="24"/>
  <c r="J209" i="18"/>
  <c r="J211" i="18"/>
  <c r="J137" i="18"/>
  <c r="J18" i="20"/>
  <c r="J19" i="20"/>
  <c r="J197" i="18"/>
  <c r="J206" i="18"/>
  <c r="J17" i="20"/>
  <c r="J21" i="20"/>
  <c r="J24" i="20"/>
  <c r="J13" i="24"/>
  <c r="C14" i="7"/>
  <c r="C41" i="11"/>
  <c r="C51" i="10"/>
  <c r="E9" i="3"/>
  <c r="E61" i="13"/>
  <c r="C17" i="7"/>
  <c r="C46" i="11"/>
  <c r="C56" i="10"/>
  <c r="E10" i="3"/>
  <c r="C17" i="4"/>
  <c r="C12" i="7"/>
  <c r="E16" i="23"/>
  <c r="C13" i="7"/>
  <c r="C11" i="7"/>
  <c r="C53" i="11"/>
  <c r="E60" i="21"/>
  <c r="C59" i="11"/>
  <c r="X136" i="18"/>
  <c r="X24" i="20"/>
  <c r="X18" i="20"/>
  <c r="X196" i="18"/>
  <c r="X95" i="18"/>
  <c r="V23" i="7"/>
  <c r="X65" i="21"/>
  <c r="X211" i="18"/>
  <c r="X134" i="18"/>
  <c r="X135" i="18"/>
  <c r="X117" i="18"/>
  <c r="X19" i="24"/>
  <c r="X140" i="18"/>
  <c r="X16" i="20"/>
  <c r="X205" i="18"/>
  <c r="X206" i="18"/>
  <c r="U27" i="6"/>
  <c r="X66" i="21"/>
  <c r="X17" i="20"/>
  <c r="X23" i="20"/>
  <c r="X137" i="18"/>
  <c r="X197" i="18"/>
  <c r="X141" i="18"/>
  <c r="X21" i="20"/>
  <c r="S28" i="22"/>
  <c r="S23" i="21"/>
  <c r="S22" i="22"/>
  <c r="S48" i="21"/>
  <c r="S12" i="22"/>
  <c r="S35" i="22"/>
  <c r="S55" i="21"/>
  <c r="S32" i="21"/>
  <c r="S18" i="21"/>
  <c r="S41" i="21"/>
  <c r="S29" i="21"/>
  <c r="S53" i="21"/>
  <c r="S45" i="21"/>
  <c r="S34" i="21"/>
  <c r="S19" i="22"/>
  <c r="S46" i="21"/>
  <c r="S18" i="22"/>
  <c r="S16" i="21"/>
  <c r="S64" i="21"/>
  <c r="S47" i="22"/>
  <c r="S51" i="21"/>
  <c r="S36" i="21"/>
  <c r="D17" i="20"/>
  <c r="D23" i="20"/>
  <c r="D16" i="24"/>
  <c r="D66" i="21"/>
  <c r="D196" i="18"/>
  <c r="D135" i="18"/>
  <c r="D21" i="20"/>
  <c r="D18" i="20"/>
  <c r="D211" i="18"/>
  <c r="D140" i="18"/>
  <c r="D65" i="21"/>
  <c r="D19" i="20"/>
  <c r="D137" i="18"/>
  <c r="D134" i="18"/>
  <c r="D139" i="18"/>
  <c r="D197" i="18"/>
  <c r="D209" i="18"/>
  <c r="D90" i="18"/>
  <c r="D16" i="20"/>
  <c r="D205" i="18"/>
  <c r="D206" i="18"/>
  <c r="D24" i="20"/>
  <c r="H61" i="21"/>
  <c r="H45" i="22"/>
  <c r="H42" i="21"/>
  <c r="H62" i="21"/>
  <c r="F25" i="2"/>
  <c r="H36" i="21"/>
  <c r="H45" i="21"/>
  <c r="H25" i="22"/>
  <c r="H16" i="22"/>
  <c r="H48" i="22"/>
  <c r="H23" i="3"/>
  <c r="H19" i="21"/>
  <c r="F23" i="2"/>
  <c r="H9" i="22"/>
  <c r="H32" i="22"/>
  <c r="H26" i="21"/>
  <c r="H23" i="21"/>
  <c r="H14" i="21"/>
  <c r="H44" i="21"/>
  <c r="H47" i="21"/>
  <c r="H14" i="20"/>
  <c r="H125" i="18"/>
  <c r="H21" i="22"/>
  <c r="H50" i="21"/>
  <c r="H15" i="22"/>
  <c r="H22" i="22"/>
  <c r="R37" i="21"/>
  <c r="R43" i="21"/>
  <c r="R39" i="22"/>
  <c r="R34" i="21"/>
  <c r="R41" i="22"/>
  <c r="R11" i="22"/>
  <c r="R49" i="22"/>
  <c r="R28" i="22"/>
  <c r="R27" i="21"/>
  <c r="R22" i="22"/>
  <c r="R9" i="21"/>
  <c r="R42" i="22"/>
  <c r="R55" i="21"/>
  <c r="R43" i="22"/>
  <c r="R11" i="21"/>
  <c r="R9" i="22"/>
  <c r="R29" i="21"/>
  <c r="R32" i="21"/>
  <c r="R25" i="21"/>
  <c r="R41" i="21"/>
  <c r="R23" i="3"/>
  <c r="R19" i="21"/>
  <c r="P23" i="2"/>
  <c r="R48" i="21"/>
  <c r="I205" i="18"/>
  <c r="I24" i="20"/>
  <c r="I19" i="20"/>
  <c r="I206" i="18"/>
  <c r="I134" i="18"/>
  <c r="I196" i="18"/>
  <c r="I209" i="18"/>
  <c r="I141" i="18"/>
  <c r="I18" i="20"/>
  <c r="I137" i="18"/>
  <c r="I139" i="18"/>
  <c r="I14" i="24"/>
  <c r="I138" i="18"/>
  <c r="I21" i="20"/>
  <c r="I17" i="20"/>
  <c r="I22" i="20"/>
  <c r="I23" i="20"/>
  <c r="I16" i="24"/>
  <c r="I136" i="18"/>
  <c r="I93" i="18"/>
  <c r="I197" i="18"/>
  <c r="I211" i="18"/>
  <c r="Z23" i="22"/>
  <c r="Z30" i="21"/>
  <c r="Z47" i="21"/>
  <c r="Z24" i="21"/>
  <c r="Z31" i="22"/>
  <c r="Z64" i="21"/>
  <c r="Z11" i="21"/>
  <c r="Z45" i="21"/>
  <c r="Z24" i="3"/>
  <c r="Z38" i="21"/>
  <c r="Z53" i="21"/>
  <c r="Z12" i="22"/>
  <c r="Z12" i="21"/>
  <c r="Z29" i="21"/>
  <c r="Z23" i="3"/>
  <c r="Z19" i="21"/>
  <c r="X23" i="2"/>
  <c r="Z37" i="22"/>
  <c r="Z20" i="22"/>
  <c r="Z19" i="22"/>
  <c r="Z17" i="21"/>
  <c r="Z14" i="22"/>
  <c r="Z11" i="20"/>
  <c r="Z122" i="18"/>
  <c r="Z33" i="21"/>
  <c r="Z44" i="21"/>
  <c r="P41" i="22"/>
  <c r="P24" i="21"/>
  <c r="P17" i="22"/>
  <c r="P41" i="21"/>
  <c r="P11" i="22"/>
  <c r="P53" i="21"/>
  <c r="P49" i="21"/>
  <c r="P43" i="22"/>
  <c r="P31" i="21"/>
  <c r="P45" i="21"/>
  <c r="P55" i="21"/>
  <c r="P9" i="22"/>
  <c r="P11" i="21"/>
  <c r="P13" i="21"/>
  <c r="P30" i="22"/>
  <c r="P44" i="22"/>
  <c r="P23" i="21"/>
  <c r="P36" i="21"/>
  <c r="P29" i="21"/>
  <c r="P43" i="21"/>
  <c r="P27" i="21"/>
  <c r="P35" i="21"/>
  <c r="X55" i="21"/>
  <c r="X13" i="21"/>
  <c r="X14" i="21"/>
  <c r="X35" i="21"/>
  <c r="X24" i="3"/>
  <c r="X38" i="21"/>
  <c r="X14" i="20"/>
  <c r="X125" i="18"/>
  <c r="X39" i="22"/>
  <c r="X22" i="22"/>
  <c r="X31" i="21"/>
  <c r="X45" i="21"/>
  <c r="X62" i="21"/>
  <c r="V25" i="2"/>
  <c r="X19" i="22"/>
  <c r="X23" i="3"/>
  <c r="X19" i="21"/>
  <c r="V23" i="2"/>
  <c r="X34" i="22"/>
  <c r="X23" i="21"/>
  <c r="X31" i="22"/>
  <c r="X33" i="22"/>
  <c r="X32" i="21"/>
  <c r="X34" i="21"/>
  <c r="X13" i="20"/>
  <c r="X124" i="18"/>
  <c r="X15" i="22"/>
  <c r="X26" i="21"/>
  <c r="T18" i="21"/>
  <c r="T27" i="21"/>
  <c r="T9" i="21"/>
  <c r="T25" i="21"/>
  <c r="T17" i="21"/>
  <c r="T49" i="22"/>
  <c r="T9" i="22"/>
  <c r="T30" i="21"/>
  <c r="T13" i="22"/>
  <c r="T27" i="22"/>
  <c r="T45" i="21"/>
  <c r="T47" i="22"/>
  <c r="T23" i="22"/>
  <c r="T39" i="22"/>
  <c r="T53" i="21"/>
  <c r="T35" i="22"/>
  <c r="T10" i="22"/>
  <c r="T7" i="21"/>
  <c r="T46" i="21"/>
  <c r="T43" i="21"/>
  <c r="T11" i="22"/>
  <c r="T36" i="21"/>
  <c r="X37" i="6"/>
  <c r="X18" i="5"/>
  <c r="X45" i="6"/>
  <c r="X35" i="6"/>
  <c r="Y53" i="11"/>
  <c r="AA60" i="21"/>
  <c r="X19" i="6"/>
  <c r="Y12" i="7"/>
  <c r="X18" i="6"/>
  <c r="X21" i="5"/>
  <c r="Y11" i="7"/>
  <c r="X38" i="6"/>
  <c r="X18" i="9"/>
  <c r="Y13" i="7"/>
  <c r="X20" i="9"/>
  <c r="Y14" i="7"/>
  <c r="Y41" i="11"/>
  <c r="Y51" i="10"/>
  <c r="AA9" i="3"/>
  <c r="X43" i="6"/>
  <c r="AA41" i="24"/>
  <c r="X17" i="9"/>
  <c r="X39" i="6"/>
  <c r="X17" i="6"/>
  <c r="X19" i="9"/>
  <c r="AA61" i="13"/>
  <c r="Y17" i="7"/>
  <c r="Y46" i="11"/>
  <c r="Y56" i="10"/>
  <c r="AA10" i="3"/>
  <c r="Y17" i="4"/>
  <c r="X21" i="9"/>
  <c r="Q10" i="24"/>
  <c r="N19" i="9"/>
  <c r="O12" i="7"/>
  <c r="N18" i="9"/>
  <c r="N38" i="6"/>
  <c r="N45" i="6"/>
  <c r="N20" i="9"/>
  <c r="O53" i="11"/>
  <c r="Q60" i="21"/>
  <c r="N34" i="6"/>
  <c r="O11" i="7"/>
  <c r="N35" i="6"/>
  <c r="N20" i="5"/>
  <c r="N17" i="9"/>
  <c r="O59" i="11"/>
  <c r="O14" i="7"/>
  <c r="O41" i="11"/>
  <c r="O51" i="10"/>
  <c r="Q9" i="3"/>
  <c r="N37" i="6"/>
  <c r="N18" i="5"/>
  <c r="N21" i="9"/>
  <c r="N44" i="6"/>
  <c r="N42" i="6"/>
  <c r="N19" i="5"/>
  <c r="N18" i="6"/>
  <c r="Q61" i="13"/>
  <c r="O17" i="7"/>
  <c r="O46" i="11"/>
  <c r="O56" i="10"/>
  <c r="Q10" i="3"/>
  <c r="O17" i="4"/>
  <c r="N17" i="6"/>
  <c r="F33" i="22"/>
  <c r="F64" i="21"/>
  <c r="F50" i="21"/>
  <c r="F15" i="21"/>
  <c r="F28" i="21"/>
  <c r="F21" i="22"/>
  <c r="F8" i="22"/>
  <c r="F16" i="22"/>
  <c r="F23" i="21"/>
  <c r="F25" i="21"/>
  <c r="F43" i="22"/>
  <c r="F36" i="21"/>
  <c r="F35" i="22"/>
  <c r="F34" i="21"/>
  <c r="F48" i="21"/>
  <c r="F33" i="21"/>
  <c r="F42" i="21"/>
  <c r="F7" i="21"/>
  <c r="F62" i="21"/>
  <c r="D25" i="2"/>
  <c r="F24" i="22"/>
  <c r="F61" i="21"/>
  <c r="F16" i="21"/>
  <c r="Q30" i="22"/>
  <c r="Q18" i="21"/>
  <c r="Q21" i="22"/>
  <c r="Q13" i="22"/>
  <c r="Q22" i="21"/>
  <c r="Q38" i="22"/>
  <c r="Q25" i="21"/>
  <c r="Q30" i="21"/>
  <c r="Q13" i="21"/>
  <c r="Q49" i="22"/>
  <c r="Q33" i="22"/>
  <c r="Q49" i="21"/>
  <c r="Q18" i="22"/>
  <c r="Q55" i="21"/>
  <c r="Q31" i="21"/>
  <c r="Q12" i="20"/>
  <c r="Q123" i="18"/>
  <c r="Q13" i="20"/>
  <c r="Q124" i="18"/>
  <c r="Q24" i="3"/>
  <c r="Q38" i="21"/>
  <c r="Q35" i="21"/>
  <c r="Q12" i="21"/>
  <c r="Q37" i="21"/>
  <c r="Q46" i="21"/>
  <c r="L17" i="21"/>
  <c r="L28" i="21"/>
  <c r="L31" i="21"/>
  <c r="L28" i="22"/>
  <c r="L61" i="21"/>
  <c r="L47" i="22"/>
  <c r="L18" i="22"/>
  <c r="L49" i="21"/>
  <c r="L30" i="22"/>
  <c r="L33" i="21"/>
  <c r="L15" i="21"/>
  <c r="L22" i="21"/>
  <c r="L43" i="21"/>
  <c r="L15" i="22"/>
  <c r="L10" i="22"/>
  <c r="L17" i="22"/>
  <c r="L47" i="21"/>
  <c r="L21" i="22"/>
  <c r="L10" i="21"/>
  <c r="L46" i="21"/>
  <c r="L12" i="22"/>
  <c r="L50" i="21"/>
  <c r="D25" i="22"/>
  <c r="D18" i="21"/>
  <c r="D20" i="22"/>
  <c r="D9" i="22"/>
  <c r="D62" i="21"/>
  <c r="D25" i="21"/>
  <c r="D45" i="21"/>
  <c r="D38" i="22"/>
  <c r="D24" i="3"/>
  <c r="D38" i="21"/>
  <c r="D27" i="21"/>
  <c r="D30" i="22"/>
  <c r="D34" i="21"/>
  <c r="D64" i="21"/>
  <c r="D7" i="21"/>
  <c r="D53" i="21"/>
  <c r="D30" i="21"/>
  <c r="D27" i="22"/>
  <c r="D49" i="22"/>
  <c r="D48" i="22"/>
  <c r="D29" i="21"/>
  <c r="D19" i="22"/>
  <c r="D9" i="21"/>
  <c r="I41" i="22"/>
  <c r="I43" i="22"/>
  <c r="I46" i="21"/>
  <c r="I16" i="22"/>
  <c r="I23" i="21"/>
  <c r="I27" i="22"/>
  <c r="I36" i="21"/>
  <c r="I22" i="21"/>
  <c r="I10" i="21"/>
  <c r="I40" i="22"/>
  <c r="I44" i="21"/>
  <c r="I28" i="21"/>
  <c r="I12" i="21"/>
  <c r="I24" i="3"/>
  <c r="I38" i="21"/>
  <c r="I30" i="21"/>
  <c r="I48" i="22"/>
  <c r="I45" i="21"/>
  <c r="I41" i="21"/>
  <c r="I26" i="21"/>
  <c r="I39" i="22"/>
  <c r="I33" i="21"/>
  <c r="I51" i="21"/>
  <c r="I20" i="9"/>
  <c r="I45" i="6"/>
  <c r="J13" i="7"/>
  <c r="I34" i="6"/>
  <c r="J59" i="11"/>
  <c r="I39" i="6"/>
  <c r="I19" i="6"/>
  <c r="L11" i="24"/>
  <c r="I21" i="9"/>
  <c r="I37" i="6"/>
  <c r="I18" i="5"/>
  <c r="I20" i="5"/>
  <c r="L61" i="13"/>
  <c r="J17" i="7"/>
  <c r="J46" i="11"/>
  <c r="J56" i="10"/>
  <c r="L10" i="3"/>
  <c r="J17" i="4"/>
  <c r="I18" i="9"/>
  <c r="L13" i="23"/>
  <c r="J56" i="11"/>
  <c r="J38" i="4"/>
  <c r="I18" i="6"/>
  <c r="J11" i="7"/>
  <c r="I44" i="6"/>
  <c r="I19" i="9"/>
  <c r="I40" i="6"/>
  <c r="J14" i="7"/>
  <c r="J41" i="11"/>
  <c r="J51" i="10"/>
  <c r="L9" i="3"/>
  <c r="I35" i="6"/>
  <c r="I17" i="9"/>
  <c r="AA47" i="22"/>
  <c r="AA24" i="3"/>
  <c r="AA38" i="21"/>
  <c r="AA45" i="21"/>
  <c r="AA31" i="22"/>
  <c r="AA26" i="21"/>
  <c r="AA35" i="21"/>
  <c r="AA31" i="21"/>
  <c r="AA11" i="22"/>
  <c r="AA12" i="22"/>
  <c r="AA39" i="22"/>
  <c r="AA42" i="21"/>
  <c r="AA53" i="21"/>
  <c r="AA37" i="22"/>
  <c r="AA50" i="21"/>
  <c r="AA10" i="21"/>
  <c r="AA28" i="21"/>
  <c r="AA24" i="22"/>
  <c r="AA33" i="21"/>
  <c r="AA44" i="21"/>
  <c r="AA51" i="21"/>
  <c r="AA23" i="3"/>
  <c r="AA19" i="21"/>
  <c r="Y23" i="2"/>
  <c r="AA8" i="21"/>
  <c r="G35" i="22"/>
  <c r="G30" i="21"/>
  <c r="G25" i="22"/>
  <c r="G45" i="22"/>
  <c r="G47" i="21"/>
  <c r="G15" i="22"/>
  <c r="G25" i="21"/>
  <c r="G24" i="3"/>
  <c r="G38" i="21"/>
  <c r="G10" i="22"/>
  <c r="G43" i="22"/>
  <c r="G32" i="21"/>
  <c r="G7" i="21"/>
  <c r="G8" i="22"/>
  <c r="G28" i="21"/>
  <c r="G35" i="21"/>
  <c r="G14" i="22"/>
  <c r="G51" i="21"/>
  <c r="G9" i="22"/>
  <c r="G12" i="21"/>
  <c r="G14" i="21"/>
  <c r="G62" i="21"/>
  <c r="E25" i="2"/>
  <c r="G29" i="22"/>
  <c r="H205" i="18"/>
  <c r="H206" i="18"/>
  <c r="H211" i="18"/>
  <c r="W10" i="22"/>
  <c r="H95" i="18"/>
  <c r="H136" i="18"/>
  <c r="W41" i="22"/>
  <c r="W29" i="22"/>
  <c r="H137" i="18"/>
  <c r="W9" i="21"/>
  <c r="H139" i="18"/>
  <c r="W36" i="21"/>
  <c r="H197" i="18"/>
  <c r="F23" i="7"/>
  <c r="H65" i="21"/>
  <c r="W55" i="21"/>
  <c r="H17" i="24"/>
  <c r="W44" i="21"/>
  <c r="H141" i="18"/>
  <c r="W48" i="21"/>
  <c r="H18" i="20"/>
  <c r="W27" i="22"/>
  <c r="H19" i="20"/>
  <c r="E27" i="6"/>
  <c r="H66" i="21"/>
  <c r="H117" i="18"/>
  <c r="W25" i="21"/>
  <c r="W7" i="21"/>
  <c r="H24" i="20"/>
  <c r="W28" i="21"/>
  <c r="H21" i="20"/>
  <c r="W43" i="22"/>
  <c r="W42" i="21"/>
  <c r="H209" i="18"/>
  <c r="H140" i="18"/>
  <c r="W35" i="22"/>
  <c r="H23" i="20"/>
  <c r="W31" i="22"/>
  <c r="H196" i="18"/>
  <c r="W32" i="21"/>
  <c r="H17" i="20"/>
  <c r="W12" i="21"/>
  <c r="W51" i="21"/>
  <c r="W30" i="21"/>
  <c r="W14" i="21"/>
  <c r="W18" i="22"/>
  <c r="Y26" i="21"/>
  <c r="Y14" i="22"/>
  <c r="Y33" i="22"/>
  <c r="Y51" i="21"/>
  <c r="Y53" i="21"/>
  <c r="Y12" i="21"/>
  <c r="Y41" i="22"/>
  <c r="Y30" i="21"/>
  <c r="Y62" i="21"/>
  <c r="W25" i="2"/>
  <c r="Y23" i="21"/>
  <c r="Y42" i="21"/>
  <c r="Y10" i="21"/>
  <c r="Y12" i="22"/>
  <c r="Y22" i="22"/>
  <c r="Y23" i="22"/>
  <c r="Y28" i="21"/>
  <c r="Y39" i="22"/>
  <c r="Y44" i="22"/>
  <c r="Y34" i="21"/>
  <c r="Y47" i="21"/>
  <c r="Y13" i="22"/>
  <c r="Y36" i="21"/>
  <c r="K45" i="22"/>
  <c r="K26" i="21"/>
  <c r="K31" i="22"/>
  <c r="K37" i="21"/>
  <c r="K44" i="21"/>
  <c r="K8" i="21"/>
  <c r="K48" i="22"/>
  <c r="K31" i="21"/>
  <c r="K24" i="3"/>
  <c r="K38" i="21"/>
  <c r="K10" i="21"/>
  <c r="K21" i="22"/>
  <c r="K49" i="21"/>
  <c r="K42" i="21"/>
  <c r="K50" i="21"/>
  <c r="K35" i="21"/>
  <c r="K38" i="22"/>
  <c r="K28" i="21"/>
  <c r="K30" i="21"/>
  <c r="K23" i="3"/>
  <c r="K19" i="21"/>
  <c r="I23" i="2"/>
  <c r="K20" i="22"/>
  <c r="K27" i="22"/>
  <c r="K8" i="22"/>
  <c r="M21" i="20"/>
  <c r="M19" i="20"/>
  <c r="M196" i="18"/>
  <c r="M27" i="24"/>
  <c r="M209" i="18"/>
  <c r="M211" i="18"/>
  <c r="M141" i="18"/>
  <c r="M205" i="18"/>
  <c r="M16" i="20"/>
  <c r="M28" i="24"/>
  <c r="M18" i="20"/>
  <c r="M22" i="20"/>
  <c r="M139" i="18"/>
  <c r="M17" i="20"/>
  <c r="M135" i="18"/>
  <c r="M136" i="18"/>
  <c r="M90" i="18"/>
  <c r="M24" i="20"/>
  <c r="M138" i="18"/>
  <c r="M206" i="18"/>
  <c r="M23" i="20"/>
  <c r="M197" i="18"/>
  <c r="T196" i="18"/>
  <c r="T90" i="18"/>
  <c r="R23" i="7"/>
  <c r="T65" i="21"/>
  <c r="T141" i="18"/>
  <c r="T134" i="18"/>
  <c r="T28" i="24"/>
  <c r="T21" i="20"/>
  <c r="T18" i="20"/>
  <c r="T24" i="20"/>
  <c r="T17" i="20"/>
  <c r="T137" i="18"/>
  <c r="T138" i="18"/>
  <c r="T209" i="18"/>
  <c r="T205" i="18"/>
  <c r="T211" i="18"/>
  <c r="T206" i="18"/>
  <c r="T23" i="20"/>
  <c r="T140" i="18"/>
  <c r="T19" i="20"/>
  <c r="T22" i="20"/>
  <c r="T16" i="20"/>
  <c r="T197" i="18"/>
  <c r="M20" i="22"/>
  <c r="M41" i="21"/>
  <c r="M38" i="22"/>
  <c r="M10" i="22"/>
  <c r="M22" i="22"/>
  <c r="M44" i="21"/>
  <c r="M35" i="21"/>
  <c r="M47" i="21"/>
  <c r="M26" i="21"/>
  <c r="M29" i="21"/>
  <c r="M8" i="22"/>
  <c r="M16" i="21"/>
  <c r="M61" i="21"/>
  <c r="M28" i="21"/>
  <c r="M8" i="21"/>
  <c r="M17" i="21"/>
  <c r="M24" i="21"/>
  <c r="M9" i="20"/>
  <c r="M121" i="18"/>
  <c r="M37" i="21"/>
  <c r="M50" i="21"/>
  <c r="M35" i="22"/>
  <c r="M25" i="22"/>
  <c r="J45" i="22"/>
  <c r="J15" i="22"/>
  <c r="J43" i="22"/>
  <c r="J33" i="21"/>
  <c r="J12" i="21"/>
  <c r="J61" i="21"/>
  <c r="J51" i="21"/>
  <c r="J20" i="22"/>
  <c r="J47" i="21"/>
  <c r="J35" i="21"/>
  <c r="J24" i="21"/>
  <c r="J64" i="21"/>
  <c r="J36" i="21"/>
  <c r="J17" i="21"/>
  <c r="J24" i="3"/>
  <c r="J38" i="21"/>
  <c r="J45" i="21"/>
  <c r="J32" i="22"/>
  <c r="J30" i="21"/>
  <c r="J42" i="21"/>
  <c r="J23" i="3"/>
  <c r="J19" i="21"/>
  <c r="H23" i="2"/>
  <c r="J17" i="22"/>
  <c r="J41" i="22"/>
  <c r="K209" i="18"/>
  <c r="K135" i="18"/>
  <c r="K18" i="20"/>
  <c r="K16" i="20"/>
  <c r="K197" i="18"/>
  <c r="K137" i="18"/>
  <c r="K206" i="18"/>
  <c r="K138" i="18"/>
  <c r="K21" i="20"/>
  <c r="K205" i="18"/>
  <c r="K22" i="20"/>
  <c r="K141" i="18"/>
  <c r="K24" i="20"/>
  <c r="H27" i="6"/>
  <c r="K66" i="21"/>
  <c r="K17" i="20"/>
  <c r="K19" i="20"/>
  <c r="K14" i="24"/>
  <c r="K23" i="20"/>
  <c r="K211" i="18"/>
  <c r="K139" i="18"/>
  <c r="K134" i="18"/>
  <c r="K196" i="18"/>
  <c r="R209" i="18"/>
  <c r="R18" i="20"/>
  <c r="R23" i="20"/>
  <c r="R206" i="18"/>
  <c r="R19" i="20"/>
  <c r="R211" i="18"/>
  <c r="R17" i="20"/>
  <c r="R140" i="18"/>
  <c r="R24" i="20"/>
  <c r="R141" i="18"/>
  <c r="R21" i="20"/>
  <c r="R136" i="18"/>
  <c r="R93" i="18"/>
  <c r="R205" i="18"/>
  <c r="R53" i="24"/>
  <c r="R25" i="24"/>
  <c r="R115" i="18"/>
  <c r="R196" i="18"/>
  <c r="R22" i="20"/>
  <c r="R197" i="18"/>
  <c r="R134" i="18"/>
  <c r="R138" i="18"/>
  <c r="N8" i="22"/>
  <c r="N31" i="21"/>
  <c r="N10" i="21"/>
  <c r="N8" i="21"/>
  <c r="N16" i="22"/>
  <c r="N44" i="21"/>
  <c r="N29" i="21"/>
  <c r="N9" i="22"/>
  <c r="N25" i="22"/>
  <c r="N26" i="21"/>
  <c r="N27" i="22"/>
  <c r="N50" i="21"/>
  <c r="N61" i="21"/>
  <c r="N28" i="21"/>
  <c r="N42" i="21"/>
  <c r="N32" i="22"/>
  <c r="N49" i="21"/>
  <c r="N13" i="21"/>
  <c r="N15" i="21"/>
  <c r="N15" i="22"/>
  <c r="N33" i="21"/>
  <c r="N47" i="21"/>
  <c r="G138" i="18"/>
  <c r="G134" i="18"/>
  <c r="G211" i="18"/>
  <c r="G95" i="18"/>
  <c r="G21" i="20"/>
  <c r="G205" i="18"/>
  <c r="G197" i="18"/>
  <c r="G22" i="20"/>
  <c r="G206" i="18"/>
  <c r="G19" i="20"/>
  <c r="G209" i="18"/>
  <c r="G24" i="20"/>
  <c r="G93" i="18"/>
  <c r="G23" i="20"/>
  <c r="G14" i="24"/>
  <c r="G140" i="18"/>
  <c r="G31" i="24"/>
  <c r="G139" i="18"/>
  <c r="G17" i="20"/>
  <c r="G16" i="20"/>
  <c r="G18" i="20"/>
  <c r="G196" i="18"/>
  <c r="E29" i="22"/>
  <c r="E32" i="21"/>
  <c r="E11" i="21"/>
  <c r="E17" i="22"/>
  <c r="E42" i="21"/>
  <c r="E61" i="21"/>
  <c r="E51" i="21"/>
  <c r="E20" i="22"/>
  <c r="E23" i="3"/>
  <c r="E19" i="21"/>
  <c r="C23" i="2"/>
  <c r="E16" i="21"/>
  <c r="E16" i="22"/>
  <c r="E30" i="21"/>
  <c r="E24" i="3"/>
  <c r="E38" i="21"/>
  <c r="E48" i="21"/>
  <c r="E64" i="21"/>
  <c r="E27" i="21"/>
  <c r="E9" i="21"/>
  <c r="E38" i="22"/>
  <c r="E50" i="21"/>
  <c r="E14" i="22"/>
  <c r="E53" i="21"/>
  <c r="E14" i="21"/>
  <c r="O139" i="18"/>
  <c r="O18" i="20"/>
  <c r="O205" i="18"/>
  <c r="O17" i="20"/>
  <c r="O135" i="18"/>
  <c r="O209" i="18"/>
  <c r="O19" i="20"/>
  <c r="O138" i="18"/>
  <c r="O140" i="18"/>
  <c r="O45" i="24"/>
  <c r="O21" i="20"/>
  <c r="O16" i="20"/>
  <c r="O206" i="18"/>
  <c r="O136" i="18"/>
  <c r="O196" i="18"/>
  <c r="O141" i="18"/>
  <c r="O63" i="24"/>
  <c r="O22" i="20"/>
  <c r="O211" i="18"/>
  <c r="L27" i="6"/>
  <c r="O66" i="21"/>
  <c r="O197" i="18"/>
  <c r="O24" i="20"/>
  <c r="O16" i="22"/>
  <c r="O27" i="21"/>
  <c r="O32" i="22"/>
  <c r="O34" i="21"/>
  <c r="O8" i="22"/>
  <c r="O22" i="21"/>
  <c r="O17" i="21"/>
  <c r="O15" i="21"/>
  <c r="O24" i="21"/>
  <c r="O43" i="21"/>
  <c r="O48" i="21"/>
  <c r="O33" i="21"/>
  <c r="O17" i="22"/>
  <c r="O22" i="22"/>
  <c r="O35" i="22"/>
  <c r="O23" i="22"/>
  <c r="O27" i="22"/>
  <c r="O32" i="21"/>
  <c r="O46" i="21"/>
  <c r="O37" i="21"/>
  <c r="O33" i="22"/>
  <c r="O10" i="22"/>
  <c r="V41" i="22"/>
  <c r="V7" i="21"/>
  <c r="V28" i="21"/>
  <c r="V35" i="22"/>
  <c r="V18" i="21"/>
  <c r="V43" i="21"/>
  <c r="V24" i="22"/>
  <c r="V28" i="22"/>
  <c r="V53" i="21"/>
  <c r="V47" i="21"/>
  <c r="V23" i="21"/>
  <c r="V23" i="22"/>
  <c r="V25" i="21"/>
  <c r="V11" i="22"/>
  <c r="V17" i="22"/>
  <c r="V61" i="21"/>
  <c r="V42" i="21"/>
  <c r="V24" i="3"/>
  <c r="V38" i="21"/>
  <c r="V16" i="21"/>
  <c r="V64" i="21"/>
  <c r="V33" i="22"/>
  <c r="V18" i="22"/>
  <c r="U16" i="21"/>
  <c r="U32" i="21"/>
  <c r="U27" i="21"/>
  <c r="U49" i="22"/>
  <c r="U48" i="21"/>
  <c r="U9" i="22"/>
  <c r="U46" i="21"/>
  <c r="U55" i="21"/>
  <c r="U33" i="22"/>
  <c r="U10" i="22"/>
  <c r="U12" i="22"/>
  <c r="U34" i="21"/>
  <c r="U9" i="21"/>
  <c r="U30" i="21"/>
  <c r="U14" i="21"/>
  <c r="U11" i="22"/>
  <c r="U23" i="3"/>
  <c r="U19" i="21"/>
  <c r="S23" i="2"/>
  <c r="U43" i="21"/>
  <c r="U11" i="21"/>
  <c r="U27" i="22"/>
  <c r="U24" i="3"/>
  <c r="U38" i="21"/>
  <c r="U17" i="22"/>
  <c r="L16" i="20"/>
  <c r="L134" i="18"/>
  <c r="L117" i="18"/>
  <c r="L206" i="18"/>
  <c r="L136" i="18"/>
  <c r="L196" i="18"/>
  <c r="L22" i="20"/>
  <c r="L205" i="18"/>
  <c r="L13" i="24"/>
  <c r="L197" i="18"/>
  <c r="J23" i="7"/>
  <c r="L65" i="21"/>
  <c r="L115" i="18"/>
  <c r="L23" i="20"/>
  <c r="L19" i="20"/>
  <c r="L18" i="20"/>
  <c r="L141" i="18"/>
  <c r="L17" i="20"/>
  <c r="L135" i="18"/>
  <c r="L24" i="20"/>
  <c r="L209" i="18"/>
  <c r="L211" i="18"/>
  <c r="L21" i="20"/>
  <c r="F17" i="20"/>
  <c r="F209" i="18"/>
  <c r="F139" i="18"/>
  <c r="F134" i="18"/>
  <c r="F136" i="18"/>
  <c r="F82" i="24"/>
  <c r="F137" i="18"/>
  <c r="F18" i="20"/>
  <c r="F23" i="24"/>
  <c r="F19" i="20"/>
  <c r="F206" i="18"/>
  <c r="F21" i="20"/>
  <c r="F23" i="20"/>
  <c r="F205" i="18"/>
  <c r="F196" i="18"/>
  <c r="F140" i="18"/>
  <c r="F16" i="20"/>
  <c r="F211" i="18"/>
  <c r="F197" i="18"/>
  <c r="D23" i="7"/>
  <c r="F65" i="21"/>
  <c r="F141" i="18"/>
  <c r="F22" i="20"/>
  <c r="C40" i="22"/>
  <c r="C43" i="21"/>
  <c r="C11" i="21"/>
  <c r="C19" i="22"/>
  <c r="C29" i="22"/>
  <c r="C31" i="21"/>
  <c r="C31" i="22"/>
  <c r="C18" i="21"/>
  <c r="C55" i="21"/>
  <c r="C12" i="22"/>
  <c r="C37" i="21"/>
  <c r="C14" i="22"/>
  <c r="C35" i="21"/>
  <c r="C18" i="22"/>
  <c r="C41" i="21"/>
  <c r="C64" i="21"/>
  <c r="C29" i="21"/>
  <c r="C13" i="22"/>
  <c r="C13" i="21"/>
  <c r="C46" i="21"/>
  <c r="C53" i="21"/>
  <c r="C11" i="22"/>
  <c r="V28" i="24"/>
  <c r="V23" i="20"/>
  <c r="V211" i="18"/>
  <c r="V134" i="18"/>
  <c r="V206" i="18"/>
  <c r="V140" i="18"/>
  <c r="V19" i="20"/>
  <c r="V205" i="18"/>
  <c r="V138" i="18"/>
  <c r="V139" i="18"/>
  <c r="V16" i="20"/>
  <c r="V197" i="18"/>
  <c r="T23" i="7"/>
  <c r="V65" i="21"/>
  <c r="V17" i="20"/>
  <c r="V196" i="18"/>
  <c r="V22" i="20"/>
  <c r="V18" i="20"/>
  <c r="V137" i="18"/>
  <c r="V209" i="18"/>
  <c r="V24" i="20"/>
  <c r="V135" i="18"/>
  <c r="V21" i="20"/>
  <c r="N117" i="18"/>
  <c r="N196" i="18"/>
  <c r="N16" i="20"/>
  <c r="N205" i="18"/>
  <c r="N115" i="18"/>
  <c r="N137" i="18"/>
  <c r="N17" i="20"/>
  <c r="N211" i="18"/>
  <c r="N209" i="18"/>
  <c r="N141" i="18"/>
  <c r="N18" i="20"/>
  <c r="N197" i="18"/>
  <c r="N21" i="20"/>
  <c r="N24" i="20"/>
  <c r="N32" i="24"/>
  <c r="N23" i="20"/>
  <c r="N12" i="24"/>
  <c r="N139" i="18"/>
  <c r="N138" i="18"/>
  <c r="N22" i="20"/>
  <c r="N19" i="20"/>
  <c r="N140" i="18"/>
  <c r="P17" i="20"/>
  <c r="P205" i="18"/>
  <c r="P16" i="20"/>
  <c r="P138" i="18"/>
  <c r="P23" i="20"/>
  <c r="P196" i="18"/>
  <c r="P141" i="18"/>
  <c r="P115" i="18"/>
  <c r="P95" i="18"/>
  <c r="P24" i="20"/>
  <c r="P135" i="18"/>
  <c r="P197" i="18"/>
  <c r="P211" i="18"/>
  <c r="P117" i="18"/>
  <c r="P22" i="20"/>
  <c r="P24" i="24"/>
  <c r="P136" i="18"/>
  <c r="P209" i="18"/>
  <c r="M27" i="6"/>
  <c r="P66" i="21"/>
  <c r="P18" i="20"/>
  <c r="P21" i="20"/>
  <c r="P206" i="18"/>
  <c r="U205" i="18"/>
  <c r="U141" i="18"/>
  <c r="U137" i="18"/>
  <c r="U21" i="20"/>
  <c r="U24" i="20"/>
  <c r="U22" i="20"/>
  <c r="U211" i="18"/>
  <c r="U135" i="18"/>
  <c r="U19" i="20"/>
  <c r="U140" i="18"/>
  <c r="U206" i="18"/>
  <c r="R27" i="6"/>
  <c r="U66" i="21"/>
  <c r="U17" i="20"/>
  <c r="U197" i="18"/>
  <c r="U139" i="18"/>
  <c r="U23" i="20"/>
  <c r="U136" i="18"/>
  <c r="U209" i="18"/>
  <c r="U18" i="20"/>
  <c r="U138" i="18"/>
  <c r="U28" i="24"/>
  <c r="U16" i="20"/>
  <c r="S15" i="22"/>
  <c r="S31" i="21"/>
  <c r="S48" i="22"/>
  <c r="S13" i="21"/>
  <c r="S8" i="22"/>
  <c r="S14" i="22"/>
  <c r="S16" i="22"/>
  <c r="S17" i="21"/>
  <c r="S50" i="21"/>
  <c r="S11" i="21"/>
  <c r="S24" i="22"/>
  <c r="S49" i="22"/>
  <c r="S37" i="21"/>
  <c r="S33" i="21"/>
  <c r="S38" i="22"/>
  <c r="S35" i="21"/>
  <c r="S32" i="22"/>
  <c r="S42" i="22"/>
  <c r="S30" i="22"/>
  <c r="S20" i="22"/>
  <c r="S47" i="21"/>
  <c r="S44" i="21"/>
  <c r="R50" i="21"/>
  <c r="R24" i="21"/>
  <c r="R10" i="21"/>
  <c r="R22" i="21"/>
  <c r="R21" i="22"/>
  <c r="R40" i="22"/>
  <c r="R33" i="21"/>
  <c r="R28" i="21"/>
  <c r="R32" i="22"/>
  <c r="R42" i="21"/>
  <c r="R47" i="22"/>
  <c r="R38" i="22"/>
  <c r="R20" i="22"/>
  <c r="R24" i="22"/>
  <c r="R31" i="21"/>
  <c r="R8" i="22"/>
  <c r="R30" i="22"/>
  <c r="R25" i="22"/>
  <c r="R35" i="21"/>
  <c r="R51" i="21"/>
  <c r="R64" i="21"/>
  <c r="R44" i="21"/>
  <c r="C61" i="13"/>
  <c r="C10" i="3"/>
  <c r="C9" i="3"/>
  <c r="C23" i="23"/>
  <c r="M21" i="22"/>
  <c r="M51" i="21"/>
  <c r="M14" i="22"/>
  <c r="M62" i="21"/>
  <c r="K25" i="2"/>
  <c r="M27" i="22"/>
  <c r="M48" i="22"/>
  <c r="M30" i="21"/>
  <c r="M42" i="21"/>
  <c r="M45" i="22"/>
  <c r="M64" i="21"/>
  <c r="M25" i="21"/>
  <c r="M24" i="22"/>
  <c r="M36" i="21"/>
  <c r="M31" i="22"/>
  <c r="M34" i="22"/>
  <c r="M45" i="21"/>
  <c r="M7" i="21"/>
  <c r="M29" i="22"/>
  <c r="M24" i="3"/>
  <c r="M38" i="21"/>
  <c r="M23" i="3"/>
  <c r="M19" i="21"/>
  <c r="K23" i="2"/>
  <c r="M39" i="22"/>
  <c r="M37" i="22"/>
  <c r="J14" i="22"/>
  <c r="J9" i="22"/>
  <c r="J16" i="22"/>
  <c r="J18" i="21"/>
  <c r="J21" i="22"/>
  <c r="J33" i="22"/>
  <c r="J39" i="22"/>
  <c r="J34" i="21"/>
  <c r="J47" i="22"/>
  <c r="J37" i="22"/>
  <c r="J19" i="22"/>
  <c r="J14" i="21"/>
  <c r="J29" i="22"/>
  <c r="J53" i="21"/>
  <c r="J48" i="22"/>
  <c r="J55" i="21"/>
  <c r="J31" i="22"/>
  <c r="J32" i="21"/>
  <c r="J48" i="21"/>
  <c r="J25" i="22"/>
  <c r="J13" i="22"/>
  <c r="J23" i="22"/>
  <c r="Q61" i="21"/>
  <c r="Q24" i="22"/>
  <c r="Q20" i="22"/>
  <c r="Q22" i="22"/>
  <c r="Q10" i="22"/>
  <c r="Q16" i="22"/>
  <c r="Q23" i="3"/>
  <c r="Q19" i="21"/>
  <c r="O23" i="2"/>
  <c r="Q47" i="21"/>
  <c r="Q62" i="21"/>
  <c r="O25" i="2"/>
  <c r="Q44" i="21"/>
  <c r="Q15" i="22"/>
  <c r="Q44" i="22"/>
  <c r="Q33" i="21"/>
  <c r="Q45" i="22"/>
  <c r="Q17" i="22"/>
  <c r="Q27" i="22"/>
  <c r="Q40" i="22"/>
  <c r="Q8" i="22"/>
  <c r="Q42" i="22"/>
  <c r="Q32" i="22"/>
  <c r="Q15" i="21"/>
  <c r="Q34" i="22"/>
  <c r="T26" i="21"/>
  <c r="T31" i="21"/>
  <c r="T28" i="22"/>
  <c r="T41" i="21"/>
  <c r="T32" i="22"/>
  <c r="T22" i="22"/>
  <c r="T8" i="21"/>
  <c r="T44" i="21"/>
  <c r="T45" i="22"/>
  <c r="T49" i="21"/>
  <c r="T62" i="21"/>
  <c r="R25" i="2"/>
  <c r="T37" i="21"/>
  <c r="T25" i="22"/>
  <c r="T21" i="22"/>
  <c r="T35" i="21"/>
  <c r="T38" i="22"/>
  <c r="T44" i="22"/>
  <c r="T15" i="22"/>
  <c r="T30" i="22"/>
  <c r="T29" i="21"/>
  <c r="T40" i="22"/>
  <c r="T22" i="21"/>
  <c r="D11" i="22"/>
  <c r="D15" i="22"/>
  <c r="D43" i="21"/>
  <c r="D22" i="21"/>
  <c r="D40" i="22"/>
  <c r="D37" i="22"/>
  <c r="D22" i="22"/>
  <c r="D26" i="21"/>
  <c r="D44" i="22"/>
  <c r="D47" i="22"/>
  <c r="D8" i="21"/>
  <c r="D32" i="22"/>
  <c r="D18" i="22"/>
  <c r="D31" i="21"/>
  <c r="D46" i="21"/>
  <c r="D37" i="21"/>
  <c r="D41" i="21"/>
  <c r="D23" i="22"/>
  <c r="D28" i="22"/>
  <c r="D13" i="22"/>
  <c r="D49" i="21"/>
  <c r="D44" i="21"/>
  <c r="I13" i="22"/>
  <c r="I34" i="21"/>
  <c r="I45" i="22"/>
  <c r="I14" i="22"/>
  <c r="I24" i="22"/>
  <c r="I9" i="22"/>
  <c r="I7" i="21"/>
  <c r="I25" i="22"/>
  <c r="I31" i="22"/>
  <c r="I29" i="22"/>
  <c r="I12" i="22"/>
  <c r="I29" i="21"/>
  <c r="I25" i="21"/>
  <c r="I42" i="22"/>
  <c r="I48" i="21"/>
  <c r="I32" i="21"/>
  <c r="I62" i="21"/>
  <c r="G25" i="2"/>
  <c r="I53" i="21"/>
  <c r="I50" i="21"/>
  <c r="I18" i="22"/>
  <c r="I11" i="21"/>
  <c r="I35" i="22"/>
  <c r="AA29" i="22"/>
  <c r="AA16" i="22"/>
  <c r="AA48" i="22"/>
  <c r="AA34" i="21"/>
  <c r="AA41" i="22"/>
  <c r="AA27" i="21"/>
  <c r="AA23" i="22"/>
  <c r="AA23" i="21"/>
  <c r="AA43" i="22"/>
  <c r="AA22" i="22"/>
  <c r="AA36" i="21"/>
  <c r="AA9" i="21"/>
  <c r="AA55" i="21"/>
  <c r="AA33" i="22"/>
  <c r="AA8" i="22"/>
  <c r="AA32" i="21"/>
  <c r="AA30" i="21"/>
  <c r="AA27" i="22"/>
  <c r="AA45" i="22"/>
  <c r="AA43" i="21"/>
  <c r="AA10" i="22"/>
  <c r="AA38" i="22"/>
  <c r="U44" i="22"/>
  <c r="U37" i="21"/>
  <c r="U40" i="22"/>
  <c r="U35" i="22"/>
  <c r="U49" i="21"/>
  <c r="U16" i="22"/>
  <c r="U22" i="22"/>
  <c r="U38" i="22"/>
  <c r="U29" i="21"/>
  <c r="U47" i="22"/>
  <c r="U13" i="22"/>
  <c r="U29" i="22"/>
  <c r="U35" i="21"/>
  <c r="U61" i="21"/>
  <c r="U18" i="22"/>
  <c r="U25" i="22"/>
  <c r="U41" i="21"/>
  <c r="U48" i="22"/>
  <c r="U15" i="21"/>
  <c r="U50" i="21"/>
  <c r="U20" i="22"/>
  <c r="U30" i="22"/>
  <c r="K45" i="21"/>
  <c r="K14" i="22"/>
  <c r="K32" i="21"/>
  <c r="K12" i="22"/>
  <c r="K41" i="22"/>
  <c r="K43" i="21"/>
  <c r="K16" i="22"/>
  <c r="K51" i="21"/>
  <c r="K36" i="21"/>
  <c r="K9" i="21"/>
  <c r="K23" i="22"/>
  <c r="K29" i="22"/>
  <c r="K34" i="21"/>
  <c r="K19" i="22"/>
  <c r="K64" i="21"/>
  <c r="K53" i="21"/>
  <c r="K33" i="22"/>
  <c r="K24" i="22"/>
  <c r="K40" i="22"/>
  <c r="K23" i="21"/>
  <c r="K43" i="22"/>
  <c r="K27" i="21"/>
  <c r="H35" i="22"/>
  <c r="H16" i="21"/>
  <c r="H32" i="21"/>
  <c r="H34" i="21"/>
  <c r="H23" i="22"/>
  <c r="H18" i="22"/>
  <c r="H28" i="22"/>
  <c r="H39" i="22"/>
  <c r="H44" i="22"/>
  <c r="H22" i="21"/>
  <c r="H46" i="21"/>
  <c r="H34" i="22"/>
  <c r="H41" i="22"/>
  <c r="H14" i="22"/>
  <c r="H64" i="21"/>
  <c r="H19" i="22"/>
  <c r="H43" i="22"/>
  <c r="H43" i="21"/>
  <c r="H11" i="22"/>
  <c r="H55" i="21"/>
  <c r="H48" i="21"/>
  <c r="H41" i="21"/>
  <c r="G11" i="22"/>
  <c r="G38" i="22"/>
  <c r="G64" i="21"/>
  <c r="G34" i="21"/>
  <c r="G31" i="21"/>
  <c r="G12" i="22"/>
  <c r="G42" i="22"/>
  <c r="G31" i="22"/>
  <c r="G49" i="21"/>
  <c r="G9" i="21"/>
  <c r="G23" i="22"/>
  <c r="G18" i="22"/>
  <c r="G33" i="22"/>
  <c r="G27" i="21"/>
  <c r="G24" i="22"/>
  <c r="G20" i="22"/>
  <c r="G55" i="21"/>
  <c r="G48" i="21"/>
  <c r="G28" i="22"/>
  <c r="G43" i="21"/>
  <c r="G37" i="21"/>
  <c r="G13" i="21"/>
  <c r="L12" i="21"/>
  <c r="L51" i="21"/>
  <c r="L31" i="22"/>
  <c r="L43" i="22"/>
  <c r="L30" i="21"/>
  <c r="L62" i="21"/>
  <c r="J25" i="2"/>
  <c r="L16" i="21"/>
  <c r="L36" i="21"/>
  <c r="L45" i="21"/>
  <c r="L19" i="22"/>
  <c r="L14" i="22"/>
  <c r="L48" i="22"/>
  <c r="L37" i="22"/>
  <c r="L34" i="22"/>
  <c r="L37" i="21"/>
  <c r="L24" i="3"/>
  <c r="L38" i="21"/>
  <c r="L45" i="22"/>
  <c r="L23" i="22"/>
  <c r="L13" i="22"/>
  <c r="L42" i="21"/>
  <c r="L41" i="22"/>
  <c r="L29" i="22"/>
  <c r="Y41" i="21"/>
  <c r="Y45" i="22"/>
  <c r="Y48" i="21"/>
  <c r="Y9" i="22"/>
  <c r="Y35" i="22"/>
  <c r="Y40" i="22"/>
  <c r="Y32" i="21"/>
  <c r="Y50" i="21"/>
  <c r="Y18" i="22"/>
  <c r="Y25" i="22"/>
  <c r="Y31" i="22"/>
  <c r="Y10" i="22"/>
  <c r="Y7" i="21"/>
  <c r="Y11" i="21"/>
  <c r="Y25" i="21"/>
  <c r="Y43" i="22"/>
  <c r="Y27" i="22"/>
  <c r="Y55" i="21"/>
  <c r="Y21" i="22"/>
  <c r="Y48" i="22"/>
  <c r="Y29" i="21"/>
  <c r="Y16" i="22"/>
  <c r="V22" i="22"/>
  <c r="V49" i="22"/>
  <c r="V13" i="22"/>
  <c r="V24" i="21"/>
  <c r="V47" i="22"/>
  <c r="V49" i="21"/>
  <c r="V8" i="22"/>
  <c r="V30" i="22"/>
  <c r="V29" i="21"/>
  <c r="V46" i="21"/>
  <c r="V37" i="21"/>
  <c r="V21" i="22"/>
  <c r="V9" i="22"/>
  <c r="V45" i="21"/>
  <c r="V44" i="21"/>
  <c r="V16" i="22"/>
  <c r="V33" i="21"/>
  <c r="V34" i="22"/>
  <c r="V41" i="21"/>
  <c r="V25" i="22"/>
  <c r="V38" i="22"/>
  <c r="V20" i="22"/>
  <c r="F30" i="22"/>
  <c r="F53" i="21"/>
  <c r="F45" i="21"/>
  <c r="F28" i="22"/>
  <c r="F11" i="22"/>
  <c r="F41" i="21"/>
  <c r="F29" i="21"/>
  <c r="F43" i="21"/>
  <c r="F20" i="22"/>
  <c r="F34" i="22"/>
  <c r="F19" i="22"/>
  <c r="F25" i="22"/>
  <c r="F35" i="21"/>
  <c r="F22" i="22"/>
  <c r="F18" i="21"/>
  <c r="F24" i="21"/>
  <c r="F23" i="22"/>
  <c r="F37" i="22"/>
  <c r="F38" i="22"/>
  <c r="F13" i="22"/>
  <c r="F49" i="22"/>
  <c r="F46" i="21"/>
  <c r="Z17" i="22"/>
  <c r="Z33" i="22"/>
  <c r="Z43" i="21"/>
  <c r="Z14" i="21"/>
  <c r="Z9" i="22"/>
  <c r="Z30" i="22"/>
  <c r="Z41" i="22"/>
  <c r="Z39" i="22"/>
  <c r="Z43" i="22"/>
  <c r="Z55" i="21"/>
  <c r="Z46" i="21"/>
  <c r="Z41" i="21"/>
  <c r="Z16" i="22"/>
  <c r="Z45" i="22"/>
  <c r="Z25" i="22"/>
  <c r="Z21" i="22"/>
  <c r="Z49" i="21"/>
  <c r="Z36" i="21"/>
  <c r="Z18" i="21"/>
  <c r="Z34" i="21"/>
  <c r="Z48" i="21"/>
  <c r="Z32" i="21"/>
  <c r="P61" i="21"/>
  <c r="P37" i="22"/>
  <c r="P42" i="22"/>
  <c r="P32" i="22"/>
  <c r="P50" i="21"/>
  <c r="P12" i="21"/>
  <c r="P51" i="21"/>
  <c r="P14" i="22"/>
  <c r="P10" i="22"/>
  <c r="P33" i="21"/>
  <c r="P40" i="22"/>
  <c r="P8" i="21"/>
  <c r="P24" i="3"/>
  <c r="P38" i="21"/>
  <c r="P25" i="22"/>
  <c r="P13" i="22"/>
  <c r="P19" i="22"/>
  <c r="P26" i="21"/>
  <c r="P8" i="22"/>
  <c r="P47" i="21"/>
  <c r="P27" i="22"/>
  <c r="P30" i="21"/>
  <c r="P15" i="22"/>
  <c r="P14" i="23"/>
  <c r="P8" i="24"/>
  <c r="P10" i="23"/>
  <c r="P16" i="23"/>
  <c r="P72" i="24"/>
  <c r="P34" i="24"/>
  <c r="P70" i="24"/>
  <c r="P8" i="23"/>
  <c r="P10" i="24"/>
  <c r="P20" i="23"/>
  <c r="P68" i="24"/>
  <c r="P9" i="24"/>
  <c r="P13" i="23"/>
  <c r="N56" i="11"/>
  <c r="N38" i="4"/>
  <c r="P17" i="23"/>
  <c r="P18" i="23"/>
  <c r="P7" i="24"/>
  <c r="P7" i="23"/>
  <c r="P67" i="21"/>
  <c r="P9" i="23"/>
  <c r="P35" i="24"/>
  <c r="N53" i="11"/>
  <c r="P60" i="21"/>
  <c r="P71" i="24"/>
  <c r="X16" i="21"/>
  <c r="X45" i="22"/>
  <c r="X37" i="21"/>
  <c r="X32" i="22"/>
  <c r="X64" i="21"/>
  <c r="X18" i="22"/>
  <c r="X43" i="21"/>
  <c r="X11" i="22"/>
  <c r="X46" i="21"/>
  <c r="X22" i="21"/>
  <c r="X25" i="22"/>
  <c r="X9" i="22"/>
  <c r="X41" i="22"/>
  <c r="X48" i="21"/>
  <c r="X35" i="22"/>
  <c r="X21" i="22"/>
  <c r="X23" i="22"/>
  <c r="X20" i="22"/>
  <c r="X17" i="22"/>
  <c r="X28" i="22"/>
  <c r="X49" i="22"/>
  <c r="X43" i="22"/>
  <c r="E12" i="22"/>
  <c r="E18" i="22"/>
  <c r="E15" i="22"/>
  <c r="E36" i="21"/>
  <c r="E33" i="21"/>
  <c r="E37" i="21"/>
  <c r="E49" i="21"/>
  <c r="E46" i="21"/>
  <c r="E29" i="21"/>
  <c r="E15" i="21"/>
  <c r="E22" i="22"/>
  <c r="E33" i="22"/>
  <c r="E13" i="22"/>
  <c r="E41" i="21"/>
  <c r="E47" i="22"/>
  <c r="E43" i="21"/>
  <c r="E55" i="21"/>
  <c r="E35" i="22"/>
  <c r="E30" i="22"/>
  <c r="E49" i="22"/>
  <c r="E40" i="22"/>
  <c r="E10" i="22"/>
  <c r="W15" i="22"/>
  <c r="W49" i="21"/>
  <c r="W20" i="22"/>
  <c r="W53" i="21"/>
  <c r="W43" i="21"/>
  <c r="W41" i="21"/>
  <c r="W13" i="21"/>
  <c r="W35" i="21"/>
  <c r="W46" i="21"/>
  <c r="W16" i="22"/>
  <c r="W28" i="22"/>
  <c r="W30" i="22"/>
  <c r="W27" i="21"/>
  <c r="W38" i="22"/>
  <c r="W31" i="21"/>
  <c r="W33" i="22"/>
  <c r="W11" i="22"/>
  <c r="W9" i="22"/>
  <c r="W13" i="22"/>
  <c r="W64" i="21"/>
  <c r="W8" i="22"/>
  <c r="W34" i="21"/>
  <c r="O7" i="24"/>
  <c r="O8" i="23"/>
  <c r="O34" i="24"/>
  <c r="O10" i="24"/>
  <c r="O15" i="23"/>
  <c r="M57" i="11"/>
  <c r="O14" i="23"/>
  <c r="O17" i="23"/>
  <c r="O7" i="23"/>
  <c r="O11" i="24"/>
  <c r="O41" i="24"/>
  <c r="O13" i="23"/>
  <c r="M56" i="11"/>
  <c r="M38" i="4"/>
  <c r="O65" i="24"/>
  <c r="O35" i="24"/>
  <c r="O18" i="23"/>
  <c r="M53" i="11"/>
  <c r="O60" i="21"/>
  <c r="O67" i="21"/>
  <c r="O9" i="24"/>
  <c r="O8" i="24"/>
  <c r="O39" i="24"/>
  <c r="O23" i="23"/>
  <c r="O20" i="23"/>
  <c r="O9" i="23"/>
  <c r="N42" i="22"/>
  <c r="N51" i="21"/>
  <c r="N24" i="3"/>
  <c r="N38" i="21"/>
  <c r="N19" i="22"/>
  <c r="N53" i="21"/>
  <c r="N14" i="21"/>
  <c r="N48" i="22"/>
  <c r="N14" i="22"/>
  <c r="N35" i="21"/>
  <c r="N29" i="22"/>
  <c r="N12" i="22"/>
  <c r="N39" i="22"/>
  <c r="N21" i="22"/>
  <c r="N48" i="21"/>
  <c r="N24" i="22"/>
  <c r="N55" i="21"/>
  <c r="N17" i="22"/>
  <c r="N34" i="21"/>
  <c r="N32" i="21"/>
  <c r="N45" i="22"/>
  <c r="N34" i="22"/>
  <c r="N31" i="22"/>
  <c r="O19" i="22"/>
  <c r="O37" i="22"/>
  <c r="O29" i="22"/>
  <c r="O48" i="22"/>
  <c r="O45" i="21"/>
  <c r="O64" i="21"/>
  <c r="O44" i="22"/>
  <c r="O44" i="21"/>
  <c r="O20" i="22"/>
  <c r="O40" i="22"/>
  <c r="O36" i="21"/>
  <c r="O24" i="22"/>
  <c r="O42" i="21"/>
  <c r="O62" i="21"/>
  <c r="M25" i="2"/>
  <c r="O12" i="22"/>
  <c r="O47" i="21"/>
  <c r="O15" i="22"/>
  <c r="O21" i="22"/>
  <c r="O23" i="21"/>
  <c r="O39" i="22"/>
  <c r="O61" i="21"/>
  <c r="O34" i="22"/>
  <c r="M10" i="23"/>
  <c r="M41" i="24"/>
  <c r="M16" i="23"/>
  <c r="M38" i="24"/>
  <c r="M8" i="23"/>
  <c r="K53" i="11"/>
  <c r="M60" i="21"/>
  <c r="M13" i="25"/>
  <c r="M68" i="24"/>
  <c r="M14" i="23"/>
  <c r="M7" i="24"/>
  <c r="M67" i="21"/>
  <c r="M11" i="24"/>
  <c r="M20" i="23"/>
  <c r="M19" i="23"/>
  <c r="K58" i="11"/>
  <c r="M10" i="24"/>
  <c r="M39" i="24"/>
  <c r="M7" i="23"/>
  <c r="M9" i="24"/>
  <c r="M9" i="23"/>
  <c r="M8" i="24"/>
  <c r="M17" i="23"/>
  <c r="M23" i="23"/>
  <c r="C42" i="22"/>
  <c r="C24" i="3"/>
  <c r="C38" i="21"/>
  <c r="C20" i="22"/>
  <c r="C15" i="22"/>
  <c r="C49" i="22"/>
  <c r="C22" i="22"/>
  <c r="C49" i="21"/>
  <c r="C24" i="22"/>
  <c r="C32" i="22"/>
  <c r="C8" i="22"/>
  <c r="C34" i="22"/>
  <c r="C37" i="22"/>
  <c r="C39" i="22"/>
  <c r="C27" i="22"/>
  <c r="C17" i="21"/>
  <c r="C44" i="22"/>
  <c r="C17" i="22"/>
  <c r="C38" i="22"/>
  <c r="C21" i="22"/>
  <c r="C28" i="22"/>
  <c r="C10" i="22"/>
  <c r="C61" i="21"/>
  <c r="S31" i="24"/>
  <c r="S78" i="24"/>
  <c r="S75" i="24"/>
  <c r="S59" i="24"/>
  <c r="S55" i="24"/>
  <c r="S12" i="24"/>
  <c r="S73" i="24"/>
  <c r="Q23" i="7"/>
  <c r="S65" i="21"/>
  <c r="S19" i="24"/>
  <c r="S33" i="24"/>
  <c r="S22" i="24"/>
  <c r="S13" i="24"/>
  <c r="S16" i="24"/>
  <c r="S21" i="24"/>
  <c r="S86" i="24"/>
  <c r="S23" i="24"/>
  <c r="S47" i="24"/>
  <c r="S61" i="24"/>
  <c r="S51" i="24"/>
  <c r="S30" i="24"/>
  <c r="S14" i="24"/>
  <c r="S18" i="24"/>
  <c r="Q19" i="23"/>
  <c r="O58" i="11"/>
  <c r="Q95" i="24"/>
  <c r="Q8" i="24"/>
  <c r="Q39" i="24"/>
  <c r="Q71" i="24"/>
  <c r="Q16" i="23"/>
  <c r="Q10" i="23"/>
  <c r="Q69" i="24"/>
  <c r="Q20" i="23"/>
  <c r="Q7" i="24"/>
  <c r="Q70" i="24"/>
  <c r="Q8" i="23"/>
  <c r="Q13" i="23"/>
  <c r="O56" i="11"/>
  <c r="O38" i="4"/>
  <c r="Q67" i="21"/>
  <c r="Q7" i="23"/>
  <c r="Q15" i="23"/>
  <c r="O57" i="11"/>
  <c r="Q17" i="23"/>
  <c r="Q23" i="23"/>
  <c r="Q18" i="23"/>
  <c r="Q9" i="24"/>
  <c r="Q9" i="23"/>
  <c r="Q42" i="24"/>
  <c r="C21" i="24"/>
  <c r="C25" i="24"/>
  <c r="C57" i="24"/>
  <c r="C31" i="24"/>
  <c r="C19" i="24"/>
  <c r="C65" i="21"/>
  <c r="C22" i="24"/>
  <c r="C14" i="24"/>
  <c r="C66" i="21"/>
  <c r="C13" i="24"/>
  <c r="C53" i="24"/>
  <c r="C18" i="24"/>
  <c r="C30" i="24"/>
  <c r="C23" i="24"/>
  <c r="C16" i="24"/>
  <c r="C33" i="24"/>
  <c r="C58" i="24"/>
  <c r="C17" i="20"/>
  <c r="C12" i="24"/>
  <c r="C21" i="20"/>
  <c r="C27" i="26"/>
  <c r="C55" i="24"/>
  <c r="H17" i="23"/>
  <c r="H16" i="25"/>
  <c r="H20" i="23"/>
  <c r="H7" i="24"/>
  <c r="H9" i="24"/>
  <c r="H11" i="24"/>
  <c r="H19" i="25"/>
  <c r="H7" i="23"/>
  <c r="H19" i="23"/>
  <c r="F58" i="11"/>
  <c r="H40" i="24"/>
  <c r="H13" i="23"/>
  <c r="F56" i="11"/>
  <c r="F38" i="4"/>
  <c r="H16" i="23"/>
  <c r="H23" i="23"/>
  <c r="H8" i="24"/>
  <c r="H67" i="21"/>
  <c r="H38" i="24"/>
  <c r="H10" i="24"/>
  <c r="H14" i="23"/>
  <c r="H18" i="23"/>
  <c r="H10" i="23"/>
  <c r="H9" i="23"/>
  <c r="H8" i="23"/>
  <c r="W9" i="24"/>
  <c r="W38" i="24"/>
  <c r="W11" i="24"/>
  <c r="W8" i="23"/>
  <c r="W67" i="21"/>
  <c r="W16" i="23"/>
  <c r="W35" i="24"/>
  <c r="W17" i="23"/>
  <c r="W19" i="23"/>
  <c r="U58" i="11"/>
  <c r="W15" i="23"/>
  <c r="U57" i="11"/>
  <c r="W23" i="23"/>
  <c r="W19" i="26"/>
  <c r="W10" i="23"/>
  <c r="W13" i="23"/>
  <c r="U56" i="11"/>
  <c r="U38" i="4"/>
  <c r="W34" i="24"/>
  <c r="W8" i="24"/>
  <c r="W14" i="23"/>
  <c r="W7" i="23"/>
  <c r="W20" i="23"/>
  <c r="W9" i="23"/>
  <c r="W10" i="24"/>
  <c r="W40" i="24"/>
  <c r="S23" i="23"/>
  <c r="S67" i="21"/>
  <c r="S14" i="23"/>
  <c r="S19" i="23"/>
  <c r="Q58" i="11"/>
  <c r="S15" i="23"/>
  <c r="Q57" i="11"/>
  <c r="S40" i="24"/>
  <c r="S68" i="24"/>
  <c r="S18" i="23"/>
  <c r="Q53" i="11"/>
  <c r="S60" i="21"/>
  <c r="S41" i="24"/>
  <c r="S69" i="24"/>
  <c r="S17" i="23"/>
  <c r="S16" i="23"/>
  <c r="S7" i="23"/>
  <c r="S8" i="24"/>
  <c r="S7" i="24"/>
  <c r="S20" i="23"/>
  <c r="S9" i="23"/>
  <c r="S13" i="23"/>
  <c r="Q56" i="11"/>
  <c r="Q38" i="4"/>
  <c r="S10" i="24"/>
  <c r="S42" i="24"/>
  <c r="S65" i="24"/>
  <c r="R72" i="24"/>
  <c r="R7" i="24"/>
  <c r="R9" i="23"/>
  <c r="R42" i="24"/>
  <c r="R69" i="24"/>
  <c r="R11" i="24"/>
  <c r="P53" i="11"/>
  <c r="R60" i="21"/>
  <c r="R13" i="23"/>
  <c r="P56" i="11"/>
  <c r="P38" i="4"/>
  <c r="R67" i="21"/>
  <c r="R15" i="23"/>
  <c r="P57" i="11"/>
  <c r="R18" i="23"/>
  <c r="R10" i="23"/>
  <c r="R7" i="23"/>
  <c r="R68" i="24"/>
  <c r="R16" i="23"/>
  <c r="R70" i="24"/>
  <c r="R14" i="23"/>
  <c r="R8" i="24"/>
  <c r="R17" i="23"/>
  <c r="R71" i="24"/>
  <c r="R10" i="24"/>
  <c r="R20" i="23"/>
  <c r="N16" i="23"/>
  <c r="N9" i="23"/>
  <c r="N41" i="24"/>
  <c r="N10" i="24"/>
  <c r="N39" i="24"/>
  <c r="N17" i="23"/>
  <c r="N14" i="23"/>
  <c r="N9" i="24"/>
  <c r="N23" i="23"/>
  <c r="N38" i="24"/>
  <c r="N35" i="24"/>
  <c r="N64" i="24"/>
  <c r="N7" i="24"/>
  <c r="N11" i="24"/>
  <c r="N18" i="23"/>
  <c r="N67" i="21"/>
  <c r="N10" i="23"/>
  <c r="N20" i="23"/>
  <c r="L53" i="11"/>
  <c r="N60" i="21"/>
  <c r="N19" i="23"/>
  <c r="L58" i="11"/>
  <c r="N13" i="23"/>
  <c r="L56" i="11"/>
  <c r="L38" i="4"/>
  <c r="N19" i="25"/>
  <c r="Y23" i="20"/>
  <c r="Y24" i="24"/>
  <c r="Y17" i="24"/>
  <c r="Y19" i="24"/>
  <c r="Y23" i="24"/>
  <c r="Y33" i="24"/>
  <c r="Y52" i="24"/>
  <c r="Y32" i="24"/>
  <c r="Y50" i="24"/>
  <c r="Y87" i="24"/>
  <c r="Y43" i="24"/>
  <c r="Y14" i="24"/>
  <c r="Y26" i="24"/>
  <c r="Y58" i="24"/>
  <c r="Y57" i="24"/>
  <c r="Y18" i="24"/>
  <c r="W23" i="7"/>
  <c r="Y65" i="21"/>
  <c r="Y16" i="24"/>
  <c r="Y28" i="24"/>
  <c r="Y79" i="24"/>
  <c r="Y80" i="24"/>
  <c r="Y12" i="24"/>
  <c r="J15" i="23"/>
  <c r="H57" i="11"/>
  <c r="J8" i="23"/>
  <c r="J10" i="23"/>
  <c r="J7" i="23"/>
  <c r="J19" i="23"/>
  <c r="H58" i="11"/>
  <c r="J67" i="21"/>
  <c r="J14" i="23"/>
  <c r="J8" i="24"/>
  <c r="J38" i="24"/>
  <c r="J94" i="24"/>
  <c r="J13" i="26"/>
  <c r="J41" i="24"/>
  <c r="J19" i="26"/>
  <c r="J17" i="23"/>
  <c r="J42" i="24"/>
  <c r="J18" i="23"/>
  <c r="J16" i="23"/>
  <c r="J23" i="23"/>
  <c r="J7" i="24"/>
  <c r="J9" i="23"/>
  <c r="J20" i="23"/>
  <c r="J9" i="24"/>
  <c r="U58" i="24"/>
  <c r="U21" i="24"/>
  <c r="U23" i="24"/>
  <c r="U77" i="24"/>
  <c r="U16" i="24"/>
  <c r="U27" i="24"/>
  <c r="U75" i="24"/>
  <c r="U12" i="24"/>
  <c r="U17" i="24"/>
  <c r="U74" i="24"/>
  <c r="U31" i="24"/>
  <c r="U33" i="24"/>
  <c r="S23" i="7"/>
  <c r="U65" i="21"/>
  <c r="U19" i="24"/>
  <c r="U61" i="24"/>
  <c r="U92" i="24"/>
  <c r="U13" i="24"/>
  <c r="U73" i="24"/>
  <c r="U22" i="24"/>
  <c r="U78" i="24"/>
  <c r="U55" i="24"/>
  <c r="U20" i="24"/>
  <c r="V19" i="23"/>
  <c r="T58" i="11"/>
  <c r="V9" i="23"/>
  <c r="V8" i="23"/>
  <c r="V23" i="23"/>
  <c r="V7" i="23"/>
  <c r="V42" i="24"/>
  <c r="V18" i="23"/>
  <c r="V10" i="24"/>
  <c r="V8" i="24"/>
  <c r="V20" i="23"/>
  <c r="V11" i="24"/>
  <c r="V40" i="24"/>
  <c r="T53" i="11"/>
  <c r="V60" i="21"/>
  <c r="V9" i="24"/>
  <c r="V13" i="23"/>
  <c r="T56" i="11"/>
  <c r="T38" i="4"/>
  <c r="V38" i="24"/>
  <c r="V15" i="23"/>
  <c r="T57" i="11"/>
  <c r="V7" i="24"/>
  <c r="V16" i="23"/>
  <c r="V35" i="24"/>
  <c r="V72" i="24"/>
  <c r="V10" i="23"/>
  <c r="T17" i="23"/>
  <c r="T40" i="24"/>
  <c r="T65" i="24"/>
  <c r="T20" i="23"/>
  <c r="T7" i="24"/>
  <c r="T70" i="24"/>
  <c r="T16" i="23"/>
  <c r="T15" i="23"/>
  <c r="R57" i="11"/>
  <c r="T9" i="24"/>
  <c r="T13" i="23"/>
  <c r="R56" i="11"/>
  <c r="R38" i="4"/>
  <c r="T11" i="24"/>
  <c r="T8" i="24"/>
  <c r="T67" i="21"/>
  <c r="T9" i="23"/>
  <c r="T23" i="23"/>
  <c r="T18" i="23"/>
  <c r="T14" i="23"/>
  <c r="R53" i="11"/>
  <c r="T60" i="21"/>
  <c r="T8" i="23"/>
  <c r="T42" i="24"/>
  <c r="T7" i="23"/>
  <c r="T72" i="24"/>
  <c r="AA25" i="26"/>
  <c r="AA23" i="20"/>
  <c r="AA52" i="24"/>
  <c r="AA58" i="24"/>
  <c r="AA43" i="24"/>
  <c r="AA21" i="20"/>
  <c r="AA54" i="24"/>
  <c r="AA32" i="24"/>
  <c r="AA30" i="24"/>
  <c r="AA14" i="24"/>
  <c r="AA16" i="24"/>
  <c r="AA9" i="27"/>
  <c r="AA24" i="24"/>
  <c r="AA22" i="24"/>
  <c r="AA48" i="24"/>
  <c r="AA13" i="24"/>
  <c r="AA57" i="24"/>
  <c r="AA12" i="24"/>
  <c r="AA31" i="24"/>
  <c r="AA50" i="24"/>
  <c r="AA17" i="24"/>
  <c r="AA45" i="24"/>
  <c r="Z13" i="24"/>
  <c r="Z24" i="24"/>
  <c r="Z17" i="24"/>
  <c r="Z54" i="24"/>
  <c r="Z32" i="24"/>
  <c r="Z58" i="24"/>
  <c r="Z52" i="24"/>
  <c r="Z50" i="24"/>
  <c r="Z79" i="24"/>
  <c r="Z87" i="24"/>
  <c r="Z16" i="24"/>
  <c r="Z14" i="24"/>
  <c r="Z23" i="24"/>
  <c r="Z26" i="26"/>
  <c r="Z92" i="24"/>
  <c r="Z31" i="24"/>
  <c r="W27" i="6"/>
  <c r="Z66" i="21"/>
  <c r="Z21" i="20"/>
  <c r="Z22" i="24"/>
  <c r="Z35" i="25"/>
  <c r="Z57" i="24"/>
  <c r="Z43" i="24"/>
  <c r="S27" i="6"/>
  <c r="V66" i="21"/>
  <c r="V18" i="24"/>
  <c r="V62" i="24"/>
  <c r="S14" i="9"/>
  <c r="V31" i="26"/>
  <c r="V12" i="24"/>
  <c r="V91" i="24"/>
  <c r="V45" i="24"/>
  <c r="V27" i="24"/>
  <c r="V55" i="24"/>
  <c r="V48" i="24"/>
  <c r="V23" i="24"/>
  <c r="V53" i="24"/>
  <c r="V92" i="24"/>
  <c r="V59" i="24"/>
  <c r="V31" i="24"/>
  <c r="V85" i="24"/>
  <c r="V19" i="24"/>
  <c r="V13" i="24"/>
  <c r="V74" i="24"/>
  <c r="V21" i="24"/>
  <c r="V73" i="24"/>
  <c r="V26" i="24"/>
  <c r="J48" i="24"/>
  <c r="J32" i="24"/>
  <c r="J20" i="24"/>
  <c r="J56" i="24"/>
  <c r="G27" i="6"/>
  <c r="J66" i="21"/>
  <c r="J26" i="24"/>
  <c r="J19" i="24"/>
  <c r="J52" i="24"/>
  <c r="J34" i="25"/>
  <c r="J90" i="17"/>
  <c r="J43" i="24"/>
  <c r="J83" i="24"/>
  <c r="H23" i="7"/>
  <c r="J65" i="21"/>
  <c r="J9" i="27"/>
  <c r="J17" i="24"/>
  <c r="J45" i="24"/>
  <c r="J14" i="24"/>
  <c r="J23" i="24"/>
  <c r="J50" i="24"/>
  <c r="J22" i="24"/>
  <c r="J31" i="24"/>
  <c r="J16" i="24"/>
  <c r="J24" i="24"/>
  <c r="H33" i="24"/>
  <c r="H44" i="24"/>
  <c r="H90" i="24"/>
  <c r="H26" i="24"/>
  <c r="H28" i="24"/>
  <c r="H8" i="27"/>
  <c r="H50" i="24"/>
  <c r="H18" i="24"/>
  <c r="H21" i="24"/>
  <c r="H57" i="24"/>
  <c r="H22" i="20"/>
  <c r="H52" i="24"/>
  <c r="H25" i="24"/>
  <c r="H24" i="24"/>
  <c r="H45" i="24"/>
  <c r="H19" i="24"/>
  <c r="H16" i="24"/>
  <c r="H88" i="24"/>
  <c r="H48" i="24"/>
  <c r="H81" i="24"/>
  <c r="H43" i="24"/>
  <c r="H83" i="24"/>
  <c r="D33" i="24"/>
  <c r="D87" i="24"/>
  <c r="D93" i="24"/>
  <c r="D25" i="24"/>
  <c r="D22" i="27"/>
  <c r="D81" i="24"/>
  <c r="D53" i="24"/>
  <c r="D51" i="24"/>
  <c r="D55" i="24"/>
  <c r="D23" i="24"/>
  <c r="D12" i="24"/>
  <c r="D20" i="24"/>
  <c r="D30" i="24"/>
  <c r="D14" i="24"/>
  <c r="D28" i="24"/>
  <c r="D58" i="24"/>
  <c r="D13" i="24"/>
  <c r="D22" i="20"/>
  <c r="D44" i="24"/>
  <c r="D31" i="24"/>
  <c r="D21" i="24"/>
  <c r="D57" i="24"/>
  <c r="Q25" i="24"/>
  <c r="Q62" i="24"/>
  <c r="Q63" i="24"/>
  <c r="Q23" i="24"/>
  <c r="Q16" i="24"/>
  <c r="Q47" i="24"/>
  <c r="Q53" i="24"/>
  <c r="Q84" i="24"/>
  <c r="Q24" i="24"/>
  <c r="Q27" i="24"/>
  <c r="Q21" i="27"/>
  <c r="Q33" i="24"/>
  <c r="Q17" i="24"/>
  <c r="Q61" i="24"/>
  <c r="Q22" i="20"/>
  <c r="Q14" i="24"/>
  <c r="Q51" i="24"/>
  <c r="Q43" i="24"/>
  <c r="Q18" i="24"/>
  <c r="Q20" i="24"/>
  <c r="Q32" i="24"/>
  <c r="Q44" i="24"/>
  <c r="W74" i="24"/>
  <c r="W13" i="24"/>
  <c r="W20" i="24"/>
  <c r="W45" i="24"/>
  <c r="W31" i="24"/>
  <c r="W18" i="24"/>
  <c r="W17" i="24"/>
  <c r="W62" i="24"/>
  <c r="T27" i="6"/>
  <c r="W66" i="21"/>
  <c r="W21" i="24"/>
  <c r="W28" i="24"/>
  <c r="W58" i="24"/>
  <c r="W61" i="24"/>
  <c r="W86" i="24"/>
  <c r="W59" i="24"/>
  <c r="W47" i="24"/>
  <c r="W26" i="24"/>
  <c r="W14" i="24"/>
  <c r="W73" i="24"/>
  <c r="U23" i="7"/>
  <c r="W65" i="21"/>
  <c r="W75" i="24"/>
  <c r="W78" i="24"/>
  <c r="U38" i="24"/>
  <c r="U13" i="23"/>
  <c r="S56" i="11"/>
  <c r="S38" i="4"/>
  <c r="U40" i="24"/>
  <c r="U42" i="24"/>
  <c r="U67" i="21"/>
  <c r="U39" i="24"/>
  <c r="U18" i="23"/>
  <c r="U10" i="24"/>
  <c r="U7" i="23"/>
  <c r="U9" i="23"/>
  <c r="S53" i="11"/>
  <c r="U60" i="21"/>
  <c r="U14" i="23"/>
  <c r="U19" i="23"/>
  <c r="S58" i="11"/>
  <c r="U15" i="23"/>
  <c r="S57" i="11"/>
  <c r="U8" i="24"/>
  <c r="U95" i="24"/>
  <c r="U11" i="24"/>
  <c r="U71" i="24"/>
  <c r="U64" i="24"/>
  <c r="U16" i="23"/>
  <c r="U17" i="23"/>
  <c r="U20" i="23"/>
  <c r="T53" i="24"/>
  <c r="T44" i="24"/>
  <c r="T20" i="24"/>
  <c r="T16" i="24"/>
  <c r="T55" i="24"/>
  <c r="T31" i="24"/>
  <c r="T51" i="24"/>
  <c r="T13" i="24"/>
  <c r="T49" i="24"/>
  <c r="T85" i="24"/>
  <c r="T77" i="24"/>
  <c r="Q27" i="6"/>
  <c r="T66" i="21"/>
  <c r="T75" i="24"/>
  <c r="T74" i="24"/>
  <c r="T23" i="24"/>
  <c r="T33" i="24"/>
  <c r="T62" i="24"/>
  <c r="T25" i="24"/>
  <c r="T14" i="24"/>
  <c r="T12" i="24"/>
  <c r="T21" i="24"/>
  <c r="T30" i="24"/>
  <c r="I45" i="24"/>
  <c r="I54" i="24"/>
  <c r="I24" i="24"/>
  <c r="I28" i="24"/>
  <c r="I17" i="24"/>
  <c r="I12" i="24"/>
  <c r="I23" i="24"/>
  <c r="I33" i="24"/>
  <c r="G23" i="7"/>
  <c r="I65" i="21"/>
  <c r="I43" i="24"/>
  <c r="I19" i="24"/>
  <c r="I50" i="24"/>
  <c r="I26" i="24"/>
  <c r="I52" i="24"/>
  <c r="I18" i="24"/>
  <c r="I57" i="24"/>
  <c r="I48" i="24"/>
  <c r="I32" i="24"/>
  <c r="I26" i="26"/>
  <c r="F27" i="6"/>
  <c r="I66" i="21"/>
  <c r="I27" i="26"/>
  <c r="I9" i="27"/>
  <c r="R16" i="24"/>
  <c r="R14" i="24"/>
  <c r="R44" i="24"/>
  <c r="R33" i="24"/>
  <c r="R49" i="24"/>
  <c r="R23" i="24"/>
  <c r="R32" i="24"/>
  <c r="R55" i="24"/>
  <c r="R51" i="24"/>
  <c r="R85" i="24"/>
  <c r="P23" i="7"/>
  <c r="R65" i="21"/>
  <c r="R83" i="24"/>
  <c r="R22" i="24"/>
  <c r="R86" i="24"/>
  <c r="R27" i="24"/>
  <c r="R17" i="24"/>
  <c r="R13" i="24"/>
  <c r="R74" i="24"/>
  <c r="O27" i="6"/>
  <c r="R66" i="21"/>
  <c r="R31" i="24"/>
  <c r="R18" i="24"/>
  <c r="R47" i="24"/>
  <c r="N22" i="24"/>
  <c r="N21" i="24"/>
  <c r="N63" i="24"/>
  <c r="N90" i="24"/>
  <c r="N27" i="24"/>
  <c r="N16" i="24"/>
  <c r="N32" i="26"/>
  <c r="N54" i="24"/>
  <c r="N91" i="24"/>
  <c r="N14" i="24"/>
  <c r="N82" i="24"/>
  <c r="N19" i="24"/>
  <c r="N56" i="24"/>
  <c r="K27" i="6"/>
  <c r="N66" i="21"/>
  <c r="N83" i="24"/>
  <c r="N18" i="24"/>
  <c r="N30" i="24"/>
  <c r="L23" i="7"/>
  <c r="N65" i="21"/>
  <c r="N47" i="24"/>
  <c r="N34" i="25"/>
  <c r="N90" i="17"/>
  <c r="N26" i="24"/>
  <c r="N20" i="24"/>
  <c r="C8" i="24"/>
  <c r="C7" i="24"/>
  <c r="C9" i="23"/>
  <c r="C18" i="23"/>
  <c r="C16" i="23"/>
  <c r="C19" i="23"/>
  <c r="C94" i="24"/>
  <c r="C7" i="23"/>
  <c r="C8" i="23"/>
  <c r="C67" i="21"/>
  <c r="C41" i="24"/>
  <c r="C35" i="24"/>
  <c r="C40" i="24"/>
  <c r="C20" i="26"/>
  <c r="C14" i="23"/>
  <c r="C17" i="23"/>
  <c r="C10" i="24"/>
  <c r="C20" i="23"/>
  <c r="C13" i="23"/>
  <c r="C15" i="23"/>
  <c r="C42" i="24"/>
  <c r="C60" i="21"/>
  <c r="X8" i="24"/>
  <c r="X7" i="24"/>
  <c r="X20" i="23"/>
  <c r="X16" i="23"/>
  <c r="X71" i="24"/>
  <c r="X10" i="24"/>
  <c r="X19" i="23"/>
  <c r="V58" i="11"/>
  <c r="X23" i="23"/>
  <c r="X9" i="23"/>
  <c r="X11" i="24"/>
  <c r="X9" i="24"/>
  <c r="X18" i="23"/>
  <c r="X13" i="23"/>
  <c r="V56" i="11"/>
  <c r="V38" i="4"/>
  <c r="X72" i="24"/>
  <c r="X38" i="24"/>
  <c r="X34" i="24"/>
  <c r="X10" i="23"/>
  <c r="X7" i="23"/>
  <c r="X40" i="24"/>
  <c r="X17" i="23"/>
  <c r="X8" i="23"/>
  <c r="V53" i="11"/>
  <c r="X60" i="21"/>
  <c r="K13" i="24"/>
  <c r="K30" i="24"/>
  <c r="K34" i="25"/>
  <c r="K90" i="17"/>
  <c r="K45" i="24"/>
  <c r="K56" i="24"/>
  <c r="K48" i="24"/>
  <c r="K50" i="24"/>
  <c r="K54" i="24"/>
  <c r="K24" i="24"/>
  <c r="K26" i="24"/>
  <c r="K52" i="24"/>
  <c r="K17" i="24"/>
  <c r="K88" i="24"/>
  <c r="I23" i="7"/>
  <c r="K65" i="21"/>
  <c r="K12" i="24"/>
  <c r="K22" i="24"/>
  <c r="K21" i="24"/>
  <c r="K32" i="24"/>
  <c r="K82" i="24"/>
  <c r="K16" i="24"/>
  <c r="K43" i="24"/>
  <c r="K31" i="24"/>
  <c r="L43" i="24"/>
  <c r="L54" i="24"/>
  <c r="L24" i="24"/>
  <c r="L28" i="24"/>
  <c r="L32" i="24"/>
  <c r="L17" i="24"/>
  <c r="L52" i="24"/>
  <c r="L20" i="24"/>
  <c r="L12" i="24"/>
  <c r="L27" i="26"/>
  <c r="L83" i="24"/>
  <c r="L22" i="24"/>
  <c r="I27" i="6"/>
  <c r="L66" i="21"/>
  <c r="L50" i="24"/>
  <c r="L21" i="24"/>
  <c r="L56" i="24"/>
  <c r="L90" i="24"/>
  <c r="L18" i="24"/>
  <c r="L84" i="24"/>
  <c r="L23" i="24"/>
  <c r="L30" i="24"/>
  <c r="L14" i="24"/>
  <c r="C23" i="7"/>
  <c r="E65" i="21"/>
  <c r="E48" i="24"/>
  <c r="E13" i="24"/>
  <c r="E31" i="24"/>
  <c r="E22" i="24"/>
  <c r="E28" i="24"/>
  <c r="E58" i="24"/>
  <c r="E17" i="24"/>
  <c r="E82" i="24"/>
  <c r="E55" i="24"/>
  <c r="E33" i="24"/>
  <c r="E12" i="24"/>
  <c r="E23" i="24"/>
  <c r="E88" i="24"/>
  <c r="E57" i="24"/>
  <c r="E21" i="24"/>
  <c r="E16" i="24"/>
  <c r="E53" i="24"/>
  <c r="E25" i="24"/>
  <c r="E20" i="24"/>
  <c r="E80" i="24"/>
  <c r="E66" i="21"/>
  <c r="X22" i="20"/>
  <c r="X59" i="24"/>
  <c r="X77" i="24"/>
  <c r="X61" i="24"/>
  <c r="X33" i="24"/>
  <c r="X17" i="24"/>
  <c r="X79" i="24"/>
  <c r="X28" i="24"/>
  <c r="X16" i="24"/>
  <c r="X48" i="24"/>
  <c r="X26" i="24"/>
  <c r="X24" i="24"/>
  <c r="X45" i="24"/>
  <c r="X44" i="24"/>
  <c r="X18" i="24"/>
  <c r="X31" i="24"/>
  <c r="X43" i="24"/>
  <c r="X13" i="24"/>
  <c r="X21" i="24"/>
  <c r="X25" i="24"/>
  <c r="X50" i="24"/>
  <c r="X85" i="24"/>
  <c r="I8" i="24"/>
  <c r="I20" i="23"/>
  <c r="I7" i="23"/>
  <c r="I9" i="23"/>
  <c r="I16" i="23"/>
  <c r="I16" i="25"/>
  <c r="I14" i="23"/>
  <c r="I19" i="23"/>
  <c r="G58" i="11"/>
  <c r="I15" i="26"/>
  <c r="I11" i="24"/>
  <c r="I23" i="23"/>
  <c r="I19" i="26"/>
  <c r="I9" i="24"/>
  <c r="I7" i="24"/>
  <c r="I13" i="23"/>
  <c r="G56" i="11"/>
  <c r="G38" i="4"/>
  <c r="I17" i="23"/>
  <c r="I38" i="24"/>
  <c r="I67" i="21"/>
  <c r="I34" i="24"/>
  <c r="I8" i="23"/>
  <c r="I10" i="23"/>
  <c r="G53" i="11"/>
  <c r="I60" i="21"/>
  <c r="G7" i="23"/>
  <c r="G18" i="23"/>
  <c r="G11" i="24"/>
  <c r="G14" i="23"/>
  <c r="G8" i="23"/>
  <c r="G17" i="23"/>
  <c r="G8" i="24"/>
  <c r="G13" i="23"/>
  <c r="E56" i="11"/>
  <c r="E38" i="4"/>
  <c r="G23" i="23"/>
  <c r="G67" i="21"/>
  <c r="G19" i="23"/>
  <c r="E58" i="11"/>
  <c r="G42" i="24"/>
  <c r="G10" i="24"/>
  <c r="G15" i="23"/>
  <c r="E57" i="11"/>
  <c r="G10" i="23"/>
  <c r="G35" i="24"/>
  <c r="G16" i="23"/>
  <c r="G40" i="24"/>
  <c r="G9" i="23"/>
  <c r="G38" i="24"/>
  <c r="G20" i="23"/>
  <c r="G34" i="24"/>
  <c r="K34" i="24"/>
  <c r="K18" i="23"/>
  <c r="K8" i="24"/>
  <c r="K67" i="21"/>
  <c r="K23" i="23"/>
  <c r="K15" i="23"/>
  <c r="I57" i="11"/>
  <c r="K16" i="23"/>
  <c r="K7" i="23"/>
  <c r="K8" i="23"/>
  <c r="K7" i="24"/>
  <c r="K94" i="24"/>
  <c r="K10" i="23"/>
  <c r="K14" i="23"/>
  <c r="K11" i="24"/>
  <c r="K9" i="24"/>
  <c r="K38" i="24"/>
  <c r="K17" i="23"/>
  <c r="K19" i="23"/>
  <c r="I58" i="11"/>
  <c r="K13" i="23"/>
  <c r="I56" i="11"/>
  <c r="I38" i="4"/>
  <c r="K10" i="24"/>
  <c r="K19" i="25"/>
  <c r="K41" i="24"/>
  <c r="D9" i="23"/>
  <c r="D60" i="21"/>
  <c r="D42" i="24"/>
  <c r="D13" i="23"/>
  <c r="D35" i="24"/>
  <c r="D8" i="24"/>
  <c r="D18" i="23"/>
  <c r="D20" i="23"/>
  <c r="D7" i="24"/>
  <c r="D10" i="23"/>
  <c r="D23" i="23"/>
  <c r="D10" i="24"/>
  <c r="D8" i="23"/>
  <c r="D14" i="23"/>
  <c r="D7" i="23"/>
  <c r="D11" i="24"/>
  <c r="D17" i="23"/>
  <c r="D39" i="24"/>
  <c r="D16" i="23"/>
  <c r="D40" i="24"/>
  <c r="D15" i="23"/>
  <c r="D94" i="24"/>
  <c r="M13" i="24"/>
  <c r="M50" i="24"/>
  <c r="M17" i="24"/>
  <c r="M47" i="24"/>
  <c r="M43" i="24"/>
  <c r="M12" i="24"/>
  <c r="M84" i="24"/>
  <c r="M24" i="24"/>
  <c r="J27" i="6"/>
  <c r="M66" i="21"/>
  <c r="M52" i="24"/>
  <c r="M20" i="24"/>
  <c r="M32" i="24"/>
  <c r="M30" i="24"/>
  <c r="M19" i="24"/>
  <c r="K23" i="7"/>
  <c r="M65" i="21"/>
  <c r="M83" i="24"/>
  <c r="M82" i="24"/>
  <c r="M56" i="24"/>
  <c r="M22" i="24"/>
  <c r="M14" i="24"/>
  <c r="J14" i="9"/>
  <c r="M31" i="26"/>
  <c r="M54" i="24"/>
  <c r="G25" i="24"/>
  <c r="G45" i="24"/>
  <c r="G88" i="24"/>
  <c r="G90" i="24"/>
  <c r="G58" i="24"/>
  <c r="G50" i="24"/>
  <c r="G81" i="24"/>
  <c r="E23" i="7"/>
  <c r="G65" i="21"/>
  <c r="G82" i="24"/>
  <c r="G28" i="24"/>
  <c r="G80" i="24"/>
  <c r="G21" i="24"/>
  <c r="G26" i="24"/>
  <c r="G19" i="24"/>
  <c r="D27" i="6"/>
  <c r="G66" i="21"/>
  <c r="G23" i="24"/>
  <c r="G55" i="24"/>
  <c r="G17" i="24"/>
  <c r="G18" i="24"/>
  <c r="G20" i="24"/>
  <c r="G13" i="24"/>
  <c r="G93" i="24"/>
  <c r="L39" i="24"/>
  <c r="L20" i="23"/>
  <c r="L7" i="24"/>
  <c r="L19" i="23"/>
  <c r="J58" i="11"/>
  <c r="L34" i="24"/>
  <c r="L41" i="24"/>
  <c r="L23" i="23"/>
  <c r="J53" i="11"/>
  <c r="L60" i="21"/>
  <c r="L17" i="23"/>
  <c r="L16" i="23"/>
  <c r="L13" i="26"/>
  <c r="L18" i="23"/>
  <c r="L40" i="24"/>
  <c r="L7" i="23"/>
  <c r="L8" i="23"/>
  <c r="L10" i="23"/>
  <c r="L15" i="23"/>
  <c r="J57" i="11"/>
  <c r="L13" i="25"/>
  <c r="L14" i="23"/>
  <c r="L38" i="24"/>
  <c r="L67" i="21"/>
  <c r="L9" i="24"/>
  <c r="O14" i="24"/>
  <c r="O49" i="24"/>
  <c r="O25" i="24"/>
  <c r="O20" i="24"/>
  <c r="O47" i="24"/>
  <c r="O18" i="24"/>
  <c r="M23" i="7"/>
  <c r="O65" i="21"/>
  <c r="O90" i="24"/>
  <c r="O26" i="24"/>
  <c r="L14" i="9"/>
  <c r="O31" i="26"/>
  <c r="O84" i="24"/>
  <c r="O54" i="24"/>
  <c r="O22" i="24"/>
  <c r="O30" i="24"/>
  <c r="O17" i="24"/>
  <c r="O32" i="24"/>
  <c r="O91" i="24"/>
  <c r="O44" i="24"/>
  <c r="O19" i="24"/>
  <c r="O27" i="24"/>
  <c r="O12" i="24"/>
  <c r="O23" i="20"/>
  <c r="F33" i="24"/>
  <c r="F18" i="24"/>
  <c r="F45" i="24"/>
  <c r="C27" i="6"/>
  <c r="F66" i="21"/>
  <c r="F48" i="24"/>
  <c r="F47" i="24"/>
  <c r="F21" i="24"/>
  <c r="F26" i="24"/>
  <c r="F20" i="27"/>
  <c r="F81" i="24"/>
  <c r="F16" i="24"/>
  <c r="F13" i="24"/>
  <c r="F53" i="24"/>
  <c r="F19" i="24"/>
  <c r="F24" i="20"/>
  <c r="F28" i="24"/>
  <c r="F31" i="24"/>
  <c r="F79" i="24"/>
  <c r="F55" i="24"/>
  <c r="F12" i="24"/>
  <c r="F59" i="24"/>
  <c r="F27" i="24"/>
  <c r="Z11" i="24"/>
  <c r="Z7" i="23"/>
  <c r="Z14" i="23"/>
  <c r="Z7" i="24"/>
  <c r="Z8" i="23"/>
  <c r="Z10" i="23"/>
  <c r="Z16" i="25"/>
  <c r="Z15" i="23"/>
  <c r="X57" i="11"/>
  <c r="Z41" i="24"/>
  <c r="Z16" i="23"/>
  <c r="Z9" i="23"/>
  <c r="Z18" i="23"/>
  <c r="Z9" i="24"/>
  <c r="Z23" i="23"/>
  <c r="Z95" i="24"/>
  <c r="Z19" i="23"/>
  <c r="X58" i="11"/>
  <c r="Z17" i="23"/>
  <c r="Z38" i="24"/>
  <c r="Z42" i="24"/>
  <c r="Z34" i="24"/>
  <c r="Z8" i="24"/>
  <c r="Z20" i="23"/>
  <c r="P20" i="24"/>
  <c r="P12" i="24"/>
  <c r="P18" i="24"/>
  <c r="P44" i="24"/>
  <c r="P51" i="24"/>
  <c r="N23" i="7"/>
  <c r="P65" i="21"/>
  <c r="P62" i="24"/>
  <c r="P20" i="27"/>
  <c r="P30" i="24"/>
  <c r="P25" i="24"/>
  <c r="P13" i="24"/>
  <c r="P14" i="24"/>
  <c r="P73" i="24"/>
  <c r="P22" i="24"/>
  <c r="P33" i="24"/>
  <c r="P17" i="24"/>
  <c r="P85" i="24"/>
  <c r="P16" i="24"/>
  <c r="P32" i="24"/>
  <c r="P19" i="24"/>
  <c r="P27" i="24"/>
  <c r="P49" i="24"/>
  <c r="Y7" i="24"/>
  <c r="Y95" i="24"/>
  <c r="Y10" i="23"/>
  <c r="Y8" i="23"/>
  <c r="Y20" i="23"/>
  <c r="Y19" i="23"/>
  <c r="W58" i="11"/>
  <c r="Y11" i="24"/>
  <c r="Y40" i="24"/>
  <c r="Y13" i="23"/>
  <c r="W56" i="11"/>
  <c r="W38" i="4"/>
  <c r="Y17" i="23"/>
  <c r="Y7" i="23"/>
  <c r="Y18" i="23"/>
  <c r="Y38" i="24"/>
  <c r="Y9" i="23"/>
  <c r="Y34" i="24"/>
  <c r="Y15" i="23"/>
  <c r="W57" i="11"/>
  <c r="Y69" i="24"/>
  <c r="Y14" i="23"/>
  <c r="Y8" i="24"/>
  <c r="Y9" i="24"/>
  <c r="Y16" i="23"/>
  <c r="Y23" i="23"/>
  <c r="U14" i="24"/>
  <c r="U84" i="24"/>
  <c r="U88" i="24"/>
  <c r="U53" i="24"/>
  <c r="U27" i="26"/>
  <c r="U30" i="24"/>
  <c r="U32" i="24"/>
  <c r="U49" i="24"/>
  <c r="U44" i="24"/>
  <c r="U63" i="24"/>
  <c r="R14" i="9"/>
  <c r="U31" i="26"/>
  <c r="U91" i="24"/>
  <c r="U54" i="24"/>
  <c r="U18" i="24"/>
  <c r="U25" i="24"/>
  <c r="U51" i="24"/>
  <c r="U83" i="24"/>
  <c r="U47" i="24"/>
  <c r="U82" i="24"/>
  <c r="U62" i="24"/>
  <c r="U28" i="26"/>
  <c r="U56" i="24"/>
  <c r="E32" i="24"/>
  <c r="E74" i="24"/>
  <c r="E91" i="24"/>
  <c r="E61" i="24"/>
  <c r="E73" i="24"/>
  <c r="E34" i="26"/>
  <c r="E47" i="24"/>
  <c r="E75" i="24"/>
  <c r="E44" i="24"/>
  <c r="E49" i="24"/>
  <c r="E51" i="24"/>
  <c r="E62" i="24"/>
  <c r="E77" i="24"/>
  <c r="E54" i="24"/>
  <c r="E14" i="24"/>
  <c r="E18" i="24"/>
  <c r="E78" i="24"/>
  <c r="E24" i="24"/>
  <c r="E92" i="24"/>
  <c r="E63" i="24"/>
  <c r="E30" i="24"/>
  <c r="E56" i="24"/>
  <c r="Y73" i="24"/>
  <c r="Y55" i="24"/>
  <c r="Y44" i="24"/>
  <c r="Y61" i="24"/>
  <c r="Y53" i="24"/>
  <c r="Y32" i="26"/>
  <c r="Y49" i="24"/>
  <c r="Y31" i="24"/>
  <c r="Y21" i="24"/>
  <c r="Y47" i="24"/>
  <c r="Y86" i="24"/>
  <c r="Y13" i="24"/>
  <c r="Y75" i="24"/>
  <c r="Y27" i="24"/>
  <c r="Y84" i="24"/>
  <c r="Y91" i="24"/>
  <c r="Y56" i="24"/>
  <c r="Y59" i="24"/>
  <c r="Y20" i="24"/>
  <c r="Y51" i="24"/>
  <c r="Y25" i="24"/>
  <c r="Y78" i="24"/>
  <c r="F9" i="24"/>
  <c r="F7" i="23"/>
  <c r="F20" i="23"/>
  <c r="F19" i="23"/>
  <c r="D58" i="11"/>
  <c r="F42" i="24"/>
  <c r="F18" i="23"/>
  <c r="F7" i="24"/>
  <c r="F9" i="23"/>
  <c r="F10" i="23"/>
  <c r="F40" i="24"/>
  <c r="F10" i="24"/>
  <c r="F38" i="24"/>
  <c r="F8" i="23"/>
  <c r="F11" i="24"/>
  <c r="F15" i="25"/>
  <c r="F8" i="24"/>
  <c r="F13" i="23"/>
  <c r="D56" i="11"/>
  <c r="D38" i="4"/>
  <c r="F23" i="23"/>
  <c r="F16" i="23"/>
  <c r="F15" i="23"/>
  <c r="D57" i="11"/>
  <c r="F35" i="24"/>
  <c r="F14" i="23"/>
  <c r="L79" i="24"/>
  <c r="L55" i="24"/>
  <c r="L34" i="26"/>
  <c r="L77" i="24"/>
  <c r="L16" i="24"/>
  <c r="L33" i="24"/>
  <c r="L74" i="24"/>
  <c r="L57" i="24"/>
  <c r="L53" i="24"/>
  <c r="L19" i="24"/>
  <c r="L58" i="24"/>
  <c r="L45" i="24"/>
  <c r="L31" i="24"/>
  <c r="L59" i="24"/>
  <c r="L26" i="24"/>
  <c r="L48" i="24"/>
  <c r="L35" i="25"/>
  <c r="L78" i="24"/>
  <c r="L75" i="24"/>
  <c r="L92" i="24"/>
  <c r="L93" i="24"/>
  <c r="L81" i="24"/>
  <c r="AA10" i="23"/>
  <c r="AA67" i="21"/>
  <c r="AA18" i="23"/>
  <c r="AA19" i="25"/>
  <c r="AA8" i="23"/>
  <c r="AA38" i="24"/>
  <c r="AA7" i="23"/>
  <c r="AA13" i="23"/>
  <c r="Y56" i="11"/>
  <c r="Y38" i="4"/>
  <c r="AA11" i="24"/>
  <c r="AA34" i="24"/>
  <c r="AA10" i="24"/>
  <c r="AA23" i="23"/>
  <c r="AA19" i="26"/>
  <c r="AA15" i="23"/>
  <c r="Y57" i="11"/>
  <c r="AA71" i="24"/>
  <c r="AA17" i="23"/>
  <c r="AA16" i="23"/>
  <c r="AA14" i="23"/>
  <c r="AA19" i="23"/>
  <c r="Y58" i="11"/>
  <c r="AA7" i="24"/>
  <c r="AA9" i="23"/>
  <c r="AA9" i="24"/>
  <c r="C91" i="24"/>
  <c r="C93" i="24"/>
  <c r="C86" i="24"/>
  <c r="C78" i="24"/>
  <c r="C75" i="24"/>
  <c r="C49" i="24"/>
  <c r="C85" i="24"/>
  <c r="C47" i="24"/>
  <c r="C35" i="25"/>
  <c r="C20" i="24"/>
  <c r="C59" i="24"/>
  <c r="C32" i="24"/>
  <c r="C73" i="24"/>
  <c r="C56" i="24"/>
  <c r="C61" i="24"/>
  <c r="C63" i="24"/>
  <c r="C44" i="24"/>
  <c r="C80" i="24"/>
  <c r="C51" i="24"/>
  <c r="C54" i="24"/>
  <c r="C27" i="24"/>
  <c r="C77" i="24"/>
  <c r="E20" i="23"/>
  <c r="E18" i="23"/>
  <c r="E15" i="23"/>
  <c r="C57" i="11"/>
  <c r="E42" i="24"/>
  <c r="E13" i="23"/>
  <c r="C56" i="11"/>
  <c r="C38" i="4"/>
  <c r="E11" i="24"/>
  <c r="E23" i="23"/>
  <c r="E10" i="23"/>
  <c r="E38" i="24"/>
  <c r="E71" i="24"/>
  <c r="E17" i="23"/>
  <c r="E35" i="24"/>
  <c r="E19" i="23"/>
  <c r="C58" i="11"/>
  <c r="E39" i="24"/>
  <c r="E41" i="24"/>
  <c r="E67" i="21"/>
  <c r="E40" i="24"/>
  <c r="E14" i="23"/>
  <c r="E10" i="24"/>
  <c r="E8" i="24"/>
  <c r="E9" i="23"/>
  <c r="E7" i="23"/>
  <c r="J51" i="24"/>
  <c r="J57" i="24"/>
  <c r="J44" i="24"/>
  <c r="J18" i="24"/>
  <c r="J81" i="24"/>
  <c r="J77" i="24"/>
  <c r="J21" i="24"/>
  <c r="J87" i="24"/>
  <c r="J22" i="27"/>
  <c r="J33" i="24"/>
  <c r="J59" i="24"/>
  <c r="J79" i="24"/>
  <c r="J58" i="24"/>
  <c r="J25" i="24"/>
  <c r="J74" i="24"/>
  <c r="J92" i="24"/>
  <c r="J86" i="24"/>
  <c r="J35" i="25"/>
  <c r="J61" i="24"/>
  <c r="J55" i="24"/>
  <c r="J78" i="24"/>
  <c r="J28" i="24"/>
  <c r="D30" i="26"/>
  <c r="D32" i="24"/>
  <c r="D18" i="24"/>
  <c r="D49" i="24"/>
  <c r="D74" i="24"/>
  <c r="D84" i="24"/>
  <c r="D22" i="24"/>
  <c r="D83" i="24"/>
  <c r="D52" i="24"/>
  <c r="D85" i="24"/>
  <c r="D54" i="24"/>
  <c r="D77" i="24"/>
  <c r="D43" i="24"/>
  <c r="D17" i="24"/>
  <c r="D75" i="24"/>
  <c r="D92" i="24"/>
  <c r="D35" i="25"/>
  <c r="D62" i="24"/>
  <c r="D24" i="24"/>
  <c r="D56" i="24"/>
  <c r="D27" i="24"/>
  <c r="D47" i="24"/>
  <c r="I51" i="24"/>
  <c r="I31" i="24"/>
  <c r="I10" i="27"/>
  <c r="I25" i="25"/>
  <c r="I78" i="24"/>
  <c r="I80" i="24"/>
  <c r="I58" i="24"/>
  <c r="I13" i="24"/>
  <c r="I87" i="24"/>
  <c r="I79" i="24"/>
  <c r="I75" i="24"/>
  <c r="I73" i="24"/>
  <c r="I59" i="24"/>
  <c r="I44" i="24"/>
  <c r="I93" i="24"/>
  <c r="I61" i="24"/>
  <c r="I53" i="24"/>
  <c r="I21" i="24"/>
  <c r="I55" i="24"/>
  <c r="I6" i="27"/>
  <c r="I86" i="24"/>
  <c r="I49" i="24"/>
  <c r="I25" i="24"/>
  <c r="S27" i="24"/>
  <c r="S20" i="24"/>
  <c r="S53" i="24"/>
  <c r="S56" i="24"/>
  <c r="S17" i="24"/>
  <c r="S80" i="24"/>
  <c r="S57" i="24"/>
  <c r="S44" i="24"/>
  <c r="S93" i="24"/>
  <c r="S50" i="24"/>
  <c r="S91" i="24"/>
  <c r="S82" i="24"/>
  <c r="S54" i="24"/>
  <c r="S84" i="24"/>
  <c r="S85" i="24"/>
  <c r="S34" i="25"/>
  <c r="S90" i="17"/>
  <c r="S77" i="24"/>
  <c r="S49" i="24"/>
  <c r="S63" i="24"/>
  <c r="S43" i="24"/>
  <c r="S32" i="24"/>
  <c r="S24" i="24"/>
  <c r="AA33" i="24"/>
  <c r="AA51" i="24"/>
  <c r="AA91" i="24"/>
  <c r="AA18" i="24"/>
  <c r="AA84" i="24"/>
  <c r="AA53" i="24"/>
  <c r="AA23" i="24"/>
  <c r="AA25" i="24"/>
  <c r="AA73" i="24"/>
  <c r="AA77" i="24"/>
  <c r="AA49" i="24"/>
  <c r="AA85" i="24"/>
  <c r="AA78" i="24"/>
  <c r="AA47" i="24"/>
  <c r="AA55" i="24"/>
  <c r="AA19" i="24"/>
  <c r="AA63" i="24"/>
  <c r="AA28" i="24"/>
  <c r="AA44" i="24"/>
  <c r="AA82" i="24"/>
  <c r="AA75" i="24"/>
  <c r="AA6" i="27"/>
  <c r="Z62" i="24"/>
  <c r="Z78" i="24"/>
  <c r="Z74" i="24"/>
  <c r="Z28" i="24"/>
  <c r="Z85" i="24"/>
  <c r="Z55" i="24"/>
  <c r="Z59" i="24"/>
  <c r="Z51" i="24"/>
  <c r="Z33" i="24"/>
  <c r="Z49" i="24"/>
  <c r="Z18" i="24"/>
  <c r="Z77" i="24"/>
  <c r="Z25" i="24"/>
  <c r="Z83" i="24"/>
  <c r="Z47" i="24"/>
  <c r="Z21" i="24"/>
  <c r="Z27" i="24"/>
  <c r="Z45" i="24"/>
  <c r="Z26" i="24"/>
  <c r="Z61" i="24"/>
  <c r="Z86" i="24"/>
  <c r="Z44" i="24"/>
  <c r="N59" i="24"/>
  <c r="N53" i="24"/>
  <c r="N13" i="24"/>
  <c r="N52" i="24"/>
  <c r="N35" i="26"/>
  <c r="N81" i="24"/>
  <c r="N24" i="24"/>
  <c r="N77" i="24"/>
  <c r="N45" i="24"/>
  <c r="N31" i="24"/>
  <c r="N61" i="24"/>
  <c r="N23" i="24"/>
  <c r="N43" i="24"/>
  <c r="N28" i="26"/>
  <c r="N55" i="24"/>
  <c r="N57" i="24"/>
  <c r="N79" i="24"/>
  <c r="N28" i="24"/>
  <c r="N17" i="24"/>
  <c r="N48" i="24"/>
  <c r="N87" i="24"/>
  <c r="N50" i="24"/>
  <c r="K30" i="26"/>
  <c r="K53" i="24"/>
  <c r="K19" i="24"/>
  <c r="K55" i="24"/>
  <c r="K86" i="24"/>
  <c r="K63" i="24"/>
  <c r="K25" i="24"/>
  <c r="K78" i="24"/>
  <c r="K49" i="24"/>
  <c r="K73" i="24"/>
  <c r="K10" i="27"/>
  <c r="K25" i="25"/>
  <c r="K28" i="24"/>
  <c r="K33" i="24"/>
  <c r="K75" i="24"/>
  <c r="K77" i="24"/>
  <c r="K58" i="24"/>
  <c r="K18" i="24"/>
  <c r="K93" i="24"/>
  <c r="K51" i="24"/>
  <c r="K57" i="24"/>
  <c r="K44" i="24"/>
  <c r="K23" i="24"/>
  <c r="G59" i="24"/>
  <c r="G74" i="24"/>
  <c r="G6" i="27"/>
  <c r="G27" i="24"/>
  <c r="G12" i="24"/>
  <c r="G49" i="24"/>
  <c r="G22" i="24"/>
  <c r="G30" i="24"/>
  <c r="G53" i="24"/>
  <c r="G86" i="24"/>
  <c r="G78" i="24"/>
  <c r="G62" i="24"/>
  <c r="G75" i="24"/>
  <c r="G35" i="26"/>
  <c r="G33" i="24"/>
  <c r="G47" i="24"/>
  <c r="G61" i="24"/>
  <c r="G51" i="24"/>
  <c r="G44" i="24"/>
  <c r="G63" i="24"/>
  <c r="G73" i="24"/>
  <c r="G16" i="24"/>
  <c r="H85" i="24"/>
  <c r="H20" i="24"/>
  <c r="H61" i="24"/>
  <c r="H31" i="24"/>
  <c r="H49" i="24"/>
  <c r="H51" i="24"/>
  <c r="H30" i="24"/>
  <c r="H12" i="24"/>
  <c r="H53" i="24"/>
  <c r="H59" i="24"/>
  <c r="H63" i="24"/>
  <c r="H35" i="26"/>
  <c r="H80" i="24"/>
  <c r="H27" i="24"/>
  <c r="H13" i="24"/>
  <c r="H47" i="24"/>
  <c r="H35" i="25"/>
  <c r="H87" i="24"/>
  <c r="H23" i="24"/>
  <c r="H79" i="24"/>
  <c r="H62" i="24"/>
  <c r="H77" i="24"/>
  <c r="T54" i="24"/>
  <c r="T81" i="24"/>
  <c r="T47" i="24"/>
  <c r="T17" i="24"/>
  <c r="T32" i="26"/>
  <c r="T27" i="24"/>
  <c r="T87" i="24"/>
  <c r="T18" i="24"/>
  <c r="T32" i="24"/>
  <c r="T34" i="25"/>
  <c r="T90" i="17"/>
  <c r="T84" i="24"/>
  <c r="T50" i="24"/>
  <c r="T93" i="24"/>
  <c r="T27" i="26"/>
  <c r="T83" i="24"/>
  <c r="T52" i="24"/>
  <c r="T57" i="24"/>
  <c r="T22" i="24"/>
  <c r="T43" i="24"/>
  <c r="T56" i="24"/>
  <c r="T24" i="24"/>
  <c r="T90" i="24"/>
  <c r="M45" i="24"/>
  <c r="M88" i="24"/>
  <c r="M57" i="24"/>
  <c r="M16" i="24"/>
  <c r="M93" i="24"/>
  <c r="M26" i="24"/>
  <c r="M86" i="24"/>
  <c r="M55" i="24"/>
  <c r="M92" i="24"/>
  <c r="M74" i="24"/>
  <c r="M33" i="24"/>
  <c r="M73" i="24"/>
  <c r="M28" i="26"/>
  <c r="M31" i="24"/>
  <c r="M23" i="24"/>
  <c r="M80" i="24"/>
  <c r="M75" i="24"/>
  <c r="M61" i="24"/>
  <c r="M53" i="24"/>
  <c r="M21" i="24"/>
  <c r="M51" i="24"/>
  <c r="M48" i="24"/>
  <c r="V56" i="24"/>
  <c r="V24" i="24"/>
  <c r="V54" i="24"/>
  <c r="V25" i="24"/>
  <c r="V83" i="24"/>
  <c r="V49" i="24"/>
  <c r="V14" i="24"/>
  <c r="V22" i="24"/>
  <c r="V44" i="24"/>
  <c r="V16" i="24"/>
  <c r="V33" i="24"/>
  <c r="V82" i="24"/>
  <c r="V81" i="24"/>
  <c r="V63" i="24"/>
  <c r="V51" i="24"/>
  <c r="V52" i="24"/>
  <c r="V30" i="24"/>
  <c r="V35" i="26"/>
  <c r="V90" i="24"/>
  <c r="V47" i="24"/>
  <c r="V20" i="24"/>
  <c r="V32" i="24"/>
  <c r="F43" i="24"/>
  <c r="F14" i="24"/>
  <c r="F54" i="24"/>
  <c r="F24" i="24"/>
  <c r="F56" i="24"/>
  <c r="F63" i="24"/>
  <c r="F22" i="24"/>
  <c r="F20" i="24"/>
  <c r="F25" i="24"/>
  <c r="F51" i="24"/>
  <c r="F30" i="24"/>
  <c r="F73" i="24"/>
  <c r="F91" i="24"/>
  <c r="F30" i="26"/>
  <c r="F85" i="24"/>
  <c r="F49" i="24"/>
  <c r="F62" i="24"/>
  <c r="F44" i="24"/>
  <c r="F32" i="24"/>
  <c r="F87" i="24"/>
  <c r="F92" i="24"/>
  <c r="F74" i="24"/>
  <c r="W22" i="24"/>
  <c r="W44" i="24"/>
  <c r="W90" i="24"/>
  <c r="W81" i="24"/>
  <c r="W27" i="24"/>
  <c r="W23" i="24"/>
  <c r="W56" i="24"/>
  <c r="W16" i="24"/>
  <c r="W51" i="24"/>
  <c r="W63" i="24"/>
  <c r="W12" i="24"/>
  <c r="W49" i="24"/>
  <c r="W33" i="24"/>
  <c r="W93" i="24"/>
  <c r="W54" i="24"/>
  <c r="W30" i="24"/>
  <c r="W55" i="24"/>
  <c r="W82" i="24"/>
  <c r="W32" i="24"/>
  <c r="W52" i="24"/>
  <c r="W88" i="24"/>
  <c r="W53" i="24"/>
  <c r="Q26" i="24"/>
  <c r="Q56" i="24"/>
  <c r="Q88" i="24"/>
  <c r="Q58" i="24"/>
  <c r="Q52" i="24"/>
  <c r="Q45" i="24"/>
  <c r="Q80" i="24"/>
  <c r="Q50" i="24"/>
  <c r="Q87" i="24"/>
  <c r="Q82" i="24"/>
  <c r="Q79" i="24"/>
  <c r="Q34" i="25"/>
  <c r="Q90" i="17"/>
  <c r="Q12" i="24"/>
  <c r="Q22" i="24"/>
  <c r="Q59" i="24"/>
  <c r="Q21" i="24"/>
  <c r="Q78" i="24"/>
  <c r="Q93" i="24"/>
  <c r="Q28" i="24"/>
  <c r="Q30" i="24"/>
  <c r="Q48" i="24"/>
  <c r="Q19" i="24"/>
  <c r="J16" i="28"/>
  <c r="J13" i="17"/>
  <c r="J42" i="22"/>
  <c r="J41" i="21"/>
  <c r="J10" i="22"/>
  <c r="J35" i="22"/>
  <c r="J50" i="21"/>
  <c r="J24" i="22"/>
  <c r="J28" i="22"/>
  <c r="J27" i="22"/>
  <c r="J18" i="22"/>
  <c r="J9" i="25"/>
  <c r="J41" i="17"/>
  <c r="J49" i="22"/>
  <c r="J38" i="22"/>
  <c r="J62" i="21"/>
  <c r="H25" i="2"/>
  <c r="J8" i="22"/>
  <c r="J34" i="22"/>
  <c r="J40" i="22"/>
  <c r="G10" i="5"/>
  <c r="J8" i="25"/>
  <c r="H9" i="2"/>
  <c r="J22" i="22"/>
  <c r="J10" i="26"/>
  <c r="J10" i="25"/>
  <c r="J52" i="17"/>
  <c r="J11" i="22"/>
  <c r="AA10" i="25"/>
  <c r="AA52" i="17"/>
  <c r="X10" i="9"/>
  <c r="AA8" i="26"/>
  <c r="AA9" i="26"/>
  <c r="AA30" i="22"/>
  <c r="AA25" i="22"/>
  <c r="AA32" i="22"/>
  <c r="AA26" i="27"/>
  <c r="AA28" i="22"/>
  <c r="AA9" i="25"/>
  <c r="AA41" i="17"/>
  <c r="X10" i="5"/>
  <c r="AA8" i="25"/>
  <c r="Y9" i="2"/>
  <c r="AA42" i="22"/>
  <c r="AA13" i="22"/>
  <c r="AA62" i="21"/>
  <c r="Y25" i="2"/>
  <c r="AA35" i="22"/>
  <c r="AA9" i="22"/>
  <c r="AA34" i="22"/>
  <c r="AA15" i="22"/>
  <c r="AA18" i="22"/>
  <c r="AA48" i="21"/>
  <c r="AA49" i="22"/>
  <c r="AA17" i="22"/>
  <c r="AA61" i="21"/>
  <c r="R92" i="24"/>
  <c r="R54" i="24"/>
  <c r="R24" i="24"/>
  <c r="R79" i="24"/>
  <c r="R28" i="24"/>
  <c r="R56" i="24"/>
  <c r="R90" i="24"/>
  <c r="R26" i="24"/>
  <c r="R30" i="24"/>
  <c r="R52" i="24"/>
  <c r="R77" i="24"/>
  <c r="R78" i="24"/>
  <c r="R12" i="24"/>
  <c r="R20" i="24"/>
  <c r="R21" i="24"/>
  <c r="R45" i="24"/>
  <c r="R48" i="24"/>
  <c r="R50" i="24"/>
  <c r="R19" i="24"/>
  <c r="R43" i="24"/>
  <c r="R57" i="24"/>
  <c r="R58" i="24"/>
  <c r="X47" i="24"/>
  <c r="X12" i="24"/>
  <c r="X54" i="24"/>
  <c r="X30" i="24"/>
  <c r="X81" i="24"/>
  <c r="X90" i="24"/>
  <c r="X14" i="24"/>
  <c r="X62" i="24"/>
  <c r="X88" i="24"/>
  <c r="X63" i="24"/>
  <c r="X56" i="24"/>
  <c r="X23" i="24"/>
  <c r="X27" i="24"/>
  <c r="X53" i="24"/>
  <c r="X52" i="24"/>
  <c r="X32" i="24"/>
  <c r="X57" i="24"/>
  <c r="X20" i="24"/>
  <c r="X83" i="24"/>
  <c r="X49" i="24"/>
  <c r="X22" i="24"/>
  <c r="X51" i="24"/>
  <c r="O80" i="24"/>
  <c r="O86" i="24"/>
  <c r="O13" i="24"/>
  <c r="O88" i="24"/>
  <c r="O52" i="24"/>
  <c r="O23" i="24"/>
  <c r="O31" i="24"/>
  <c r="O61" i="24"/>
  <c r="O43" i="24"/>
  <c r="O78" i="24"/>
  <c r="O82" i="24"/>
  <c r="O24" i="24"/>
  <c r="O81" i="24"/>
  <c r="O50" i="24"/>
  <c r="O58" i="24"/>
  <c r="O55" i="24"/>
  <c r="O21" i="24"/>
  <c r="O48" i="24"/>
  <c r="O16" i="24"/>
  <c r="O28" i="24"/>
  <c r="O34" i="26"/>
  <c r="O53" i="24"/>
  <c r="T18" i="28"/>
  <c r="T15" i="17"/>
  <c r="T47" i="21"/>
  <c r="Q10" i="9"/>
  <c r="T8" i="26"/>
  <c r="T61" i="21"/>
  <c r="T31" i="22"/>
  <c r="T42" i="22"/>
  <c r="T41" i="22"/>
  <c r="T14" i="22"/>
  <c r="T29" i="22"/>
  <c r="T33" i="22"/>
  <c r="T55" i="21"/>
  <c r="T8" i="22"/>
  <c r="T34" i="22"/>
  <c r="T43" i="22"/>
  <c r="T12" i="22"/>
  <c r="T9" i="26"/>
  <c r="T16" i="22"/>
  <c r="T10" i="26"/>
  <c r="T24" i="22"/>
  <c r="T17" i="22"/>
  <c r="T19" i="28"/>
  <c r="T16" i="17"/>
  <c r="T48" i="22"/>
  <c r="R16" i="22"/>
  <c r="R19" i="28"/>
  <c r="R16" i="17"/>
  <c r="R10" i="22"/>
  <c r="R14" i="22"/>
  <c r="R34" i="22"/>
  <c r="R29" i="22"/>
  <c r="R49" i="21"/>
  <c r="R33" i="22"/>
  <c r="O10" i="5"/>
  <c r="R8" i="25"/>
  <c r="P9" i="2"/>
  <c r="R17" i="22"/>
  <c r="R10" i="26"/>
  <c r="R35" i="22"/>
  <c r="R18" i="22"/>
  <c r="R31" i="22"/>
  <c r="R37" i="22"/>
  <c r="R10" i="25"/>
  <c r="R52" i="17"/>
  <c r="R19" i="22"/>
  <c r="R9" i="25"/>
  <c r="R41" i="17"/>
  <c r="R45" i="22"/>
  <c r="R48" i="22"/>
  <c r="R27" i="22"/>
  <c r="R62" i="21"/>
  <c r="P25" i="2"/>
  <c r="F48" i="22"/>
  <c r="F31" i="22"/>
  <c r="F44" i="22"/>
  <c r="C10" i="5"/>
  <c r="F8" i="25"/>
  <c r="D9" i="2"/>
  <c r="F12" i="22"/>
  <c r="F10" i="22"/>
  <c r="F32" i="22"/>
  <c r="F51" i="21"/>
  <c r="F25" i="27"/>
  <c r="C10" i="9"/>
  <c r="F8" i="26"/>
  <c r="F39" i="22"/>
  <c r="F9" i="25"/>
  <c r="F41" i="17"/>
  <c r="F27" i="22"/>
  <c r="F14" i="22"/>
  <c r="F15" i="22"/>
  <c r="F40" i="22"/>
  <c r="F29" i="22"/>
  <c r="F9" i="26"/>
  <c r="F47" i="22"/>
  <c r="F42" i="22"/>
  <c r="F45" i="22"/>
  <c r="F55" i="21"/>
  <c r="H25" i="27"/>
  <c r="H10" i="22"/>
  <c r="H38" i="22"/>
  <c r="H53" i="21"/>
  <c r="H40" i="22"/>
  <c r="E10" i="5"/>
  <c r="H8" i="25"/>
  <c r="F9" i="2"/>
  <c r="H9" i="25"/>
  <c r="H41" i="17"/>
  <c r="H13" i="22"/>
  <c r="H29" i="22"/>
  <c r="H42" i="22"/>
  <c r="H12" i="22"/>
  <c r="H51" i="21"/>
  <c r="H24" i="22"/>
  <c r="H30" i="22"/>
  <c r="H49" i="22"/>
  <c r="H20" i="22"/>
  <c r="H37" i="22"/>
  <c r="E10" i="9"/>
  <c r="H8" i="26"/>
  <c r="H47" i="22"/>
  <c r="H10" i="25"/>
  <c r="H52" i="17"/>
  <c r="H27" i="22"/>
  <c r="H8" i="22"/>
  <c r="P77" i="24"/>
  <c r="P23" i="24"/>
  <c r="P52" i="24"/>
  <c r="P48" i="24"/>
  <c r="P31" i="24"/>
  <c r="P80" i="24"/>
  <c r="P50" i="24"/>
  <c r="P45" i="24"/>
  <c r="P43" i="24"/>
  <c r="P81" i="24"/>
  <c r="P87" i="24"/>
  <c r="P21" i="24"/>
  <c r="P57" i="24"/>
  <c r="P55" i="24"/>
  <c r="P58" i="24"/>
  <c r="P92" i="24"/>
  <c r="P54" i="24"/>
  <c r="P26" i="24"/>
  <c r="P28" i="24"/>
  <c r="P79" i="24"/>
  <c r="P59" i="24"/>
  <c r="P88" i="24"/>
  <c r="C10" i="27"/>
  <c r="C25" i="25"/>
  <c r="C26" i="24"/>
  <c r="C52" i="24"/>
  <c r="C84" i="24"/>
  <c r="C82" i="24"/>
  <c r="C79" i="24"/>
  <c r="C88" i="24"/>
  <c r="C43" i="24"/>
  <c r="C74" i="24"/>
  <c r="C92" i="24"/>
  <c r="C34" i="25"/>
  <c r="C90" i="17"/>
  <c r="C18" i="27"/>
  <c r="C32" i="25"/>
  <c r="C28" i="24"/>
  <c r="C48" i="24"/>
  <c r="C90" i="24"/>
  <c r="C24" i="24"/>
  <c r="C31" i="26"/>
  <c r="C17" i="24"/>
  <c r="C32" i="26"/>
  <c r="C45" i="24"/>
  <c r="C50" i="24"/>
  <c r="C28" i="26"/>
  <c r="L8" i="22"/>
  <c r="I10" i="9"/>
  <c r="L8" i="26"/>
  <c r="L35" i="22"/>
  <c r="L48" i="21"/>
  <c r="L64" i="21"/>
  <c r="L38" i="22"/>
  <c r="L24" i="22"/>
  <c r="L9" i="25"/>
  <c r="L41" i="17"/>
  <c r="L25" i="22"/>
  <c r="L49" i="22"/>
  <c r="L32" i="22"/>
  <c r="L28" i="27"/>
  <c r="L20" i="22"/>
  <c r="L10" i="26"/>
  <c r="L44" i="22"/>
  <c r="L9" i="22"/>
  <c r="L40" i="22"/>
  <c r="L9" i="26"/>
  <c r="L33" i="22"/>
  <c r="L22" i="22"/>
  <c r="L16" i="22"/>
  <c r="L42" i="22"/>
  <c r="E42" i="22"/>
  <c r="E21" i="22"/>
  <c r="E9" i="25"/>
  <c r="E41" i="17"/>
  <c r="E8" i="26"/>
  <c r="E24" i="22"/>
  <c r="E9" i="26"/>
  <c r="E19" i="22"/>
  <c r="E45" i="22"/>
  <c r="E37" i="22"/>
  <c r="D24" i="29"/>
  <c r="E47" i="21"/>
  <c r="E10" i="25"/>
  <c r="E52" i="17"/>
  <c r="E34" i="22"/>
  <c r="E32" i="22"/>
  <c r="E23" i="22"/>
  <c r="E8" i="22"/>
  <c r="E44" i="22"/>
  <c r="E39" i="22"/>
  <c r="E31" i="22"/>
  <c r="E48" i="22"/>
  <c r="E41" i="22"/>
  <c r="E43" i="22"/>
  <c r="D10" i="25"/>
  <c r="D52" i="17"/>
  <c r="D9" i="26"/>
  <c r="D10" i="26"/>
  <c r="D14" i="22"/>
  <c r="D31" i="22"/>
  <c r="D8" i="25"/>
  <c r="D17" i="22"/>
  <c r="D34" i="22"/>
  <c r="D41" i="22"/>
  <c r="D8" i="22"/>
  <c r="D45" i="22"/>
  <c r="D8" i="26"/>
  <c r="D42" i="22"/>
  <c r="D33" i="22"/>
  <c r="D29" i="22"/>
  <c r="D12" i="22"/>
  <c r="D55" i="21"/>
  <c r="D47" i="21"/>
  <c r="D43" i="22"/>
  <c r="D61" i="21"/>
  <c r="D16" i="22"/>
  <c r="D24" i="22"/>
  <c r="K25" i="22"/>
  <c r="K47" i="22"/>
  <c r="K13" i="22"/>
  <c r="K9" i="25"/>
  <c r="K41" i="17"/>
  <c r="K9" i="26"/>
  <c r="K28" i="22"/>
  <c r="K32" i="22"/>
  <c r="K9" i="22"/>
  <c r="K10" i="25"/>
  <c r="K52" i="17"/>
  <c r="K62" i="21"/>
  <c r="I25" i="2"/>
  <c r="K10" i="26"/>
  <c r="K42" i="22"/>
  <c r="K30" i="22"/>
  <c r="K18" i="22"/>
  <c r="K34" i="22"/>
  <c r="K17" i="22"/>
  <c r="K15" i="22"/>
  <c r="K61" i="21"/>
  <c r="K35" i="22"/>
  <c r="H10" i="9"/>
  <c r="K8" i="26"/>
  <c r="K44" i="22"/>
  <c r="K48" i="21"/>
  <c r="N49" i="22"/>
  <c r="N38" i="22"/>
  <c r="N23" i="22"/>
  <c r="N18" i="22"/>
  <c r="N28" i="27"/>
  <c r="N35" i="22"/>
  <c r="N33" i="22"/>
  <c r="N10" i="25"/>
  <c r="N52" i="17"/>
  <c r="N30" i="22"/>
  <c r="N46" i="21"/>
  <c r="N22" i="22"/>
  <c r="N43" i="22"/>
  <c r="N40" i="22"/>
  <c r="N20" i="22"/>
  <c r="N64" i="21"/>
  <c r="K10" i="9"/>
  <c r="N8" i="26"/>
  <c r="N41" i="22"/>
  <c r="N44" i="22"/>
  <c r="N47" i="22"/>
  <c r="N9" i="25"/>
  <c r="N41" i="17"/>
  <c r="K10" i="5"/>
  <c r="N8" i="25"/>
  <c r="L9" i="2"/>
  <c r="N62" i="21"/>
  <c r="L25" i="2"/>
  <c r="X18" i="26"/>
  <c r="X15" i="26"/>
  <c r="X68" i="24"/>
  <c r="X13" i="25"/>
  <c r="X42" i="24"/>
  <c r="X20" i="26"/>
  <c r="X65" i="24"/>
  <c r="X94" i="24"/>
  <c r="X16" i="25"/>
  <c r="X95" i="24"/>
  <c r="X13" i="26"/>
  <c r="X18" i="25"/>
  <c r="X41" i="24"/>
  <c r="X15" i="25"/>
  <c r="X39" i="24"/>
  <c r="X15" i="23"/>
  <c r="V57" i="11"/>
  <c r="X70" i="24"/>
  <c r="X6" i="28"/>
  <c r="X12" i="25"/>
  <c r="X64" i="24"/>
  <c r="X69" i="24"/>
  <c r="X35" i="24"/>
  <c r="U20" i="28"/>
  <c r="U17" i="17"/>
  <c r="U15" i="22"/>
  <c r="U39" i="22"/>
  <c r="U36" i="21"/>
  <c r="U24" i="22"/>
  <c r="U26" i="27"/>
  <c r="U43" i="22"/>
  <c r="U47" i="21"/>
  <c r="U37" i="22"/>
  <c r="U21" i="22"/>
  <c r="U34" i="22"/>
  <c r="U32" i="22"/>
  <c r="U23" i="22"/>
  <c r="U8" i="22"/>
  <c r="U41" i="22"/>
  <c r="U42" i="22"/>
  <c r="U31" i="22"/>
  <c r="U10" i="25"/>
  <c r="U52" i="17"/>
  <c r="U9" i="26"/>
  <c r="U45" i="22"/>
  <c r="R10" i="9"/>
  <c r="U8" i="26"/>
  <c r="U19" i="22"/>
  <c r="O45" i="22"/>
  <c r="O31" i="22"/>
  <c r="O25" i="22"/>
  <c r="O9" i="25"/>
  <c r="O41" i="17"/>
  <c r="O28" i="22"/>
  <c r="O53" i="21"/>
  <c r="O50" i="21"/>
  <c r="O38" i="22"/>
  <c r="O10" i="25"/>
  <c r="O52" i="17"/>
  <c r="L10" i="5"/>
  <c r="O8" i="25"/>
  <c r="M9" i="2"/>
  <c r="L10" i="9"/>
  <c r="O8" i="26"/>
  <c r="O47" i="22"/>
  <c r="O41" i="22"/>
  <c r="O11" i="22"/>
  <c r="O9" i="22"/>
  <c r="O24" i="27"/>
  <c r="O30" i="22"/>
  <c r="O14" i="22"/>
  <c r="O49" i="22"/>
  <c r="O55" i="21"/>
  <c r="O13" i="22"/>
  <c r="O43" i="22"/>
  <c r="J27" i="24"/>
  <c r="J30" i="24"/>
  <c r="J75" i="24"/>
  <c r="J85" i="24"/>
  <c r="J6" i="27"/>
  <c r="J17" i="27"/>
  <c r="G14" i="5"/>
  <c r="J31" i="25"/>
  <c r="J12" i="24"/>
  <c r="J28" i="26"/>
  <c r="J80" i="24"/>
  <c r="J93" i="24"/>
  <c r="J90" i="24"/>
  <c r="J27" i="26"/>
  <c r="J91" i="24"/>
  <c r="J25" i="26"/>
  <c r="J53" i="24"/>
  <c r="J8" i="27"/>
  <c r="J47" i="24"/>
  <c r="J49" i="24"/>
  <c r="J62" i="24"/>
  <c r="J73" i="24"/>
  <c r="J63" i="24"/>
  <c r="J82" i="24"/>
  <c r="M16" i="22"/>
  <c r="M30" i="22"/>
  <c r="M42" i="22"/>
  <c r="M15" i="22"/>
  <c r="M9" i="25"/>
  <c r="M41" i="17"/>
  <c r="M33" i="22"/>
  <c r="M32" i="22"/>
  <c r="M47" i="22"/>
  <c r="M53" i="21"/>
  <c r="M10" i="26"/>
  <c r="M40" i="22"/>
  <c r="J10" i="9"/>
  <c r="M8" i="26"/>
  <c r="M41" i="22"/>
  <c r="J10" i="5"/>
  <c r="M8" i="25"/>
  <c r="K9" i="2"/>
  <c r="M13" i="22"/>
  <c r="M44" i="22"/>
  <c r="M11" i="22"/>
  <c r="M23" i="22"/>
  <c r="M9" i="26"/>
  <c r="M46" i="21"/>
  <c r="M43" i="22"/>
  <c r="M28" i="22"/>
  <c r="R16" i="25"/>
  <c r="R18" i="25"/>
  <c r="R9" i="24"/>
  <c r="R35" i="24"/>
  <c r="R41" i="24"/>
  <c r="R19" i="25"/>
  <c r="R38" i="24"/>
  <c r="R39" i="24"/>
  <c r="R65" i="24"/>
  <c r="R15" i="26"/>
  <c r="R13" i="25"/>
  <c r="R18" i="26"/>
  <c r="R64" i="24"/>
  <c r="R13" i="26"/>
  <c r="R15" i="25"/>
  <c r="R95" i="24"/>
  <c r="R94" i="24"/>
  <c r="R12" i="26"/>
  <c r="R20" i="26"/>
  <c r="R40" i="24"/>
  <c r="R34" i="24"/>
  <c r="R23" i="23"/>
  <c r="P13" i="26"/>
  <c r="P64" i="24"/>
  <c r="P38" i="24"/>
  <c r="P23" i="23"/>
  <c r="P94" i="24"/>
  <c r="P20" i="26"/>
  <c r="P19" i="26"/>
  <c r="P40" i="24"/>
  <c r="P65" i="24"/>
  <c r="P20" i="25"/>
  <c r="P69" i="24"/>
  <c r="P19" i="25"/>
  <c r="P13" i="28"/>
  <c r="P93" i="17"/>
  <c r="P18" i="25"/>
  <c r="P41" i="24"/>
  <c r="P42" i="24"/>
  <c r="P12" i="25"/>
  <c r="P11" i="24"/>
  <c r="P16" i="26"/>
  <c r="P39" i="24"/>
  <c r="P18" i="26"/>
  <c r="P15" i="25"/>
  <c r="AA13" i="26"/>
  <c r="AA65" i="24"/>
  <c r="AA18" i="25"/>
  <c r="AA16" i="26"/>
  <c r="AA94" i="24"/>
  <c r="AA12" i="26"/>
  <c r="AA95" i="24"/>
  <c r="AA35" i="24"/>
  <c r="AA40" i="24"/>
  <c r="AA42" i="24"/>
  <c r="AA64" i="24"/>
  <c r="AA20" i="25"/>
  <c r="AA68" i="24"/>
  <c r="AA13" i="25"/>
  <c r="AA69" i="24"/>
  <c r="AA12" i="25"/>
  <c r="AA72" i="24"/>
  <c r="AA8" i="24"/>
  <c r="AA70" i="24"/>
  <c r="AA39" i="24"/>
  <c r="AA20" i="23"/>
  <c r="AA16" i="25"/>
  <c r="I20" i="22"/>
  <c r="I10" i="25"/>
  <c r="I52" i="17"/>
  <c r="I34" i="22"/>
  <c r="I49" i="22"/>
  <c r="I15" i="22"/>
  <c r="I43" i="21"/>
  <c r="F10" i="9"/>
  <c r="I8" i="26"/>
  <c r="I37" i="22"/>
  <c r="I64" i="21"/>
  <c r="I19" i="22"/>
  <c r="I9" i="25"/>
  <c r="I41" i="17"/>
  <c r="I28" i="22"/>
  <c r="I47" i="22"/>
  <c r="I11" i="22"/>
  <c r="I38" i="22"/>
  <c r="I10" i="26"/>
  <c r="I26" i="27"/>
  <c r="I17" i="22"/>
  <c r="I44" i="22"/>
  <c r="I32" i="22"/>
  <c r="I61" i="21"/>
  <c r="I30" i="22"/>
  <c r="U59" i="24"/>
  <c r="U50" i="24"/>
  <c r="U52" i="24"/>
  <c r="U80" i="24"/>
  <c r="U26" i="24"/>
  <c r="U24" i="24"/>
  <c r="U25" i="26"/>
  <c r="U18" i="27"/>
  <c r="U32" i="25"/>
  <c r="U34" i="25"/>
  <c r="U90" i="17"/>
  <c r="U57" i="24"/>
  <c r="U81" i="24"/>
  <c r="U30" i="26"/>
  <c r="U86" i="24"/>
  <c r="U13" i="27"/>
  <c r="U27" i="25"/>
  <c r="U90" i="24"/>
  <c r="U48" i="24"/>
  <c r="U43" i="24"/>
  <c r="U87" i="24"/>
  <c r="U35" i="25"/>
  <c r="U34" i="26"/>
  <c r="U45" i="24"/>
  <c r="U79" i="24"/>
  <c r="I69" i="24"/>
  <c r="I10" i="24"/>
  <c r="I35" i="24"/>
  <c r="I12" i="26"/>
  <c r="I41" i="24"/>
  <c r="I64" i="24"/>
  <c r="I16" i="26"/>
  <c r="I19" i="25"/>
  <c r="I71" i="24"/>
  <c r="I94" i="24"/>
  <c r="I13" i="25"/>
  <c r="I39" i="24"/>
  <c r="I95" i="24"/>
  <c r="I12" i="25"/>
  <c r="I68" i="24"/>
  <c r="I65" i="24"/>
  <c r="I20" i="26"/>
  <c r="I72" i="24"/>
  <c r="I70" i="24"/>
  <c r="I40" i="24"/>
  <c r="I42" i="24"/>
  <c r="I20" i="25"/>
  <c r="Y70" i="24"/>
  <c r="Y64" i="24"/>
  <c r="Y12" i="25"/>
  <c r="Y18" i="25"/>
  <c r="Y13" i="26"/>
  <c r="Y35" i="24"/>
  <c r="Y15" i="26"/>
  <c r="Y20" i="25"/>
  <c r="Y41" i="24"/>
  <c r="Y39" i="24"/>
  <c r="Y18" i="26"/>
  <c r="Y42" i="24"/>
  <c r="Y10" i="24"/>
  <c r="Y68" i="24"/>
  <c r="Y13" i="25"/>
  <c r="Y15" i="25"/>
  <c r="Y16" i="25"/>
  <c r="Y10" i="28"/>
  <c r="Y71" i="24"/>
  <c r="Y65" i="24"/>
  <c r="Y72" i="24"/>
  <c r="Y25" i="23"/>
  <c r="Y23" i="30"/>
  <c r="Z93" i="24"/>
  <c r="Z53" i="24"/>
  <c r="Z10" i="27"/>
  <c r="Z25" i="25"/>
  <c r="Z27" i="26"/>
  <c r="Z12" i="24"/>
  <c r="Z81" i="24"/>
  <c r="Z84" i="24"/>
  <c r="Z90" i="24"/>
  <c r="Z9" i="27"/>
  <c r="Z73" i="24"/>
  <c r="Z25" i="26"/>
  <c r="Z7" i="27"/>
  <c r="Z92" i="17"/>
  <c r="Z20" i="24"/>
  <c r="Z80" i="24"/>
  <c r="Z56" i="24"/>
  <c r="Z30" i="24"/>
  <c r="Z35" i="26"/>
  <c r="Z82" i="24"/>
  <c r="Z75" i="24"/>
  <c r="Z91" i="24"/>
  <c r="Z63" i="24"/>
  <c r="Z34" i="25"/>
  <c r="Z90" i="17"/>
  <c r="X13" i="22"/>
  <c r="X29" i="22"/>
  <c r="X49" i="21"/>
  <c r="X53" i="21"/>
  <c r="W9" i="29"/>
  <c r="X27" i="22"/>
  <c r="X51" i="21"/>
  <c r="X24" i="22"/>
  <c r="X12" i="22"/>
  <c r="X10" i="22"/>
  <c r="X37" i="22"/>
  <c r="X8" i="22"/>
  <c r="U10" i="5"/>
  <c r="X8" i="25"/>
  <c r="V9" i="2"/>
  <c r="X30" i="22"/>
  <c r="X18" i="28"/>
  <c r="X15" i="17"/>
  <c r="X40" i="22"/>
  <c r="X44" i="22"/>
  <c r="X9" i="25"/>
  <c r="X41" i="17"/>
  <c r="X47" i="22"/>
  <c r="X10" i="25"/>
  <c r="X52" i="17"/>
  <c r="X38" i="22"/>
  <c r="X48" i="22"/>
  <c r="S33" i="22"/>
  <c r="S61" i="21"/>
  <c r="P10" i="5"/>
  <c r="S8" i="25"/>
  <c r="Q9" i="2"/>
  <c r="S49" i="21"/>
  <c r="S26" i="27"/>
  <c r="S17" i="22"/>
  <c r="S34" i="22"/>
  <c r="S37" i="22"/>
  <c r="S45" i="22"/>
  <c r="S21" i="22"/>
  <c r="S27" i="22"/>
  <c r="S9" i="25"/>
  <c r="S41" i="17"/>
  <c r="S10" i="25"/>
  <c r="S52" i="17"/>
  <c r="S23" i="22"/>
  <c r="S39" i="22"/>
  <c r="S24" i="3"/>
  <c r="S38" i="21"/>
  <c r="S10" i="26"/>
  <c r="S10" i="22"/>
  <c r="S9" i="22"/>
  <c r="S41" i="22"/>
  <c r="S43" i="22"/>
  <c r="S25" i="22"/>
  <c r="D90" i="24"/>
  <c r="D45" i="24"/>
  <c r="D82" i="24"/>
  <c r="D91" i="24"/>
  <c r="D50" i="24"/>
  <c r="D59" i="24"/>
  <c r="D48" i="24"/>
  <c r="D80" i="24"/>
  <c r="D25" i="26"/>
  <c r="D61" i="24"/>
  <c r="D26" i="24"/>
  <c r="D31" i="26"/>
  <c r="D79" i="24"/>
  <c r="D88" i="24"/>
  <c r="D28" i="26"/>
  <c r="D63" i="24"/>
  <c r="D19" i="24"/>
  <c r="D34" i="25"/>
  <c r="D90" i="17"/>
  <c r="D35" i="26"/>
  <c r="D34" i="26"/>
  <c r="D73" i="24"/>
  <c r="C12" i="26"/>
  <c r="C71" i="24"/>
  <c r="D86" i="24"/>
  <c r="C9" i="24"/>
  <c r="C10" i="23"/>
  <c r="C34" i="24"/>
  <c r="C39" i="24"/>
  <c r="C38" i="24"/>
  <c r="C11" i="24"/>
  <c r="C13" i="25"/>
  <c r="C15" i="25"/>
  <c r="C20" i="25"/>
  <c r="C68" i="24"/>
  <c r="C10" i="28"/>
  <c r="C72" i="24"/>
  <c r="C19" i="25"/>
  <c r="C64" i="24"/>
  <c r="C12" i="25"/>
  <c r="C69" i="24"/>
  <c r="C65" i="24"/>
  <c r="C95" i="24"/>
  <c r="C25" i="23"/>
  <c r="C23" i="30"/>
  <c r="C15" i="26"/>
  <c r="L73" i="24"/>
  <c r="L30" i="26"/>
  <c r="L88" i="24"/>
  <c r="L28" i="26"/>
  <c r="L61" i="24"/>
  <c r="L63" i="24"/>
  <c r="L82" i="24"/>
  <c r="L25" i="24"/>
  <c r="L47" i="24"/>
  <c r="L17" i="27"/>
  <c r="I14" i="5"/>
  <c r="L31" i="25"/>
  <c r="L44" i="24"/>
  <c r="L32" i="26"/>
  <c r="L87" i="24"/>
  <c r="L51" i="24"/>
  <c r="L26" i="26"/>
  <c r="L27" i="24"/>
  <c r="L12" i="27"/>
  <c r="L26" i="25"/>
  <c r="L91" i="24"/>
  <c r="L49" i="24"/>
  <c r="L80" i="24"/>
  <c r="L85" i="24"/>
  <c r="L62" i="24"/>
  <c r="Q15" i="25"/>
  <c r="Q34" i="24"/>
  <c r="Q14" i="23"/>
  <c r="Q16" i="25"/>
  <c r="Q38" i="24"/>
  <c r="Q94" i="24"/>
  <c r="Q65" i="24"/>
  <c r="Q19" i="26"/>
  <c r="Q64" i="24"/>
  <c r="Q13" i="26"/>
  <c r="Q15" i="26"/>
  <c r="Q12" i="25"/>
  <c r="Q11" i="28"/>
  <c r="Q13" i="25"/>
  <c r="Q8" i="28"/>
  <c r="Q12" i="26"/>
  <c r="Q18" i="25"/>
  <c r="Q35" i="24"/>
  <c r="Q68" i="24"/>
  <c r="Q11" i="24"/>
  <c r="Q40" i="24"/>
  <c r="Q41" i="24"/>
  <c r="H18" i="25"/>
  <c r="H39" i="24"/>
  <c r="H71" i="24"/>
  <c r="H65" i="24"/>
  <c r="H42" i="24"/>
  <c r="H41" i="24"/>
  <c r="H95" i="24"/>
  <c r="H35" i="24"/>
  <c r="H70" i="24"/>
  <c r="H64" i="24"/>
  <c r="H16" i="26"/>
  <c r="H69" i="24"/>
  <c r="H15" i="26"/>
  <c r="H13" i="25"/>
  <c r="H72" i="24"/>
  <c r="H18" i="26"/>
  <c r="H20" i="26"/>
  <c r="H94" i="24"/>
  <c r="H12" i="25"/>
  <c r="H68" i="24"/>
  <c r="H15" i="25"/>
  <c r="H15" i="23"/>
  <c r="F57" i="11"/>
  <c r="O16" i="26"/>
  <c r="O40" i="24"/>
  <c r="O38" i="24"/>
  <c r="O71" i="24"/>
  <c r="O68" i="24"/>
  <c r="O64" i="24"/>
  <c r="O69" i="24"/>
  <c r="O8" i="28"/>
  <c r="O19" i="25"/>
  <c r="O95" i="24"/>
  <c r="O16" i="25"/>
  <c r="O16" i="23"/>
  <c r="O18" i="25"/>
  <c r="O42" i="24"/>
  <c r="O15" i="25"/>
  <c r="O70" i="24"/>
  <c r="O13" i="25"/>
  <c r="O12" i="25"/>
  <c r="O13" i="30"/>
  <c r="O72" i="24"/>
  <c r="O20" i="25"/>
  <c r="O94" i="24"/>
  <c r="K69" i="24"/>
  <c r="K65" i="24"/>
  <c r="K39" i="24"/>
  <c r="K13" i="26"/>
  <c r="K16" i="25"/>
  <c r="K35" i="24"/>
  <c r="K40" i="24"/>
  <c r="K64" i="24"/>
  <c r="K12" i="26"/>
  <c r="K12" i="25"/>
  <c r="K70" i="24"/>
  <c r="K20" i="25"/>
  <c r="K68" i="24"/>
  <c r="K72" i="24"/>
  <c r="K13" i="25"/>
  <c r="K18" i="25"/>
  <c r="K42" i="24"/>
  <c r="K20" i="23"/>
  <c r="K95" i="24"/>
  <c r="K15" i="25"/>
  <c r="K19" i="26"/>
  <c r="K71" i="24"/>
  <c r="V10" i="25"/>
  <c r="V52" i="17"/>
  <c r="V39" i="22"/>
  <c r="S10" i="9"/>
  <c r="V8" i="26"/>
  <c r="V27" i="22"/>
  <c r="V51" i="21"/>
  <c r="S10" i="5"/>
  <c r="V8" i="25"/>
  <c r="T9" i="2"/>
  <c r="V32" i="22"/>
  <c r="V44" i="22"/>
  <c r="V48" i="22"/>
  <c r="V9" i="25"/>
  <c r="V41" i="17"/>
  <c r="V10" i="22"/>
  <c r="V42" i="22"/>
  <c r="V45" i="22"/>
  <c r="V43" i="22"/>
  <c r="V14" i="22"/>
  <c r="V12" i="22"/>
  <c r="V15" i="22"/>
  <c r="V31" i="22"/>
  <c r="V55" i="21"/>
  <c r="V9" i="26"/>
  <c r="V40" i="22"/>
  <c r="V29" i="22"/>
  <c r="P49" i="22"/>
  <c r="P38" i="22"/>
  <c r="P16" i="22"/>
  <c r="P35" i="22"/>
  <c r="P12" i="22"/>
  <c r="P48" i="22"/>
  <c r="P18" i="22"/>
  <c r="P31" i="22"/>
  <c r="M10" i="5"/>
  <c r="P8" i="25"/>
  <c r="N9" i="2"/>
  <c r="P33" i="22"/>
  <c r="P44" i="21"/>
  <c r="P39" i="22"/>
  <c r="P29" i="22"/>
  <c r="M10" i="9"/>
  <c r="P8" i="26"/>
  <c r="P64" i="21"/>
  <c r="P62" i="21"/>
  <c r="N25" i="2"/>
  <c r="P25" i="27"/>
  <c r="P20" i="22"/>
  <c r="P9" i="26"/>
  <c r="P45" i="22"/>
  <c r="P10" i="25"/>
  <c r="P52" i="17"/>
  <c r="P21" i="22"/>
  <c r="V78" i="24"/>
  <c r="V87" i="24"/>
  <c r="V34" i="25"/>
  <c r="V90" i="17"/>
  <c r="V86" i="24"/>
  <c r="V88" i="24"/>
  <c r="V57" i="24"/>
  <c r="V50" i="24"/>
  <c r="V79" i="24"/>
  <c r="V34" i="26"/>
  <c r="V13" i="27"/>
  <c r="V27" i="25"/>
  <c r="V77" i="24"/>
  <c r="V22" i="27"/>
  <c r="V35" i="25"/>
  <c r="V32" i="26"/>
  <c r="V43" i="24"/>
  <c r="V17" i="24"/>
  <c r="V61" i="24"/>
  <c r="V30" i="26"/>
  <c r="V58" i="24"/>
  <c r="V27" i="26"/>
  <c r="V84" i="24"/>
  <c r="V80" i="24"/>
  <c r="Q14" i="9"/>
  <c r="T31" i="26"/>
  <c r="T26" i="24"/>
  <c r="T17" i="27"/>
  <c r="Q14" i="5"/>
  <c r="T31" i="25"/>
  <c r="T73" i="24"/>
  <c r="T58" i="24"/>
  <c r="T10" i="27"/>
  <c r="T25" i="25"/>
  <c r="T48" i="24"/>
  <c r="T25" i="26"/>
  <c r="T80" i="24"/>
  <c r="T92" i="24"/>
  <c r="T63" i="24"/>
  <c r="T79" i="24"/>
  <c r="T45" i="24"/>
  <c r="T82" i="24"/>
  <c r="T59" i="24"/>
  <c r="T61" i="24"/>
  <c r="T86" i="24"/>
  <c r="T19" i="24"/>
  <c r="T91" i="24"/>
  <c r="T22" i="27"/>
  <c r="T88" i="24"/>
  <c r="T35" i="25"/>
  <c r="F64" i="24"/>
  <c r="F19" i="26"/>
  <c r="F18" i="25"/>
  <c r="F16" i="25"/>
  <c r="F39" i="24"/>
  <c r="F65" i="24"/>
  <c r="F13" i="25"/>
  <c r="F18" i="26"/>
  <c r="F41" i="24"/>
  <c r="F68" i="24"/>
  <c r="F20" i="25"/>
  <c r="F69" i="24"/>
  <c r="F72" i="24"/>
  <c r="F70" i="24"/>
  <c r="F94" i="24"/>
  <c r="F19" i="25"/>
  <c r="F17" i="23"/>
  <c r="F12" i="25"/>
  <c r="F16" i="26"/>
  <c r="F95" i="24"/>
  <c r="F34" i="24"/>
  <c r="F71" i="24"/>
  <c r="I63" i="24"/>
  <c r="I90" i="24"/>
  <c r="I25" i="26"/>
  <c r="I74" i="24"/>
  <c r="I84" i="24"/>
  <c r="I85" i="24"/>
  <c r="I35" i="25"/>
  <c r="I34" i="25"/>
  <c r="I90" i="17"/>
  <c r="I77" i="24"/>
  <c r="I22" i="24"/>
  <c r="I82" i="24"/>
  <c r="I27" i="24"/>
  <c r="I7" i="27"/>
  <c r="I92" i="17"/>
  <c r="I20" i="24"/>
  <c r="I30" i="24"/>
  <c r="I91" i="24"/>
  <c r="I92" i="24"/>
  <c r="I47" i="24"/>
  <c r="I83" i="24"/>
  <c r="I88" i="24"/>
  <c r="I35" i="26"/>
  <c r="I56" i="24"/>
  <c r="R87" i="24"/>
  <c r="R8" i="27"/>
  <c r="R12" i="27"/>
  <c r="R26" i="25"/>
  <c r="R62" i="24"/>
  <c r="R10" i="27"/>
  <c r="R25" i="25"/>
  <c r="R82" i="24"/>
  <c r="R63" i="24"/>
  <c r="R84" i="24"/>
  <c r="R88" i="24"/>
  <c r="R59" i="24"/>
  <c r="R91" i="24"/>
  <c r="R75" i="24"/>
  <c r="R34" i="25"/>
  <c r="R90" i="17"/>
  <c r="R6" i="27"/>
  <c r="R35" i="25"/>
  <c r="R61" i="24"/>
  <c r="R27" i="26"/>
  <c r="R73" i="24"/>
  <c r="R26" i="26"/>
  <c r="R7" i="27"/>
  <c r="R92" i="17"/>
  <c r="R81" i="24"/>
  <c r="R93" i="24"/>
  <c r="W42" i="24"/>
  <c r="W72" i="24"/>
  <c r="W94" i="24"/>
  <c r="W18" i="26"/>
  <c r="W16" i="25"/>
  <c r="W19" i="25"/>
  <c r="W18" i="25"/>
  <c r="W15" i="25"/>
  <c r="W7" i="24"/>
  <c r="W15" i="26"/>
  <c r="W20" i="25"/>
  <c r="W13" i="25"/>
  <c r="W70" i="24"/>
  <c r="W69" i="24"/>
  <c r="W39" i="24"/>
  <c r="W71" i="24"/>
  <c r="W10" i="28"/>
  <c r="W65" i="24"/>
  <c r="W41" i="24"/>
  <c r="W64" i="24"/>
  <c r="W95" i="24"/>
  <c r="W68" i="24"/>
  <c r="G39" i="24"/>
  <c r="G6" i="28"/>
  <c r="G94" i="24"/>
  <c r="G18" i="25"/>
  <c r="G15" i="25"/>
  <c r="G15" i="26"/>
  <c r="G20" i="26"/>
  <c r="G12" i="25"/>
  <c r="G95" i="24"/>
  <c r="G41" i="24"/>
  <c r="G70" i="24"/>
  <c r="G68" i="24"/>
  <c r="G16" i="25"/>
  <c r="G65" i="24"/>
  <c r="G69" i="24"/>
  <c r="G64" i="24"/>
  <c r="G20" i="25"/>
  <c r="G72" i="24"/>
  <c r="G18" i="26"/>
  <c r="G71" i="24"/>
  <c r="G13" i="25"/>
  <c r="G7" i="24"/>
  <c r="K80" i="24"/>
  <c r="K61" i="24"/>
  <c r="K83" i="24"/>
  <c r="K85" i="24"/>
  <c r="K62" i="24"/>
  <c r="K59" i="24"/>
  <c r="K87" i="24"/>
  <c r="K91" i="24"/>
  <c r="K20" i="24"/>
  <c r="K27" i="24"/>
  <c r="K12" i="27"/>
  <c r="K26" i="25"/>
  <c r="K26" i="26"/>
  <c r="K90" i="24"/>
  <c r="K21" i="27"/>
  <c r="K92" i="24"/>
  <c r="K35" i="25"/>
  <c r="K81" i="24"/>
  <c r="K79" i="24"/>
  <c r="K47" i="24"/>
  <c r="K84" i="24"/>
  <c r="K9" i="27"/>
  <c r="K74" i="24"/>
  <c r="AA28" i="26"/>
  <c r="AA92" i="24"/>
  <c r="AA86" i="24"/>
  <c r="AA93" i="24"/>
  <c r="AA62" i="24"/>
  <c r="AA80" i="24"/>
  <c r="AA87" i="24"/>
  <c r="AA27" i="24"/>
  <c r="AA7" i="27"/>
  <c r="AA92" i="17"/>
  <c r="AA61" i="24"/>
  <c r="AA81" i="24"/>
  <c r="AA83" i="24"/>
  <c r="AA34" i="25"/>
  <c r="AA90" i="17"/>
  <c r="AA35" i="25"/>
  <c r="AA8" i="27"/>
  <c r="AA74" i="24"/>
  <c r="AA20" i="24"/>
  <c r="AA21" i="27"/>
  <c r="AA59" i="24"/>
  <c r="AA88" i="24"/>
  <c r="AA56" i="24"/>
  <c r="AA90" i="24"/>
  <c r="X73" i="24"/>
  <c r="X93" i="24"/>
  <c r="X87" i="24"/>
  <c r="X6" i="27"/>
  <c r="X32" i="26"/>
  <c r="X82" i="24"/>
  <c r="X92" i="24"/>
  <c r="X35" i="25"/>
  <c r="X20" i="27"/>
  <c r="X74" i="24"/>
  <c r="X78" i="24"/>
  <c r="X58" i="24"/>
  <c r="X34" i="25"/>
  <c r="X90" i="17"/>
  <c r="X55" i="24"/>
  <c r="W11" i="29"/>
  <c r="X84" i="24"/>
  <c r="X91" i="24"/>
  <c r="X80" i="24"/>
  <c r="X86" i="24"/>
  <c r="X75" i="24"/>
  <c r="X14" i="27"/>
  <c r="X28" i="25"/>
  <c r="X35" i="26"/>
  <c r="M30" i="26"/>
  <c r="M77" i="24"/>
  <c r="M91" i="24"/>
  <c r="M58" i="24"/>
  <c r="M78" i="24"/>
  <c r="M90" i="24"/>
  <c r="M81" i="24"/>
  <c r="M79" i="24"/>
  <c r="M34" i="25"/>
  <c r="M90" i="17"/>
  <c r="M44" i="24"/>
  <c r="M62" i="24"/>
  <c r="M59" i="24"/>
  <c r="M87" i="24"/>
  <c r="M63" i="24"/>
  <c r="M32" i="26"/>
  <c r="M26" i="26"/>
  <c r="M25" i="24"/>
  <c r="M35" i="25"/>
  <c r="M85" i="24"/>
  <c r="M49" i="24"/>
  <c r="M18" i="27"/>
  <c r="M32" i="25"/>
  <c r="M18" i="24"/>
  <c r="S9" i="24"/>
  <c r="S7" i="28"/>
  <c r="S94" i="24"/>
  <c r="S95" i="24"/>
  <c r="S71" i="24"/>
  <c r="S15" i="26"/>
  <c r="S10" i="23"/>
  <c r="S18" i="26"/>
  <c r="S12" i="26"/>
  <c r="S34" i="24"/>
  <c r="S11" i="24"/>
  <c r="S38" i="24"/>
  <c r="S72" i="24"/>
  <c r="S15" i="25"/>
  <c r="S11" i="30"/>
  <c r="S12" i="25"/>
  <c r="S19" i="25"/>
  <c r="S20" i="26"/>
  <c r="S70" i="24"/>
  <c r="S64" i="24"/>
  <c r="S13" i="25"/>
  <c r="S39" i="24"/>
  <c r="J68" i="24"/>
  <c r="J14" i="28"/>
  <c r="J13" i="25"/>
  <c r="J72" i="24"/>
  <c r="J16" i="26"/>
  <c r="J65" i="24"/>
  <c r="J11" i="24"/>
  <c r="J39" i="24"/>
  <c r="J10" i="24"/>
  <c r="J13" i="23"/>
  <c r="H56" i="11"/>
  <c r="H38" i="4"/>
  <c r="J20" i="25"/>
  <c r="J35" i="24"/>
  <c r="J12" i="26"/>
  <c r="J71" i="24"/>
  <c r="J40" i="24"/>
  <c r="J12" i="25"/>
  <c r="J16" i="25"/>
  <c r="J64" i="24"/>
  <c r="J15" i="25"/>
  <c r="J95" i="24"/>
  <c r="J70" i="24"/>
  <c r="J69" i="24"/>
  <c r="E59" i="24"/>
  <c r="E87" i="24"/>
  <c r="E26" i="24"/>
  <c r="E32" i="26"/>
  <c r="E18" i="27"/>
  <c r="E32" i="25"/>
  <c r="E43" i="24"/>
  <c r="E30" i="26"/>
  <c r="E50" i="24"/>
  <c r="E52" i="24"/>
  <c r="E34" i="25"/>
  <c r="E90" i="17"/>
  <c r="E84" i="24"/>
  <c r="E93" i="24"/>
  <c r="E13" i="27"/>
  <c r="E27" i="25"/>
  <c r="E83" i="24"/>
  <c r="E90" i="24"/>
  <c r="E35" i="25"/>
  <c r="E81" i="24"/>
  <c r="E79" i="24"/>
  <c r="E85" i="24"/>
  <c r="E86" i="24"/>
  <c r="E31" i="26"/>
  <c r="E45" i="24"/>
  <c r="O87" i="24"/>
  <c r="O74" i="24"/>
  <c r="O73" i="24"/>
  <c r="O79" i="24"/>
  <c r="O85" i="24"/>
  <c r="O51" i="24"/>
  <c r="O35" i="26"/>
  <c r="O33" i="24"/>
  <c r="O34" i="25"/>
  <c r="O90" i="17"/>
  <c r="O35" i="25"/>
  <c r="O6" i="27"/>
  <c r="O92" i="24"/>
  <c r="O75" i="24"/>
  <c r="O13" i="27"/>
  <c r="O27" i="25"/>
  <c r="O62" i="24"/>
  <c r="O77" i="24"/>
  <c r="O56" i="24"/>
  <c r="O83" i="24"/>
  <c r="O59" i="24"/>
  <c r="O14" i="27"/>
  <c r="O28" i="25"/>
  <c r="O57" i="24"/>
  <c r="O93" i="24"/>
  <c r="S26" i="24"/>
  <c r="S16" i="27"/>
  <c r="S30" i="25"/>
  <c r="S58" i="24"/>
  <c r="S92" i="24"/>
  <c r="S62" i="24"/>
  <c r="S48" i="24"/>
  <c r="S88" i="24"/>
  <c r="S45" i="24"/>
  <c r="S87" i="24"/>
  <c r="S79" i="24"/>
  <c r="S52" i="24"/>
  <c r="S8" i="27"/>
  <c r="S10" i="27"/>
  <c r="S25" i="25"/>
  <c r="S35" i="25"/>
  <c r="S74" i="24"/>
  <c r="S81" i="24"/>
  <c r="S83" i="24"/>
  <c r="S90" i="24"/>
  <c r="S30" i="26"/>
  <c r="S26" i="26"/>
  <c r="S28" i="26"/>
  <c r="S28" i="24"/>
  <c r="Q85" i="24"/>
  <c r="Q86" i="24"/>
  <c r="Q74" i="24"/>
  <c r="Q81" i="24"/>
  <c r="Q92" i="24"/>
  <c r="Q31" i="24"/>
  <c r="Q83" i="24"/>
  <c r="Q90" i="24"/>
  <c r="Q54" i="24"/>
  <c r="Q73" i="24"/>
  <c r="Q55" i="24"/>
  <c r="Q8" i="27"/>
  <c r="Q25" i="26"/>
  <c r="Q34" i="26"/>
  <c r="Q77" i="24"/>
  <c r="Q13" i="24"/>
  <c r="Q91" i="24"/>
  <c r="Q26" i="26"/>
  <c r="Q75" i="24"/>
  <c r="Q35" i="25"/>
  <c r="Q57" i="24"/>
  <c r="Q16" i="27"/>
  <c r="Q30" i="25"/>
  <c r="P35" i="25"/>
  <c r="P56" i="24"/>
  <c r="P90" i="24"/>
  <c r="P6" i="27"/>
  <c r="P14" i="27"/>
  <c r="P28" i="25"/>
  <c r="P75" i="24"/>
  <c r="P7" i="27"/>
  <c r="P92" i="17"/>
  <c r="P83" i="24"/>
  <c r="P63" i="24"/>
  <c r="P82" i="24"/>
  <c r="P78" i="24"/>
  <c r="P61" i="24"/>
  <c r="P53" i="24"/>
  <c r="P34" i="26"/>
  <c r="P91" i="24"/>
  <c r="P86" i="24"/>
  <c r="P93" i="24"/>
  <c r="P9" i="27"/>
  <c r="P84" i="24"/>
  <c r="P25" i="26"/>
  <c r="P47" i="24"/>
  <c r="P74" i="24"/>
  <c r="E10" i="28"/>
  <c r="E68" i="24"/>
  <c r="E34" i="24"/>
  <c r="E6" i="28"/>
  <c r="E65" i="24"/>
  <c r="E70" i="24"/>
  <c r="N95" i="24"/>
  <c r="E19" i="25"/>
  <c r="E8" i="23"/>
  <c r="N70" i="24"/>
  <c r="N69" i="24"/>
  <c r="E12" i="25"/>
  <c r="E9" i="24"/>
  <c r="N18" i="26"/>
  <c r="E72" i="24"/>
  <c r="N13" i="28"/>
  <c r="N93" i="17"/>
  <c r="N15" i="26"/>
  <c r="E69" i="24"/>
  <c r="E94" i="24"/>
  <c r="N34" i="24"/>
  <c r="N71" i="24"/>
  <c r="E16" i="25"/>
  <c r="E16" i="26"/>
  <c r="N20" i="25"/>
  <c r="E12" i="26"/>
  <c r="N8" i="24"/>
  <c r="N15" i="25"/>
  <c r="E18" i="25"/>
  <c r="E19" i="26"/>
  <c r="N68" i="24"/>
  <c r="N18" i="25"/>
  <c r="E95" i="24"/>
  <c r="N20" i="26"/>
  <c r="E7" i="24"/>
  <c r="N7" i="23"/>
  <c r="E20" i="25"/>
  <c r="E64" i="24"/>
  <c r="N16" i="26"/>
  <c r="N94" i="24"/>
  <c r="N65" i="24"/>
  <c r="N72" i="24"/>
  <c r="N42" i="24"/>
  <c r="N40" i="24"/>
  <c r="N16" i="25"/>
  <c r="H32" i="24"/>
  <c r="H32" i="26"/>
  <c r="H14" i="24"/>
  <c r="H84" i="24"/>
  <c r="H91" i="24"/>
  <c r="H14" i="27"/>
  <c r="H28" i="25"/>
  <c r="H26" i="26"/>
  <c r="H78" i="24"/>
  <c r="H92" i="24"/>
  <c r="H34" i="25"/>
  <c r="H90" i="17"/>
  <c r="H25" i="26"/>
  <c r="H73" i="24"/>
  <c r="H86" i="24"/>
  <c r="H75" i="24"/>
  <c r="H55" i="24"/>
  <c r="H54" i="24"/>
  <c r="H56" i="24"/>
  <c r="H82" i="24"/>
  <c r="H58" i="24"/>
  <c r="H74" i="24"/>
  <c r="H22" i="24"/>
  <c r="H93" i="24"/>
  <c r="W42" i="22"/>
  <c r="W39" i="22"/>
  <c r="W24" i="27"/>
  <c r="W32" i="22"/>
  <c r="W17" i="22"/>
  <c r="T10" i="5"/>
  <c r="W8" i="25"/>
  <c r="U9" i="2"/>
  <c r="W61" i="21"/>
  <c r="W44" i="22"/>
  <c r="W45" i="22"/>
  <c r="W25" i="27"/>
  <c r="W9" i="26"/>
  <c r="W47" i="22"/>
  <c r="W34" i="22"/>
  <c r="W48" i="22"/>
  <c r="W40" i="22"/>
  <c r="W9" i="25"/>
  <c r="W41" i="17"/>
  <c r="W45" i="21"/>
  <c r="W49" i="22"/>
  <c r="W22" i="22"/>
  <c r="W21" i="22"/>
  <c r="W19" i="22"/>
  <c r="W37" i="22"/>
  <c r="F50" i="24"/>
  <c r="F34" i="26"/>
  <c r="F61" i="24"/>
  <c r="F14" i="27"/>
  <c r="F28" i="25"/>
  <c r="F93" i="24"/>
  <c r="F80" i="24"/>
  <c r="F34" i="25"/>
  <c r="F90" i="17"/>
  <c r="F86" i="24"/>
  <c r="F52" i="24"/>
  <c r="F84" i="24"/>
  <c r="F6" i="27"/>
  <c r="F78" i="24"/>
  <c r="F75" i="24"/>
  <c r="F32" i="26"/>
  <c r="F90" i="24"/>
  <c r="F88" i="24"/>
  <c r="F77" i="24"/>
  <c r="F35" i="25"/>
  <c r="F57" i="24"/>
  <c r="F83" i="24"/>
  <c r="F58" i="24"/>
  <c r="F17" i="24"/>
  <c r="Y8" i="27"/>
  <c r="Y90" i="24"/>
  <c r="Y35" i="26"/>
  <c r="Y34" i="25"/>
  <c r="Y90" i="17"/>
  <c r="Y88" i="24"/>
  <c r="Y74" i="24"/>
  <c r="Y82" i="24"/>
  <c r="Y93" i="24"/>
  <c r="Y85" i="24"/>
  <c r="Y62" i="24"/>
  <c r="Y54" i="24"/>
  <c r="Y26" i="26"/>
  <c r="Y63" i="24"/>
  <c r="Y35" i="25"/>
  <c r="Y7" i="27"/>
  <c r="Y92" i="17"/>
  <c r="Y81" i="24"/>
  <c r="Y25" i="26"/>
  <c r="Y83" i="24"/>
  <c r="Y92" i="24"/>
  <c r="Y22" i="24"/>
  <c r="Y30" i="24"/>
  <c r="Y77" i="24"/>
  <c r="Z9" i="25"/>
  <c r="Z41" i="17"/>
  <c r="Z34" i="22"/>
  <c r="Z49" i="22"/>
  <c r="Q11" i="22"/>
  <c r="Z40" i="22"/>
  <c r="Z17" i="28"/>
  <c r="Z14" i="17"/>
  <c r="Z10" i="25"/>
  <c r="Z52" i="17"/>
  <c r="Q50" i="21"/>
  <c r="Q42" i="21"/>
  <c r="Q51" i="21"/>
  <c r="Z50" i="21"/>
  <c r="N10" i="5"/>
  <c r="Q8" i="25"/>
  <c r="O9" i="2"/>
  <c r="Z44" i="22"/>
  <c r="Q39" i="22"/>
  <c r="W10" i="5"/>
  <c r="Z8" i="25"/>
  <c r="X9" i="2"/>
  <c r="Z8" i="22"/>
  <c r="Q41" i="22"/>
  <c r="Z24" i="22"/>
  <c r="Q19" i="22"/>
  <c r="Q48" i="22"/>
  <c r="Z47" i="22"/>
  <c r="Z28" i="22"/>
  <c r="Q29" i="22"/>
  <c r="Q12" i="22"/>
  <c r="Z18" i="22"/>
  <c r="Z22" i="22"/>
  <c r="Q37" i="22"/>
  <c r="Z11" i="22"/>
  <c r="Q19" i="28"/>
  <c r="Q16" i="17"/>
  <c r="Z27" i="22"/>
  <c r="Q28" i="22"/>
  <c r="Z10" i="26"/>
  <c r="Q9" i="22"/>
  <c r="Z35" i="22"/>
  <c r="Q20" i="28"/>
  <c r="Q17" i="17"/>
  <c r="Z10" i="22"/>
  <c r="Z62" i="21"/>
  <c r="X25" i="2"/>
  <c r="Q35" i="22"/>
  <c r="Q10" i="25"/>
  <c r="Q52" i="17"/>
  <c r="Z38" i="22"/>
  <c r="Q25" i="22"/>
  <c r="Q43" i="22"/>
  <c r="Q9" i="25"/>
  <c r="Q41" i="17"/>
  <c r="Q23" i="22"/>
  <c r="G10" i="26"/>
  <c r="G30" i="22"/>
  <c r="G17" i="22"/>
  <c r="G39" i="22"/>
  <c r="G48" i="22"/>
  <c r="G49" i="22"/>
  <c r="G37" i="22"/>
  <c r="D10" i="5"/>
  <c r="G8" i="25"/>
  <c r="E9" i="2"/>
  <c r="G32" i="22"/>
  <c r="G44" i="22"/>
  <c r="G9" i="26"/>
  <c r="G45" i="21"/>
  <c r="G40" i="22"/>
  <c r="G21" i="22"/>
  <c r="G34" i="22"/>
  <c r="G19" i="22"/>
  <c r="G25" i="27"/>
  <c r="G53" i="21"/>
  <c r="G47" i="22"/>
  <c r="G13" i="22"/>
  <c r="G9" i="25"/>
  <c r="G41" i="17"/>
  <c r="G22" i="22"/>
  <c r="W13" i="27"/>
  <c r="W27" i="25"/>
  <c r="W12" i="27"/>
  <c r="W26" i="25"/>
  <c r="W92" i="24"/>
  <c r="W79" i="24"/>
  <c r="W87" i="24"/>
  <c r="W48" i="24"/>
  <c r="W57" i="24"/>
  <c r="W80" i="24"/>
  <c r="W14" i="27"/>
  <c r="W28" i="25"/>
  <c r="W83" i="24"/>
  <c r="W91" i="24"/>
  <c r="W22" i="27"/>
  <c r="W77" i="24"/>
  <c r="W24" i="24"/>
  <c r="W30" i="26"/>
  <c r="W85" i="24"/>
  <c r="W34" i="26"/>
  <c r="W43" i="24"/>
  <c r="W6" i="27"/>
  <c r="W50" i="24"/>
  <c r="W84" i="24"/>
  <c r="W35" i="26"/>
  <c r="U12" i="26"/>
  <c r="U19" i="25"/>
  <c r="U70" i="24"/>
  <c r="U7" i="28"/>
  <c r="U7" i="24"/>
  <c r="U16" i="26"/>
  <c r="U11" i="28"/>
  <c r="U65" i="24"/>
  <c r="U12" i="25"/>
  <c r="U34" i="24"/>
  <c r="U9" i="24"/>
  <c r="U20" i="25"/>
  <c r="U41" i="24"/>
  <c r="U8" i="23"/>
  <c r="U10" i="28"/>
  <c r="U72" i="24"/>
  <c r="U68" i="24"/>
  <c r="U35" i="24"/>
  <c r="U94" i="24"/>
  <c r="U18" i="25"/>
  <c r="U16" i="25"/>
  <c r="U69" i="24"/>
  <c r="Y28" i="22"/>
  <c r="Y30" i="22"/>
  <c r="Y25" i="27"/>
  <c r="Y43" i="21"/>
  <c r="Y49" i="22"/>
  <c r="Y19" i="22"/>
  <c r="Y10" i="26"/>
  <c r="Y64" i="21"/>
  <c r="V10" i="9"/>
  <c r="Y8" i="26"/>
  <c r="Y11" i="22"/>
  <c r="Y17" i="22"/>
  <c r="Y38" i="22"/>
  <c r="Y61" i="21"/>
  <c r="Y20" i="22"/>
  <c r="Y15" i="22"/>
  <c r="Y47" i="22"/>
  <c r="Y32" i="22"/>
  <c r="Y37" i="22"/>
  <c r="Y34" i="22"/>
  <c r="Y42" i="22"/>
  <c r="Y9" i="25"/>
  <c r="Y41" i="17"/>
  <c r="Y10" i="25"/>
  <c r="Y52" i="17"/>
  <c r="V19" i="25"/>
  <c r="V17" i="23"/>
  <c r="V16" i="26"/>
  <c r="V11" i="28"/>
  <c r="V34" i="24"/>
  <c r="V19" i="26"/>
  <c r="V16" i="25"/>
  <c r="V12" i="25"/>
  <c r="V15" i="25"/>
  <c r="V13" i="25"/>
  <c r="V20" i="25"/>
  <c r="V71" i="24"/>
  <c r="V69" i="24"/>
  <c r="V65" i="24"/>
  <c r="V64" i="24"/>
  <c r="V41" i="24"/>
  <c r="V95" i="24"/>
  <c r="V68" i="24"/>
  <c r="V94" i="24"/>
  <c r="V70" i="24"/>
  <c r="V18" i="25"/>
  <c r="V39" i="24"/>
  <c r="M18" i="25"/>
  <c r="M19" i="25"/>
  <c r="M34" i="24"/>
  <c r="M64" i="24"/>
  <c r="M65" i="24"/>
  <c r="M95" i="24"/>
  <c r="M12" i="25"/>
  <c r="M70" i="24"/>
  <c r="M14" i="28"/>
  <c r="M35" i="24"/>
  <c r="M40" i="24"/>
  <c r="M13" i="28"/>
  <c r="M93" i="17"/>
  <c r="M71" i="24"/>
  <c r="M42" i="24"/>
  <c r="M94" i="24"/>
  <c r="M16" i="25"/>
  <c r="M69" i="24"/>
  <c r="M18" i="26"/>
  <c r="M15" i="25"/>
  <c r="M18" i="23"/>
  <c r="M20" i="25"/>
  <c r="M72" i="24"/>
  <c r="T41" i="24"/>
  <c r="T12" i="25"/>
  <c r="T68" i="24"/>
  <c r="T95" i="24"/>
  <c r="T39" i="24"/>
  <c r="T19" i="25"/>
  <c r="T18" i="25"/>
  <c r="T64" i="24"/>
  <c r="T94" i="24"/>
  <c r="T13" i="25"/>
  <c r="T20" i="25"/>
  <c r="T15" i="25"/>
  <c r="T16" i="25"/>
  <c r="T19" i="23"/>
  <c r="R58" i="11"/>
  <c r="T7" i="28"/>
  <c r="T34" i="24"/>
  <c r="T69" i="24"/>
  <c r="T71" i="24"/>
  <c r="T12" i="26"/>
  <c r="T35" i="24"/>
  <c r="T20" i="26"/>
  <c r="T38" i="24"/>
  <c r="D19" i="23"/>
  <c r="D95" i="24"/>
  <c r="D69" i="24"/>
  <c r="D6" i="28"/>
  <c r="D38" i="24"/>
  <c r="D68" i="24"/>
  <c r="D12" i="25"/>
  <c r="D12" i="26"/>
  <c r="D71" i="24"/>
  <c r="D64" i="24"/>
  <c r="D15" i="25"/>
  <c r="D72" i="24"/>
  <c r="D34" i="24"/>
  <c r="D19" i="25"/>
  <c r="D18" i="25"/>
  <c r="D20" i="25"/>
  <c r="D41" i="24"/>
  <c r="D13" i="25"/>
  <c r="D16" i="25"/>
  <c r="D10" i="28"/>
  <c r="D70" i="24"/>
  <c r="D65" i="24"/>
  <c r="C6" i="27"/>
  <c r="C21" i="27"/>
  <c r="C83" i="24"/>
  <c r="C30" i="26"/>
  <c r="C16" i="27"/>
  <c r="C30" i="25"/>
  <c r="C87" i="24"/>
  <c r="C13" i="27"/>
  <c r="C27" i="25"/>
  <c r="C12" i="27"/>
  <c r="C26" i="25"/>
  <c r="C26" i="26"/>
  <c r="C25" i="26"/>
  <c r="C8" i="27"/>
  <c r="C22" i="27"/>
  <c r="C35" i="26"/>
  <c r="C14" i="27"/>
  <c r="C28" i="25"/>
  <c r="C9" i="27"/>
  <c r="C62" i="24"/>
  <c r="C34" i="26"/>
  <c r="C20" i="27"/>
  <c r="C7" i="27"/>
  <c r="C92" i="17"/>
  <c r="C17" i="27"/>
  <c r="C31" i="25"/>
  <c r="C17" i="30"/>
  <c r="C81" i="24"/>
  <c r="C30" i="11"/>
  <c r="C40" i="10"/>
  <c r="E39" i="26"/>
  <c r="E45" i="13"/>
  <c r="C34" i="11"/>
  <c r="C44" i="10"/>
  <c r="E8" i="3"/>
  <c r="C52" i="4"/>
  <c r="C31" i="11"/>
  <c r="C41" i="10"/>
  <c r="C19" i="11"/>
  <c r="E33" i="13"/>
  <c r="C23" i="11"/>
  <c r="C33" i="10"/>
  <c r="C45" i="4"/>
  <c r="E38" i="25"/>
  <c r="D31" i="29"/>
  <c r="D32" i="29"/>
  <c r="C52" i="11"/>
  <c r="C31" i="4"/>
  <c r="E37" i="25"/>
  <c r="E59" i="21"/>
  <c r="E63" i="21"/>
  <c r="C20" i="11"/>
  <c r="E23" i="25"/>
  <c r="E7" i="13"/>
  <c r="E22" i="13"/>
  <c r="C17" i="11"/>
  <c r="E7" i="3"/>
  <c r="E39" i="25"/>
  <c r="C13" i="11"/>
  <c r="C6" i="11"/>
  <c r="E6" i="3"/>
  <c r="C10" i="4"/>
  <c r="C22" i="11"/>
  <c r="E38" i="26"/>
  <c r="C29" i="11"/>
  <c r="C39" i="10"/>
  <c r="C10" i="11"/>
  <c r="E37" i="26"/>
  <c r="E48" i="13"/>
  <c r="E23" i="26"/>
  <c r="G92" i="24"/>
  <c r="G57" i="24"/>
  <c r="G7" i="27"/>
  <c r="G92" i="17"/>
  <c r="G77" i="24"/>
  <c r="G54" i="24"/>
  <c r="G56" i="24"/>
  <c r="G87" i="24"/>
  <c r="G79" i="24"/>
  <c r="G8" i="27"/>
  <c r="G16" i="27"/>
  <c r="G30" i="25"/>
  <c r="G30" i="26"/>
  <c r="G52" i="24"/>
  <c r="G32" i="24"/>
  <c r="G83" i="24"/>
  <c r="G43" i="24"/>
  <c r="G14" i="27"/>
  <c r="G28" i="25"/>
  <c r="G85" i="24"/>
  <c r="G84" i="24"/>
  <c r="G12" i="27"/>
  <c r="G26" i="25"/>
  <c r="G24" i="24"/>
  <c r="G48" i="24"/>
  <c r="G91" i="24"/>
  <c r="N85" i="24"/>
  <c r="N17" i="27"/>
  <c r="K14" i="5"/>
  <c r="N31" i="25"/>
  <c r="N25" i="24"/>
  <c r="N93" i="24"/>
  <c r="N14" i="27"/>
  <c r="N28" i="25"/>
  <c r="N58" i="24"/>
  <c r="N75" i="24"/>
  <c r="K14" i="9"/>
  <c r="N31" i="26"/>
  <c r="N13" i="27"/>
  <c r="N27" i="25"/>
  <c r="N51" i="24"/>
  <c r="N33" i="24"/>
  <c r="N74" i="24"/>
  <c r="N78" i="24"/>
  <c r="N86" i="24"/>
  <c r="N84" i="24"/>
  <c r="N44" i="24"/>
  <c r="N92" i="24"/>
  <c r="N49" i="24"/>
  <c r="N80" i="24"/>
  <c r="N88" i="24"/>
  <c r="N62" i="24"/>
  <c r="N73" i="24"/>
  <c r="Z20" i="26"/>
  <c r="Z64" i="24"/>
  <c r="Z10" i="24"/>
  <c r="Z94" i="24"/>
  <c r="Z12" i="25"/>
  <c r="Z13" i="26"/>
  <c r="Z70" i="24"/>
  <c r="Z71" i="24"/>
  <c r="Z69" i="24"/>
  <c r="Z13" i="23"/>
  <c r="X56" i="11"/>
  <c r="X38" i="4"/>
  <c r="Z39" i="24"/>
  <c r="Z10" i="28"/>
  <c r="Z68" i="24"/>
  <c r="Z65" i="24"/>
  <c r="Z20" i="25"/>
  <c r="Z12" i="26"/>
  <c r="Z72" i="24"/>
  <c r="Z13" i="25"/>
  <c r="Z15" i="25"/>
  <c r="Z35" i="24"/>
  <c r="Z40" i="24"/>
  <c r="Z19" i="26"/>
  <c r="L19" i="26"/>
  <c r="L71" i="24"/>
  <c r="L20" i="25"/>
  <c r="L70" i="24"/>
  <c r="L94" i="24"/>
  <c r="L19" i="25"/>
  <c r="L14" i="28"/>
  <c r="L10" i="24"/>
  <c r="L42" i="24"/>
  <c r="L68" i="24"/>
  <c r="L9" i="23"/>
  <c r="L65" i="24"/>
  <c r="L9" i="28"/>
  <c r="L8" i="28"/>
  <c r="L8" i="24"/>
  <c r="L12" i="25"/>
  <c r="L64" i="24"/>
  <c r="L18" i="25"/>
  <c r="L35" i="24"/>
  <c r="L69" i="24"/>
  <c r="L72" i="24"/>
  <c r="L95" i="24"/>
  <c r="V30" i="11"/>
  <c r="V40" i="10"/>
  <c r="V14" i="11"/>
  <c r="W31" i="29"/>
  <c r="V20" i="11"/>
  <c r="X23" i="25"/>
  <c r="X48" i="13"/>
  <c r="X33" i="13"/>
  <c r="V23" i="11"/>
  <c r="V33" i="10"/>
  <c r="V45" i="4"/>
  <c r="V21" i="11"/>
  <c r="V7" i="11"/>
  <c r="X45" i="13"/>
  <c r="V34" i="11"/>
  <c r="V44" i="10"/>
  <c r="X8" i="3"/>
  <c r="V52" i="4"/>
  <c r="V24" i="11"/>
  <c r="V34" i="10"/>
  <c r="X38" i="26"/>
  <c r="X38" i="25"/>
  <c r="V54" i="11"/>
  <c r="X63" i="21"/>
  <c r="V6" i="11"/>
  <c r="X6" i="3"/>
  <c r="U6" i="16"/>
  <c r="V10" i="4"/>
  <c r="V52" i="11"/>
  <c r="V31" i="4"/>
  <c r="X37" i="25"/>
  <c r="X59" i="21"/>
  <c r="X39" i="26"/>
  <c r="X23" i="26"/>
  <c r="W32" i="29"/>
  <c r="U34" i="5"/>
  <c r="X7" i="13"/>
  <c r="X22" i="13"/>
  <c r="V17" i="11"/>
  <c r="X7" i="3"/>
  <c r="X39" i="25"/>
  <c r="V8" i="11"/>
  <c r="X37" i="26"/>
  <c r="AA7" i="13"/>
  <c r="AA22" i="13"/>
  <c r="Y17" i="11"/>
  <c r="AA7" i="3"/>
  <c r="AA39" i="25"/>
  <c r="Y29" i="11"/>
  <c r="Y39" i="10"/>
  <c r="Z32" i="29"/>
  <c r="X34" i="5"/>
  <c r="AA33" i="13"/>
  <c r="Y23" i="11"/>
  <c r="Y33" i="10"/>
  <c r="Y45" i="4"/>
  <c r="Y11" i="11"/>
  <c r="Y18" i="11"/>
  <c r="Y19" i="11"/>
  <c r="Y52" i="11"/>
  <c r="Y31" i="4"/>
  <c r="AA37" i="25"/>
  <c r="AA59" i="21"/>
  <c r="Y16" i="11"/>
  <c r="AA38" i="26"/>
  <c r="AA48" i="13"/>
  <c r="Y9" i="11"/>
  <c r="AA37" i="26"/>
  <c r="AA38" i="25"/>
  <c r="Y20" i="11"/>
  <c r="AA23" i="25"/>
  <c r="Y12" i="11"/>
  <c r="AA39" i="26"/>
  <c r="Y6" i="11"/>
  <c r="AA6" i="3"/>
  <c r="X6" i="16"/>
  <c r="Y10" i="4"/>
  <c r="AA45" i="13"/>
  <c r="Y34" i="11"/>
  <c r="Y44" i="10"/>
  <c r="AA8" i="3"/>
  <c r="Y52" i="4"/>
  <c r="AA63" i="21"/>
  <c r="Z31" i="29"/>
  <c r="AA23" i="26"/>
  <c r="Z18" i="27"/>
  <c r="Z32" i="25"/>
  <c r="Z17" i="30"/>
  <c r="Z6" i="27"/>
  <c r="Z22" i="27"/>
  <c r="Y26" i="29"/>
  <c r="Z16" i="27"/>
  <c r="Z30" i="25"/>
  <c r="Z21" i="27"/>
  <c r="Z20" i="27"/>
  <c r="Z28" i="26"/>
  <c r="Z88" i="24"/>
  <c r="Z12" i="27"/>
  <c r="Z26" i="25"/>
  <c r="Y11" i="29"/>
  <c r="Z32" i="26"/>
  <c r="Z17" i="27"/>
  <c r="W14" i="5"/>
  <c r="Z31" i="25"/>
  <c r="Y43" i="29"/>
  <c r="W14" i="9"/>
  <c r="Z31" i="26"/>
  <c r="Z30" i="26"/>
  <c r="Y20" i="29"/>
  <c r="Z13" i="27"/>
  <c r="Z27" i="25"/>
  <c r="Z34" i="26"/>
  <c r="Z14" i="27"/>
  <c r="Z28" i="25"/>
  <c r="Z8" i="27"/>
  <c r="K45" i="13"/>
  <c r="I34" i="11"/>
  <c r="I44" i="10"/>
  <c r="K8" i="3"/>
  <c r="I52" i="4"/>
  <c r="K39" i="26"/>
  <c r="I12" i="11"/>
  <c r="I16" i="11"/>
  <c r="J32" i="29"/>
  <c r="H34" i="5"/>
  <c r="I6" i="11"/>
  <c r="K6" i="3"/>
  <c r="H6" i="16"/>
  <c r="I10" i="4"/>
  <c r="I20" i="11"/>
  <c r="K23" i="25"/>
  <c r="K38" i="25"/>
  <c r="K37" i="26"/>
  <c r="I19" i="11"/>
  <c r="I18" i="11"/>
  <c r="K38" i="26"/>
  <c r="K48" i="13"/>
  <c r="I29" i="11"/>
  <c r="I39" i="10"/>
  <c r="I9" i="11"/>
  <c r="K23" i="26"/>
  <c r="J31" i="29"/>
  <c r="K7" i="13"/>
  <c r="K22" i="13"/>
  <c r="I17" i="11"/>
  <c r="K7" i="3"/>
  <c r="K39" i="25"/>
  <c r="K33" i="13"/>
  <c r="I23" i="11"/>
  <c r="I33" i="10"/>
  <c r="I45" i="4"/>
  <c r="I55" i="11"/>
  <c r="I24" i="4"/>
  <c r="K63" i="21"/>
  <c r="I52" i="11"/>
  <c r="I31" i="4"/>
  <c r="K37" i="25"/>
  <c r="K59" i="21"/>
  <c r="U48" i="13"/>
  <c r="U63" i="21"/>
  <c r="U23" i="26"/>
  <c r="T32" i="29"/>
  <c r="R34" i="5"/>
  <c r="S30" i="11"/>
  <c r="S40" i="10"/>
  <c r="U33" i="13"/>
  <c r="S23" i="11"/>
  <c r="S33" i="10"/>
  <c r="S45" i="4"/>
  <c r="S10" i="11"/>
  <c r="U7" i="13"/>
  <c r="U22" i="13"/>
  <c r="S17" i="11"/>
  <c r="U7" i="3"/>
  <c r="U39" i="25"/>
  <c r="S52" i="11"/>
  <c r="S31" i="4"/>
  <c r="U37" i="25"/>
  <c r="U59" i="21"/>
  <c r="S6" i="11"/>
  <c r="U6" i="3"/>
  <c r="R6" i="16"/>
  <c r="S10" i="4"/>
  <c r="U39" i="26"/>
  <c r="S31" i="11"/>
  <c r="S41" i="10"/>
  <c r="U37" i="26"/>
  <c r="S13" i="11"/>
  <c r="T31" i="29"/>
  <c r="S54" i="11"/>
  <c r="U38" i="26"/>
  <c r="S20" i="11"/>
  <c r="U23" i="25"/>
  <c r="U45" i="13"/>
  <c r="S34" i="11"/>
  <c r="S44" i="10"/>
  <c r="U8" i="3"/>
  <c r="S52" i="4"/>
  <c r="S29" i="11"/>
  <c r="S39" i="10"/>
  <c r="S22" i="11"/>
  <c r="U38" i="25"/>
  <c r="Y37" i="26"/>
  <c r="W16" i="11"/>
  <c r="Y39" i="26"/>
  <c r="W52" i="11"/>
  <c r="W31" i="4"/>
  <c r="Y37" i="25"/>
  <c r="Y59" i="21"/>
  <c r="W20" i="11"/>
  <c r="Y23" i="25"/>
  <c r="Y45" i="13"/>
  <c r="W34" i="11"/>
  <c r="W44" i="10"/>
  <c r="Y8" i="3"/>
  <c r="W52" i="4"/>
  <c r="Y38" i="26"/>
  <c r="W14" i="11"/>
  <c r="W7" i="11"/>
  <c r="W9" i="11"/>
  <c r="W10" i="11"/>
  <c r="Y7" i="13"/>
  <c r="Y22" i="13"/>
  <c r="W17" i="11"/>
  <c r="Y7" i="3"/>
  <c r="Y39" i="25"/>
  <c r="W6" i="11"/>
  <c r="Y6" i="3"/>
  <c r="V6" i="16"/>
  <c r="W10" i="4"/>
  <c r="X32" i="29"/>
  <c r="V34" i="5"/>
  <c r="Y38" i="25"/>
  <c r="W54" i="11"/>
  <c r="W30" i="11"/>
  <c r="W40" i="10"/>
  <c r="X31" i="29"/>
  <c r="Y48" i="13"/>
  <c r="Y63" i="21"/>
  <c r="Y23" i="26"/>
  <c r="Y33" i="13"/>
  <c r="W23" i="11"/>
  <c r="W33" i="10"/>
  <c r="W45" i="4"/>
  <c r="G6" i="11"/>
  <c r="I6" i="3"/>
  <c r="F6" i="16"/>
  <c r="G10" i="4"/>
  <c r="I48" i="13"/>
  <c r="H32" i="29"/>
  <c r="F34" i="5"/>
  <c r="I45" i="13"/>
  <c r="G34" i="11"/>
  <c r="G44" i="10"/>
  <c r="I8" i="3"/>
  <c r="G52" i="4"/>
  <c r="G14" i="11"/>
  <c r="H31" i="29"/>
  <c r="G52" i="11"/>
  <c r="G31" i="4"/>
  <c r="I37" i="25"/>
  <c r="I59" i="21"/>
  <c r="I38" i="26"/>
  <c r="G7" i="11"/>
  <c r="I33" i="13"/>
  <c r="G23" i="11"/>
  <c r="G33" i="10"/>
  <c r="G45" i="4"/>
  <c r="G9" i="11"/>
  <c r="I63" i="21"/>
  <c r="G54" i="11"/>
  <c r="G30" i="11"/>
  <c r="G40" i="10"/>
  <c r="I39" i="26"/>
  <c r="G10" i="11"/>
  <c r="G20" i="11"/>
  <c r="I23" i="25"/>
  <c r="G16" i="11"/>
  <c r="I7" i="13"/>
  <c r="I22" i="13"/>
  <c r="G17" i="11"/>
  <c r="I7" i="3"/>
  <c r="I39" i="25"/>
  <c r="I37" i="26"/>
  <c r="I23" i="26"/>
  <c r="I38" i="25"/>
  <c r="H48" i="13"/>
  <c r="H33" i="13"/>
  <c r="F23" i="11"/>
  <c r="F33" i="10"/>
  <c r="F45" i="4"/>
  <c r="F21" i="11"/>
  <c r="F24" i="11"/>
  <c r="F34" i="10"/>
  <c r="F14" i="11"/>
  <c r="F7" i="11"/>
  <c r="F52" i="11"/>
  <c r="F31" i="4"/>
  <c r="H37" i="25"/>
  <c r="H59" i="21"/>
  <c r="F20" i="11"/>
  <c r="H23" i="25"/>
  <c r="F8" i="11"/>
  <c r="H38" i="25"/>
  <c r="H37" i="26"/>
  <c r="H63" i="21"/>
  <c r="H38" i="26"/>
  <c r="F30" i="11"/>
  <c r="F40" i="10"/>
  <c r="H39" i="26"/>
  <c r="H45" i="13"/>
  <c r="F34" i="11"/>
  <c r="F44" i="10"/>
  <c r="H8" i="3"/>
  <c r="F52" i="4"/>
  <c r="G31" i="29"/>
  <c r="F6" i="11"/>
  <c r="H6" i="3"/>
  <c r="E6" i="16"/>
  <c r="F10" i="4"/>
  <c r="G32" i="29"/>
  <c r="E34" i="5"/>
  <c r="H23" i="26"/>
  <c r="F54" i="11"/>
  <c r="H7" i="13"/>
  <c r="H22" i="13"/>
  <c r="F17" i="11"/>
  <c r="H7" i="3"/>
  <c r="H39" i="25"/>
  <c r="Q63" i="21"/>
  <c r="Q23" i="26"/>
  <c r="Q38" i="26"/>
  <c r="O24" i="11"/>
  <c r="O34" i="10"/>
  <c r="Q48" i="13"/>
  <c r="O29" i="11"/>
  <c r="O39" i="10"/>
  <c r="O22" i="11"/>
  <c r="Q7" i="13"/>
  <c r="Q22" i="13"/>
  <c r="O17" i="11"/>
  <c r="Q7" i="3"/>
  <c r="Q39" i="25"/>
  <c r="Q37" i="26"/>
  <c r="O20" i="11"/>
  <c r="Q23" i="25"/>
  <c r="O18" i="11"/>
  <c r="O6" i="11"/>
  <c r="Q6" i="3"/>
  <c r="N6" i="16"/>
  <c r="O10" i="4"/>
  <c r="Q45" i="13"/>
  <c r="O34" i="11"/>
  <c r="O44" i="10"/>
  <c r="Q8" i="3"/>
  <c r="O52" i="4"/>
  <c r="Q33" i="13"/>
  <c r="O23" i="11"/>
  <c r="O33" i="10"/>
  <c r="O45" i="4"/>
  <c r="O52" i="11"/>
  <c r="O31" i="4"/>
  <c r="Q37" i="25"/>
  <c r="Q59" i="21"/>
  <c r="Q38" i="25"/>
  <c r="P32" i="29"/>
  <c r="N34" i="5"/>
  <c r="Q39" i="26"/>
  <c r="P31" i="29"/>
  <c r="O31" i="11"/>
  <c r="O41" i="10"/>
  <c r="O15" i="11"/>
  <c r="O9" i="11"/>
  <c r="P19" i="28"/>
  <c r="P16" i="17"/>
  <c r="P28" i="27"/>
  <c r="O38" i="29"/>
  <c r="O15" i="29"/>
  <c r="O36" i="29"/>
  <c r="O22" i="29"/>
  <c r="O13" i="29"/>
  <c r="P16" i="28"/>
  <c r="P13" i="17"/>
  <c r="O41" i="29"/>
  <c r="O18" i="29"/>
  <c r="P24" i="27"/>
  <c r="O8" i="29"/>
  <c r="O30" i="29"/>
  <c r="P9" i="25"/>
  <c r="P41" i="17"/>
  <c r="O40" i="29"/>
  <c r="O17" i="29"/>
  <c r="O37" i="29"/>
  <c r="O23" i="29"/>
  <c r="O14" i="29"/>
  <c r="O42" i="29"/>
  <c r="O33" i="29"/>
  <c r="M51" i="6"/>
  <c r="M11" i="5"/>
  <c r="N10" i="2"/>
  <c r="O25" i="29"/>
  <c r="O19" i="29"/>
  <c r="O10" i="29"/>
  <c r="O12" i="8"/>
  <c r="M6" i="9"/>
  <c r="M6" i="5"/>
  <c r="N6" i="2"/>
  <c r="P17" i="28"/>
  <c r="P14" i="17"/>
  <c r="O39" i="29"/>
  <c r="O16" i="29"/>
  <c r="P20" i="28"/>
  <c r="P17" i="17"/>
  <c r="P10" i="26"/>
  <c r="O9" i="29"/>
  <c r="P18" i="28"/>
  <c r="P15" i="17"/>
  <c r="P26" i="27"/>
  <c r="O24" i="29"/>
  <c r="O7" i="29"/>
  <c r="O29" i="29"/>
  <c r="H37" i="29"/>
  <c r="H23" i="29"/>
  <c r="H14" i="29"/>
  <c r="H25" i="29"/>
  <c r="H19" i="29"/>
  <c r="H10" i="29"/>
  <c r="H12" i="8"/>
  <c r="F6" i="9"/>
  <c r="F6" i="5"/>
  <c r="G6" i="2"/>
  <c r="I24" i="27"/>
  <c r="H9" i="29"/>
  <c r="H40" i="29"/>
  <c r="H17" i="29"/>
  <c r="H24" i="29"/>
  <c r="H38" i="29"/>
  <c r="H15" i="29"/>
  <c r="I20" i="28"/>
  <c r="I17" i="17"/>
  <c r="I18" i="28"/>
  <c r="I15" i="17"/>
  <c r="H39" i="29"/>
  <c r="H16" i="29"/>
  <c r="I16" i="28"/>
  <c r="I13" i="17"/>
  <c r="H41" i="29"/>
  <c r="H18" i="29"/>
  <c r="I17" i="28"/>
  <c r="I14" i="17"/>
  <c r="H8" i="29"/>
  <c r="H30" i="29"/>
  <c r="I19" i="28"/>
  <c r="I16" i="17"/>
  <c r="H36" i="29"/>
  <c r="H22" i="29"/>
  <c r="H13" i="29"/>
  <c r="H42" i="29"/>
  <c r="H33" i="29"/>
  <c r="F51" i="6"/>
  <c r="F11" i="5"/>
  <c r="G10" i="2"/>
  <c r="I28" i="27"/>
  <c r="F10" i="5"/>
  <c r="I8" i="25"/>
  <c r="G9" i="2"/>
  <c r="H7" i="29"/>
  <c r="H29" i="29"/>
  <c r="I25" i="27"/>
  <c r="I9" i="26"/>
  <c r="I26" i="29"/>
  <c r="G14" i="9"/>
  <c r="J31" i="26"/>
  <c r="I11" i="29"/>
  <c r="J18" i="27"/>
  <c r="J32" i="25"/>
  <c r="I20" i="29"/>
  <c r="J13" i="27"/>
  <c r="J27" i="25"/>
  <c r="J10" i="27"/>
  <c r="J25" i="25"/>
  <c r="J21" i="27"/>
  <c r="J35" i="26"/>
  <c r="J34" i="26"/>
  <c r="J30" i="26"/>
  <c r="J17" i="30"/>
  <c r="I43" i="29"/>
  <c r="J14" i="27"/>
  <c r="J28" i="25"/>
  <c r="J12" i="27"/>
  <c r="J26" i="25"/>
  <c r="J84" i="24"/>
  <c r="J88" i="24"/>
  <c r="J16" i="27"/>
  <c r="J30" i="25"/>
  <c r="J26" i="26"/>
  <c r="J7" i="27"/>
  <c r="J92" i="17"/>
  <c r="J32" i="26"/>
  <c r="J20" i="27"/>
  <c r="K14" i="11"/>
  <c r="M7" i="13"/>
  <c r="M22" i="13"/>
  <c r="K17" i="11"/>
  <c r="M7" i="3"/>
  <c r="M39" i="25"/>
  <c r="M33" i="13"/>
  <c r="K23" i="11"/>
  <c r="K33" i="10"/>
  <c r="K45" i="4"/>
  <c r="M63" i="21"/>
  <c r="M39" i="26"/>
  <c r="M38" i="25"/>
  <c r="K30" i="11"/>
  <c r="K40" i="10"/>
  <c r="K21" i="11"/>
  <c r="L31" i="29"/>
  <c r="L32" i="29"/>
  <c r="J34" i="5"/>
  <c r="K52" i="11"/>
  <c r="K31" i="4"/>
  <c r="M37" i="25"/>
  <c r="M59" i="21"/>
  <c r="M38" i="26"/>
  <c r="M23" i="26"/>
  <c r="K55" i="11"/>
  <c r="K24" i="4"/>
  <c r="M48" i="13"/>
  <c r="M37" i="26"/>
  <c r="K18" i="11"/>
  <c r="K11" i="11"/>
  <c r="K6" i="11"/>
  <c r="M6" i="3"/>
  <c r="J6" i="16"/>
  <c r="K10" i="4"/>
  <c r="M45" i="13"/>
  <c r="K34" i="11"/>
  <c r="K44" i="10"/>
  <c r="M8" i="3"/>
  <c r="K52" i="4"/>
  <c r="K31" i="11"/>
  <c r="K41" i="10"/>
  <c r="K20" i="11"/>
  <c r="M23" i="25"/>
  <c r="N33" i="13"/>
  <c r="L23" i="11"/>
  <c r="L33" i="10"/>
  <c r="L45" i="4"/>
  <c r="L14" i="11"/>
  <c r="M31" i="29"/>
  <c r="N38" i="25"/>
  <c r="N39" i="26"/>
  <c r="L55" i="11"/>
  <c r="L24" i="4"/>
  <c r="N38" i="26"/>
  <c r="L6" i="11"/>
  <c r="N6" i="3"/>
  <c r="K6" i="16"/>
  <c r="L10" i="4"/>
  <c r="N48" i="13"/>
  <c r="N37" i="26"/>
  <c r="L24" i="11"/>
  <c r="L34" i="10"/>
  <c r="N63" i="21"/>
  <c r="L31" i="11"/>
  <c r="L41" i="10"/>
  <c r="L52" i="11"/>
  <c r="L31" i="4"/>
  <c r="N37" i="25"/>
  <c r="N59" i="21"/>
  <c r="M32" i="29"/>
  <c r="K34" i="5"/>
  <c r="L11" i="11"/>
  <c r="L30" i="11"/>
  <c r="L40" i="10"/>
  <c r="L20" i="11"/>
  <c r="N23" i="25"/>
  <c r="N23" i="26"/>
  <c r="L7" i="11"/>
  <c r="N7" i="13"/>
  <c r="N22" i="13"/>
  <c r="L17" i="11"/>
  <c r="N7" i="3"/>
  <c r="N39" i="25"/>
  <c r="N45" i="13"/>
  <c r="L34" i="11"/>
  <c r="L44" i="10"/>
  <c r="N8" i="3"/>
  <c r="L52" i="4"/>
  <c r="D19" i="11"/>
  <c r="D54" i="11"/>
  <c r="F38" i="25"/>
  <c r="D6" i="11"/>
  <c r="F6" i="3"/>
  <c r="C6" i="16"/>
  <c r="D10" i="4"/>
  <c r="F7" i="13"/>
  <c r="F22" i="13"/>
  <c r="D17" i="11"/>
  <c r="F7" i="3"/>
  <c r="F39" i="25"/>
  <c r="F39" i="26"/>
  <c r="F45" i="13"/>
  <c r="D34" i="11"/>
  <c r="D44" i="10"/>
  <c r="F8" i="3"/>
  <c r="D52" i="4"/>
  <c r="D22" i="11"/>
  <c r="F48" i="13"/>
  <c r="F33" i="13"/>
  <c r="D23" i="11"/>
  <c r="D33" i="10"/>
  <c r="D45" i="4"/>
  <c r="D20" i="11"/>
  <c r="F23" i="25"/>
  <c r="F23" i="26"/>
  <c r="E31" i="29"/>
  <c r="D12" i="11"/>
  <c r="D31" i="11"/>
  <c r="D41" i="10"/>
  <c r="D52" i="11"/>
  <c r="D31" i="4"/>
  <c r="F37" i="25"/>
  <c r="F59" i="21"/>
  <c r="D24" i="11"/>
  <c r="D34" i="10"/>
  <c r="F37" i="26"/>
  <c r="F63" i="21"/>
  <c r="F38" i="26"/>
  <c r="E32" i="29"/>
  <c r="C34" i="5"/>
  <c r="D15" i="11"/>
  <c r="Q30" i="26"/>
  <c r="Q20" i="27"/>
  <c r="P20" i="29"/>
  <c r="Q22" i="27"/>
  <c r="N14" i="9"/>
  <c r="Q31" i="26"/>
  <c r="Q18" i="27"/>
  <c r="Q32" i="25"/>
  <c r="Q17" i="30"/>
  <c r="Q12" i="27"/>
  <c r="Q26" i="25"/>
  <c r="Q32" i="26"/>
  <c r="Q17" i="27"/>
  <c r="N14" i="5"/>
  <c r="Q31" i="25"/>
  <c r="Q28" i="26"/>
  <c r="P43" i="29"/>
  <c r="Q6" i="27"/>
  <c r="Q9" i="27"/>
  <c r="Q27" i="26"/>
  <c r="Q14" i="27"/>
  <c r="Q28" i="25"/>
  <c r="Q7" i="27"/>
  <c r="Q92" i="17"/>
  <c r="P26" i="29"/>
  <c r="Q13" i="27"/>
  <c r="Q27" i="25"/>
  <c r="Q35" i="26"/>
  <c r="P11" i="29"/>
  <c r="Q10" i="27"/>
  <c r="Q25" i="25"/>
  <c r="W34" i="25"/>
  <c r="W90" i="17"/>
  <c r="T14" i="9"/>
  <c r="W31" i="26"/>
  <c r="V43" i="29"/>
  <c r="W7" i="27"/>
  <c r="W92" i="17"/>
  <c r="W17" i="27"/>
  <c r="T14" i="5"/>
  <c r="W31" i="25"/>
  <c r="W27" i="26"/>
  <c r="W10" i="27"/>
  <c r="W25" i="25"/>
  <c r="W16" i="27"/>
  <c r="W30" i="25"/>
  <c r="V11" i="29"/>
  <c r="V26" i="29"/>
  <c r="W32" i="26"/>
  <c r="W17" i="30"/>
  <c r="W18" i="27"/>
  <c r="W32" i="25"/>
  <c r="V20" i="29"/>
  <c r="W21" i="27"/>
  <c r="W9" i="27"/>
  <c r="W20" i="27"/>
  <c r="W8" i="27"/>
  <c r="W26" i="26"/>
  <c r="W35" i="25"/>
  <c r="W25" i="26"/>
  <c r="W28" i="26"/>
  <c r="X9" i="27"/>
  <c r="W20" i="29"/>
  <c r="X34" i="26"/>
  <c r="X25" i="26"/>
  <c r="X26" i="26"/>
  <c r="X13" i="27"/>
  <c r="X27" i="25"/>
  <c r="X28" i="26"/>
  <c r="X16" i="27"/>
  <c r="X30" i="25"/>
  <c r="X10" i="27"/>
  <c r="X25" i="25"/>
  <c r="X30" i="26"/>
  <c r="X17" i="30"/>
  <c r="X17" i="27"/>
  <c r="U14" i="5"/>
  <c r="X31" i="25"/>
  <c r="X8" i="27"/>
  <c r="X18" i="27"/>
  <c r="X32" i="25"/>
  <c r="W43" i="29"/>
  <c r="X12" i="27"/>
  <c r="X26" i="25"/>
  <c r="X22" i="27"/>
  <c r="W26" i="29"/>
  <c r="X21" i="27"/>
  <c r="X7" i="27"/>
  <c r="X92" i="17"/>
  <c r="U14" i="9"/>
  <c r="X31" i="26"/>
  <c r="X27" i="26"/>
  <c r="U14" i="27"/>
  <c r="U28" i="25"/>
  <c r="U35" i="26"/>
  <c r="U7" i="27"/>
  <c r="U92" i="17"/>
  <c r="U26" i="26"/>
  <c r="U6" i="27"/>
  <c r="T20" i="29"/>
  <c r="U12" i="27"/>
  <c r="U26" i="25"/>
  <c r="U8" i="27"/>
  <c r="U85" i="24"/>
  <c r="U93" i="24"/>
  <c r="T43" i="29"/>
  <c r="U17" i="27"/>
  <c r="R14" i="5"/>
  <c r="U31" i="25"/>
  <c r="U20" i="27"/>
  <c r="U21" i="27"/>
  <c r="T11" i="29"/>
  <c r="U17" i="30"/>
  <c r="T26" i="29"/>
  <c r="U16" i="27"/>
  <c r="U30" i="25"/>
  <c r="U10" i="27"/>
  <c r="U25" i="25"/>
  <c r="U9" i="27"/>
  <c r="U32" i="26"/>
  <c r="U22" i="27"/>
  <c r="M12" i="27"/>
  <c r="M26" i="25"/>
  <c r="M14" i="27"/>
  <c r="M28" i="25"/>
  <c r="M17" i="27"/>
  <c r="J14" i="5"/>
  <c r="M31" i="25"/>
  <c r="L20" i="29"/>
  <c r="M8" i="27"/>
  <c r="M9" i="27"/>
  <c r="M6" i="27"/>
  <c r="L11" i="29"/>
  <c r="M25" i="26"/>
  <c r="M21" i="27"/>
  <c r="M34" i="26"/>
  <c r="M13" i="27"/>
  <c r="M27" i="25"/>
  <c r="L43" i="29"/>
  <c r="M27" i="26"/>
  <c r="M7" i="27"/>
  <c r="M92" i="17"/>
  <c r="M20" i="27"/>
  <c r="M16" i="27"/>
  <c r="M30" i="25"/>
  <c r="M22" i="27"/>
  <c r="M10" i="27"/>
  <c r="M25" i="25"/>
  <c r="M35" i="26"/>
  <c r="M17" i="30"/>
  <c r="L26" i="29"/>
  <c r="S38" i="25"/>
  <c r="Q52" i="11"/>
  <c r="Q31" i="4"/>
  <c r="S37" i="25"/>
  <c r="S59" i="21"/>
  <c r="Q54" i="11"/>
  <c r="S37" i="26"/>
  <c r="Q55" i="11"/>
  <c r="Q24" i="4"/>
  <c r="S23" i="26"/>
  <c r="S45" i="13"/>
  <c r="Q34" i="11"/>
  <c r="Q44" i="10"/>
  <c r="S8" i="3"/>
  <c r="Q52" i="4"/>
  <c r="S7" i="13"/>
  <c r="S22" i="13"/>
  <c r="Q17" i="11"/>
  <c r="S7" i="3"/>
  <c r="S39" i="25"/>
  <c r="R32" i="29"/>
  <c r="P34" i="5"/>
  <c r="S33" i="13"/>
  <c r="Q23" i="11"/>
  <c r="Q33" i="10"/>
  <c r="Q45" i="4"/>
  <c r="R31" i="29"/>
  <c r="Q6" i="11"/>
  <c r="S6" i="3"/>
  <c r="P6" i="16"/>
  <c r="Q10" i="4"/>
  <c r="S39" i="26"/>
  <c r="S48" i="13"/>
  <c r="Q8" i="11"/>
  <c r="Q20" i="11"/>
  <c r="S23" i="25"/>
  <c r="S63" i="21"/>
  <c r="Q29" i="11"/>
  <c r="Q39" i="10"/>
  <c r="Q11" i="11"/>
  <c r="Q31" i="11"/>
  <c r="Q41" i="10"/>
  <c r="S38" i="26"/>
  <c r="Q24" i="11"/>
  <c r="Q34" i="10"/>
  <c r="V37" i="26"/>
  <c r="U32" i="29"/>
  <c r="S34" i="5"/>
  <c r="V38" i="26"/>
  <c r="T22" i="11"/>
  <c r="T54" i="11"/>
  <c r="T20" i="11"/>
  <c r="V23" i="25"/>
  <c r="T52" i="11"/>
  <c r="T31" i="4"/>
  <c r="V37" i="25"/>
  <c r="V59" i="21"/>
  <c r="V7" i="13"/>
  <c r="V22" i="13"/>
  <c r="T17" i="11"/>
  <c r="V7" i="3"/>
  <c r="V39" i="25"/>
  <c r="T12" i="11"/>
  <c r="T6" i="11"/>
  <c r="V6" i="3"/>
  <c r="S6" i="16"/>
  <c r="T10" i="4"/>
  <c r="T31" i="11"/>
  <c r="T41" i="10"/>
  <c r="V39" i="26"/>
  <c r="V63" i="21"/>
  <c r="T15" i="11"/>
  <c r="V38" i="25"/>
  <c r="V48" i="13"/>
  <c r="U31" i="29"/>
  <c r="V23" i="26"/>
  <c r="V33" i="13"/>
  <c r="T23" i="11"/>
  <c r="T33" i="10"/>
  <c r="T45" i="4"/>
  <c r="T24" i="11"/>
  <c r="T34" i="10"/>
  <c r="V45" i="13"/>
  <c r="T34" i="11"/>
  <c r="T44" i="10"/>
  <c r="V8" i="3"/>
  <c r="T52" i="4"/>
  <c r="T19" i="11"/>
  <c r="H34" i="26"/>
  <c r="G20" i="29"/>
  <c r="G43" i="29"/>
  <c r="H12" i="27"/>
  <c r="H26" i="25"/>
  <c r="H30" i="26"/>
  <c r="H16" i="27"/>
  <c r="H30" i="25"/>
  <c r="H17" i="30"/>
  <c r="H28" i="26"/>
  <c r="H18" i="27"/>
  <c r="H32" i="25"/>
  <c r="H13" i="27"/>
  <c r="H27" i="25"/>
  <c r="H20" i="27"/>
  <c r="H27" i="26"/>
  <c r="H22" i="27"/>
  <c r="G11" i="29"/>
  <c r="H21" i="27"/>
  <c r="H6" i="27"/>
  <c r="H9" i="27"/>
  <c r="H17" i="27"/>
  <c r="E14" i="5"/>
  <c r="H31" i="25"/>
  <c r="E14" i="9"/>
  <c r="H31" i="26"/>
  <c r="H10" i="27"/>
  <c r="H25" i="25"/>
  <c r="G26" i="29"/>
  <c r="H7" i="27"/>
  <c r="H92" i="17"/>
  <c r="F17" i="30"/>
  <c r="F17" i="27"/>
  <c r="C14" i="5"/>
  <c r="F31" i="25"/>
  <c r="F25" i="26"/>
  <c r="F21" i="27"/>
  <c r="F9" i="27"/>
  <c r="E20" i="29"/>
  <c r="F16" i="27"/>
  <c r="F30" i="25"/>
  <c r="F22" i="27"/>
  <c r="F7" i="27"/>
  <c r="F92" i="17"/>
  <c r="F13" i="27"/>
  <c r="F27" i="25"/>
  <c r="F18" i="27"/>
  <c r="F32" i="25"/>
  <c r="C14" i="9"/>
  <c r="F31" i="26"/>
  <c r="E43" i="29"/>
  <c r="F12" i="27"/>
  <c r="F26" i="25"/>
  <c r="F26" i="26"/>
  <c r="F28" i="26"/>
  <c r="F35" i="26"/>
  <c r="F10" i="27"/>
  <c r="F25" i="25"/>
  <c r="E26" i="29"/>
  <c r="F27" i="26"/>
  <c r="E11" i="29"/>
  <c r="F8" i="27"/>
  <c r="C23" i="25"/>
  <c r="C23" i="26"/>
  <c r="C39" i="26"/>
  <c r="C38" i="25"/>
  <c r="C45" i="13"/>
  <c r="C8" i="3"/>
  <c r="C37" i="25"/>
  <c r="C59" i="21"/>
  <c r="C37" i="26"/>
  <c r="C63" i="21"/>
  <c r="C6" i="3"/>
  <c r="C48" i="13"/>
  <c r="C33" i="13"/>
  <c r="C38" i="26"/>
  <c r="C7" i="13"/>
  <c r="C22" i="13"/>
  <c r="C7" i="3"/>
  <c r="C39" i="25"/>
  <c r="Z20" i="29"/>
  <c r="AA30" i="26"/>
  <c r="AA14" i="27"/>
  <c r="AA28" i="25"/>
  <c r="AA35" i="26"/>
  <c r="Z11" i="29"/>
  <c r="AA13" i="27"/>
  <c r="AA27" i="25"/>
  <c r="AA27" i="26"/>
  <c r="AA79" i="24"/>
  <c r="AA20" i="27"/>
  <c r="AA22" i="27"/>
  <c r="Z26" i="29"/>
  <c r="AA18" i="27"/>
  <c r="AA32" i="25"/>
  <c r="AA26" i="26"/>
  <c r="X14" i="9"/>
  <c r="AA31" i="26"/>
  <c r="Z43" i="29"/>
  <c r="AA17" i="27"/>
  <c r="X14" i="5"/>
  <c r="AA31" i="25"/>
  <c r="AA34" i="26"/>
  <c r="AA10" i="27"/>
  <c r="AA25" i="25"/>
  <c r="AA17" i="30"/>
  <c r="AA32" i="26"/>
  <c r="AA16" i="27"/>
  <c r="AA30" i="25"/>
  <c r="AA12" i="27"/>
  <c r="AA26" i="25"/>
  <c r="G32" i="26"/>
  <c r="F43" i="29"/>
  <c r="G27" i="26"/>
  <c r="G25" i="26"/>
  <c r="G34" i="25"/>
  <c r="G90" i="17"/>
  <c r="G28" i="26"/>
  <c r="F20" i="29"/>
  <c r="G10" i="27"/>
  <c r="G25" i="25"/>
  <c r="G34" i="26"/>
  <c r="G21" i="27"/>
  <c r="G20" i="27"/>
  <c r="F11" i="29"/>
  <c r="G17" i="27"/>
  <c r="D14" i="5"/>
  <c r="G31" i="25"/>
  <c r="G22" i="27"/>
  <c r="F26" i="29"/>
  <c r="G26" i="26"/>
  <c r="G35" i="25"/>
  <c r="G13" i="27"/>
  <c r="G27" i="25"/>
  <c r="G9" i="27"/>
  <c r="D14" i="9"/>
  <c r="G31" i="26"/>
  <c r="G18" i="27"/>
  <c r="G32" i="25"/>
  <c r="G17" i="30"/>
  <c r="N16" i="28"/>
  <c r="N13" i="17"/>
  <c r="M25" i="29"/>
  <c r="M19" i="29"/>
  <c r="M10" i="29"/>
  <c r="M12" i="8"/>
  <c r="K6" i="9"/>
  <c r="K6" i="5"/>
  <c r="L6" i="2"/>
  <c r="N20" i="28"/>
  <c r="N17" i="17"/>
  <c r="N24" i="27"/>
  <c r="M24" i="29"/>
  <c r="N18" i="28"/>
  <c r="N15" i="17"/>
  <c r="N9" i="26"/>
  <c r="M7" i="29"/>
  <c r="M29" i="29"/>
  <c r="M41" i="29"/>
  <c r="M18" i="29"/>
  <c r="M39" i="29"/>
  <c r="M16" i="29"/>
  <c r="N19" i="28"/>
  <c r="N16" i="17"/>
  <c r="M40" i="29"/>
  <c r="M17" i="29"/>
  <c r="N10" i="26"/>
  <c r="M8" i="29"/>
  <c r="M30" i="29"/>
  <c r="M42" i="29"/>
  <c r="M33" i="29"/>
  <c r="K51" i="6"/>
  <c r="K11" i="5"/>
  <c r="L10" i="2"/>
  <c r="M38" i="29"/>
  <c r="M15" i="29"/>
  <c r="M37" i="29"/>
  <c r="M23" i="29"/>
  <c r="M14" i="29"/>
  <c r="N25" i="27"/>
  <c r="M36" i="29"/>
  <c r="M22" i="29"/>
  <c r="M13" i="29"/>
  <c r="M9" i="29"/>
  <c r="N26" i="27"/>
  <c r="N17" i="28"/>
  <c r="N14" i="17"/>
  <c r="P16" i="27"/>
  <c r="P30" i="25"/>
  <c r="P22" i="27"/>
  <c r="P18" i="27"/>
  <c r="P32" i="25"/>
  <c r="O11" i="29"/>
  <c r="P21" i="27"/>
  <c r="P12" i="27"/>
  <c r="P26" i="25"/>
  <c r="P34" i="25"/>
  <c r="P90" i="17"/>
  <c r="P26" i="26"/>
  <c r="P17" i="27"/>
  <c r="M14" i="5"/>
  <c r="P31" i="25"/>
  <c r="P28" i="26"/>
  <c r="O20" i="29"/>
  <c r="P17" i="30"/>
  <c r="M14" i="9"/>
  <c r="P31" i="26"/>
  <c r="P27" i="26"/>
  <c r="O43" i="29"/>
  <c r="P8" i="27"/>
  <c r="P30" i="26"/>
  <c r="P32" i="26"/>
  <c r="P35" i="26"/>
  <c r="P13" i="27"/>
  <c r="P27" i="25"/>
  <c r="P10" i="27"/>
  <c r="P25" i="25"/>
  <c r="O26" i="29"/>
  <c r="E21" i="27"/>
  <c r="D26" i="29"/>
  <c r="E10" i="27"/>
  <c r="E25" i="25"/>
  <c r="D43" i="29"/>
  <c r="E17" i="30"/>
  <c r="E35" i="26"/>
  <c r="E26" i="26"/>
  <c r="E14" i="27"/>
  <c r="E28" i="25"/>
  <c r="E17" i="27"/>
  <c r="E31" i="25"/>
  <c r="D11" i="29"/>
  <c r="E16" i="27"/>
  <c r="E30" i="25"/>
  <c r="E9" i="27"/>
  <c r="E6" i="27"/>
  <c r="E12" i="27"/>
  <c r="E26" i="25"/>
  <c r="D20" i="29"/>
  <c r="E27" i="26"/>
  <c r="E8" i="27"/>
  <c r="E25" i="26"/>
  <c r="E22" i="27"/>
  <c r="E7" i="27"/>
  <c r="E92" i="17"/>
  <c r="E28" i="26"/>
  <c r="E20" i="27"/>
  <c r="V14" i="27"/>
  <c r="V28" i="25"/>
  <c r="V8" i="27"/>
  <c r="V18" i="27"/>
  <c r="V32" i="25"/>
  <c r="V16" i="27"/>
  <c r="V30" i="25"/>
  <c r="V17" i="30"/>
  <c r="V20" i="27"/>
  <c r="V10" i="27"/>
  <c r="V25" i="25"/>
  <c r="V21" i="27"/>
  <c r="V17" i="27"/>
  <c r="S14" i="5"/>
  <c r="V31" i="25"/>
  <c r="V12" i="27"/>
  <c r="V26" i="25"/>
  <c r="U43" i="29"/>
  <c r="U11" i="29"/>
  <c r="V7" i="27"/>
  <c r="V92" i="17"/>
  <c r="U26" i="29"/>
  <c r="U20" i="29"/>
  <c r="V6" i="27"/>
  <c r="V75" i="24"/>
  <c r="V9" i="27"/>
  <c r="V93" i="24"/>
  <c r="V26" i="26"/>
  <c r="V25" i="26"/>
  <c r="V28" i="26"/>
  <c r="K14" i="27"/>
  <c r="K28" i="25"/>
  <c r="K32" i="26"/>
  <c r="K6" i="27"/>
  <c r="K13" i="27"/>
  <c r="K27" i="25"/>
  <c r="C8" i="25"/>
  <c r="K22" i="27"/>
  <c r="J11" i="29"/>
  <c r="J20" i="29"/>
  <c r="C28" i="27"/>
  <c r="C48" i="22"/>
  <c r="K17" i="30"/>
  <c r="C10" i="26"/>
  <c r="J26" i="29"/>
  <c r="K28" i="26"/>
  <c r="C9" i="25"/>
  <c r="C41" i="17"/>
  <c r="C24" i="27"/>
  <c r="J43" i="29"/>
  <c r="K8" i="27"/>
  <c r="C26" i="27"/>
  <c r="K16" i="27"/>
  <c r="K30" i="25"/>
  <c r="C25" i="22"/>
  <c r="C9" i="26"/>
  <c r="H14" i="9"/>
  <c r="K31" i="26"/>
  <c r="C33" i="22"/>
  <c r="K27" i="26"/>
  <c r="K20" i="27"/>
  <c r="C8" i="26"/>
  <c r="C20" i="28"/>
  <c r="C17" i="17"/>
  <c r="C18" i="28"/>
  <c r="C15" i="17"/>
  <c r="K35" i="26"/>
  <c r="C43" i="22"/>
  <c r="C9" i="22"/>
  <c r="K34" i="26"/>
  <c r="C25" i="27"/>
  <c r="K25" i="26"/>
  <c r="K7" i="27"/>
  <c r="K92" i="17"/>
  <c r="C17" i="28"/>
  <c r="C14" i="17"/>
  <c r="K18" i="27"/>
  <c r="K32" i="25"/>
  <c r="C10" i="25"/>
  <c r="C52" i="17"/>
  <c r="C41" i="22"/>
  <c r="K17" i="27"/>
  <c r="H14" i="5"/>
  <c r="K31" i="25"/>
  <c r="C16" i="28"/>
  <c r="C13" i="17"/>
  <c r="C23" i="22"/>
  <c r="C19" i="28"/>
  <c r="C16" i="17"/>
  <c r="G41" i="29"/>
  <c r="G18" i="29"/>
  <c r="G39" i="29"/>
  <c r="G16" i="29"/>
  <c r="H9" i="26"/>
  <c r="H26" i="27"/>
  <c r="G42" i="29"/>
  <c r="G33" i="29"/>
  <c r="E51" i="6"/>
  <c r="E11" i="5"/>
  <c r="F10" i="2"/>
  <c r="G7" i="29"/>
  <c r="G29" i="29"/>
  <c r="H10" i="26"/>
  <c r="G24" i="29"/>
  <c r="H24" i="27"/>
  <c r="G37" i="29"/>
  <c r="G23" i="29"/>
  <c r="G14" i="29"/>
  <c r="G8" i="29"/>
  <c r="G30" i="29"/>
  <c r="G38" i="29"/>
  <c r="G15" i="29"/>
  <c r="G9" i="29"/>
  <c r="H19" i="28"/>
  <c r="H16" i="17"/>
  <c r="G40" i="29"/>
  <c r="G17" i="29"/>
  <c r="H20" i="28"/>
  <c r="H17" i="17"/>
  <c r="H28" i="27"/>
  <c r="H17" i="28"/>
  <c r="H14" i="17"/>
  <c r="G25" i="29"/>
  <c r="G19" i="29"/>
  <c r="G10" i="29"/>
  <c r="G12" i="8"/>
  <c r="E6" i="9"/>
  <c r="E6" i="5"/>
  <c r="F6" i="2"/>
  <c r="H18" i="28"/>
  <c r="H15" i="17"/>
  <c r="G36" i="29"/>
  <c r="G22" i="29"/>
  <c r="G13" i="29"/>
  <c r="H16" i="28"/>
  <c r="H13" i="17"/>
  <c r="U10" i="26"/>
  <c r="T41" i="29"/>
  <c r="T18" i="29"/>
  <c r="T39" i="29"/>
  <c r="T16" i="29"/>
  <c r="T40" i="29"/>
  <c r="T17" i="29"/>
  <c r="T25" i="29"/>
  <c r="T19" i="29"/>
  <c r="T10" i="29"/>
  <c r="T12" i="8"/>
  <c r="R6" i="9"/>
  <c r="R6" i="5"/>
  <c r="S6" i="2"/>
  <c r="U28" i="27"/>
  <c r="T7" i="29"/>
  <c r="T29" i="29"/>
  <c r="T42" i="29"/>
  <c r="T33" i="29"/>
  <c r="R51" i="6"/>
  <c r="R11" i="5"/>
  <c r="S10" i="2"/>
  <c r="R10" i="5"/>
  <c r="U8" i="25"/>
  <c r="S9" i="2"/>
  <c r="T38" i="29"/>
  <c r="T15" i="29"/>
  <c r="U17" i="28"/>
  <c r="U14" i="17"/>
  <c r="T9" i="29"/>
  <c r="U16" i="28"/>
  <c r="U13" i="17"/>
  <c r="U19" i="28"/>
  <c r="U16" i="17"/>
  <c r="U18" i="28"/>
  <c r="U15" i="17"/>
  <c r="T24" i="29"/>
  <c r="T36" i="29"/>
  <c r="T22" i="29"/>
  <c r="T13" i="29"/>
  <c r="U24" i="27"/>
  <c r="T8" i="29"/>
  <c r="T30" i="29"/>
  <c r="U25" i="27"/>
  <c r="T37" i="29"/>
  <c r="T23" i="29"/>
  <c r="T14" i="29"/>
  <c r="U9" i="25"/>
  <c r="U41" i="17"/>
  <c r="Z7" i="29"/>
  <c r="Z29" i="29"/>
  <c r="Z42" i="29"/>
  <c r="Z33" i="29"/>
  <c r="X51" i="6"/>
  <c r="X11" i="5"/>
  <c r="Y10" i="2"/>
  <c r="AA24" i="27"/>
  <c r="Z37" i="29"/>
  <c r="Z23" i="29"/>
  <c r="Z14" i="29"/>
  <c r="AA18" i="28"/>
  <c r="AA15" i="17"/>
  <c r="AA20" i="28"/>
  <c r="AA17" i="17"/>
  <c r="Z25" i="29"/>
  <c r="Z19" i="29"/>
  <c r="Z10" i="29"/>
  <c r="Z12" i="8"/>
  <c r="X6" i="9"/>
  <c r="X6" i="5"/>
  <c r="Y6" i="2"/>
  <c r="AA17" i="28"/>
  <c r="AA14" i="17"/>
  <c r="AA10" i="26"/>
  <c r="Z40" i="29"/>
  <c r="Z17" i="29"/>
  <c r="Z39" i="29"/>
  <c r="Z16" i="29"/>
  <c r="Z8" i="29"/>
  <c r="Z30" i="29"/>
  <c r="AA44" i="22"/>
  <c r="AA28" i="27"/>
  <c r="AA19" i="28"/>
  <c r="AA16" i="17"/>
  <c r="AA16" i="28"/>
  <c r="AA13" i="17"/>
  <c r="Z36" i="29"/>
  <c r="Z22" i="29"/>
  <c r="Z13" i="29"/>
  <c r="Z41" i="29"/>
  <c r="Z18" i="29"/>
  <c r="Z38" i="29"/>
  <c r="Z15" i="29"/>
  <c r="Z9" i="29"/>
  <c r="AA25" i="27"/>
  <c r="Z24" i="29"/>
  <c r="S25" i="26"/>
  <c r="R26" i="29"/>
  <c r="S12" i="27"/>
  <c r="S26" i="25"/>
  <c r="R20" i="29"/>
  <c r="S32" i="26"/>
  <c r="S34" i="26"/>
  <c r="S21" i="27"/>
  <c r="R11" i="29"/>
  <c r="S6" i="27"/>
  <c r="S17" i="27"/>
  <c r="P14" i="5"/>
  <c r="S31" i="25"/>
  <c r="S14" i="27"/>
  <c r="S28" i="25"/>
  <c r="S13" i="27"/>
  <c r="S27" i="25"/>
  <c r="S18" i="27"/>
  <c r="S32" i="25"/>
  <c r="S7" i="27"/>
  <c r="S92" i="17"/>
  <c r="S35" i="26"/>
  <c r="R43" i="29"/>
  <c r="S9" i="27"/>
  <c r="S17" i="30"/>
  <c r="S20" i="27"/>
  <c r="P14" i="9"/>
  <c r="S31" i="26"/>
  <c r="S22" i="27"/>
  <c r="S27" i="26"/>
  <c r="W24" i="29"/>
  <c r="U10" i="9"/>
  <c r="X8" i="26"/>
  <c r="X26" i="27"/>
  <c r="W8" i="29"/>
  <c r="W30" i="29"/>
  <c r="W38" i="29"/>
  <c r="W15" i="29"/>
  <c r="X9" i="26"/>
  <c r="W41" i="29"/>
  <c r="W18" i="29"/>
  <c r="W42" i="29"/>
  <c r="W33" i="29"/>
  <c r="U51" i="6"/>
  <c r="U11" i="5"/>
  <c r="V10" i="2"/>
  <c r="X19" i="28"/>
  <c r="X16" i="17"/>
  <c r="W40" i="29"/>
  <c r="W17" i="29"/>
  <c r="X16" i="28"/>
  <c r="X13" i="17"/>
  <c r="X28" i="27"/>
  <c r="W25" i="29"/>
  <c r="W19" i="29"/>
  <c r="W10" i="29"/>
  <c r="W12" i="8"/>
  <c r="U6" i="9"/>
  <c r="U6" i="5"/>
  <c r="V6" i="2"/>
  <c r="X17" i="28"/>
  <c r="X14" i="17"/>
  <c r="X25" i="27"/>
  <c r="X10" i="26"/>
  <c r="W37" i="29"/>
  <c r="W23" i="29"/>
  <c r="W14" i="29"/>
  <c r="X20" i="28"/>
  <c r="X17" i="17"/>
  <c r="X24" i="27"/>
  <c r="W36" i="29"/>
  <c r="W22" i="29"/>
  <c r="W13" i="29"/>
  <c r="W39" i="29"/>
  <c r="W16" i="29"/>
  <c r="W7" i="29"/>
  <c r="W29" i="29"/>
  <c r="H10" i="5"/>
  <c r="K8" i="25"/>
  <c r="I9" i="2"/>
  <c r="J8" i="29"/>
  <c r="J30" i="29"/>
  <c r="K19" i="28"/>
  <c r="K16" i="17"/>
  <c r="K24" i="27"/>
  <c r="J24" i="29"/>
  <c r="J38" i="29"/>
  <c r="J15" i="29"/>
  <c r="J7" i="29"/>
  <c r="J29" i="29"/>
  <c r="J37" i="29"/>
  <c r="J23" i="29"/>
  <c r="J14" i="29"/>
  <c r="K26" i="27"/>
  <c r="K17" i="28"/>
  <c r="K14" i="17"/>
  <c r="J40" i="29"/>
  <c r="J17" i="29"/>
  <c r="J42" i="29"/>
  <c r="J33" i="29"/>
  <c r="H51" i="6"/>
  <c r="H11" i="5"/>
  <c r="I10" i="2"/>
  <c r="J9" i="29"/>
  <c r="K25" i="27"/>
  <c r="K20" i="28"/>
  <c r="K17" i="17"/>
  <c r="J36" i="29"/>
  <c r="J22" i="29"/>
  <c r="J13" i="29"/>
  <c r="J39" i="29"/>
  <c r="J16" i="29"/>
  <c r="K28" i="27"/>
  <c r="K18" i="28"/>
  <c r="K15" i="17"/>
  <c r="J41" i="29"/>
  <c r="J18" i="29"/>
  <c r="K16" i="28"/>
  <c r="K13" i="17"/>
  <c r="J25" i="29"/>
  <c r="J19" i="29"/>
  <c r="J10" i="29"/>
  <c r="J12" i="8"/>
  <c r="H6" i="9"/>
  <c r="H6" i="5"/>
  <c r="I6" i="2"/>
  <c r="N29" i="11"/>
  <c r="N39" i="10"/>
  <c r="N16" i="11"/>
  <c r="N9" i="11"/>
  <c r="N6" i="11"/>
  <c r="P6" i="3"/>
  <c r="M6" i="16"/>
  <c r="N10" i="4"/>
  <c r="N13" i="11"/>
  <c r="P37" i="26"/>
  <c r="P38" i="25"/>
  <c r="P63" i="21"/>
  <c r="O31" i="29"/>
  <c r="O32" i="29"/>
  <c r="M34" i="5"/>
  <c r="P23" i="26"/>
  <c r="N52" i="11"/>
  <c r="N31" i="4"/>
  <c r="P37" i="25"/>
  <c r="P59" i="21"/>
  <c r="P7" i="13"/>
  <c r="P22" i="13"/>
  <c r="N17" i="11"/>
  <c r="P7" i="3"/>
  <c r="P39" i="25"/>
  <c r="P33" i="13"/>
  <c r="N23" i="11"/>
  <c r="N33" i="10"/>
  <c r="N45" i="4"/>
  <c r="P39" i="26"/>
  <c r="N31" i="11"/>
  <c r="N41" i="10"/>
  <c r="P38" i="26"/>
  <c r="P48" i="13"/>
  <c r="N55" i="11"/>
  <c r="N24" i="4"/>
  <c r="P45" i="13"/>
  <c r="N34" i="11"/>
  <c r="N44" i="10"/>
  <c r="P8" i="3"/>
  <c r="N52" i="4"/>
  <c r="N22" i="11"/>
  <c r="N20" i="11"/>
  <c r="P23" i="25"/>
  <c r="E19" i="28"/>
  <c r="E16" i="17"/>
  <c r="D9" i="29"/>
  <c r="E20" i="28"/>
  <c r="E17" i="17"/>
  <c r="E28" i="27"/>
  <c r="D25" i="29"/>
  <c r="D19" i="29"/>
  <c r="D10" i="29"/>
  <c r="D12" i="8"/>
  <c r="C6" i="2"/>
  <c r="E16" i="28"/>
  <c r="E13" i="17"/>
  <c r="E10" i="26"/>
  <c r="E26" i="27"/>
  <c r="E8" i="25"/>
  <c r="C9" i="2"/>
  <c r="D38" i="29"/>
  <c r="D15" i="29"/>
  <c r="E18" i="28"/>
  <c r="E15" i="17"/>
  <c r="D39" i="29"/>
  <c r="D16" i="29"/>
  <c r="D37" i="29"/>
  <c r="D23" i="29"/>
  <c r="D14" i="29"/>
  <c r="E17" i="28"/>
  <c r="E14" i="17"/>
  <c r="D36" i="29"/>
  <c r="D22" i="29"/>
  <c r="D13" i="29"/>
  <c r="D41" i="29"/>
  <c r="D18" i="29"/>
  <c r="D7" i="29"/>
  <c r="D29" i="29"/>
  <c r="E25" i="27"/>
  <c r="D40" i="29"/>
  <c r="D17" i="29"/>
  <c r="D42" i="29"/>
  <c r="D33" i="29"/>
  <c r="C10" i="2"/>
  <c r="D8" i="29"/>
  <c r="D30" i="29"/>
  <c r="E24" i="27"/>
  <c r="S16" i="28"/>
  <c r="S13" i="17"/>
  <c r="S28" i="27"/>
  <c r="R7" i="29"/>
  <c r="R29" i="29"/>
  <c r="R8" i="29"/>
  <c r="R30" i="29"/>
  <c r="R25" i="29"/>
  <c r="R19" i="29"/>
  <c r="R10" i="29"/>
  <c r="R12" i="8"/>
  <c r="P6" i="9"/>
  <c r="P6" i="5"/>
  <c r="Q6" i="2"/>
  <c r="S18" i="28"/>
  <c r="S15" i="17"/>
  <c r="R38" i="29"/>
  <c r="R15" i="29"/>
  <c r="R40" i="29"/>
  <c r="R17" i="29"/>
  <c r="P10" i="9"/>
  <c r="S8" i="26"/>
  <c r="R37" i="29"/>
  <c r="R23" i="29"/>
  <c r="R14" i="29"/>
  <c r="S20" i="28"/>
  <c r="S17" i="17"/>
  <c r="R36" i="29"/>
  <c r="R22" i="29"/>
  <c r="R13" i="29"/>
  <c r="S25" i="27"/>
  <c r="S9" i="26"/>
  <c r="R24" i="29"/>
  <c r="S24" i="27"/>
  <c r="R39" i="29"/>
  <c r="R16" i="29"/>
  <c r="S17" i="28"/>
  <c r="S14" i="17"/>
  <c r="R41" i="29"/>
  <c r="R18" i="29"/>
  <c r="R42" i="29"/>
  <c r="R33" i="29"/>
  <c r="P51" i="6"/>
  <c r="P11" i="5"/>
  <c r="Q10" i="2"/>
  <c r="S19" i="28"/>
  <c r="S16" i="17"/>
  <c r="R9" i="29"/>
  <c r="E40" i="29"/>
  <c r="E17" i="29"/>
  <c r="E9" i="29"/>
  <c r="E8" i="29"/>
  <c r="E30" i="29"/>
  <c r="F24" i="27"/>
  <c r="F10" i="26"/>
  <c r="E24" i="29"/>
  <c r="F19" i="28"/>
  <c r="F16" i="17"/>
  <c r="F20" i="28"/>
  <c r="F17" i="17"/>
  <c r="F26" i="27"/>
  <c r="E42" i="29"/>
  <c r="E33" i="29"/>
  <c r="C51" i="6"/>
  <c r="C11" i="5"/>
  <c r="D10" i="2"/>
  <c r="F10" i="25"/>
  <c r="F52" i="17"/>
  <c r="E36" i="29"/>
  <c r="E22" i="29"/>
  <c r="E13" i="29"/>
  <c r="E25" i="29"/>
  <c r="E19" i="29"/>
  <c r="E10" i="29"/>
  <c r="E12" i="8"/>
  <c r="C6" i="9"/>
  <c r="C6" i="5"/>
  <c r="D6" i="2"/>
  <c r="E39" i="29"/>
  <c r="E16" i="29"/>
  <c r="E7" i="29"/>
  <c r="E29" i="29"/>
  <c r="F18" i="28"/>
  <c r="F15" i="17"/>
  <c r="F17" i="28"/>
  <c r="F14" i="17"/>
  <c r="E37" i="29"/>
  <c r="E23" i="29"/>
  <c r="E14" i="29"/>
  <c r="F16" i="28"/>
  <c r="F13" i="17"/>
  <c r="E38" i="29"/>
  <c r="E15" i="29"/>
  <c r="F28" i="27"/>
  <c r="E41" i="29"/>
  <c r="E18" i="29"/>
  <c r="P41" i="29"/>
  <c r="P18" i="29"/>
  <c r="P9" i="29"/>
  <c r="P7" i="29"/>
  <c r="P29" i="29"/>
  <c r="P37" i="29"/>
  <c r="P23" i="29"/>
  <c r="P14" i="29"/>
  <c r="P24" i="29"/>
  <c r="P39" i="29"/>
  <c r="P16" i="29"/>
  <c r="Q26" i="27"/>
  <c r="P8" i="29"/>
  <c r="P30" i="29"/>
  <c r="Q16" i="28"/>
  <c r="Q13" i="17"/>
  <c r="Q24" i="27"/>
  <c r="P38" i="29"/>
  <c r="P15" i="29"/>
  <c r="Q18" i="28"/>
  <c r="Q15" i="17"/>
  <c r="P36" i="29"/>
  <c r="P22" i="29"/>
  <c r="P13" i="29"/>
  <c r="P40" i="29"/>
  <c r="P17" i="29"/>
  <c r="P25" i="29"/>
  <c r="P19" i="29"/>
  <c r="P10" i="29"/>
  <c r="P12" i="8"/>
  <c r="N6" i="9"/>
  <c r="N6" i="5"/>
  <c r="O6" i="2"/>
  <c r="Q17" i="28"/>
  <c r="Q14" i="17"/>
  <c r="N10" i="9"/>
  <c r="Q8" i="26"/>
  <c r="Q9" i="26"/>
  <c r="P42" i="29"/>
  <c r="P33" i="29"/>
  <c r="N51" i="6"/>
  <c r="N11" i="5"/>
  <c r="O10" i="2"/>
  <c r="Q10" i="26"/>
  <c r="Q25" i="27"/>
  <c r="Q28" i="27"/>
  <c r="M28" i="27"/>
  <c r="L7" i="29"/>
  <c r="L29" i="29"/>
  <c r="M17" i="28"/>
  <c r="M14" i="17"/>
  <c r="L37" i="29"/>
  <c r="L23" i="29"/>
  <c r="L14" i="29"/>
  <c r="L8" i="29"/>
  <c r="L30" i="29"/>
  <c r="M20" i="28"/>
  <c r="M17" i="17"/>
  <c r="M18" i="28"/>
  <c r="M15" i="17"/>
  <c r="L25" i="29"/>
  <c r="L19" i="29"/>
  <c r="L10" i="29"/>
  <c r="L12" i="8"/>
  <c r="J6" i="9"/>
  <c r="J6" i="5"/>
  <c r="K6" i="2"/>
  <c r="L41" i="29"/>
  <c r="L18" i="29"/>
  <c r="M25" i="27"/>
  <c r="M24" i="27"/>
  <c r="M26" i="27"/>
  <c r="L40" i="29"/>
  <c r="L17" i="29"/>
  <c r="L9" i="29"/>
  <c r="M10" i="25"/>
  <c r="M52" i="17"/>
  <c r="M19" i="28"/>
  <c r="M16" i="17"/>
  <c r="L36" i="29"/>
  <c r="L22" i="29"/>
  <c r="L13" i="29"/>
  <c r="M16" i="28"/>
  <c r="M13" i="17"/>
  <c r="L42" i="29"/>
  <c r="L33" i="29"/>
  <c r="J51" i="6"/>
  <c r="J11" i="5"/>
  <c r="K10" i="2"/>
  <c r="L24" i="29"/>
  <c r="L38" i="29"/>
  <c r="L15" i="29"/>
  <c r="L39" i="29"/>
  <c r="L16" i="29"/>
  <c r="V18" i="28"/>
  <c r="V15" i="17"/>
  <c r="V25" i="27"/>
  <c r="V24" i="27"/>
  <c r="U38" i="29"/>
  <c r="U15" i="29"/>
  <c r="U24" i="29"/>
  <c r="V20" i="28"/>
  <c r="V17" i="17"/>
  <c r="U39" i="29"/>
  <c r="U16" i="29"/>
  <c r="U8" i="29"/>
  <c r="U30" i="29"/>
  <c r="V19" i="28"/>
  <c r="V16" i="17"/>
  <c r="U25" i="29"/>
  <c r="U19" i="29"/>
  <c r="U10" i="29"/>
  <c r="U12" i="8"/>
  <c r="S6" i="9"/>
  <c r="S6" i="5"/>
  <c r="T6" i="2"/>
  <c r="U7" i="29"/>
  <c r="U29" i="29"/>
  <c r="V17" i="28"/>
  <c r="V14" i="17"/>
  <c r="U42" i="29"/>
  <c r="U33" i="29"/>
  <c r="S51" i="6"/>
  <c r="S11" i="5"/>
  <c r="T10" i="2"/>
  <c r="U41" i="29"/>
  <c r="U18" i="29"/>
  <c r="V26" i="27"/>
  <c r="U9" i="29"/>
  <c r="V16" i="28"/>
  <c r="V13" i="17"/>
  <c r="U37" i="29"/>
  <c r="U23" i="29"/>
  <c r="U14" i="29"/>
  <c r="V10" i="26"/>
  <c r="V28" i="27"/>
  <c r="U40" i="29"/>
  <c r="U17" i="29"/>
  <c r="U36" i="29"/>
  <c r="U22" i="29"/>
  <c r="U13" i="29"/>
  <c r="H25" i="34"/>
  <c r="H71" i="34"/>
  <c r="H38" i="34"/>
  <c r="H17" i="34"/>
  <c r="H9" i="34"/>
  <c r="H51" i="34"/>
  <c r="H68" i="34"/>
  <c r="H18" i="34"/>
  <c r="H77" i="34"/>
  <c r="H44" i="34"/>
  <c r="H22" i="34"/>
  <c r="H29" i="34"/>
  <c r="H62" i="34"/>
  <c r="H20" i="34"/>
  <c r="H47" i="34"/>
  <c r="H39" i="34"/>
  <c r="H21" i="34"/>
  <c r="H7" i="34"/>
  <c r="H37" i="34"/>
  <c r="H19" i="34"/>
  <c r="M38" i="34"/>
  <c r="M10" i="34"/>
  <c r="M21" i="34"/>
  <c r="X25" i="23"/>
  <c r="X23" i="30"/>
  <c r="M62" i="34"/>
  <c r="M19" i="34"/>
  <c r="M67" i="34"/>
  <c r="M22" i="34"/>
  <c r="M30" i="34"/>
  <c r="X11" i="28"/>
  <c r="M71" i="34"/>
  <c r="M74" i="34"/>
  <c r="M7" i="34"/>
  <c r="M8" i="34"/>
  <c r="M47" i="34"/>
  <c r="M20" i="34"/>
  <c r="X13" i="30"/>
  <c r="M32" i="34"/>
  <c r="M17" i="34"/>
  <c r="M25" i="34"/>
  <c r="M44" i="34"/>
  <c r="P32" i="34"/>
  <c r="M18" i="34"/>
  <c r="M28" i="34"/>
  <c r="P9" i="34"/>
  <c r="X19" i="25"/>
  <c r="X9" i="28"/>
  <c r="Y9" i="26"/>
  <c r="X9" i="30"/>
  <c r="Y19" i="28"/>
  <c r="Y16" i="17"/>
  <c r="P19" i="34"/>
  <c r="P7" i="34"/>
  <c r="X7" i="28"/>
  <c r="W34" i="29"/>
  <c r="Y16" i="28"/>
  <c r="Y13" i="17"/>
  <c r="X7" i="30"/>
  <c r="U22" i="34"/>
  <c r="X25" i="29"/>
  <c r="X19" i="29"/>
  <c r="X10" i="29"/>
  <c r="X12" i="8"/>
  <c r="V6" i="9"/>
  <c r="V6" i="5"/>
  <c r="W6" i="2"/>
  <c r="X19" i="26"/>
  <c r="P69" i="34"/>
  <c r="X38" i="29"/>
  <c r="X15" i="29"/>
  <c r="X12" i="26"/>
  <c r="Y26" i="27"/>
  <c r="X15" i="30"/>
  <c r="P79" i="34"/>
  <c r="P45" i="34"/>
  <c r="X24" i="29"/>
  <c r="X24" i="23"/>
  <c r="X22" i="30"/>
  <c r="P28" i="34"/>
  <c r="X7" i="29"/>
  <c r="X29" i="29"/>
  <c r="X21" i="30"/>
  <c r="X9" i="29"/>
  <c r="P8" i="34"/>
  <c r="X20" i="25"/>
  <c r="X36" i="29"/>
  <c r="X22" i="29"/>
  <c r="X13" i="29"/>
  <c r="P10" i="34"/>
  <c r="P37" i="34"/>
  <c r="X39" i="29"/>
  <c r="X16" i="29"/>
  <c r="X11" i="30"/>
  <c r="X8" i="28"/>
  <c r="P25" i="34"/>
  <c r="X40" i="29"/>
  <c r="X17" i="29"/>
  <c r="P30" i="34"/>
  <c r="P50" i="34"/>
  <c r="U72" i="34"/>
  <c r="X16" i="26"/>
  <c r="J28" i="27"/>
  <c r="U19" i="34"/>
  <c r="P22" i="34"/>
  <c r="U50" i="34"/>
  <c r="U18" i="34"/>
  <c r="X10" i="28"/>
  <c r="X14" i="28"/>
  <c r="X13" i="28"/>
  <c r="X93" i="17"/>
  <c r="P76" i="34"/>
  <c r="Y24" i="27"/>
  <c r="P29" i="34"/>
  <c r="X42" i="29"/>
  <c r="X33" i="29"/>
  <c r="V51" i="6"/>
  <c r="V11" i="5"/>
  <c r="W10" i="2"/>
  <c r="U9" i="34"/>
  <c r="Y18" i="28"/>
  <c r="Y15" i="17"/>
  <c r="Y28" i="27"/>
  <c r="Y17" i="28"/>
  <c r="Y14" i="17"/>
  <c r="P39" i="34"/>
  <c r="X19" i="30"/>
  <c r="U17" i="34"/>
  <c r="I41" i="29"/>
  <c r="I18" i="29"/>
  <c r="X41" i="29"/>
  <c r="X18" i="29"/>
  <c r="X8" i="29"/>
  <c r="X30" i="29"/>
  <c r="P72" i="34"/>
  <c r="P17" i="34"/>
  <c r="I42" i="29"/>
  <c r="I33" i="29"/>
  <c r="G51" i="6"/>
  <c r="G11" i="5"/>
  <c r="H10" i="2"/>
  <c r="O39" i="34"/>
  <c r="U20" i="34"/>
  <c r="X37" i="29"/>
  <c r="X23" i="29"/>
  <c r="X14" i="29"/>
  <c r="W79" i="34"/>
  <c r="I38" i="29"/>
  <c r="I15" i="29"/>
  <c r="J9" i="26"/>
  <c r="W70" i="34"/>
  <c r="W9" i="34"/>
  <c r="Y20" i="28"/>
  <c r="Y17" i="17"/>
  <c r="U44" i="34"/>
  <c r="U10" i="34"/>
  <c r="O18" i="34"/>
  <c r="J25" i="27"/>
  <c r="I8" i="29"/>
  <c r="I30" i="29"/>
  <c r="O19" i="34"/>
  <c r="O10" i="34"/>
  <c r="V10" i="5"/>
  <c r="Y8" i="25"/>
  <c r="W9" i="2"/>
  <c r="W46" i="34"/>
  <c r="U64" i="34"/>
  <c r="W37" i="34"/>
  <c r="W29" i="34"/>
  <c r="U8" i="34"/>
  <c r="I40" i="29"/>
  <c r="I17" i="29"/>
  <c r="O25" i="34"/>
  <c r="U32" i="34"/>
  <c r="W62" i="34"/>
  <c r="I7" i="29"/>
  <c r="I29" i="29"/>
  <c r="W51" i="34"/>
  <c r="O28" i="34"/>
  <c r="U75" i="34"/>
  <c r="J24" i="27"/>
  <c r="U28" i="34"/>
  <c r="O17" i="34"/>
  <c r="O22" i="34"/>
  <c r="J19" i="28"/>
  <c r="J16" i="17"/>
  <c r="W10" i="34"/>
  <c r="O8" i="34"/>
  <c r="O21" i="34"/>
  <c r="W30" i="34"/>
  <c r="U37" i="34"/>
  <c r="W25" i="34"/>
  <c r="O20" i="34"/>
  <c r="J17" i="28"/>
  <c r="J14" i="17"/>
  <c r="W28" i="34"/>
  <c r="U79" i="34"/>
  <c r="O69" i="34"/>
  <c r="I37" i="29"/>
  <c r="I23" i="29"/>
  <c r="I14" i="29"/>
  <c r="O50" i="34"/>
  <c r="U57" i="34"/>
  <c r="W77" i="34"/>
  <c r="U7" i="34"/>
  <c r="W38" i="34"/>
  <c r="O47" i="34"/>
  <c r="J26" i="27"/>
  <c r="P24" i="11"/>
  <c r="P34" i="10"/>
  <c r="O78" i="34"/>
  <c r="W17" i="34"/>
  <c r="U30" i="34"/>
  <c r="I39" i="29"/>
  <c r="I16" i="29"/>
  <c r="R33" i="13"/>
  <c r="P23" i="11"/>
  <c r="P33" i="10"/>
  <c r="P45" i="4"/>
  <c r="R48" i="13"/>
  <c r="O45" i="34"/>
  <c r="W8" i="34"/>
  <c r="W7" i="34"/>
  <c r="W73" i="34"/>
  <c r="J20" i="28"/>
  <c r="J17" i="17"/>
  <c r="W20" i="34"/>
  <c r="Q37" i="29"/>
  <c r="Q23" i="29"/>
  <c r="Q14" i="29"/>
  <c r="R24" i="27"/>
  <c r="Q39" i="29"/>
  <c r="Q16" i="29"/>
  <c r="R45" i="13"/>
  <c r="P34" i="11"/>
  <c r="P44" i="10"/>
  <c r="R8" i="3"/>
  <c r="P52" i="4"/>
  <c r="I9" i="29"/>
  <c r="O72" i="34"/>
  <c r="W18" i="34"/>
  <c r="I25" i="29"/>
  <c r="I19" i="29"/>
  <c r="I10" i="29"/>
  <c r="I12" i="8"/>
  <c r="G6" i="9"/>
  <c r="G6" i="5"/>
  <c r="H6" i="2"/>
  <c r="Q25" i="29"/>
  <c r="Q19" i="29"/>
  <c r="Q10" i="29"/>
  <c r="Q12" i="8"/>
  <c r="O6" i="9"/>
  <c r="O6" i="5"/>
  <c r="P6" i="2"/>
  <c r="O30" i="34"/>
  <c r="G10" i="9"/>
  <c r="J8" i="26"/>
  <c r="Q38" i="29"/>
  <c r="Q15" i="29"/>
  <c r="R63" i="21"/>
  <c r="R7" i="13"/>
  <c r="R22" i="13"/>
  <c r="P17" i="11"/>
  <c r="R7" i="3"/>
  <c r="R39" i="25"/>
  <c r="J18" i="28"/>
  <c r="J15" i="17"/>
  <c r="F9" i="34"/>
  <c r="R18" i="28"/>
  <c r="R15" i="17"/>
  <c r="O7" i="34"/>
  <c r="F19" i="34"/>
  <c r="I36" i="29"/>
  <c r="I22" i="29"/>
  <c r="I13" i="29"/>
  <c r="Q24" i="29"/>
  <c r="O60" i="34"/>
  <c r="P11" i="11"/>
  <c r="F57" i="34"/>
  <c r="P6" i="11"/>
  <c r="R6" i="3"/>
  <c r="O6" i="16"/>
  <c r="P10" i="4"/>
  <c r="F73" i="34"/>
  <c r="F8" i="34"/>
  <c r="P18" i="11"/>
  <c r="F25" i="34"/>
  <c r="I24" i="29"/>
  <c r="P52" i="11"/>
  <c r="P31" i="4"/>
  <c r="R37" i="25"/>
  <c r="R59" i="21"/>
  <c r="R20" i="28"/>
  <c r="R17" i="17"/>
  <c r="P20" i="11"/>
  <c r="R23" i="25"/>
  <c r="P31" i="11"/>
  <c r="P41" i="10"/>
  <c r="R26" i="27"/>
  <c r="P55" i="11"/>
  <c r="P24" i="4"/>
  <c r="F37" i="34"/>
  <c r="F64" i="34"/>
  <c r="F22" i="34"/>
  <c r="O10" i="9"/>
  <c r="R8" i="26"/>
  <c r="Q9" i="29"/>
  <c r="R23" i="26"/>
  <c r="R16" i="28"/>
  <c r="R13" i="17"/>
  <c r="F17" i="34"/>
  <c r="R37" i="26"/>
  <c r="Q41" i="29"/>
  <c r="Q18" i="29"/>
  <c r="R9" i="26"/>
  <c r="R38" i="26"/>
  <c r="F18" i="34"/>
  <c r="F21" i="34"/>
  <c r="Q31" i="29"/>
  <c r="R28" i="27"/>
  <c r="F79" i="34"/>
  <c r="R39" i="26"/>
  <c r="Q8" i="29"/>
  <c r="Q30" i="29"/>
  <c r="F7" i="34"/>
  <c r="P8" i="11"/>
  <c r="Q32" i="29"/>
  <c r="O34" i="5"/>
  <c r="Q40" i="29"/>
  <c r="Q17" i="29"/>
  <c r="R38" i="25"/>
  <c r="F70" i="34"/>
  <c r="Q7" i="29"/>
  <c r="Q29" i="29"/>
  <c r="Q42" i="29"/>
  <c r="Q33" i="29"/>
  <c r="O51" i="6"/>
  <c r="O11" i="5"/>
  <c r="P10" i="2"/>
  <c r="F29" i="34"/>
  <c r="Q36" i="29"/>
  <c r="Q22" i="29"/>
  <c r="Q13" i="29"/>
  <c r="P15" i="11"/>
  <c r="F51" i="34"/>
  <c r="F46" i="34"/>
  <c r="F50" i="34"/>
  <c r="R17" i="28"/>
  <c r="R14" i="17"/>
  <c r="R25" i="27"/>
  <c r="L20" i="27"/>
  <c r="L22" i="27"/>
  <c r="F20" i="34"/>
  <c r="L35" i="26"/>
  <c r="L8" i="27"/>
  <c r="L17" i="30"/>
  <c r="L18" i="27"/>
  <c r="L32" i="25"/>
  <c r="K43" i="29"/>
  <c r="L14" i="27"/>
  <c r="L28" i="25"/>
  <c r="L34" i="25"/>
  <c r="L90" i="17"/>
  <c r="K26" i="29"/>
  <c r="L25" i="26"/>
  <c r="I14" i="9"/>
  <c r="L31" i="26"/>
  <c r="L86" i="24"/>
  <c r="L6" i="27"/>
  <c r="K11" i="29"/>
  <c r="Q6" i="28"/>
  <c r="L13" i="27"/>
  <c r="L27" i="25"/>
  <c r="Q20" i="25"/>
  <c r="L21" i="27"/>
  <c r="K20" i="29"/>
  <c r="Q16" i="26"/>
  <c r="Q20" i="26"/>
  <c r="Q18" i="26"/>
  <c r="L7" i="27"/>
  <c r="L92" i="17"/>
  <c r="Q13" i="28"/>
  <c r="Q93" i="17"/>
  <c r="L16" i="27"/>
  <c r="L30" i="25"/>
  <c r="D57" i="34"/>
  <c r="L10" i="27"/>
  <c r="L25" i="25"/>
  <c r="D75" i="34"/>
  <c r="Q9" i="28"/>
  <c r="D68" i="34"/>
  <c r="L9" i="27"/>
  <c r="D20" i="34"/>
  <c r="P34" i="29"/>
  <c r="Q10" i="28"/>
  <c r="D21" i="34"/>
  <c r="D28" i="34"/>
  <c r="R32" i="26"/>
  <c r="Q19" i="25"/>
  <c r="D10" i="34"/>
  <c r="Q19" i="30"/>
  <c r="Q15" i="30"/>
  <c r="D9" i="34"/>
  <c r="Q24" i="23"/>
  <c r="Q22" i="30"/>
  <c r="D72" i="34"/>
  <c r="Q20" i="29"/>
  <c r="R9" i="27"/>
  <c r="R14" i="27"/>
  <c r="R28" i="25"/>
  <c r="D50" i="34"/>
  <c r="Q7" i="30"/>
  <c r="D25" i="34"/>
  <c r="R13" i="27"/>
  <c r="R27" i="25"/>
  <c r="D7" i="34"/>
  <c r="X16" i="11"/>
  <c r="R22" i="27"/>
  <c r="R80" i="24"/>
  <c r="Z45" i="13"/>
  <c r="X34" i="11"/>
  <c r="X44" i="10"/>
  <c r="Z8" i="3"/>
  <c r="X52" i="4"/>
  <c r="Q11" i="30"/>
  <c r="D45" i="34"/>
  <c r="Q7" i="28"/>
  <c r="R20" i="27"/>
  <c r="Q14" i="28"/>
  <c r="Z7" i="13"/>
  <c r="Z22" i="13"/>
  <c r="X17" i="11"/>
  <c r="Z7" i="3"/>
  <c r="Z39" i="25"/>
  <c r="X54" i="11"/>
  <c r="Q25" i="23"/>
  <c r="Q23" i="30"/>
  <c r="R21" i="27"/>
  <c r="R16" i="27"/>
  <c r="R30" i="25"/>
  <c r="D29" i="34"/>
  <c r="Q43" i="29"/>
  <c r="D8" i="34"/>
  <c r="R34" i="26"/>
  <c r="Z23" i="26"/>
  <c r="X19" i="11"/>
  <c r="D18" i="34"/>
  <c r="D22" i="34"/>
  <c r="Q21" i="30"/>
  <c r="Z48" i="13"/>
  <c r="R17" i="30"/>
  <c r="X6" i="11"/>
  <c r="Z6" i="3"/>
  <c r="W6" i="16"/>
  <c r="X10" i="4"/>
  <c r="Q13" i="30"/>
  <c r="D19" i="34"/>
  <c r="Q9" i="30"/>
  <c r="O14" i="9"/>
  <c r="R31" i="26"/>
  <c r="Z63" i="21"/>
  <c r="D44" i="34"/>
  <c r="Q72" i="24"/>
  <c r="Z39" i="26"/>
  <c r="X10" i="11"/>
  <c r="D39" i="34"/>
  <c r="X9" i="11"/>
  <c r="R25" i="26"/>
  <c r="Q26" i="29"/>
  <c r="X7" i="11"/>
  <c r="Y32" i="29"/>
  <c r="W34" i="5"/>
  <c r="R18" i="27"/>
  <c r="R32" i="25"/>
  <c r="R17" i="27"/>
  <c r="O14" i="5"/>
  <c r="R31" i="25"/>
  <c r="R35" i="26"/>
  <c r="Z38" i="25"/>
  <c r="Z37" i="26"/>
  <c r="R30" i="26"/>
  <c r="Q11" i="29"/>
  <c r="X30" i="11"/>
  <c r="X40" i="10"/>
  <c r="Y31" i="29"/>
  <c r="R28" i="26"/>
  <c r="X20" i="11"/>
  <c r="Z23" i="25"/>
  <c r="X52" i="11"/>
  <c r="X31" i="4"/>
  <c r="Z37" i="25"/>
  <c r="Z59" i="21"/>
  <c r="Z38" i="26"/>
  <c r="Z33" i="13"/>
  <c r="X23" i="11"/>
  <c r="X33" i="10"/>
  <c r="X45" i="4"/>
  <c r="H9" i="11"/>
  <c r="Y9" i="29"/>
  <c r="H6" i="11"/>
  <c r="J6" i="3"/>
  <c r="G6" i="16"/>
  <c r="H10" i="4"/>
  <c r="H7" i="11"/>
  <c r="I32" i="29"/>
  <c r="G34" i="5"/>
  <c r="J48" i="13"/>
  <c r="H10" i="11"/>
  <c r="J33" i="13"/>
  <c r="H23" i="11"/>
  <c r="H33" i="10"/>
  <c r="H45" i="4"/>
  <c r="J39" i="26"/>
  <c r="H52" i="11"/>
  <c r="H31" i="4"/>
  <c r="J37" i="25"/>
  <c r="J59" i="21"/>
  <c r="J38" i="26"/>
  <c r="J23" i="26"/>
  <c r="H19" i="11"/>
  <c r="H20" i="11"/>
  <c r="J23" i="25"/>
  <c r="H16" i="11"/>
  <c r="J45" i="13"/>
  <c r="H34" i="11"/>
  <c r="H44" i="10"/>
  <c r="J8" i="3"/>
  <c r="H52" i="4"/>
  <c r="I31" i="29"/>
  <c r="H30" i="11"/>
  <c r="H40" i="10"/>
  <c r="H29" i="11"/>
  <c r="H39" i="10"/>
  <c r="J7" i="13"/>
  <c r="J22" i="13"/>
  <c r="H17" i="11"/>
  <c r="J7" i="3"/>
  <c r="J39" i="25"/>
  <c r="J63" i="21"/>
  <c r="J38" i="25"/>
  <c r="Z24" i="27"/>
  <c r="Y38" i="29"/>
  <c r="Y15" i="29"/>
  <c r="J37" i="26"/>
  <c r="Y42" i="29"/>
  <c r="Y33" i="29"/>
  <c r="W51" i="6"/>
  <c r="W11" i="5"/>
  <c r="X10" i="2"/>
  <c r="Y37" i="29"/>
  <c r="Y23" i="29"/>
  <c r="Y14" i="29"/>
  <c r="Y39" i="29"/>
  <c r="Y16" i="29"/>
  <c r="Y40" i="29"/>
  <c r="Y17" i="29"/>
  <c r="Y7" i="29"/>
  <c r="Y29" i="29"/>
  <c r="V29" i="34"/>
  <c r="Z26" i="27"/>
  <c r="Z18" i="28"/>
  <c r="Z15" i="17"/>
  <c r="Z9" i="26"/>
  <c r="Y25" i="29"/>
  <c r="Y19" i="29"/>
  <c r="Y10" i="29"/>
  <c r="Y12" i="8"/>
  <c r="W6" i="9"/>
  <c r="W6" i="5"/>
  <c r="X6" i="2"/>
  <c r="Z28" i="27"/>
  <c r="V46" i="34"/>
  <c r="Z16" i="28"/>
  <c r="Z13" i="17"/>
  <c r="Y36" i="29"/>
  <c r="Y22" i="29"/>
  <c r="Y13" i="29"/>
  <c r="V7" i="34"/>
  <c r="Z19" i="28"/>
  <c r="Z16" i="17"/>
  <c r="V73" i="34"/>
  <c r="V18" i="34"/>
  <c r="L62" i="34"/>
  <c r="Z20" i="28"/>
  <c r="Z17" i="17"/>
  <c r="L73" i="34"/>
  <c r="V28" i="34"/>
  <c r="Y8" i="29"/>
  <c r="Y30" i="29"/>
  <c r="V25" i="34"/>
  <c r="Z25" i="27"/>
  <c r="V20" i="34"/>
  <c r="L76" i="34"/>
  <c r="L67" i="34"/>
  <c r="Y24" i="29"/>
  <c r="L8" i="34"/>
  <c r="V37" i="34"/>
  <c r="W10" i="9"/>
  <c r="Z8" i="26"/>
  <c r="V51" i="34"/>
  <c r="L17" i="34"/>
  <c r="Y41" i="29"/>
  <c r="Y18" i="29"/>
  <c r="V79" i="34"/>
  <c r="V17" i="34"/>
  <c r="L38" i="34"/>
  <c r="V8" i="34"/>
  <c r="L32" i="34"/>
  <c r="L20" i="34"/>
  <c r="V21" i="34"/>
  <c r="L51" i="34"/>
  <c r="V64" i="34"/>
  <c r="L25" i="34"/>
  <c r="V22" i="34"/>
  <c r="V50" i="34"/>
  <c r="V19" i="34"/>
  <c r="L29" i="34"/>
  <c r="L10" i="34"/>
  <c r="V70" i="34"/>
  <c r="L28" i="34"/>
  <c r="L18" i="34"/>
  <c r="L80" i="34"/>
  <c r="V9" i="34"/>
  <c r="L21" i="34"/>
  <c r="L45" i="34"/>
  <c r="L19" i="34"/>
  <c r="L9" i="34"/>
  <c r="E7" i="34"/>
  <c r="E28" i="34"/>
  <c r="E79" i="34"/>
  <c r="E64" i="34"/>
  <c r="E30" i="34"/>
  <c r="E18" i="34"/>
  <c r="E8" i="34"/>
  <c r="E37" i="34"/>
  <c r="E57" i="34"/>
  <c r="E44" i="34"/>
  <c r="E22" i="34"/>
  <c r="E20" i="34"/>
  <c r="E75" i="34"/>
  <c r="T29" i="34"/>
  <c r="E10" i="34"/>
  <c r="E72" i="34"/>
  <c r="T39" i="34"/>
  <c r="T28" i="34"/>
  <c r="E9" i="34"/>
  <c r="T7" i="34"/>
  <c r="E32" i="34"/>
  <c r="E19" i="34"/>
  <c r="T19" i="34"/>
  <c r="T30" i="34"/>
  <c r="E50" i="34"/>
  <c r="T75" i="34"/>
  <c r="T18" i="34"/>
  <c r="E17" i="34"/>
  <c r="T22" i="34"/>
  <c r="T50" i="34"/>
  <c r="T68" i="34"/>
  <c r="T20" i="34"/>
  <c r="T72" i="34"/>
  <c r="T10" i="34"/>
  <c r="T8" i="34"/>
  <c r="T25" i="34"/>
  <c r="T9" i="34"/>
  <c r="T44" i="34"/>
  <c r="T21" i="34"/>
  <c r="T57" i="34"/>
  <c r="H12" i="26"/>
  <c r="H11" i="28"/>
  <c r="H25" i="23"/>
  <c r="H23" i="30"/>
  <c r="H13" i="26"/>
  <c r="H11" i="30"/>
  <c r="H9" i="30"/>
  <c r="H13" i="28"/>
  <c r="H93" i="17"/>
  <c r="H7" i="30"/>
  <c r="H20" i="25"/>
  <c r="G34" i="29"/>
  <c r="H19" i="26"/>
  <c r="H7" i="28"/>
  <c r="H15" i="30"/>
  <c r="H24" i="23"/>
  <c r="H22" i="30"/>
  <c r="H10" i="28"/>
  <c r="H13" i="30"/>
  <c r="H8" i="28"/>
  <c r="H9" i="28"/>
  <c r="H6" i="28"/>
  <c r="H19" i="30"/>
  <c r="H21" i="30"/>
  <c r="H14" i="28"/>
  <c r="AA25" i="34"/>
  <c r="AA45" i="34"/>
  <c r="AA57" i="34"/>
  <c r="AA44" i="34"/>
  <c r="AA29" i="34"/>
  <c r="AA32" i="34"/>
  <c r="AA19" i="34"/>
  <c r="AA22" i="34"/>
  <c r="AA8" i="34"/>
  <c r="AA9" i="34"/>
  <c r="AA20" i="34"/>
  <c r="AA51" i="34"/>
  <c r="AA76" i="34"/>
  <c r="AA64" i="34"/>
  <c r="AA30" i="34"/>
  <c r="AA75" i="34"/>
  <c r="AA10" i="34"/>
  <c r="AA69" i="34"/>
  <c r="AA73" i="34"/>
  <c r="AA7" i="34"/>
  <c r="K20" i="34"/>
  <c r="K29" i="34"/>
  <c r="K73" i="34"/>
  <c r="K75" i="34"/>
  <c r="K9" i="34"/>
  <c r="K57" i="34"/>
  <c r="K69" i="34"/>
  <c r="K22" i="34"/>
  <c r="K64" i="34"/>
  <c r="K76" i="34"/>
  <c r="K30" i="34"/>
  <c r="K19" i="34"/>
  <c r="X44" i="34"/>
  <c r="K8" i="34"/>
  <c r="K10" i="34"/>
  <c r="G77" i="34"/>
  <c r="X71" i="34"/>
  <c r="G37" i="34"/>
  <c r="X38" i="34"/>
  <c r="K28" i="34"/>
  <c r="G50" i="34"/>
  <c r="X21" i="34"/>
  <c r="K7" i="34"/>
  <c r="X25" i="34"/>
  <c r="K25" i="34"/>
  <c r="G29" i="34"/>
  <c r="K32" i="34"/>
  <c r="G8" i="34"/>
  <c r="K51" i="34"/>
  <c r="X29" i="34"/>
  <c r="X51" i="34"/>
  <c r="G70" i="34"/>
  <c r="G30" i="34"/>
  <c r="X7" i="34"/>
  <c r="X9" i="34"/>
  <c r="G62" i="34"/>
  <c r="X39" i="34"/>
  <c r="K45" i="34"/>
  <c r="G46" i="34"/>
  <c r="X20" i="34"/>
  <c r="G20" i="34"/>
  <c r="G7" i="34"/>
  <c r="X62" i="34"/>
  <c r="X18" i="34"/>
  <c r="G10" i="34"/>
  <c r="G18" i="34"/>
  <c r="X47" i="34"/>
  <c r="X68" i="34"/>
  <c r="G28" i="34"/>
  <c r="X17" i="34"/>
  <c r="I38" i="34"/>
  <c r="X77" i="34"/>
  <c r="G25" i="34"/>
  <c r="G9" i="34"/>
  <c r="I77" i="34"/>
  <c r="G51" i="34"/>
  <c r="X22" i="34"/>
  <c r="I9" i="34"/>
  <c r="G73" i="34"/>
  <c r="I21" i="34"/>
  <c r="X46" i="34"/>
  <c r="I18" i="34"/>
  <c r="G38" i="34"/>
  <c r="I22" i="34"/>
  <c r="X19" i="34"/>
  <c r="I46" i="34"/>
  <c r="G17" i="34"/>
  <c r="I75" i="34"/>
  <c r="I57" i="34"/>
  <c r="I28" i="34"/>
  <c r="I68" i="34"/>
  <c r="I44" i="34"/>
  <c r="I60" i="34"/>
  <c r="I8" i="34"/>
  <c r="I7" i="34"/>
  <c r="I78" i="34"/>
  <c r="I47" i="34"/>
  <c r="I29" i="34"/>
  <c r="I10" i="34"/>
  <c r="I71" i="34"/>
  <c r="Z64" i="34"/>
  <c r="Z19" i="34"/>
  <c r="Z44" i="34"/>
  <c r="Z25" i="34"/>
  <c r="Z20" i="34"/>
  <c r="Z75" i="34"/>
  <c r="Z37" i="34"/>
  <c r="Z57" i="34"/>
  <c r="Z22" i="34"/>
  <c r="Z17" i="34"/>
  <c r="Z21" i="34"/>
  <c r="Z45" i="34"/>
  <c r="Z60" i="34"/>
  <c r="Z18" i="34"/>
  <c r="Z77" i="34"/>
  <c r="Z19" i="30"/>
  <c r="Z13" i="28"/>
  <c r="Z93" i="17"/>
  <c r="Z68" i="34"/>
  <c r="Z7" i="34"/>
  <c r="Z21" i="30"/>
  <c r="Z18" i="25"/>
  <c r="Z69" i="34"/>
  <c r="Z10" i="34"/>
  <c r="Z6" i="28"/>
  <c r="Z9" i="28"/>
  <c r="Z25" i="23"/>
  <c r="Z23" i="30"/>
  <c r="Y34" i="29"/>
  <c r="Z47" i="34"/>
  <c r="Z16" i="26"/>
  <c r="Z9" i="30"/>
  <c r="Z19" i="25"/>
  <c r="Z13" i="30"/>
  <c r="Q67" i="34"/>
  <c r="Q45" i="34"/>
  <c r="Z15" i="26"/>
  <c r="Q20" i="34"/>
  <c r="Z14" i="28"/>
  <c r="Q28" i="34"/>
  <c r="Z15" i="30"/>
  <c r="Z18" i="26"/>
  <c r="Q70" i="34"/>
  <c r="Q22" i="34"/>
  <c r="N7" i="34"/>
  <c r="Z11" i="30"/>
  <c r="Q50" i="34"/>
  <c r="Z11" i="28"/>
  <c r="Z7" i="30"/>
  <c r="N47" i="34"/>
  <c r="Q18" i="34"/>
  <c r="N74" i="34"/>
  <c r="Q25" i="34"/>
  <c r="Q46" i="34"/>
  <c r="Z24" i="23"/>
  <c r="Z22" i="30"/>
  <c r="N19" i="34"/>
  <c r="Z7" i="28"/>
  <c r="N62" i="34"/>
  <c r="Q19" i="34"/>
  <c r="N29" i="34"/>
  <c r="Q69" i="34"/>
  <c r="Q8" i="34"/>
  <c r="Z8" i="28"/>
  <c r="N38" i="34"/>
  <c r="N10" i="34"/>
  <c r="Q37" i="34"/>
  <c r="Q21" i="34"/>
  <c r="N9" i="34"/>
  <c r="N60" i="34"/>
  <c r="Q32" i="34"/>
  <c r="N8" i="34"/>
  <c r="Q76" i="34"/>
  <c r="Q38" i="34"/>
  <c r="N51" i="34"/>
  <c r="Q60" i="34"/>
  <c r="N71" i="34"/>
  <c r="N30" i="34"/>
  <c r="Q17" i="34"/>
  <c r="N78" i="34"/>
  <c r="N80" i="34"/>
  <c r="D32" i="26"/>
  <c r="N21" i="34"/>
  <c r="N17" i="34"/>
  <c r="D18" i="27"/>
  <c r="D32" i="25"/>
  <c r="N39" i="34"/>
  <c r="C20" i="29"/>
  <c r="C26" i="29"/>
  <c r="D8" i="27"/>
  <c r="N18" i="34"/>
  <c r="D78" i="24"/>
  <c r="D14" i="27"/>
  <c r="D28" i="25"/>
  <c r="D6" i="27"/>
  <c r="D9" i="27"/>
  <c r="D16" i="27"/>
  <c r="D30" i="25"/>
  <c r="D7" i="27"/>
  <c r="D92" i="17"/>
  <c r="D10" i="27"/>
  <c r="D25" i="25"/>
  <c r="D27" i="26"/>
  <c r="D20" i="27"/>
  <c r="C11" i="29"/>
  <c r="C43" i="29"/>
  <c r="D12" i="27"/>
  <c r="D26" i="25"/>
  <c r="D13" i="27"/>
  <c r="D27" i="25"/>
  <c r="D26" i="26"/>
  <c r="D21" i="27"/>
  <c r="D17" i="30"/>
  <c r="D17" i="27"/>
  <c r="D31" i="25"/>
  <c r="R45" i="34"/>
  <c r="R20" i="34"/>
  <c r="R67" i="34"/>
  <c r="R28" i="34"/>
  <c r="R76" i="34"/>
  <c r="R7" i="34"/>
  <c r="R77" i="34"/>
  <c r="R17" i="34"/>
  <c r="R46" i="34"/>
  <c r="J10" i="34"/>
  <c r="R25" i="34"/>
  <c r="J18" i="34"/>
  <c r="J21" i="34"/>
  <c r="R10" i="34"/>
  <c r="R8" i="34"/>
  <c r="J57" i="34"/>
  <c r="J45" i="34"/>
  <c r="R21" i="34"/>
  <c r="J44" i="34"/>
  <c r="R9" i="34"/>
  <c r="J7" i="34"/>
  <c r="R70" i="34"/>
  <c r="R74" i="34"/>
  <c r="J37" i="34"/>
  <c r="J64" i="34"/>
  <c r="R37" i="34"/>
  <c r="R69" i="34"/>
  <c r="J69" i="34"/>
  <c r="J19" i="34"/>
  <c r="J68" i="34"/>
  <c r="R30" i="34"/>
  <c r="J17" i="34"/>
  <c r="J60" i="34"/>
  <c r="J47" i="34"/>
  <c r="C31" i="29"/>
  <c r="R32" i="34"/>
  <c r="J21" i="11"/>
  <c r="J22" i="34"/>
  <c r="J9" i="11"/>
  <c r="J75" i="34"/>
  <c r="J20" i="34"/>
  <c r="J77" i="34"/>
  <c r="L48" i="13"/>
  <c r="L33" i="13"/>
  <c r="J23" i="11"/>
  <c r="J33" i="10"/>
  <c r="J45" i="4"/>
  <c r="L39" i="26"/>
  <c r="L38" i="25"/>
  <c r="J25" i="34"/>
  <c r="D38" i="26"/>
  <c r="J18" i="11"/>
  <c r="L37" i="26"/>
  <c r="L7" i="13"/>
  <c r="L22" i="13"/>
  <c r="J17" i="11"/>
  <c r="L7" i="3"/>
  <c r="L39" i="25"/>
  <c r="L45" i="13"/>
  <c r="J34" i="11"/>
  <c r="J44" i="10"/>
  <c r="L8" i="3"/>
  <c r="J52" i="4"/>
  <c r="K31" i="29"/>
  <c r="K32" i="29"/>
  <c r="I34" i="5"/>
  <c r="J29" i="11"/>
  <c r="J39" i="10"/>
  <c r="D23" i="26"/>
  <c r="J12" i="11"/>
  <c r="J30" i="11"/>
  <c r="J40" i="10"/>
  <c r="D39" i="26"/>
  <c r="D33" i="13"/>
  <c r="J6" i="11"/>
  <c r="L6" i="3"/>
  <c r="I6" i="16"/>
  <c r="J10" i="4"/>
  <c r="J55" i="11"/>
  <c r="J24" i="4"/>
  <c r="D23" i="25"/>
  <c r="J52" i="11"/>
  <c r="J31" i="4"/>
  <c r="L37" i="25"/>
  <c r="L59" i="21"/>
  <c r="J20" i="11"/>
  <c r="L23" i="25"/>
  <c r="D37" i="25"/>
  <c r="D59" i="21"/>
  <c r="D6" i="3"/>
  <c r="L63" i="21"/>
  <c r="L23" i="26"/>
  <c r="D48" i="13"/>
  <c r="D63" i="21"/>
  <c r="Y8" i="34"/>
  <c r="L38" i="26"/>
  <c r="Y47" i="34"/>
  <c r="D37" i="26"/>
  <c r="D45" i="13"/>
  <c r="D8" i="3"/>
  <c r="Y22" i="34"/>
  <c r="Y75" i="34"/>
  <c r="C32" i="29"/>
  <c r="D38" i="25"/>
  <c r="Y44" i="34"/>
  <c r="Y78" i="34"/>
  <c r="D7" i="13"/>
  <c r="D22" i="13"/>
  <c r="D7" i="3"/>
  <c r="D39" i="25"/>
  <c r="Y68" i="34"/>
  <c r="Y10" i="34"/>
  <c r="Y46" i="34"/>
  <c r="Y71" i="34"/>
  <c r="Y29" i="34"/>
  <c r="Y38" i="34"/>
  <c r="Y7" i="34"/>
  <c r="Y57" i="34"/>
  <c r="Y28" i="34"/>
  <c r="Y60" i="34"/>
  <c r="Y18" i="34"/>
  <c r="Y9" i="34"/>
  <c r="Y21" i="34"/>
  <c r="Y77" i="34"/>
  <c r="T21" i="27"/>
  <c r="R10" i="11"/>
  <c r="T6" i="27"/>
  <c r="T48" i="13"/>
  <c r="S11" i="29"/>
  <c r="R24" i="11"/>
  <c r="R34" i="10"/>
  <c r="T8" i="27"/>
  <c r="S31" i="29"/>
  <c r="T78" i="24"/>
  <c r="T18" i="27"/>
  <c r="T32" i="25"/>
  <c r="R55" i="11"/>
  <c r="R24" i="4"/>
  <c r="T17" i="30"/>
  <c r="T37" i="26"/>
  <c r="T23" i="26"/>
  <c r="T38" i="25"/>
  <c r="S26" i="29"/>
  <c r="T45" i="13"/>
  <c r="R34" i="11"/>
  <c r="R44" i="10"/>
  <c r="T8" i="3"/>
  <c r="R52" i="4"/>
  <c r="T26" i="26"/>
  <c r="T7" i="27"/>
  <c r="T92" i="17"/>
  <c r="T34" i="26"/>
  <c r="T9" i="27"/>
  <c r="R52" i="11"/>
  <c r="R31" i="4"/>
  <c r="T37" i="25"/>
  <c r="T59" i="21"/>
  <c r="R29" i="11"/>
  <c r="R39" i="10"/>
  <c r="T12" i="27"/>
  <c r="T26" i="25"/>
  <c r="T38" i="26"/>
  <c r="T63" i="21"/>
  <c r="T14" i="27"/>
  <c r="T28" i="25"/>
  <c r="S20" i="29"/>
  <c r="S32" i="29"/>
  <c r="Q34" i="5"/>
  <c r="T7" i="13"/>
  <c r="T22" i="13"/>
  <c r="R17" i="11"/>
  <c r="T7" i="3"/>
  <c r="T39" i="25"/>
  <c r="T20" i="27"/>
  <c r="T33" i="13"/>
  <c r="R23" i="11"/>
  <c r="R33" i="10"/>
  <c r="R45" i="4"/>
  <c r="T30" i="26"/>
  <c r="R13" i="11"/>
  <c r="T16" i="27"/>
  <c r="T30" i="25"/>
  <c r="T28" i="26"/>
  <c r="S43" i="29"/>
  <c r="C38" i="29"/>
  <c r="C15" i="29"/>
  <c r="R30" i="11"/>
  <c r="R40" i="10"/>
  <c r="R6" i="11"/>
  <c r="T6" i="3"/>
  <c r="Q6" i="16"/>
  <c r="R10" i="4"/>
  <c r="D17" i="28"/>
  <c r="D14" i="17"/>
  <c r="T35" i="26"/>
  <c r="T39" i="26"/>
  <c r="C24" i="29"/>
  <c r="D20" i="28"/>
  <c r="D17" i="17"/>
  <c r="R20" i="11"/>
  <c r="T23" i="25"/>
  <c r="T13" i="27"/>
  <c r="T27" i="25"/>
  <c r="C37" i="29"/>
  <c r="C23" i="29"/>
  <c r="C14" i="29"/>
  <c r="D19" i="28"/>
  <c r="D16" i="17"/>
  <c r="R54" i="11"/>
  <c r="C42" i="29"/>
  <c r="C33" i="29"/>
  <c r="C9" i="29"/>
  <c r="C39" i="29"/>
  <c r="C16" i="29"/>
  <c r="D16" i="28"/>
  <c r="D13" i="17"/>
  <c r="D18" i="28"/>
  <c r="D15" i="17"/>
  <c r="D26" i="27"/>
  <c r="D24" i="27"/>
  <c r="D28" i="27"/>
  <c r="C25" i="29"/>
  <c r="C19" i="29"/>
  <c r="C10" i="29"/>
  <c r="C12" i="8"/>
  <c r="C8" i="29"/>
  <c r="C30" i="29"/>
  <c r="C41" i="29"/>
  <c r="C18" i="29"/>
  <c r="D9" i="25"/>
  <c r="D41" i="17"/>
  <c r="D25" i="27"/>
  <c r="C36" i="29"/>
  <c r="C22" i="29"/>
  <c r="C13" i="29"/>
  <c r="C7" i="29"/>
  <c r="C29" i="29"/>
  <c r="C40" i="29"/>
  <c r="C17" i="29"/>
  <c r="K8" i="29"/>
  <c r="K30" i="29"/>
  <c r="L24" i="27"/>
  <c r="L25" i="27"/>
  <c r="L17" i="28"/>
  <c r="L14" i="17"/>
  <c r="L16" i="28"/>
  <c r="L13" i="17"/>
  <c r="K38" i="29"/>
  <c r="K15" i="29"/>
  <c r="K40" i="29"/>
  <c r="K17" i="29"/>
  <c r="K39" i="29"/>
  <c r="K16" i="29"/>
  <c r="K37" i="29"/>
  <c r="K23" i="29"/>
  <c r="K14" i="29"/>
  <c r="K9" i="29"/>
  <c r="I10" i="5"/>
  <c r="L8" i="25"/>
  <c r="J9" i="2"/>
  <c r="K24" i="29"/>
  <c r="L19" i="28"/>
  <c r="L16" i="17"/>
  <c r="L18" i="28"/>
  <c r="L15" i="17"/>
  <c r="L10" i="25"/>
  <c r="L52" i="17"/>
  <c r="L20" i="28"/>
  <c r="L17" i="17"/>
  <c r="K25" i="29"/>
  <c r="K19" i="29"/>
  <c r="K10" i="29"/>
  <c r="K12" i="8"/>
  <c r="I6" i="9"/>
  <c r="I6" i="5"/>
  <c r="J6" i="2"/>
  <c r="K42" i="29"/>
  <c r="K33" i="29"/>
  <c r="I51" i="6"/>
  <c r="I11" i="5"/>
  <c r="J10" i="2"/>
  <c r="K36" i="29"/>
  <c r="K22" i="29"/>
  <c r="K13" i="29"/>
  <c r="L26" i="27"/>
  <c r="K41" i="29"/>
  <c r="K18" i="29"/>
  <c r="N6" i="27"/>
  <c r="N16" i="27"/>
  <c r="N30" i="25"/>
  <c r="K7" i="29"/>
  <c r="K29" i="29"/>
  <c r="N21" i="27"/>
  <c r="N8" i="27"/>
  <c r="N12" i="27"/>
  <c r="N26" i="25"/>
  <c r="N22" i="27"/>
  <c r="M20" i="29"/>
  <c r="N10" i="27"/>
  <c r="N25" i="25"/>
  <c r="N25" i="26"/>
  <c r="N35" i="25"/>
  <c r="S39" i="34"/>
  <c r="S67" i="34"/>
  <c r="N34" i="26"/>
  <c r="L6" i="28"/>
  <c r="N27" i="26"/>
  <c r="S21" i="34"/>
  <c r="M26" i="29"/>
  <c r="S69" i="34"/>
  <c r="N9" i="27"/>
  <c r="L15" i="30"/>
  <c r="L18" i="26"/>
  <c r="S17" i="34"/>
  <c r="S10" i="34"/>
  <c r="N7" i="27"/>
  <c r="N92" i="17"/>
  <c r="M43" i="29"/>
  <c r="L24" i="23"/>
  <c r="L22" i="30"/>
  <c r="S18" i="34"/>
  <c r="M11" i="29"/>
  <c r="S77" i="34"/>
  <c r="L7" i="30"/>
  <c r="S32" i="34"/>
  <c r="S46" i="34"/>
  <c r="L16" i="26"/>
  <c r="L13" i="28"/>
  <c r="L93" i="17"/>
  <c r="N18" i="27"/>
  <c r="N32" i="25"/>
  <c r="L12" i="26"/>
  <c r="S44" i="34"/>
  <c r="C24" i="23"/>
  <c r="C22" i="30"/>
  <c r="N17" i="30"/>
  <c r="C21" i="30"/>
  <c r="N30" i="26"/>
  <c r="S76" i="34"/>
  <c r="C9" i="28"/>
  <c r="L16" i="25"/>
  <c r="L15" i="25"/>
  <c r="N20" i="27"/>
  <c r="C7" i="28"/>
  <c r="S20" i="34"/>
  <c r="S74" i="34"/>
  <c r="C8" i="28"/>
  <c r="S22" i="34"/>
  <c r="L10" i="28"/>
  <c r="N26" i="26"/>
  <c r="L21" i="30"/>
  <c r="C14" i="28"/>
  <c r="C7" i="30"/>
  <c r="S19" i="34"/>
  <c r="L25" i="23"/>
  <c r="L23" i="30"/>
  <c r="S68" i="34"/>
  <c r="L11" i="30"/>
  <c r="C11" i="30"/>
  <c r="S30" i="34"/>
  <c r="C9" i="30"/>
  <c r="L13" i="30"/>
  <c r="L7" i="28"/>
  <c r="S9" i="34"/>
  <c r="L20" i="26"/>
  <c r="C13" i="28"/>
  <c r="C93" i="17"/>
  <c r="S25" i="34"/>
  <c r="C18" i="26"/>
  <c r="L11" i="28"/>
  <c r="C18" i="25"/>
  <c r="C19" i="30"/>
  <c r="L19" i="30"/>
  <c r="L15" i="26"/>
  <c r="C15" i="30"/>
  <c r="L9" i="30"/>
  <c r="C13" i="30"/>
  <c r="C13" i="26"/>
  <c r="K34" i="29"/>
  <c r="C32" i="34"/>
  <c r="C16" i="26"/>
  <c r="C22" i="34"/>
  <c r="C16" i="25"/>
  <c r="C6" i="28"/>
  <c r="C44" i="34"/>
  <c r="C45" i="34"/>
  <c r="C70" i="24"/>
  <c r="C19" i="26"/>
  <c r="H34" i="29"/>
  <c r="C11" i="28"/>
  <c r="C10" i="34"/>
  <c r="C9" i="34"/>
  <c r="C46" i="34"/>
  <c r="I25" i="23"/>
  <c r="I23" i="30"/>
  <c r="I24" i="23"/>
  <c r="I22" i="30"/>
  <c r="C18" i="34"/>
  <c r="I7" i="30"/>
  <c r="I11" i="30"/>
  <c r="C19" i="34"/>
  <c r="F32" i="29"/>
  <c r="D34" i="5"/>
  <c r="I9" i="30"/>
  <c r="E31" i="11"/>
  <c r="E41" i="10"/>
  <c r="C68" i="34"/>
  <c r="I6" i="28"/>
  <c r="C25" i="34"/>
  <c r="I13" i="30"/>
  <c r="E12" i="11"/>
  <c r="I11" i="28"/>
  <c r="C21" i="34"/>
  <c r="G7" i="13"/>
  <c r="G22" i="13"/>
  <c r="E17" i="11"/>
  <c r="G7" i="3"/>
  <c r="G39" i="25"/>
  <c r="C67" i="34"/>
  <c r="G45" i="13"/>
  <c r="E34" i="11"/>
  <c r="E44" i="10"/>
  <c r="G8" i="3"/>
  <c r="E52" i="4"/>
  <c r="I18" i="26"/>
  <c r="C76" i="34"/>
  <c r="G48" i="13"/>
  <c r="E6" i="11"/>
  <c r="G6" i="3"/>
  <c r="D6" i="16"/>
  <c r="E10" i="4"/>
  <c r="I19" i="30"/>
  <c r="I14" i="28"/>
  <c r="C74" i="34"/>
  <c r="C17" i="34"/>
  <c r="I13" i="26"/>
  <c r="G63" i="21"/>
  <c r="C39" i="34"/>
  <c r="G39" i="26"/>
  <c r="G38" i="26"/>
  <c r="I13" i="28"/>
  <c r="I93" i="17"/>
  <c r="E15" i="11"/>
  <c r="C30" i="34"/>
  <c r="I7" i="28"/>
  <c r="E21" i="11"/>
  <c r="C77" i="34"/>
  <c r="I21" i="30"/>
  <c r="E24" i="11"/>
  <c r="E34" i="10"/>
  <c r="C20" i="34"/>
  <c r="I18" i="25"/>
  <c r="G37" i="26"/>
  <c r="E54" i="11"/>
  <c r="I15" i="30"/>
  <c r="G38" i="25"/>
  <c r="G33" i="13"/>
  <c r="E23" i="11"/>
  <c r="E33" i="10"/>
  <c r="E45" i="4"/>
  <c r="E52" i="11"/>
  <c r="E31" i="4"/>
  <c r="G37" i="25"/>
  <c r="G59" i="21"/>
  <c r="I15" i="25"/>
  <c r="I9" i="28"/>
  <c r="S41" i="29"/>
  <c r="S18" i="29"/>
  <c r="T17" i="28"/>
  <c r="T14" i="17"/>
  <c r="I8" i="28"/>
  <c r="G23" i="26"/>
  <c r="S37" i="29"/>
  <c r="S23" i="29"/>
  <c r="S14" i="29"/>
  <c r="I10" i="28"/>
  <c r="F31" i="29"/>
  <c r="S36" i="29"/>
  <c r="S22" i="29"/>
  <c r="S13" i="29"/>
  <c r="T25" i="27"/>
  <c r="S9" i="29"/>
  <c r="E8" i="11"/>
  <c r="Q10" i="5"/>
  <c r="T8" i="25"/>
  <c r="R9" i="2"/>
  <c r="T10" i="25"/>
  <c r="T52" i="17"/>
  <c r="E20" i="11"/>
  <c r="G23" i="25"/>
  <c r="S8" i="29"/>
  <c r="S30" i="29"/>
  <c r="S24" i="29"/>
  <c r="S25" i="29"/>
  <c r="S19" i="29"/>
  <c r="S10" i="29"/>
  <c r="S12" i="8"/>
  <c r="Q6" i="9"/>
  <c r="Q6" i="5"/>
  <c r="R6" i="2"/>
  <c r="S39" i="29"/>
  <c r="S16" i="29"/>
  <c r="S7" i="29"/>
  <c r="S29" i="29"/>
  <c r="T16" i="28"/>
  <c r="T13" i="17"/>
  <c r="T9" i="25"/>
  <c r="T41" i="17"/>
  <c r="S40" i="29"/>
  <c r="S17" i="29"/>
  <c r="S42" i="29"/>
  <c r="S33" i="29"/>
  <c r="Q51" i="6"/>
  <c r="Q11" i="5"/>
  <c r="R10" i="2"/>
  <c r="T26" i="27"/>
  <c r="T28" i="27"/>
  <c r="T20" i="28"/>
  <c r="T17" i="17"/>
  <c r="T24" i="27"/>
  <c r="S38" i="29"/>
  <c r="S15" i="29"/>
  <c r="Z31" i="34"/>
  <c r="Z16" i="34"/>
  <c r="Z61" i="34"/>
  <c r="Z52" i="34"/>
  <c r="Z26" i="34"/>
  <c r="Z43" i="34"/>
  <c r="Z35" i="34"/>
  <c r="Z13" i="34"/>
  <c r="Z15" i="34"/>
  <c r="Z58" i="34"/>
  <c r="Z36" i="34"/>
  <c r="Z27" i="34"/>
  <c r="Z42" i="34"/>
  <c r="Z14" i="34"/>
  <c r="Z59" i="34"/>
  <c r="Y21" i="30"/>
  <c r="Z63" i="34"/>
  <c r="Y11" i="28"/>
  <c r="Y8" i="28"/>
  <c r="Y19" i="26"/>
  <c r="Y16" i="26"/>
  <c r="Y9" i="30"/>
  <c r="Y7" i="28"/>
  <c r="Y7" i="30"/>
  <c r="Y9" i="28"/>
  <c r="Y19" i="25"/>
  <c r="Y20" i="26"/>
  <c r="Y6" i="28"/>
  <c r="Y12" i="26"/>
  <c r="Y13" i="30"/>
  <c r="Y94" i="24"/>
  <c r="Y24" i="23"/>
  <c r="Y22" i="30"/>
  <c r="Y14" i="28"/>
  <c r="Y19" i="30"/>
  <c r="AA26" i="34"/>
  <c r="Y11" i="30"/>
  <c r="AA52" i="34"/>
  <c r="AA16" i="34"/>
  <c r="AA13" i="34"/>
  <c r="X34" i="29"/>
  <c r="Y13" i="28"/>
  <c r="Y93" i="17"/>
  <c r="AA43" i="34"/>
  <c r="Y15" i="30"/>
  <c r="AA27" i="34"/>
  <c r="AA31" i="34"/>
  <c r="AA14" i="34"/>
  <c r="AA63" i="34"/>
  <c r="AA58" i="34"/>
  <c r="AA42" i="34"/>
  <c r="AA61" i="34"/>
  <c r="AA59" i="34"/>
  <c r="AA15" i="34"/>
  <c r="AA36" i="34"/>
  <c r="AA35" i="34"/>
  <c r="S8" i="28"/>
  <c r="W48" i="13"/>
  <c r="U20" i="11"/>
  <c r="W23" i="25"/>
  <c r="S14" i="28"/>
  <c r="S16" i="26"/>
  <c r="V32" i="29"/>
  <c r="T34" i="5"/>
  <c r="S6" i="28"/>
  <c r="W38" i="25"/>
  <c r="S19" i="26"/>
  <c r="U31" i="11"/>
  <c r="U41" i="10"/>
  <c r="S13" i="30"/>
  <c r="W7" i="13"/>
  <c r="W22" i="13"/>
  <c r="U17" i="11"/>
  <c r="W7" i="3"/>
  <c r="W39" i="25"/>
  <c r="S25" i="23"/>
  <c r="S23" i="30"/>
  <c r="S10" i="28"/>
  <c r="S13" i="28"/>
  <c r="S93" i="17"/>
  <c r="U24" i="11"/>
  <c r="U34" i="10"/>
  <c r="U8" i="11"/>
  <c r="S16" i="25"/>
  <c r="S15" i="30"/>
  <c r="W45" i="13"/>
  <c r="U34" i="11"/>
  <c r="U44" i="10"/>
  <c r="W8" i="3"/>
  <c r="U52" i="4"/>
  <c r="S18" i="25"/>
  <c r="U52" i="11"/>
  <c r="U31" i="4"/>
  <c r="W37" i="25"/>
  <c r="W59" i="21"/>
  <c r="W39" i="26"/>
  <c r="R34" i="29"/>
  <c r="J9" i="30"/>
  <c r="J11" i="28"/>
  <c r="S9" i="30"/>
  <c r="J7" i="28"/>
  <c r="S21" i="30"/>
  <c r="U21" i="11"/>
  <c r="J6" i="28"/>
  <c r="W37" i="26"/>
  <c r="U30" i="11"/>
  <c r="U40" i="10"/>
  <c r="U15" i="11"/>
  <c r="S9" i="28"/>
  <c r="J18" i="26"/>
  <c r="S13" i="26"/>
  <c r="S20" i="25"/>
  <c r="W38" i="26"/>
  <c r="J21" i="30"/>
  <c r="I34" i="29"/>
  <c r="S19" i="30"/>
  <c r="J13" i="30"/>
  <c r="S7" i="30"/>
  <c r="U12" i="11"/>
  <c r="S24" i="23"/>
  <c r="S22" i="30"/>
  <c r="U6" i="11"/>
  <c r="W6" i="3"/>
  <c r="T6" i="16"/>
  <c r="U10" i="4"/>
  <c r="J19" i="25"/>
  <c r="J20" i="26"/>
  <c r="S11" i="28"/>
  <c r="V31" i="29"/>
  <c r="W23" i="26"/>
  <c r="J15" i="30"/>
  <c r="W33" i="13"/>
  <c r="U23" i="11"/>
  <c r="U33" i="10"/>
  <c r="U45" i="4"/>
  <c r="J11" i="30"/>
  <c r="J7" i="30"/>
  <c r="J8" i="28"/>
  <c r="W63" i="21"/>
  <c r="J18" i="25"/>
  <c r="J15" i="26"/>
  <c r="J13" i="28"/>
  <c r="J93" i="17"/>
  <c r="J24" i="23"/>
  <c r="J22" i="30"/>
  <c r="J9" i="28"/>
  <c r="J10" i="28"/>
  <c r="J25" i="23"/>
  <c r="J23" i="30"/>
  <c r="J19" i="30"/>
  <c r="G59" i="34"/>
  <c r="G42" i="34"/>
  <c r="G63" i="34"/>
  <c r="N58" i="34"/>
  <c r="G31" i="34"/>
  <c r="N52" i="34"/>
  <c r="G27" i="34"/>
  <c r="G43" i="34"/>
  <c r="N14" i="34"/>
  <c r="G15" i="34"/>
  <c r="G58" i="34"/>
  <c r="N26" i="34"/>
  <c r="G52" i="34"/>
  <c r="N13" i="34"/>
  <c r="G61" i="34"/>
  <c r="N27" i="34"/>
  <c r="G26" i="34"/>
  <c r="N43" i="34"/>
  <c r="N31" i="34"/>
  <c r="G16" i="34"/>
  <c r="G36" i="34"/>
  <c r="N36" i="34"/>
  <c r="G14" i="34"/>
  <c r="N15" i="34"/>
  <c r="G35" i="34"/>
  <c r="N63" i="34"/>
  <c r="N16" i="34"/>
  <c r="N61" i="34"/>
  <c r="G13" i="34"/>
  <c r="N42" i="34"/>
  <c r="N35" i="34"/>
  <c r="N59" i="34"/>
  <c r="W42" i="34"/>
  <c r="W63" i="34"/>
  <c r="W52" i="34"/>
  <c r="W58" i="34"/>
  <c r="W36" i="34"/>
  <c r="W26" i="34"/>
  <c r="W59" i="34"/>
  <c r="W43" i="34"/>
  <c r="W14" i="34"/>
  <c r="W31" i="34"/>
  <c r="S43" i="34"/>
  <c r="W15" i="34"/>
  <c r="W27" i="34"/>
  <c r="W16" i="34"/>
  <c r="S58" i="34"/>
  <c r="S42" i="34"/>
  <c r="W13" i="34"/>
  <c r="W61" i="34"/>
  <c r="S31" i="34"/>
  <c r="S59" i="34"/>
  <c r="S35" i="34"/>
  <c r="S15" i="34"/>
  <c r="S63" i="34"/>
  <c r="S36" i="34"/>
  <c r="W35" i="34"/>
  <c r="S52" i="34"/>
  <c r="S27" i="34"/>
  <c r="S14" i="34"/>
  <c r="J14" i="34"/>
  <c r="R16" i="26"/>
  <c r="S13" i="34"/>
  <c r="R19" i="26"/>
  <c r="S26" i="34"/>
  <c r="J27" i="34"/>
  <c r="J58" i="34"/>
  <c r="S16" i="34"/>
  <c r="R7" i="30"/>
  <c r="R9" i="28"/>
  <c r="S61" i="34"/>
  <c r="J52" i="34"/>
  <c r="J35" i="34"/>
  <c r="R7" i="28"/>
  <c r="R11" i="28"/>
  <c r="J59" i="34"/>
  <c r="J31" i="34"/>
  <c r="J16" i="34"/>
  <c r="R13" i="28"/>
  <c r="R93" i="17"/>
  <c r="J26" i="34"/>
  <c r="R24" i="23"/>
  <c r="R22" i="30"/>
  <c r="R8" i="28"/>
  <c r="R13" i="30"/>
  <c r="J63" i="34"/>
  <c r="R10" i="28"/>
  <c r="J42" i="34"/>
  <c r="R6" i="28"/>
  <c r="J61" i="34"/>
  <c r="J13" i="34"/>
  <c r="R21" i="30"/>
  <c r="J36" i="34"/>
  <c r="Q34" i="29"/>
  <c r="J15" i="34"/>
  <c r="R11" i="30"/>
  <c r="J43" i="34"/>
  <c r="R9" i="30"/>
  <c r="R12" i="25"/>
  <c r="R14" i="28"/>
  <c r="R25" i="23"/>
  <c r="R23" i="30"/>
  <c r="R15" i="30"/>
  <c r="R19" i="30"/>
  <c r="R20" i="25"/>
  <c r="O27" i="26"/>
  <c r="O22" i="27"/>
  <c r="N43" i="29"/>
  <c r="O12" i="27"/>
  <c r="O26" i="25"/>
  <c r="C34" i="29"/>
  <c r="D20" i="26"/>
  <c r="O10" i="27"/>
  <c r="O25" i="25"/>
  <c r="D15" i="26"/>
  <c r="O17" i="27"/>
  <c r="L14" i="5"/>
  <c r="O31" i="25"/>
  <c r="O17" i="30"/>
  <c r="D11" i="30"/>
  <c r="D25" i="23"/>
  <c r="D23" i="30"/>
  <c r="D9" i="28"/>
  <c r="N11" i="29"/>
  <c r="O26" i="26"/>
  <c r="D21" i="30"/>
  <c r="O32" i="26"/>
  <c r="D19" i="26"/>
  <c r="O18" i="27"/>
  <c r="O32" i="25"/>
  <c r="O20" i="27"/>
  <c r="N20" i="29"/>
  <c r="D19" i="30"/>
  <c r="O9" i="27"/>
  <c r="D7" i="28"/>
  <c r="D8" i="28"/>
  <c r="O30" i="26"/>
  <c r="D13" i="28"/>
  <c r="D93" i="17"/>
  <c r="O16" i="27"/>
  <c r="O30" i="25"/>
  <c r="D24" i="23"/>
  <c r="D22" i="30"/>
  <c r="O28" i="26"/>
  <c r="D16" i="26"/>
  <c r="O21" i="27"/>
  <c r="T10" i="9"/>
  <c r="W8" i="26"/>
  <c r="D9" i="30"/>
  <c r="O8" i="27"/>
  <c r="D11" i="28"/>
  <c r="W28" i="27"/>
  <c r="O7" i="27"/>
  <c r="O92" i="17"/>
  <c r="D7" i="30"/>
  <c r="V38" i="29"/>
  <c r="V15" i="29"/>
  <c r="D18" i="26"/>
  <c r="O25" i="26"/>
  <c r="D13" i="26"/>
  <c r="V24" i="29"/>
  <c r="W19" i="28"/>
  <c r="W16" i="17"/>
  <c r="V37" i="29"/>
  <c r="V23" i="29"/>
  <c r="V14" i="29"/>
  <c r="D13" i="30"/>
  <c r="N26" i="29"/>
  <c r="W10" i="26"/>
  <c r="D14" i="28"/>
  <c r="W20" i="28"/>
  <c r="W17" i="17"/>
  <c r="V25" i="29"/>
  <c r="V19" i="29"/>
  <c r="V10" i="29"/>
  <c r="V12" i="8"/>
  <c r="T6" i="9"/>
  <c r="T6" i="5"/>
  <c r="U6" i="2"/>
  <c r="W17" i="28"/>
  <c r="W14" i="17"/>
  <c r="D15" i="30"/>
  <c r="C14" i="34"/>
  <c r="V40" i="29"/>
  <c r="V17" i="29"/>
  <c r="V9" i="29"/>
  <c r="C59" i="34"/>
  <c r="C43" i="34"/>
  <c r="V7" i="29"/>
  <c r="V29" i="29"/>
  <c r="W10" i="25"/>
  <c r="W52" i="17"/>
  <c r="C27" i="34"/>
  <c r="C52" i="34"/>
  <c r="C42" i="34"/>
  <c r="V36" i="29"/>
  <c r="V22" i="29"/>
  <c r="V13" i="29"/>
  <c r="W18" i="28"/>
  <c r="W15" i="17"/>
  <c r="V41" i="29"/>
  <c r="V18" i="29"/>
  <c r="C16" i="34"/>
  <c r="C36" i="34"/>
  <c r="W26" i="27"/>
  <c r="G24" i="27"/>
  <c r="V8" i="29"/>
  <c r="V30" i="29"/>
  <c r="F24" i="29"/>
  <c r="W16" i="28"/>
  <c r="W13" i="17"/>
  <c r="C26" i="34"/>
  <c r="C15" i="34"/>
  <c r="G18" i="28"/>
  <c r="G15" i="17"/>
  <c r="C35" i="34"/>
  <c r="G26" i="27"/>
  <c r="V39" i="29"/>
  <c r="V16" i="29"/>
  <c r="C31" i="34"/>
  <c r="V42" i="29"/>
  <c r="V33" i="29"/>
  <c r="T51" i="6"/>
  <c r="T11" i="5"/>
  <c r="U10" i="2"/>
  <c r="G19" i="28"/>
  <c r="G16" i="17"/>
  <c r="C58" i="34"/>
  <c r="F40" i="29"/>
  <c r="F17" i="29"/>
  <c r="C61" i="34"/>
  <c r="G28" i="27"/>
  <c r="K14" i="34"/>
  <c r="C13" i="34"/>
  <c r="K35" i="34"/>
  <c r="F8" i="29"/>
  <c r="F30" i="29"/>
  <c r="K26" i="34"/>
  <c r="D10" i="9"/>
  <c r="G8" i="26"/>
  <c r="C63" i="34"/>
  <c r="F38" i="29"/>
  <c r="F15" i="29"/>
  <c r="K52" i="34"/>
  <c r="K59" i="34"/>
  <c r="K43" i="34"/>
  <c r="G10" i="25"/>
  <c r="G52" i="17"/>
  <c r="F37" i="29"/>
  <c r="F23" i="29"/>
  <c r="F14" i="29"/>
  <c r="F25" i="29"/>
  <c r="F19" i="29"/>
  <c r="F10" i="29"/>
  <c r="F12" i="8"/>
  <c r="D6" i="9"/>
  <c r="D6" i="5"/>
  <c r="E6" i="2"/>
  <c r="K42" i="34"/>
  <c r="G16" i="28"/>
  <c r="G13" i="17"/>
  <c r="K16" i="34"/>
  <c r="K27" i="34"/>
  <c r="F39" i="29"/>
  <c r="F16" i="29"/>
  <c r="F41" i="29"/>
  <c r="F18" i="29"/>
  <c r="K15" i="34"/>
  <c r="K13" i="34"/>
  <c r="F42" i="29"/>
  <c r="F33" i="29"/>
  <c r="D51" i="6"/>
  <c r="D11" i="5"/>
  <c r="E10" i="2"/>
  <c r="G17" i="28"/>
  <c r="G14" i="17"/>
  <c r="K61" i="34"/>
  <c r="K31" i="34"/>
  <c r="F36" i="29"/>
  <c r="F22" i="29"/>
  <c r="F13" i="29"/>
  <c r="F7" i="29"/>
  <c r="F29" i="29"/>
  <c r="K58" i="34"/>
  <c r="G20" i="28"/>
  <c r="G17" i="17"/>
  <c r="K63" i="34"/>
  <c r="K36" i="34"/>
  <c r="F9" i="29"/>
  <c r="O19" i="28"/>
  <c r="O16" i="17"/>
  <c r="N9" i="29"/>
  <c r="N8" i="29"/>
  <c r="N30" i="29"/>
  <c r="N40" i="29"/>
  <c r="N17" i="29"/>
  <c r="O9" i="26"/>
  <c r="O28" i="27"/>
  <c r="N7" i="29"/>
  <c r="N29" i="29"/>
  <c r="N38" i="29"/>
  <c r="N15" i="29"/>
  <c r="O17" i="28"/>
  <c r="O14" i="17"/>
  <c r="O20" i="28"/>
  <c r="O17" i="17"/>
  <c r="N41" i="29"/>
  <c r="N18" i="29"/>
  <c r="N42" i="29"/>
  <c r="N33" i="29"/>
  <c r="L51" i="6"/>
  <c r="L11" i="5"/>
  <c r="M10" i="2"/>
  <c r="N24" i="29"/>
  <c r="O10" i="26"/>
  <c r="N39" i="29"/>
  <c r="N16" i="29"/>
  <c r="N36" i="29"/>
  <c r="N22" i="29"/>
  <c r="N13" i="29"/>
  <c r="O45" i="13"/>
  <c r="M34" i="11"/>
  <c r="M44" i="10"/>
  <c r="O8" i="3"/>
  <c r="M52" i="4"/>
  <c r="O18" i="28"/>
  <c r="O15" i="17"/>
  <c r="N37" i="29"/>
  <c r="N23" i="29"/>
  <c r="N14" i="29"/>
  <c r="O26" i="27"/>
  <c r="M20" i="26"/>
  <c r="N31" i="29"/>
  <c r="O25" i="27"/>
  <c r="N25" i="29"/>
  <c r="N19" i="29"/>
  <c r="N10" i="29"/>
  <c r="N12" i="8"/>
  <c r="L6" i="9"/>
  <c r="L6" i="5"/>
  <c r="M6" i="2"/>
  <c r="O16" i="28"/>
  <c r="O13" i="17"/>
  <c r="M15" i="26"/>
  <c r="O39" i="26"/>
  <c r="M16" i="11"/>
  <c r="O37" i="26"/>
  <c r="M8" i="28"/>
  <c r="F15" i="30"/>
  <c r="M29" i="11"/>
  <c r="M39" i="10"/>
  <c r="M13" i="30"/>
  <c r="F24" i="23"/>
  <c r="F22" i="30"/>
  <c r="F6" i="28"/>
  <c r="O7" i="13"/>
  <c r="O22" i="13"/>
  <c r="M17" i="11"/>
  <c r="O7" i="3"/>
  <c r="O39" i="25"/>
  <c r="F11" i="28"/>
  <c r="M15" i="30"/>
  <c r="M13" i="26"/>
  <c r="M25" i="23"/>
  <c r="M23" i="30"/>
  <c r="F7" i="30"/>
  <c r="F25" i="23"/>
  <c r="F23" i="30"/>
  <c r="M19" i="26"/>
  <c r="M24" i="23"/>
  <c r="M22" i="30"/>
  <c r="M13" i="11"/>
  <c r="M52" i="11"/>
  <c r="M31" i="4"/>
  <c r="O37" i="25"/>
  <c r="O59" i="21"/>
  <c r="O38" i="25"/>
  <c r="F9" i="28"/>
  <c r="O33" i="13"/>
  <c r="M23" i="11"/>
  <c r="M33" i="10"/>
  <c r="M45" i="4"/>
  <c r="N32" i="29"/>
  <c r="L34" i="5"/>
  <c r="M7" i="11"/>
  <c r="F19" i="30"/>
  <c r="M11" i="30"/>
  <c r="F15" i="26"/>
  <c r="M19" i="30"/>
  <c r="F13" i="30"/>
  <c r="M20" i="11"/>
  <c r="O23" i="25"/>
  <c r="F13" i="28"/>
  <c r="F93" i="17"/>
  <c r="M6" i="28"/>
  <c r="E8" i="28"/>
  <c r="F8" i="28"/>
  <c r="O48" i="13"/>
  <c r="E34" i="29"/>
  <c r="M9" i="28"/>
  <c r="M21" i="30"/>
  <c r="O63" i="21"/>
  <c r="E13" i="28"/>
  <c r="E93" i="17"/>
  <c r="M12" i="26"/>
  <c r="O38" i="26"/>
  <c r="E18" i="26"/>
  <c r="E7" i="28"/>
  <c r="M24" i="11"/>
  <c r="M34" i="10"/>
  <c r="F21" i="30"/>
  <c r="M9" i="30"/>
  <c r="M7" i="28"/>
  <c r="E13" i="25"/>
  <c r="F9" i="30"/>
  <c r="D34" i="29"/>
  <c r="M22" i="11"/>
  <c r="M55" i="11"/>
  <c r="M24" i="4"/>
  <c r="E13" i="30"/>
  <c r="M6" i="11"/>
  <c r="O6" i="3"/>
  <c r="L6" i="16"/>
  <c r="M10" i="4"/>
  <c r="M11" i="28"/>
  <c r="F13" i="26"/>
  <c r="F14" i="28"/>
  <c r="M16" i="26"/>
  <c r="E15" i="30"/>
  <c r="M7" i="30"/>
  <c r="E11" i="30"/>
  <c r="L34" i="29"/>
  <c r="E13" i="26"/>
  <c r="F12" i="26"/>
  <c r="O23" i="26"/>
  <c r="M10" i="28"/>
  <c r="E19" i="30"/>
  <c r="F11" i="30"/>
  <c r="E9" i="30"/>
  <c r="F10" i="28"/>
  <c r="K13" i="30"/>
  <c r="E7" i="30"/>
  <c r="F7" i="28"/>
  <c r="F20" i="26"/>
  <c r="E20" i="26"/>
  <c r="K7" i="30"/>
  <c r="K9" i="30"/>
  <c r="E9" i="28"/>
  <c r="K15" i="30"/>
  <c r="E15" i="25"/>
  <c r="E24" i="23"/>
  <c r="E22" i="30"/>
  <c r="E11" i="28"/>
  <c r="E15" i="26"/>
  <c r="K21" i="30"/>
  <c r="E14" i="28"/>
  <c r="K19" i="30"/>
  <c r="E21" i="30"/>
  <c r="E26" i="34"/>
  <c r="K8" i="28"/>
  <c r="K18" i="26"/>
  <c r="K15" i="26"/>
  <c r="E43" i="34"/>
  <c r="E61" i="34"/>
  <c r="E25" i="23"/>
  <c r="E23" i="30"/>
  <c r="K14" i="28"/>
  <c r="V14" i="9"/>
  <c r="Y31" i="26"/>
  <c r="K16" i="26"/>
  <c r="E59" i="34"/>
  <c r="K24" i="23"/>
  <c r="K22" i="30"/>
  <c r="E15" i="34"/>
  <c r="K11" i="30"/>
  <c r="K25" i="23"/>
  <c r="K23" i="30"/>
  <c r="E35" i="34"/>
  <c r="E42" i="34"/>
  <c r="E36" i="34"/>
  <c r="Y34" i="26"/>
  <c r="J34" i="29"/>
  <c r="E27" i="34"/>
  <c r="Y28" i="26"/>
  <c r="K9" i="28"/>
  <c r="E52" i="34"/>
  <c r="E13" i="34"/>
  <c r="Y14" i="27"/>
  <c r="Y28" i="25"/>
  <c r="Y21" i="27"/>
  <c r="Y17" i="30"/>
  <c r="E58" i="34"/>
  <c r="K13" i="28"/>
  <c r="K93" i="17"/>
  <c r="K6" i="28"/>
  <c r="P25" i="23"/>
  <c r="P23" i="30"/>
  <c r="E63" i="34"/>
  <c r="K20" i="26"/>
  <c r="E14" i="34"/>
  <c r="Y13" i="27"/>
  <c r="Y27" i="25"/>
  <c r="Y6" i="27"/>
  <c r="Y12" i="27"/>
  <c r="Y26" i="25"/>
  <c r="Y17" i="27"/>
  <c r="V14" i="5"/>
  <c r="Y31" i="25"/>
  <c r="E16" i="34"/>
  <c r="O34" i="29"/>
  <c r="E31" i="34"/>
  <c r="X11" i="29"/>
  <c r="K7" i="28"/>
  <c r="X20" i="29"/>
  <c r="Y10" i="27"/>
  <c r="Y25" i="25"/>
  <c r="T6" i="28"/>
  <c r="T11" i="30"/>
  <c r="K11" i="28"/>
  <c r="X26" i="29"/>
  <c r="P7" i="30"/>
  <c r="T9" i="30"/>
  <c r="Y9" i="27"/>
  <c r="K10" i="28"/>
  <c r="T24" i="23"/>
  <c r="T22" i="30"/>
  <c r="P16" i="25"/>
  <c r="Y22" i="27"/>
  <c r="T10" i="28"/>
  <c r="T11" i="28"/>
  <c r="P14" i="28"/>
  <c r="P19" i="30"/>
  <c r="S34" i="29"/>
  <c r="Y20" i="27"/>
  <c r="P6" i="28"/>
  <c r="P11" i="30"/>
  <c r="Y27" i="26"/>
  <c r="X43" i="29"/>
  <c r="T25" i="23"/>
  <c r="T23" i="30"/>
  <c r="T13" i="28"/>
  <c r="T93" i="17"/>
  <c r="P11" i="28"/>
  <c r="P15" i="26"/>
  <c r="Y16" i="27"/>
  <c r="Y30" i="25"/>
  <c r="P8" i="28"/>
  <c r="Y30" i="26"/>
  <c r="T15" i="26"/>
  <c r="T8" i="28"/>
  <c r="Y18" i="27"/>
  <c r="Y32" i="25"/>
  <c r="P9" i="30"/>
  <c r="P10" i="28"/>
  <c r="T18" i="26"/>
  <c r="T13" i="30"/>
  <c r="P7" i="28"/>
  <c r="T7" i="30"/>
  <c r="P24" i="23"/>
  <c r="P22" i="30"/>
  <c r="P12" i="26"/>
  <c r="P21" i="30"/>
  <c r="T13" i="26"/>
  <c r="V18" i="26"/>
  <c r="T14" i="28"/>
  <c r="V6" i="28"/>
  <c r="P9" i="28"/>
  <c r="P13" i="30"/>
  <c r="T19" i="26"/>
  <c r="T19" i="30"/>
  <c r="V25" i="23"/>
  <c r="V23" i="30"/>
  <c r="P13" i="25"/>
  <c r="V12" i="26"/>
  <c r="T9" i="28"/>
  <c r="P95" i="24"/>
  <c r="T16" i="26"/>
  <c r="V10" i="28"/>
  <c r="P15" i="30"/>
  <c r="V19" i="30"/>
  <c r="T21" i="30"/>
  <c r="V13" i="26"/>
  <c r="V7" i="30"/>
  <c r="T15" i="30"/>
  <c r="V20" i="26"/>
  <c r="V24" i="23"/>
  <c r="V22" i="30"/>
  <c r="V15" i="26"/>
  <c r="V11" i="30"/>
  <c r="AA15" i="26"/>
  <c r="V13" i="30"/>
  <c r="U34" i="29"/>
  <c r="Z34" i="29"/>
  <c r="V14" i="28"/>
  <c r="AA7" i="30"/>
  <c r="AA11" i="30"/>
  <c r="V13" i="28"/>
  <c r="V93" i="17"/>
  <c r="V8" i="28"/>
  <c r="AA20" i="26"/>
  <c r="AA9" i="30"/>
  <c r="V21" i="30"/>
  <c r="AA6" i="28"/>
  <c r="AA18" i="26"/>
  <c r="AA25" i="23"/>
  <c r="AA23" i="30"/>
  <c r="V15" i="30"/>
  <c r="V9" i="30"/>
  <c r="V9" i="28"/>
  <c r="AA10" i="28"/>
  <c r="V7" i="28"/>
  <c r="AA24" i="23"/>
  <c r="AA22" i="30"/>
  <c r="AA14" i="28"/>
  <c r="AA19" i="30"/>
  <c r="AA9" i="28"/>
  <c r="AA11" i="28"/>
  <c r="AA15" i="25"/>
  <c r="AA8" i="28"/>
  <c r="AA15" i="30"/>
  <c r="AA21" i="30"/>
  <c r="AA13" i="28"/>
  <c r="AA93" i="17"/>
  <c r="AA13" i="30"/>
  <c r="AA7" i="28"/>
  <c r="U63" i="34"/>
  <c r="U43" i="34"/>
  <c r="U31" i="34"/>
  <c r="U36" i="34"/>
  <c r="U14" i="34"/>
  <c r="U16" i="34"/>
  <c r="U61" i="34"/>
  <c r="U15" i="34"/>
  <c r="U59" i="34"/>
  <c r="W19" i="30"/>
  <c r="U27" i="34"/>
  <c r="W13" i="28"/>
  <c r="W93" i="17"/>
  <c r="U42" i="34"/>
  <c r="W14" i="28"/>
  <c r="W13" i="30"/>
  <c r="U26" i="34"/>
  <c r="W9" i="30"/>
  <c r="U58" i="34"/>
  <c r="W16" i="26"/>
  <c r="U35" i="34"/>
  <c r="U13" i="34"/>
  <c r="W25" i="23"/>
  <c r="W23" i="30"/>
  <c r="U52" i="34"/>
  <c r="W12" i="26"/>
  <c r="V34" i="29"/>
  <c r="M13" i="34"/>
  <c r="W20" i="26"/>
  <c r="M16" i="34"/>
  <c r="M35" i="34"/>
  <c r="W15" i="30"/>
  <c r="W13" i="26"/>
  <c r="M58" i="34"/>
  <c r="M36" i="34"/>
  <c r="W11" i="28"/>
  <c r="W7" i="30"/>
  <c r="M61" i="34"/>
  <c r="W9" i="28"/>
  <c r="M52" i="34"/>
  <c r="M42" i="34"/>
  <c r="W11" i="30"/>
  <c r="W24" i="23"/>
  <c r="W22" i="30"/>
  <c r="M63" i="34"/>
  <c r="W7" i="28"/>
  <c r="M43" i="34"/>
  <c r="M31" i="34"/>
  <c r="W21" i="30"/>
  <c r="M59" i="34"/>
  <c r="W8" i="28"/>
  <c r="W12" i="25"/>
  <c r="M15" i="34"/>
  <c r="W6" i="28"/>
  <c r="M26" i="34"/>
  <c r="M27" i="34"/>
  <c r="M14" i="34"/>
  <c r="I14" i="27"/>
  <c r="I28" i="25"/>
  <c r="I30" i="26"/>
  <c r="H11" i="29"/>
  <c r="I18" i="27"/>
  <c r="I32" i="25"/>
  <c r="I22" i="27"/>
  <c r="I81" i="24"/>
  <c r="I17" i="27"/>
  <c r="F14" i="5"/>
  <c r="I31" i="25"/>
  <c r="I8" i="27"/>
  <c r="I17" i="30"/>
  <c r="I20" i="27"/>
  <c r="H43" i="29"/>
  <c r="H20" i="29"/>
  <c r="Y35" i="34"/>
  <c r="Y42" i="34"/>
  <c r="I28" i="26"/>
  <c r="Y61" i="34"/>
  <c r="Y26" i="34"/>
  <c r="H26" i="29"/>
  <c r="I32" i="26"/>
  <c r="Y31" i="34"/>
  <c r="I21" i="27"/>
  <c r="Y52" i="34"/>
  <c r="F14" i="9"/>
  <c r="I31" i="26"/>
  <c r="Y43" i="34"/>
  <c r="Y27" i="34"/>
  <c r="I13" i="27"/>
  <c r="I27" i="25"/>
  <c r="I12" i="27"/>
  <c r="I26" i="25"/>
  <c r="O20" i="26"/>
  <c r="Y16" i="34"/>
  <c r="I34" i="26"/>
  <c r="I16" i="27"/>
  <c r="I30" i="25"/>
  <c r="Y15" i="34"/>
  <c r="Y36" i="34"/>
  <c r="Y13" i="34"/>
  <c r="I62" i="24"/>
  <c r="O19" i="26"/>
  <c r="T34" i="29"/>
  <c r="Y63" i="34"/>
  <c r="O19" i="30"/>
  <c r="Y59" i="34"/>
  <c r="O12" i="26"/>
  <c r="U7" i="30"/>
  <c r="U13" i="28"/>
  <c r="U93" i="17"/>
  <c r="P38" i="34"/>
  <c r="Y58" i="34"/>
  <c r="O7" i="28"/>
  <c r="N34" i="29"/>
  <c r="Y14" i="34"/>
  <c r="U8" i="28"/>
  <c r="U9" i="30"/>
  <c r="O9" i="30"/>
  <c r="O15" i="26"/>
  <c r="U13" i="25"/>
  <c r="O13" i="26"/>
  <c r="O13" i="28"/>
  <c r="O93" i="17"/>
  <c r="O18" i="26"/>
  <c r="O21" i="30"/>
  <c r="O9" i="28"/>
  <c r="U20" i="26"/>
  <c r="O10" i="28"/>
  <c r="U18" i="26"/>
  <c r="U15" i="26"/>
  <c r="O11" i="28"/>
  <c r="U24" i="23"/>
  <c r="U22" i="30"/>
  <c r="U6" i="28"/>
  <c r="O7" i="30"/>
  <c r="O15" i="30"/>
  <c r="U13" i="30"/>
  <c r="O25" i="23"/>
  <c r="O23" i="30"/>
  <c r="O6" i="28"/>
  <c r="U15" i="30"/>
  <c r="U11" i="30"/>
  <c r="H36" i="34"/>
  <c r="G25" i="23"/>
  <c r="G23" i="30"/>
  <c r="H61" i="34"/>
  <c r="U9" i="28"/>
  <c r="O14" i="28"/>
  <c r="U25" i="23"/>
  <c r="U23" i="30"/>
  <c r="G16" i="26"/>
  <c r="O11" i="30"/>
  <c r="H15" i="34"/>
  <c r="G14" i="28"/>
  <c r="U19" i="26"/>
  <c r="H35" i="34"/>
  <c r="G10" i="28"/>
  <c r="O24" i="23"/>
  <c r="O22" i="30"/>
  <c r="G12" i="26"/>
  <c r="U15" i="25"/>
  <c r="G8" i="28"/>
  <c r="G19" i="30"/>
  <c r="H42" i="34"/>
  <c r="U13" i="26"/>
  <c r="H59" i="34"/>
  <c r="U19" i="30"/>
  <c r="G13" i="26"/>
  <c r="G15" i="30"/>
  <c r="G19" i="25"/>
  <c r="G13" i="28"/>
  <c r="G93" i="17"/>
  <c r="U14" i="28"/>
  <c r="H43" i="34"/>
  <c r="G7" i="28"/>
  <c r="U21" i="30"/>
  <c r="H27" i="34"/>
  <c r="H52" i="34"/>
  <c r="H26" i="34"/>
  <c r="G9" i="30"/>
  <c r="H16" i="34"/>
  <c r="G11" i="28"/>
  <c r="H13" i="34"/>
  <c r="G11" i="30"/>
  <c r="H14" i="34"/>
  <c r="H58" i="34"/>
  <c r="G13" i="30"/>
  <c r="G19" i="26"/>
  <c r="L63" i="34"/>
  <c r="H31" i="34"/>
  <c r="G21" i="30"/>
  <c r="P70" i="34"/>
  <c r="G24" i="23"/>
  <c r="G22" i="30"/>
  <c r="L59" i="34"/>
  <c r="P73" i="34"/>
  <c r="L14" i="34"/>
  <c r="P62" i="34"/>
  <c r="H63" i="34"/>
  <c r="L35" i="34"/>
  <c r="G9" i="28"/>
  <c r="L43" i="34"/>
  <c r="L58" i="34"/>
  <c r="P21" i="34"/>
  <c r="F34" i="29"/>
  <c r="G7" i="30"/>
  <c r="P74" i="34"/>
  <c r="P80" i="34"/>
  <c r="L15" i="34"/>
  <c r="L42" i="34"/>
  <c r="P20" i="34"/>
  <c r="P44" i="34"/>
  <c r="L27" i="34"/>
  <c r="L61" i="34"/>
  <c r="L52" i="34"/>
  <c r="P47" i="34"/>
  <c r="P67" i="34"/>
  <c r="L36" i="34"/>
  <c r="P18" i="34"/>
  <c r="L31" i="34"/>
  <c r="P64" i="34"/>
  <c r="P60" i="34"/>
  <c r="L13" i="34"/>
  <c r="P51" i="34"/>
  <c r="N57" i="34"/>
  <c r="L16" i="34"/>
  <c r="P75" i="34"/>
  <c r="N67" i="34"/>
  <c r="P77" i="34"/>
  <c r="N46" i="34"/>
  <c r="L26" i="34"/>
  <c r="N70" i="34"/>
  <c r="P78" i="34"/>
  <c r="N72" i="34"/>
  <c r="P46" i="34"/>
  <c r="P57" i="34"/>
  <c r="N32" i="34"/>
  <c r="P68" i="34"/>
  <c r="N77" i="34"/>
  <c r="N76" i="34"/>
  <c r="P71" i="34"/>
  <c r="N73" i="34"/>
  <c r="N50" i="34"/>
  <c r="N44" i="34"/>
  <c r="N69" i="34"/>
  <c r="N68" i="34"/>
  <c r="N37" i="34"/>
  <c r="N25" i="34"/>
  <c r="N45" i="34"/>
  <c r="N22" i="34"/>
  <c r="N75" i="34"/>
  <c r="N20" i="34"/>
  <c r="N79" i="34"/>
  <c r="N64" i="34"/>
  <c r="N28" i="34"/>
  <c r="O79" i="34"/>
  <c r="O73" i="34"/>
  <c r="O74" i="34"/>
  <c r="V62" i="34"/>
  <c r="O71" i="34"/>
  <c r="V45" i="34"/>
  <c r="O44" i="34"/>
  <c r="V77" i="34"/>
  <c r="V39" i="34"/>
  <c r="O80" i="34"/>
  <c r="V57" i="34"/>
  <c r="O51" i="34"/>
  <c r="V75" i="34"/>
  <c r="O75" i="34"/>
  <c r="O46" i="34"/>
  <c r="V60" i="34"/>
  <c r="V10" i="34"/>
  <c r="O68" i="34"/>
  <c r="O37" i="34"/>
  <c r="V80" i="34"/>
  <c r="O9" i="34"/>
  <c r="V69" i="34"/>
  <c r="V68" i="34"/>
  <c r="O77" i="34"/>
  <c r="O38" i="34"/>
  <c r="V32" i="34"/>
  <c r="V72" i="34"/>
  <c r="O70" i="34"/>
  <c r="O62" i="34"/>
  <c r="V76" i="34"/>
  <c r="V71" i="34"/>
  <c r="O67" i="34"/>
  <c r="N11" i="30"/>
  <c r="O64" i="34"/>
  <c r="V67" i="34"/>
  <c r="V74" i="34"/>
  <c r="M34" i="29"/>
  <c r="O29" i="34"/>
  <c r="V44" i="34"/>
  <c r="V47" i="34"/>
  <c r="O57" i="34"/>
  <c r="N13" i="26"/>
  <c r="O32" i="34"/>
  <c r="N6" i="28"/>
  <c r="N10" i="28"/>
  <c r="N25" i="23"/>
  <c r="N23" i="30"/>
  <c r="V78" i="34"/>
  <c r="O76" i="34"/>
  <c r="V38" i="34"/>
  <c r="N15" i="30"/>
  <c r="V30" i="34"/>
  <c r="N19" i="26"/>
  <c r="H76" i="34"/>
  <c r="N24" i="23"/>
  <c r="N22" i="30"/>
  <c r="N13" i="30"/>
  <c r="H64" i="34"/>
  <c r="N9" i="28"/>
  <c r="H70" i="34"/>
  <c r="H45" i="34"/>
  <c r="N11" i="28"/>
  <c r="N12" i="25"/>
  <c r="H28" i="34"/>
  <c r="H73" i="34"/>
  <c r="N14" i="28"/>
  <c r="N12" i="26"/>
  <c r="H80" i="34"/>
  <c r="N7" i="30"/>
  <c r="H60" i="34"/>
  <c r="H8" i="34"/>
  <c r="N13" i="25"/>
  <c r="N7" i="28"/>
  <c r="H69" i="34"/>
  <c r="I58" i="34"/>
  <c r="H79" i="34"/>
  <c r="N21" i="30"/>
  <c r="N8" i="28"/>
  <c r="I52" i="34"/>
  <c r="H72" i="34"/>
  <c r="H57" i="34"/>
  <c r="I35" i="34"/>
  <c r="I42" i="34"/>
  <c r="N19" i="30"/>
  <c r="I14" i="34"/>
  <c r="N9" i="30"/>
  <c r="I36" i="34"/>
  <c r="H75" i="34"/>
  <c r="H46" i="34"/>
  <c r="H78" i="34"/>
  <c r="I61" i="34"/>
  <c r="H74" i="34"/>
  <c r="I63" i="34"/>
  <c r="H30" i="34"/>
  <c r="I26" i="34"/>
  <c r="I31" i="34"/>
  <c r="H32" i="34"/>
  <c r="H67" i="34"/>
  <c r="I13" i="34"/>
  <c r="H50" i="34"/>
  <c r="I15" i="34"/>
  <c r="I59" i="34"/>
  <c r="H10" i="34"/>
  <c r="I43" i="34"/>
  <c r="I27" i="34"/>
  <c r="I16" i="34"/>
  <c r="Z72" i="34"/>
  <c r="Z46" i="34"/>
  <c r="Z73" i="34"/>
  <c r="Z9" i="34"/>
  <c r="Z79" i="34"/>
  <c r="Z29" i="34"/>
  <c r="Z76" i="34"/>
  <c r="Z51" i="34"/>
  <c r="Z62" i="34"/>
  <c r="Z38" i="34"/>
  <c r="S72" i="34"/>
  <c r="Z32" i="34"/>
  <c r="Z30" i="34"/>
  <c r="X78" i="34"/>
  <c r="S75" i="34"/>
  <c r="X72" i="34"/>
  <c r="Z67" i="34"/>
  <c r="X30" i="34"/>
  <c r="Z80" i="34"/>
  <c r="X64" i="34"/>
  <c r="S7" i="34"/>
  <c r="Z74" i="34"/>
  <c r="S51" i="34"/>
  <c r="Z70" i="34"/>
  <c r="X32" i="34"/>
  <c r="S71" i="34"/>
  <c r="X70" i="34"/>
  <c r="S73" i="34"/>
  <c r="X76" i="34"/>
  <c r="Z39" i="34"/>
  <c r="X74" i="34"/>
  <c r="S8" i="34"/>
  <c r="X69" i="34"/>
  <c r="S80" i="34"/>
  <c r="Z78" i="34"/>
  <c r="X28" i="34"/>
  <c r="Z50" i="34"/>
  <c r="S60" i="34"/>
  <c r="X67" i="34"/>
  <c r="S37" i="34"/>
  <c r="S79" i="34"/>
  <c r="X50" i="34"/>
  <c r="Z71" i="34"/>
  <c r="Z8" i="34"/>
  <c r="X8" i="34"/>
  <c r="S38" i="34"/>
  <c r="S62" i="34"/>
  <c r="X57" i="34"/>
  <c r="Z28" i="34"/>
  <c r="X73" i="34"/>
  <c r="S47" i="34"/>
  <c r="X79" i="34"/>
  <c r="X75" i="34"/>
  <c r="X80" i="34"/>
  <c r="X60" i="34"/>
  <c r="X31" i="34"/>
  <c r="X63" i="34"/>
  <c r="X59" i="34"/>
  <c r="X27" i="34"/>
  <c r="X16" i="34"/>
  <c r="X52" i="34"/>
  <c r="X35" i="34"/>
  <c r="X58" i="34"/>
  <c r="X42" i="34"/>
  <c r="X14" i="34"/>
  <c r="X26" i="34"/>
  <c r="X36" i="34"/>
  <c r="X15" i="34"/>
  <c r="X61" i="34"/>
  <c r="X13" i="34"/>
  <c r="Q80" i="34"/>
  <c r="Q29" i="34"/>
  <c r="X43" i="34"/>
  <c r="Q71" i="34"/>
  <c r="Q10" i="34"/>
  <c r="Q9" i="34"/>
  <c r="Q78" i="34"/>
  <c r="Q57" i="34"/>
  <c r="Q51" i="34"/>
  <c r="Q73" i="34"/>
  <c r="Q44" i="34"/>
  <c r="Q7" i="34"/>
  <c r="Q75" i="34"/>
  <c r="Q64" i="34"/>
  <c r="Q77" i="34"/>
  <c r="Q68" i="34"/>
  <c r="Q72" i="34"/>
  <c r="Q74" i="34"/>
  <c r="Q30" i="34"/>
  <c r="Q62" i="34"/>
  <c r="Q39" i="34"/>
  <c r="Q79" i="34"/>
  <c r="Q47" i="34"/>
  <c r="F77" i="34"/>
  <c r="F80" i="34"/>
  <c r="F74" i="34"/>
  <c r="F44" i="34"/>
  <c r="F38" i="34"/>
  <c r="J32" i="34"/>
  <c r="F32" i="34"/>
  <c r="J46" i="34"/>
  <c r="F68" i="34"/>
  <c r="J78" i="34"/>
  <c r="F72" i="34"/>
  <c r="J30" i="34"/>
  <c r="F47" i="34"/>
  <c r="F78" i="34"/>
  <c r="J70" i="34"/>
  <c r="J62" i="34"/>
  <c r="F60" i="34"/>
  <c r="F67" i="34"/>
  <c r="J72" i="34"/>
  <c r="J50" i="34"/>
  <c r="F45" i="34"/>
  <c r="F39" i="34"/>
  <c r="F62" i="34"/>
  <c r="J39" i="34"/>
  <c r="J71" i="34"/>
  <c r="F10" i="34"/>
  <c r="J79" i="34"/>
  <c r="F75" i="34"/>
  <c r="R19" i="34"/>
  <c r="J9" i="34"/>
  <c r="R44" i="34"/>
  <c r="J73" i="34"/>
  <c r="F28" i="34"/>
  <c r="R73" i="34"/>
  <c r="R51" i="34"/>
  <c r="J8" i="34"/>
  <c r="F76" i="34"/>
  <c r="R78" i="34"/>
  <c r="F69" i="34"/>
  <c r="J80" i="34"/>
  <c r="F30" i="34"/>
  <c r="J67" i="34"/>
  <c r="R68" i="34"/>
  <c r="R50" i="34"/>
  <c r="J76" i="34"/>
  <c r="F71" i="34"/>
  <c r="R72" i="34"/>
  <c r="J29" i="34"/>
  <c r="J28" i="34"/>
  <c r="R29" i="34"/>
  <c r="R62" i="34"/>
  <c r="J74" i="34"/>
  <c r="R38" i="34"/>
  <c r="R47" i="34"/>
  <c r="J51" i="34"/>
  <c r="R22" i="34"/>
  <c r="R71" i="34"/>
  <c r="R75" i="34"/>
  <c r="J38" i="34"/>
  <c r="R39" i="34"/>
  <c r="R64" i="34"/>
  <c r="R57" i="34"/>
  <c r="R18" i="34"/>
  <c r="R79" i="34"/>
  <c r="E69" i="34"/>
  <c r="E80" i="34"/>
  <c r="R80" i="34"/>
  <c r="E73" i="34"/>
  <c r="E38" i="34"/>
  <c r="R60" i="34"/>
  <c r="E45" i="34"/>
  <c r="E25" i="34"/>
  <c r="E46" i="34"/>
  <c r="E71" i="34"/>
  <c r="E39" i="34"/>
  <c r="E68" i="34"/>
  <c r="U62" i="34"/>
  <c r="E60" i="34"/>
  <c r="E62" i="34"/>
  <c r="U80" i="34"/>
  <c r="E67" i="34"/>
  <c r="U67" i="34"/>
  <c r="E47" i="34"/>
  <c r="U76" i="34"/>
  <c r="U39" i="34"/>
  <c r="E77" i="34"/>
  <c r="E76" i="34"/>
  <c r="U73" i="34"/>
  <c r="U77" i="34"/>
  <c r="E70" i="34"/>
  <c r="U25" i="34"/>
  <c r="E51" i="34"/>
  <c r="E29" i="34"/>
  <c r="U74" i="34"/>
  <c r="E21" i="34"/>
  <c r="U29" i="34"/>
  <c r="E74" i="34"/>
  <c r="U38" i="34"/>
  <c r="U68" i="34"/>
  <c r="E78" i="34"/>
  <c r="U45" i="34"/>
  <c r="U21" i="34"/>
  <c r="U71" i="34"/>
  <c r="U60" i="34"/>
  <c r="U70" i="34"/>
  <c r="U78" i="34"/>
  <c r="U46" i="34"/>
  <c r="M64" i="34"/>
  <c r="U69" i="34"/>
  <c r="M45" i="34"/>
  <c r="U51" i="34"/>
  <c r="M9" i="34"/>
  <c r="U47" i="34"/>
  <c r="M37" i="34"/>
  <c r="M29" i="34"/>
  <c r="M80" i="34"/>
  <c r="M77" i="34"/>
  <c r="M73" i="34"/>
  <c r="M51" i="34"/>
  <c r="M57" i="34"/>
  <c r="M39" i="34"/>
  <c r="R42" i="34"/>
  <c r="R16" i="34"/>
  <c r="R35" i="34"/>
  <c r="R26" i="34"/>
  <c r="R15" i="34"/>
  <c r="M79" i="34"/>
  <c r="R63" i="34"/>
  <c r="M68" i="34"/>
  <c r="M70" i="34"/>
  <c r="R59" i="34"/>
  <c r="M76" i="34"/>
  <c r="M69" i="34"/>
  <c r="M50" i="34"/>
  <c r="M60" i="34"/>
  <c r="S70" i="34"/>
  <c r="M72" i="34"/>
  <c r="R36" i="34"/>
  <c r="Y32" i="34"/>
  <c r="Y51" i="34"/>
  <c r="M46" i="34"/>
  <c r="Y19" i="34"/>
  <c r="M78" i="34"/>
  <c r="M75" i="34"/>
  <c r="R58" i="34"/>
  <c r="R31" i="34"/>
  <c r="Y80" i="34"/>
  <c r="Y17" i="34"/>
  <c r="Y72" i="34"/>
  <c r="X10" i="34"/>
  <c r="X45" i="34"/>
  <c r="S57" i="34"/>
  <c r="Y70" i="34"/>
  <c r="S45" i="34"/>
  <c r="R14" i="34"/>
  <c r="Y69" i="34"/>
  <c r="X37" i="34"/>
  <c r="S64" i="34"/>
  <c r="R52" i="34"/>
  <c r="Y74" i="34"/>
  <c r="Y64" i="34"/>
  <c r="R27" i="34"/>
  <c r="S28" i="34"/>
  <c r="S29" i="34"/>
  <c r="R13" i="34"/>
  <c r="R61" i="34"/>
  <c r="Y30" i="34"/>
  <c r="Y79" i="34"/>
  <c r="S50" i="34"/>
  <c r="S78" i="34"/>
  <c r="Y50" i="34"/>
  <c r="R43" i="34"/>
  <c r="Y76" i="34"/>
  <c r="Y45" i="34"/>
  <c r="Y25" i="34"/>
  <c r="Y62" i="34"/>
  <c r="Y73" i="34"/>
  <c r="Y20" i="34"/>
  <c r="Y67" i="34"/>
  <c r="Y37" i="34"/>
  <c r="Y39" i="34"/>
  <c r="I62" i="34"/>
  <c r="I25" i="34"/>
  <c r="I39" i="34"/>
  <c r="I50" i="34"/>
  <c r="I17" i="34"/>
  <c r="I30" i="34"/>
  <c r="I73" i="34"/>
  <c r="I19" i="34"/>
  <c r="I79" i="34"/>
  <c r="I80" i="34"/>
  <c r="I70" i="34"/>
  <c r="I76" i="34"/>
  <c r="I20" i="34"/>
  <c r="I74" i="34"/>
  <c r="I67" i="34"/>
  <c r="I72" i="34"/>
  <c r="I45" i="34"/>
  <c r="I32" i="34"/>
  <c r="I69" i="34"/>
  <c r="I37" i="34"/>
  <c r="I64" i="34"/>
  <c r="I51" i="34"/>
  <c r="D46" i="34"/>
  <c r="D17" i="34"/>
  <c r="D64" i="34"/>
  <c r="D78" i="34"/>
  <c r="D51" i="34"/>
  <c r="D77" i="34"/>
  <c r="D38" i="34"/>
  <c r="D73" i="34"/>
  <c r="D76" i="34"/>
  <c r="D69" i="34"/>
  <c r="D62" i="34"/>
  <c r="D79" i="34"/>
  <c r="D70" i="34"/>
  <c r="G74" i="34"/>
  <c r="G19" i="34"/>
  <c r="D67" i="34"/>
  <c r="D74" i="34"/>
  <c r="G69" i="34"/>
  <c r="D71" i="34"/>
  <c r="G21" i="34"/>
  <c r="G32" i="34"/>
  <c r="D32" i="34"/>
  <c r="D80" i="34"/>
  <c r="G60" i="34"/>
  <c r="G64" i="34"/>
  <c r="D30" i="34"/>
  <c r="D60" i="34"/>
  <c r="G57" i="34"/>
  <c r="G44" i="34"/>
  <c r="G80" i="34"/>
  <c r="D37" i="34"/>
  <c r="G71" i="34"/>
  <c r="L74" i="34"/>
  <c r="L50" i="34"/>
  <c r="D47" i="34"/>
  <c r="G75" i="34"/>
  <c r="L69" i="34"/>
  <c r="L77" i="34"/>
  <c r="G45" i="34"/>
  <c r="L30" i="34"/>
  <c r="G78" i="34"/>
  <c r="L71" i="34"/>
  <c r="G79" i="34"/>
  <c r="L79" i="34"/>
  <c r="L70" i="34"/>
  <c r="L60" i="34"/>
  <c r="G47" i="34"/>
  <c r="L22" i="34"/>
  <c r="G72" i="34"/>
  <c r="L7" i="34"/>
  <c r="L39" i="34"/>
  <c r="L68" i="34"/>
  <c r="G67" i="34"/>
  <c r="G39" i="34"/>
  <c r="G76" i="34"/>
  <c r="G22" i="34"/>
  <c r="T15" i="34"/>
  <c r="D26" i="34"/>
  <c r="L44" i="34"/>
  <c r="T43" i="34"/>
  <c r="D59" i="34"/>
  <c r="D14" i="34"/>
  <c r="L72" i="34"/>
  <c r="D31" i="34"/>
  <c r="T59" i="34"/>
  <c r="G68" i="34"/>
  <c r="L46" i="34"/>
  <c r="T61" i="34"/>
  <c r="D36" i="34"/>
  <c r="T58" i="34"/>
  <c r="D58" i="34"/>
  <c r="L57" i="34"/>
  <c r="D43" i="34"/>
  <c r="T16" i="34"/>
  <c r="L47" i="34"/>
  <c r="L78" i="34"/>
  <c r="T27" i="34"/>
  <c r="D35" i="34"/>
  <c r="L75" i="34"/>
  <c r="T14" i="34"/>
  <c r="D15" i="34"/>
  <c r="D52" i="34"/>
  <c r="L64" i="34"/>
  <c r="T42" i="34"/>
  <c r="K74" i="34"/>
  <c r="K37" i="34"/>
  <c r="T35" i="34"/>
  <c r="D42" i="34"/>
  <c r="L37" i="34"/>
  <c r="D13" i="34"/>
  <c r="T52" i="34"/>
  <c r="K70" i="34"/>
  <c r="K78" i="34"/>
  <c r="T36" i="34"/>
  <c r="D63" i="34"/>
  <c r="K21" i="34"/>
  <c r="K18" i="34"/>
  <c r="T13" i="34"/>
  <c r="K47" i="34"/>
  <c r="T26" i="34"/>
  <c r="K71" i="34"/>
  <c r="D16" i="34"/>
  <c r="D27" i="34"/>
  <c r="T63" i="34"/>
  <c r="D61" i="34"/>
  <c r="K80" i="34"/>
  <c r="K44" i="34"/>
  <c r="T31" i="34"/>
  <c r="K77" i="34"/>
  <c r="K62" i="34"/>
  <c r="K67" i="34"/>
  <c r="K72" i="34"/>
  <c r="K17" i="34"/>
  <c r="K79" i="34"/>
  <c r="K38" i="34"/>
  <c r="K68" i="34"/>
  <c r="F52" i="34"/>
  <c r="F63" i="34"/>
  <c r="F43" i="34"/>
  <c r="K50" i="34"/>
  <c r="K39" i="34"/>
  <c r="F13" i="34"/>
  <c r="K60" i="34"/>
  <c r="F26" i="34"/>
  <c r="K46" i="34"/>
  <c r="F31" i="34"/>
  <c r="F59" i="34"/>
  <c r="F14" i="34"/>
  <c r="F61" i="34"/>
  <c r="C75" i="34"/>
  <c r="C79" i="34"/>
  <c r="F15" i="34"/>
  <c r="F42" i="34"/>
  <c r="C60" i="34"/>
  <c r="C7" i="34"/>
  <c r="C47" i="34"/>
  <c r="F16" i="34"/>
  <c r="F27" i="34"/>
  <c r="C73" i="34"/>
  <c r="F35" i="34"/>
  <c r="C64" i="34"/>
  <c r="C70" i="34"/>
  <c r="F36" i="34"/>
  <c r="C80" i="34"/>
  <c r="F58" i="34"/>
  <c r="C71" i="34"/>
  <c r="C37" i="34"/>
  <c r="C72" i="34"/>
  <c r="C28" i="34"/>
  <c r="C78" i="34"/>
  <c r="C29" i="34"/>
  <c r="C8" i="34"/>
  <c r="C62" i="34"/>
  <c r="C50" i="34"/>
  <c r="C51" i="34"/>
  <c r="C38" i="34"/>
  <c r="C69" i="34"/>
  <c r="C57" i="34"/>
  <c r="T74" i="34"/>
  <c r="T77" i="34"/>
  <c r="T78" i="34"/>
  <c r="T32" i="34"/>
  <c r="T46" i="34"/>
  <c r="T51" i="34"/>
  <c r="T71" i="34"/>
  <c r="T67" i="34"/>
  <c r="T70" i="34"/>
  <c r="T17" i="34"/>
  <c r="T47" i="34"/>
  <c r="T62" i="34"/>
  <c r="T60" i="34"/>
  <c r="AA37" i="34"/>
  <c r="T64" i="34"/>
  <c r="T80" i="34"/>
  <c r="AA78" i="34"/>
  <c r="AA17" i="34"/>
  <c r="T76" i="34"/>
  <c r="T37" i="34"/>
  <c r="AA60" i="34"/>
  <c r="T38" i="34"/>
  <c r="AA70" i="34"/>
  <c r="T73" i="34"/>
  <c r="T69" i="34"/>
  <c r="AA46" i="34"/>
  <c r="AA50" i="34"/>
  <c r="AA28" i="34"/>
  <c r="T45" i="34"/>
  <c r="AA68" i="34"/>
  <c r="AA39" i="34"/>
  <c r="T79" i="34"/>
  <c r="AA74" i="34"/>
  <c r="AA77" i="34"/>
  <c r="AA62" i="34"/>
  <c r="AA80" i="34"/>
  <c r="V15" i="34"/>
  <c r="V58" i="34"/>
  <c r="AA79" i="34"/>
  <c r="V63" i="34"/>
  <c r="AA67" i="34"/>
  <c r="AA72" i="34"/>
  <c r="V59" i="34"/>
  <c r="AA47" i="34"/>
  <c r="V27" i="34"/>
  <c r="V61" i="34"/>
  <c r="AA18" i="34"/>
  <c r="V35" i="34"/>
  <c r="AA71" i="34"/>
  <c r="V16" i="34"/>
  <c r="AA21" i="34"/>
  <c r="V26" i="34"/>
  <c r="AA38" i="34"/>
  <c r="V14" i="34"/>
  <c r="V36" i="34"/>
  <c r="V52" i="34"/>
  <c r="V42" i="34"/>
  <c r="V43" i="34"/>
  <c r="V31" i="34"/>
  <c r="V13" i="34"/>
  <c r="W67" i="34"/>
  <c r="W71" i="34"/>
  <c r="W80" i="34"/>
  <c r="W76" i="34"/>
  <c r="W19" i="34"/>
  <c r="W78" i="34"/>
  <c r="W21" i="34"/>
  <c r="W72" i="34"/>
  <c r="W74" i="34"/>
  <c r="W57" i="34"/>
  <c r="W68" i="34"/>
  <c r="W45" i="34"/>
  <c r="W47" i="34"/>
  <c r="W75" i="34"/>
  <c r="W69" i="34"/>
  <c r="W22" i="34"/>
  <c r="W64" i="34"/>
  <c r="W44" i="34"/>
  <c r="W50" i="34"/>
  <c r="W39" i="34"/>
  <c r="W32" i="34"/>
  <c r="O58" i="34"/>
  <c r="O15" i="34"/>
  <c r="W60" i="34"/>
  <c r="O14" i="34"/>
  <c r="O63" i="34"/>
  <c r="O42" i="34"/>
  <c r="O36" i="34"/>
  <c r="O61" i="34"/>
  <c r="O52" i="34"/>
  <c r="O31" i="34"/>
  <c r="O13" i="34"/>
  <c r="O27" i="34"/>
  <c r="O26" i="34"/>
  <c r="O43" i="34"/>
  <c r="O59" i="34"/>
  <c r="O16" i="34"/>
  <c r="O35" i="34"/>
  <c r="Q31" i="34"/>
  <c r="Q42" i="34"/>
  <c r="Q59" i="34"/>
  <c r="Q36" i="34"/>
  <c r="Q15" i="34"/>
  <c r="Q26" i="34"/>
  <c r="Q52" i="34"/>
  <c r="Q27" i="34"/>
  <c r="Q58" i="34"/>
  <c r="Q63" i="34"/>
  <c r="Q14" i="34"/>
  <c r="Q13" i="34"/>
  <c r="Q16" i="34"/>
  <c r="Q61" i="34"/>
  <c r="P15" i="34"/>
  <c r="Q35" i="34"/>
  <c r="P31" i="34"/>
  <c r="Q43" i="34"/>
  <c r="P42" i="34"/>
  <c r="P63" i="34"/>
  <c r="P58" i="34"/>
  <c r="P26" i="34"/>
  <c r="P16" i="34"/>
  <c r="P13" i="34"/>
  <c r="P52" i="34"/>
  <c r="P36" i="34"/>
  <c r="P35" i="34"/>
  <c r="P27" i="34"/>
  <c r="P43" i="34"/>
  <c r="P14" i="34"/>
  <c r="P61" i="34"/>
  <c r="P59" i="34"/>
</calcChain>
</file>

<file path=xl/sharedStrings.xml><?xml version="1.0" encoding="utf-8"?>
<sst xmlns="http://schemas.openxmlformats.org/spreadsheetml/2006/main" count="8698" uniqueCount="2029">
  <si>
    <t>Revenue</t>
  </si>
  <si>
    <t>Total Revenue</t>
  </si>
  <si>
    <t>Gross Profit</t>
  </si>
  <si>
    <t>Cash &amp; Equivalents</t>
  </si>
  <si>
    <t>Reference Items</t>
  </si>
  <si>
    <t>Right click to show data transparency (not supported for all values)</t>
  </si>
  <si>
    <t>FY 2005</t>
  </si>
  <si>
    <t>Amgen Inc (AMGN US) - Adj Highlights</t>
  </si>
  <si>
    <t>In Millions of USD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</si>
  <si>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</si>
  <si>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</si>
  <si>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</si>
  <si>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</si>
  <si>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</si>
  <si>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</si>
  <si>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</si>
  <si>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</si>
  <si>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</si>
  <si>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</si>
  <si>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</si>
  <si>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</si>
  <si>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</si>
  <si>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</si>
  <si>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</si>
  <si>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</si>
  <si>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</si>
  <si>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</si>
  <si>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</si>
  <si>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</si>
  <si>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</si>
  <si>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</si>
  <si>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</si>
  <si>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 Est</t>
  </si>
  <si>
    <t>Q2 2025 Est</t>
  </si>
  <si>
    <t>3 Months Ending</t>
  </si>
  <si>
    <t>06/30/2019</t>
  </si>
  <si>
    <t>09/30/2019</t>
  </si>
  <si>
    <t>12/31/2019</t>
  </si>
  <si>
    <t>03/31/2020</t>
  </si>
  <si>
    <t>06/30/2020</t>
  </si>
  <si>
    <t>09/30/2020</t>
  </si>
  <si>
    <t>12/31/2020</t>
  </si>
  <si>
    <t>03/31/2021</t>
  </si>
  <si>
    <t>06/30/2021</t>
  </si>
  <si>
    <t>09/30/2021</t>
  </si>
  <si>
    <t>12/31/2021</t>
  </si>
  <si>
    <t>03/31/2022</t>
  </si>
  <si>
    <t>06/30/2022</t>
  </si>
  <si>
    <t>09/30/2022</t>
  </si>
  <si>
    <t>12/31/2022</t>
  </si>
  <si>
    <t>03/31/2023</t>
  </si>
  <si>
    <t>06/30/2023</t>
  </si>
  <si>
    <t>09/30/2023</t>
  </si>
  <si>
    <t>12/31/2023</t>
  </si>
  <si>
    <t>03/31/2024</t>
  </si>
  <si>
    <t>06/30/2024</t>
  </si>
  <si>
    <t>09/30/2024</t>
  </si>
  <si>
    <t>12/31/2024</t>
  </si>
  <si>
    <t>03/31/2025</t>
  </si>
  <si>
    <t>06/30/2025</t>
  </si>
  <si>
    <t>Market Capitalization</t>
  </si>
  <si>
    <t>HISTORICAL_MARKET_CAP</t>
  </si>
  <si>
    <t>- Cash &amp; Equivalents</t>
  </si>
  <si>
    <t>CASH_AND_MARKETABLE_SECURITIES</t>
  </si>
  <si>
    <t>+ Preferred &amp; Other</t>
  </si>
  <si>
    <t>PFD_EQTY_MINORTY_INTEREST</t>
  </si>
  <si>
    <t>+ Total Debt</t>
  </si>
  <si>
    <t>SHORT_AND_LONG_TERM_DEBT</t>
  </si>
  <si>
    <t>Enterprise Value</t>
  </si>
  <si>
    <t>ENTERPRISE_VALUE</t>
  </si>
  <si>
    <t>Revenue, Adj</t>
  </si>
  <si>
    <t>SALES_REV_TURN</t>
  </si>
  <si>
    <t xml:space="preserve">  Growth %, YoY</t>
  </si>
  <si>
    <t>SALES_GROWTH</t>
  </si>
  <si>
    <t>Gross Profit, Adj</t>
  </si>
  <si>
    <t>GROSS_PROFIT</t>
  </si>
  <si>
    <t xml:space="preserve">  Margin %</t>
  </si>
  <si>
    <t>EBITDA, Adj</t>
  </si>
  <si>
    <t>EBITDA</t>
  </si>
  <si>
    <t>Net Income, Adj</t>
  </si>
  <si>
    <t>EARN_FOR_COMMON</t>
  </si>
  <si>
    <t>EPS, Adj</t>
  </si>
  <si>
    <t>IS_DIL_EPS_CONT_OPS</t>
  </si>
  <si>
    <t>DILUTED_EPS_AFT_XO_ITEMS_GROWTH</t>
  </si>
  <si>
    <t>Cash from Operations</t>
  </si>
  <si>
    <t>CF_CASH_FROM_OPER</t>
  </si>
  <si>
    <t>Capital Expenditures</t>
  </si>
  <si>
    <t>CAPITAL_EXPEND</t>
  </si>
  <si>
    <t>Free Cash Flow</t>
  </si>
  <si>
    <t>CF_FREE_CASH_FLOW</t>
  </si>
  <si>
    <t>Source: Bloomberg</t>
  </si>
  <si>
    <t>Amgen Inc (AMGN US) - GAAP Highlights</t>
  </si>
  <si>
    <t>In Millions of USD except Per Share</t>
  </si>
  <si>
    <t>Q4 2018</t>
  </si>
  <si>
    <t>Q1 2019</t>
  </si>
  <si>
    <t>12/31/2018</t>
  </si>
  <si>
    <t>03/31/2019</t>
  </si>
  <si>
    <t>Total Revenues</t>
  </si>
  <si>
    <t>Operating Income</t>
  </si>
  <si>
    <t>IS_OPER_INC</t>
  </si>
  <si>
    <t>Net Income to Common</t>
  </si>
  <si>
    <t>Basic EPS, GAAP</t>
  </si>
  <si>
    <t>IS_EPS</t>
  </si>
  <si>
    <t>Diluted EPS, GAAP</t>
  </si>
  <si>
    <t>IS_DILUTED_EPS</t>
  </si>
  <si>
    <t xml:space="preserve">  Basic Weighted Avg Shares</t>
  </si>
  <si>
    <t>IS_AVG_NUM_SH_FOR_EPS</t>
  </si>
  <si>
    <t xml:space="preserve">  Diluted Weighted Avg Shares</t>
  </si>
  <si>
    <t>IS_SH_FOR_DILUTED_EPS</t>
  </si>
  <si>
    <t>Cash and Equivalents</t>
  </si>
  <si>
    <t>Total Current Assets</t>
  </si>
  <si>
    <t>BS_CUR_ASSET_REPORT</t>
  </si>
  <si>
    <t>Total Assets</t>
  </si>
  <si>
    <t>BS_TOT_ASSET</t>
  </si>
  <si>
    <t>Total Current Liabilities</t>
  </si>
  <si>
    <t>BS_CUR_LIAB</t>
  </si>
  <si>
    <t>Total Liabilities</t>
  </si>
  <si>
    <t>BS_TOT_LIAB2</t>
  </si>
  <si>
    <t>Total Equity</t>
  </si>
  <si>
    <t>TOTAL_EQUITY</t>
  </si>
  <si>
    <t xml:space="preserve">  Shares Out on Balance Sheet</t>
  </si>
  <si>
    <t>BS_SH_OUT</t>
  </si>
  <si>
    <t xml:space="preserve">  Shares Out on Filing Cover</t>
  </si>
  <si>
    <t>ARD_SHARE_OUT_FROM_FRONT_COVER</t>
  </si>
  <si>
    <t>Cash From Operations</t>
  </si>
  <si>
    <t>Cash From Investing</t>
  </si>
  <si>
    <t>CF_CASH_FROM_INV_ACT</t>
  </si>
  <si>
    <t>Cash From Financing</t>
  </si>
  <si>
    <t>CF_CASH_FROM_FNC_ACT</t>
  </si>
  <si>
    <t>Amgen Inc (AMGN US) - Earnings</t>
  </si>
  <si>
    <t>Consensus Estimate</t>
  </si>
  <si>
    <t>BEST_SALES</t>
  </si>
  <si>
    <t>Comparable Actual</t>
  </si>
  <si>
    <t>IS_COMP_SALES</t>
  </si>
  <si>
    <t xml:space="preserve">  Revenue Surprise %</t>
  </si>
  <si>
    <t xml:space="preserve">  GAAP Actual</t>
  </si>
  <si>
    <t xml:space="preserve">  Adjusted Actual</t>
  </si>
  <si>
    <t>Earnings Per Share</t>
  </si>
  <si>
    <t>BEST_EPS</t>
  </si>
  <si>
    <t>IS_COMP_EPS_EXCL_STOCK_COMP</t>
  </si>
  <si>
    <t xml:space="preserve">  EPS Surprise %</t>
  </si>
  <si>
    <t>EBIT</t>
  </si>
  <si>
    <t>BEST_OPP</t>
  </si>
  <si>
    <t>IS_COMPARABLE_EBIT</t>
  </si>
  <si>
    <t xml:space="preserve">  EBIT Surprise %</t>
  </si>
  <si>
    <t>BEST_EBITDA</t>
  </si>
  <si>
    <t>IS_COMPARABLE_EBITDA</t>
  </si>
  <si>
    <t xml:space="preserve">  EBITDA Surprise %</t>
  </si>
  <si>
    <t>—</t>
  </si>
  <si>
    <t>Gross Margin %</t>
  </si>
  <si>
    <t>BEST_GROSS_MARGIN</t>
  </si>
  <si>
    <t>IS_COMP_GROSS_MARGIN_PERCENTAGE</t>
  </si>
  <si>
    <t xml:space="preserve">  Gross Margin Surprise %</t>
  </si>
  <si>
    <t>GROSS_MARGIN</t>
  </si>
  <si>
    <t>Pretax Income (Loss)</t>
  </si>
  <si>
    <t>BEST_PTP</t>
  </si>
  <si>
    <t>IS_COMP_PTP_EX_STK_BASED_COMP</t>
  </si>
  <si>
    <t xml:space="preserve">  Pretax Income (Loss) Surprise %</t>
  </si>
  <si>
    <t>PRETAX_INC</t>
  </si>
  <si>
    <t>Net Income</t>
  </si>
  <si>
    <t>BEST_NET_INCOME</t>
  </si>
  <si>
    <t>IS_COMP_NET_INC_EXCL_STOCK_COMP</t>
  </si>
  <si>
    <t xml:space="preserve">  Net Income Surprise %</t>
  </si>
  <si>
    <t>Amgen Inc (AMGN US) - Enterprise Value</t>
  </si>
  <si>
    <t>Current</t>
  </si>
  <si>
    <t>03/28/2025</t>
  </si>
  <si>
    <t xml:space="preserve">  - Cash &amp; Equivalents</t>
  </si>
  <si>
    <t xml:space="preserve">  + Preferred Equity</t>
  </si>
  <si>
    <t>PFD_EQTY_HYBRID_CAPITAL</t>
  </si>
  <si>
    <t xml:space="preserve">  + Minority Interest</t>
  </si>
  <si>
    <t>MINORITY_NONCONTROLLING_INTEREST</t>
  </si>
  <si>
    <t xml:space="preserve">  + Total Debt</t>
  </si>
  <si>
    <t>Total Capital</t>
  </si>
  <si>
    <t>BS_TOT_CAP</t>
  </si>
  <si>
    <t>Total Debt/Total Capital</t>
  </si>
  <si>
    <t>TOT_DEBT_TO_TOT_CAP</t>
  </si>
  <si>
    <t>Total Debt/EV</t>
  </si>
  <si>
    <t>TOTAL_DEBT_TO_EV</t>
  </si>
  <si>
    <t>EV/Sales</t>
  </si>
  <si>
    <t>EV_TO_T12M_SALES</t>
  </si>
  <si>
    <t>EV/EBITDA</t>
  </si>
  <si>
    <t>EV_TO_T12M_EBITDA</t>
  </si>
  <si>
    <t>EV/EBIT</t>
  </si>
  <si>
    <t>EV_TO_T12M_EBIT</t>
  </si>
  <si>
    <t>EV/Cash Flow to Firm</t>
  </si>
  <si>
    <t>EV_TO_T12M_CASH_FLOW_FIRM</t>
  </si>
  <si>
    <t>EV/Free Cash Flow to Firm</t>
  </si>
  <si>
    <t>EV_TO_T12M_FREE_CASH_FLOW_FIRM</t>
  </si>
  <si>
    <t>Diluted Market Cap</t>
  </si>
  <si>
    <t>DILUTED_MKT_CAP</t>
  </si>
  <si>
    <t>Diluted Enterprise Value</t>
  </si>
  <si>
    <t>DILUTED_EV</t>
  </si>
  <si>
    <t>EV per Share</t>
  </si>
  <si>
    <t>EV_TO_SH_OUT</t>
  </si>
  <si>
    <t>Trailing 12 Month Values for Ratios</t>
  </si>
  <si>
    <t>IFRS 16/ASC 842 Adoption</t>
  </si>
  <si>
    <t>IFRS_16_ASC_842_ADOPTION_IND</t>
  </si>
  <si>
    <t>Yes</t>
  </si>
  <si>
    <t>Sales</t>
  </si>
  <si>
    <t>TRAIL_12M_NET_SALES</t>
  </si>
  <si>
    <t>TRAIL_12M_EBITDA</t>
  </si>
  <si>
    <t>TRAIL_12M_OPER_INC</t>
  </si>
  <si>
    <t>Cash Flow To Firm</t>
  </si>
  <si>
    <t>TRAIL_12M_CASH_FLOW_FIRM</t>
  </si>
  <si>
    <t>Free Cash Flow To Firm</t>
  </si>
  <si>
    <t>TRAIL_12M_FREE_CASH_FLOW_FIRM</t>
  </si>
  <si>
    <t>Amgen Inc (AMGN US) - Multiples</t>
  </si>
  <si>
    <t>P/E</t>
  </si>
  <si>
    <t>PE_RATIO</t>
  </si>
  <si>
    <t xml:space="preserve">  Average</t>
  </si>
  <si>
    <t>AVERAGE_PRICE_EARNINGS_RATIO</t>
  </si>
  <si>
    <t xml:space="preserve">  High</t>
  </si>
  <si>
    <t>PX_ERN_RATIO_WITH_HIGH_CLOS_PX</t>
  </si>
  <si>
    <t xml:space="preserve">  Low</t>
  </si>
  <si>
    <t>PX_ERN_RATIO_WITH_LOW_CLOS_PX</t>
  </si>
  <si>
    <t>P/Book</t>
  </si>
  <si>
    <t>PX_TO_BOOK_RATIO</t>
  </si>
  <si>
    <t>AVERAGE_PRICE_TO_BOOK_RATIO</t>
  </si>
  <si>
    <t>HIGH_CLOSING_PRICE_TO_BOOK_RATIO</t>
  </si>
  <si>
    <t>LOW_CLOSING_PRICE_TO_BOOK_RATIO</t>
  </si>
  <si>
    <t>P/Sales</t>
  </si>
  <si>
    <t>PX_TO_SALES_RATIO</t>
  </si>
  <si>
    <t>AVERAGE_PRICE_TO_SALES_RATIO</t>
  </si>
  <si>
    <t>HIGH_PX_TO_SALES_RATIO</t>
  </si>
  <si>
    <t>LOW_PX_TO_SALES_RATIO</t>
  </si>
  <si>
    <t>P/Cash Flow</t>
  </si>
  <si>
    <t>PX_TO_CASH_FLOW</t>
  </si>
  <si>
    <t>AVERAGE_PRICE_TO_CASH_FLOW</t>
  </si>
  <si>
    <t>HIGH_CLOSING_PRICE_TO_CASH_FLOW</t>
  </si>
  <si>
    <t>LOW_CLOSING_PRICE_TO_CASH_FLOW</t>
  </si>
  <si>
    <t>P/Free Cash Flow</t>
  </si>
  <si>
    <t>PX_TO_FREE_CASH_FLOW</t>
  </si>
  <si>
    <t>AVERAGE_PRICE_TO_FREE_CASH_FLOW</t>
  </si>
  <si>
    <t>HIGH_PRICE_TO_FREE_CASH_FLOW</t>
  </si>
  <si>
    <t>LOW_PRICE_TO_FREE_CASH_FLOW</t>
  </si>
  <si>
    <t>AVERAGE_EV_TO_T12M_SALES</t>
  </si>
  <si>
    <t>HIGH_EV_TO_T12M_SALES</t>
  </si>
  <si>
    <t>LOW_EV_TO_T12M_SALES</t>
  </si>
  <si>
    <t>AVG_EV_TO_T12M_EBITDA</t>
  </si>
  <si>
    <t>HIGH_EV_TO_T12M_EBITDA</t>
  </si>
  <si>
    <t>LOW_EV_TO_T12M_EBITDA</t>
  </si>
  <si>
    <t>AVERAGE_EV_TO_T12M_EBIT</t>
  </si>
  <si>
    <t>HIGH_EV_TO_T12M_EBIT</t>
  </si>
  <si>
    <t>LOW_EV_TO_T12M_EBIT</t>
  </si>
  <si>
    <t>Price/Share</t>
  </si>
  <si>
    <t>PX_LAST</t>
  </si>
  <si>
    <t>PX_HIGH</t>
  </si>
  <si>
    <t>PX_LOW</t>
  </si>
  <si>
    <t>AVERAGE_ENTERPRISE_VALUE</t>
  </si>
  <si>
    <t>HIGH_ENTERPRISE_VALUE</t>
  </si>
  <si>
    <t>LOW_ENTERPRISE_VALUE</t>
  </si>
  <si>
    <t>Amgen Inc (AMGN US) - Per Share</t>
  </si>
  <si>
    <t>Basic Shares Outstanding</t>
  </si>
  <si>
    <t>Diluted Weighted Avg Shares</t>
  </si>
  <si>
    <t>Basic Weighted Avg Shares</t>
  </si>
  <si>
    <t>Per Share Data Items</t>
  </si>
  <si>
    <t>REVENUE_PER_SH</t>
  </si>
  <si>
    <t>EBITDA_PER_SH</t>
  </si>
  <si>
    <t>OPER_INC_PER_SH</t>
  </si>
  <si>
    <t>Net Income to Common - Basic</t>
  </si>
  <si>
    <t>Net Income before XO - Basic</t>
  </si>
  <si>
    <t>IS_EARN_BEF_XO_ITEMS_PER_SH</t>
  </si>
  <si>
    <t>Normalized Net Income - Basic</t>
  </si>
  <si>
    <t>IS_BASIC_EPS_CONT_OPS</t>
  </si>
  <si>
    <t>Net Income to Common - Diluted</t>
  </si>
  <si>
    <t>Net Income before XO - Diluted</t>
  </si>
  <si>
    <t>IS_DIL_EPS_BEF_XO</t>
  </si>
  <si>
    <t>Normalized Net Income - Diluted</t>
  </si>
  <si>
    <t>Dividends</t>
  </si>
  <si>
    <t>EQY_DPS</t>
  </si>
  <si>
    <t>Cash Flow</t>
  </si>
  <si>
    <t>CASH_FLOW_PER_SH</t>
  </si>
  <si>
    <t>FREE_CASH_FLOW_PER_SH</t>
  </si>
  <si>
    <t>CASH_ST_INVESTMENTS_PER_SH</t>
  </si>
  <si>
    <t>Book Value</t>
  </si>
  <si>
    <t>BOOK_VAL_PER_SH</t>
  </si>
  <si>
    <t>Tangible Book Value</t>
  </si>
  <si>
    <t>TANG_BOOK_VAL_PER_SH</t>
  </si>
  <si>
    <t>Amgen Inc (AMGN US) - Stock Value</t>
  </si>
  <si>
    <t>Last Price</t>
  </si>
  <si>
    <t xml:space="preserve">  Period-over-Period % Change</t>
  </si>
  <si>
    <t>CHG_PCT_PERIOD</t>
  </si>
  <si>
    <t>Open Price</t>
  </si>
  <si>
    <t>PX_OPEN</t>
  </si>
  <si>
    <t>High Price</t>
  </si>
  <si>
    <t>Low Price</t>
  </si>
  <si>
    <t xml:space="preserve">  Current Shares Outstanding</t>
  </si>
  <si>
    <t>EQY_SH_OUT</t>
  </si>
  <si>
    <t xml:space="preserve">  Equity Float</t>
  </si>
  <si>
    <t>EQY_FLOAT</t>
  </si>
  <si>
    <t>Amgen Inc (AMGN US) - EV Ex Operating Leases</t>
  </si>
  <si>
    <t>TOT_DEBT_EX_OPERATING_LEA_LIABS</t>
  </si>
  <si>
    <t>EV_EX_OPERATING_LEASE_LIABS</t>
  </si>
  <si>
    <t>TOT_CPTL_EX_OPERATING_LEA_LIABS</t>
  </si>
  <si>
    <t>TOT_DBT_TO_CPTL_EX_OP_LEA_LIABS</t>
  </si>
  <si>
    <t>TOT_DEBT_TO_EV_EX_OPER_LEA_LIABS</t>
  </si>
  <si>
    <t>EV_EX_OPER_LEA_LIABS_TO_SALES</t>
  </si>
  <si>
    <t>EV_TO_EBITDA_EX_OPERATING_LEASE</t>
  </si>
  <si>
    <t>EV_TO_EBIT_EX_OPERATING_LEASE</t>
  </si>
  <si>
    <t>EV_EX_OP_LEA_LIABS_TO_CF_TO_FIRM</t>
  </si>
  <si>
    <t>EV_EX_OP_LEA_LIAB_TO_FCF_TO_FIRM</t>
  </si>
  <si>
    <t>DILUTED_EV_EX_OPERATING_LEASE</t>
  </si>
  <si>
    <t>EV_EX_OP_LEA_LIAB_TO_SHS_OUTSTDG</t>
  </si>
  <si>
    <t>T12M_EBITDA_AFTER_OPER_LEA_EXPN</t>
  </si>
  <si>
    <t>T12_EBIT_AFT_OPER_LEASE_EXPN</t>
  </si>
  <si>
    <t>T12_CF_TO_FIRM_AFT_OP_LEA_PYMTS</t>
  </si>
  <si>
    <t>T12_FCF_TO_FIRM_AFT_OP_LEA_PYMTS</t>
  </si>
  <si>
    <t>Amgen Inc (AMGN US) - Adjusted</t>
  </si>
  <si>
    <t xml:space="preserve">    + Sales &amp; Services Revenue</t>
  </si>
  <si>
    <t>IS_SALES_AND_SERVICES_REVENUES</t>
  </si>
  <si>
    <t xml:space="preserve">    + Other Revenue</t>
  </si>
  <si>
    <t>IS_OTHER_REVENUE</t>
  </si>
  <si>
    <t xml:space="preserve">  - Cost of Revenue</t>
  </si>
  <si>
    <t>IS_COGS_TO_FE_AND_PP_AND_G</t>
  </si>
  <si>
    <t xml:space="preserve">    + Cost of Goods &amp; Services</t>
  </si>
  <si>
    <t>IS_COG_AND_SERVICES_SOLD</t>
  </si>
  <si>
    <t xml:space="preserve">  + Other Operating Income</t>
  </si>
  <si>
    <t>IS_OTHER_OPER_INC</t>
  </si>
  <si>
    <t xml:space="preserve">  - Operating Expenses</t>
  </si>
  <si>
    <t>IS_OPERATING_EXPN</t>
  </si>
  <si>
    <t xml:space="preserve">    + Selling, General &amp; Admin</t>
  </si>
  <si>
    <t>IS_SGA_EXPENSE</t>
  </si>
  <si>
    <t xml:space="preserve">    + Research &amp; Development</t>
  </si>
  <si>
    <t>IS_OPERATING_EXPENSES_RD</t>
  </si>
  <si>
    <t xml:space="preserve">    + Other Operating Expense</t>
  </si>
  <si>
    <t>IS_OTHER_OPERATING_EXPENSES</t>
  </si>
  <si>
    <t>Operating Income (Loss)</t>
  </si>
  <si>
    <t xml:space="preserve">  - Non-Operating (Income) Loss</t>
  </si>
  <si>
    <t>IS_NONOP_INCOME_LOSS</t>
  </si>
  <si>
    <t xml:space="preserve">    + Interest Expense, Net</t>
  </si>
  <si>
    <t>IS_NET_INTEREST_EXPENSE</t>
  </si>
  <si>
    <t xml:space="preserve">    + Interest Expense</t>
  </si>
  <si>
    <t>IS_INT_EXPENSE</t>
  </si>
  <si>
    <t xml:space="preserve">    - Interest Income</t>
  </si>
  <si>
    <t>IS_INT_INC</t>
  </si>
  <si>
    <t xml:space="preserve">    + Other Non-Op (Income) Loss</t>
  </si>
  <si>
    <t>IS_OTHER_NON_OPERATING_INC_LOSS</t>
  </si>
  <si>
    <t>Pretax Income (Loss), Adjusted</t>
  </si>
  <si>
    <t xml:space="preserve">  - Abnormal Losses (Gains)</t>
  </si>
  <si>
    <t>IS_ABNORMAL_ITEM</t>
  </si>
  <si>
    <t xml:space="preserve">    + Acquired In-Process R&amp;D</t>
  </si>
  <si>
    <t>IS_ACQUIRED_PROCESS_RD</t>
  </si>
  <si>
    <t xml:space="preserve">    + Merger/Acquisition Expense</t>
  </si>
  <si>
    <t>IS_MERGER_ACQUISITION_EXPENSE</t>
  </si>
  <si>
    <t xml:space="preserve">    + Asset Write-Down</t>
  </si>
  <si>
    <t>IS_IMPAIRMENT_ASSETS</t>
  </si>
  <si>
    <t xml:space="preserve">    + Legal Settlement</t>
  </si>
  <si>
    <t>IS_LEGAL_LITIGATION_SETTLEMENT</t>
  </si>
  <si>
    <t xml:space="preserve">    + Restructuring</t>
  </si>
  <si>
    <t>IS_RESTRUCTURING_EXPENSES</t>
  </si>
  <si>
    <t xml:space="preserve">    + Sale of Investments</t>
  </si>
  <si>
    <t>IS_GAIN_LOSS_ON_INVESTMENTS</t>
  </si>
  <si>
    <t xml:space="preserve">    + Unrealized Investments</t>
  </si>
  <si>
    <t>IS_UNREALIZED_INVESTMENTS</t>
  </si>
  <si>
    <t xml:space="preserve">    + Other Abnormal Items</t>
  </si>
  <si>
    <t>IS_OTHER_ONE_TIME_ITEMS</t>
  </si>
  <si>
    <t>Pretax Income (Loss), GAAP</t>
  </si>
  <si>
    <t xml:space="preserve">  - Income Tax Expense (Benefit)</t>
  </si>
  <si>
    <t>IS_INC_TAX_EXP</t>
  </si>
  <si>
    <t>Income (Loss) from Cont Ops</t>
  </si>
  <si>
    <t>IS_INC_BEF_XO_ITEM</t>
  </si>
  <si>
    <t xml:space="preserve">  - Net Extraordinary Losses (Gains)</t>
  </si>
  <si>
    <t>XO_GL_NET_OF_TAX</t>
  </si>
  <si>
    <t xml:space="preserve">    + Discontinued Operations</t>
  </si>
  <si>
    <t>IS_DISCONTINUED_OPERATIONS</t>
  </si>
  <si>
    <t xml:space="preserve">    + XO &amp; Accounting Changes</t>
  </si>
  <si>
    <t>EXTRAORD_ITEMS_ACCOUNTING_CHANGS</t>
  </si>
  <si>
    <t>Income (Loss) Incl. MI</t>
  </si>
  <si>
    <t>NI_INCLUDING_MINORITY_INT_RATIO</t>
  </si>
  <si>
    <t xml:space="preserve">  - Minority Interest</t>
  </si>
  <si>
    <t>MIN_NONCONTROL_INTEREST_CREDITS</t>
  </si>
  <si>
    <t>Net Income, GAAP</t>
  </si>
  <si>
    <t>NET_INCOME</t>
  </si>
  <si>
    <t xml:space="preserve">  - Preferred Dividends</t>
  </si>
  <si>
    <t>IS_TOT_CASH_PFD_DVD</t>
  </si>
  <si>
    <t xml:space="preserve">  - Other Adjustments</t>
  </si>
  <si>
    <t>OTHER_ADJUSTMENTS</t>
  </si>
  <si>
    <t>Net Income Avail to Common, GAAP</t>
  </si>
  <si>
    <t>Net Income Avail to Common, Adj</t>
  </si>
  <si>
    <t xml:space="preserve">  Net Abnormal Losses (Gains)</t>
  </si>
  <si>
    <t>IS_NET_ABNORMAL_ITEMS</t>
  </si>
  <si>
    <t xml:space="preserve">  Net Extraordinary Losses (Gains)</t>
  </si>
  <si>
    <t>Basic EPS from Cont Ops, GAAP</t>
  </si>
  <si>
    <t>Basic EPS from Cont Ops, Adjusted</t>
  </si>
  <si>
    <t>Diluted EPS from Cont Ops, GAAP</t>
  </si>
  <si>
    <t>Diluted EPS from Cont Ops, Adjusted</t>
  </si>
  <si>
    <t>Accounting Standard</t>
  </si>
  <si>
    <t>ACCOUNTING_STANDARD</t>
  </si>
  <si>
    <t>US GAAP</t>
  </si>
  <si>
    <t>EBITDA Margin (T12M)</t>
  </si>
  <si>
    <t>EBITDA_MARGIN</t>
  </si>
  <si>
    <t>EBITA</t>
  </si>
  <si>
    <t>Gross Margin</t>
  </si>
  <si>
    <t>Operating Margin</t>
  </si>
  <si>
    <t>OPER_MARGIN</t>
  </si>
  <si>
    <t>Profit Margin</t>
  </si>
  <si>
    <t>PROF_MARGIN</t>
  </si>
  <si>
    <t>Sales per Employee</t>
  </si>
  <si>
    <t>ACTUAL_SALES_PER_EMPL</t>
  </si>
  <si>
    <t>Dividends per Share</t>
  </si>
  <si>
    <t>Total Cash Common Dividends</t>
  </si>
  <si>
    <t>IS_TOT_CASH_COM_DVD</t>
  </si>
  <si>
    <t>Depreciation Expense</t>
  </si>
  <si>
    <t>IS_DEPR_EXP</t>
  </si>
  <si>
    <t>Rental Expense</t>
  </si>
  <si>
    <t>BS_CURR_RENTAL_EXPENSE</t>
  </si>
  <si>
    <t>Amgen Inc (AMGN US) - GAAP</t>
  </si>
  <si>
    <t>IS_OPER_EXPENSES_RD_GAAP</t>
  </si>
  <si>
    <t>OTHER_OPERATING_EXPENSES_RATIO</t>
  </si>
  <si>
    <t>NONOP_INCOME_LOSS</t>
  </si>
  <si>
    <t>OTHER_NONOP_INCOME_LOSS</t>
  </si>
  <si>
    <t>Pretax Income</t>
  </si>
  <si>
    <t>Amgen Inc (AMGN US) - As Reported</t>
  </si>
  <si>
    <t>Income Statement</t>
  </si>
  <si>
    <t xml:space="preserve">  Revenues</t>
  </si>
  <si>
    <t>Other Revenue</t>
  </si>
  <si>
    <t>ARD_OTHER_REV</t>
  </si>
  <si>
    <t>Product Revenue</t>
  </si>
  <si>
    <t>ARD_PRODUCT_REVENUE</t>
  </si>
  <si>
    <t>ARD_TOTAL_REVENUES</t>
  </si>
  <si>
    <t xml:space="preserve">  Operating Expenses</t>
  </si>
  <si>
    <t>Total Operating Expenses</t>
  </si>
  <si>
    <t>ARD_TOTAL_OPERATING_EXPENSES</t>
  </si>
  <si>
    <t>Cost of Goods Sold</t>
  </si>
  <si>
    <t>ARD_COST_OF_GOODS_SOLD</t>
  </si>
  <si>
    <t>R &amp; D Expenditures</t>
  </si>
  <si>
    <t>ARD_R&amp;D_EXPENDITURES</t>
  </si>
  <si>
    <t>Selling General and Administrative Expenses</t>
  </si>
  <si>
    <t>ARD_SELLING_GENERAL_ADMIN_EXP</t>
  </si>
  <si>
    <t>Other Operating Expenses</t>
  </si>
  <si>
    <t>ARD_OTHER_OPERATING_EXPENSES</t>
  </si>
  <si>
    <t>Acquired In-Process R&amp;D</t>
  </si>
  <si>
    <t>ARD_ACQUIRED_IN_PROCESS_R&amp;D</t>
  </si>
  <si>
    <t>Other Operating Income</t>
  </si>
  <si>
    <t>ARD_OTHER_OPERATING_INC</t>
  </si>
  <si>
    <t>ARD_OPERATING_INCOME</t>
  </si>
  <si>
    <t>Other Operating (Income)/Expense - Net</t>
  </si>
  <si>
    <t>ARD_OTH_OPERATING_INC_EXP_NET</t>
  </si>
  <si>
    <t xml:space="preserve">  Non-Operating Expenses</t>
  </si>
  <si>
    <t>Interest Expense - Net</t>
  </si>
  <si>
    <t>ARD_INT_EXP_NET</t>
  </si>
  <si>
    <t>Income Tax Expense (Benefit)</t>
  </si>
  <si>
    <t>ARD_INCOME_TAX_EXP_BENEFIT</t>
  </si>
  <si>
    <t>Income Before Income Taxes</t>
  </si>
  <si>
    <t>ARD_INCOME_BEFORE_INCOME_TAXES</t>
  </si>
  <si>
    <t>Other Non-Operating (Income)/Expense - Net</t>
  </si>
  <si>
    <t>ARD_OTH_NON_OPER_INC_EXP_NET</t>
  </si>
  <si>
    <t xml:space="preserve">  Earnings</t>
  </si>
  <si>
    <t>Dividends Per Share</t>
  </si>
  <si>
    <t>ARD_DVD_PER_SH</t>
  </si>
  <si>
    <t>Basic EPS</t>
  </si>
  <si>
    <t>ARD_BASIC_EPS</t>
  </si>
  <si>
    <t>Weighted Avg. Shares - Basic</t>
  </si>
  <si>
    <t>ARD_WEIGHTED_AVG_SHARES_BASIC</t>
  </si>
  <si>
    <t>Diluted EPS</t>
  </si>
  <si>
    <t>ARD_DILUTED_EPS</t>
  </si>
  <si>
    <t>Weighted Avg. Shares - Diluted</t>
  </si>
  <si>
    <t>ARD_WEIGHTED_AVG_SHARE_DILUTED</t>
  </si>
  <si>
    <t>Net Income Available For Common Shareholders</t>
  </si>
  <si>
    <t>ARD_NET_INC_AVAIL_COM_SHRHLDR</t>
  </si>
  <si>
    <t>Profit After Taxation Before Minority</t>
  </si>
  <si>
    <t>ARD_PROF_AFTER_TAX_BEF_MINORITY</t>
  </si>
  <si>
    <t>Cumulative Net Income</t>
  </si>
  <si>
    <t>ARD_CUMULATIVE_NET_INCOME</t>
  </si>
  <si>
    <t>ARD_NET_INC</t>
  </si>
  <si>
    <t xml:space="preserve">  Comprehensive Income</t>
  </si>
  <si>
    <t>Net Income - Comprehensive Income</t>
  </si>
  <si>
    <t>ARDR_COMPR_INCOME_NET_INC</t>
  </si>
  <si>
    <t xml:space="preserve">  Others</t>
  </si>
  <si>
    <t xml:space="preserve">  Reference Items</t>
  </si>
  <si>
    <t>Amortization Expense</t>
  </si>
  <si>
    <t>ARDR_AMORT_EXP</t>
  </si>
  <si>
    <t>ARDR_R&amp;D_EXPENDITURES</t>
  </si>
  <si>
    <t>ARDR_DEPRECIATION_EXP</t>
  </si>
  <si>
    <t>Selling General and Administrative Expense</t>
  </si>
  <si>
    <t>ARDR_SELLING_GENERAL_ADMIN_EXP</t>
  </si>
  <si>
    <t>Depreciation and Amortization</t>
  </si>
  <si>
    <t>ARDR_DEPRECIATION_AMORTIZATION</t>
  </si>
  <si>
    <t>ARDR_ACQUIRED_IN_PROCESS_R&amp;D</t>
  </si>
  <si>
    <t>Write-Down/Impairment of Assets</t>
  </si>
  <si>
    <t>ARDR_WRITEDOWN_IMPAIR_OF_ASSETS</t>
  </si>
  <si>
    <t>Restructuring Charges</t>
  </si>
  <si>
    <t>ARDR_RESTRUCTURING_CHARGES</t>
  </si>
  <si>
    <t>Other One-Time Charges</t>
  </si>
  <si>
    <t>ARDR_OTHER_ONE_TIME_CHARGES</t>
  </si>
  <si>
    <t>ARDR_INT_EXP_NET</t>
  </si>
  <si>
    <t>ARDR_INCOME_TAX_EXP_BENEFIT</t>
  </si>
  <si>
    <t>Foreign Currency Translation Adjustments</t>
  </si>
  <si>
    <t>ARDR_FOR_CRNCY_TRANSLATION_ADJ</t>
  </si>
  <si>
    <t>Unrealized Gain (Loss) On Securities</t>
  </si>
  <si>
    <t>ARDR_UNREALIZED_GL_ON_SECS</t>
  </si>
  <si>
    <t>Change In Fair Value of Derivatives</t>
  </si>
  <si>
    <t>ARDR_CHG_FAIR_VAL_OF_DERIVATIVES</t>
  </si>
  <si>
    <t>Other Comprehensive Income</t>
  </si>
  <si>
    <t>ARDR_OTHER_COMPREHENSIVE_INCOME</t>
  </si>
  <si>
    <t>ARDR_OTHER_REV</t>
  </si>
  <si>
    <t>ARDR_TOTAL_CASH_COMMON_DVD</t>
  </si>
  <si>
    <t>ARDR_DVD_PER_SH</t>
  </si>
  <si>
    <t>ARDR_BASIC_EPS</t>
  </si>
  <si>
    <t>ARDR_WEIGHTED_AVG_SHARES_BASIC</t>
  </si>
  <si>
    <t>ARDR_DILUTED_EPS</t>
  </si>
  <si>
    <t>ARDR_WEIGHTED_AVG_SHARE_DILUTED</t>
  </si>
  <si>
    <t>Current Rental Expense</t>
  </si>
  <si>
    <t>ARDR_CURRENT_RENTAL_EXP</t>
  </si>
  <si>
    <t>Stock Based Compensation Expense</t>
  </si>
  <si>
    <t>ARDR_STK_BASED_COMPENSATION_EXP</t>
  </si>
  <si>
    <t>Total Comprehensive Income</t>
  </si>
  <si>
    <t>ARDR_TOTAL_COMPREHENSIVE_INCOME</t>
  </si>
  <si>
    <t>Litigation Expense</t>
  </si>
  <si>
    <t>ARDR_LITIGATION_EXP</t>
  </si>
  <si>
    <t>Merger/Acquisition Expense</t>
  </si>
  <si>
    <t>ARDR_MERGER_ACQUISITION_EXPENSE</t>
  </si>
  <si>
    <t>Amortization of Intangible Assets</t>
  </si>
  <si>
    <t>ARDR_AMORT_OF_INTANGIBLE_ASSETS</t>
  </si>
  <si>
    <t>ARDR_TOTAL_REVENUES</t>
  </si>
  <si>
    <t>ARDR_PRODUCT_REVENUE</t>
  </si>
  <si>
    <t>(Gain)/Loss On Sale of Investments</t>
  </si>
  <si>
    <t>ARDR_GL_ON_SALE_OF_INVESTMENTS</t>
  </si>
  <si>
    <t>Net Inc Available For Common Shareholders</t>
  </si>
  <si>
    <t>ARDR_NET_INC_AVAIL_COM_SHRHLDR</t>
  </si>
  <si>
    <t>Adjusted Net Income-As Reported</t>
  </si>
  <si>
    <t>ARD_ADJ_NET_INCOME_AS_REPORTED</t>
  </si>
  <si>
    <t>Effective Tax Rate - %</t>
  </si>
  <si>
    <t>ARDR_EFFECTIVE_TAX_RATE_PCT</t>
  </si>
  <si>
    <t>Adjusted EPS</t>
  </si>
  <si>
    <t>ARDR_ADJUSTED_EPS</t>
  </si>
  <si>
    <t>Unrealized (Gain)/Loss From Secs Non-Op</t>
  </si>
  <si>
    <t>ARDR_UNREAL_GL_FROM_SECS_NON_OP</t>
  </si>
  <si>
    <t>Diluted Net Income</t>
  </si>
  <si>
    <t>ARDR_DILUTED_NET_INCOME</t>
  </si>
  <si>
    <t>Tax Provision/Benefit - Non-Recurring</t>
  </si>
  <si>
    <t>ARDR_TAX_PROV_BENEFIT_NONREC</t>
  </si>
  <si>
    <t>Adjusted EBIT/Non-GAAP Operating Income</t>
  </si>
  <si>
    <t>ARDR_ADJ_EBIT_NON_GAAP_OP_INC</t>
  </si>
  <si>
    <t>Non-GAAP Cost of Sales</t>
  </si>
  <si>
    <t>ARDR_NON_GAAP_COST_OF_SALES</t>
  </si>
  <si>
    <t>Non-GAAP Selling General &amp; Administrative</t>
  </si>
  <si>
    <t>ARDR_NON_GAAP_SG&amp;A</t>
  </si>
  <si>
    <t>Non-GAAP Research and Development</t>
  </si>
  <si>
    <t>ARDR_NON_GAAP_R&amp;D</t>
  </si>
  <si>
    <t>Non-GAAP Operating Expenses</t>
  </si>
  <si>
    <t>ARDR_NON_GAAP_OPERATING_EXPENSES</t>
  </si>
  <si>
    <t>Non-GAAP Interest Income - Net</t>
  </si>
  <si>
    <t>ARDR_NON_GAAP_INTEREST_INC_NET</t>
  </si>
  <si>
    <t>Non-GAAP Interest Expense</t>
  </si>
  <si>
    <t>ARDR_NON_GAAP_INTEREST_EXPENSE</t>
  </si>
  <si>
    <t>Non-GAAP Other Income</t>
  </si>
  <si>
    <t>ARDR_NON_GAAP_OTHER_INCOME</t>
  </si>
  <si>
    <t>Non-GAAP Pre-Tax Income</t>
  </si>
  <si>
    <t>ARDR_NON_GAAP_PRETAX_INCOME</t>
  </si>
  <si>
    <t>Restructuring/Workflow Bal - Non-GAAP COGS</t>
  </si>
  <si>
    <t>ARDR_RSTRCT_WF_BAL_NON_GAAP_COGS</t>
  </si>
  <si>
    <t>Restructuring/Workflow Bal - Non-GAAP SGA</t>
  </si>
  <si>
    <t>ARDR_RSTRCT_WF_BAL_NON_GAAP_SG&amp;A</t>
  </si>
  <si>
    <t>Restructuring/Workflow Bal - Non-GAAP R&amp;D</t>
  </si>
  <si>
    <t>ARDR_RSTRCT_WF_BAL_NON_GAAP_R&amp;D</t>
  </si>
  <si>
    <t>Amort of Intangible Assets - Non-GAAP COGS</t>
  </si>
  <si>
    <t>ARDR_AMORT_INT_AST_NON_GAAP_COGS</t>
  </si>
  <si>
    <t>Amort of Intangible Assets - Non-GAAP SG&amp;A</t>
  </si>
  <si>
    <t>ARDR_AMORT_INT_AST_NON_GAAP_SG&amp;A</t>
  </si>
  <si>
    <t>Amort of Intangible Assets - Non-GAAP R&amp;D</t>
  </si>
  <si>
    <t>ARDR_AMORT_INT_AST_NON_GAAP_R&amp;D</t>
  </si>
  <si>
    <t>Acquisition Rel Charges - Non-GAAP COGS</t>
  </si>
  <si>
    <t>ARDR_ACQ_REL_CHRGS_NON_GAAP_COGS</t>
  </si>
  <si>
    <t>Acquisition Related Charges - Non-GAAP SGA</t>
  </si>
  <si>
    <t>ARDR_ACQ_REL_CHRGS_NON_GAAP_SG&amp;A</t>
  </si>
  <si>
    <t>Acquisition Related Charges - Non-GAAP R&amp;D</t>
  </si>
  <si>
    <t>ARDR_ACQ_REL_CHRGS_NON_GAAP_R&amp;D</t>
  </si>
  <si>
    <t>Other Adjustments - Non-GAAP COGS</t>
  </si>
  <si>
    <t>ARDR_OTH_ADJ_NON_GAAP_COGS</t>
  </si>
  <si>
    <t>Other Adjustments - Non-GAAP SG&amp;A</t>
  </si>
  <si>
    <t>ARDR_OTH_ADJ_NON_GAAP_SG&amp;A</t>
  </si>
  <si>
    <t>Other Adjustments - Non-GAAP R&amp;D</t>
  </si>
  <si>
    <t>ARDR_OTH_ADJ_NON_GAAP_R&amp;D</t>
  </si>
  <si>
    <t>Tax Effect on Non-GAAP Adjustments</t>
  </si>
  <si>
    <t>ARDR_TAX_EFFECT_NON_GAAP_ADJ</t>
  </si>
  <si>
    <t>Non-GAAP Diluted Weighted Average Shares</t>
  </si>
  <si>
    <t>ARDR_NON_GAAP_DIL_WAVG_SHRS</t>
  </si>
  <si>
    <t>Earnings Before Interest and Taxes</t>
  </si>
  <si>
    <t>ARDR_EBIT</t>
  </si>
  <si>
    <t>ARDR EBIT Margin</t>
  </si>
  <si>
    <t>ARDR_EBIT_MARGIN</t>
  </si>
  <si>
    <t>ARDR Revenue Growth</t>
  </si>
  <si>
    <t>ARDR_REVENUE_GROWTH</t>
  </si>
  <si>
    <t>ARDR Adjusted Operating Margin</t>
  </si>
  <si>
    <t>ARDR_ADJUSTED_OPERATING_MARGIN</t>
  </si>
  <si>
    <t>ARDR Stock Based Compensation CF Pre Tax</t>
  </si>
  <si>
    <t>ARDR_STK_BSD_CMPNSTN_CF_PRE_TAX</t>
  </si>
  <si>
    <t>ARDR Non GAAP Income Tax Expense</t>
  </si>
  <si>
    <t>ARDR_NON_GAAP_INCOME_TAX_EXPENSE</t>
  </si>
  <si>
    <t>Amgen Inc (AMGN US) - Reconciliation</t>
  </si>
  <si>
    <t>EBITDA Reconciliation</t>
  </si>
  <si>
    <t>EBIT, GAAP</t>
  </si>
  <si>
    <t xml:space="preserve">  + Revenue Adjustments</t>
  </si>
  <si>
    <t>IS_REVENUE_ADJUSTMENTS</t>
  </si>
  <si>
    <t xml:space="preserve">  + Cost of Revenue Adjustments</t>
  </si>
  <si>
    <t>IS_COST_OF_REVENUE_ADJUSTMENTS</t>
  </si>
  <si>
    <t xml:space="preserve">  + Other Op Inc Adjustments</t>
  </si>
  <si>
    <t>IS_OTHER_OPER_INC_NONGAAP_ADJUST</t>
  </si>
  <si>
    <t xml:space="preserve">  + SG&amp;A Adjustments</t>
  </si>
  <si>
    <t>IS_SGA_ADJ</t>
  </si>
  <si>
    <t xml:space="preserve">  + R&amp;D Expense Adjustments</t>
  </si>
  <si>
    <t>IS_RD_EXPENSE_NON_GAAP_ADJ</t>
  </si>
  <si>
    <t xml:space="preserve">  + D&amp;A Adjustments</t>
  </si>
  <si>
    <t>IS_DA_NON_GAAP_ADJ</t>
  </si>
  <si>
    <t xml:space="preserve">  + Prov for Doubtful Acct Adj</t>
  </si>
  <si>
    <t>IS_PDA_NONGAAP_ADJUSTMENTS</t>
  </si>
  <si>
    <t xml:space="preserve">  + Other Op Exp Adjustments</t>
  </si>
  <si>
    <t>IS_OTHER_OPERATING_EXPN_ADJUST</t>
  </si>
  <si>
    <t>EBIT, Adjusted</t>
  </si>
  <si>
    <t xml:space="preserve">  + Depreciation &amp; Amortization</t>
  </si>
  <si>
    <t>ADJUSTED_DA_EXPENSES</t>
  </si>
  <si>
    <t xml:space="preserve">  + Cost of Capitalized Operating Leases</t>
  </si>
  <si>
    <t>COST_CAPITALIZED_OPERATING_LEAS</t>
  </si>
  <si>
    <t>EBITDA, Adjusted</t>
  </si>
  <si>
    <t>EBIT Reconciliation</t>
  </si>
  <si>
    <t xml:space="preserve">  + Acquired In-Process R&amp;D</t>
  </si>
  <si>
    <t>IS_AIP_RD_EXPENSE_OPERATING</t>
  </si>
  <si>
    <t xml:space="preserve">  + Merger Expense</t>
  </si>
  <si>
    <t>IS_MERGER_ACQ_EXPENSE_OPERATING</t>
  </si>
  <si>
    <t xml:space="preserve">  + Asset Write-Down</t>
  </si>
  <si>
    <t>IS_WRTDWN_IOA_OP</t>
  </si>
  <si>
    <t xml:space="preserve">  + Legal Settlement</t>
  </si>
  <si>
    <t>IS_LEGAL_LIT_SETTLE_EXPN_OP</t>
  </si>
  <si>
    <t xml:space="preserve">  + Restructuring Expense</t>
  </si>
  <si>
    <t>IS_RESTRUCTURING_OP</t>
  </si>
  <si>
    <t xml:space="preserve">  + Sale of Investments</t>
  </si>
  <si>
    <t>IS_GAIN_LOSS_SALE_OF_INVEST_OP</t>
  </si>
  <si>
    <t xml:space="preserve">  + Other Abnormal Items</t>
  </si>
  <si>
    <t>IS_OTHER_ONE_TIME_ITEMS_OP</t>
  </si>
  <si>
    <t>Pretax Income Reconciliation</t>
  </si>
  <si>
    <t xml:space="preserve">  + Unrealized Investments</t>
  </si>
  <si>
    <t>Net Income Reconciliation</t>
  </si>
  <si>
    <t>Net Inc Avail to Common, GAAP</t>
  </si>
  <si>
    <t xml:space="preserve">  + Discontinued Operations</t>
  </si>
  <si>
    <t xml:space="preserve">  + XO &amp; Accounting Changes</t>
  </si>
  <si>
    <t>Net Inc Avail to Common Cont, GAAP</t>
  </si>
  <si>
    <t>INC_BEF_XO_LESS_MIN_INT_PREF_DVD</t>
  </si>
  <si>
    <t>IS_AIP_RD_AFTER_TAX</t>
  </si>
  <si>
    <t>IS_MA_EXPENSE_AFTER_TAX</t>
  </si>
  <si>
    <t>IS_WRTOFF_IMPAIR_ASSET_AFTER_TAX</t>
  </si>
  <si>
    <t>IS_LEGAL_LITIG_SETTLE_AFTER_TAX</t>
  </si>
  <si>
    <t>IS_RESTRUCTURING_CHRG_AFTER_TAX</t>
  </si>
  <si>
    <t>IS_SALE_OF_INVESTMENTS_AFTER_TAX</t>
  </si>
  <si>
    <t>IS_UNREALIZED_INVEST_AFT_TAX</t>
  </si>
  <si>
    <t>IS_OTH_ONE_TIME_ITEMS_AFTER_TAX</t>
  </si>
  <si>
    <t xml:space="preserve">  + Income Tax Charge (Benefit)</t>
  </si>
  <si>
    <t>IS_ABNORMAL_TAX_PROV_BENEFIT</t>
  </si>
  <si>
    <t>Earnings Per Share Reconciliation</t>
  </si>
  <si>
    <t>IS_DISC_OPS_DILUTED_SH</t>
  </si>
  <si>
    <t>IS_XO_ITEMS_ACCT_CHG_DIL_SH</t>
  </si>
  <si>
    <t>IS_AIP_RD_PER_DILUTED_SHARE</t>
  </si>
  <si>
    <t>IS_MERGER_ACQUIS_EXPN_DILUTED_SH</t>
  </si>
  <si>
    <t>IS_WRTOFF_IMPAIR_AST_DILUTED_SH</t>
  </si>
  <si>
    <t>IS_LEGAL_LITIG_SETTLE_DILUTED_SH</t>
  </si>
  <si>
    <t>IS_RESTRUCTURING_CHRG_DILUTED_SH</t>
  </si>
  <si>
    <t>IS_SALE_INVESTMENTS_DILUTED_SH</t>
  </si>
  <si>
    <t>IS_UNREALIZED_INVEST_DILUTED_SH</t>
  </si>
  <si>
    <t>IS_OTH_ONE_TIME_ITEMS_DILUTED_SH</t>
  </si>
  <si>
    <t>IS_TAX_PROV_BENEFIT_DILUTED_SH</t>
  </si>
  <si>
    <t>Diluted EPS from Cont Ops, Adj</t>
  </si>
  <si>
    <t>Amgen Inc (AMGN US) - SBC &amp; Amort</t>
  </si>
  <si>
    <t>Basic EPS Ex-SBC, Adj</t>
  </si>
  <si>
    <t>BASIC_EPS_EX_STK_BASED_COMP</t>
  </si>
  <si>
    <t>Diluted EPS Ex-SBC, Adj</t>
  </si>
  <si>
    <t>DILUTED_EPS_EX_STK_BASED_COMP</t>
  </si>
  <si>
    <t>Basic EPS Ex-Amortization, Adj</t>
  </si>
  <si>
    <t>ADJ_EPS_EX_AMORT_TOT_INTANG_BAS</t>
  </si>
  <si>
    <t>Diluted EPS Ex-Amortization, Adj</t>
  </si>
  <si>
    <t>ADJ_EPS_EX_AMORT_TOT_INTANG_DIL</t>
  </si>
  <si>
    <t>Basic EPS Ex-SBC &amp; Amort, Adj</t>
  </si>
  <si>
    <t>ADJ_EPS_EX_SBC_AMORT_TOT_INT_BAS</t>
  </si>
  <si>
    <t>Diluted EPS Ex-SBC &amp; Amort, Adj</t>
  </si>
  <si>
    <t>ADJ_EPS_EX_SBC_AMORT_TOT_INT_DIL</t>
  </si>
  <si>
    <t>Stock Based Compensation</t>
  </si>
  <si>
    <t>Pre-Tax</t>
  </si>
  <si>
    <t>IS_EXPENSE_STOCK_BASED_COMP</t>
  </si>
  <si>
    <t>After-Tax</t>
  </si>
  <si>
    <t>IS_STK_BASED_COMP_AFT_TAX</t>
  </si>
  <si>
    <t>Per Basic Share</t>
  </si>
  <si>
    <t>IS_STK_BASED_COMP_PER_BAS_SH</t>
  </si>
  <si>
    <t>Per Diluted Share</t>
  </si>
  <si>
    <t>IS_STK_BASED_COMP_PER_DIL_SH</t>
  </si>
  <si>
    <t>Amortization of Acquisition Related Intangibles</t>
  </si>
  <si>
    <t>IS_AMORT_OF_INTANG_ACQUIS_REL</t>
  </si>
  <si>
    <t>IS_AMORT_INTANG_ACQ_REL_AT</t>
  </si>
  <si>
    <t>IS_AMORT_INTANG_ACQ_REL_BASIC_PS</t>
  </si>
  <si>
    <t>IS_AMORT_INTANG_ACQ_REL_DIL_PS</t>
  </si>
  <si>
    <t>Cost of Revenue</t>
  </si>
  <si>
    <t>IS_AMORT_ACQD_INTANGIBLES_COGS</t>
  </si>
  <si>
    <t>Selling, General &amp; Administrative</t>
  </si>
  <si>
    <t>IS_AMORT_AQD_INTANG_SELLING</t>
  </si>
  <si>
    <t>Research &amp; Development</t>
  </si>
  <si>
    <t>IS_AMORT_AQD_INTANG_RD</t>
  </si>
  <si>
    <t>Amortization of Total Intangibles</t>
  </si>
  <si>
    <t>IS_AMORT_OF_TOT_INTANG_PRETX</t>
  </si>
  <si>
    <t>IS_AMORT_OF_TOT_INTANG_AFT_TAX</t>
  </si>
  <si>
    <t>IS_AMORT_OF_TOT_INTANG_P_BAS_SH</t>
  </si>
  <si>
    <t>IS_AMORT_OF_TOT_INTANG_P_DIL_SH</t>
  </si>
  <si>
    <t>Amgen Inc (AMGN US) - Adj %</t>
  </si>
  <si>
    <t>Amgen Inc (AMGN US) - GAAP %</t>
  </si>
  <si>
    <t>Last 12M</t>
  </si>
  <si>
    <t>Amgen Inc (AMGN US) - Standardized</t>
  </si>
  <si>
    <t xml:space="preserve">  + Cash, Cash Equivalents &amp; STI</t>
  </si>
  <si>
    <t>CASH_CASH_EQTY_STI_DETAILED</t>
  </si>
  <si>
    <t xml:space="preserve">    + Cash &amp; Cash Equivalents</t>
  </si>
  <si>
    <t>BS_CASH_NEAR_CASH_ITEM</t>
  </si>
  <si>
    <t xml:space="preserve">    + ST Investments</t>
  </si>
  <si>
    <t>BS_MKT_SEC_OTHER_ST_INVEST</t>
  </si>
  <si>
    <t xml:space="preserve">  + Accounts &amp; Notes Receiv</t>
  </si>
  <si>
    <t>BS_ACCT_NOTE_RCV</t>
  </si>
  <si>
    <t xml:space="preserve">    + Accounts Receivable, Net</t>
  </si>
  <si>
    <t>BS_ACCTS_REC_EXCL_NOTES_REC</t>
  </si>
  <si>
    <t xml:space="preserve">    + Notes Receivable, Net</t>
  </si>
  <si>
    <t>NOTES_RECEIVABLE</t>
  </si>
  <si>
    <t xml:space="preserve">  + Inventories</t>
  </si>
  <si>
    <t>BS_INVENTORIES</t>
  </si>
  <si>
    <t xml:space="preserve">    + Raw Materials</t>
  </si>
  <si>
    <t>INVTRY_RAW_MATERIALS</t>
  </si>
  <si>
    <t xml:space="preserve">    + Work In Process</t>
  </si>
  <si>
    <t>INVTRY_IN_PROGRESS</t>
  </si>
  <si>
    <t xml:space="preserve">    + Finished Goods</t>
  </si>
  <si>
    <t>INVTRY_FINISHED_GOODS</t>
  </si>
  <si>
    <t xml:space="preserve">    + Other Inventory</t>
  </si>
  <si>
    <t>BS_OTHER_INV</t>
  </si>
  <si>
    <t xml:space="preserve">  + Other ST Assets</t>
  </si>
  <si>
    <t>OTHER_CURRENT_ASSETS_DETAILED</t>
  </si>
  <si>
    <t xml:space="preserve">    + Derivative &amp; Hedging Assets</t>
  </si>
  <si>
    <t>BS_DERIV_HEDGING_ASST_ST</t>
  </si>
  <si>
    <t xml:space="preserve">    + Misc ST Assets</t>
  </si>
  <si>
    <t>BS_OTHER_CUR_ASSET_LESS_PREPAY</t>
  </si>
  <si>
    <t xml:space="preserve">  + Property, Plant &amp; Equip, Net</t>
  </si>
  <si>
    <t>BS_NET_FIX_ASSET</t>
  </si>
  <si>
    <t xml:space="preserve">    + Property, Plant &amp; Equip</t>
  </si>
  <si>
    <t>BS_GROSS_FIX_ASSET</t>
  </si>
  <si>
    <t xml:space="preserve">    - Accumulated Depreciation</t>
  </si>
  <si>
    <t>BS_ACCUM_DEPR</t>
  </si>
  <si>
    <t xml:space="preserve">  + LT Investments &amp; Receivables</t>
  </si>
  <si>
    <t>BS_LT_INVEST</t>
  </si>
  <si>
    <t xml:space="preserve">  + Other LT Assets</t>
  </si>
  <si>
    <t>BS_OTHER_ASSETS_DEF_CHRG_OTHER</t>
  </si>
  <si>
    <t xml:space="preserve">    + Total Intangible Assets</t>
  </si>
  <si>
    <t>BS_DISCLOSED_INTANGIBLES</t>
  </si>
  <si>
    <t xml:space="preserve">    + Goodwill</t>
  </si>
  <si>
    <t>BS_GOODWILL</t>
  </si>
  <si>
    <t xml:space="preserve">    + Other Intangible Assets</t>
  </si>
  <si>
    <t>OTHER_INTANGIBLE_ASSETS_DETAILED</t>
  </si>
  <si>
    <t>BS_DERIV_HEDGING_ASST_LT</t>
  </si>
  <si>
    <t xml:space="preserve">    + Investments in Affiliates</t>
  </si>
  <si>
    <t>BS_INVEST_IN_ASSOC_CO</t>
  </si>
  <si>
    <t xml:space="preserve">    + Misc LT Assets</t>
  </si>
  <si>
    <t>OTHER_NONCURRENT_ASSETS_DETAILED</t>
  </si>
  <si>
    <t>Total Noncurrent Assets</t>
  </si>
  <si>
    <t>BS_TOT_NON_CUR_ASSET</t>
  </si>
  <si>
    <t>Liabilities &amp; Shareholders' Equity</t>
  </si>
  <si>
    <t xml:space="preserve">  + Payables &amp; Accruals</t>
  </si>
  <si>
    <t>ACCT_PAYABLE_ACCRUALS_DETAILED</t>
  </si>
  <si>
    <t xml:space="preserve">    + Accounts Payable</t>
  </si>
  <si>
    <t>BS_ACCT_PAYABLE</t>
  </si>
  <si>
    <t xml:space="preserve">    + Interest &amp; Dividends Payable</t>
  </si>
  <si>
    <t>INTEREST_DIVIDENDS_PAYABLE</t>
  </si>
  <si>
    <t xml:space="preserve">    + Other Payables &amp; Accruals</t>
  </si>
  <si>
    <t>BS_ACCRUAL</t>
  </si>
  <si>
    <t xml:space="preserve">  + ST Debt</t>
  </si>
  <si>
    <t>BS_ST_BORROW</t>
  </si>
  <si>
    <t xml:space="preserve">    + ST Borrowings</t>
  </si>
  <si>
    <t>SHORT_TERM_DEBT_DETAILED</t>
  </si>
  <si>
    <t xml:space="preserve">    + ST Lease Liabilities</t>
  </si>
  <si>
    <t>ST_CAPITALIZED_LEASE_LIABILITIES</t>
  </si>
  <si>
    <t xml:space="preserve">      + ST Finance Leases</t>
  </si>
  <si>
    <t>ST_CAPITAL_LEASE_OBLIGATIONS</t>
  </si>
  <si>
    <t xml:space="preserve">      + ST Operating Leases</t>
  </si>
  <si>
    <t>BS_ST_OPERATING_LEASE_LIABS</t>
  </si>
  <si>
    <t xml:space="preserve">    + Current Portion of LT Debt</t>
  </si>
  <si>
    <t>BS_CURR_PORTION_LT_DEBT</t>
  </si>
  <si>
    <t xml:space="preserve">  + Other ST Liabilities</t>
  </si>
  <si>
    <t>OTHER_CURRENT_LIABS_SUB_DETAILED</t>
  </si>
  <si>
    <t xml:space="preserve">    + Deferred Revenue</t>
  </si>
  <si>
    <t>ST_DEFERRED_REVENUE</t>
  </si>
  <si>
    <t xml:space="preserve">    + Derivatives &amp; Hedging</t>
  </si>
  <si>
    <t>BS_DERIV_HEDGING_LIAB_ST</t>
  </si>
  <si>
    <t xml:space="preserve">    + Misc ST Liabilities</t>
  </si>
  <si>
    <t>OTHER_CURRENT_LIABS_DETAILED</t>
  </si>
  <si>
    <t xml:space="preserve">  + LT Debt</t>
  </si>
  <si>
    <t>BS_LT_BORROW</t>
  </si>
  <si>
    <t xml:space="preserve">    + LT Borrowings</t>
  </si>
  <si>
    <t>LONG_TERM_BORROWINGS_DETAILED</t>
  </si>
  <si>
    <t xml:space="preserve">    + LT Lease Liabilities</t>
  </si>
  <si>
    <t>LT_CAPITALIZED_LEASE_LIABILITIES</t>
  </si>
  <si>
    <t xml:space="preserve">      + LT Finance Leases</t>
  </si>
  <si>
    <t>LT_CAPITAL_LEASE_OBLIGATIONS</t>
  </si>
  <si>
    <t xml:space="preserve">      + LT Operating Leases</t>
  </si>
  <si>
    <t>BS_LT_OPERATING_LEASE_LIABS</t>
  </si>
  <si>
    <t xml:space="preserve">  + Other LT Liabilities</t>
  </si>
  <si>
    <t>OTHER_NONCUR_LIABS_SUB_DETAILED</t>
  </si>
  <si>
    <t xml:space="preserve">    + Accrued Liabilities</t>
  </si>
  <si>
    <t>BS_ACCRUED_LIABILITIES</t>
  </si>
  <si>
    <t xml:space="preserve">    + Pension Liabilities</t>
  </si>
  <si>
    <t>PENSION_LIABILITIES</t>
  </si>
  <si>
    <t xml:space="preserve">    + Pensions</t>
  </si>
  <si>
    <t>BS_PENSIONS_LT_LIABS</t>
  </si>
  <si>
    <t xml:space="preserve">    + Other Post-Ret Benefits</t>
  </si>
  <si>
    <t>BS_OPRB_LT_LIABS</t>
  </si>
  <si>
    <t>LT_DEFERRED_REVENUE</t>
  </si>
  <si>
    <t xml:space="preserve">    + Deferred Tax Liabilities</t>
  </si>
  <si>
    <t>BS_DEFERRED_TAX_LIABILITIES_LT</t>
  </si>
  <si>
    <t>BS_DERIV_HEDGING_LIAB_LT</t>
  </si>
  <si>
    <t xml:space="preserve">    + Misc LT Liabilities</t>
  </si>
  <si>
    <t>OTHER_NONCURRENT_LIABS_DETAILED</t>
  </si>
  <si>
    <t>Total Noncurrent Liabilities</t>
  </si>
  <si>
    <t>NON_CUR_LIAB</t>
  </si>
  <si>
    <t xml:space="preserve">  + Preferred Equity and Hybrid Capital</t>
  </si>
  <si>
    <t xml:space="preserve">  + Share Capital &amp; APIC</t>
  </si>
  <si>
    <t>BS_SH_CAP_AND_APIC</t>
  </si>
  <si>
    <t xml:space="preserve">    + Common Stock</t>
  </si>
  <si>
    <t>BS_COMMON_STOCK</t>
  </si>
  <si>
    <t xml:space="preserve">    + Additional Paid in Capital</t>
  </si>
  <si>
    <t>BS_ADD_PAID_IN_CAP</t>
  </si>
  <si>
    <t xml:space="preserve">  - Treasury Stock</t>
  </si>
  <si>
    <t>BS_AMT_OF_TSY_STOCK</t>
  </si>
  <si>
    <t xml:space="preserve">  + Retained Earnings</t>
  </si>
  <si>
    <t>BS_PURE_RETAINED_EARNINGS</t>
  </si>
  <si>
    <t xml:space="preserve">  + Other Equity</t>
  </si>
  <si>
    <t>OTHER_EQUITY_RATIO</t>
  </si>
  <si>
    <t>Equity Before Minority Interest</t>
  </si>
  <si>
    <t>EQTY_BEF_MINORITY_INT_DETAILED</t>
  </si>
  <si>
    <t xml:space="preserve">  + Minority/Non Controlling Interest</t>
  </si>
  <si>
    <t>Total Liabilities &amp; Equity</t>
  </si>
  <si>
    <t>TOT_LIAB_AND_EQY</t>
  </si>
  <si>
    <t>Shares Outstanding</t>
  </si>
  <si>
    <t>Number of Treasury Shares</t>
  </si>
  <si>
    <t>BS_NUM_OF_TSY_SH</t>
  </si>
  <si>
    <t>Pension Obligations</t>
  </si>
  <si>
    <t>BS_PENSION_RSRV</t>
  </si>
  <si>
    <t>Future Minimum Operating Lease Obligations</t>
  </si>
  <si>
    <t>BS_FUTURE_MIN_OPER_LEASE_OBLIG</t>
  </si>
  <si>
    <t>Capital Leases - Total</t>
  </si>
  <si>
    <t>BS_TOTAL_CAPITAL_LEASES</t>
  </si>
  <si>
    <t>Options Granted During Period</t>
  </si>
  <si>
    <t>BS_OPTIONS_GRANTED</t>
  </si>
  <si>
    <t>Options Outstanding at Period End</t>
  </si>
  <si>
    <t>BS_OPTIONS_OUTSTANDING</t>
  </si>
  <si>
    <t>Net Debt</t>
  </si>
  <si>
    <t>NET_DEBT</t>
  </si>
  <si>
    <t>Net Debt to Equity</t>
  </si>
  <si>
    <t>NET_DEBT_TO_SHRHLDR_EQTY</t>
  </si>
  <si>
    <t>Tangible Common Equity Ratio</t>
  </si>
  <si>
    <t>TCE_RATIO</t>
  </si>
  <si>
    <t>Current Ratio</t>
  </si>
  <si>
    <t>CUR_RATIO</t>
  </si>
  <si>
    <t>Cash Conversion Cycle</t>
  </si>
  <si>
    <t>CASH_CONVERSION_CYCLE</t>
  </si>
  <si>
    <t>Cash Held Overseas</t>
  </si>
  <si>
    <t>BS_CASH_HELD_OVERSEAS</t>
  </si>
  <si>
    <t>Number of Employees</t>
  </si>
  <si>
    <t>NUM_OF_EMPLOYEES</t>
  </si>
  <si>
    <t>Balance Sheet</t>
  </si>
  <si>
    <t xml:space="preserve">  Current Assets</t>
  </si>
  <si>
    <t>ARD_CASH_AND_EQUIVALENTS</t>
  </si>
  <si>
    <t>Marketable Securities</t>
  </si>
  <si>
    <t>ARD_MARKETABLE_SECURITIES</t>
  </si>
  <si>
    <t>Accounts Receivable - Trade</t>
  </si>
  <si>
    <t>ARD_ACCTS_RECEIVABLE_TRADE</t>
  </si>
  <si>
    <t>Inventories</t>
  </si>
  <si>
    <t>ARD_INVENTORY</t>
  </si>
  <si>
    <t>Other Current Assets</t>
  </si>
  <si>
    <t>ARD_OTHER_CURRENT_ASSETS</t>
  </si>
  <si>
    <t>ARD_TOTAL_CUR_ASSETS</t>
  </si>
  <si>
    <t xml:space="preserve">  Noncurrent Assets</t>
  </si>
  <si>
    <t>Property Plant &amp; Equipment - Net</t>
  </si>
  <si>
    <t>ARD_PROPERTY_PLANT_EQUIP_NET</t>
  </si>
  <si>
    <t>Other Intangible Assets</t>
  </si>
  <si>
    <t>ARD_OTHER_INTANGIBLE_ASSET</t>
  </si>
  <si>
    <t>Goodwill</t>
  </si>
  <si>
    <t>ARD_GOODWLL</t>
  </si>
  <si>
    <t>Other Noncurrent Assets</t>
  </si>
  <si>
    <t>ARD_OTHER_NONCURRENT_ASSET</t>
  </si>
  <si>
    <t>Total Non-Current Assets</t>
  </si>
  <si>
    <t>ARD_TOTAL_NONCURRENT_ASSETS</t>
  </si>
  <si>
    <t>ARD_TOT_ASSETS</t>
  </si>
  <si>
    <t xml:space="preserve">  Current Liabilities</t>
  </si>
  <si>
    <t>Accounts Payable - Trade</t>
  </si>
  <si>
    <t>ARD_ACCOUNTS_PAYABLE_TRADE</t>
  </si>
  <si>
    <t>Accounts Payable and Accrued Expenses</t>
  </si>
  <si>
    <t>ARD_ACCT_PAYABLE_ACCRUED_EXP</t>
  </si>
  <si>
    <t>Current Portion of Long-Term Debt</t>
  </si>
  <si>
    <t>ARD_CURRENT_PORTION_OF_LT_DEBT</t>
  </si>
  <si>
    <t>Accrued Expenses</t>
  </si>
  <si>
    <t>ARD_ACCRUED_EXPENSES</t>
  </si>
  <si>
    <t>ARD_TOTAL_CURRENT_LIABILITIES</t>
  </si>
  <si>
    <t xml:space="preserve">  Non Current Liabilities</t>
  </si>
  <si>
    <t>ARD_TOT_NONCURRENT_LIABILITIES</t>
  </si>
  <si>
    <t>Long Term Debt</t>
  </si>
  <si>
    <t>ARD_LT_DEBT</t>
  </si>
  <si>
    <t>Deferred Income Taxes (Liabilities)</t>
  </si>
  <si>
    <t>ARD_DEFERRED_INCOME_TAXES_LIAB</t>
  </si>
  <si>
    <t>Other Noncurrent Liabilities</t>
  </si>
  <si>
    <t>ARD_OTH_NONCURRENT_LIABILITIES</t>
  </si>
  <si>
    <t>Provision For Taxation</t>
  </si>
  <si>
    <t>ARD_PROVISION_FOR_TAXATION</t>
  </si>
  <si>
    <t>ARD_TOT_LIABILITIES</t>
  </si>
  <si>
    <t xml:space="preserve">  Stockholder Equity</t>
  </si>
  <si>
    <t>Accumulated Other Comprehensive Income</t>
  </si>
  <si>
    <t>ARD_ACC_OTH_COMPREHENSIVE_INC</t>
  </si>
  <si>
    <t>Retained Earnings (Accumulated Deficit)</t>
  </si>
  <si>
    <t>ARD_RETAINED_EARN_ACC_DEFICIT</t>
  </si>
  <si>
    <t>ARD_SHARES_OUTSTANDING</t>
  </si>
  <si>
    <t>Par Value</t>
  </si>
  <si>
    <t>ARD_PAR_VALUE</t>
  </si>
  <si>
    <t>Common Stock &amp; APIC</t>
  </si>
  <si>
    <t>ARD_COMMON_STOCK_AND_APIC</t>
  </si>
  <si>
    <t>Total Shareholders Equity</t>
  </si>
  <si>
    <t>ARD_TOTAL_SHAREHOLDERS_EQUITY</t>
  </si>
  <si>
    <t>Shares Authorized</t>
  </si>
  <si>
    <t>ARD_SHARES_AUTHORIZED</t>
  </si>
  <si>
    <t>Total Shareholders Equity Excluding Minority</t>
  </si>
  <si>
    <t>ARD_TOT_SHARE_EQY_EXCL_MINORITY</t>
  </si>
  <si>
    <t>Total Liabilities and Shareholders Equity</t>
  </si>
  <si>
    <t>ARD_TOT_LIAB_AND_SHAREHOLDER_EQY</t>
  </si>
  <si>
    <t>ARDR Number of RSU Beginning of the Period</t>
  </si>
  <si>
    <t>ARDR_NUM_OF_RSU_BEGIN_OF_PER</t>
  </si>
  <si>
    <t>ARDR Number of Restricted Stock Units Granted</t>
  </si>
  <si>
    <t>ARDR_NUMBER_OF_RSU_GRANTED</t>
  </si>
  <si>
    <t>ARDR Number of Restricted Stock Units Vested</t>
  </si>
  <si>
    <t>ARDR_NUMBER_OF_RSU_VESTED</t>
  </si>
  <si>
    <t>ARDR Number of RSU Forfeited Canceled</t>
  </si>
  <si>
    <t>ARDR_NUMBER_OF_RSU_FORFTD_CANCLD</t>
  </si>
  <si>
    <t>ARDR_INVENTORY</t>
  </si>
  <si>
    <t>Land</t>
  </si>
  <si>
    <t>ARDR_LAND</t>
  </si>
  <si>
    <t>Buildings</t>
  </si>
  <si>
    <t>ARDR_BUILDING</t>
  </si>
  <si>
    <t>Construction In Progress</t>
  </si>
  <si>
    <t>ARDR_CONSTRUCTION_IN_PROGRESS</t>
  </si>
  <si>
    <t>Furniture/Machinery/Equipment</t>
  </si>
  <si>
    <t>ARDR_FURNITURE_MACHINERY_EQUIP</t>
  </si>
  <si>
    <t>Property Plant &amp; Equipment - Gross</t>
  </si>
  <si>
    <t>ARDR_PROPERTY_PLANT_EQUIP_GROSS</t>
  </si>
  <si>
    <t>Accumulated Depreciation</t>
  </si>
  <si>
    <t>ARDR_ACCUMULATED_DEPREC</t>
  </si>
  <si>
    <t>ARDR_PROPERTY_PLANT_EQUIP_NET</t>
  </si>
  <si>
    <t>Deferred Income Tax Asset (LT)</t>
  </si>
  <si>
    <t>ARDR_DEFERRED_INC_TAX_ASSET_LT</t>
  </si>
  <si>
    <t>Total Intangible Assets - Net</t>
  </si>
  <si>
    <t>ARDR_TOTAL_INTANGIBLE_ASSET_NET</t>
  </si>
  <si>
    <t>ARDR_OTHER_INTANGIBLE_ASSET</t>
  </si>
  <si>
    <t>Investment In Affiliates/Joint Ventures</t>
  </si>
  <si>
    <t>ARDR_INVESTMENT_IN_AFFILIATE_JV</t>
  </si>
  <si>
    <t>ARDR_GOODWLL</t>
  </si>
  <si>
    <t>Patents/Trademarks/Copyrights</t>
  </si>
  <si>
    <t>ARDR_PATENTS_TRADEMRK_COPYRIGHT</t>
  </si>
  <si>
    <t>ARDR_CURRENT_PORTION_OF_LT_DEBT</t>
  </si>
  <si>
    <t>ARDR_DEFERRED_INCOME_TAXES_LIAB</t>
  </si>
  <si>
    <t>ARDR_ACC_OTH_COMPREHENSIVE_INC</t>
  </si>
  <si>
    <t>ARDR_RETAINED_EARN_ACC_DEFICIT</t>
  </si>
  <si>
    <t>ARDR_SHARES_OUTSTANDING</t>
  </si>
  <si>
    <t>ARDR_PAR_VALUE</t>
  </si>
  <si>
    <t>Raw Materials</t>
  </si>
  <si>
    <t>ARDR_RAW_MATERIAL</t>
  </si>
  <si>
    <t>Work In Progress</t>
  </si>
  <si>
    <t>ARDR_WORK_IN_PROGRESS</t>
  </si>
  <si>
    <t>Finished Goods</t>
  </si>
  <si>
    <t>ARDR_FINISHED_GOOD</t>
  </si>
  <si>
    <t>ARDR_COMMON_STOCK_AND_APIC</t>
  </si>
  <si>
    <t>Other Gross Fixed Assets</t>
  </si>
  <si>
    <t>ARDR_OTHER_GROSS_FIXED_ASSETS</t>
  </si>
  <si>
    <t>Total Line of Credit</t>
  </si>
  <si>
    <t>ARDR_TOTAL_LINE_OF_CREDIT</t>
  </si>
  <si>
    <t>Total Available Line of Credit</t>
  </si>
  <si>
    <t>ARDR_TOTAL_AVAIL_LINE_OF_CREDIT</t>
  </si>
  <si>
    <t>ARDR_FUT_MIN_OPER_LEASE_OBLIG</t>
  </si>
  <si>
    <t>Rental Expense - Year 1</t>
  </si>
  <si>
    <t>ARDR_RENTAL_EXP_YR1</t>
  </si>
  <si>
    <t>Rental Expense - Year 2</t>
  </si>
  <si>
    <t>ARDR_RENTAL_EXP_YR2</t>
  </si>
  <si>
    <t>Rental Expense - Year 3</t>
  </si>
  <si>
    <t>ARDR_RENTAL_EXP_YR3</t>
  </si>
  <si>
    <t>Rental Expense - Year 4</t>
  </si>
  <si>
    <t>ARDR_RENTAL_EXP_YR4</t>
  </si>
  <si>
    <t>Rental Expense - Year 5</t>
  </si>
  <si>
    <t>ARDR_RENTAL_EXP_YR5</t>
  </si>
  <si>
    <t>Rental Expense - Beyond Year 5</t>
  </si>
  <si>
    <t>ARDR_RENTAL_EXP_BEYOND_YR5</t>
  </si>
  <si>
    <t>Allowance For Doubtful Accounts</t>
  </si>
  <si>
    <t>ARDR_ALLOW_FOR_DOUBTFUL_ACCTS</t>
  </si>
  <si>
    <t>ARDR_TOTAL_SHAREHOLDERS_EQUITY</t>
  </si>
  <si>
    <t>Capitalized Software - Gross</t>
  </si>
  <si>
    <t>ARDR_CAPITALIZED_SOFTWARE_GROSS</t>
  </si>
  <si>
    <t>Derivative Assets Short-Term</t>
  </si>
  <si>
    <t>ARDR_DERIVATIVE_ASSET_ST</t>
  </si>
  <si>
    <t>Commercial Paper Outstanding</t>
  </si>
  <si>
    <t>ARDR_COMMERCIAL_PAPER</t>
  </si>
  <si>
    <t>Derivative Liabilities</t>
  </si>
  <si>
    <t>ARDR_DERIVATIVE_LIABILITIES</t>
  </si>
  <si>
    <t>Derivative Assets (Long-Term)</t>
  </si>
  <si>
    <t>ARDR_DERIVATIVE_ASSET_LT</t>
  </si>
  <si>
    <t>ARDR_NUMBER_EMPLOYEES</t>
  </si>
  <si>
    <t>Total Investments Cash and Equivalents</t>
  </si>
  <si>
    <t>ARDR_TOT_INVEST_CASH_CASH_EQUIV</t>
  </si>
  <si>
    <t>Derivative Liabilities (Long-Term)</t>
  </si>
  <si>
    <t>ARDR_DERIVATIVE_LIABILITIES_LT</t>
  </si>
  <si>
    <t>Shares Outstanding From The Front Cover</t>
  </si>
  <si>
    <t>ARDR_SHARE_OUT_FROM_FRONT_COVER</t>
  </si>
  <si>
    <t>Licenses</t>
  </si>
  <si>
    <t>ARDR_LICENSES</t>
  </si>
  <si>
    <t>Number of Employees at Period End Date</t>
  </si>
  <si>
    <t>ARDR_NUM_OF_EMPLOYEES_PERIOD_END</t>
  </si>
  <si>
    <t>Accumulated Amortization Of Goodwill</t>
  </si>
  <si>
    <t>ARDR_ACCUM_AMORT_GOODWILL</t>
  </si>
  <si>
    <t>Accumulated Amortization Intangible Assets</t>
  </si>
  <si>
    <t>ARDR_ACCCUM_AMORT_INTANG_ASSET</t>
  </si>
  <si>
    <t>Cash Equivalents And Marketable Securities</t>
  </si>
  <si>
    <t>ARDR_CASH_EQUIVALENTS_MKT_SECS</t>
  </si>
  <si>
    <t>ARDR_OPTIONS_GRANTED_DURING_PER</t>
  </si>
  <si>
    <t>Options Outstanding End Period</t>
  </si>
  <si>
    <t>ARDR_OPTIONS_OUTSTANDING_END_PER</t>
  </si>
  <si>
    <t>Provisions For Guarantees And Warranties</t>
  </si>
  <si>
    <t>ARDR_PROV_GUARANTEES_WARRANTIES</t>
  </si>
  <si>
    <t>Cash on Hand</t>
  </si>
  <si>
    <t>ARDR_CASH_ON_HAND</t>
  </si>
  <si>
    <t>Options Exercised During the Period</t>
  </si>
  <si>
    <t>ARDR_OPTIONS_EXERCISED_DUR_PER</t>
  </si>
  <si>
    <t>Other Miscellaneous Current Liabilities</t>
  </si>
  <si>
    <t>ARDR_OTHER_MISC_CURRENT_LIABS</t>
  </si>
  <si>
    <t>Purchase Obligations</t>
  </si>
  <si>
    <t>ARDR_PURCHASE_OBLIGATIONS</t>
  </si>
  <si>
    <t>Cash Equivalents</t>
  </si>
  <si>
    <t>ARDR_CASH_EQUIVS</t>
  </si>
  <si>
    <t>Debt Schedule In Yr 1</t>
  </si>
  <si>
    <t>ARDR_DEBT_SCHEDULE_IN_YR1</t>
  </si>
  <si>
    <t>Debt Schedule In Yr 2</t>
  </si>
  <si>
    <t>ARDR_DEBT_SCHEDULE_IN_YR2</t>
  </si>
  <si>
    <t>Debt Schedule In Yr 3</t>
  </si>
  <si>
    <t>ARDR_DEBT_SCHEDULE_IN_YR3</t>
  </si>
  <si>
    <t>Debt Schedule In Yr 4</t>
  </si>
  <si>
    <t>ARDR_DEBT_SCHEDULE_IN_YR4</t>
  </si>
  <si>
    <t>Debt Schedule In Yr 5</t>
  </si>
  <si>
    <t>ARDR_DEBT_SCHEDULE_IN_YR5</t>
  </si>
  <si>
    <t>Debt Schedule Thereafter</t>
  </si>
  <si>
    <t>ARDR_DEBT_SCHEDULE_THEREAFTER</t>
  </si>
  <si>
    <t>Debt Schedule - Total Debt</t>
  </si>
  <si>
    <t>ARDR_DEBT_SCHEDULE_TOTAL_DEBT</t>
  </si>
  <si>
    <t>Debt Schedule - Total Long Term Debt</t>
  </si>
  <si>
    <t>ARDR_DEBT_SCHEDULE_TOTAL_LT_DEBT</t>
  </si>
  <si>
    <t>Number of Common Shares Repurchased</t>
  </si>
  <si>
    <t>ARDR_COMMON_SHARES_REPURCHASED</t>
  </si>
  <si>
    <t>Value of Common Shares Repurchased</t>
  </si>
  <si>
    <t>ARDR_VAL_COMMON_SHRS_REPURCHASED</t>
  </si>
  <si>
    <t>ARDR Total Operating Liabilities</t>
  </si>
  <si>
    <t>ARDR_TOTAL_OPERATING_LIABILITIES</t>
  </si>
  <si>
    <t>Fair Value Assets Recur - Level 1</t>
  </si>
  <si>
    <t>ARDR_FV_ASSETS_REC_LEVEL_1</t>
  </si>
  <si>
    <t>Fair Value Assets Recur - Level 2</t>
  </si>
  <si>
    <t>ARDR_FV_ASSETS_REC_LEVEL_2</t>
  </si>
  <si>
    <t>Fair Value Assets Recur - Level 3</t>
  </si>
  <si>
    <t>ARDR_FV_ASSETS_REC_LEVEL_3</t>
  </si>
  <si>
    <t>Fair Value Assets Recur - Total</t>
  </si>
  <si>
    <t>ARDR_FV_ASSETS_REC_TOTAL</t>
  </si>
  <si>
    <t>Fair Value Liab Recur - Level 1</t>
  </si>
  <si>
    <t>ARDR_FV_LIAB_REC_LEVEL_1</t>
  </si>
  <si>
    <t>Fair Value Liab Recur - Level 2</t>
  </si>
  <si>
    <t>ARDR_FV_LIAB_REC_LEVEL_2</t>
  </si>
  <si>
    <t>Fair Value Liab Recur - Level 3</t>
  </si>
  <si>
    <t>ARDR_FV_LIAB_REC_LEVEL_3</t>
  </si>
  <si>
    <t>Fair Value Liab Recur - Total</t>
  </si>
  <si>
    <t>ARDR_FV_LIAB_REC_TOTAL</t>
  </si>
  <si>
    <t>ARDR Options Cancelled or Forfeited</t>
  </si>
  <si>
    <t>ARDR_OPTIONS_CANCELLED_FORFEITED</t>
  </si>
  <si>
    <t>Contractual Obligations - Year 1</t>
  </si>
  <si>
    <t>ARDR_CONTRACTUAL_OBLIG_YEAR_1</t>
  </si>
  <si>
    <t>Contractual Obligations Years - 2 &amp; 3</t>
  </si>
  <si>
    <t>ARDR_CONTRACTUAL_OBLIG_YEAR_2_3</t>
  </si>
  <si>
    <t>Contractual Obligations Years - 4 &amp; 5</t>
  </si>
  <si>
    <t>ARDR_CONTRACTUAL_OBLIG_YEAR_4_5</t>
  </si>
  <si>
    <t>Contractual Obligations - Beyond Year 5</t>
  </si>
  <si>
    <t>ARDR_CONT_OBLIG_BEYOND_YEAR_5</t>
  </si>
  <si>
    <t>Total Contractual Obligations</t>
  </si>
  <si>
    <t>ARDR_CONTRACTUAL_OBLIG_TOTAL</t>
  </si>
  <si>
    <t>Fair Value of Derivatives Net</t>
  </si>
  <si>
    <t>ARDR_FAIR_VALUE_DERIVATIVES_NET</t>
  </si>
  <si>
    <t>PV of Future Min Op Lease Obligations</t>
  </si>
  <si>
    <t>ARDR_PV_FUTURE_MIN_OP_LEASE_OBL</t>
  </si>
  <si>
    <t>Weighted Average Cost of Options Granted</t>
  </si>
  <si>
    <t>ARDR_WEI_AVG_COST_OPTIONS_GRANT</t>
  </si>
  <si>
    <t>Stock Opt Valuation - Risk Free Rate (%)</t>
  </si>
  <si>
    <t>ARDR_STOCK_OPTION_VAL_RFR</t>
  </si>
  <si>
    <t>Stock Opt Valuation - Expected Life (Yrs)</t>
  </si>
  <si>
    <t>ARDR_STOCK_OPTION_VAL_EXP_LIFE</t>
  </si>
  <si>
    <t>Stock Opt Valuation - Expected Volatil (%)</t>
  </si>
  <si>
    <t>ARDR_STOCK_OPTION_VAL_EXP_VOL</t>
  </si>
  <si>
    <t>Stock Opt Valuation - Dividend Yield (%)</t>
  </si>
  <si>
    <t>ARDR_STOCK_OPTION_VAL_DVD_YLD</t>
  </si>
  <si>
    <t>Avg Exercise Price (Options Exercisable)</t>
  </si>
  <si>
    <t>ARDR_AVG_EXER_PX_OPT_EXERCISABLE</t>
  </si>
  <si>
    <t>Avg Exercise Price (Options Outstanding)</t>
  </si>
  <si>
    <t>ARDR_AVG_EXER_PX_OPT_OUTSTANDING</t>
  </si>
  <si>
    <t>Options Exercisable End of Period</t>
  </si>
  <si>
    <t>ARDR_OPTIONS_EXERCISABLE</t>
  </si>
  <si>
    <t>Deferred Tax Asset - Valuation Allowance</t>
  </si>
  <si>
    <t>ARDR_DEFERRED_TAX_ALLOWANCE</t>
  </si>
  <si>
    <t>Shares Authorized for Repurchase Amount</t>
  </si>
  <si>
    <t>ARDR_SHARES_AUTH_REPURCH_AMOUNT</t>
  </si>
  <si>
    <t>Remaining Shares Auth for Repurchase Amt</t>
  </si>
  <si>
    <t>ARDR_REMAINING_SH_AUTH_REP_AMT</t>
  </si>
  <si>
    <t>FV Assets Rec L1: Trading Treasuries</t>
  </si>
  <si>
    <t>ARDR_FV_ASSETS_REC_L1_TRAD_TREAS</t>
  </si>
  <si>
    <t>FV Assets Rec L1: AFS Treasuries</t>
  </si>
  <si>
    <t>ARDR_FV_ASSETS_REC_L1_AFS_TREAS</t>
  </si>
  <si>
    <t>FV Assets Rec L1: AFS Corporate Bonds</t>
  </si>
  <si>
    <t>ARDR_FV_ASTS_REC_L1_AFS_CORP_BDS</t>
  </si>
  <si>
    <t>FV Assets Rec L1: AFS GSE CMO</t>
  </si>
  <si>
    <t>ARDR_FV_ASTS_REC_L1_AFS_GSE_CMO</t>
  </si>
  <si>
    <t>FV Assets Rec L1: AFS Non GSE</t>
  </si>
  <si>
    <t>ARDR_FV_ASTS_REC_L1_AFS_NON_GSE</t>
  </si>
  <si>
    <t>FV Assets Rec L1: AFS Other</t>
  </si>
  <si>
    <t>ARDR_FV_ASSETS_REC_L1_AFS_OTHER</t>
  </si>
  <si>
    <t>FV Assets Rec L1: Derivatives</t>
  </si>
  <si>
    <t>ARDR_FV_ASTS_REC_L1_DERIVATIVES</t>
  </si>
  <si>
    <t>FV Assets Rec L1: Other</t>
  </si>
  <si>
    <t>ARDR_FV_ASSETS_REC_L1_OTHER</t>
  </si>
  <si>
    <t>FV Assets Rec L2: Trading Treasuries</t>
  </si>
  <si>
    <t>ARDR_FV_ASTS_REC_L2_TRAD_TREAS</t>
  </si>
  <si>
    <t>FV Assets Rec L2: AFS Treasuries</t>
  </si>
  <si>
    <t>ARDR_FV_ASSETS_REC_L2_AFS_TREAS</t>
  </si>
  <si>
    <t>FV Assets Rec L2: AFS Corp Bonds</t>
  </si>
  <si>
    <t>ARDR_FV_ASTS_REC_L2_AFS_CORP_BDS</t>
  </si>
  <si>
    <t>FV Assets Rec L2: AFS GSE CMO</t>
  </si>
  <si>
    <t>ARDR_FV_ASTS_REC_L2_AFS_GSE_CMO</t>
  </si>
  <si>
    <t>FV Assets Rec L2: AFS Non GSE</t>
  </si>
  <si>
    <t>ARDR_FV_ASTS_REC_L2_AFS_NON_GSE</t>
  </si>
  <si>
    <t>FV Assets Rec L2: AFS Other</t>
  </si>
  <si>
    <t>ARDR_FV_ASSETS_REC_L2_AFS_OTHER</t>
  </si>
  <si>
    <t>FV Assets Rec L2: Derivatives</t>
  </si>
  <si>
    <t>ARDR_FV_ASTS_REC_L2_DERIVATIVES</t>
  </si>
  <si>
    <t>FV Assets Rec L2: Other</t>
  </si>
  <si>
    <t>ARDR_FV_ASSETS_REC_L2_OTH</t>
  </si>
  <si>
    <t>FV Assets Rec L3: Trading Treasuries</t>
  </si>
  <si>
    <t>ARDR_FV_ASTS_REC_L3_TRAD_TREAS</t>
  </si>
  <si>
    <t>FV Assets Rec L3: AFS Treasuries</t>
  </si>
  <si>
    <t>ARDR_FV_ASSETS_REC_L3_AFS_TREAS</t>
  </si>
  <si>
    <t>FV Assets Rec L3: AFS Corporate Bonds</t>
  </si>
  <si>
    <t>ARDR_FV_ASTS_REC_L3_AFS_CORP_BDS</t>
  </si>
  <si>
    <t>FV Assets Rec L3: AFS GSE CMO</t>
  </si>
  <si>
    <t>ARDR_FV_ASTS_REC_L3_AFS_GSE_CMO</t>
  </si>
  <si>
    <t>FV Assets Rec L3: AFS Non GSE</t>
  </si>
  <si>
    <t>ARDR_FV_ASTS_REC_L3_AFS_NON_GSE</t>
  </si>
  <si>
    <t>FV Assets Rec L3: AFS Other</t>
  </si>
  <si>
    <t>ARDR_FV_ASSETS_REC_L3_AFS_OTHER</t>
  </si>
  <si>
    <t>FV Assets Rec L3: Derivatives</t>
  </si>
  <si>
    <t>ARDR_FV_ASTS_REC_L3_DERIVATIVES</t>
  </si>
  <si>
    <t>FV Assets Rec L3: Other</t>
  </si>
  <si>
    <t>ARDR_FV_ASSETS_REC_L3_OTHER</t>
  </si>
  <si>
    <t>FV Assets Rec Total: Trading Account</t>
  </si>
  <si>
    <t>ARDR_FV_ASTS_REC_TOT_TRADING_ACC</t>
  </si>
  <si>
    <t>FV Assets Rec Total: AFS</t>
  </si>
  <si>
    <t>ARDR_FV_ASSETS_REC_TOT_AFS</t>
  </si>
  <si>
    <t>FV Assets Rec Total: CP</t>
  </si>
  <si>
    <t>ARDR_FV_ASSETS_REC_TOT_CP</t>
  </si>
  <si>
    <t>FV Assets Rec Total: Derivatives</t>
  </si>
  <si>
    <t>ARDR_FV_ASTS_REC_TOT_DERIVATIVES</t>
  </si>
  <si>
    <t>FV Assets Rec Total: Other</t>
  </si>
  <si>
    <t>ARDR_FV_ASSETS_REC_TOT_OTHER</t>
  </si>
  <si>
    <t>FV Liabs Rec L1: Derivatives</t>
  </si>
  <si>
    <t>ARDR_FV_LIABS_REC_L1_DERIVATIVES</t>
  </si>
  <si>
    <t>FV Liabs Rec L1: Other</t>
  </si>
  <si>
    <t>ARDR_FV_LIABS_REC_L1_OTHER</t>
  </si>
  <si>
    <t>FV Liabs Rec L2: Derivatives</t>
  </si>
  <si>
    <t>ARDR_FV_LIABS_REC_L2_DERIVATIVES</t>
  </si>
  <si>
    <t>FV Liabs Rec L2: Other</t>
  </si>
  <si>
    <t>ARDR_FV_LIABS_REC_L2_OTHER</t>
  </si>
  <si>
    <t>FV Liabs Rec L3: Derivatives</t>
  </si>
  <si>
    <t>ARDR_FV_LIABS_REC_L3_DERIVATIVES</t>
  </si>
  <si>
    <t>FV Liabs Rec L3: Other</t>
  </si>
  <si>
    <t>ARDR_FV_LIABS_REC_L3_OTHER</t>
  </si>
  <si>
    <t>FV Liabs Rec Total: Derivatives</t>
  </si>
  <si>
    <t>ARDR_FV_LIABS_REC_TOT_DERV</t>
  </si>
  <si>
    <t>FV Liabs Rec Total: Other</t>
  </si>
  <si>
    <t>ARDR_FV_LIABS_REC_TOT_OTHER</t>
  </si>
  <si>
    <t>FV Hedging Derivative Assets-Foreign Exch</t>
  </si>
  <si>
    <t>ARDR_FV_HEDG_DERIV_ASSETS_FX</t>
  </si>
  <si>
    <t>ARDR FV Derivative Hedging Liabilities IR FV Hedge</t>
  </si>
  <si>
    <t>ARDR_FV_DER_HEDG_LIABS_IR_FV_HDG</t>
  </si>
  <si>
    <t>FV Non-Hedging Deriv Assets - FX Contract</t>
  </si>
  <si>
    <t>ARDR_FV_NON_HEDG_DERIV_ASSETS_FX</t>
  </si>
  <si>
    <t>FV Non-Hedging Deriv Liabs - FX Contract</t>
  </si>
  <si>
    <t>ARDR_FV_HEDG_DERIV_LIABS_FX</t>
  </si>
  <si>
    <t>Hedging Derivative Liabs-Foreign Exchange</t>
  </si>
  <si>
    <t>ARDR_FV_HEDG_DERIV_LIABI_FX</t>
  </si>
  <si>
    <t>DTA - Net Operating Loss Carryforward</t>
  </si>
  <si>
    <t>ARDR_DTA_NOL_CARRYFORWARD</t>
  </si>
  <si>
    <t>FV Hedging Deriv Assets-Int Rate Contract</t>
  </si>
  <si>
    <t>ARDR_FV_HEDG_DERIV_ASSETS_IR</t>
  </si>
  <si>
    <t>FV Hedging Deriv Liabs - Int Rate Contract</t>
  </si>
  <si>
    <t>ARDR_FV_DERIV_LIABS_IR</t>
  </si>
  <si>
    <t>ARDR FV Hedging Derivative Assets Others</t>
  </si>
  <si>
    <t>ARDR_FV_HEDGING_DERIV_AST_OTHRS</t>
  </si>
  <si>
    <t>ARDR FV Hedging Derivative Liabilities Others</t>
  </si>
  <si>
    <t>ARDR_FV_HEDG_DERIV_LIABS_OTHRS</t>
  </si>
  <si>
    <t>As Reported Data Reference FV Hedging Total Assets</t>
  </si>
  <si>
    <t>ARDR_FV_HEDGING_TOTAL_ASSETS</t>
  </si>
  <si>
    <t>ARDR FV Hedging Total Liabilities</t>
  </si>
  <si>
    <t>ARDR_FV_HEDGING_TOTAL_LIABS</t>
  </si>
  <si>
    <t>Fair Value Non Hedging Total Assets</t>
  </si>
  <si>
    <t>ARDR_FV_NON_HEDGING_TOTAL_ASSETS</t>
  </si>
  <si>
    <t>Fair Value Non Hedging Total Liabilities</t>
  </si>
  <si>
    <t>ARDR_FV_NON_HEDGING_TOTAL_LIABS</t>
  </si>
  <si>
    <t>Options at Beginning of Period</t>
  </si>
  <si>
    <t>ARDR_OPTIONS_BEGINNING_OF_PERIOD</t>
  </si>
  <si>
    <t>Average Price per Share Repurchased</t>
  </si>
  <si>
    <t>ARDR_AVG_PRICE_PER_SHARE_REPURCH</t>
  </si>
  <si>
    <t>UTB Balance at Period End</t>
  </si>
  <si>
    <t>ARDR_UTB_BALANCE_END_PERIOD</t>
  </si>
  <si>
    <t>Additions for Tax Positions of the Crnt Yr</t>
  </si>
  <si>
    <t>ARDR_ADDITIONS_TAX_POS_CUR_YR</t>
  </si>
  <si>
    <t>Additions for Tax Positions of Prior Years</t>
  </si>
  <si>
    <t>ARDR_ADDITIONS_TAX_POS_PR_YR</t>
  </si>
  <si>
    <t>Reductions for Tax Positions for Prior Yrs</t>
  </si>
  <si>
    <t>ARDR_REDUCTIONS_TAX_POS_PR_YR</t>
  </si>
  <si>
    <t>Settlements</t>
  </si>
  <si>
    <t>ARDR_SETTLEMENTS</t>
  </si>
  <si>
    <t>Statutes of Limitations under UTB</t>
  </si>
  <si>
    <t>ARDR_STATUTES_LIMITATIONS_UTB</t>
  </si>
  <si>
    <t>Total Derivative Assets</t>
  </si>
  <si>
    <t>ARDR_TOTAL_DERIVATIVE_ASSETS</t>
  </si>
  <si>
    <t>As Reported Data Reference Restricted Stock Units</t>
  </si>
  <si>
    <t>ARDR_RESTRICTED_STOCK_UNITS</t>
  </si>
  <si>
    <t>ARDR Restricted Stock Unit WAvg FV PS</t>
  </si>
  <si>
    <t>ARDR_RSTR_STK_UNIT_WAVG_FV_PS</t>
  </si>
  <si>
    <t>ARDR Available CP for Issuing</t>
  </si>
  <si>
    <t>ARDR_AVAILABLE_CP_FOR_ISSUING</t>
  </si>
  <si>
    <t>As Reported Data Reference Cash Held Overseas</t>
  </si>
  <si>
    <t>ARDR_CASH_HELD_OVERSEAS</t>
  </si>
  <si>
    <t>Total Commercial Paper Program Size</t>
  </si>
  <si>
    <t>ARDR_TOTAL_CP_PROGRAM_SIZE</t>
  </si>
  <si>
    <t>ARDR Value Shares Repurchased Repurchase Program</t>
  </si>
  <si>
    <t>ARDR_VAL_SHS_REPURCH_FR_REP_PROG</t>
  </si>
  <si>
    <t>ARDR Number Shares Repurchased Repurchase Program</t>
  </si>
  <si>
    <t>ARDR_#_SHS_REPURCH_FR_REP_PROG</t>
  </si>
  <si>
    <t>Amgen Inc (AMGN US) - Common Size</t>
  </si>
  <si>
    <t>Amgen Inc (AMGN US) - Fair Value Analysis</t>
  </si>
  <si>
    <t xml:space="preserve">  Level 1 Assets</t>
  </si>
  <si>
    <t xml:space="preserve">  Level 2 Assets</t>
  </si>
  <si>
    <t xml:space="preserve">  Level 3 Assets</t>
  </si>
  <si>
    <t>Total FV Assets</t>
  </si>
  <si>
    <t xml:space="preserve">  Level 1 Liabilities</t>
  </si>
  <si>
    <t xml:space="preserve">  Level 2 Liabilities</t>
  </si>
  <si>
    <t xml:space="preserve">  Level 3 Liabilities</t>
  </si>
  <si>
    <t>Total FV Liabilities</t>
  </si>
  <si>
    <t xml:space="preserve">  Level 1 Assets/Total Equity</t>
  </si>
  <si>
    <t>LEVEL_1_ASSETS_TO_TOTAL_EQUITY</t>
  </si>
  <si>
    <t xml:space="preserve">  Level 2 Assets/Total Equity</t>
  </si>
  <si>
    <t>LEVEL_2_ASSETS_TO_TOTAL_EQUITY</t>
  </si>
  <si>
    <t xml:space="preserve">  Level 3 Assets/Total Equity</t>
  </si>
  <si>
    <t>LEVEL_3_ASSETS_TO_TOTAL_EQUITY</t>
  </si>
  <si>
    <t>Total FV Assets/Total Equity</t>
  </si>
  <si>
    <t>TOT_FAIR_VAL_ASSETS_TO_TOT_EQTY</t>
  </si>
  <si>
    <t xml:space="preserve">  Level 1 Assets/Total Assets</t>
  </si>
  <si>
    <t>LEVEL_1_ASSETS_TO_TOTAL_ASSETS</t>
  </si>
  <si>
    <t xml:space="preserve">  Level 2 Assets/Total Assets</t>
  </si>
  <si>
    <t>LEVEL_2_ASSETS_TO_TOTAL_ASSETS</t>
  </si>
  <si>
    <t xml:space="preserve">  Level 3 Assets/Total Assets</t>
  </si>
  <si>
    <t>LEVEL_3_ASSETS_TO_TOTAL_ASSETS</t>
  </si>
  <si>
    <t>Total FV Assets/Total Assets</t>
  </si>
  <si>
    <t>TOT_FAIR_VAL_ASSET_TO_TOT_ASSETS</t>
  </si>
  <si>
    <t>Cash from Operating Activities</t>
  </si>
  <si>
    <t xml:space="preserve">  + Net Income</t>
  </si>
  <si>
    <t>CF_NET_INC</t>
  </si>
  <si>
    <t>CF_DEPR_AMORT</t>
  </si>
  <si>
    <t xml:space="preserve">  + Non-Cash Items</t>
  </si>
  <si>
    <t>NON_CASH_ITEMS_DETAILED</t>
  </si>
  <si>
    <t xml:space="preserve">    + Stock-Based Compensation</t>
  </si>
  <si>
    <t>CF_STOCK_BASED_COMPENSATION</t>
  </si>
  <si>
    <t xml:space="preserve">    + Deferred Income Taxes</t>
  </si>
  <si>
    <t>CF_DEF_INC_TAX</t>
  </si>
  <si>
    <t xml:space="preserve">    + Other Non-Cash Adj</t>
  </si>
  <si>
    <t>OTHER_NON_CASH_ADJ_LESS_DETAILED</t>
  </si>
  <si>
    <t xml:space="preserve">  + Chg in Non-Cash Work Cap</t>
  </si>
  <si>
    <t>CF_CHNG_NON_CASH_WORK_CAP</t>
  </si>
  <si>
    <t xml:space="preserve">    + (Inc) Dec in Accts Receiv</t>
  </si>
  <si>
    <t>CF_ACCT_RCV_UNBILLED_REV</t>
  </si>
  <si>
    <t xml:space="preserve">    + (Inc) Dec in Inventories</t>
  </si>
  <si>
    <t>CF_CHANGE_IN_INVENTORIES</t>
  </si>
  <si>
    <t xml:space="preserve">    + Inc (Dec) in Accts Payable</t>
  </si>
  <si>
    <t>CF_CHANGE_IN_ACCOUNTS_PAYABLE</t>
  </si>
  <si>
    <t xml:space="preserve">    + Inc (Dec) in Other</t>
  </si>
  <si>
    <t>INC_DEC_IN_OT_OP_AST_LIAB_DETAIL</t>
  </si>
  <si>
    <t xml:space="preserve">  + Net Cash From Disc Ops</t>
  </si>
  <si>
    <t>CF_NET_CASH_DISCONT_OPS_OPER</t>
  </si>
  <si>
    <t>Cash from Investing Activities</t>
  </si>
  <si>
    <t xml:space="preserve">  + Change in Fixed &amp; Intang</t>
  </si>
  <si>
    <t>FIXED_INTANG_ASST_CHANGE</t>
  </si>
  <si>
    <t xml:space="preserve">    + Disp in Fixed &amp; Intang</t>
  </si>
  <si>
    <t>DISPOSAL_OF_FIXED_INTANG</t>
  </si>
  <si>
    <t xml:space="preserve">    + Disp of Fixed Prod Assets</t>
  </si>
  <si>
    <t>CF_DISPOSAL_OF_FIXED_PROD_ASSETS</t>
  </si>
  <si>
    <t xml:space="preserve">    + Disp of Intangible Assets</t>
  </si>
  <si>
    <t>CF_DISPOSAL_OF_INTANGIBLE_ASSETS</t>
  </si>
  <si>
    <t xml:space="preserve">    + Acq of Fixed &amp; Intang</t>
  </si>
  <si>
    <t>ACQUIS_OF_FIXED_INTANG</t>
  </si>
  <si>
    <t xml:space="preserve">    + Acq of Fixed Prod Assets</t>
  </si>
  <si>
    <t>CF_PURCHASE_OF_FIXED_PROD_ASSETS</t>
  </si>
  <si>
    <t xml:space="preserve">    + Acq of Intangible Assets</t>
  </si>
  <si>
    <t>CF_ACQUISITION_OF_INTANG_ASSETS</t>
  </si>
  <si>
    <t xml:space="preserve">  + Net Change in LT Investment</t>
  </si>
  <si>
    <t>NET_CHG_IN_LT_INVEST_DETAILED</t>
  </si>
  <si>
    <t xml:space="preserve">    + Dec in LT Investment</t>
  </si>
  <si>
    <t>CF_DECR_INVEST</t>
  </si>
  <si>
    <t xml:space="preserve">    + Inc in LT Investment</t>
  </si>
  <si>
    <t>CF_INCR_INVEST</t>
  </si>
  <si>
    <t xml:space="preserve">  + Net Cash From Acq &amp; Div</t>
  </si>
  <si>
    <t>CF_NT_CSH_RCVD_PD_FOR_ACQUIS_DIV</t>
  </si>
  <si>
    <t xml:space="preserve">    + Cash from Divestitures</t>
  </si>
  <si>
    <t>CF_CASH_FOR_DIVESTITURES</t>
  </si>
  <si>
    <t xml:space="preserve">    + Cash for Acq of Subs</t>
  </si>
  <si>
    <t>CF_CASH_FOR_ACQUIS_SUBSIDIARIES</t>
  </si>
  <si>
    <t xml:space="preserve">    + Cash for JVs</t>
  </si>
  <si>
    <t>CF_CASH_FOR_JOINT_VENTURES_ASSOC</t>
  </si>
  <si>
    <t xml:space="preserve">  + Other Investing Activities</t>
  </si>
  <si>
    <t>OTHER_INVESTING_ACT_DETAILED</t>
  </si>
  <si>
    <t>CF_NET_CASH_DISCONTINUED_OPS_INV</t>
  </si>
  <si>
    <t>Cash from Financing Activities</t>
  </si>
  <si>
    <t xml:space="preserve">  + Dividends Paid</t>
  </si>
  <si>
    <t>CF_DVD_PAID</t>
  </si>
  <si>
    <t xml:space="preserve">  + Cash From (Repayment) Debt</t>
  </si>
  <si>
    <t>PROC_FR_REPAYMNTS_BOR_DETAILED</t>
  </si>
  <si>
    <t xml:space="preserve">    + Cash From (Repay) ST Debt</t>
  </si>
  <si>
    <t>CF_NET_CHG_ST_DEBT_CPTL_LEAS</t>
  </si>
  <si>
    <t xml:space="preserve">    + Cash From LT Debt</t>
  </si>
  <si>
    <t>CF_LT_DEBT_CAP_LEAS_PROCEEDS</t>
  </si>
  <si>
    <t xml:space="preserve">    + Repayments of LT Debt</t>
  </si>
  <si>
    <t>CF_LT_DEBT_CAP_LEAS_PAYMENT</t>
  </si>
  <si>
    <t xml:space="preserve">  + Cash (Repurchase) of Equity</t>
  </si>
  <si>
    <t>PROC_FR_REPURCH_EQTY_DETAILED</t>
  </si>
  <si>
    <t xml:space="preserve">    + Increase in Capital Stock</t>
  </si>
  <si>
    <t>CF_INCR_CAP_STOCK</t>
  </si>
  <si>
    <t xml:space="preserve">    + Decrease in Capital Stock</t>
  </si>
  <si>
    <t>CF_DECR_CAP_STOCK</t>
  </si>
  <si>
    <t xml:space="preserve">  + Other Financing Activities</t>
  </si>
  <si>
    <t>OTHER_FIN_AND_DEC_CAP</t>
  </si>
  <si>
    <t>CF_NET_CASH_DISCONTINUED_OPS_FIN</t>
  </si>
  <si>
    <t>CFF_ACTIVITIES_DETAILED</t>
  </si>
  <si>
    <t xml:space="preserve">  Effect of Foreign Exchange Rates</t>
  </si>
  <si>
    <t>CF_EFFECT_FOREIGN_EXCHANGES</t>
  </si>
  <si>
    <t>Net Changes in Cash</t>
  </si>
  <si>
    <t>CF_NET_CHNG_CASH</t>
  </si>
  <si>
    <t>Trailing 12M EBITDA Margin</t>
  </si>
  <si>
    <t>Net Cash Paid for Acquisitions</t>
  </si>
  <si>
    <t>CF_NET_CASH_PAID_FOR_AQUIS</t>
  </si>
  <si>
    <t>Free Cash Flow to Firm</t>
  </si>
  <si>
    <t>CF_FREE_CASH_FLOW_FIRM</t>
  </si>
  <si>
    <t>Free Cash Flow to Equity</t>
  </si>
  <si>
    <t>FREE_CASH_FLOW_EQUITY</t>
  </si>
  <si>
    <t>Free Cash Flow per Basic Share</t>
  </si>
  <si>
    <t>Price to Free Cash Flow</t>
  </si>
  <si>
    <t>Cash Flow to Net Income</t>
  </si>
  <si>
    <t>CASH_FLOW_TO_NET_INC</t>
  </si>
  <si>
    <t xml:space="preserve">  Cash From Operating Activities</t>
  </si>
  <si>
    <t>Net Income - CF</t>
  </si>
  <si>
    <t>ARD_NET_INCOME_CF</t>
  </si>
  <si>
    <t>Depreciation And Amortization - CF</t>
  </si>
  <si>
    <t>ARD_DEPRECIATION_AND_AMORT_CF</t>
  </si>
  <si>
    <t>Deferred Income Taxes - CF</t>
  </si>
  <si>
    <t>ARD_DEFERRED_INCOME_TAXES_CF</t>
  </si>
  <si>
    <t>ARD_STOCK_BASED_COMPENSATION</t>
  </si>
  <si>
    <t>Other Non-Cash Items</t>
  </si>
  <si>
    <t>ARD_OTHER_NON_CASH_ITEMS</t>
  </si>
  <si>
    <t>Change in Inventories</t>
  </si>
  <si>
    <t>ARD_CHANGE_IN_INVENTORIES</t>
  </si>
  <si>
    <t>Change in Accounts Payable</t>
  </si>
  <si>
    <t>ARD_CHANGE_IN_ACCOUNTS_PAYABLE</t>
  </si>
  <si>
    <t>Change in Accounts Receivable</t>
  </si>
  <si>
    <t>ARD_CHG_IN_ACCOUNTS_RECEIVABLE</t>
  </si>
  <si>
    <t>Change in Accrued Expenses</t>
  </si>
  <si>
    <t>ARD_CHANGE_IN_ACCRUED_EXP</t>
  </si>
  <si>
    <t>Change in Deferred/Unearned Revenue -ST</t>
  </si>
  <si>
    <t>ARD_CHG_IN_DEF_UNEARN_REVENUE_ST</t>
  </si>
  <si>
    <t>Change in Income Taxes Payable (Receivable)</t>
  </si>
  <si>
    <t>ARD_CHG_IN_INC_TAX_PAYABLE_REC</t>
  </si>
  <si>
    <t>Change in Other Current Assets</t>
  </si>
  <si>
    <t>ARD_CHANGE_IN_OTHER_CUR_ASSETS</t>
  </si>
  <si>
    <t>Equity In Earnings Of Affiliates/JV-CF</t>
  </si>
  <si>
    <t>ARD_EQY_IN_EARN_OF_AFF_JV_CF</t>
  </si>
  <si>
    <t>Acquired In-Process R&amp;D -CF</t>
  </si>
  <si>
    <t>ARD_ACQUIRED_IN_PROCESS_RD_CF</t>
  </si>
  <si>
    <t>Change in Other Assets</t>
  </si>
  <si>
    <t>ARD_CHANGE_IN_OTHER_ASSETS</t>
  </si>
  <si>
    <t>Change In Other Liabilites</t>
  </si>
  <si>
    <t>ARD_CHG_IN_OTHER_LIABILITES</t>
  </si>
  <si>
    <t>Total Cash Flows From Operations</t>
  </si>
  <si>
    <t>ARD_TOT_CASH_FLOWS_FROM_OPS</t>
  </si>
  <si>
    <t>Gain (Loss) On Sale of Investments and Mkt Sec</t>
  </si>
  <si>
    <t>ARD_GL_ON_SALE_OF_INV_MKT_SEC</t>
  </si>
  <si>
    <t xml:space="preserve">  Cash From Investing Activities</t>
  </si>
  <si>
    <t>ARD_CAPITAL_EXPENDITURES</t>
  </si>
  <si>
    <t>Purchases of Long-Term Investments</t>
  </si>
  <si>
    <t>ARD_PURCHASES_OF_LT_INVEST</t>
  </si>
  <si>
    <t>Acquisition of Business</t>
  </si>
  <si>
    <t>ARD_ACQUISITION_OF_BUSINESS</t>
  </si>
  <si>
    <t>Other Investing Activities</t>
  </si>
  <si>
    <t>ARD_OTHER_INVESTING_ACTIVITIES</t>
  </si>
  <si>
    <t>Divestiture of Business</t>
  </si>
  <si>
    <t>ARD_DIVESTITURE_OF_BUSINESS</t>
  </si>
  <si>
    <t>Proceeds From Long-Term Marketable Securities</t>
  </si>
  <si>
    <t>ARD_PROCEEDS_FROM_LT_MKT_SEC</t>
  </si>
  <si>
    <t>Purchases of Long-Term Marketable Securities</t>
  </si>
  <si>
    <t>ARD_PURCHASES_OF_LT_MKT_SEC</t>
  </si>
  <si>
    <t>Purchases of Short-Term Marketable Securities</t>
  </si>
  <si>
    <t>ARD_PURCHASES_OF_ST_MKT_SEC</t>
  </si>
  <si>
    <t>Total Cash Flows From Investing</t>
  </si>
  <si>
    <t>ARD_TOT_CASHFLOWS_FROM_INVESTING</t>
  </si>
  <si>
    <t xml:space="preserve">  Cash from Financing Activities</t>
  </si>
  <si>
    <t>Dividends Paid</t>
  </si>
  <si>
    <t>ARD_DIVIDEND_PD</t>
  </si>
  <si>
    <t>Increase In Long-Term Borrowings</t>
  </si>
  <si>
    <t>ARD_INCR_IN_LT_BORROW</t>
  </si>
  <si>
    <t>Decrease In Long-Term Borrowings</t>
  </si>
  <si>
    <t>ARD_DECR_IN_LT_BORROW</t>
  </si>
  <si>
    <t>Repurchase of Common Stock</t>
  </si>
  <si>
    <t>ARD_REPURCHASE_OF_COMMON_STOCK</t>
  </si>
  <si>
    <t>Other Financing Activities</t>
  </si>
  <si>
    <t>ARD_OTHER_FINANCING_ACTIVITIES</t>
  </si>
  <si>
    <t>Net Change In Cash</t>
  </si>
  <si>
    <t>ARD_NET_CHANGE_IN_CASH</t>
  </si>
  <si>
    <t>Cash and Cash Equivalents (End of Period)</t>
  </si>
  <si>
    <t>ARD_CASH_CASH_EQUIV_END_OF_PER</t>
  </si>
  <si>
    <t>Cash and Cash Equivalents (Beg of Period)</t>
  </si>
  <si>
    <t>ARD_CASH_CASH_EQUIV_BEG_OF_PER</t>
  </si>
  <si>
    <t>Total Cash Flows From Financing</t>
  </si>
  <si>
    <t>ARD_TOT_CASHFLOWS_FROM_FINANCING</t>
  </si>
  <si>
    <t>Cash Paid For Taxes</t>
  </si>
  <si>
    <t>ARDR_CASH_PAID_FOR_TAXES</t>
  </si>
  <si>
    <t>Cash Paid For Interest</t>
  </si>
  <si>
    <t>ARDR_CASH_PAID_FOR_INTEREST</t>
  </si>
  <si>
    <t>ARDR Free Cash Flow</t>
  </si>
  <si>
    <t>ARDR_FCF</t>
  </si>
  <si>
    <t>Amgen Inc (AMGN US) - Profitability</t>
  </si>
  <si>
    <t>Returns</t>
  </si>
  <si>
    <t>Return on Common Equity</t>
  </si>
  <si>
    <t>RETURN_COM_EQY</t>
  </si>
  <si>
    <t>Return on Assets</t>
  </si>
  <si>
    <t>RETURN_ON_ASSET</t>
  </si>
  <si>
    <t>Return on Capital</t>
  </si>
  <si>
    <t>RETURN_ON_CAP</t>
  </si>
  <si>
    <t>Return on Invested Capital</t>
  </si>
  <si>
    <t>RETURN_ON_INV_CAPITAL</t>
  </si>
  <si>
    <t>Margins</t>
  </si>
  <si>
    <t>EBITDA Margin</t>
  </si>
  <si>
    <t>EBITDA_TO_REVENUE</t>
  </si>
  <si>
    <t>Incremental Operating Margin</t>
  </si>
  <si>
    <t>INCREMENTAL_OPERATING_MARGIN</t>
  </si>
  <si>
    <t>Pretax Margin</t>
  </si>
  <si>
    <t>PRETAX_INC_TO_NET_SALES</t>
  </si>
  <si>
    <t>Income before XO Margin</t>
  </si>
  <si>
    <t>INC_BEF_XO_ITEMS_TO_NET_SALES</t>
  </si>
  <si>
    <t>Net Income Margin</t>
  </si>
  <si>
    <t>Net Income to Common Margin</t>
  </si>
  <si>
    <t>NET_INCOME_TO_COMMON_MARGIN</t>
  </si>
  <si>
    <t>Additional</t>
  </si>
  <si>
    <t>Effective Tax Rate</t>
  </si>
  <si>
    <t>EFF_TAX_RATE</t>
  </si>
  <si>
    <t>Dvd Payout Ratio</t>
  </si>
  <si>
    <t>DVD_PAYOUT_RATIO</t>
  </si>
  <si>
    <t>Sustainable Growth Rate</t>
  </si>
  <si>
    <t>SUSTAIN_GROWTH_RT</t>
  </si>
  <si>
    <t>Amgen Inc (AMGN US) - Growth</t>
  </si>
  <si>
    <t>1 Year Growth</t>
  </si>
  <si>
    <t>EBITDA_GROWTH</t>
  </si>
  <si>
    <t>OPER_INC_GROWTH</t>
  </si>
  <si>
    <t>EARN_FOR_COM_GROWTH</t>
  </si>
  <si>
    <t>EPS Diluted</t>
  </si>
  <si>
    <t>EPS Diluted before XO</t>
  </si>
  <si>
    <t>DILUTED_EPS_BEF_XO_ITEMS_GROWTH</t>
  </si>
  <si>
    <t>EPS Diluted before Abnormal</t>
  </si>
  <si>
    <t>RR_DIL_EPS_CONT_OPS_GROWTH</t>
  </si>
  <si>
    <t>Dividend per Share</t>
  </si>
  <si>
    <t>DIVIDEND_PER_SHARE_1_YEAR_GROWTH</t>
  </si>
  <si>
    <t>Accounts Receivable</t>
  </si>
  <si>
    <t>ACCOUNTS_RECEIVABLE_GROWTH</t>
  </si>
  <si>
    <t>Inventory</t>
  </si>
  <si>
    <t>INVENTORY_GROWTH</t>
  </si>
  <si>
    <t>Fixed Assets</t>
  </si>
  <si>
    <t>NET_FIXED_ASSETS_1_YEAR_GROWTH</t>
  </si>
  <si>
    <t>ASSET_GROWTH</t>
  </si>
  <si>
    <t>Modified Working Capital</t>
  </si>
  <si>
    <t>MODIFIED_WORK_CAP_GROWTH</t>
  </si>
  <si>
    <t>Working Capital</t>
  </si>
  <si>
    <t>WORK_CAP_GROWTH</t>
  </si>
  <si>
    <t>Employees</t>
  </si>
  <si>
    <t>EMPL_GROWTH</t>
  </si>
  <si>
    <t>Accounts Payable</t>
  </si>
  <si>
    <t>ACCOUNTS_PAYABLE_GROWTH_1YR</t>
  </si>
  <si>
    <t>Short-Term Debt</t>
  </si>
  <si>
    <t>SHORT_TERM_DEBT_1_YEAR_GROWTH</t>
  </si>
  <si>
    <t>Total Debt</t>
  </si>
  <si>
    <t>TOTAL_DEBT_1_YEAR_GROWTH</t>
  </si>
  <si>
    <t>TOTAL_EQUITY_1_YEAR_GROWTH</t>
  </si>
  <si>
    <t>Capital</t>
  </si>
  <si>
    <t>GROWTH_IN_CAP</t>
  </si>
  <si>
    <t>Book Value per Share</t>
  </si>
  <si>
    <t>BVPS_GROWTH</t>
  </si>
  <si>
    <t>CASH_FLOW_GROWTH</t>
  </si>
  <si>
    <t>TOT_CAP_EXPEND_GROWTH</t>
  </si>
  <si>
    <t>NET_CHANGE_IN_CASH_1_YEAR_GROWTH</t>
  </si>
  <si>
    <t>FREE_CASH_FLOW_1_YEAR_GROWTH</t>
  </si>
  <si>
    <t>Cash Flow to Firm</t>
  </si>
  <si>
    <t>CASH_FLOW_TO_FIRM_1_YEAR_GROWTH</t>
  </si>
  <si>
    <t>FCF_TO_FIRM_1_YEAR_GROWTH</t>
  </si>
  <si>
    <t>5 Year Growth</t>
  </si>
  <si>
    <t>GEO_GROW_NET_SALES</t>
  </si>
  <si>
    <t>GEO_GROW_EBITDA</t>
  </si>
  <si>
    <t>GEO_GROW_OPER_INC</t>
  </si>
  <si>
    <t>NET_INCOME_TO_COMMON_5_YR_GROWTH</t>
  </si>
  <si>
    <t>5Y_GEO_GROWTH_DILUTED_EPS</t>
  </si>
  <si>
    <t>5Y_GEO_GROWTH_DILUTED_EPS_BEF_XO</t>
  </si>
  <si>
    <t>GEO_GROW_DILUTED_EPS_CONT_OPS</t>
  </si>
  <si>
    <t>GEO_GROW_DVD_PER_SH</t>
  </si>
  <si>
    <t>ACCOUNTS_RECEIVABLE_5_YR_GROWTH</t>
  </si>
  <si>
    <t>INVENTORY_5_YEAR_GROWTH</t>
  </si>
  <si>
    <t>NET_FIXED_ASSETS_5_YEAR_GROWTH</t>
  </si>
  <si>
    <t>GEO_GROW_TOT_ASSET</t>
  </si>
  <si>
    <t>MODIFIED_WORKING_CPTL_5YR_GRWTH</t>
  </si>
  <si>
    <t>WORKING_CAPITAL_5_YEAR_GROWTH</t>
  </si>
  <si>
    <t>EMPLOYEES_5_YEAR_GROWTH</t>
  </si>
  <si>
    <t>ACCOUNTS_PAYABLE_5_YEAR_GROWTH</t>
  </si>
  <si>
    <t>SHORT_TERM_DEBT_5_YEAR_GROWTH</t>
  </si>
  <si>
    <t>TOTAL_DEBT_5_YEAR_GROWTH</t>
  </si>
  <si>
    <t>GEO_GROW_TOT_SHRHLDR_EQY</t>
  </si>
  <si>
    <t>Total Capital 5 Year Growth</t>
  </si>
  <si>
    <t>TOTAL_CAPITAL_5_YEAR_GROWTH</t>
  </si>
  <si>
    <t>GEO_GROW_BOOK_VAL</t>
  </si>
  <si>
    <t>GEO_GROW_CASH_OPER_ACT</t>
  </si>
  <si>
    <t>NET_CHANGE_IN_CASH_5_YEAR_GROWTH</t>
  </si>
  <si>
    <t>FREE_CASH_FLOW_5_YEAR_GROWTH</t>
  </si>
  <si>
    <t>CASH_FLOW_TO_FIRM_5_YEAR_GROWTH</t>
  </si>
  <si>
    <t>FCF_TO_FIRM_5_YEAR_GROWTH</t>
  </si>
  <si>
    <t>Sequential Growth</t>
  </si>
  <si>
    <t>REVENUE_SEQUENTIAL_GROWTH</t>
  </si>
  <si>
    <t>EBITDA_SEQUENTIAL_GROWTH</t>
  </si>
  <si>
    <t>OPERATING_INCOME_SEQ_GROWTH</t>
  </si>
  <si>
    <t>NET_INCOME_TO_COMMON_SEQ_GROWTH</t>
  </si>
  <si>
    <t>EPS_DILUTED_SEQUENTIAL_GROWTH</t>
  </si>
  <si>
    <t>EPS_DIL_BEF_EXTRAORD_SEQ_GRWTH</t>
  </si>
  <si>
    <t>EPS_DILUTED_BEF_ABNRML_SEQ_GRWTH</t>
  </si>
  <si>
    <t>DPS_SEQUENTIAL_GROWTH</t>
  </si>
  <si>
    <t>ACCOUNTS_RECEIVABLE_SEQ_GROWTH</t>
  </si>
  <si>
    <t>INVENTORY_SEQUENTIAL_GROWTH</t>
  </si>
  <si>
    <t>FIXED_ASSETS_SEQUENTIAL_GROWTH</t>
  </si>
  <si>
    <t>TOTAL_ASSETS_SEQUENTIAL_GROWTH</t>
  </si>
  <si>
    <t>MODIFIED_WORKING_CPTL_SEQ_GRWTH</t>
  </si>
  <si>
    <t>WORKING_CAPITAL_SEQ_GROWTH</t>
  </si>
  <si>
    <t>ACCOUNTS_PAYABLE_SEQ_GROWTH</t>
  </si>
  <si>
    <t>ST_DEBT_SEQUENTIAL_GROWTH</t>
  </si>
  <si>
    <t>TOTAL_DEBT_SEQUENTIAL_GROWTH</t>
  </si>
  <si>
    <t>TOTAL_EQUITY_SEQUENTIAL_GROWTH</t>
  </si>
  <si>
    <t>TOTAL_CAPITAL_SEQUENTIAL_GROWTH</t>
  </si>
  <si>
    <t>BPS_SEQUENTIAL_GROWTH</t>
  </si>
  <si>
    <t>CFO_SEQUENTIAL_GROWTH</t>
  </si>
  <si>
    <t>CAPEX_SEQUENTIAL_GROWTH</t>
  </si>
  <si>
    <t>NET_CHANGE_IN_CASH_SEQ_GROWTH</t>
  </si>
  <si>
    <t>FREE_CASH_FLOW_SEQUENTIAL_GROWTH</t>
  </si>
  <si>
    <t>CF_TO_FIRM_SEQUENTIAL_GROWTH</t>
  </si>
  <si>
    <t>FCF_TO_FIRM_SEQUENTIAL_GROWTH</t>
  </si>
  <si>
    <t>Amgen Inc (AMGN US) - Credit</t>
  </si>
  <si>
    <t>No</t>
  </si>
  <si>
    <t xml:space="preserve">  Short-Term Debt</t>
  </si>
  <si>
    <t xml:space="preserve">  Long Term Debt</t>
  </si>
  <si>
    <t>Total Debt/T12M EBITDA</t>
  </si>
  <si>
    <t>TOT_DEBT_TO_EBITDA</t>
  </si>
  <si>
    <t>Net Debt/EBITDA</t>
  </si>
  <si>
    <t>NET_DEBT_TO_EBITDA</t>
  </si>
  <si>
    <t>Total Debt/EBIT</t>
  </si>
  <si>
    <t>TOTAL_DEBT_TO_EBIT</t>
  </si>
  <si>
    <t>Net Debt/EBIT</t>
  </si>
  <si>
    <t>NET_DEBT_TO_EBIT</t>
  </si>
  <si>
    <t>EBITDA to Interest Expense</t>
  </si>
  <si>
    <t>EBITDA_TO_INTEREST_EXPN</t>
  </si>
  <si>
    <t>EBITDA-CapEx/Interest Expense</t>
  </si>
  <si>
    <t>EBITDA_LES_CAP_EXPEND_TO_INT_EXP</t>
  </si>
  <si>
    <t>EBIT to Interest Expense</t>
  </si>
  <si>
    <t>OPER_INC_TO_INT_EXP</t>
  </si>
  <si>
    <t>Interest Expense</t>
  </si>
  <si>
    <t>Common Equity/Total Assets</t>
  </si>
  <si>
    <t>COM_EQY_TO_TOT_ASSET</t>
  </si>
  <si>
    <t>Long-Term Debt/Equity</t>
  </si>
  <si>
    <t>LT_DEBT_TO_TOT_EQY</t>
  </si>
  <si>
    <t>Long-Term Debt/Capital</t>
  </si>
  <si>
    <t>LT_DEBT_TO_TOT_CAP</t>
  </si>
  <si>
    <t>Long-Term Debt/Total Assets</t>
  </si>
  <si>
    <t>LT_DEBT_TO_TOT_ASSET</t>
  </si>
  <si>
    <t>Total Debt/Equity</t>
  </si>
  <si>
    <t>TOT_DEBT_TO_TOT_EQY</t>
  </si>
  <si>
    <t>Total Debt/Capital</t>
  </si>
  <si>
    <t>Total Debt/Total Assets</t>
  </si>
  <si>
    <t>TOT_DEBT_TO_TOT_ASSET</t>
  </si>
  <si>
    <t>Net Debt/Equity</t>
  </si>
  <si>
    <t>Net Debt/Capital</t>
  </si>
  <si>
    <t>NET_DEBT_PCT_OF_TOT_CAPITAL</t>
  </si>
  <si>
    <t>EBITDA-CapEx</t>
  </si>
  <si>
    <t>EBITDA_AFTER_CAPEX</t>
  </si>
  <si>
    <t>Amgen Inc (AMGN US) - Credit Ex Operating Leases</t>
  </si>
  <si>
    <t>ST_DEBT_EX_OPERATING_LEASE_LIABS</t>
  </si>
  <si>
    <t>LT_DEBT_EX_OPERATING_LEASE_LIABS</t>
  </si>
  <si>
    <t>TOT_DBT_TO_EBITDA_EX_OP_LEA_ACT</t>
  </si>
  <si>
    <t>NET_DEBT_EBITDA_EX_OPER_LEA_ACT</t>
  </si>
  <si>
    <t>TOT_DEBT_TO_EBIT_EX_OPER_LEA_ACT</t>
  </si>
  <si>
    <t>NET_DEBT_TO_EBIT_EX_OPER_LEA_ACT</t>
  </si>
  <si>
    <t>EBITDA_AFT_OP_LEA_EXP_TO_INT_EXP</t>
  </si>
  <si>
    <t>EBITDA_AFT_CAPEX_OP_LEA_EX_INT</t>
  </si>
  <si>
    <t>EBIT_AFT_OP_LEA_EXPN_TO_INT_EXPN</t>
  </si>
  <si>
    <t>INT_EXPN_AFTER_OPERATING_LEA_ACT</t>
  </si>
  <si>
    <t>CE_TO_TOT_AST_LESS_OPER_LEA_AST</t>
  </si>
  <si>
    <t>LT_DBT_EX_OPER_LEA_LIABS_TO_EQTY</t>
  </si>
  <si>
    <t>LT_DBT_TO_CPTL_EX_OPER_LEA_LIABS</t>
  </si>
  <si>
    <t>LT_DBT_AST_EX_OP_LEA_LIAB_AST</t>
  </si>
  <si>
    <t>TOT_DBT_EX_OP_LEA_LIABS_TO_EQTY</t>
  </si>
  <si>
    <t>TOT_DBT_AST_EX_OP_LEA_LIAB_AST</t>
  </si>
  <si>
    <t>NET_DBT_EX_OPER_LEA_LIABS_EQTY</t>
  </si>
  <si>
    <t>NET_DBT_CPTL_EX_OPER_LEA_LIABS</t>
  </si>
  <si>
    <t>EBITDA_AFTER_OPERATING_LEA_EXPN</t>
  </si>
  <si>
    <t>EBITDA_AFT_CAPEX_AND_OP_LEA_EXPN</t>
  </si>
  <si>
    <t>EBIT_AFTER_OPERATING_LEASE</t>
  </si>
  <si>
    <t>Amgen Inc (AMGN US) - Liquidity</t>
  </si>
  <si>
    <t>Cash Ratio</t>
  </si>
  <si>
    <t>CASH_RATIO</t>
  </si>
  <si>
    <t>Quick Ratio</t>
  </si>
  <si>
    <t>QUICK_RATIO</t>
  </si>
  <si>
    <t>CFO/Avg Current Liab</t>
  </si>
  <si>
    <t>CFO_TO_AVG_CURRENT_LIABILITIES</t>
  </si>
  <si>
    <t>CFO/Total Liabilities</t>
  </si>
  <si>
    <t>CASH_FLOW_TO_TOT_LIAB</t>
  </si>
  <si>
    <t>CFO/CapEx</t>
  </si>
  <si>
    <t>CAP_EXPEND_RATIO</t>
  </si>
  <si>
    <t>Altman's Z-Score</t>
  </si>
  <si>
    <t>ALTMAN_Z_SCORE</t>
  </si>
  <si>
    <t>BS_TOTAL_LINE_OF_CREDIT</t>
  </si>
  <si>
    <t xml:space="preserve">  Total Available Line Of Credit</t>
  </si>
  <si>
    <t>BS_TOTAL_AVAIL_LINE_OF_CREDIT</t>
  </si>
  <si>
    <t xml:space="preserve">  Total Credit Lines Drawn</t>
  </si>
  <si>
    <t>LINE_OF_CREDIT_UTILIZED_AMOUNT</t>
  </si>
  <si>
    <t>Total Commercial Paper Outstanding</t>
  </si>
  <si>
    <t>BS_TOT_COM_PAPER_ISSUED</t>
  </si>
  <si>
    <t>Amgen Inc (AMGN US) - Working Capital</t>
  </si>
  <si>
    <t>Accounts Receivable Turnover</t>
  </si>
  <si>
    <t>ACCT_RCV_TURN</t>
  </si>
  <si>
    <t xml:space="preserve">  Days Sales Outstanding</t>
  </si>
  <si>
    <t>ACCT_RCV_DAYS</t>
  </si>
  <si>
    <t>Inventory Turnover</t>
  </si>
  <si>
    <t>INVENT_TURN</t>
  </si>
  <si>
    <t xml:space="preserve">  Days Inventory Outstanding</t>
  </si>
  <si>
    <t>INVENT_DAYS</t>
  </si>
  <si>
    <t>Accounts Payable Turnover</t>
  </si>
  <si>
    <t>ACCOUNTS_PAYABLE_TURNOVER</t>
  </si>
  <si>
    <t xml:space="preserve">  Accounts Payable Turnover Days</t>
  </si>
  <si>
    <t>ACCOUNTS_PAYABLE_TURNOVER_DAYS</t>
  </si>
  <si>
    <t>Inventory to Cash Days</t>
  </si>
  <si>
    <t>INV_TO_CASH_DAYS</t>
  </si>
  <si>
    <t>Total Inventory</t>
  </si>
  <si>
    <t xml:space="preserve">  Inventory Raw Materials</t>
  </si>
  <si>
    <t xml:space="preserve">  Inventory In Progress</t>
  </si>
  <si>
    <t xml:space="preserve">  Inventory Finished Goods</t>
  </si>
  <si>
    <t xml:space="preserve">  Other Inventory</t>
  </si>
  <si>
    <t>Amgen Inc (AMGN US) - Yield Analysis</t>
  </si>
  <si>
    <t>T12 Cash Flows to Equity</t>
  </si>
  <si>
    <t>+ Cash From Operations</t>
  </si>
  <si>
    <t>TRAIL_12M_CASH_FROM_OPER</t>
  </si>
  <si>
    <t>+ Capital Expenditures</t>
  </si>
  <si>
    <t>TRAIL_12M_CAP_EXPEND</t>
  </si>
  <si>
    <t>TRAIL_12M_FREE_CASH_FLOW</t>
  </si>
  <si>
    <t>Free Cash Flow Yield</t>
  </si>
  <si>
    <t>FREE_CASH_FLOW_YIELD</t>
  </si>
  <si>
    <t>T12M_DVDS_PAID</t>
  </si>
  <si>
    <t>Net Share Repurchases</t>
  </si>
  <si>
    <t>T12M_NET_CAPITAL_STOCK</t>
  </si>
  <si>
    <t>Net ST Debt Repayments</t>
  </si>
  <si>
    <t>T12M_CHG_ST_BORROWINGS</t>
  </si>
  <si>
    <t>Net LT Debt Repayments</t>
  </si>
  <si>
    <t>T12M_CHG_LT_DEBT</t>
  </si>
  <si>
    <t>T12_OTHER_CFF</t>
  </si>
  <si>
    <t>T12 Cash to Suppliers of Capital</t>
  </si>
  <si>
    <t>T12_CFF</t>
  </si>
  <si>
    <t>T12 Shareholder Yield</t>
  </si>
  <si>
    <t>SHAREHOLDER_YIELD_CFF</t>
  </si>
  <si>
    <t>- Dividends Paid</t>
  </si>
  <si>
    <t>- Net Share Repurchases</t>
  </si>
  <si>
    <t>T12 Cash to Shareholders</t>
  </si>
  <si>
    <t>RETURNED_CAPITAL_EX_DEBT</t>
  </si>
  <si>
    <t>T12 Shareholder Yield, Ex Debt</t>
  </si>
  <si>
    <t>SHAREHOLDER_YIELD_EX_DEBT</t>
  </si>
  <si>
    <t>T12 Cash Flows to the Firm</t>
  </si>
  <si>
    <t>+ After-Tax Interest Expense</t>
  </si>
  <si>
    <t>AFTER_TAX_INTEREST_EXPENSE</t>
  </si>
  <si>
    <t>Trailing 12M Free Cash Flow To Firm</t>
  </si>
  <si>
    <t>Periodic Enterprise Value</t>
  </si>
  <si>
    <t>T12 FCFF Yield</t>
  </si>
  <si>
    <t>T12M_FCF_TO_FIRM_YIELD</t>
  </si>
  <si>
    <t>- Net ST Debt Repayments</t>
  </si>
  <si>
    <t>- Net LT Debt Repayments</t>
  </si>
  <si>
    <t>- Other Financing Activities</t>
  </si>
  <si>
    <t>T12 Capital Yield</t>
  </si>
  <si>
    <t>CAPITAL_YIELD</t>
  </si>
  <si>
    <t>Amgen Inc (AMGN US) - DuPont Analysis</t>
  </si>
  <si>
    <t>Tax Burden</t>
  </si>
  <si>
    <t xml:space="preserve">  Net Inc to Comn/Pre-Tax Profit %</t>
  </si>
  <si>
    <t>TAX_EFFICIENCY</t>
  </si>
  <si>
    <t>Adjustment Factor</t>
  </si>
  <si>
    <t xml:space="preserve">  Normlzd Net Inc/Net Inc to Cmn</t>
  </si>
  <si>
    <t>NORM_NET_INC_TO_NET_INC_FO_COM</t>
  </si>
  <si>
    <t>Interest Burden</t>
  </si>
  <si>
    <t xml:space="preserve">  Pre-Tax Profit/EBIT %</t>
  </si>
  <si>
    <t>INT_BURDEN</t>
  </si>
  <si>
    <t xml:space="preserve">  EBIT/Revenue %</t>
  </si>
  <si>
    <t>T12_EBIT_TO_REVENUE</t>
  </si>
  <si>
    <t>Asset Turnover</t>
  </si>
  <si>
    <t xml:space="preserve">  Revenue/Avg Assets</t>
  </si>
  <si>
    <t>ASSET_TURNOVER</t>
  </si>
  <si>
    <t>Leverage Ratio</t>
  </si>
  <si>
    <t xml:space="preserve">  Avg Assets/Avg Equity</t>
  </si>
  <si>
    <t>FNCL_LVRG</t>
  </si>
  <si>
    <t>Adjusted Return on Equity</t>
  </si>
  <si>
    <t>NORMALIZED_ROE</t>
  </si>
  <si>
    <t>5 Year Average Adj ROE</t>
  </si>
  <si>
    <t>5_YEAR_AVERAGE_ADJUSTED_ROE</t>
  </si>
  <si>
    <t>Payout Ratio</t>
  </si>
  <si>
    <t>Amgen Inc (AMGN US) - By Measure</t>
  </si>
  <si>
    <t xml:space="preserve">  Human Therapeutics</t>
  </si>
  <si>
    <t>Revenue - Supplementary Breakdown</t>
  </si>
  <si>
    <t xml:space="preserve">  Prolia</t>
  </si>
  <si>
    <t xml:space="preserve">  Enbrel</t>
  </si>
  <si>
    <t xml:space="preserve">  Otezla</t>
  </si>
  <si>
    <t xml:space="preserve">  Repatha</t>
  </si>
  <si>
    <t xml:space="preserve">  Xgeva</t>
  </si>
  <si>
    <t xml:space="preserve">  Tepezza</t>
  </si>
  <si>
    <t xml:space="preserve">  Evenity</t>
  </si>
  <si>
    <t xml:space="preserve">  Blincyto</t>
  </si>
  <si>
    <t xml:space="preserve">  Kyprolis</t>
  </si>
  <si>
    <t xml:space="preserve">  Other revenues</t>
  </si>
  <si>
    <t xml:space="preserve">  Other products</t>
  </si>
  <si>
    <t xml:space="preserve">  Krystexxa</t>
  </si>
  <si>
    <t xml:space="preserve">  Nplate</t>
  </si>
  <si>
    <t xml:space="preserve">  Aranesp</t>
  </si>
  <si>
    <t xml:space="preserve">  Tezspire</t>
  </si>
  <si>
    <t xml:space="preserve">  Amgevita</t>
  </si>
  <si>
    <t xml:space="preserve">  Vectibix</t>
  </si>
  <si>
    <t xml:space="preserve">  Ultra Rare Products</t>
  </si>
  <si>
    <t xml:space="preserve">  Mvasi</t>
  </si>
  <si>
    <t xml:space="preserve">  Uplizna</t>
  </si>
  <si>
    <t xml:space="preserve">  Neulasta</t>
  </si>
  <si>
    <t xml:space="preserve">  Lumakras / Lumykras</t>
  </si>
  <si>
    <t xml:space="preserve">  Tavneos</t>
  </si>
  <si>
    <t xml:space="preserve">  Parsabiv</t>
  </si>
  <si>
    <t xml:space="preserve">  Imdelltra (Tarlatamab)</t>
  </si>
  <si>
    <t xml:space="preserve">  Epogen</t>
  </si>
  <si>
    <t xml:space="preserve">  Kanjinti</t>
  </si>
  <si>
    <t xml:space="preserve">  Aimovig</t>
  </si>
  <si>
    <t xml:space="preserve">  Sensipar / Mimpara</t>
  </si>
  <si>
    <t xml:space="preserve">  Neupogen</t>
  </si>
  <si>
    <t>Interest Income</t>
  </si>
  <si>
    <t>Income Taxes</t>
  </si>
  <si>
    <t>Revenue Growth %</t>
  </si>
  <si>
    <t xml:space="preserve">  Other Biotech</t>
  </si>
  <si>
    <t>Revenue Growth - Supplemental Breakdown</t>
  </si>
  <si>
    <t>Property/Plant/Equipment</t>
  </si>
  <si>
    <t>Assets</t>
  </si>
  <si>
    <t>Liabilities</t>
  </si>
  <si>
    <t>Depreciation</t>
  </si>
  <si>
    <t>R&amp;D Expenses</t>
  </si>
  <si>
    <t>Amgen Inc (AMGN US) - By Geography</t>
  </si>
  <si>
    <t xml:space="preserve">  United States</t>
  </si>
  <si>
    <t xml:space="preserve">    Enbrel</t>
  </si>
  <si>
    <t xml:space="preserve">    Prolia</t>
  </si>
  <si>
    <t xml:space="preserve">    Otezla</t>
  </si>
  <si>
    <t xml:space="preserve">    Tepezza</t>
  </si>
  <si>
    <t xml:space="preserve">    Xgeva</t>
  </si>
  <si>
    <t xml:space="preserve">    Krystexxa</t>
  </si>
  <si>
    <t xml:space="preserve">    Evinity</t>
  </si>
  <si>
    <t xml:space="preserve">    Repatha</t>
  </si>
  <si>
    <t xml:space="preserve">    TEZSPIRE</t>
  </si>
  <si>
    <t xml:space="preserve">    Other</t>
  </si>
  <si>
    <t xml:space="preserve">    Blincyto</t>
  </si>
  <si>
    <t xml:space="preserve">    Kyprolis</t>
  </si>
  <si>
    <t xml:space="preserve">    Nplate</t>
  </si>
  <si>
    <t xml:space="preserve">    Aimovig / Erenumab - Aooe - U.S.</t>
  </si>
  <si>
    <t xml:space="preserve">    Amgevita</t>
  </si>
  <si>
    <t xml:space="preserve">    Vectibix</t>
  </si>
  <si>
    <t xml:space="preserve">    Mvasi</t>
  </si>
  <si>
    <t xml:space="preserve">    Uplizna</t>
  </si>
  <si>
    <t xml:space="preserve">    Aranesp</t>
  </si>
  <si>
    <t xml:space="preserve">    Tavneos</t>
  </si>
  <si>
    <t xml:space="preserve">    Neulasta</t>
  </si>
  <si>
    <t xml:space="preserve">    Imdelltra</t>
  </si>
  <si>
    <t xml:space="preserve">    Lumakras/Lumykras</t>
  </si>
  <si>
    <t xml:space="preserve">    Parsabiv</t>
  </si>
  <si>
    <t xml:space="preserve">    Epogen</t>
  </si>
  <si>
    <t xml:space="preserve">    Ultra Rare Products</t>
  </si>
  <si>
    <t xml:space="preserve">    Kanjinti</t>
  </si>
  <si>
    <t xml:space="preserve">    Sensipar/Mimpara</t>
  </si>
  <si>
    <t xml:space="preserve">    Neupogen</t>
  </si>
  <si>
    <t xml:space="preserve">  Rest of the World</t>
  </si>
  <si>
    <t xml:space="preserve">    AMGEVITA</t>
  </si>
  <si>
    <t xml:space="preserve">    Lumakras / Lumykras</t>
  </si>
  <si>
    <t xml:space="preserve">    Aimovig</t>
  </si>
  <si>
    <t xml:space="preserve">    Tezspire</t>
  </si>
  <si>
    <t xml:space="preserve">    KANJINTI</t>
  </si>
  <si>
    <t xml:space="preserve">    Biosimilars</t>
  </si>
  <si>
    <t xml:space="preserve">  Royalty Income</t>
  </si>
  <si>
    <t xml:space="preserve">    Xgeva/Prolia</t>
  </si>
  <si>
    <t xml:space="preserve">    Neulasta/Neupogen</t>
  </si>
  <si>
    <t xml:space="preserve">  Sensipar/Mimpara</t>
  </si>
  <si>
    <t xml:space="preserve">  Puerto Rico</t>
  </si>
  <si>
    <t>Net PP&amp;E Excluding Right of Use Assets</t>
  </si>
  <si>
    <t>Amgen Inc (AMGN US) - By Segment</t>
  </si>
  <si>
    <t>Human Therapeutics</t>
  </si>
  <si>
    <t xml:space="preserve">  Revenue</t>
  </si>
  <si>
    <t xml:space="preserve">  Operating Income</t>
  </si>
  <si>
    <t xml:space="preserve">  Assets</t>
  </si>
  <si>
    <t xml:space="preserve">  Depreciation and Amortization</t>
  </si>
  <si>
    <t xml:space="preserve">  Capital Expenditures</t>
  </si>
  <si>
    <t xml:space="preserve">  Property/Plant/Equipment</t>
  </si>
  <si>
    <t xml:space="preserve">  Liabilities</t>
  </si>
  <si>
    <t xml:space="preserve">  Goodwill</t>
  </si>
  <si>
    <t xml:space="preserve">  Net Income</t>
  </si>
  <si>
    <t xml:space="preserve">  Gross Profit</t>
  </si>
  <si>
    <t xml:space="preserve">  Depreciation</t>
  </si>
  <si>
    <t xml:space="preserve">  Pretax Income</t>
  </si>
  <si>
    <t xml:space="preserve">  R&amp;D Expenses</t>
  </si>
  <si>
    <t xml:space="preserve">  Interest Expense</t>
  </si>
  <si>
    <t xml:space="preserve">  Interest Income</t>
  </si>
  <si>
    <t xml:space="preserve">  Income Taxes</t>
  </si>
  <si>
    <t>Neulasta</t>
  </si>
  <si>
    <t xml:space="preserve">  Revenue - Supplementary Breakdown</t>
  </si>
  <si>
    <t xml:space="preserve">  Revenue Growth %</t>
  </si>
  <si>
    <t xml:space="preserve">  Revenue Growth - Supplemental Breakdown</t>
  </si>
  <si>
    <t>Other products</t>
  </si>
  <si>
    <t>Evenity</t>
  </si>
  <si>
    <t>Epogen</t>
  </si>
  <si>
    <t>Enbrel</t>
  </si>
  <si>
    <t>Aranesp</t>
  </si>
  <si>
    <t>Nplate</t>
  </si>
  <si>
    <t>Prolia</t>
  </si>
  <si>
    <t>Vectibix</t>
  </si>
  <si>
    <t>Xgeva</t>
  </si>
  <si>
    <t>Repatha</t>
  </si>
  <si>
    <t>Kyprolis</t>
  </si>
  <si>
    <t>Blincyto</t>
  </si>
  <si>
    <t>Other revenues</t>
  </si>
  <si>
    <t>Parsabiv</t>
  </si>
  <si>
    <t>Otezla</t>
  </si>
  <si>
    <t>Amgevita</t>
  </si>
  <si>
    <t>Mvasi</t>
  </si>
  <si>
    <t>Lumakras / Lumykras</t>
  </si>
  <si>
    <t>Tezspire</t>
  </si>
  <si>
    <t>Tavneos</t>
  </si>
  <si>
    <t>Tepezza</t>
  </si>
  <si>
    <t>Krystexxa</t>
  </si>
  <si>
    <t>Uplizna</t>
  </si>
  <si>
    <t>Ultra Rare Products</t>
  </si>
  <si>
    <t>Imdelltra (Tarlatamab)</t>
  </si>
  <si>
    <t>Aimovig</t>
  </si>
  <si>
    <t>Kanjinti</t>
  </si>
  <si>
    <t>Neupogen</t>
  </si>
  <si>
    <t>Sensipar / Mimpara</t>
  </si>
  <si>
    <t>Amgen Inc (AMGN US) - ESG Ratios</t>
  </si>
  <si>
    <t>FY 2000</t>
  </si>
  <si>
    <t>FY 2001</t>
  </si>
  <si>
    <t>FY 2002</t>
  </si>
  <si>
    <t>FY 2003</t>
  </si>
  <si>
    <t>FY 2004</t>
  </si>
  <si>
    <t>FY 2006</t>
  </si>
  <si>
    <t>FY 2007</t>
  </si>
  <si>
    <t>FY 2008</t>
  </si>
  <si>
    <t>FY 2009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</si>
  <si>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</si>
  <si>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</si>
  <si>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</si>
  <si>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</si>
  <si>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</si>
  <si>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</si>
  <si>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</si>
  <si>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</si>
  <si>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</si>
  <si>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</si>
  <si>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</si>
  <si>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</si>
  <si>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</si>
  <si>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FY 2023</t>
  </si>
  <si>
    <t>FY 2024</t>
  </si>
  <si>
    <t>12/31/2000</t>
  </si>
  <si>
    <t>12/31/2001</t>
  </si>
  <si>
    <t>12/31/2002</t>
  </si>
  <si>
    <t>12/31/2003</t>
  </si>
  <si>
    <t>12/31/2004</t>
  </si>
  <si>
    <t>12/31/2005</t>
  </si>
  <si>
    <t>12/31/2006</t>
  </si>
  <si>
    <t>12/31/2007</t>
  </si>
  <si>
    <t>12/31/2008</t>
  </si>
  <si>
    <t>12/31/2009</t>
  </si>
  <si>
    <t>12/31/2010</t>
  </si>
  <si>
    <t>12/31/2011</t>
  </si>
  <si>
    <t>12/31/2012</t>
  </si>
  <si>
    <t>12/31/2013</t>
  </si>
  <si>
    <t>12/31/2014</t>
  </si>
  <si>
    <t>12/31/2015</t>
  </si>
  <si>
    <t>12/31/2016</t>
  </si>
  <si>
    <t>12/31/2017</t>
  </si>
  <si>
    <t>Disclosure Scores</t>
  </si>
  <si>
    <t>ESG Disclosure Score</t>
  </si>
  <si>
    <t>ESG_DISCLOSURE_SCORE</t>
  </si>
  <si>
    <t>Environmental Disclosure Score</t>
  </si>
  <si>
    <t>ENVIRON_DISCLOSURE_SCORE</t>
  </si>
  <si>
    <t>Social Disclosure Score</t>
  </si>
  <si>
    <t>SOCIAL_DISCLOSURE_SCORE</t>
  </si>
  <si>
    <t>Governance Disclosure Score</t>
  </si>
  <si>
    <t>GOVNCE_DISCLOSURE_SCORE</t>
  </si>
  <si>
    <t>Greenhouse Gases</t>
  </si>
  <si>
    <t>GHG Intensity per Sales</t>
  </si>
  <si>
    <t>GHG_INTENSITY_PER_SALES</t>
  </si>
  <si>
    <t>GHG Scope 1 Intensity per Sales</t>
  </si>
  <si>
    <t>GHG_SCOPE_1_INTENSITY_PER_SALES</t>
  </si>
  <si>
    <t>GHG Scope 2 Intensity per Sales</t>
  </si>
  <si>
    <t>GHG_SCOPE_2_INTENSITY_PER_SALES</t>
  </si>
  <si>
    <t>GHG Intensity per EBITDA</t>
  </si>
  <si>
    <t>GHG_INTENSITY_PER_EBITDA</t>
  </si>
  <si>
    <t>GHG/CO2 Intensity / Gross Fixed Assets</t>
  </si>
  <si>
    <t>TOT_GHG_CO2_EM_INT_P_GR_FXD_AST</t>
  </si>
  <si>
    <t>GHG/CO2 Intensity / Net Fixed Assets</t>
  </si>
  <si>
    <t>TOT_GHG_CO2_EM_INT_P_NT_FXD_AST</t>
  </si>
  <si>
    <t>GHG Intensity per Energy</t>
  </si>
  <si>
    <t>GHG_INTENSITY_PER_ENERGY</t>
  </si>
  <si>
    <t>GHG Intensity per Employee</t>
  </si>
  <si>
    <t>GHG_INTENSITY_PER_EMPLOYEE</t>
  </si>
  <si>
    <t>GHG Intensity per Assets</t>
  </si>
  <si>
    <t>GHG_INTENSITY_PER_ASSETS</t>
  </si>
  <si>
    <t>Scope 3 GHG per Employee</t>
  </si>
  <si>
    <t>TRAVEL_GHG_PER_EMPLOYEE</t>
  </si>
  <si>
    <t>Carbon Dioxide</t>
  </si>
  <si>
    <t>CO2 Intensity per Energy Consumed</t>
  </si>
  <si>
    <t>CO2_INTENSITY_PER_ENERGY_CONSMD</t>
  </si>
  <si>
    <t>CO2 Intensity per Sales</t>
  </si>
  <si>
    <t>CO2_INTENSITY_PER_SALES_CALC</t>
  </si>
  <si>
    <t>CO2 Intensity per EBITDA</t>
  </si>
  <si>
    <t>CO2_INTENSITY_PER_EBITDA</t>
  </si>
  <si>
    <t>CO2 Intensity per Energy</t>
  </si>
  <si>
    <t>CO2_INTENSITY</t>
  </si>
  <si>
    <t>CO2 Intensity per Employee</t>
  </si>
  <si>
    <t>CO2_INTENSITY_PER_EMPLOYEE</t>
  </si>
  <si>
    <t>CO2 Intensity per Assets</t>
  </si>
  <si>
    <t>CO2_INTENSITY_PER_ASSETS</t>
  </si>
  <si>
    <t>Travel Emissions per Sales</t>
  </si>
  <si>
    <t>TRAVEL_EMISSIONS_PER_SALES</t>
  </si>
  <si>
    <t>Travel Emissions per Employee</t>
  </si>
  <si>
    <t>TRAVEL_CO2_PER_EMPLOYEE</t>
  </si>
  <si>
    <t>Energy</t>
  </si>
  <si>
    <t>Energy Intensity per Sales</t>
  </si>
  <si>
    <t>ENERGY_INTENSITY_PER_SALES</t>
  </si>
  <si>
    <t>Energy Intensity per EBITDA</t>
  </si>
  <si>
    <t>ENERGY_INTENSITY_PER_EBITDA</t>
  </si>
  <si>
    <t>Energy Intensity per Employee</t>
  </si>
  <si>
    <t>ENERGY_INTENSITY_PER_EMPLOYEE</t>
  </si>
  <si>
    <t>Energy Intensity per Assets</t>
  </si>
  <si>
    <t>ENERGY_INTENSITY_PER_ASSETS</t>
  </si>
  <si>
    <t>Alternative Fuel Use %</t>
  </si>
  <si>
    <t>ALTERNATIVE_FUEL_USE_PCT</t>
  </si>
  <si>
    <t>Water</t>
  </si>
  <si>
    <t>Water Intensity per Sales</t>
  </si>
  <si>
    <t>WATER_INTENSITY_PER_SALES</t>
  </si>
  <si>
    <t>Water Intensity per EBITDA</t>
  </si>
  <si>
    <t>WATER_INTENSITY_PER_EBITDA</t>
  </si>
  <si>
    <t>Water Intensity per Energy</t>
  </si>
  <si>
    <t>WATER_INTENSITY_PER_ENERGY</t>
  </si>
  <si>
    <t>Water Intensity per Employee</t>
  </si>
  <si>
    <t>WATER_INTENSITY_PER_EMPLOYEE</t>
  </si>
  <si>
    <t>Water Intensity per Assets</t>
  </si>
  <si>
    <t>WATER_INTENSITY_PER_ASSETS</t>
  </si>
  <si>
    <t>Water Usage Efficiency Rate</t>
  </si>
  <si>
    <t>WATER_USAGE_EFFICIENCY_RT</t>
  </si>
  <si>
    <t>Waste</t>
  </si>
  <si>
    <t>Waste Intensity per Employee</t>
  </si>
  <si>
    <t>WASTE_INTENSITY_PER_EMPLOYEE</t>
  </si>
  <si>
    <t>Waste Generated per Assets</t>
  </si>
  <si>
    <t>WASTE_GENERATED_PER_ASSETS</t>
  </si>
  <si>
    <t>Waste Generated per Sales</t>
  </si>
  <si>
    <t>WASTE_GENERATED_PER_SALES</t>
  </si>
  <si>
    <t>Other Environmental</t>
  </si>
  <si>
    <t>Social</t>
  </si>
  <si>
    <t>Women Management to Employees Ratio</t>
  </si>
  <si>
    <t>WOMEN_MANAGEMENT_TO_EMPL_RATIO</t>
  </si>
  <si>
    <t>Community Spend % PTP</t>
  </si>
  <si>
    <t>COMMUNITY_SPND_PCT_PRETAX_PROFIT</t>
  </si>
  <si>
    <t>Community Spend%EBITDA</t>
  </si>
  <si>
    <t>COMMUNITY_SPEND_PCT_EBITDA</t>
  </si>
  <si>
    <t>Community Spend%Equity</t>
  </si>
  <si>
    <t>COMMUNITY_SPEND_PCT_EQUITY</t>
  </si>
  <si>
    <t>Political Donations % PTP</t>
  </si>
  <si>
    <t>POL_DONATIONS_PCT_PRETAX_PROFIT</t>
  </si>
  <si>
    <t>R&amp;D Expenditures per Cash Flow</t>
  </si>
  <si>
    <t>RD_EXPENDITURES_PER_CASH_FLOW</t>
  </si>
  <si>
    <t>Actual Net Income per Employee</t>
  </si>
  <si>
    <t>ACTUAL_NET_INCOME_PER_EMPLOYEE</t>
  </si>
  <si>
    <t>Actual Cash Flow per Employee</t>
  </si>
  <si>
    <t>CASH_FLOW_PER_EMPLOYEE</t>
  </si>
  <si>
    <t>Governance</t>
  </si>
  <si>
    <t>Percentage of Non-Executive Directors on Board</t>
  </si>
  <si>
    <t>PCT_OF_NON_EXEC_DIR_ON_BRD</t>
  </si>
  <si>
    <t>Pct Independent Directors</t>
  </si>
  <si>
    <t>PCT_INDEPENDENT_DIRECTORS</t>
  </si>
  <si>
    <t>% Women on Board</t>
  </si>
  <si>
    <t>PCT_WOMEN_ON_BOARD</t>
  </si>
  <si>
    <t>Percentage of Female Executives</t>
  </si>
  <si>
    <t>PERCENTAGE_OF_FEMALE_EXECUTIVES</t>
  </si>
  <si>
    <t>Board of Directors Age Range</t>
  </si>
  <si>
    <t>BOARD_OF_DIRECTORS_AGE_RANGE</t>
  </si>
  <si>
    <t>Board Average Age</t>
  </si>
  <si>
    <t>BOARD_AVERAGE_AGE</t>
  </si>
  <si>
    <t>Board Meeting Attendance Pct</t>
  </si>
  <si>
    <t>BOARD_MEETING_ATTENDANCE_PCT</t>
  </si>
  <si>
    <t>Independent Directors Board Meeting Attendance %</t>
  </si>
  <si>
    <t>IND_DIRECTORS_BRD_MTG_ATTEND_PCT</t>
  </si>
  <si>
    <t>Pct of Independent Directors on Audit Committee</t>
  </si>
  <si>
    <t>PCT_IND_DIRECTORS_ON_AUDIT_CMTE</t>
  </si>
  <si>
    <t>Audit Committee Meeting Attendance Percentage</t>
  </si>
  <si>
    <t>AUDIT_COMMITTEE_MTG_ATTEND_PCT</t>
  </si>
  <si>
    <t>Pct of Ind Directors on Compensation Committee</t>
  </si>
  <si>
    <t>PCT_IND_DIRECTORS_ON_COMP_CMTE</t>
  </si>
  <si>
    <t>Compensation Committee Meeting Attendance %</t>
  </si>
  <si>
    <t>COMPENSATION_CMTE_MTG_ATTEND_PCT</t>
  </si>
  <si>
    <t>Pct of Ind Directors on Nomination Committee</t>
  </si>
  <si>
    <t>PCT_OF_IND_DIRECTORS_ON_NOM_CMTE</t>
  </si>
  <si>
    <t>Pct Ownership Required for Special Meeting</t>
  </si>
  <si>
    <t>PCT_OWNERSHIP_REQ_SPECIAL_MTG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</si>
</sst>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#,##0.0"/>
    <numFmt numFmtId="173" formatCode="0.0%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81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6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172" fontId="1" fillId="34" borderId="2">
      <alignment horizontal="right"/>
    </xf>
    <xf numFmtId="4" fontId="1" fillId="34" borderId="2">
      <alignment horizontal="right"/>
    </xf>
    <xf numFmtId="3" fontId="1" fillId="35" borderId="2">
      <alignment horizontal="right"/>
    </xf>
    <xf numFmtId="172" fontId="1" fillId="35" borderId="2">
      <alignment horizontal="right"/>
    </xf>
    <xf numFmtId="4" fontId="1" fillId="35" borderId="2">
      <alignment horizontal="right"/>
    </xf>
    <xf numFmtId="3" fontId="8" fillId="34" borderId="2">
      <alignment horizontal="right"/>
    </xf>
    <xf numFmtId="172" fontId="8" fillId="34" borderId="2">
      <alignment horizontal="right"/>
    </xf>
    <xf numFmtId="4" fontId="8" fillId="34" borderId="2">
      <alignment horizontal="right"/>
    </xf>
    <xf numFmtId="3" fontId="8" fillId="35" borderId="2">
      <alignment horizontal="right"/>
    </xf>
    <xf numFmtId="172" fontId="8" fillId="35" borderId="2">
      <alignment horizontal="right"/>
    </xf>
    <xf numFmtId="4" fontId="8" fillId="35" borderId="2">
      <alignment horizontal="right"/>
    </xf>
    <xf numFmtId="3" fontId="11" fillId="34" borderId="2">
      <alignment horizontal="right"/>
    </xf>
    <xf numFmtId="172" fontId="11" fillId="34" borderId="2">
      <alignment horizontal="right"/>
    </xf>
    <xf numFmtId="4" fontId="11" fillId="34" borderId="2">
      <alignment horizontal="right"/>
    </xf>
    <xf numFmtId="3" fontId="11" fillId="35" borderId="2">
      <alignment horizontal="right"/>
    </xf>
    <xf numFmtId="172" fontId="11" fillId="35" borderId="2">
      <alignment horizontal="right"/>
    </xf>
    <xf numFmtId="4" fontId="11" fillId="35" borderId="2">
      <alignment horizontal="right"/>
    </xf>
    <xf numFmtId="0" fontId="7" fillId="33" borderId="16">
      <alignment horizontal="centerContinuous"/>
    </xf>
    <xf numFmtId="0" fontId="7" fillId="33" borderId="17">
      <alignment horizontal="centerContinuous"/>
    </xf>
    <xf numFmtId="172" fontId="1" fillId="34" borderId="18">
      <alignment horizontal="right"/>
    </xf>
    <xf numFmtId="173" fontId="1" fillId="34" borderId="19">
      <alignment horizontal="right"/>
    </xf>
    <xf numFmtId="4" fontId="1" fillId="34" borderId="18">
      <alignment horizontal="right"/>
    </xf>
    <xf numFmtId="10" fontId="1" fillId="34" borderId="19">
      <alignment horizontal="right"/>
    </xf>
    <xf numFmtId="172" fontId="8" fillId="34" borderId="18">
      <alignment horizontal="right"/>
    </xf>
    <xf numFmtId="173" fontId="8" fillId="34" borderId="19">
      <alignment horizontal="right"/>
    </xf>
    <xf numFmtId="4" fontId="8" fillId="34" borderId="18">
      <alignment horizontal="right"/>
    </xf>
    <xf numFmtId="10" fontId="8" fillId="34" borderId="19">
      <alignment horizontal="right"/>
    </xf>
  </cellStyleXfs>
  <cellXfs count="40">
    <xf numFmtId="0" fontId="0" fillId="0" borderId="0" xfId="0"/>
    <xf numFmtId="0" fontId="2" fillId="33" borderId="0" xfId="26"/>
    <xf numFmtId="0" fontId="6" fillId="34" borderId="0" xfId="31">
      <alignment horizontal="center"/>
    </xf>
    <xf numFmtId="0" fontId="7" fillId="33" borderId="3" xfId="33">
      <alignment horizontal="left"/>
    </xf>
    <xf numFmtId="0" fontId="7" fillId="33" borderId="3" xfId="32">
      <alignment horizontal="right"/>
    </xf>
    <xf numFmtId="0" fontId="7" fillId="33" borderId="1" xfId="30">
      <alignment horizontal="right"/>
    </xf>
    <xf numFmtId="0" fontId="8" fillId="34" borderId="5" xfId="35"/>
    <xf numFmtId="0" fontId="11" fillId="36" borderId="4" xfId="34"/>
    <xf numFmtId="0" fontId="5" fillId="33" borderId="15" xfId="51">
      <alignment horizontal="left" vertical="center" readingOrder="1"/>
    </xf>
    <xf numFmtId="0" fontId="7" fillId="33" borderId="1" xfId="52">
      <alignment horizontal="left"/>
    </xf>
    <xf numFmtId="0" fontId="3" fillId="34" borderId="5" xfId="37" applyFont="1"/>
    <xf numFmtId="0" fontId="4" fillId="34" borderId="5" xfId="36" applyFont="1"/>
    <xf numFmtId="3" fontId="1" fillId="34" borderId="2" xfId="53">
      <alignment horizontal="right"/>
    </xf>
    <xf numFmtId="172" fontId="1" fillId="34" borderId="2" xfId="54">
      <alignment horizontal="right"/>
    </xf>
    <xf numFmtId="4" fontId="1" fillId="34" borderId="2" xfId="55">
      <alignment horizontal="right"/>
    </xf>
    <xf numFmtId="3" fontId="1" fillId="35" borderId="2" xfId="56">
      <alignment horizontal="right"/>
    </xf>
    <xf numFmtId="172" fontId="1" fillId="35" borderId="2" xfId="57">
      <alignment horizontal="right"/>
    </xf>
    <xf numFmtId="4" fontId="1" fillId="35" borderId="2" xfId="58">
      <alignment horizontal="right"/>
    </xf>
    <xf numFmtId="3" fontId="8" fillId="34" borderId="2" xfId="59">
      <alignment horizontal="right"/>
    </xf>
    <xf numFmtId="172" fontId="8" fillId="34" borderId="2" xfId="60">
      <alignment horizontal="right"/>
    </xf>
    <xf numFmtId="4" fontId="8" fillId="34" borderId="2" xfId="61">
      <alignment horizontal="right"/>
    </xf>
    <xf numFmtId="3" fontId="8" fillId="35" borderId="2" xfId="62">
      <alignment horizontal="right"/>
    </xf>
    <xf numFmtId="172" fontId="8" fillId="35" borderId="2" xfId="63">
      <alignment horizontal="right"/>
    </xf>
    <xf numFmtId="4" fontId="8" fillId="35" borderId="2" xfId="64">
      <alignment horizontal="right"/>
    </xf>
    <xf numFmtId="3" fontId="11" fillId="34" borderId="2" xfId="65">
      <alignment horizontal="right"/>
    </xf>
    <xf numFmtId="172" fontId="11" fillId="34" borderId="2" xfId="66">
      <alignment horizontal="right"/>
    </xf>
    <xf numFmtId="4" fontId="11" fillId="34" borderId="2" xfId="67">
      <alignment horizontal="right"/>
    </xf>
    <xf numFmtId="3" fontId="11" fillId="35" borderId="2" xfId="68">
      <alignment horizontal="right"/>
    </xf>
    <xf numFmtId="172" fontId="11" fillId="35" borderId="2" xfId="69">
      <alignment horizontal="right"/>
    </xf>
    <xf numFmtId="4" fontId="11" fillId="35" borderId="2" xfId="70">
      <alignment horizontal="right"/>
    </xf>
    <xf numFmtId="0" fontId="7" fillId="33" borderId="16" xfId="71">
      <alignment horizontal="centerContinuous"/>
    </xf>
    <xf numFmtId="0" fontId="7" fillId="33" borderId="17" xfId="72">
      <alignment horizontal="centerContinuous"/>
    </xf>
    <xf numFmtId="172" fontId="1" fillId="34" borderId="18" xfId="73">
      <alignment horizontal="right"/>
    </xf>
    <xf numFmtId="173" fontId="1" fillId="34" borderId="19" xfId="74">
      <alignment horizontal="right"/>
    </xf>
    <xf numFmtId="4" fontId="1" fillId="34" borderId="18" xfId="75">
      <alignment horizontal="right"/>
    </xf>
    <xf numFmtId="10" fontId="1" fillId="34" borderId="19" xfId="76">
      <alignment horizontal="right"/>
    </xf>
    <xf numFmtId="172" fontId="8" fillId="34" borderId="18" xfId="77">
      <alignment horizontal="right"/>
    </xf>
    <xf numFmtId="173" fontId="8" fillId="34" borderId="19" xfId="78">
      <alignment horizontal="right"/>
    </xf>
    <xf numFmtId="4" fontId="8" fillId="34" borderId="18" xfId="79">
      <alignment horizontal="right"/>
    </xf>
    <xf numFmtId="10" fontId="8" fillId="34" borderId="19" xfId="80">
      <alignment horizontal="right"/>
    </xf>
  </cellXfs>
  <cellStyles count="8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1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centered" xfId="72" xr:uid="{00000000-0005-0000-0000-00001F000000}"/>
    <cellStyle name="fa_column_header_bottom_left" xfId="52" xr:uid="{00000000-0005-0000-0000-000020000000}"/>
    <cellStyle name="fa_column_header_empty" xfId="31" xr:uid="{00000000-0005-0000-0000-000021000000}"/>
    <cellStyle name="fa_column_header_top" xfId="32" xr:uid="{00000000-0005-0000-0000-000022000000}"/>
    <cellStyle name="fa_column_header_top_centered" xfId="71" xr:uid="{00000000-0005-0000-0000-000023000000}"/>
    <cellStyle name="fa_column_header_top_left" xfId="33" xr:uid="{00000000-0005-0000-0000-000024000000}"/>
    <cellStyle name="fa_data_bold_0_grouped" xfId="59" xr:uid="{00000000-0005-0000-0000-000025000000}"/>
    <cellStyle name="fa_data_bold_1_grouped" xfId="60" xr:uid="{00000000-0005-0000-0000-000026000000}"/>
    <cellStyle name="fa_data_bold_1_grouped_single_border" xfId="77" xr:uid="{00000000-0005-0000-0000-000027000000}"/>
    <cellStyle name="fa_data_bold_1_percent_single_border" xfId="78" xr:uid="{00000000-0005-0000-0000-000028000000}"/>
    <cellStyle name="fa_data_bold_2_grouped" xfId="61" xr:uid="{00000000-0005-0000-0000-000029000000}"/>
    <cellStyle name="fa_data_bold_2_grouped_single_border" xfId="79" xr:uid="{00000000-0005-0000-0000-00002A000000}"/>
    <cellStyle name="fa_data_bold_2_percent_single_border" xfId="80" xr:uid="{00000000-0005-0000-0000-00002B000000}"/>
    <cellStyle name="fa_data_current_bold_0_grouped" xfId="62" xr:uid="{00000000-0005-0000-0000-00002C000000}"/>
    <cellStyle name="fa_data_current_bold_1_grouped" xfId="63" xr:uid="{00000000-0005-0000-0000-00002D000000}"/>
    <cellStyle name="fa_data_current_bold_2_grouped" xfId="64" xr:uid="{00000000-0005-0000-0000-00002E000000}"/>
    <cellStyle name="fa_data_current_italic_0_grouped" xfId="68" xr:uid="{00000000-0005-0000-0000-00002F000000}"/>
    <cellStyle name="fa_data_current_italic_1_grouped" xfId="69" xr:uid="{00000000-0005-0000-0000-000030000000}"/>
    <cellStyle name="fa_data_current_italic_2_grouped" xfId="70" xr:uid="{00000000-0005-0000-0000-000031000000}"/>
    <cellStyle name="fa_data_current_standard_0_grouped" xfId="56" xr:uid="{00000000-0005-0000-0000-000032000000}"/>
    <cellStyle name="fa_data_current_standard_1_grouped" xfId="57" xr:uid="{00000000-0005-0000-0000-000033000000}"/>
    <cellStyle name="fa_data_current_standard_2_grouped" xfId="58" xr:uid="{00000000-0005-0000-0000-000034000000}"/>
    <cellStyle name="fa_data_italic_0_grouped" xfId="65" xr:uid="{00000000-0005-0000-0000-000035000000}"/>
    <cellStyle name="fa_data_italic_1_grouped" xfId="66" xr:uid="{00000000-0005-0000-0000-000036000000}"/>
    <cellStyle name="fa_data_italic_2_grouped" xfId="67" xr:uid="{00000000-0005-0000-0000-000037000000}"/>
    <cellStyle name="fa_data_standard_0_grouped" xfId="53" xr:uid="{00000000-0005-0000-0000-000038000000}"/>
    <cellStyle name="fa_data_standard_1_grouped" xfId="54" xr:uid="{00000000-0005-0000-0000-000039000000}"/>
    <cellStyle name="fa_data_standard_1_grouped_single_border" xfId="73" xr:uid="{00000000-0005-0000-0000-00003A000000}"/>
    <cellStyle name="fa_data_standard_1_percent_single_border" xfId="74" xr:uid="{00000000-0005-0000-0000-00003B000000}"/>
    <cellStyle name="fa_data_standard_2_grouped" xfId="55" xr:uid="{00000000-0005-0000-0000-00003C000000}"/>
    <cellStyle name="fa_data_standard_2_grouped_single_border" xfId="75" xr:uid="{00000000-0005-0000-0000-00003D000000}"/>
    <cellStyle name="fa_data_standard_2_percent_single_border" xfId="76" xr:uid="{00000000-0005-0000-0000-00003E000000}"/>
    <cellStyle name="fa_footer_italic" xfId="34" xr:uid="{00000000-0005-0000-0000-00003F000000}"/>
    <cellStyle name="fa_row_header_bold" xfId="35" xr:uid="{00000000-0005-0000-0000-000040000000}"/>
    <cellStyle name="fa_row_header_italic" xfId="36" xr:uid="{00000000-0005-0000-0000-000041000000}"/>
    <cellStyle name="fa_row_header_standard" xfId="37" xr:uid="{00000000-0005-0000-0000-000042000000}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BDH|10860109541088020786</stp>
        <tr r="J54" s="17"/>
      </tp>
      <tp t="e">
        <v>#N/A</v>
        <stp/>
        <stp>BDH|10434351746948253545</stp>
        <tr r="J34" s="14"/>
      </tp>
      <tp t="e">
        <v>#N/A</v>
        <stp/>
        <stp>BDH|11643239473066678810</stp>
        <tr r="F73" s="18"/>
      </tp>
      <tp t="e">
        <v>#N/A</v>
        <stp/>
        <stp>BDH|18404988989492667123</stp>
        <tr r="H31" s="18"/>
      </tp>
      <tp t="e">
        <v>#N/A</v>
        <stp/>
        <stp>BDH|13853209785504496789</stp>
        <tr r="V54" s="6"/>
      </tp>
      <tp t="e">
        <v>#N/A</v>
        <stp/>
        <stp>BDH|14859675609900192868</stp>
        <tr r="T32" s="12"/>
      </tp>
      <tp t="e">
        <v>#N/A</v>
        <stp/>
        <stp>BDH|17964330233019868408</stp>
        <tr r="T54" s="24"/>
      </tp>
      <tp t="e">
        <v>#N/A</v>
        <stp/>
        <stp>BDH|13478304365598589456</stp>
        <tr r="N50" s="13"/>
      </tp>
      <tp t="e">
        <v>#N/A</v>
        <stp/>
        <stp>BDH|10208365875808215624</stp>
        <tr r="D137" s="18"/>
      </tp>
      <tp t="e">
        <v>#N/A</v>
        <stp/>
        <stp>BDH|16500549927443048871</stp>
        <tr r="C79" s="34"/>
      </tp>
      <tp t="e">
        <v>#N/A</v>
        <stp/>
        <stp>BDH|17688991500900965479</stp>
        <tr r="X35" s="10"/>
        <tr r="X25" s="11"/>
      </tp>
      <tp t="e">
        <v>#N/A</v>
        <stp/>
        <stp>BDH|11906372078286578928</stp>
        <tr r="Y195" s="18"/>
      </tp>
      <tp t="e">
        <v>#N/A</v>
        <stp/>
        <stp>BDH|15205733592933170232</stp>
        <tr r="Y14" s="10"/>
      </tp>
      <tp t="e">
        <v>#N/A</v>
        <stp/>
        <stp>BDH|12670408885634100037</stp>
        <tr r="E25" s="10"/>
        <tr r="G34" s="13"/>
      </tp>
      <tp t="e">
        <v>#N/A</v>
        <stp/>
        <stp>BDH|17129435402128136108</stp>
        <tr r="C70" s="10"/>
        <tr r="C60" s="11"/>
        <tr r="C20" s="7"/>
      </tp>
      <tp t="e">
        <v>#N/A</v>
        <stp/>
        <stp>BDH|16480149722709634658</stp>
        <tr r="Q73" s="18"/>
      </tp>
      <tp t="e">
        <v>#N/A</v>
        <stp/>
        <stp>BDH|18285201719489913830</stp>
        <tr r="M32" s="9"/>
      </tp>
      <tp t="e">
        <v>#N/A</v>
        <stp/>
        <stp>BDH|10424011501032189848</stp>
        <tr r="U13" s="9"/>
      </tp>
      <tp t="e">
        <v>#N/A</v>
        <stp/>
        <stp>BDH|11063933720484348416</stp>
        <tr r="Q10" s="28"/>
      </tp>
      <tp t="e">
        <v>#N/A</v>
        <stp/>
        <stp>BDH|10395905302701791271</stp>
        <tr r="W20" s="10"/>
      </tp>
      <tp t="e">
        <v>#N/A</v>
        <stp/>
        <stp>BDH|15735070730958889490</stp>
        <tr r="W29" s="22"/>
      </tp>
      <tp t="e">
        <v>#N/A</v>
        <stp/>
        <stp>BDH|15985539099892596172</stp>
        <tr r="Y168" s="18"/>
      </tp>
      <tp t="e">
        <v>#N/A</v>
        <stp/>
        <stp>BDH|13518749324884720830</stp>
        <tr r="Y26" s="29"/>
      </tp>
      <tp t="e">
        <v>#N/A</v>
        <stp/>
        <stp>BDH|10520480926048310492</stp>
        <tr r="H36" s="18"/>
      </tp>
      <tp t="e">
        <v>#N/A</v>
        <stp/>
        <stp>BDH|13918105197315923464</stp>
        <tr r="Q21" s="10"/>
      </tp>
      <tp t="e">
        <v>#N/A</v>
        <stp/>
        <stp>BDH|10564501420665457805</stp>
        <tr r="Y128" s="18"/>
      </tp>
      <tp t="e">
        <v>#N/A</v>
        <stp/>
        <stp>BDH|13853919911448993901</stp>
        <tr r="V131" s="18"/>
      </tp>
      <tp t="e">
        <v>#N/A</v>
        <stp/>
        <stp>BDH|18189568770154180479</stp>
        <tr r="T59" s="18"/>
      </tp>
      <tp t="e">
        <v>#N/A</v>
        <stp/>
        <stp>BDH|12274220053718235703</stp>
        <tr r="M46" s="12"/>
      </tp>
      <tp t="e">
        <v>#N/A</v>
        <stp/>
        <stp>BDH|11010215140728121511</stp>
        <tr r="V53" s="17"/>
      </tp>
      <tp t="e">
        <v>#N/A</v>
        <stp/>
        <stp>BDH|15312757590320317143</stp>
        <tr r="Q79" s="12"/>
      </tp>
      <tp t="e">
        <v>#N/A</v>
        <stp/>
        <stp>BDH|12522318642618698713</stp>
        <tr r="V48" s="22"/>
      </tp>
      <tp t="e">
        <v>#N/A</v>
        <stp/>
        <stp>BDH|10702871269171800506</stp>
        <tr r="W13" s="6"/>
      </tp>
      <tp t="e">
        <v>#N/A</v>
        <stp/>
        <stp>BDH|12818197296456208644</stp>
        <tr r="R25" s="9"/>
      </tp>
      <tp t="e">
        <v>#N/A</v>
        <stp/>
        <stp>BDH|18136032433841547058</stp>
        <tr r="U63" s="21"/>
      </tp>
      <tp t="e">
        <v>#N/A</v>
        <stp/>
        <stp>BDH|16627344854219272357</stp>
        <tr r="K24" s="21"/>
      </tp>
      <tp t="e">
        <v>#N/A</v>
        <stp/>
        <stp>BDH|17446963902262396628</stp>
        <tr r="H26" s="10"/>
        <tr r="J35" s="13"/>
      </tp>
      <tp t="e">
        <v>#N/A</v>
        <stp/>
        <stp>BDH|11321947201713241152</stp>
        <tr r="M39" s="34"/>
      </tp>
      <tp t="e">
        <v>#N/A</v>
        <stp/>
        <stp>BDH|10356820401990125215</stp>
        <tr r="AA38" s="26"/>
      </tp>
      <tp t="e">
        <v>#N/A</v>
        <stp/>
        <stp>BDH|17917664883920933354</stp>
        <tr r="D94" s="12"/>
      </tp>
      <tp t="e">
        <v>#N/A</v>
        <stp/>
        <stp>BDH|12352877123911595329</stp>
        <tr r="C29" s="13"/>
      </tp>
      <tp t="e">
        <v>#N/A</v>
        <stp/>
        <stp>BDH|11566122135721296801</stp>
        <tr r="C114" s="18"/>
      </tp>
      <tp t="e">
        <v>#N/A</v>
        <stp/>
        <stp>BDH|17014131171463082826</stp>
        <tr r="I9" s="14"/>
      </tp>
      <tp t="e">
        <v>#N/A</v>
        <stp/>
        <stp>BDH|13063411182847345201</stp>
        <tr r="AA23" s="24"/>
      </tp>
      <tp t="e">
        <v>#N/A</v>
        <stp/>
        <stp>BDH|13910778157303069895</stp>
        <tr r="C31" s="29"/>
      </tp>
      <tp t="e">
        <v>#N/A</v>
        <stp/>
        <stp>BDH|10756257215878346147</stp>
        <tr r="N31" s="9"/>
      </tp>
      <tp t="e">
        <v>#N/A</v>
        <stp/>
        <stp>BDH|16834873000212995662</stp>
        <tr r="W117" s="18"/>
      </tp>
      <tp t="e">
        <v>#N/A</v>
        <stp/>
        <stp>BDH|13354933886058576039</stp>
        <tr r="P80" s="24"/>
      </tp>
      <tp t="e">
        <v>#N/A</v>
        <stp/>
        <stp>BDH|14416652491456169719</stp>
        <tr r="G25" s="25"/>
        <tr r="G10" s="27"/>
      </tp>
      <tp t="e">
        <v>#N/A</v>
        <stp/>
        <stp>BDH|11969716126878849664</stp>
        <tr r="W88" s="12"/>
      </tp>
      <tp t="e">
        <v>#N/A</v>
        <stp/>
        <stp>BDH|18268065267877402376</stp>
        <tr r="F7" s="6"/>
      </tp>
      <tp t="e">
        <v>#N/A</v>
        <stp/>
        <stp>BDH|14381538841326181906</stp>
        <tr r="C127" s="18"/>
      </tp>
      <tp t="e">
        <v>#N/A</v>
        <stp/>
        <stp>BDH|10355435930399299426</stp>
        <tr r="K51" s="21"/>
      </tp>
      <tp t="e">
        <v>#N/A</v>
        <stp/>
        <stp>BDH|14707441903408211228</stp>
        <tr r="H13" s="12"/>
      </tp>
      <tp t="e">
        <v>#N/A</v>
        <stp/>
        <stp>BDH|17803765659299685613</stp>
        <tr r="E8" s="28"/>
      </tp>
      <tp t="e">
        <v>#N/A</v>
        <stp/>
        <stp>BDH|15911363955288844128</stp>
        <tr r="Q23" s="24"/>
      </tp>
      <tp t="e">
        <v>#N/A</v>
        <stp/>
        <stp>BDH|17841819236650602698</stp>
        <tr r="W50" s="18"/>
      </tp>
      <tp t="e">
        <v>#N/A</v>
        <stp/>
        <stp>BDH|16415098818138107549</stp>
        <tr r="L8" s="27"/>
      </tp>
      <tp t="e">
        <v>#N/A</v>
        <stp/>
        <stp>BDH|16876765279614325847</stp>
        <tr r="J18" s="17"/>
      </tp>
      <tp t="e">
        <v>#N/A</v>
        <stp/>
        <stp>BDH|10488196406323391884</stp>
        <tr r="U78" s="12"/>
      </tp>
      <tp t="e">
        <v>#N/A</v>
        <stp/>
        <stp>BDH|17647673685296556510</stp>
        <tr r="F25" s="13"/>
      </tp>
      <tp t="e">
        <v>#N/A</v>
        <stp/>
        <stp>BDH|13281066489813521284</stp>
        <tr r="X22" s="21"/>
      </tp>
      <tp t="e">
        <v>#N/A</v>
        <stp/>
        <stp>BDH|18425707511982735628</stp>
        <tr r="Q23" s="21"/>
      </tp>
      <tp t="e">
        <v>#N/A</v>
        <stp/>
        <stp>BDH|17477380834494819905</stp>
        <tr r="J21" s="11"/>
      </tp>
      <tp t="e">
        <v>#N/A</v>
        <stp/>
        <stp>BDH|13440188656119336499</stp>
        <tr r="Z13" s="30"/>
      </tp>
      <tp t="e">
        <v>#N/A</v>
        <stp/>
        <stp>BDH|17950353817789268691</stp>
        <tr r="S82" s="18"/>
      </tp>
      <tp t="e">
        <v>#N/A</v>
        <stp/>
        <stp>BDH|10072445072449102070</stp>
        <tr r="K14" s="12"/>
      </tp>
      <tp t="e">
        <v>#N/A</v>
        <stp/>
        <stp>BDH|16210197530039384788</stp>
        <tr r="Z97" s="18"/>
      </tp>
      <tp t="e">
        <v>#N/A</v>
        <stp/>
        <stp>BDH|10427630658828791186</stp>
        <tr r="U9" s="12"/>
      </tp>
      <tp t="e">
        <v>#N/A</v>
        <stp/>
        <stp>BDH|12680557763888553356</stp>
        <tr r="G27" s="10"/>
        <tr r="I36" s="13"/>
      </tp>
      <tp t="e">
        <v>#N/A</v>
        <stp/>
        <stp>BDH|14761870742025751757</stp>
        <tr r="J75" s="18"/>
      </tp>
      <tp t="e">
        <v>#N/A</v>
        <stp/>
        <stp>BDH|14965224389514566075</stp>
        <tr r="L117" s="18"/>
      </tp>
      <tp t="e">
        <v>#N/A</v>
        <stp/>
        <stp>BDH|12069183509581056811</stp>
        <tr r="V30" s="5"/>
        <tr r="V30" s="9"/>
      </tp>
      <tp t="e">
        <v>#N/A</v>
        <stp/>
        <stp>BDH|10109332565288239768</stp>
        <tr r="Z30" s="17"/>
      </tp>
      <tp t="e">
        <v>#N/A</v>
        <stp/>
        <stp>BDH|15528612133549779339</stp>
        <tr r="G10" s="28"/>
      </tp>
      <tp t="e">
        <v>#N/A</v>
        <stp/>
        <stp>BDH|14210253186990179437</stp>
        <tr r="H90" s="18"/>
      </tp>
      <tp t="e">
        <v>#N/A</v>
        <stp/>
        <stp>BDH|14282976820773464625</stp>
        <tr r="S58" s="34"/>
      </tp>
      <tp t="e">
        <v>#N/A</v>
        <stp/>
        <stp>BDH|18087551571676135666</stp>
        <tr r="C15" s="29"/>
        <tr r="C38" s="29"/>
      </tp>
      <tp t="e">
        <v>#N/A</v>
        <stp/>
        <stp>BDH|11697356995202512305</stp>
        <tr r="O52" s="34"/>
      </tp>
      <tp t="e">
        <v>#N/A</v>
        <stp/>
        <stp>BDH|11464667244581285875</stp>
        <tr r="O40" s="22"/>
      </tp>
      <tp t="e">
        <v>#N/A</v>
        <stp/>
        <stp>BDH|16643468696119212875</stp>
        <tr r="L25" s="13"/>
      </tp>
      <tp t="e">
        <v>#N/A</v>
        <stp/>
        <stp>BDH|14303538787007298469</stp>
        <tr r="M55" s="13"/>
      </tp>
      <tp t="e">
        <v>#N/A</v>
        <stp/>
        <stp>BDH|13659723353943267861</stp>
        <tr r="N29" s="34"/>
      </tp>
      <tp t="e">
        <v>#N/A</v>
        <stp/>
        <stp>BDH|12448548006255259873</stp>
        <tr r="D37" s="22"/>
      </tp>
      <tp t="e">
        <v>#N/A</v>
        <stp/>
        <stp>BDH|12240982054920971440</stp>
        <tr r="F125" s="18"/>
        <tr r="F14" s="20"/>
      </tp>
      <tp t="e">
        <v>#N/A</v>
        <stp/>
        <stp>BDH|14144062492641379658</stp>
        <tr r="I171" s="18"/>
      </tp>
      <tp t="e">
        <v>#N/A</v>
        <stp/>
        <stp>BDH|14026099490683232481</stp>
        <tr r="C64" s="34"/>
      </tp>
      <tp t="e">
        <v>#N/A</v>
        <stp/>
        <stp>BDH|14077338958288877005</stp>
        <tr r="T25" s="13"/>
      </tp>
      <tp t="e">
        <v>#N/A</v>
        <stp/>
        <stp>BDH|14115098769769694148</stp>
        <tr r="Y7" s="30"/>
      </tp>
      <tp t="e">
        <v>#N/A</v>
        <stp/>
        <stp>BDH|12309922001876423776</stp>
        <tr r="V19" s="30"/>
      </tp>
      <tp t="e">
        <v>#N/A</v>
        <stp/>
        <stp>BDH|13716958901285833586</stp>
        <tr r="N29" s="29"/>
        <tr r="N7" s="29"/>
      </tp>
      <tp t="e">
        <v>#N/A</v>
        <stp/>
        <stp>BDH|18270359502195141476</stp>
        <tr r="AA99" s="18"/>
      </tp>
      <tp t="e">
        <v>#N/A</v>
        <stp/>
        <stp>BDH|15506598210709704282</stp>
        <tr r="G134" s="18"/>
      </tp>
      <tp t="e">
        <v>#N/A</v>
        <stp/>
        <stp>BDH|11716536867369002107</stp>
        <tr r="L15" s="25"/>
      </tp>
      <tp t="e">
        <v>#N/A</v>
        <stp/>
        <stp>BDH|13916984703351911184</stp>
        <tr r="Q29" s="17"/>
      </tp>
      <tp t="e">
        <v>#N/A</v>
        <stp/>
        <stp>BDH|14589583438861499928</stp>
        <tr r="O60" s="17"/>
      </tp>
      <tp t="e">
        <v>#N/A</v>
        <stp/>
        <stp>BDH|13821721299284517351</stp>
        <tr r="D78" s="17"/>
      </tp>
      <tp t="e">
        <v>#N/A</v>
        <stp/>
        <stp>BDH|10474782405469296489</stp>
        <tr r="I29" s="29"/>
        <tr r="I7" s="29"/>
      </tp>
      <tp t="e">
        <v>#N/A</v>
        <stp/>
        <stp>BDH|16230802130793855493</stp>
        <tr r="M20" s="9"/>
      </tp>
      <tp t="e">
        <v>#N/A</v>
        <stp/>
        <stp>BDH|15813880412260179604</stp>
        <tr r="N172" s="18"/>
      </tp>
      <tp t="e">
        <v>#N/A</v>
        <stp/>
        <stp>BDH|17589823676940260204</stp>
        <tr r="K34" s="24"/>
      </tp>
      <tp t="e">
        <v>#N/A</v>
        <stp/>
        <stp>BDH|15075934775709148840</stp>
        <tr r="AA28" s="25"/>
        <tr r="AA14" s="27"/>
      </tp>
      <tp t="e">
        <v>#N/A</v>
        <stp/>
        <stp>BDH|17505913866852081014</stp>
        <tr r="AA66" s="12"/>
      </tp>
      <tp t="e">
        <v>#N/A</v>
        <stp/>
        <stp>BDH|14643903985658326735</stp>
        <tr r="K22" s="27"/>
      </tp>
      <tp t="e">
        <v>#N/A</v>
        <stp/>
        <stp>BDH|13757672290095489379</stp>
        <tr r="Q167" s="18"/>
      </tp>
      <tp t="e">
        <v>#N/A</v>
        <stp/>
        <stp>BDH|14537793985002812324</stp>
        <tr r="Y88" s="18"/>
      </tp>
      <tp t="e">
        <v>#N/A</v>
        <stp/>
        <stp>BDH|14674992816293821520</stp>
        <tr r="R13" s="13"/>
      </tp>
      <tp t="e">
        <v>#N/A</v>
        <stp/>
        <stp>BDH|17806029594171857558</stp>
        <tr r="Z18" s="17"/>
      </tp>
      <tp t="e">
        <v>#N/A</v>
        <stp/>
        <stp>BDH|14595912014133374508</stp>
        <tr r="P73" s="34"/>
      </tp>
      <tp t="e">
        <v>#N/A</v>
        <stp/>
        <stp>BDH|13064527205365415907</stp>
        <tr r="G188" s="18"/>
      </tp>
      <tp t="e">
        <v>#N/A</v>
        <stp/>
        <stp>BDH|13886309478975376814</stp>
        <tr r="C6" s="15"/>
        <tr r="C12" s="2"/>
        <tr r="C11" s="4"/>
        <tr r="C6" s="10"/>
      </tp>
      <tp t="e">
        <v>#N/A</v>
        <stp/>
        <stp>BDH|17548003395611595572</stp>
        <tr r="K22" s="18"/>
      </tp>
      <tp t="e">
        <v>#N/A</v>
        <stp/>
        <stp>BDH|14952494805343288950</stp>
        <tr r="L149" s="18"/>
      </tp>
      <tp t="e">
        <v>#N/A</v>
        <stp/>
        <stp>BDH|13835798735849695400</stp>
        <tr r="S33" s="9"/>
      </tp>
      <tp t="e">
        <v>#N/A</v>
        <stp/>
        <stp>BDH|11059158512813086855</stp>
        <tr r="R14" s="34"/>
      </tp>
      <tp t="e">
        <v>#N/A</v>
        <stp/>
        <stp>BDH|14247580799602520048</stp>
        <tr r="G77" s="24"/>
      </tp>
      <tp t="e">
        <v>#N/A</v>
        <stp/>
        <stp>BDH|14373627186098271878</stp>
        <tr r="I38" s="17"/>
      </tp>
      <tp t="e">
        <v>#N/A</v>
        <stp/>
        <stp>BDH|13157394131180389987</stp>
        <tr r="D52" s="4"/>
        <tr r="F8" s="3"/>
        <tr r="D44" s="10"/>
        <tr r="D34" s="11"/>
        <tr r="F45" s="13"/>
      </tp>
      <tp t="e">
        <v>#N/A</v>
        <stp/>
        <stp>BDH|15487642691055762543</stp>
        <tr r="T144" s="18"/>
      </tp>
      <tp t="e">
        <v>#N/A</v>
        <stp/>
        <stp>BDH|14231440283987677513</stp>
        <tr r="R68" s="13"/>
      </tp>
      <tp t="e">
        <v>#N/A</v>
        <stp/>
        <stp>BDH|13285822602608214923</stp>
        <tr r="D18" s="24"/>
      </tp>
      <tp t="e">
        <v>#N/A</v>
        <stp/>
        <stp>BDH|11804817468372021738</stp>
        <tr r="P26" s="7"/>
      </tp>
      <tp t="e">
        <v>#N/A</v>
        <stp/>
        <stp>BDH|14719347926739380644</stp>
        <tr r="S32" s="26"/>
      </tp>
      <tp t="e">
        <v>#N/A</v>
        <stp/>
        <stp>BDH|15219027584491386657</stp>
        <tr r="W88" s="18"/>
      </tp>
      <tp t="e">
        <v>#N/A</v>
        <stp/>
        <stp>BDH|13590952028836361499</stp>
        <tr r="Y49" s="22"/>
      </tp>
      <tp t="e">
        <v>#N/A</v>
        <stp/>
        <stp>BDH|10123459406127497940</stp>
        <tr r="U29" s="13"/>
      </tp>
      <tp t="e">
        <v>#N/A</v>
        <stp/>
        <stp>BDH|12357045117610418965</stp>
        <tr r="I118" s="18"/>
        <tr r="I6" s="20"/>
      </tp>
      <tp t="e">
        <v>#N/A</v>
        <stp/>
        <stp>BDH|12037910757473506715</stp>
        <tr r="X44" s="21"/>
      </tp>
      <tp t="e">
        <v>#N/A</v>
        <stp/>
        <stp>BDH|14339418751977629872</stp>
        <tr r="R19" s="25"/>
      </tp>
      <tp t="e">
        <v>#N/A</v>
        <stp/>
        <stp>BDH|11347248790775291573</stp>
        <tr r="C14" s="10"/>
      </tp>
      <tp t="e">
        <v>#N/A</v>
        <stp/>
        <stp>BDH|14938332865169540285</stp>
        <tr r="W32" s="22"/>
      </tp>
      <tp t="e">
        <v>#N/A</v>
        <stp/>
        <stp>BDH|13056587828817433969</stp>
        <tr r="M29" s="6"/>
      </tp>
      <tp t="e">
        <v>#N/A</v>
        <stp/>
        <stp>BDH|12307914323760179324</stp>
        <tr r="E93" s="18"/>
      </tp>
      <tp t="e">
        <v>#N/A</v>
        <stp/>
        <stp>BDH|12332940325812197112</stp>
        <tr r="S21" s="27"/>
      </tp>
      <tp t="e">
        <v>#N/A</v>
        <stp/>
        <stp>BDH|13865971210508935946</stp>
        <tr r="N57" s="10"/>
        <tr r="N47" s="11"/>
        <tr r="N18" s="7"/>
        <tr r="P64" s="13"/>
      </tp>
      <tp t="e">
        <v>#N/A</v>
        <stp/>
        <stp>BDH|12164542013645275963</stp>
        <tr r="O21" s="20"/>
      </tp>
      <tp t="e">
        <v>#N/A</v>
        <stp/>
        <stp>BDH|11626674832308955685</stp>
        <tr r="G10" s="10"/>
      </tp>
      <tp t="e">
        <v>#N/A</v>
        <stp/>
        <stp>BDH|13200720365471624913</stp>
        <tr r="I192" s="18"/>
      </tp>
      <tp t="e">
        <v>#N/A</v>
        <stp/>
        <stp>BDH|16232271011786768916</stp>
        <tr r="AA86" s="18"/>
      </tp>
      <tp t="e">
        <v>#N/A</v>
        <stp/>
        <stp>BDH|16521512737389150302</stp>
        <tr r="N70" s="24"/>
      </tp>
      <tp t="e">
        <v>#N/A</v>
        <stp/>
        <stp>BDH|13327226731048277007</stp>
        <tr r="L136" s="18"/>
      </tp>
      <tp t="e">
        <v>#N/A</v>
        <stp/>
        <stp>BDH|14410242702305804984</stp>
        <tr r="R12" s="7"/>
      </tp>
      <tp t="e">
        <v>#N/A</v>
        <stp/>
        <stp>BDH|18002689639816036136</stp>
        <tr r="D6" s="15"/>
        <tr r="D12" s="2"/>
        <tr r="D11" s="4"/>
        <tr r="D6" s="10"/>
      </tp>
      <tp t="e">
        <v>#N/A</v>
        <stp/>
        <stp>BDH|18148180246400286783</stp>
        <tr r="U113" s="18"/>
      </tp>
      <tp t="e">
        <v>#N/A</v>
        <stp/>
        <stp>BDH|17490877444331108036</stp>
        <tr r="J93" s="12"/>
      </tp>
      <tp t="e">
        <v>#N/A</v>
        <stp/>
        <stp>BDH|11059580563418624088</stp>
        <tr r="S33" s="24"/>
      </tp>
      <tp t="e">
        <v>#N/A</v>
        <stp/>
        <stp>BDH|17843833698945269943</stp>
        <tr r="T53" s="24"/>
      </tp>
      <tp t="e">
        <v>#N/A</v>
        <stp/>
        <stp>BDH|14413282139018785771</stp>
        <tr r="C49" s="4"/>
      </tp>
      <tp t="e">
        <v>#N/A</v>
        <stp/>
        <stp>BDH|17172989604405014181</stp>
        <tr r="E27" s="10"/>
        <tr r="G36" s="13"/>
      </tp>
      <tp t="e">
        <v>#N/A</v>
        <stp/>
        <stp>BDH|12210540563529574259</stp>
        <tr r="K71" s="34"/>
      </tp>
      <tp t="e">
        <v>#N/A</v>
        <stp/>
        <stp>BDH|10465901674976346260</stp>
        <tr r="R83" s="18"/>
      </tp>
      <tp t="e">
        <v>#N/A</v>
        <stp/>
        <stp>BDH|11884289240865176847</stp>
        <tr r="I12" s="10"/>
      </tp>
      <tp t="e">
        <v>#N/A</v>
        <stp/>
        <stp>BDH|12248394285822363186</stp>
        <tr r="X13" s="12"/>
      </tp>
      <tp t="e">
        <v>#N/A</v>
        <stp/>
        <stp>BDH|15606584013488962319</stp>
        <tr r="H20" s="10"/>
      </tp>
      <tp t="e">
        <v>#N/A</v>
        <stp/>
        <stp>BDH|14187667149194365887</stp>
        <tr r="R44" s="22"/>
      </tp>
      <tp t="e">
        <v>#N/A</v>
        <stp/>
        <stp>BDH|14600701893819718977</stp>
        <tr r="Y40" s="22"/>
      </tp>
      <tp t="e">
        <v>#N/A</v>
        <stp/>
        <stp>BDH|15082822130242707607</stp>
        <tr r="S30" s="5"/>
        <tr r="S30" s="9"/>
      </tp>
      <tp t="e">
        <v>#N/A</v>
        <stp/>
        <stp>BDH|15770401153728680676</stp>
        <tr r="H10" s="13"/>
      </tp>
      <tp t="e">
        <v>#N/A</v>
        <stp/>
        <stp>BDH|15888362029689522771</stp>
        <tr r="Y65" s="17"/>
      </tp>
      <tp t="e">
        <v>#N/A</v>
        <stp/>
        <stp>BDH|16898923954062874233</stp>
        <tr r="U13" s="21"/>
      </tp>
      <tp t="e">
        <v>#N/A</v>
        <stp/>
        <stp>BDH|10430006972348021539</stp>
        <tr r="R45" s="17"/>
      </tp>
      <tp t="e">
        <v>#N/A</v>
        <stp/>
        <stp>BDH|10964724718565239949</stp>
        <tr r="T202" s="18"/>
      </tp>
      <tp t="e">
        <v>#N/A</v>
        <stp/>
        <stp>BDH|10199016960408268471</stp>
        <tr r="H34" s="6"/>
      </tp>
      <tp t="e">
        <v>#N/A</v>
        <stp/>
        <stp>BDH|10679044799927828464</stp>
        <tr r="Z66" s="21"/>
        <tr r="W27" s="6"/>
      </tp>
      <tp t="e">
        <v>#N/A</v>
        <stp/>
        <stp>BDH|14728662562608572632</stp>
        <tr r="U7" s="24"/>
      </tp>
      <tp t="e">
        <v>#N/A</v>
        <stp/>
        <stp>BDH|16156557500549318025</stp>
        <tr r="S107" s="18"/>
      </tp>
      <tp t="e">
        <v>#N/A</v>
        <stp/>
        <stp>BDH|17048841271864989696</stp>
        <tr r="F35" s="10"/>
        <tr r="F25" s="11"/>
      </tp>
      <tp t="e">
        <v>#N/A</v>
        <stp/>
        <stp>BDH|13661921539266873501</stp>
        <tr r="Q28" s="17"/>
      </tp>
      <tp t="e">
        <v>#N/A</v>
        <stp/>
        <stp>BDH|14993298157561454862</stp>
        <tr r="R12" s="3"/>
        <tr r="P55" s="10"/>
        <tr r="P45" s="11"/>
        <tr r="P7" s="7"/>
      </tp>
      <tp t="e">
        <v>#N/A</v>
        <stp/>
        <stp>BDH|15210057357512411811</stp>
        <tr r="V69" s="10"/>
      </tp>
      <tp t="e">
        <v>#N/A</v>
        <stp/>
        <stp>BDH|17953375589454201207</stp>
        <tr r="C25" s="25"/>
        <tr r="C10" s="27"/>
      </tp>
      <tp t="e">
        <v>#N/A</v>
        <stp/>
        <stp>BDH|16788838210365912080</stp>
        <tr r="L67" s="34"/>
      </tp>
      <tp t="e">
        <v>#N/A</v>
        <stp/>
        <stp>BDH|10179873200270774243</stp>
        <tr r="F20" s="25"/>
      </tp>
      <tp t="e">
        <v>#N/A</v>
        <stp/>
        <stp>BDH|11410815216790373256</stp>
        <tr r="V28" s="6"/>
      </tp>
      <tp t="e">
        <v>#N/A</v>
        <stp/>
        <stp>BDH|14326562288135041687</stp>
        <tr r="C208" s="18"/>
      </tp>
      <tp t="e">
        <v>#N/A</v>
        <stp/>
        <stp>BDH|14287270567393033979</stp>
        <tr r="T20" s="29"/>
      </tp>
      <tp t="e">
        <v>#N/A</v>
        <stp/>
        <stp>BDH|15236747253085555851</stp>
        <tr r="D37" s="10"/>
        <tr r="D27" s="11"/>
        <tr r="F46" s="13"/>
      </tp>
      <tp t="e">
        <v>#N/A</v>
        <stp/>
        <stp>BDH|14168519375425923999</stp>
        <tr r="S14" s="23"/>
      </tp>
      <tp t="e">
        <v>#N/A</v>
        <stp/>
        <stp>BDH|13067794429968058459</stp>
        <tr r="D84" s="17"/>
      </tp>
      <tp t="e">
        <v>#N/A</v>
        <stp/>
        <stp>BDH|18412586452454818635</stp>
        <tr r="V41" s="22"/>
      </tp>
      <tp t="e">
        <v>#N/A</v>
        <stp/>
        <stp>BDH|18439041821762351277</stp>
        <tr r="X147" s="18"/>
      </tp>
      <tp t="e">
        <v>#N/A</v>
        <stp/>
        <stp>BDH|10181513547099357218</stp>
        <tr r="U176" s="18"/>
      </tp>
      <tp t="e">
        <v>#N/A</v>
        <stp/>
        <stp>BDH|18023076488748959230</stp>
        <tr r="C27" s="17"/>
      </tp>
      <tp t="e">
        <v>#N/A</v>
        <stp/>
        <stp>BDH|15680633640864028904</stp>
        <tr r="H40" s="12"/>
      </tp>
      <tp t="e">
        <v>#N/A</v>
        <stp/>
        <stp>BDH|18422658826765106338</stp>
        <tr r="L10" s="18"/>
      </tp>
      <tp t="e">
        <v>#N/A</v>
        <stp/>
        <stp>BDH|15995729635322211997</stp>
        <tr r="V34" s="24"/>
      </tp>
      <tp t="e">
        <v>#N/A</v>
        <stp/>
        <stp>BDH|13712919110647125629</stp>
        <tr r="Z158" s="18"/>
      </tp>
      <tp t="e">
        <v>#N/A</v>
        <stp/>
        <stp>BDH|13263782764220876835</stp>
        <tr r="Y10" s="26"/>
      </tp>
      <tp t="e">
        <v>#N/A</v>
        <stp/>
        <stp>BDH|18435486177001796098</stp>
        <tr r="C17" s="14"/>
      </tp>
      <tp t="e">
        <v>#N/A</v>
        <stp/>
        <stp>BDH|13369474163862241915</stp>
        <tr r="Q105" s="18"/>
      </tp>
      <tp t="e">
        <v>#N/A</v>
        <stp/>
        <stp>BDH|13732171594035912498</stp>
        <tr r="T74" s="18"/>
      </tp>
      <tp t="e">
        <v>#N/A</v>
        <stp/>
        <stp>BDH|17514514686372383255</stp>
        <tr r="K42" s="18"/>
      </tp>
      <tp t="e">
        <v>#N/A</v>
        <stp/>
        <stp>BDH|11811982524232636269</stp>
        <tr r="F87" s="18"/>
      </tp>
      <tp t="e">
        <v>#N/A</v>
        <stp/>
        <stp>BDH|18147515677618341808</stp>
        <tr r="Y33" s="12"/>
      </tp>
      <tp t="e">
        <v>#N/A</v>
        <stp/>
        <stp>BDH|18321791522450493784</stp>
        <tr r="Y13" s="21"/>
      </tp>
      <tp t="e">
        <v>#N/A</v>
        <stp/>
        <stp>BDH|14717770598461498184</stp>
        <tr r="M80" s="34"/>
      </tp>
      <tp t="e">
        <v>#N/A</v>
        <stp/>
        <stp>BDH|15129569583265406741</stp>
        <tr r="W193" s="18"/>
      </tp>
      <tp t="e">
        <v>#N/A</v>
        <stp/>
        <stp>BDH|14556937974222096261</stp>
        <tr r="X210" s="18"/>
      </tp>
      <tp t="e">
        <v>#N/A</v>
        <stp/>
        <stp>BDH|10319252783781520149</stp>
        <tr r="T43" s="29"/>
      </tp>
      <tp t="e">
        <v>#N/A</v>
        <stp/>
        <stp>BDH|15091929602673092540</stp>
        <tr r="H29" s="12"/>
      </tp>
      <tp t="e">
        <v>#N/A</v>
        <stp/>
        <stp>BDH|15081702184809059909</stp>
        <tr r="Q12" s="6"/>
      </tp>
      <tp t="e">
        <v>#N/A</v>
        <stp/>
        <stp>BDH|16996281726385010934</stp>
        <tr r="W53" s="12"/>
      </tp>
      <tp t="e">
        <v>#N/A</v>
        <stp/>
        <stp>BDH|15291365322287462965</stp>
        <tr r="Y89" s="12"/>
      </tp>
      <tp t="e">
        <v>#N/A</v>
        <stp/>
        <stp>BDH|15742762640979219572</stp>
        <tr r="U18" s="34"/>
      </tp>
      <tp t="e">
        <v>#N/A</v>
        <stp/>
        <stp>BDH|10519049394491174207</stp>
        <tr r="O161" s="18"/>
      </tp>
      <tp t="e">
        <v>#N/A</v>
        <stp/>
        <stp>BDH|11878111288103106144</stp>
        <tr r="J55" s="17"/>
      </tp>
      <tp t="e">
        <v>#N/A</v>
        <stp/>
        <stp>BDH|17748037786542027767</stp>
        <tr r="S39" s="34"/>
      </tp>
      <tp t="e">
        <v>#N/A</v>
        <stp/>
        <stp>BDH|11282294496761118189</stp>
        <tr r="H45" s="4"/>
        <tr r="H33" s="10"/>
        <tr r="H23" s="11"/>
        <tr r="J33" s="13"/>
      </tp>
      <tp t="e">
        <v>#N/A</v>
        <stp/>
        <stp>BDH|11091308053848624518</stp>
        <tr r="Z21" s="34"/>
      </tp>
      <tp t="e">
        <v>#N/A</v>
        <stp/>
        <stp>BDH|16828763049296591969</stp>
        <tr r="P48" s="24"/>
      </tp>
      <tp t="e">
        <v>#N/A</v>
        <stp/>
        <stp>BDH|10294006457186786964</stp>
        <tr r="V55" s="24"/>
      </tp>
      <tp t="e">
        <v>#N/A</v>
        <stp/>
        <stp>BDH|14667723213751325902</stp>
        <tr r="S91" s="12"/>
      </tp>
      <tp t="e">
        <v>#N/A</v>
        <stp/>
        <stp>BDH|15968483072349762501</stp>
        <tr r="Q44" s="12"/>
      </tp>
      <tp t="e">
        <v>#N/A</v>
        <stp/>
        <stp>BDH|16776657132371469804</stp>
        <tr r="J16" s="12"/>
      </tp>
      <tp t="e">
        <v>#N/A</v>
        <stp/>
        <stp>BDH|14197335660949562232</stp>
        <tr r="Q8" s="17"/>
      </tp>
      <tp t="e">
        <v>#N/A</v>
        <stp/>
        <stp>BDH|11774947007976615469</stp>
        <tr r="K94" s="17"/>
      </tp>
      <tp t="e">
        <v>#N/A</v>
        <stp/>
        <stp>BDH|10460043391081557200</stp>
        <tr r="J67" s="12"/>
      </tp>
      <tp t="e">
        <v>#N/A</v>
        <stp/>
        <stp>BDH|11310815328584602581</stp>
        <tr r="D21" s="22"/>
      </tp>
      <tp t="e">
        <v>#N/A</v>
        <stp/>
        <stp>BDH|16621221210109635666</stp>
        <tr r="AA7" s="30"/>
      </tp>
      <tp t="e">
        <v>#N/A</v>
        <stp/>
        <stp>BDH|12517755459479525385</stp>
        <tr r="X33" s="17"/>
      </tp>
      <tp t="e">
        <v>#N/A</v>
        <stp/>
        <stp>BDH|13115177966388547616</stp>
        <tr r="D182" s="18"/>
      </tp>
      <tp t="e">
        <v>#N/A</v>
        <stp/>
        <stp>BDH|10099589485231162682</stp>
        <tr r="I14" s="12"/>
      </tp>
      <tp t="e">
        <v>#N/A</v>
        <stp/>
        <stp>BDH|15588475632599572119</stp>
        <tr r="J14" s="23"/>
      </tp>
      <tp t="e">
        <v>#N/A</v>
        <stp/>
        <stp>BDH|13408245800362582918</stp>
        <tr r="S50" s="12"/>
      </tp>
      <tp t="e">
        <v>#N/A</v>
        <stp/>
        <stp>BDH|16507882799448913591</stp>
        <tr r="M50" s="13"/>
      </tp>
      <tp t="e">
        <v>#N/A</v>
        <stp/>
        <stp>BDH|14191278277579149245</stp>
        <tr r="R46" s="17"/>
      </tp>
      <tp t="e">
        <v>#N/A</v>
        <stp/>
        <stp>BDH|13259062750778058400</stp>
        <tr r="Y119" s="18"/>
        <tr r="Y7" s="20"/>
      </tp>
      <tp t="e">
        <v>#N/A</v>
        <stp/>
        <stp>BDH|11523210265696426912</stp>
        <tr r="K31" s="21"/>
      </tp>
      <tp t="e">
        <v>#N/A</v>
        <stp/>
        <stp>BDH|16222615951866625909</stp>
        <tr r="F127" s="18"/>
      </tp>
      <tp t="e">
        <v>#N/A</v>
        <stp/>
        <stp>BDH|17033872566757624430</stp>
        <tr r="L73" s="24"/>
      </tp>
      <tp t="e">
        <v>#N/A</v>
        <stp/>
        <stp>BDH|12872044522338336297</stp>
        <tr r="K16" s="34"/>
      </tp>
      <tp t="e">
        <v>#N/A</v>
        <stp/>
        <stp>BDH|18127526524345144027</stp>
        <tr r="G13" s="6"/>
      </tp>
      <tp t="e">
        <v>#N/A</v>
        <stp/>
        <stp>BDH|13857285567685755878</stp>
        <tr r="D191" s="18"/>
      </tp>
      <tp t="e">
        <v>#N/A</v>
        <stp/>
        <stp>BDH|14646267590193583621</stp>
        <tr r="S66" s="17"/>
      </tp>
      <tp t="e">
        <v>#N/A</v>
        <stp/>
        <stp>BDH|18375152821988225925</stp>
        <tr r="P86" s="18"/>
      </tp>
      <tp t="e">
        <v>#N/A</v>
        <stp/>
        <stp>BDH|17439630153977030933</stp>
        <tr r="X59" s="24"/>
      </tp>
      <tp t="e">
        <v>#N/A</v>
        <stp/>
        <stp>BDH|17589204243718251334</stp>
        <tr r="U96" s="12"/>
      </tp>
      <tp t="e">
        <v>#N/A</v>
        <stp/>
        <stp>BDH|13479913503194387427</stp>
        <tr r="W12" s="22"/>
      </tp>
      <tp t="e">
        <v>#N/A</v>
        <stp/>
        <stp>BDH|12015093689996234651</stp>
        <tr r="W19" s="25"/>
      </tp>
      <tp t="e">
        <v>#N/A</v>
        <stp/>
        <stp>BDH|17386499703299880062</stp>
        <tr r="K13" s="30"/>
      </tp>
      <tp t="e">
        <v>#N/A</v>
        <stp/>
        <stp>BDH|13604177405140660859</stp>
        <tr r="G54" s="24"/>
      </tp>
      <tp t="e">
        <v>#N/A</v>
        <stp/>
        <stp>BDH|14733397469859076202</stp>
        <tr r="Y32" s="10"/>
        <tr r="AA41" s="13"/>
      </tp>
      <tp t="e">
        <v>#N/A</v>
        <stp/>
        <stp>BDH|13423729280163310522</stp>
        <tr r="AA22" s="34"/>
      </tp>
      <tp t="e">
        <v>#N/A</v>
        <stp/>
        <stp>BDH|10642734985856498339</stp>
        <tr r="C13" s="8"/>
      </tp>
      <tp t="e">
        <v>#N/A</v>
        <stp/>
        <stp>BDH|13181113244385359905</stp>
        <tr r="K17" s="5"/>
        <tr r="K32" s="6"/>
      </tp>
      <tp t="e">
        <v>#N/A</v>
        <stp/>
        <stp>BDH|11371849217776279451</stp>
        <tr r="V195" s="18"/>
      </tp>
      <tp t="e">
        <v>#N/A</v>
        <stp/>
        <stp>BDH|15903787205949238112</stp>
        <tr r="T89" s="17"/>
      </tp>
      <tp t="e">
        <v>#N/A</v>
        <stp/>
        <stp>BDH|10926184782614270768</stp>
        <tr r="J168" s="18"/>
      </tp>
      <tp t="e">
        <v>#N/A</v>
        <stp/>
        <stp>BDH|15397657582066463776</stp>
        <tr r="C8" s="24"/>
      </tp>
      <tp t="e">
        <v>#N/A</v>
        <stp/>
        <stp>BDH|15494143056622046916</stp>
        <tr r="X96" s="18"/>
      </tp>
      <tp t="e">
        <v>#N/A</v>
        <stp/>
        <stp>BDH|18194737426720400777</stp>
        <tr r="T208" s="18"/>
      </tp>
      <tp t="e">
        <v>#N/A</v>
        <stp/>
        <stp>BDH|18291714153472225255</stp>
        <tr r="W12" s="13"/>
      </tp>
      <tp t="e">
        <v>#N/A</v>
        <stp/>
        <stp>BDH|14564843080477791915</stp>
        <tr r="Y61" s="24"/>
      </tp>
      <tp t="e">
        <v>#N/A</v>
        <stp/>
        <stp>BDH|17069945705786733214</stp>
        <tr r="U6" s="19"/>
        <tr r="U34" s="17"/>
        <tr r="U16" s="3"/>
      </tp>
      <tp t="e">
        <v>#N/A</v>
        <stp/>
        <stp>BDH|15147582967578998409</stp>
        <tr r="C200" s="18"/>
      </tp>
      <tp t="e">
        <v>#N/A</v>
        <stp/>
        <stp>BDH|16135035943600572835</stp>
        <tr r="H56" s="12"/>
      </tp>
      <tp t="e">
        <v>#N/A</v>
        <stp/>
        <stp>BDH|11115413984815004238</stp>
        <tr r="O73" s="17"/>
      </tp>
      <tp t="e">
        <v>#N/A</v>
        <stp/>
        <stp>BDH|16951496991425763413</stp>
        <tr r="F19" s="17"/>
      </tp>
      <tp t="e">
        <v>#N/A</v>
        <stp/>
        <stp>BDH|15298028980186006171</stp>
        <tr r="R41" s="24"/>
      </tp>
      <tp t="e">
        <v>#N/A</v>
        <stp/>
        <stp>BDH|15957129970460400989</stp>
        <tr r="J35" s="34"/>
      </tp>
      <tp t="e">
        <v>#N/A</v>
        <stp/>
        <stp>BDH|15212571329550303884</stp>
        <tr r="N13" s="6"/>
      </tp>
      <tp t="e">
        <v>#N/A</v>
        <stp/>
        <stp>BDH|15240803041611762236</stp>
        <tr r="O26" s="25"/>
        <tr r="O12" s="27"/>
      </tp>
      <tp t="e">
        <v>#N/A</v>
        <stp/>
        <stp>BDH|13018574490422230722</stp>
        <tr r="T25" s="21"/>
      </tp>
      <tp t="e">
        <v>#N/A</v>
        <stp/>
        <stp>BDH|13719873520434279751</stp>
        <tr r="S32" s="5"/>
      </tp>
      <tp t="e">
        <v>#N/A</v>
        <stp/>
        <stp>BDH|17621911052074373513</stp>
        <tr r="E33" s="18"/>
      </tp>
      <tp t="e">
        <v>#N/A</v>
        <stp/>
        <stp>BDH|13007730380477354176</stp>
        <tr r="O50" s="17"/>
      </tp>
      <tp t="e">
        <v>#N/A</v>
        <stp/>
        <stp>BDH|12778035787281564110</stp>
        <tr r="H8" s="34"/>
      </tp>
      <tp t="e">
        <v>#N/A</v>
        <stp/>
        <stp>BDH|11647977675084476171</stp>
        <tr r="S53" s="17"/>
      </tp>
      <tp t="e">
        <v>#N/A</v>
        <stp/>
        <stp>BDH|17068343440538240211</stp>
        <tr r="O49" s="4"/>
      </tp>
      <tp t="e">
        <v>#N/A</v>
        <stp/>
        <stp>BDH|16782511280923778262</stp>
        <tr r="F43" s="29"/>
      </tp>
      <tp t="e">
        <v>#N/A</v>
        <stp/>
        <stp>BDH|15452548611848164376</stp>
        <tr r="X28" s="18"/>
      </tp>
      <tp t="e">
        <v>#N/A</v>
        <stp/>
        <stp>BDH|12135130734028026214</stp>
        <tr r="Y13" s="26"/>
      </tp>
      <tp t="e">
        <v>#N/A</v>
        <stp/>
        <stp>BDH|16723380503688978726</stp>
        <tr r="R204" s="18"/>
      </tp>
      <tp t="e">
        <v>#N/A</v>
        <stp/>
        <stp>BDH|15193487064728986535</stp>
        <tr r="R85" s="17"/>
      </tp>
      <tp t="e">
        <v>#N/A</v>
        <stp/>
        <stp>BDH|10596446641443195979</stp>
        <tr r="X73" s="13"/>
      </tp>
      <tp t="e">
        <v>#N/A</v>
        <stp/>
        <stp>BDH|16048614741079588732</stp>
        <tr r="H14" s="24"/>
      </tp>
      <tp t="e">
        <v>#N/A</v>
        <stp/>
        <stp>BDH|12111446467973314976</stp>
        <tr r="D140" s="18"/>
      </tp>
      <tp t="e">
        <v>#N/A</v>
        <stp/>
        <stp>BDH|17998340949528435266</stp>
        <tr r="L51" s="21"/>
      </tp>
      <tp t="e">
        <v>#N/A</v>
        <stp/>
        <stp>BDH|11207806377411787543</stp>
        <tr r="R29" s="17"/>
      </tp>
      <tp t="e">
        <v>#N/A</v>
        <stp/>
        <stp>BDH|15715108683390516673</stp>
        <tr r="K59" s="24"/>
      </tp>
      <tp t="e">
        <v>#N/A</v>
        <stp/>
        <stp>BDH|15344709763448418620</stp>
        <tr r="Y160" s="18"/>
      </tp>
      <tp t="e">
        <v>#N/A</v>
        <stp/>
        <stp>BDH|11549369397347577671</stp>
        <tr r="W51" s="13"/>
      </tp>
      <tp t="e">
        <v>#N/A</v>
        <stp/>
        <stp>BDH|18132501384338606759</stp>
        <tr r="G63" s="13"/>
      </tp>
      <tp t="e">
        <v>#N/A</v>
        <stp/>
        <stp>BDH|16036804226517458148</stp>
        <tr r="Y10" s="23"/>
      </tp>
      <tp t="e">
        <v>#N/A</v>
        <stp/>
        <stp>BDH|12279869202018005801</stp>
        <tr r="O131" s="18"/>
      </tp>
      <tp t="e">
        <v>#N/A</v>
        <stp/>
        <stp>BDH|17345294689906748122</stp>
        <tr r="N60" s="18"/>
      </tp>
      <tp t="e">
        <v>#N/A</v>
        <stp/>
        <stp>BDH|13902944035945857666</stp>
        <tr r="F22" s="27"/>
      </tp>
      <tp t="e">
        <v>#N/A</v>
        <stp/>
        <stp>BDH|16382934165623651051</stp>
        <tr r="Q25" s="9"/>
      </tp>
      <tp t="e">
        <v>#N/A</v>
        <stp/>
        <stp>BDH|12570809152004954186</stp>
        <tr r="L31" s="25"/>
        <tr r="I14" s="5"/>
        <tr r="L17" s="27"/>
      </tp>
      <tp t="e">
        <v>#N/A</v>
        <stp/>
        <stp>BDH|17926482103900632927</stp>
        <tr r="I147" s="18"/>
      </tp>
      <tp t="e">
        <v>#N/A</v>
        <stp/>
        <stp>BDH|16637359210827584907</stp>
        <tr r="J69" s="18"/>
      </tp>
      <tp t="e">
        <v>#N/A</v>
        <stp/>
        <stp>BDH|13023891918967107766</stp>
        <tr r="H25" s="22"/>
      </tp>
      <tp t="e">
        <v>#N/A</v>
        <stp/>
        <stp>BDH|11206609747639265015</stp>
        <tr r="I87" s="12"/>
      </tp>
      <tp t="e">
        <v>#N/A</v>
        <stp/>
        <stp>BDH|11664168145416757843</stp>
        <tr r="U59" s="21"/>
        <tr r="U37" s="25"/>
        <tr r="S31" s="4"/>
        <tr r="S52" s="11"/>
      </tp>
      <tp t="e">
        <v>#N/A</v>
        <stp/>
        <stp>BDH|14949595301553057872</stp>
        <tr r="G54" s="13"/>
      </tp>
      <tp t="e">
        <v>#N/A</v>
        <stp/>
        <stp>BDH|17050574735598664321</stp>
        <tr r="D162" s="18"/>
      </tp>
      <tp t="e">
        <v>#N/A</v>
        <stp/>
        <stp>BDH|17736451911008330063</stp>
        <tr r="J13" s="7"/>
      </tp>
      <tp t="e">
        <v>#N/A</v>
        <stp/>
        <stp>BDH|11523289695626892666</stp>
        <tr r="Q35" s="10"/>
        <tr r="Q25" s="11"/>
      </tp>
      <tp t="e">
        <v>#N/A</v>
        <stp/>
        <stp>BDH|14531846430920781506</stp>
        <tr r="L21" s="9"/>
      </tp>
      <tp t="e">
        <v>#N/A</v>
        <stp/>
        <stp>BDH|17067300006606314833</stp>
        <tr r="R28" s="25"/>
        <tr r="R14" s="27"/>
      </tp>
      <tp t="e">
        <v>#N/A</v>
        <stp/>
        <stp>BDH|16777373170218272040</stp>
        <tr r="E26" s="34"/>
      </tp>
      <tp t="e">
        <v>#N/A</v>
        <stp/>
        <stp>BDH|11979918920937979771</stp>
        <tr r="H17" s="30"/>
      </tp>
      <tp t="e">
        <v>#N/A</v>
        <stp/>
        <stp>BDH|17979980177683576056</stp>
        <tr r="D94" s="18"/>
      </tp>
      <tp t="e">
        <v>#N/A</v>
        <stp/>
        <stp>BDH|14763833790339454663</stp>
        <tr r="K21" s="11"/>
      </tp>
      <tp t="e">
        <v>#N/A</v>
        <stp/>
        <stp>BDH|14014948927352552708</stp>
        <tr r="AA43" s="24"/>
      </tp>
      <tp t="e">
        <v>#N/A</v>
        <stp/>
        <stp>BDH|16916950463520175384</stp>
        <tr r="O16" s="2"/>
        <tr r="O32" s="4"/>
        <tr r="O62" s="10"/>
        <tr r="Q19" s="13"/>
      </tp>
      <tp t="e">
        <v>#N/A</v>
        <stp/>
        <stp>BDH|17404622204489530213</stp>
        <tr r="S13" s="12"/>
      </tp>
      <tp t="e">
        <v>#N/A</v>
        <stp/>
        <stp>BDH|18282773615433415728</stp>
        <tr r="Z7" s="21"/>
      </tp>
      <tp t="e">
        <v>#N/A</v>
        <stp/>
        <stp>BDH|10355215781697215772</stp>
        <tr r="P12" s="11"/>
      </tp>
      <tp t="e">
        <v>#N/A</v>
        <stp/>
        <stp>BDH|15606094949068161317</stp>
        <tr r="G47" s="21"/>
      </tp>
      <tp t="e">
        <v>#N/A</v>
        <stp/>
        <stp>BDH|16859919399914200840</stp>
        <tr r="R15" s="14"/>
      </tp>
      <tp t="e">
        <v>#N/A</v>
        <stp/>
        <stp>BDH|13353933138801626289</stp>
        <tr r="S59" s="12"/>
      </tp>
      <tp t="e">
        <v>#N/A</v>
        <stp/>
        <stp>BDH|18072476477846394755</stp>
        <tr r="I41" s="22"/>
      </tp>
      <tp t="e">
        <v>#N/A</v>
        <stp/>
        <stp>BDH|15809677873139971734</stp>
        <tr r="O76" s="18"/>
      </tp>
      <tp t="e">
        <v>#N/A</v>
        <stp/>
        <stp>BDH|14790633889852791230</stp>
        <tr r="N14" s="2"/>
        <tr r="N11" s="10"/>
      </tp>
      <tp t="e">
        <v>#N/A</v>
        <stp/>
        <stp>BDH|12641848293780982918</stp>
        <tr r="X24" s="2"/>
      </tp>
      <tp t="e">
        <v>#N/A</v>
        <stp/>
        <stp>BDH|15582197562400016871</stp>
        <tr r="W20" s="5"/>
      </tp>
      <tp t="e">
        <v>#N/A</v>
        <stp/>
        <stp>BDH|17737579795362527391</stp>
        <tr r="P17" s="18"/>
      </tp>
      <tp t="e">
        <v>#N/A</v>
        <stp/>
        <stp>BDH|16092630992971991210</stp>
        <tr r="C22" s="22"/>
      </tp>
      <tp t="e">
        <v>#N/A</v>
        <stp/>
        <stp>BDH|17259334397740760789</stp>
        <tr r="H23" s="30"/>
        <tr r="H25" s="23"/>
      </tp>
      <tp t="e">
        <v>#N/A</v>
        <stp/>
        <stp>BDH|12465960908925207416</stp>
        <tr r="O22" s="11"/>
      </tp>
      <tp t="e">
        <v>#N/A</v>
        <stp/>
        <stp>BDH|11286838569544446158</stp>
        <tr r="R30" s="18"/>
      </tp>
      <tp t="e">
        <v>#N/A</v>
        <stp/>
        <stp>BDH|17638986852963417214</stp>
        <tr r="Q61" s="21"/>
      </tp>
      <tp t="e">
        <v>#N/A</v>
        <stp/>
        <stp>BDH|14852288999532421742</stp>
        <tr r="V49" s="21"/>
      </tp>
      <tp t="e">
        <v>#N/A</v>
        <stp/>
        <stp>BDH|11328319029508372211</stp>
        <tr r="I28" s="12"/>
      </tp>
      <tp t="e">
        <v>#N/A</v>
        <stp/>
        <stp>BDH|18079870861864903867</stp>
        <tr r="X55" s="21"/>
      </tp>
      <tp t="e">
        <v>#N/A</v>
        <stp/>
        <stp>BDH|13079000948519299434</stp>
        <tr r="G53" s="10"/>
        <tr r="G43" s="11"/>
        <tr r="G16" s="7"/>
      </tp>
      <tp t="e">
        <v>#N/A</v>
        <stp/>
        <stp>BDH|14793782196558208820</stp>
        <tr r="G27" s="24"/>
      </tp>
      <tp t="e">
        <v>#N/A</v>
        <stp/>
        <stp>BDH|13946137190945628456</stp>
        <tr r="L19" s="12"/>
      </tp>
      <tp t="e">
        <v>#N/A</v>
        <stp/>
        <stp>BDH|13122793527838155472</stp>
        <tr r="Y18" s="12"/>
      </tp>
      <tp t="e">
        <v>#N/A</v>
        <stp/>
        <stp>BDH|13866777773860527905</stp>
        <tr r="D78" s="24"/>
      </tp>
      <tp t="e">
        <v>#N/A</v>
        <stp/>
        <stp>BDH|14536276684915635192</stp>
        <tr r="G49" s="22"/>
      </tp>
      <tp t="e">
        <v>#N/A</v>
        <stp/>
        <stp>BDH|14566828503524804257</stp>
        <tr r="J80" s="24"/>
      </tp>
      <tp t="e">
        <v>#N/A</v>
        <stp/>
        <stp>BDH|17904154036926042935</stp>
        <tr r="Z46" s="18"/>
      </tp>
      <tp t="e">
        <v>#N/A</v>
        <stp/>
        <stp>BDH|17946346894683000408</stp>
        <tr r="I30" s="26"/>
      </tp>
      <tp t="e">
        <v>#N/A</v>
        <stp/>
        <stp>BDH|13071595446110685807</stp>
        <tr r="V20" s="10"/>
      </tp>
      <tp t="e">
        <v>#N/A</v>
        <stp/>
        <stp>BDH|17999129572739122216</stp>
        <tr r="Q72" s="13"/>
      </tp>
      <tp t="e">
        <v>#N/A</v>
        <stp/>
        <stp>BDH|15477466344086702983</stp>
        <tr r="S23" s="26"/>
      </tp>
      <tp t="e">
        <v>#N/A</v>
        <stp/>
        <stp>BDH|14748236882444835077</stp>
        <tr r="F20" s="5"/>
      </tp>
      <tp t="e">
        <v>#N/A</v>
        <stp/>
        <stp>BDH|18427465464004860471</stp>
        <tr r="O33" s="5"/>
      </tp>
      <tp t="e">
        <v>#N/A</v>
        <stp/>
        <stp>BDH|14432563524068677190</stp>
        <tr r="O180" s="18"/>
      </tp>
      <tp t="e">
        <v>#N/A</v>
        <stp/>
        <stp>BDH|12802063994216413776</stp>
        <tr r="W16" s="12"/>
      </tp>
      <tp t="e">
        <v>#N/A</v>
        <stp/>
        <stp>BDH|16650255459779310203</stp>
        <tr r="Y95" s="24"/>
      </tp>
      <tp t="e">
        <v>#N/A</v>
        <stp/>
        <stp>BDH|10144609220057193990</stp>
        <tr r="T25" s="22"/>
      </tp>
      <tp t="e">
        <v>#N/A</v>
        <stp/>
        <stp>BDH|10704892345882547465</stp>
        <tr r="E9" s="13"/>
      </tp>
      <tp t="e">
        <v>#N/A</v>
        <stp/>
        <stp>BDH|16113832305702865678</stp>
        <tr r="Z24" s="14"/>
      </tp>
      <tp t="e">
        <v>#N/A</v>
        <stp/>
        <stp>BDH|13553812859625680130</stp>
        <tr r="T71" s="34"/>
      </tp>
      <tp t="e">
        <v>#N/A</v>
        <stp/>
        <stp>BDH|17842550093482519339</stp>
        <tr r="S160" s="18"/>
      </tp>
      <tp t="e">
        <v>#N/A</v>
        <stp/>
        <stp>BDH|12064443829749290776</stp>
        <tr r="X16" s="12"/>
      </tp>
      <tp t="e">
        <v>#N/A</v>
        <stp/>
        <stp>BDH|12082313605159476280</stp>
        <tr r="Y66" s="21"/>
        <tr r="V27" s="6"/>
      </tp>
      <tp t="e">
        <v>#N/A</v>
        <stp/>
        <stp>BDH|15388068538544588800</stp>
        <tr r="Q12" s="12"/>
      </tp>
      <tp t="e">
        <v>#N/A</v>
        <stp/>
        <stp>BDH|11448743787707647398</stp>
        <tr r="L11" s="18"/>
      </tp>
      <tp t="e">
        <v>#N/A</v>
        <stp/>
        <stp>BDH|18162133712546053489</stp>
        <tr r="W42" s="22"/>
      </tp>
      <tp t="e">
        <v>#N/A</v>
        <stp/>
        <stp>BDH|14848433927298731035</stp>
        <tr r="Z25" s="12"/>
      </tp>
      <tp t="e">
        <v>#N/A</v>
        <stp/>
        <stp>BDH|10538834344691307792</stp>
        <tr r="P25" s="17"/>
      </tp>
      <tp t="e">
        <v>#N/A</v>
        <stp/>
        <stp>BDH|14558014109279573704</stp>
        <tr r="G14" s="23"/>
      </tp>
      <tp t="e">
        <v>#N/A</v>
        <stp/>
        <stp>BDH|10792420066999924122</stp>
        <tr r="E9" s="30"/>
      </tp>
      <tp t="e">
        <v>#N/A</v>
        <stp/>
        <stp>BDH|12424417710459974446</stp>
        <tr r="U93" s="18"/>
      </tp>
      <tp t="e">
        <v>#N/A</v>
        <stp/>
        <stp>BDH|12768874861240053692</stp>
        <tr r="E94" s="12"/>
      </tp>
      <tp t="e">
        <v>#N/A</v>
        <stp/>
        <stp>BDH|14477113589454004346</stp>
        <tr r="S73" s="17"/>
      </tp>
      <tp t="e">
        <v>#N/A</v>
        <stp/>
        <stp>BDH|15676019581444976378</stp>
        <tr r="I16" s="22"/>
      </tp>
      <tp t="e">
        <v>#N/A</v>
        <stp/>
        <stp>BDH|18198079208352335054</stp>
        <tr r="F21" s="17"/>
        <tr r="F15" s="3"/>
      </tp>
      <tp t="e">
        <v>#N/A</v>
        <stp/>
        <stp>BDH|15855019705737562819</stp>
        <tr r="P30" s="17"/>
      </tp>
      <tp t="e">
        <v>#N/A</v>
        <stp/>
        <stp>BDH|16810032328589208792</stp>
        <tr r="AA42" s="12"/>
      </tp>
      <tp t="e">
        <v>#N/A</v>
        <stp/>
        <stp>BDH|16286800511814094182</stp>
        <tr r="E41" s="10"/>
        <tr r="E31" s="11"/>
      </tp>
      <tp t="e">
        <v>#N/A</v>
        <stp/>
        <stp>BDH|15950844580776245948</stp>
        <tr r="Z87" s="12"/>
      </tp>
      <tp t="e">
        <v>#N/A</v>
        <stp/>
        <stp>BDH|13523217406809051292</stp>
        <tr r="L49" s="18"/>
      </tp>
      <tp t="e">
        <v>#N/A</v>
        <stp/>
        <stp>BDH|13409317425509929129</stp>
        <tr r="W45" s="12"/>
      </tp>
      <tp t="e">
        <v>#N/A</v>
        <stp/>
        <stp>BDH|14196714156644838856</stp>
        <tr r="C14" s="8"/>
      </tp>
      <tp t="e">
        <v>#N/A</v>
        <stp/>
        <stp>BDH|15543169987136629090</stp>
        <tr r="O18" s="24"/>
      </tp>
      <tp t="e">
        <v>#N/A</v>
        <stp/>
        <stp>BDH|12094373325579043095</stp>
        <tr r="W86" s="18"/>
      </tp>
      <tp t="e">
        <v>#N/A</v>
        <stp/>
        <stp>BDH|15737126109988463636</stp>
        <tr r="X22" s="17"/>
      </tp>
      <tp t="e">
        <v>#N/A</v>
        <stp/>
        <stp>BDH|16143379112036978866</stp>
        <tr r="W56" s="17"/>
      </tp>
      <tp t="e">
        <v>#N/A</v>
        <stp/>
        <stp>BDH|13843237333580256810</stp>
        <tr r="D40" s="13"/>
      </tp>
      <tp t="e">
        <v>#N/A</v>
        <stp/>
        <stp>BDH|16402162932537212995</stp>
        <tr r="X15" s="18"/>
      </tp>
      <tp t="e">
        <v>#N/A</v>
        <stp/>
        <stp>BDH|17269757066578379490</stp>
        <tr r="O21" s="4"/>
      </tp>
      <tp t="e">
        <v>#N/A</v>
        <stp/>
        <stp>BDH|12443142112601174984</stp>
        <tr r="P8" s="4"/>
      </tp>
      <tp t="e">
        <v>#N/A</v>
        <stp/>
        <stp>BDH|16854582137223933954</stp>
        <tr r="W42" s="4"/>
      </tp>
      <tp t="e">
        <v>#N/A</v>
        <stp/>
        <stp>BDH|13546285270334244844</stp>
        <tr r="E69" s="10"/>
      </tp>
      <tp t="e">
        <v>#N/A</v>
        <stp/>
        <stp>BDH|14400193741043034871</stp>
        <tr r="O11" s="3"/>
        <tr r="M50" s="10"/>
        <tr r="M40" s="11"/>
        <tr r="M8" s="7"/>
      </tp>
      <tp t="e">
        <v>#N/A</v>
        <stp/>
        <stp>BDH|14012970398156092848</stp>
        <tr r="AA57" s="17"/>
      </tp>
      <tp t="e">
        <v>#N/A</v>
        <stp/>
        <stp>BDH|14592751951958372496</stp>
        <tr r="G29" s="14"/>
      </tp>
      <tp t="e">
        <v>#N/A</v>
        <stp/>
        <stp>BDH|12828220013462521974</stp>
        <tr r="Z159" s="18"/>
      </tp>
      <tp t="e">
        <v>#N/A</v>
        <stp/>
        <stp>BDH|10022187509592916931</stp>
        <tr r="Y16" s="34"/>
      </tp>
      <tp t="e">
        <v>#N/A</v>
        <stp/>
        <stp>BDH|15329430329191276804</stp>
        <tr r="H65" s="24"/>
      </tp>
      <tp t="e">
        <v>#N/A</v>
        <stp/>
        <stp>BDH|10093956059211090774</stp>
        <tr r="J17" s="9"/>
      </tp>
      <tp t="e">
        <v>#N/A</v>
        <stp/>
        <stp>BDH|13414830287751241892</stp>
        <tr r="N24" s="14"/>
      </tp>
      <tp t="e">
        <v>#N/A</v>
        <stp/>
        <stp>BDH|13316605531835098992</stp>
        <tr r="Q98" s="18"/>
      </tp>
      <tp t="e">
        <v>#N/A</v>
        <stp/>
        <stp>BDH|14441267417389755492</stp>
        <tr r="F166" s="18"/>
      </tp>
      <tp t="e">
        <v>#N/A</v>
        <stp/>
        <stp>BDH|16057991872927682563</stp>
        <tr r="I54" s="17"/>
      </tp>
      <tp t="e">
        <v>#N/A</v>
        <stp/>
        <stp>BDH|10329470673371951852</stp>
        <tr r="T16" s="25"/>
      </tp>
      <tp t="e">
        <v>#N/A</v>
        <stp/>
        <stp>BDH|10424394237132111800</stp>
        <tr r="AA77" s="24"/>
      </tp>
      <tp t="e">
        <v>#N/A</v>
        <stp/>
        <stp>BDH|14704984007617173023</stp>
        <tr r="H36" s="34"/>
      </tp>
      <tp t="e">
        <v>#N/A</v>
        <stp/>
        <stp>BDH|16171209735388828579</stp>
        <tr r="I19" s="6"/>
      </tp>
      <tp t="e">
        <v>#N/A</v>
        <stp/>
        <stp>BDH|18290408500143912507</stp>
        <tr r="T11" s="30"/>
      </tp>
      <tp t="e">
        <v>#N/A</v>
        <stp/>
        <stp>BDH|13764047282896341798</stp>
        <tr r="AA8" s="23"/>
      </tp>
      <tp t="e">
        <v>#N/A</v>
        <stp/>
        <stp>BDH|13377000396466749692</stp>
        <tr r="P104" s="18"/>
      </tp>
      <tp t="e">
        <v>#N/A</v>
        <stp/>
        <stp>BDH|12553527915855095997</stp>
        <tr r="I71" s="10"/>
        <tr r="I61" s="11"/>
      </tp>
      <tp t="e">
        <v>#N/A</v>
        <stp/>
        <stp>BDH|10097408021308802426</stp>
        <tr r="F83" s="17"/>
      </tp>
      <tp t="e">
        <v>#N/A</v>
        <stp/>
        <stp>BDH|12668694394765108211</stp>
        <tr r="C83" s="17"/>
      </tp>
      <tp t="e">
        <v>#N/A</v>
        <stp/>
        <stp>BDH|11299680887453195670</stp>
        <tr r="W196" s="18"/>
      </tp>
      <tp t="e">
        <v>#N/A</v>
        <stp/>
        <stp>BDH|17966388408288042633</stp>
        <tr r="X47" s="24"/>
      </tp>
      <tp t="e">
        <v>#N/A</v>
        <stp/>
        <stp>BDH|14456894548870921260</stp>
        <tr r="T66" s="17"/>
      </tp>
      <tp t="e">
        <v>#N/A</v>
        <stp/>
        <stp>BDH|14028320949858178105</stp>
        <tr r="O78" s="17"/>
      </tp>
      <tp t="e">
        <v>#N/A</v>
        <stp/>
        <stp>BDH|10137293237432290975</stp>
        <tr r="L87" s="24"/>
      </tp>
      <tp t="e">
        <v>#N/A</v>
        <stp/>
        <stp>BDH|17764137008748371459</stp>
        <tr r="S65" s="18"/>
      </tp>
      <tp t="e">
        <v>#N/A</v>
        <stp/>
        <stp>BDH|14593370282087239282</stp>
        <tr r="H80" s="18"/>
      </tp>
      <tp t="e">
        <v>#N/A</v>
        <stp/>
        <stp>BDH|15039991610445483271</stp>
        <tr r="Z97" s="12"/>
      </tp>
      <tp t="e">
        <v>#N/A</v>
        <stp/>
        <stp>BDH|11033856721869810863</stp>
        <tr r="C14" s="24"/>
      </tp>
      <tp t="e">
        <v>#N/A</v>
        <stp/>
        <stp>BDH|10291633221496806823</stp>
        <tr r="T7" s="4"/>
      </tp>
      <tp t="e">
        <v>#N/A</v>
        <stp/>
        <stp>BDH|16272082030537759878</stp>
        <tr r="I39" s="6"/>
      </tp>
      <tp t="e">
        <v>#N/A</v>
        <stp/>
        <stp>BDH|10576890346670789674</stp>
        <tr r="J60" s="34"/>
      </tp>
      <tp t="e">
        <v>#N/A</v>
        <stp/>
        <stp>BDH|12287798965621687823</stp>
        <tr r="H73" s="13"/>
      </tp>
      <tp t="e">
        <v>#N/A</v>
        <stp/>
        <stp>BDH|12439686633874399969</stp>
        <tr r="Y62" s="12"/>
      </tp>
      <tp t="e">
        <v>#N/A</v>
        <stp/>
        <stp>BDH|12896721746352335954</stp>
        <tr r="D19" s="26"/>
      </tp>
      <tp t="e">
        <v>#N/A</v>
        <stp/>
        <stp>BDH|11353107574798542582</stp>
        <tr r="S29" s="18"/>
      </tp>
      <tp t="e">
        <v>#N/A</v>
        <stp/>
        <stp>BDH|17943807003493360633</stp>
        <tr r="I60" s="12"/>
      </tp>
      <tp t="e">
        <v>#N/A</v>
        <stp/>
        <stp>BDH|11166887933499043903</stp>
        <tr r="N102" s="18"/>
      </tp>
      <tp t="e">
        <v>#N/A</v>
        <stp/>
        <stp>BDH|16305659738528676129</stp>
        <tr r="R67" s="13"/>
      </tp>
      <tp t="e">
        <v>#N/A</v>
        <stp/>
        <stp>BDH|13828852936382808091</stp>
        <tr r="T162" s="18"/>
      </tp>
      <tp t="e">
        <v>#N/A</v>
        <stp/>
        <stp>BDH|12856275392497560422</stp>
        <tr r="AA194" s="18"/>
      </tp>
      <tp t="e">
        <v>#N/A</v>
        <stp/>
        <stp>BDH|10517022793763964072</stp>
        <tr r="U16" s="29"/>
        <tr r="U39" s="29"/>
      </tp>
      <tp t="e">
        <v>#N/A</v>
        <stp/>
        <stp>BDH|11747155858758002701</stp>
        <tr r="X27" s="17"/>
      </tp>
      <tp t="e">
        <v>#N/A</v>
        <stp/>
        <stp>BDH|16344392980080662767</stp>
        <tr r="P16" s="23"/>
      </tp>
      <tp t="e">
        <v>#N/A</v>
        <stp/>
        <stp>BDH|12869582254060965874</stp>
        <tr r="R93" s="17"/>
        <tr r="R13" s="28"/>
      </tp>
      <tp t="e">
        <v>#N/A</v>
        <stp/>
        <stp>BDH|13523564349628218027</stp>
        <tr r="Y81" s="18"/>
      </tp>
      <tp t="e">
        <v>#N/A</v>
        <stp/>
        <stp>BDH|15897870058843876150</stp>
        <tr r="O20" s="24"/>
      </tp>
      <tp t="e">
        <v>#N/A</v>
        <stp/>
        <stp>BDH|13326729924975768982</stp>
        <tr r="H89" s="18"/>
      </tp>
      <tp t="e">
        <v>#N/A</v>
        <stp/>
        <stp>BDH|16507942298764230810</stp>
        <tr r="E118" s="18"/>
        <tr r="E6" s="20"/>
      </tp>
      <tp t="e">
        <v>#N/A</v>
        <stp/>
        <stp>BDH|16968519289323208299</stp>
        <tr r="V210" s="18"/>
      </tp>
      <tp t="e">
        <v>#N/A</v>
        <stp/>
        <stp>BDH|15934343141510357855</stp>
        <tr r="P56" s="24"/>
      </tp>
      <tp t="e">
        <v>#N/A</v>
        <stp/>
        <stp>BDH|11734136427088911000</stp>
        <tr r="R22" s="22"/>
      </tp>
      <tp t="e">
        <v>#N/A</v>
        <stp/>
        <stp>BDH|12578514829867592826</stp>
        <tr r="W140" s="18"/>
      </tp>
      <tp t="e">
        <v>#N/A</v>
        <stp/>
        <stp>BDH|16718655149199286739</stp>
        <tr r="W8" s="23"/>
      </tp>
      <tp t="e">
        <v>#N/A</v>
        <stp/>
        <stp>BDH|16718459391502744392</stp>
        <tr r="C19" s="9"/>
      </tp>
      <tp t="e">
        <v>#N/A</v>
        <stp/>
        <stp>BDH|13318067698254370439</stp>
        <tr r="D8" s="2"/>
      </tp>
      <tp t="e">
        <v>#N/A</v>
        <stp/>
        <stp>BDH|13763581931848628757</stp>
        <tr r="R25" s="25"/>
        <tr r="R10" s="27"/>
      </tp>
      <tp t="e">
        <v>#N/A</v>
        <stp/>
        <stp>BDH|11331386174806750952</stp>
        <tr r="L126" s="18"/>
      </tp>
      <tp t="e">
        <v>#N/A</v>
        <stp/>
        <stp>BDH|13336600228909758416</stp>
        <tr r="Y22" s="7"/>
      </tp>
      <tp t="e">
        <v>#N/A</v>
        <stp/>
        <stp>BDH|18086463055064774795</stp>
        <tr r="P32" s="14"/>
      </tp>
      <tp t="e">
        <v>#N/A</v>
        <stp/>
        <stp>BDH|14058192863368545129</stp>
        <tr r="Q77" s="12"/>
      </tp>
      <tp t="e">
        <v>#N/A</v>
        <stp/>
        <stp>BDH|14226946608380468779</stp>
        <tr r="S49" s="6"/>
        <tr r="U10" s="8"/>
      </tp>
      <tp t="e">
        <v>#N/A</v>
        <stp/>
        <stp>BDH|11759983546164117259</stp>
        <tr r="Q95" s="17"/>
      </tp>
      <tp t="e">
        <v>#N/A</v>
        <stp/>
        <stp>BDH|13988789068529126159</stp>
        <tr r="U53" s="6"/>
      </tp>
      <tp t="e">
        <v>#N/A</v>
        <stp/>
        <stp>BDH|11834157960494993896</stp>
        <tr r="E9" s="6"/>
      </tp>
      <tp t="e">
        <v>#N/A</v>
        <stp/>
        <stp>BDH|11015200150085493995</stp>
        <tr r="Z11" s="3"/>
        <tr r="X50" s="10"/>
        <tr r="X40" s="11"/>
        <tr r="X8" s="7"/>
      </tp>
      <tp t="e">
        <v>#N/A</v>
        <stp/>
        <stp>BDH|15349383447820551847</stp>
        <tr r="K15" s="4"/>
      </tp>
      <tp t="e">
        <v>#N/A</v>
        <stp/>
        <stp>BDH|12662110925799966264</stp>
        <tr r="S67" s="13"/>
      </tp>
      <tp t="e">
        <v>#N/A</v>
        <stp/>
        <stp>BDH|16364060184605472184</stp>
        <tr r="G39" s="22"/>
      </tp>
      <tp t="e">
        <v>#N/A</v>
        <stp/>
        <stp>BDH|16017627140567851975</stp>
        <tr r="K191" s="18"/>
      </tp>
      <tp t="e">
        <v>#N/A</v>
        <stp/>
        <stp>BDH|14373283142639609120</stp>
        <tr r="H94" s="17"/>
      </tp>
      <tp t="e">
        <v>#N/A</v>
        <stp/>
        <stp>BDH|17252143764552843875</stp>
        <tr r="AA7" s="14"/>
      </tp>
      <tp t="e">
        <v>#N/A</v>
        <stp/>
        <stp>BDH|15326553488272378005</stp>
        <tr r="M44" s="6"/>
      </tp>
      <tp t="e">
        <v>#N/A</v>
        <stp/>
        <stp>BDH|15996311684415785165</stp>
        <tr r="C26" s="18"/>
      </tp>
      <tp t="e">
        <v>#N/A</v>
        <stp/>
        <stp>BDH|17577473591198970872</stp>
        <tr r="O29" s="22"/>
      </tp>
      <tp t="e">
        <v>#N/A</v>
        <stp/>
        <stp>BDH|17921002321868617739</stp>
        <tr r="N13" s="24"/>
      </tp>
      <tp t="e">
        <v>#N/A</v>
        <stp/>
        <stp>BDH|10449799075812231871</stp>
        <tr r="C24" s="18"/>
      </tp>
      <tp t="e">
        <v>#N/A</v>
        <stp/>
        <stp>BDH|14539395622306175925</stp>
        <tr r="O33" s="12"/>
      </tp>
      <tp t="e">
        <v>#N/A</v>
        <stp/>
        <stp>BDH|18322221628175462703</stp>
        <tr r="U58" s="24"/>
      </tp>
      <tp t="e">
        <v>#N/A</v>
        <stp/>
        <stp>BDH|10390432929139748539</stp>
        <tr r="X9" s="30"/>
      </tp>
      <tp t="e">
        <v>#N/A</v>
        <stp/>
        <stp>BDH|17859221762781656830</stp>
        <tr r="Q122" s="18"/>
        <tr r="Q11" s="20"/>
      </tp>
      <tp t="e">
        <v>#N/A</v>
        <stp/>
        <stp>BDH|12609827799718303134</stp>
        <tr r="D18" s="23"/>
      </tp>
      <tp t="e">
        <v>#N/A</v>
        <stp/>
        <stp>BDH|13128709187832218496</stp>
        <tr r="O16" s="12"/>
      </tp>
      <tp t="e">
        <v>#N/A</v>
        <stp/>
        <stp>BDH|12799986647701752436</stp>
        <tr r="C20" s="17"/>
      </tp>
      <tp t="e">
        <v>#N/A</v>
        <stp/>
        <stp>BDH|12504597031038850699</stp>
        <tr r="Y92" s="18"/>
      </tp>
      <tp t="e">
        <v>#N/A</v>
        <stp/>
        <stp>BDH|13863951614317390667</stp>
        <tr r="J21" s="30"/>
      </tp>
      <tp t="e">
        <v>#N/A</v>
        <stp/>
        <stp>BDH|12281190173136613822</stp>
        <tr r="W51" s="12"/>
      </tp>
      <tp t="e">
        <v>#N/A</v>
        <stp/>
        <stp>BDH|14854403047896601856</stp>
        <tr r="U15" s="22"/>
      </tp>
      <tp t="e">
        <v>#N/A</v>
        <stp/>
        <stp>BDH|10032070436301592881</stp>
        <tr r="E56" s="17"/>
      </tp>
      <tp t="e">
        <v>#N/A</v>
        <stp/>
        <stp>BDH|12135619349212166846</stp>
        <tr r="U32" s="12"/>
      </tp>
      <tp t="e">
        <v>#N/A</v>
        <stp/>
        <stp>BDH|14039210889960005442</stp>
        <tr r="L17" s="30"/>
      </tp>
      <tp t="e">
        <v>#N/A</v>
        <stp/>
        <stp>BDH|12121360470965267992</stp>
        <tr r="T172" s="18"/>
      </tp>
      <tp t="e">
        <v>#N/A</v>
        <stp/>
        <stp>BDH|18367392846454165118</stp>
        <tr r="N16" s="23"/>
      </tp>
      <tp t="e">
        <v>#N/A</v>
        <stp/>
        <stp>BDH|13826005198234594492</stp>
        <tr r="H7" s="30"/>
      </tp>
      <tp t="e">
        <v>#N/A</v>
        <stp/>
        <stp>BDH|17395112336226847900</stp>
        <tr r="V104" s="18"/>
      </tp>
      <tp t="e">
        <v>#N/A</v>
        <stp/>
        <stp>BDH|13420908808373542351</stp>
        <tr r="R34" s="14"/>
      </tp>
      <tp t="e">
        <v>#N/A</v>
        <stp/>
        <stp>BDH|15694982548780204280</stp>
        <tr r="K18" s="26"/>
      </tp>
      <tp t="e">
        <v>#N/A</v>
        <stp/>
        <stp>BDH|17866905865112412050</stp>
        <tr r="Q7" s="8"/>
      </tp>
      <tp t="e">
        <v>#N/A</v>
        <stp/>
        <stp>BDH|17031426226412179995</stp>
        <tr r="Z140" s="18"/>
      </tp>
      <tp t="e">
        <v>#N/A</v>
        <stp/>
        <stp>BDH|16116506403480640984</stp>
        <tr r="AA75" s="12"/>
      </tp>
      <tp t="e">
        <v>#N/A</v>
        <stp/>
        <stp>BDH|14775982258416313483</stp>
        <tr r="I27" s="22"/>
      </tp>
      <tp t="e">
        <v>#N/A</v>
        <stp/>
        <stp>BDH|13830590799535217064</stp>
        <tr r="F74" s="12"/>
      </tp>
      <tp t="e">
        <v>#N/A</v>
        <stp/>
        <stp>BDH|15668353159119276041</stp>
        <tr r="I155" s="18"/>
      </tp>
      <tp t="e">
        <v>#N/A</v>
        <stp/>
        <stp>BDH|15440435068188261517</stp>
        <tr r="D43" s="21"/>
      </tp>
      <tp t="e">
        <v>#N/A</v>
        <stp/>
        <stp>BDH|18065361166166924155</stp>
        <tr r="R26" s="29"/>
      </tp>
      <tp t="e">
        <v>#N/A</v>
        <stp/>
        <stp>BDH|13408047590558456887</stp>
        <tr r="S31" s="24"/>
      </tp>
      <tp t="e">
        <v>#N/A</v>
        <stp/>
        <stp>BDH|15822650745808025548</stp>
        <tr r="E41" s="17"/>
        <tr r="E9" s="25"/>
      </tp>
      <tp t="e">
        <v>#N/A</v>
        <stp/>
        <stp>BDH|17306621919488028240</stp>
        <tr r="Z82" s="12"/>
      </tp>
      <tp t="e">
        <v>#N/A</v>
        <stp/>
        <stp>BDH|13080383287425515769</stp>
        <tr r="C87" s="24"/>
      </tp>
      <tp t="e">
        <v>#N/A</v>
        <stp/>
        <stp>BDH|18281043254610787792</stp>
        <tr r="F188" s="18"/>
      </tp>
      <tp t="e">
        <v>#N/A</v>
        <stp/>
        <stp>BDH|12565951013420660093</stp>
        <tr r="D64" s="13"/>
      </tp>
      <tp t="e">
        <v>#N/A</v>
        <stp/>
        <stp>BDH|12138566209648002526</stp>
        <tr r="Q166" s="18"/>
      </tp>
      <tp t="e">
        <v>#N/A</v>
        <stp/>
        <stp>BDH|17359392780145124371</stp>
        <tr r="O58" s="11"/>
        <tr r="Q19" s="23"/>
      </tp>
      <tp t="e">
        <v>#N/A</v>
        <stp/>
        <stp>BDH|10301886704480106227</stp>
        <tr r="U69" s="12"/>
      </tp>
      <tp t="e">
        <v>#N/A</v>
        <stp/>
        <stp>BDH|11073199992433062079</stp>
        <tr r="J17" s="14"/>
      </tp>
      <tp t="e">
        <v>#N/A</v>
        <stp/>
        <stp>BDH|16941985508182008755</stp>
        <tr r="T26" s="24"/>
      </tp>
      <tp t="e">
        <v>#N/A</v>
        <stp/>
        <stp>BDH|12960879654472288747</stp>
        <tr r="I77" s="24"/>
      </tp>
      <tp t="e">
        <v>#N/A</v>
        <stp/>
        <stp>BDH|10041810078175115040</stp>
        <tr r="V101" s="18"/>
      </tp>
      <tp t="e">
        <v>#N/A</v>
        <stp/>
        <stp>BDH|13158271292831850332</stp>
        <tr r="D12" s="12"/>
      </tp>
      <tp t="e">
        <v>#N/A</v>
        <stp/>
        <stp>BDH|15734235388842018734</stp>
        <tr r="L17" s="34"/>
      </tp>
      <tp t="e">
        <v>#N/A</v>
        <stp/>
        <stp>BDH|14698462836449147081</stp>
        <tr r="S73" s="18"/>
      </tp>
      <tp t="e">
        <v>#N/A</v>
        <stp/>
        <stp>BDH|14217019910348468784</stp>
        <tr r="Y27" s="21"/>
      </tp>
      <tp t="e">
        <v>#N/A</v>
        <stp/>
        <stp>BDH|17416867377485254788</stp>
        <tr r="AA63" s="13"/>
      </tp>
      <tp t="e">
        <v>#N/A</v>
        <stp/>
        <stp>BDH|13579904898228464169</stp>
        <tr r="C164" s="18"/>
      </tp>
      <tp t="e">
        <v>#N/A</v>
        <stp/>
        <stp>BDH|12068546295203758799</stp>
        <tr r="V39" s="17"/>
      </tp>
      <tp t="e">
        <v>#N/A</v>
        <stp/>
        <stp>BDH|12541163431532499896</stp>
        <tr r="W78" s="12"/>
      </tp>
      <tp t="e">
        <v>#N/A</v>
        <stp/>
        <stp>BDH|12573977251885809145</stp>
        <tr r="V36" s="10"/>
        <tr r="V48" s="10"/>
        <tr r="V26" s="11"/>
        <tr r="V38" s="11"/>
      </tp>
      <tp t="e">
        <v>#N/A</v>
        <stp/>
        <stp>BDH|18179421871089535889</stp>
        <tr r="I38" s="34"/>
      </tp>
      <tp t="e">
        <v>#N/A</v>
        <stp/>
        <stp>BDH|10259061863408849408</stp>
        <tr r="D9" s="6"/>
      </tp>
      <tp t="e">
        <v>#N/A</v>
        <stp/>
        <stp>BDH|12422482344091682914</stp>
        <tr r="G161" s="18"/>
      </tp>
      <tp t="e">
        <v>#N/A</v>
        <stp/>
        <stp>BDH|15991854102254001313</stp>
        <tr r="F39" s="24"/>
      </tp>
      <tp t="e">
        <v>#N/A</v>
        <stp/>
        <stp>BDH|16281913631881933743</stp>
        <tr r="L28" s="22"/>
      </tp>
      <tp t="e">
        <v>#N/A</v>
        <stp/>
        <stp>BDH|14939736602789424033</stp>
        <tr r="N20" s="12"/>
      </tp>
      <tp t="e">
        <v>#N/A</v>
        <stp/>
        <stp>BDH|16142480715378711145</stp>
        <tr r="Z116" s="18"/>
      </tp>
      <tp t="e">
        <v>#N/A</v>
        <stp/>
        <stp>BDH|11595961505845057797</stp>
        <tr r="Y46" s="34"/>
      </tp>
      <tp t="e">
        <v>#N/A</v>
        <stp/>
        <stp>BDH|11951454881430625746</stp>
        <tr r="G87" s="18"/>
      </tp>
      <tp t="e">
        <v>#N/A</v>
        <stp/>
        <stp>BDH|13761008549294253938</stp>
        <tr r="N15" s="11"/>
      </tp>
      <tp t="e">
        <v>#N/A</v>
        <stp/>
        <stp>BDH|15959417155307662946</stp>
        <tr r="O52" s="12"/>
      </tp>
      <tp t="e">
        <v>#N/A</v>
        <stp/>
        <stp>BDH|16613703612552234895</stp>
        <tr r="O27" s="12"/>
      </tp>
      <tp t="e">
        <v>#N/A</v>
        <stp/>
        <stp>BDH|12410100095393874365</stp>
        <tr r="Y19" s="22"/>
      </tp>
      <tp t="e">
        <v>#N/A</v>
        <stp/>
        <stp>BDH|17261596828259441386</stp>
        <tr r="M39" s="18"/>
      </tp>
      <tp t="e">
        <v>#N/A</v>
        <stp/>
        <stp>BDH|13145158114590670999</stp>
        <tr r="U15" s="5"/>
      </tp>
      <tp t="e">
        <v>#N/A</v>
        <stp/>
        <stp>BDH|16064543073596823805</stp>
        <tr r="Q31" s="26"/>
        <tr r="N14" s="9"/>
      </tp>
      <tp t="e">
        <v>#N/A</v>
        <stp/>
        <stp>BDH|18378504699379123745</stp>
        <tr r="W63" s="34"/>
      </tp>
      <tp t="e">
        <v>#N/A</v>
        <stp/>
        <stp>BDH|15458061819258787639</stp>
        <tr r="W28" s="27"/>
      </tp>
      <tp t="e">
        <v>#N/A</v>
        <stp/>
        <stp>BDH|10252271676588423785</stp>
        <tr r="F32" s="25"/>
        <tr r="F18" s="27"/>
      </tp>
      <tp t="e">
        <v>#N/A</v>
        <stp/>
        <stp>BDH|14939905975270128020</stp>
        <tr r="I84" s="18"/>
      </tp>
      <tp t="e">
        <v>#N/A</v>
        <stp/>
        <stp>BDH|11262787572102466930</stp>
        <tr r="M52" s="34"/>
      </tp>
      <tp t="e">
        <v>#N/A</v>
        <stp/>
        <stp>BDH|14602967619740640602</stp>
        <tr r="U52" s="6"/>
      </tp>
      <tp t="e">
        <v>#N/A</v>
        <stp/>
        <stp>BDH|18149323832053919173</stp>
        <tr r="T10" s="24"/>
      </tp>
      <tp t="e">
        <v>#N/A</v>
        <stp/>
        <stp>BDH|10688221367987479982</stp>
        <tr r="D192" s="18"/>
      </tp>
      <tp t="e">
        <v>#N/A</v>
        <stp/>
        <stp>BDH|14530747388615715416</stp>
        <tr r="O83" s="17"/>
      </tp>
      <tp t="e">
        <v>#N/A</v>
        <stp/>
        <stp>BDH|15698649768559794628</stp>
        <tr r="Y51" s="21"/>
      </tp>
      <tp t="e">
        <v>#N/A</v>
        <stp/>
        <stp>BDH|16308602155939080697</stp>
        <tr r="F71" s="13"/>
      </tp>
      <tp t="e">
        <v>#N/A</v>
        <stp/>
        <stp>BDH|17521942259240213157</stp>
        <tr r="O43" s="6"/>
      </tp>
      <tp t="e">
        <v>#N/A</v>
        <stp/>
        <stp>BDH|15472392400568317415</stp>
        <tr r="D81" s="12"/>
      </tp>
      <tp t="e">
        <v>#N/A</v>
        <stp/>
        <stp>BDH|13340495239997420991</stp>
        <tr r="T33" s="18"/>
      </tp>
      <tp t="e">
        <v>#N/A</v>
        <stp/>
        <stp>BDH|17463765192420741398</stp>
        <tr r="O74" s="12"/>
      </tp>
      <tp t="e">
        <v>#N/A</v>
        <stp/>
        <stp>BDH|10626549370628437085</stp>
        <tr r="Y198" s="18"/>
      </tp>
      <tp t="e">
        <v>#N/A</v>
        <stp/>
        <stp>BDH|11828618162182332963</stp>
        <tr r="T14" s="11"/>
      </tp>
      <tp t="e">
        <v>#N/A</v>
        <stp/>
        <stp>BDH|13018239929430133955</stp>
        <tr r="X16" s="23"/>
      </tp>
      <tp t="e">
        <v>#N/A</v>
        <stp/>
        <stp>BDH|13639110056888948566</stp>
        <tr r="J176" s="18"/>
      </tp>
      <tp t="e">
        <v>#N/A</v>
        <stp/>
        <stp>BDH|14932382839949756714</stp>
        <tr r="F162" s="18"/>
      </tp>
      <tp t="e">
        <v>#N/A</v>
        <stp/>
        <stp>BDH|18280292715591928094</stp>
        <tr r="O16" s="26"/>
      </tp>
      <tp t="e">
        <v>#N/A</v>
        <stp/>
        <stp>BDH|14861967972013673349</stp>
        <tr r="Y7" s="28"/>
      </tp>
      <tp t="e">
        <v>#N/A</v>
        <stp/>
        <stp>BDH|16613552958715483912</stp>
        <tr r="S106" s="12"/>
      </tp>
      <tp t="e">
        <v>#N/A</v>
        <stp/>
        <stp>BDH|10862083414563371899</stp>
        <tr r="S71" s="13"/>
      </tp>
      <tp t="e">
        <v>#N/A</v>
        <stp/>
        <stp>BDH|10776236918858208107</stp>
        <tr r="F30" s="29"/>
        <tr r="F8" s="29"/>
      </tp>
      <tp t="e">
        <v>#N/A</v>
        <stp/>
        <stp>BDH|12192995400997595631</stp>
        <tr r="Z21" s="17"/>
        <tr r="Z15" s="3"/>
      </tp>
      <tp t="e">
        <v>#N/A</v>
        <stp/>
        <stp>BDH|18143663703545397196</stp>
        <tr r="H20" s="24"/>
      </tp>
      <tp t="e">
        <v>#N/A</v>
        <stp/>
        <stp>BDH|14825743432733034908</stp>
        <tr r="AA8" s="26"/>
        <tr r="X10" s="9"/>
      </tp>
      <tp t="e">
        <v>#N/A</v>
        <stp/>
        <stp>BDH|16826761899066015491</stp>
        <tr r="J59" s="11"/>
      </tp>
      <tp t="e">
        <v>#N/A</v>
        <stp/>
        <stp>BDH|14815195182281950641</stp>
        <tr r="I78" s="18"/>
      </tp>
      <tp t="e">
        <v>#N/A</v>
        <stp/>
        <stp>BDH|18170454452713129094</stp>
        <tr r="Z93" s="17"/>
        <tr r="Z13" s="28"/>
      </tp>
      <tp t="e">
        <v>#N/A</v>
        <stp/>
        <stp>BDH|14857731436883593967</stp>
        <tr r="Z49" s="13"/>
      </tp>
      <tp t="e">
        <v>#N/A</v>
        <stp/>
        <stp>BDH|10520507640243255890</stp>
        <tr r="I62" s="17"/>
      </tp>
      <tp t="e">
        <v>#N/A</v>
        <stp/>
        <stp>BDH|17995022453921101970</stp>
        <tr r="R41" s="18"/>
      </tp>
      <tp t="e">
        <v>#N/A</v>
        <stp/>
        <stp>BDH|12724522301189321492</stp>
        <tr r="F85" s="12"/>
      </tp>
      <tp t="e">
        <v>#N/A</v>
        <stp/>
        <stp>BDH|11755963567286170292</stp>
        <tr r="T96" s="18"/>
      </tp>
      <tp t="e">
        <v>#N/A</v>
        <stp/>
        <stp>BDH|17444458379498114678</stp>
        <tr r="C31" s="12"/>
      </tp>
      <tp t="e">
        <v>#N/A</v>
        <stp/>
        <stp>BDH|10559027482337868536</stp>
        <tr r="I178" s="18"/>
      </tp>
      <tp t="e">
        <v>#N/A</v>
        <stp/>
        <stp>BDH|11749822375315673182</stp>
        <tr r="J39" s="24"/>
      </tp>
      <tp t="e">
        <v>#N/A</v>
        <stp/>
        <stp>BDH|17068818245225249488</stp>
        <tr r="K20" s="5"/>
      </tp>
      <tp t="e">
        <v>#N/A</v>
        <stp/>
        <stp>BDH|15035626694438993818</stp>
        <tr r="W180" s="18"/>
      </tp>
      <tp t="e">
        <v>#N/A</v>
        <stp/>
        <stp>BDH|15453426488314058702</stp>
        <tr r="K35" s="14"/>
      </tp>
      <tp t="e">
        <v>#N/A</v>
        <stp/>
        <stp>BDH|10069203676129867605</stp>
        <tr r="AA58" s="34"/>
      </tp>
      <tp t="e">
        <v>#N/A</v>
        <stp/>
        <stp>BDH|10161841105581878362</stp>
        <tr r="X168" s="18"/>
      </tp>
      <tp t="e">
        <v>#N/A</v>
        <stp/>
        <stp>BDH|10337919459330562608</stp>
        <tr r="Z126" s="18"/>
      </tp>
      <tp t="e">
        <v>#N/A</v>
        <stp/>
        <stp>BDH|16249815469243328177</stp>
        <tr r="F25" s="34"/>
      </tp>
      <tp t="e">
        <v>#N/A</v>
        <stp/>
        <stp>BDH|12042866420222829007</stp>
        <tr r="K126" s="18"/>
      </tp>
      <tp t="e">
        <v>#N/A</v>
        <stp/>
        <stp>BDH|14120977508231045607</stp>
        <tr r="Q17" s="21"/>
      </tp>
      <tp t="e">
        <v>#N/A</v>
        <stp/>
        <stp>BDH|11667884230055799480</stp>
        <tr r="N8" s="24"/>
      </tp>
      <tp t="e">
        <v>#N/A</v>
        <stp/>
        <stp>BDH|15016806741931138316</stp>
        <tr r="D22" s="14"/>
      </tp>
      <tp t="e">
        <v>#N/A</v>
        <stp/>
        <stp>BDH|13764863301440497053</stp>
        <tr r="R8" s="23"/>
      </tp>
      <tp t="e">
        <v>#N/A</v>
        <stp/>
        <stp>BDH|11938487207697600919</stp>
        <tr r="C88" s="24"/>
      </tp>
      <tp t="e">
        <v>#N/A</v>
        <stp/>
        <stp>BDH|16554288700369416684</stp>
        <tr r="O16" s="17"/>
        <tr r="O19" s="28"/>
      </tp>
      <tp t="e">
        <v>#N/A</v>
        <stp/>
        <stp>BDH|18247609032370055611</stp>
        <tr r="S31" s="21"/>
      </tp>
      <tp t="e">
        <v>#N/A</v>
        <stp/>
        <stp>BDH|12800074883469488892</stp>
        <tr r="H46" s="4"/>
        <tr r="H23" s="10"/>
        <tr r="J42" s="13"/>
      </tp>
      <tp t="e">
        <v>#N/A</v>
        <stp/>
        <stp>BDH|12713558160648776242</stp>
        <tr r="L60" s="34"/>
      </tp>
      <tp t="e">
        <v>#N/A</v>
        <stp/>
        <stp>BDH|17781617356179615675</stp>
        <tr r="U23" s="14"/>
      </tp>
      <tp t="e">
        <v>#N/A</v>
        <stp/>
        <stp>BDH|10448535729825936963</stp>
        <tr r="I18" s="13"/>
      </tp>
      <tp t="e">
        <v>#N/A</v>
        <stp/>
        <stp>BDH|13260798209426316902</stp>
        <tr r="P22" s="11"/>
      </tp>
      <tp t="e">
        <v>#N/A</v>
        <stp/>
        <stp>BDH|14336651782432592306</stp>
        <tr r="H94" s="18"/>
      </tp>
      <tp t="e">
        <v>#N/A</v>
        <stp/>
        <stp>BDH|13186578207128605568</stp>
        <tr r="T56" s="17"/>
      </tp>
      <tp t="e">
        <v>#N/A</v>
        <stp/>
        <stp>BDH|17788955661611247207</stp>
        <tr r="X73" s="24"/>
      </tp>
      <tp t="e">
        <v>#N/A</v>
        <stp/>
        <stp>BDH|15900095129335999910</stp>
        <tr r="W130" s="18"/>
      </tp>
      <tp t="e">
        <v>#N/A</v>
        <stp/>
        <stp>BDH|10688123150096555901</stp>
        <tr r="C15" s="10"/>
      </tp>
      <tp t="e">
        <v>#N/A</v>
        <stp/>
        <stp>BDH|17742997929815651200</stp>
        <tr r="X8" s="11"/>
      </tp>
      <tp t="e">
        <v>#N/A</v>
        <stp/>
        <stp>BDH|17556992052461989166</stp>
        <tr r="L23" s="14"/>
      </tp>
      <tp t="e">
        <v>#N/A</v>
        <stp/>
        <stp>BDH|12115268051089760703</stp>
        <tr r="D76" s="34"/>
      </tp>
      <tp t="e">
        <v>#N/A</v>
        <stp/>
        <stp>BDH|13812868923693527191</stp>
        <tr r="M31" s="10"/>
        <tr r="O40" s="13"/>
      </tp>
      <tp t="e">
        <v>#N/A</v>
        <stp/>
        <stp>BDH|16411455564368096742</stp>
        <tr r="D6" s="28"/>
      </tp>
      <tp t="e">
        <v>#N/A</v>
        <stp/>
        <stp>BDH|13742051393060700179</stp>
        <tr r="C23" s="14"/>
      </tp>
      <tp t="e">
        <v>#N/A</v>
        <stp/>
        <stp>BDH|13771135985511499042</stp>
        <tr r="H18" s="22"/>
      </tp>
      <tp t="e">
        <v>#N/A</v>
        <stp/>
        <stp>BDH|13347876616194446574</stp>
        <tr r="Q179" s="18"/>
      </tp>
      <tp t="e">
        <v>#N/A</v>
        <stp/>
        <stp>BDH|11588821327075580543</stp>
        <tr r="X167" s="18"/>
      </tp>
      <tp t="e">
        <v>#N/A</v>
        <stp/>
        <stp>BDH|12455486999830714438</stp>
        <tr r="W32" s="25"/>
        <tr r="W18" s="27"/>
      </tp>
      <tp t="e">
        <v>#N/A</v>
        <stp/>
        <stp>BDH|10473486883446875160</stp>
        <tr r="N18" s="20"/>
      </tp>
      <tp t="e">
        <v>#N/A</v>
        <stp/>
        <stp>BDH|12357876345883698660</stp>
        <tr r="V68" s="34"/>
      </tp>
      <tp t="e">
        <v>#N/A</v>
        <stp/>
        <stp>BDH|13845558402818863560</stp>
        <tr r="I42" s="12"/>
      </tp>
      <tp t="e">
        <v>#N/A</v>
        <stp/>
        <stp>BDH|14477042275289230165</stp>
        <tr r="M53" s="18"/>
      </tp>
      <tp t="e">
        <v>#N/A</v>
        <stp/>
        <stp>BDH|15821145991694814241</stp>
        <tr r="J65" s="24"/>
      </tp>
      <tp t="e">
        <v>#N/A</v>
        <stp/>
        <stp>BDH|15156062049023827974</stp>
        <tr r="E7" s="10"/>
      </tp>
      <tp t="e">
        <v>#N/A</v>
        <stp/>
        <stp>BDH|16728767326119168173</stp>
        <tr r="U19" s="34"/>
      </tp>
      <tp t="e">
        <v>#N/A</v>
        <stp/>
        <stp>BDH|17485228676909289031</stp>
        <tr r="I52" s="4"/>
        <tr r="K8" s="3"/>
        <tr r="I44" s="10"/>
        <tr r="I34" s="11"/>
        <tr r="K45" s="13"/>
      </tp>
      <tp t="e">
        <v>#N/A</v>
        <stp/>
        <stp>BDH|16009316997516647117</stp>
        <tr r="S67" s="17"/>
        <tr r="S18" s="3"/>
      </tp>
      <tp t="e">
        <v>#N/A</v>
        <stp/>
        <stp>BDH|10887729490206372384</stp>
        <tr r="F75" s="17"/>
      </tp>
      <tp t="e">
        <v>#N/A</v>
        <stp/>
        <stp>BDH|10323171083843695102</stp>
        <tr r="Q51" s="18"/>
      </tp>
      <tp t="e">
        <v>#N/A</v>
        <stp/>
        <stp>BDH|12637424801195068847</stp>
        <tr r="AA23" s="22"/>
      </tp>
      <tp t="e">
        <v>#N/A</v>
        <stp/>
        <stp>BDH|14948961118763127477</stp>
        <tr r="F32" s="34"/>
      </tp>
      <tp t="e">
        <v>#N/A</v>
        <stp/>
        <stp>BDH|15726121341788737320</stp>
        <tr r="J36" s="4"/>
      </tp>
      <tp t="e">
        <v>#N/A</v>
        <stp/>
        <stp>BDH|11278700932788278630</stp>
        <tr r="C8" s="22"/>
      </tp>
      <tp t="e">
        <v>#N/A</v>
        <stp/>
        <stp>BDH|16923157614628957501</stp>
        <tr r="R7" s="24"/>
      </tp>
      <tp t="e">
        <v>#N/A</v>
        <stp/>
        <stp>BDH|15182980654020975258</stp>
        <tr r="Z71" s="12"/>
      </tp>
      <tp t="e">
        <v>#N/A</v>
        <stp/>
        <stp>BDH|18079437925253578623</stp>
        <tr r="T65" s="24"/>
      </tp>
      <tp t="e">
        <v>#N/A</v>
        <stp/>
        <stp>BDH|15048123582591700664</stp>
        <tr r="S13" s="22"/>
      </tp>
      <tp t="e">
        <v>#N/A</v>
        <stp/>
        <stp>BDH|17635497339203679814</stp>
        <tr r="X93" s="24"/>
      </tp>
      <tp t="e">
        <v>#N/A</v>
        <stp/>
        <stp>BDH|17560624714262312914</stp>
        <tr r="S62" s="12"/>
      </tp>
      <tp t="e">
        <v>#N/A</v>
        <stp/>
        <stp>BDH|17723468584742511219</stp>
        <tr r="P18" s="24"/>
      </tp>
      <tp t="e">
        <v>#N/A</v>
        <stp/>
        <stp>BDH|14798694606241134888</stp>
        <tr r="C100" s="12"/>
      </tp>
      <tp t="e">
        <v>#N/A</v>
        <stp/>
        <stp>BDH|14760378584581475518</stp>
        <tr r="M14" s="4"/>
      </tp>
      <tp t="e">
        <v>#N/A</v>
        <stp/>
        <stp>BDH|11784853022334641478</stp>
        <tr r="U9" s="34"/>
      </tp>
      <tp t="e">
        <v>#N/A</v>
        <stp/>
        <stp>BDH|10991083976334026870</stp>
        <tr r="J190" s="18"/>
      </tp>
      <tp t="e">
        <v>#N/A</v>
        <stp/>
        <stp>BDH|16768776395324506708</stp>
        <tr r="H29" s="14"/>
      </tp>
      <tp t="e">
        <v>#N/A</v>
        <stp/>
        <stp>BDH|18413097209730235369</stp>
        <tr r="T22" s="12"/>
      </tp>
      <tp t="e">
        <v>#N/A</v>
        <stp/>
        <stp>BDH|18123717654823447202</stp>
        <tr r="R51" s="13"/>
      </tp>
      <tp t="e">
        <v>#N/A</v>
        <stp/>
        <stp>BDH|15539328620906295952</stp>
        <tr r="T136" s="18"/>
      </tp>
      <tp t="e">
        <v>#N/A</v>
        <stp/>
        <stp>BDH|16910688781780352333</stp>
        <tr r="U14" s="13"/>
      </tp>
      <tp t="e">
        <v>#N/A</v>
        <stp/>
        <stp>BDH|10301720557831129872</stp>
        <tr r="C28" s="34"/>
      </tp>
      <tp t="e">
        <v>#N/A</v>
        <stp/>
        <stp>BDH|15734414715332181924</stp>
        <tr r="R95" s="17"/>
      </tp>
      <tp t="e">
        <v>#N/A</v>
        <stp/>
        <stp>BDH|17603913851188741818</stp>
        <tr r="X7" s="2"/>
        <tr r="W7" s="5"/>
        <tr r="W7" s="9"/>
        <tr r="Z14" s="3"/>
      </tp>
      <tp t="e">
        <v>#N/A</v>
        <stp/>
        <stp>BDH|16055222401529774648</stp>
        <tr r="N36" s="10"/>
        <tr r="N48" s="10"/>
        <tr r="N26" s="11"/>
        <tr r="N38" s="11"/>
      </tp>
      <tp t="e">
        <v>#N/A</v>
        <stp/>
        <stp>BDH|15401530228118889175</stp>
        <tr r="O32" s="5"/>
      </tp>
      <tp t="e">
        <v>#N/A</v>
        <stp/>
        <stp>BDH|10042177438661684891</stp>
        <tr r="Q55" s="17"/>
      </tp>
      <tp t="e">
        <v>#N/A</v>
        <stp/>
        <stp>BDH|15047250415869204420</stp>
        <tr r="W29" s="14"/>
      </tp>
      <tp t="e">
        <v>#N/A</v>
        <stp/>
        <stp>BDH|12313769395587008001</stp>
        <tr r="E16" s="12"/>
      </tp>
      <tp t="e">
        <v>#N/A</v>
        <stp/>
        <stp>BDH|12735706394880072739</stp>
        <tr r="X94" s="24"/>
      </tp>
      <tp t="e">
        <v>#N/A</v>
        <stp/>
        <stp>BDH|10410803131041572106</stp>
        <tr r="U29" s="34"/>
      </tp>
      <tp t="e">
        <v>#N/A</v>
        <stp/>
        <stp>BDH|13985137966288582796</stp>
        <tr r="J15" s="11"/>
      </tp>
      <tp t="e">
        <v>#N/A</v>
        <stp/>
        <stp>BDH|14184125346232449819</stp>
        <tr r="V27" s="22"/>
      </tp>
      <tp t="e">
        <v>#N/A</v>
        <stp/>
        <stp>BDH|10191012692484787655</stp>
        <tr r="I19" s="22"/>
      </tp>
      <tp t="e">
        <v>#N/A</v>
        <stp/>
        <stp>BDH|14389382098810552565</stp>
        <tr r="C24" s="12"/>
      </tp>
      <tp t="e">
        <v>#N/A</v>
        <stp/>
        <stp>BDH|15089491991894866706</stp>
        <tr r="D68" s="34"/>
      </tp>
      <tp t="e">
        <v>#N/A</v>
        <stp/>
        <stp>BDH|10780673072403579979</stp>
        <tr r="Q86" s="12"/>
      </tp>
      <tp t="e">
        <v>#N/A</v>
        <stp/>
        <stp>BDH|13384707755022066868</stp>
        <tr r="U18" s="23"/>
      </tp>
      <tp t="e">
        <v>#N/A</v>
        <stp/>
        <stp>BDH|13306830166635039365</stp>
        <tr r="J95" s="12"/>
      </tp>
      <tp t="e">
        <v>#N/A</v>
        <stp/>
        <stp>BDH|17963113139387113907</stp>
        <tr r="M40" s="10"/>
        <tr r="M30" s="11"/>
      </tp>
      <tp t="e">
        <v>#N/A</v>
        <stp/>
        <stp>BDH|12395631632279786555</stp>
        <tr r="E209" s="18"/>
      </tp>
      <tp t="e">
        <v>#N/A</v>
        <stp/>
        <stp>BDH|16749952906785131154</stp>
        <tr r="V66" s="12"/>
      </tp>
      <tp t="e">
        <v>#N/A</v>
        <stp/>
        <stp>BDH|18236319822520494250</stp>
        <tr r="O39" s="34"/>
      </tp>
      <tp t="e">
        <v>#N/A</v>
        <stp/>
        <stp>BDH|10026863750476023061</stp>
        <tr r="T54" s="17"/>
      </tp>
      <tp t="e">
        <v>#N/A</v>
        <stp/>
        <stp>BDH|16537822671013345153</stp>
        <tr r="R23" s="20"/>
      </tp>
      <tp t="e">
        <v>#N/A</v>
        <stp/>
        <stp>BDH|14470722307238624073</stp>
        <tr r="X42" s="21"/>
      </tp>
      <tp t="e">
        <v>#N/A</v>
        <stp/>
        <stp>BDH|11464037339079800067</stp>
        <tr r="P14" s="6"/>
      </tp>
      <tp t="e">
        <v>#N/A</v>
        <stp/>
        <stp>BDH|13351837902234778451</stp>
        <tr r="O66" s="13"/>
      </tp>
      <tp t="e">
        <v>#N/A</v>
        <stp/>
        <stp>BDH|13070721003138815793</stp>
        <tr r="L63" s="17"/>
      </tp>
      <tp t="e">
        <v>#N/A</v>
        <stp/>
        <stp>BDH|14228055084330016731</stp>
        <tr r="D13" s="6"/>
      </tp>
      <tp t="e">
        <v>#N/A</v>
        <stp/>
        <stp>BDH|13620979061286491144</stp>
        <tr r="O23" s="24"/>
      </tp>
      <tp t="e">
        <v>#N/A</v>
        <stp/>
        <stp>BDH|10785155891375845681</stp>
        <tr r="H31" s="5"/>
      </tp>
      <tp t="e">
        <v>#N/A</v>
        <stp/>
        <stp>BDH|12369136631998279304</stp>
        <tr r="X128" s="18"/>
      </tp>
      <tp t="e">
        <v>#N/A</v>
        <stp/>
        <stp>BDH|18420438955290838291</stp>
        <tr r="P48" s="17"/>
      </tp>
      <tp t="e">
        <v>#N/A</v>
        <stp/>
        <stp>BDH|11494577255918382265</stp>
        <tr r="U42" s="18"/>
      </tp>
      <tp t="e">
        <v>#N/A</v>
        <stp/>
        <stp>BDH|13590943027744321765</stp>
        <tr r="S32" s="14"/>
      </tp>
      <tp t="e">
        <v>#N/A</v>
        <stp/>
        <stp>BDH|10699478885235385242</stp>
        <tr r="E25" s="12"/>
      </tp>
      <tp t="e">
        <v>#N/A</v>
        <stp/>
        <stp>BDH|14260608645419665425</stp>
        <tr r="S131" s="18"/>
      </tp>
      <tp t="e">
        <v>#N/A</v>
        <stp/>
        <stp>BDH|17446090900844618885</stp>
        <tr r="W19" s="30"/>
      </tp>
      <tp t="e">
        <v>#N/A</v>
        <stp/>
        <stp>BDH|17008424505661486905</stp>
        <tr r="V194" s="18"/>
      </tp>
      <tp t="e">
        <v>#N/A</v>
        <stp/>
        <stp>BDH|10463958733438708965</stp>
        <tr r="Z16" s="14"/>
      </tp>
      <tp t="e">
        <v>#N/A</v>
        <stp/>
        <stp>BDH|11643886356273362489</stp>
        <tr r="P67" s="10"/>
      </tp>
      <tp t="e">
        <v>#N/A</v>
        <stp/>
        <stp>BDH|10727538333409550414</stp>
        <tr r="Y40" s="24"/>
      </tp>
      <tp t="e">
        <v>#N/A</v>
        <stp/>
        <stp>BDH|13648409942819722109</stp>
        <tr r="Q9" s="34"/>
      </tp>
      <tp t="e">
        <v>#N/A</v>
        <stp/>
        <stp>BDH|15325935570131687153</stp>
        <tr r="P20" s="9"/>
      </tp>
      <tp t="e">
        <v>#N/A</v>
        <stp/>
        <stp>BDH|15782305394060590459</stp>
        <tr r="E24" s="12"/>
      </tp>
      <tp t="e">
        <v>#N/A</v>
        <stp/>
        <stp>BDH|16369437350375487976</stp>
        <tr r="U28" s="4"/>
      </tp>
      <tp t="e">
        <v>#N/A</v>
        <stp/>
        <stp>BDH|11736277404759467139</stp>
        <tr r="AA18" s="26"/>
      </tp>
      <tp t="e">
        <v>#N/A</v>
        <stp/>
        <stp>BDH|18122016375110282441</stp>
        <tr r="P54" s="13"/>
      </tp>
      <tp t="e">
        <v>#N/A</v>
        <stp/>
        <stp>BDH|11615668132837305822</stp>
        <tr r="T49" s="24"/>
      </tp>
      <tp t="e">
        <v>#N/A</v>
        <stp/>
        <stp>BDH|13024799756562597894</stp>
        <tr r="D74" s="17"/>
      </tp>
      <tp t="e">
        <v>#N/A</v>
        <stp/>
        <stp>BDH|16367801332280345613</stp>
        <tr r="T17" s="24"/>
      </tp>
      <tp t="e">
        <v>#N/A</v>
        <stp/>
        <stp>BDH|16324905495814289975</stp>
        <tr r="J44" s="34"/>
      </tp>
      <tp t="e">
        <v>#N/A</v>
        <stp/>
        <stp>BDH|10640013392500486228</stp>
        <tr r="D10" s="23"/>
      </tp>
      <tp t="e">
        <v>#N/A</v>
        <stp/>
        <stp>BDH|14728375087082040641</stp>
        <tr r="M65" s="24"/>
      </tp>
      <tp t="e">
        <v>#N/A</v>
        <stp/>
        <stp>BDH|16939051491393754796</stp>
        <tr r="I77" s="34"/>
      </tp>
      <tp t="e">
        <v>#N/A</v>
        <stp/>
        <stp>BDH|14679898776388291882</stp>
        <tr r="X14" s="24"/>
      </tp>
      <tp t="e">
        <v>#N/A</v>
        <stp/>
        <stp>BDH|11580945231276395601</stp>
        <tr r="I22" s="22"/>
      </tp>
      <tp t="e">
        <v>#N/A</v>
        <stp/>
        <stp>BDH|14015450254747461966</stp>
        <tr r="Z193" s="18"/>
      </tp>
      <tp t="e">
        <v>#N/A</v>
        <stp/>
        <stp>BDH|11963745323398514784</stp>
        <tr r="L30" s="22"/>
      </tp>
      <tp t="e">
        <v>#N/A</v>
        <stp/>
        <stp>BDH|10861358699254005579</stp>
        <tr r="Z98" s="12"/>
      </tp>
      <tp t="e">
        <v>#N/A</v>
        <stp/>
        <stp>BDH|13544034904340549842</stp>
        <tr r="V140" s="18"/>
      </tp>
      <tp t="e">
        <v>#N/A</v>
        <stp/>
        <stp>BDH|16113418621972351910</stp>
        <tr r="P59" s="17"/>
      </tp>
      <tp t="e">
        <v>#N/A</v>
        <stp/>
        <stp>BDH|17602315636718609446</stp>
        <tr r="M57" s="12"/>
      </tp>
      <tp t="e">
        <v>#N/A</v>
        <stp/>
        <stp>BDH|18071488912110130689</stp>
        <tr r="M147" s="18"/>
      </tp>
      <tp t="e">
        <v>#N/A</v>
        <stp/>
        <stp>BDH|13539519504529295412</stp>
        <tr r="D91" s="24"/>
      </tp>
      <tp t="e">
        <v>#N/A</v>
        <stp/>
        <stp>BDH|12777657528304823915</stp>
        <tr r="N148" s="18"/>
      </tp>
      <tp t="e">
        <v>#N/A</v>
        <stp/>
        <stp>BDH|16083964624097969191</stp>
        <tr r="C17" s="4"/>
        <tr r="E10" s="3"/>
        <tr r="C56" s="10"/>
        <tr r="C46" s="11"/>
        <tr r="C17" s="7"/>
        <tr r="E61" s="13"/>
      </tp>
      <tp t="e">
        <v>#N/A</v>
        <stp/>
        <stp>BDH|11723503015559062709</stp>
        <tr r="G44" s="34"/>
      </tp>
      <tp t="e">
        <v>#N/A</v>
        <stp/>
        <stp>BDH|17475634439029807049</stp>
        <tr r="AA24" s="17"/>
      </tp>
      <tp t="e">
        <v>#N/A</v>
        <stp/>
        <stp>BDH|18072888038768237001</stp>
        <tr r="S74" s="18"/>
      </tp>
      <tp t="e">
        <v>#N/A</v>
        <stp/>
        <stp>BDH|16988335802337271983</stp>
        <tr r="I158" s="18"/>
      </tp>
      <tp t="e">
        <v>#N/A</v>
        <stp/>
        <stp>BDH|12404449735666442832</stp>
        <tr r="M13" s="11"/>
      </tp>
      <tp t="e">
        <v>#N/A</v>
        <stp/>
        <stp>BDH|14969997603073889590</stp>
        <tr r="M13" s="18"/>
      </tp>
      <tp t="e">
        <v>#N/A</v>
        <stp/>
        <stp>BDH|14634749217350363946</stp>
        <tr r="I52" s="10"/>
        <tr r="I42" s="11"/>
        <tr r="I15" s="7"/>
      </tp>
      <tp t="e">
        <v>#N/A</v>
        <stp/>
        <stp>BDH|13309867015965214407</stp>
        <tr r="U70" s="12"/>
      </tp>
      <tp t="e">
        <v>#N/A</v>
        <stp/>
        <stp>BDH|14899572702018930266</stp>
        <tr r="H33" s="14"/>
      </tp>
      <tp t="e">
        <v>#N/A</v>
        <stp/>
        <stp>BDH|15397407568885810919</stp>
        <tr r="F44" s="34"/>
      </tp>
      <tp t="e">
        <v>#N/A</v>
        <stp/>
        <stp>BDH|14078779773856389950</stp>
        <tr r="D34" s="13"/>
      </tp>
      <tp t="e">
        <v>#N/A</v>
        <stp/>
        <stp>BDH|12748269230749131124</stp>
        <tr r="L41" s="12"/>
      </tp>
      <tp t="e">
        <v>#N/A</v>
        <stp/>
        <stp>BDH|13243506496600382451</stp>
        <tr r="Q14" s="11"/>
      </tp>
      <tp t="e">
        <v>#N/A</v>
        <stp/>
        <stp>BDH|13495625102759050763</stp>
        <tr r="S56" s="24"/>
      </tp>
      <tp t="e">
        <v>#N/A</v>
        <stp/>
        <stp>BDH|10904473551139468398</stp>
        <tr r="I8" s="13"/>
      </tp>
      <tp t="e">
        <v>#N/A</v>
        <stp/>
        <stp>BDH|11647578008006213991</stp>
        <tr r="G30" s="26"/>
      </tp>
      <tp t="e">
        <v>#N/A</v>
        <stp/>
        <stp>BDH|11847792307004090943</stp>
        <tr r="Y74" s="34"/>
      </tp>
      <tp t="e">
        <v>#N/A</v>
        <stp/>
        <stp>BDH|16437554502941944986</stp>
        <tr r="Q22" s="12"/>
      </tp>
      <tp t="e">
        <v>#N/A</v>
        <stp/>
        <stp>BDH|13047654294430360701</stp>
        <tr r="P18" s="6"/>
      </tp>
      <tp t="e">
        <v>#N/A</v>
        <stp/>
        <stp>BDH|13920633879201757864</stp>
        <tr r="E68" s="10"/>
      </tp>
      <tp t="e">
        <v>#N/A</v>
        <stp/>
        <stp>BDH|16241842344842483344</stp>
        <tr r="M58" s="24"/>
      </tp>
      <tp t="e">
        <v>#N/A</v>
        <stp/>
        <stp>BDH|13547327830780039856</stp>
        <tr r="I16" s="25"/>
      </tp>
      <tp t="e">
        <v>#N/A</v>
        <stp/>
        <stp>BDH|17805462136249398298</stp>
        <tr r="H57" s="11"/>
        <tr r="J15" s="23"/>
      </tp>
      <tp t="e">
        <v>#N/A</v>
        <stp/>
        <stp>BDH|17432543322239747277</stp>
        <tr r="W26" s="7"/>
      </tp>
      <tp t="e">
        <v>#N/A</v>
        <stp/>
        <stp>BDH|12766098676906877821</stp>
        <tr r="X186" s="18"/>
      </tp>
      <tp t="e">
        <v>#N/A</v>
        <stp/>
        <stp>BDH|15576567360704615977</stp>
        <tr r="U59" s="18"/>
      </tp>
      <tp t="e">
        <v>#N/A</v>
        <stp/>
        <stp>BDH|13222887669244763260</stp>
        <tr r="Z77" s="18"/>
      </tp>
      <tp t="e">
        <v>#N/A</v>
        <stp/>
        <stp>BDH|13226792999544305235</stp>
        <tr r="V81" s="18"/>
      </tp>
      <tp t="e">
        <v>#N/A</v>
        <stp/>
        <stp>BDH|17319694181054157680</stp>
        <tr r="K18" s="14"/>
      </tp>
      <tp t="e">
        <v>#N/A</v>
        <stp/>
        <stp>BDH|18128488338487665358</stp>
        <tr r="K47" s="22"/>
      </tp>
      <tp t="e">
        <v>#N/A</v>
        <stp/>
        <stp>BDH|16108836370297526551</stp>
        <tr r="X7" s="17"/>
      </tp>
      <tp t="e">
        <v>#N/A</v>
        <stp/>
        <stp>BDH|17386717885704087755</stp>
        <tr r="O28" s="10"/>
        <tr r="Q37" s="13"/>
      </tp>
      <tp t="e">
        <v>#N/A</v>
        <stp/>
        <stp>BDH|17758244395663655427</stp>
        <tr r="AA26" s="34"/>
      </tp>
      <tp t="e">
        <v>#N/A</v>
        <stp/>
        <stp>BDH|16868862271592538087</stp>
        <tr r="AA31" s="17"/>
      </tp>
      <tp t="e">
        <v>#N/A</v>
        <stp/>
        <stp>BDH|18160406366116447710</stp>
        <tr r="Q86" s="18"/>
      </tp>
      <tp t="e">
        <v>#N/A</v>
        <stp/>
        <stp>BDH|14564660380922094313</stp>
        <tr r="N33" s="12"/>
      </tp>
      <tp t="e">
        <v>#N/A</v>
        <stp/>
        <stp>BDH|14964877612570788698</stp>
        <tr r="E24" s="13"/>
      </tp>
      <tp t="e">
        <v>#N/A</v>
        <stp/>
        <stp>BDH|12412005191355037570</stp>
        <tr r="P55" s="18"/>
      </tp>
      <tp t="e">
        <v>#N/A</v>
        <stp/>
        <stp>BDH|13012138259665618995</stp>
        <tr r="C157" s="18"/>
      </tp>
      <tp t="e">
        <v>#N/A</v>
        <stp/>
        <stp>BDH|11880481784296304020</stp>
        <tr r="S60" s="34"/>
      </tp>
      <tp t="e">
        <v>#N/A</v>
        <stp/>
        <stp>BDH|15872179991050905624</stp>
        <tr r="P19" s="34"/>
      </tp>
      <tp t="e">
        <v>#N/A</v>
        <stp/>
        <stp>BDH|17783320591394015210</stp>
        <tr r="E16" s="11"/>
      </tp>
      <tp t="e">
        <v>#N/A</v>
        <stp/>
        <stp>BDH|15575918306450029770</stp>
        <tr r="H26" s="25"/>
        <tr r="H12" s="27"/>
      </tp>
      <tp t="e">
        <v>#N/A</v>
        <stp/>
        <stp>BDH|13792111162377400852</stp>
        <tr r="X22" s="10"/>
      </tp>
      <tp t="e">
        <v>#N/A</v>
        <stp/>
        <stp>BDH|14006486109963635825</stp>
        <tr r="P16" s="25"/>
      </tp>
      <tp t="e">
        <v>#N/A</v>
        <stp/>
        <stp>BDH|14032589232618937167</stp>
        <tr r="AA10" s="14"/>
      </tp>
      <tp t="e">
        <v>#N/A</v>
        <stp/>
        <stp>BDH|14432163247858723272</stp>
        <tr r="G34" s="21"/>
      </tp>
      <tp t="e">
        <v>#N/A</v>
        <stp/>
        <stp>BDH|12172973944512086676</stp>
        <tr r="F26" s="10"/>
        <tr r="H35" s="13"/>
      </tp>
      <tp t="e">
        <v>#N/A</v>
        <stp/>
        <stp>BDH|10623715433437142808</stp>
        <tr r="W25" s="2"/>
        <tr r="Y62" s="21"/>
      </tp>
      <tp t="e">
        <v>#N/A</v>
        <stp/>
        <stp>BDH|10812119020579458186</stp>
        <tr r="W24" s="2"/>
      </tp>
      <tp t="e">
        <v>#N/A</v>
        <stp/>
        <stp>BDH|10031321176456917989</stp>
        <tr r="X34" s="14"/>
      </tp>
      <tp t="e">
        <v>#N/A</v>
        <stp/>
        <stp>BDH|10608842648065864278</stp>
        <tr r="E33" s="22"/>
      </tp>
      <tp t="e">
        <v>#N/A</v>
        <stp/>
        <stp>BDH|17999245988475939397</stp>
        <tr r="M18" s="14"/>
      </tp>
      <tp t="e">
        <v>#N/A</v>
        <stp/>
        <stp>BDH|17871396383972172563</stp>
        <tr r="X70" s="12"/>
      </tp>
      <tp t="e">
        <v>#N/A</v>
        <stp/>
        <stp>BDH|10647006898622912026</stp>
        <tr r="O43" s="34"/>
      </tp>
      <tp t="e">
        <v>#N/A</v>
        <stp/>
        <stp>BDH|13320273979075130891</stp>
        <tr r="J45" s="18"/>
      </tp>
      <tp t="e">
        <v>#N/A</v>
        <stp/>
        <stp>BDH|13724349002652589916</stp>
        <tr r="P32" s="22"/>
      </tp>
      <tp t="e">
        <v>#N/A</v>
        <stp/>
        <stp>BDH|13475316241637442850</stp>
        <tr r="W120" s="18"/>
        <tr r="W8" s="20"/>
      </tp>
      <tp t="e">
        <v>#N/A</v>
        <stp/>
        <stp>BDH|12100425893736318261</stp>
        <tr r="H7" s="23"/>
      </tp>
      <tp t="e">
        <v>#N/A</v>
        <stp/>
        <stp>BDH|16629678883972275156</stp>
        <tr r="U205" s="18"/>
      </tp>
      <tp t="e">
        <v>#N/A</v>
        <stp/>
        <stp>BDH|10865810476457965335</stp>
        <tr r="L13" s="21"/>
      </tp>
      <tp t="e">
        <v>#N/A</v>
        <stp/>
        <stp>BDH|15021631470606745910</stp>
        <tr r="H69" s="13"/>
      </tp>
      <tp t="e">
        <v>#N/A</v>
        <stp/>
        <stp>BDH|12615402257739567113</stp>
        <tr r="D34" s="22"/>
      </tp>
      <tp t="e">
        <v>#N/A</v>
        <stp/>
        <stp>BDH|15568537903422540950</stp>
        <tr r="S102" s="18"/>
      </tp>
      <tp t="e">
        <v>#N/A</v>
        <stp/>
        <stp>BDH|15754515975409040560</stp>
        <tr r="J48" s="12"/>
      </tp>
      <tp t="e">
        <v>#N/A</v>
        <stp/>
        <stp>BDH|15853787191397494708</stp>
        <tr r="U92" s="17"/>
        <tr r="U7" s="27"/>
      </tp>
      <tp t="e">
        <v>#N/A</v>
        <stp/>
        <stp>BDH|12163494394112846617</stp>
        <tr r="Q57" s="34"/>
      </tp>
      <tp t="e">
        <v>#N/A</v>
        <stp/>
        <stp>BDH|16740102190500732550</stp>
        <tr r="W101" s="18"/>
      </tp>
      <tp t="e">
        <v>#N/A</v>
        <stp/>
        <stp>BDH|11375721188064529193</stp>
        <tr r="K153" s="18"/>
      </tp>
      <tp t="e">
        <v>#N/A</v>
        <stp/>
        <stp>BDH|11802511227479817433</stp>
        <tr r="F208" s="18"/>
      </tp>
      <tp t="e">
        <v>#N/A</v>
        <stp/>
        <stp>BDH|13397749449888877339</stp>
        <tr r="J69" s="17"/>
      </tp>
      <tp t="e">
        <v>#N/A</v>
        <stp/>
        <stp>BDH|10611078906552333919</stp>
        <tr r="W16" s="17"/>
        <tr r="W19" s="28"/>
      </tp>
      <tp t="e">
        <v>#N/A</v>
        <stp/>
        <stp>BDH|14555365030557719812</stp>
        <tr r="F22" s="21"/>
      </tp>
      <tp t="e">
        <v>#N/A</v>
        <stp/>
        <stp>BDH|13904465992877990212</stp>
        <tr r="V35" s="18"/>
      </tp>
      <tp t="e">
        <v>#N/A</v>
        <stp/>
        <stp>BDH|15515668377149798667</stp>
        <tr r="L6" s="2"/>
        <tr r="K6" s="5"/>
        <tr r="K6" s="9"/>
        <tr r="M12" s="8"/>
        <tr r="M10" s="29"/>
        <tr r="M19" s="29"/>
        <tr r="M25" s="29"/>
      </tp>
      <tp t="e">
        <v>#N/A</v>
        <stp/>
        <stp>BDH|11788304686221231068</stp>
        <tr r="M20" s="6"/>
      </tp>
      <tp t="e">
        <v>#N/A</v>
        <stp/>
        <stp>BDH|10944855261175910014</stp>
        <tr r="N57" s="18"/>
      </tp>
      <tp t="e">
        <v>#N/A</v>
        <stp/>
        <stp>BDH|15130378021509090622</stp>
        <tr r="M53" s="10"/>
        <tr r="M43" s="11"/>
        <tr r="M16" s="7"/>
      </tp>
      <tp t="e">
        <v>#N/A</v>
        <stp/>
        <stp>BDH|13467916270586833082</stp>
        <tr r="J9" s="3"/>
        <tr r="H51" s="10"/>
        <tr r="H41" s="11"/>
        <tr r="H14" s="7"/>
      </tp>
      <tp t="e">
        <v>#N/A</v>
        <stp/>
        <stp>BDH|16192137001899060564</stp>
        <tr r="N13" s="18"/>
      </tp>
      <tp t="e">
        <v>#N/A</v>
        <stp/>
        <stp>BDH|11193947726806462724</stp>
        <tr r="T77" s="24"/>
      </tp>
      <tp t="e">
        <v>#N/A</v>
        <stp/>
        <stp>BDH|17696410414269277048</stp>
        <tr r="I63" s="24"/>
      </tp>
      <tp t="e">
        <v>#N/A</v>
        <stp/>
        <stp>BDH|17717288587761548791</stp>
        <tr r="O45" s="22"/>
      </tp>
      <tp t="e">
        <v>#N/A</v>
        <stp/>
        <stp>BDH|15873980052003744118</stp>
        <tr r="E22" s="24"/>
      </tp>
      <tp t="e">
        <v>#N/A</v>
        <stp/>
        <stp>BDH|13686097683441007180</stp>
        <tr r="Y9" s="28"/>
      </tp>
      <tp t="e">
        <v>#N/A</v>
        <stp/>
        <stp>BDH|12447893100482811318</stp>
        <tr r="X10" s="4"/>
        <tr r="W6" s="16"/>
        <tr r="Z6" s="3"/>
        <tr r="X6" s="11"/>
      </tp>
      <tp t="e">
        <v>#N/A</v>
        <stp/>
        <stp>BDH|15952595322808203142</stp>
        <tr r="E77" s="12"/>
      </tp>
      <tp t="e">
        <v>#N/A</v>
        <stp/>
        <stp>BDH|15083830873428213964</stp>
        <tr r="S51" s="34"/>
      </tp>
      <tp t="e">
        <v>#N/A</v>
        <stp/>
        <stp>BDH|16782985322933958508</stp>
        <tr r="N52" s="10"/>
        <tr r="N42" s="11"/>
        <tr r="N15" s="7"/>
      </tp>
      <tp t="e">
        <v>#N/A</v>
        <stp/>
        <stp>BDH|17781814017553555605</stp>
        <tr r="V19" s="17"/>
      </tp>
      <tp t="e">
        <v>#N/A</v>
        <stp/>
        <stp>BDH|13292306459808686696</stp>
        <tr r="Y26" s="34"/>
      </tp>
      <tp t="e">
        <v>#N/A</v>
        <stp/>
        <stp>BDH|15220708577418674670</stp>
        <tr r="Y116" s="18"/>
      </tp>
      <tp t="e">
        <v>#N/A</v>
        <stp/>
        <stp>BDH|10793578965308126008</stp>
        <tr r="Q69" s="34"/>
      </tp>
      <tp t="e">
        <v>#N/A</v>
        <stp/>
        <stp>BDH|12556155581908600831</stp>
        <tr r="G22" s="7"/>
      </tp>
      <tp t="e">
        <v>#N/A</v>
        <stp/>
        <stp>BDH|14146961877674344578</stp>
        <tr r="I7" s="21"/>
      </tp>
      <tp t="e">
        <v>#N/A</v>
        <stp/>
        <stp>BDH|10470278879177996978</stp>
        <tr r="U47" s="21"/>
      </tp>
      <tp t="e">
        <v>#N/A</v>
        <stp/>
        <stp>BDH|14541766845139683546</stp>
        <tr r="E17" s="30"/>
      </tp>
      <tp t="e">
        <v>#N/A</v>
        <stp/>
        <stp>BDH|17463952261942238162</stp>
        <tr r="Z31" s="34"/>
      </tp>
      <tp t="e">
        <v>#N/A</v>
        <stp/>
        <stp>BDH|18433810293213159138</stp>
        <tr r="N74" s="18"/>
      </tp>
      <tp t="e">
        <v>#N/A</v>
        <stp/>
        <stp>BDH|13430814553463782657</stp>
        <tr r="K48" s="17"/>
      </tp>
      <tp t="e">
        <v>#N/A</v>
        <stp/>
        <stp>BDH|18392255147104369168</stp>
        <tr r="V37" s="26"/>
      </tp>
      <tp t="e">
        <v>#N/A</v>
        <stp/>
        <stp>BDH|10116996729664274475</stp>
        <tr r="S35" s="25"/>
      </tp>
      <tp t="e">
        <v>#N/A</v>
        <stp/>
        <stp>BDH|10876411091302935455</stp>
        <tr r="D185" s="18"/>
      </tp>
      <tp t="e">
        <v>#N/A</v>
        <stp/>
        <stp>BDH|13494519610258705461</stp>
        <tr r="N186" s="18"/>
      </tp>
      <tp t="e">
        <v>#N/A</v>
        <stp/>
        <stp>BDH|16193728726249442154</stp>
        <tr r="N69" s="17"/>
      </tp>
      <tp t="e">
        <v>#N/A</v>
        <stp/>
        <stp>BDH|17122666440697148924</stp>
        <tr r="T165" s="18"/>
      </tp>
      <tp t="e">
        <v>#N/A</v>
        <stp/>
        <stp>BDH|10441863077953952789</stp>
        <tr r="N15" s="13"/>
      </tp>
      <tp t="e">
        <v>#N/A</v>
        <stp/>
        <stp>BDH|16299496074488380681</stp>
        <tr r="J15" s="22"/>
      </tp>
      <tp t="e">
        <v>#N/A</v>
        <stp/>
        <stp>BDH|18202607290679634500</stp>
        <tr r="Q11" s="22"/>
      </tp>
      <tp t="e">
        <v>#N/A</v>
        <stp/>
        <stp>BDH|15312560186672709107</stp>
        <tr r="O30" s="6"/>
      </tp>
      <tp t="e">
        <v>#N/A</v>
        <stp/>
        <stp>BDH|15076277161002459865</stp>
        <tr r="U26" s="24"/>
      </tp>
      <tp t="e">
        <v>#N/A</v>
        <stp/>
        <stp>BDH|13519129317718293066</stp>
        <tr r="O138" s="18"/>
      </tp>
      <tp t="e">
        <v>#N/A</v>
        <stp/>
        <stp>BDH|10827925052557472085</stp>
        <tr r="M42" s="17"/>
      </tp>
      <tp t="e">
        <v>#N/A</v>
        <stp/>
        <stp>BDH|15368482682960432299</stp>
        <tr r="N179" s="18"/>
      </tp>
      <tp t="e">
        <v>#N/A</v>
        <stp/>
        <stp>BDH|13383804475411580677</stp>
        <tr r="S15" s="17"/>
        <tr r="S18" s="28"/>
      </tp>
      <tp t="e">
        <v>#N/A</v>
        <stp/>
        <stp>BDH|12879516525506045886</stp>
        <tr r="M61" s="34"/>
      </tp>
      <tp t="e">
        <v>#N/A</v>
        <stp/>
        <stp>BDH|11415712200498936582</stp>
        <tr r="D22" s="27"/>
      </tp>
      <tp t="e">
        <v>#N/A</v>
        <stp/>
        <stp>BDH|13792316432968977097</stp>
        <tr r="V12" s="26"/>
      </tp>
      <tp t="e">
        <v>#N/A</v>
        <stp/>
        <stp>BDH|11505393197431986169</stp>
        <tr r="E11" s="30"/>
      </tp>
      <tp t="e">
        <v>#N/A</v>
        <stp/>
        <stp>BDH|14630485481632813134</stp>
        <tr r="E31" s="18"/>
      </tp>
      <tp t="e">
        <v>#N/A</v>
        <stp/>
        <stp>BDH|15508103981214743370</stp>
        <tr r="AA46" s="17"/>
      </tp>
      <tp t="e">
        <v>#N/A</v>
        <stp/>
        <stp>BDH|17212762959587026990</stp>
        <tr r="L17" s="21"/>
      </tp>
      <tp t="e">
        <v>#N/A</v>
        <stp/>
        <stp>BDH|14705111900946661875</stp>
        <tr r="M192" s="18"/>
      </tp>
      <tp t="e">
        <v>#N/A</v>
        <stp/>
        <stp>BDH|13617053496419484865</stp>
        <tr r="AA41" s="22"/>
      </tp>
      <tp t="e">
        <v>#N/A</v>
        <stp/>
        <stp>BDH|11070759597562431613</stp>
        <tr r="H44" s="22"/>
      </tp>
      <tp t="e">
        <v>#N/A</v>
        <stp/>
        <stp>BDH|16124311784925348304</stp>
        <tr r="O17" s="20"/>
      </tp>
      <tp t="e">
        <v>#N/A</v>
        <stp/>
        <stp>BDH|12623688387246961174</stp>
        <tr r="K34" s="6"/>
      </tp>
      <tp t="e">
        <v>#N/A</v>
        <stp/>
        <stp>BDH|10296508395957364034</stp>
        <tr r="G8" s="26"/>
        <tr r="D10" s="9"/>
      </tp>
      <tp t="e">
        <v>#N/A</v>
        <stp/>
        <stp>BDH|16480034411275848993</stp>
        <tr r="M70" s="12"/>
      </tp>
      <tp t="e">
        <v>#N/A</v>
        <stp/>
        <stp>BDH|13136674820939849593</stp>
        <tr r="M13" s="25"/>
      </tp>
      <tp t="e">
        <v>#N/A</v>
        <stp/>
        <stp>BDH|18222982731970542994</stp>
        <tr r="D79" s="12"/>
      </tp>
      <tp t="e">
        <v>#N/A</v>
        <stp/>
        <stp>BDH|11559040541338182666</stp>
        <tr r="D38" s="21"/>
        <tr r="D24" s="3"/>
      </tp>
      <tp t="e">
        <v>#N/A</v>
        <stp/>
        <stp>BDH|10207932807372407059</stp>
        <tr r="AA9" s="27"/>
      </tp>
      <tp t="e">
        <v>#N/A</v>
        <stp/>
        <stp>BDH|11772974487068694362</stp>
        <tr r="F86" s="24"/>
      </tp>
      <tp t="e">
        <v>#N/A</v>
        <stp/>
        <stp>BDH|15285812442134256646</stp>
        <tr r="Y54" s="13"/>
      </tp>
      <tp t="e">
        <v>#N/A</v>
        <stp/>
        <stp>BDH|18426132025860325065</stp>
        <tr r="H87" s="18"/>
      </tp>
      <tp t="e">
        <v>#N/A</v>
        <stp/>
        <stp>BDH|12002615807586967988</stp>
        <tr r="X20" s="18"/>
      </tp>
      <tp t="e">
        <v>#N/A</v>
        <stp/>
        <stp>BDH|12446364230948375160</stp>
        <tr r="Q202" s="18"/>
      </tp>
      <tp t="e">
        <v>#N/A</v>
        <stp/>
        <stp>BDH|11511873987949158330</stp>
        <tr r="V11" s="6"/>
      </tp>
      <tp t="e">
        <v>#N/A</v>
        <stp/>
        <stp>BDH|10623409393573480568</stp>
        <tr r="F97" s="18"/>
      </tp>
      <tp t="e">
        <v>#N/A</v>
        <stp/>
        <stp>BDH|10701839453455702373</stp>
        <tr r="D100" s="12"/>
      </tp>
      <tp t="e">
        <v>#N/A</v>
        <stp/>
        <stp>BDH|13725751985351395634</stp>
        <tr r="R12" s="22"/>
      </tp>
      <tp t="e">
        <v>#N/A</v>
        <stp/>
        <stp>BDH|14200158267111017975</stp>
        <tr r="G64" s="12"/>
      </tp>
      <tp t="e">
        <v>#N/A</v>
        <stp/>
        <stp>BDH|13157789999332734400</stp>
        <tr r="C31" s="22"/>
      </tp>
      <tp t="e">
        <v>#N/A</v>
        <stp/>
        <stp>BDH|11934687365038339204</stp>
        <tr r="K27" s="34"/>
      </tp>
      <tp t="e">
        <v>#N/A</v>
        <stp/>
        <stp>BDH|18226852531149824190</stp>
        <tr r="Z72" s="34"/>
      </tp>
      <tp t="e">
        <v>#N/A</v>
        <stp/>
        <stp>BDH|13007803111349720811</stp>
        <tr r="O15" s="10"/>
      </tp>
      <tp t="e">
        <v>#N/A</v>
        <stp/>
        <stp>BDH|18051452762188333937</stp>
        <tr r="I20" s="9"/>
      </tp>
      <tp t="e">
        <v>#N/A</v>
        <stp/>
        <stp>BDH|14575006309099940627</stp>
        <tr r="Y42" s="10"/>
        <tr r="Y32" s="11"/>
      </tp>
      <tp t="e">
        <v>#N/A</v>
        <stp/>
        <stp>BDH|16711883628670217727</stp>
        <tr r="J41" s="21"/>
      </tp>
      <tp t="e">
        <v>#N/A</v>
        <stp/>
        <stp>BDH|16500918773955261625</stp>
        <tr r="G11" s="13"/>
      </tp>
      <tp t="e">
        <v>#N/A</v>
        <stp/>
        <stp>BDH|17271220060701193968</stp>
        <tr r="K7" s="6"/>
      </tp>
      <tp t="e">
        <v>#N/A</v>
        <stp/>
        <stp>BDH|15326044643353439976</stp>
        <tr r="K24" s="5"/>
      </tp>
      <tp t="e">
        <v>#N/A</v>
        <stp/>
        <stp>BDH|14422401409102265984</stp>
        <tr r="E7" s="11"/>
      </tp>
      <tp t="e">
        <v>#N/A</v>
        <stp/>
        <stp>BDH|12148476921487234822</stp>
        <tr r="Z56" s="17"/>
      </tp>
      <tp t="e">
        <v>#N/A</v>
        <stp/>
        <stp>BDH|18399311843876779210</stp>
        <tr r="W203" s="18"/>
      </tp>
      <tp t="e">
        <v>#N/A</v>
        <stp/>
        <stp>BDH|15542432071085600861</stp>
        <tr r="C49" s="18"/>
      </tp>
      <tp t="e">
        <v>#N/A</v>
        <stp/>
        <stp>BDH|15738455219409510294</stp>
        <tr r="N81" s="24"/>
      </tp>
      <tp t="e">
        <v>#N/A</v>
        <stp/>
        <stp>BDH|16538675026298327101</stp>
        <tr r="Y22" s="34"/>
      </tp>
      <tp t="e">
        <v>#N/A</v>
        <stp/>
        <stp>BDH|18272759797999081479</stp>
        <tr r="I72" s="12"/>
      </tp>
      <tp t="e">
        <v>#N/A</v>
        <stp/>
        <stp>BDH|12374114091570209160</stp>
        <tr r="G42" s="22"/>
      </tp>
      <tp t="e">
        <v>#N/A</v>
        <stp/>
        <stp>BDH|13257105091152166251</stp>
        <tr r="C25" s="2"/>
        <tr r="E62" s="21"/>
      </tp>
      <tp t="e">
        <v>#N/A</v>
        <stp/>
        <stp>BDH|12499562580526321269</stp>
        <tr r="T26" s="10"/>
        <tr r="V35" s="13"/>
      </tp>
      <tp t="e">
        <v>#N/A</v>
        <stp/>
        <stp>BDH|15038533892457671506</stp>
        <tr r="L63" s="24"/>
      </tp>
      <tp t="e">
        <v>#N/A</v>
        <stp/>
        <stp>BDH|16415942107460923490</stp>
        <tr r="V105" s="12"/>
      </tp>
      <tp t="e">
        <v>#N/A</v>
        <stp/>
        <stp>BDH|13661627791311767651</stp>
        <tr r="K183" s="18"/>
      </tp>
      <tp t="e">
        <v>#N/A</v>
        <stp/>
        <stp>BDH|17053204173449576017</stp>
        <tr r="Q9" s="2"/>
        <tr r="S8" s="25"/>
        <tr r="P10" s="5"/>
      </tp>
      <tp t="e">
        <v>#N/A</v>
        <stp/>
        <stp>BDH|12430754273251374867</stp>
        <tr r="R69" s="10"/>
      </tp>
      <tp t="e">
        <v>#N/A</v>
        <stp/>
        <stp>BDH|13602915061024899398</stp>
        <tr r="I163" s="18"/>
      </tp>
      <tp t="e">
        <v>#N/A</v>
        <stp/>
        <stp>BDH|14424584483405835705</stp>
        <tr r="N54" s="13"/>
      </tp>
      <tp t="e">
        <v>#N/A</v>
        <stp/>
        <stp>BDH|10226394799217791629</stp>
        <tr r="X66" s="17"/>
      </tp>
      <tp t="e">
        <v>#N/A</v>
        <stp/>
        <stp>BDH|11796979775467666346</stp>
        <tr r="K18" s="10"/>
      </tp>
      <tp t="e">
        <v>#N/A</v>
        <stp/>
        <stp>BDH|16129594021659898372</stp>
        <tr r="N13" s="7"/>
      </tp>
      <tp t="e">
        <v>#N/A</v>
        <stp/>
        <stp>BDH|13734863364747694155</stp>
        <tr r="AA76" s="12"/>
      </tp>
      <tp t="e">
        <v>#N/A</v>
        <stp/>
        <stp>BDH|18145039412372451022</stp>
        <tr r="Z20" s="18"/>
      </tp>
      <tp t="e">
        <v>#N/A</v>
        <stp/>
        <stp>BDH|17420873185065409949</stp>
        <tr r="Y32" s="34"/>
      </tp>
      <tp t="e">
        <v>#N/A</v>
        <stp/>
        <stp>BDH|11117935524988413944</stp>
        <tr r="J31" s="10"/>
        <tr r="L40" s="13"/>
      </tp>
      <tp t="e">
        <v>#N/A</v>
        <stp/>
        <stp>BDH|16736597629909748361</stp>
        <tr r="J45" s="34"/>
      </tp>
      <tp t="e">
        <v>#N/A</v>
        <stp/>
        <stp>BDH|10253505596516782152</stp>
        <tr r="X25" s="18"/>
      </tp>
      <tp t="e">
        <v>#N/A</v>
        <stp/>
        <stp>BDH|18031504429965777186</stp>
        <tr r="R19" s="5"/>
        <tr r="R42" s="6"/>
      </tp>
      <tp t="e">
        <v>#N/A</v>
        <stp/>
        <stp>BDH|18305169452436064114</stp>
        <tr r="Q49" s="24"/>
      </tp>
      <tp t="e">
        <v>#N/A</v>
        <stp/>
        <stp>BDH|12644156483673436328</stp>
        <tr r="Y12" s="21"/>
      </tp>
      <tp t="e">
        <v>#N/A</v>
        <stp/>
        <stp>BDH|11096356499084273486</stp>
        <tr r="I10" s="12"/>
      </tp>
      <tp t="e">
        <v>#N/A</v>
        <stp/>
        <stp>BDH|17758147652220487836</stp>
        <tr r="AA54" s="12"/>
      </tp>
      <tp t="e">
        <v>#N/A</v>
        <stp/>
        <stp>BDH|15940545732819068192</stp>
        <tr r="F33" s="22"/>
      </tp>
      <tp t="e">
        <v>#N/A</v>
        <stp/>
        <stp>BDH|17066943594305431928</stp>
        <tr r="V7" s="21"/>
      </tp>
      <tp t="e">
        <v>#N/A</v>
        <stp/>
        <stp>BDH|10948129498400725327</stp>
        <tr r="W19" s="17"/>
      </tp>
      <tp t="e">
        <v>#N/A</v>
        <stp/>
        <stp>BDH|16479998659167550677</stp>
        <tr r="D89" s="18"/>
      </tp>
      <tp t="e">
        <v>#N/A</v>
        <stp/>
        <stp>BDH|11133463323414599871</stp>
        <tr r="T64" s="17"/>
      </tp>
      <tp t="e">
        <v>#N/A</v>
        <stp/>
        <stp>BDH|17170419444505614946</stp>
        <tr r="F181" s="18"/>
      </tp>
      <tp t="e">
        <v>#N/A</v>
        <stp/>
        <stp>BDH|10656207095425178543</stp>
        <tr r="I31" s="22"/>
      </tp>
      <tp t="e">
        <v>#N/A</v>
        <stp/>
        <stp>BDH|14499425885164561709</stp>
        <tr r="K95" s="18"/>
      </tp>
      <tp t="e">
        <v>#N/A</v>
        <stp/>
        <stp>BDH|12578035646784563932</stp>
        <tr r="P21" s="34"/>
      </tp>
      <tp t="e">
        <v>#N/A</v>
        <stp/>
        <stp>BDH|12366721475719238003</stp>
        <tr r="C49" s="6"/>
        <tr r="E10" s="8"/>
      </tp>
      <tp t="e">
        <v>#N/A</v>
        <stp/>
        <stp>BDH|15976773795383594389</stp>
        <tr r="T70" s="17"/>
      </tp>
      <tp t="e">
        <v>#N/A</v>
        <stp/>
        <stp>BDH|11083986654300295683</stp>
        <tr r="N147" s="18"/>
      </tp>
      <tp t="e">
        <v>#N/A</v>
        <stp/>
        <stp>BDH|18039196888028120260</stp>
        <tr r="D39" s="10"/>
        <tr r="D29" s="11"/>
      </tp>
      <tp t="e">
        <v>#N/A</v>
        <stp/>
        <stp>BDH|12554871806140726152</stp>
        <tr r="O63" s="17"/>
      </tp>
      <tp t="e">
        <v>#N/A</v>
        <stp/>
        <stp>BDH|12760863413767737734</stp>
        <tr r="H41" s="17"/>
        <tr r="H9" s="25"/>
      </tp>
      <tp t="e">
        <v>#N/A</v>
        <stp/>
        <stp>BDH|10100175662379670544</stp>
        <tr r="O10" s="28"/>
      </tp>
      <tp t="e">
        <v>#N/A</v>
        <stp/>
        <stp>BDH|10746672563638400315</stp>
        <tr r="F77" s="18"/>
      </tp>
      <tp t="e">
        <v>#N/A</v>
        <stp/>
        <stp>BDH|17527832142959448969</stp>
        <tr r="L17" s="12"/>
      </tp>
      <tp t="e">
        <v>#N/A</v>
        <stp/>
        <stp>BDH|18241374203154811484</stp>
        <tr r="D46" s="34"/>
      </tp>
      <tp t="e">
        <v>#N/A</v>
        <stp/>
        <stp>BDH|15994546331609366165</stp>
        <tr r="Z164" s="18"/>
      </tp>
      <tp t="e">
        <v>#N/A</v>
        <stp/>
        <stp>BDH|14198898433032797651</stp>
        <tr r="S49" s="12"/>
      </tp>
      <tp t="e">
        <v>#N/A</v>
        <stp/>
        <stp>BDH|17547940710610985413</stp>
        <tr r="E61" s="17"/>
      </tp>
      <tp t="e">
        <v>#N/A</v>
        <stp/>
        <stp>BDH|11920546405826254930</stp>
        <tr r="L116" s="18"/>
      </tp>
      <tp t="e">
        <v>#N/A</v>
        <stp/>
        <stp>BDH|13932923594369238148</stp>
        <tr r="H23" s="22"/>
      </tp>
      <tp t="e">
        <v>#N/A</v>
        <stp/>
        <stp>BDH|12756860349886835396</stp>
        <tr r="M44" s="21"/>
      </tp>
      <tp t="e">
        <v>#N/A</v>
        <stp/>
        <stp>BDH|18151067113574573688</stp>
        <tr r="K63" s="10"/>
      </tp>
      <tp t="e">
        <v>#N/A</v>
        <stp/>
        <stp>BDH|11884318477226425838</stp>
        <tr r="M25" s="6"/>
      </tp>
      <tp t="e">
        <v>#N/A</v>
        <stp/>
        <stp>BDH|13532365998965631743</stp>
        <tr r="F21" s="9"/>
      </tp>
      <tp t="e">
        <v>#N/A</v>
        <stp/>
        <stp>BDH|11710008179794617910</stp>
        <tr r="H34" s="14"/>
      </tp>
      <tp t="e">
        <v>#N/A</v>
        <stp/>
        <stp>BDH|12774896004841041032</stp>
        <tr r="U13" s="7"/>
      </tp>
      <tp t="e">
        <v>#N/A</v>
        <stp/>
        <stp>BDH|13835438450320522975</stp>
        <tr r="V187" s="18"/>
      </tp>
      <tp t="e">
        <v>#N/A</v>
        <stp/>
        <stp>BDH|16064650794024011689</stp>
        <tr r="W58" s="18"/>
      </tp>
      <tp t="e">
        <v>#N/A</v>
        <stp/>
        <stp>BDH|13364873819933681229</stp>
        <tr r="W32" s="18"/>
      </tp>
      <tp t="e">
        <v>#N/A</v>
        <stp/>
        <stp>BDH|12482852628354969792</stp>
        <tr r="L83" s="18"/>
      </tp>
      <tp t="e">
        <v>#N/A</v>
        <stp/>
        <stp>BDH|15009761826952050990</stp>
        <tr r="V68" s="12"/>
      </tp>
      <tp t="e">
        <v>#N/A</v>
        <stp/>
        <stp>BDH|16349420299744189406</stp>
        <tr r="U18" s="21"/>
      </tp>
      <tp t="e">
        <v>#N/A</v>
        <stp/>
        <stp>BDH|14939840852493097162</stp>
        <tr r="S118" s="18"/>
        <tr r="S6" s="20"/>
      </tp>
      <tp t="e">
        <v>#N/A</v>
        <stp/>
        <stp>BDH|13145802550894810103</stp>
        <tr r="U201" s="18"/>
      </tp>
      <tp t="e">
        <v>#N/A</v>
        <stp/>
        <stp>BDH|12367323873794962928</stp>
        <tr r="E47" s="10"/>
        <tr r="E37" s="11"/>
      </tp>
      <tp t="e">
        <v>#N/A</v>
        <stp/>
        <stp>BDH|15908620014110011963</stp>
        <tr r="Q84" s="18"/>
      </tp>
      <tp t="e">
        <v>#N/A</v>
        <stp/>
        <stp>BDH|18395534050971017296</stp>
        <tr r="U51" s="17"/>
        <tr r="U17" s="3"/>
      </tp>
      <tp t="e">
        <v>#N/A</v>
        <stp/>
        <stp>BDH|16241100599977587276</stp>
        <tr r="P72" s="24"/>
      </tp>
      <tp t="e">
        <v>#N/A</v>
        <stp/>
        <stp>BDH|17106280227725146960</stp>
        <tr r="M27" s="13"/>
      </tp>
      <tp t="e">
        <v>#N/A</v>
        <stp/>
        <stp>BDH|15933613450488753563</stp>
        <tr r="U58" s="17"/>
      </tp>
      <tp t="e">
        <v>#N/A</v>
        <stp/>
        <stp>BDH|12458941991421818800</stp>
        <tr r="P67" s="13"/>
      </tp>
      <tp t="e">
        <v>#N/A</v>
        <stp/>
        <stp>BDH|18128581090067002803</stp>
        <tr r="P175" s="18"/>
      </tp>
      <tp t="e">
        <v>#N/A</v>
        <stp/>
        <stp>BDH|15140983740827291426</stp>
        <tr r="E106" s="12"/>
      </tp>
      <tp t="e">
        <v>#N/A</v>
        <stp/>
        <stp>BDH|10441296693124052471</stp>
        <tr r="N27" s="10"/>
        <tr r="P36" s="13"/>
      </tp>
      <tp t="e">
        <v>#N/A</v>
        <stp/>
        <stp>BDH|15177825149717001533</stp>
        <tr r="U8" s="17"/>
      </tp>
      <tp t="e">
        <v>#N/A</v>
        <stp/>
        <stp>BDH|16605162939369730677</stp>
        <tr r="J57" s="34"/>
      </tp>
      <tp t="e">
        <v>#N/A</v>
        <stp/>
        <stp>BDH|16551671889945519679</stp>
        <tr r="Y87" s="18"/>
      </tp>
      <tp t="e">
        <v>#N/A</v>
        <stp/>
        <stp>BDH|10804326079219962636</stp>
        <tr r="C175" s="18"/>
      </tp>
      <tp t="e">
        <v>#N/A</v>
        <stp/>
        <stp>BDH|12006966253354907151</stp>
        <tr r="M37" s="12"/>
      </tp>
      <tp t="e">
        <v>#N/A</v>
        <stp/>
        <stp>BDH|17929584439912377833</stp>
        <tr r="O36" s="18"/>
      </tp>
      <tp t="e">
        <v>#N/A</v>
        <stp/>
        <stp>BDH|16534553835803529880</stp>
        <tr r="W80" s="12"/>
      </tp>
      <tp t="e">
        <v>#N/A</v>
        <stp/>
        <stp>BDH|18262586923990378426</stp>
        <tr r="J95" s="17"/>
      </tp>
      <tp t="e">
        <v>#N/A</v>
        <stp/>
        <stp>BDH|16086628663389128489</stp>
        <tr r="U28" s="25"/>
        <tr r="U14" s="27"/>
      </tp>
      <tp t="e">
        <v>#N/A</v>
        <stp/>
        <stp>BDH|15739040506176988842</stp>
        <tr r="G116" s="18"/>
      </tp>
      <tp t="e">
        <v>#N/A</v>
        <stp/>
        <stp>BDH|10931324162139271739</stp>
        <tr r="L202" s="18"/>
      </tp>
      <tp t="e">
        <v>#N/A</v>
        <stp/>
        <stp>BDH|12699719799730381750</stp>
        <tr r="R82" s="24"/>
      </tp>
      <tp t="e">
        <v>#N/A</v>
        <stp/>
        <stp>BDH|17402190281765103058</stp>
        <tr r="O27" s="26"/>
      </tp>
      <tp t="e">
        <v>#N/A</v>
        <stp/>
        <stp>BDH|13933259597410070337</stp>
        <tr r="P76" s="12"/>
      </tp>
      <tp t="e">
        <v>#N/A</v>
        <stp/>
        <stp>BDH|15152015796752616588</stp>
        <tr r="Y17" s="30"/>
      </tp>
      <tp t="e">
        <v>#N/A</v>
        <stp/>
        <stp>BDH|18101937994391718298</stp>
        <tr r="G18" s="29"/>
        <tr r="G41" s="29"/>
      </tp>
      <tp t="e">
        <v>#N/A</v>
        <stp/>
        <stp>BDH|16430509595137943602</stp>
        <tr r="N21" s="27"/>
      </tp>
      <tp t="e">
        <v>#N/A</v>
        <stp/>
        <stp>BDH|13021374397947006582</stp>
        <tr r="X20" s="27"/>
      </tp>
      <tp t="e">
        <v>#N/A</v>
        <stp/>
        <stp>BDH|14687535068494203875</stp>
        <tr r="M111" s="18"/>
      </tp>
      <tp t="e">
        <v>#N/A</v>
        <stp/>
        <stp>BDH|12910255901039104247</stp>
        <tr r="H55" s="18"/>
      </tp>
      <tp t="e">
        <v>#N/A</v>
        <stp/>
        <stp>BDH|15248175258002354867</stp>
        <tr r="J72" s="13"/>
      </tp>
      <tp t="e">
        <v>#N/A</v>
        <stp/>
        <stp>BDH|17743996048815787491</stp>
        <tr r="Q104" s="12"/>
      </tp>
      <tp t="e">
        <v>#N/A</v>
        <stp/>
        <stp>BDH|15995286509874170813</stp>
        <tr r="Z8" s="13"/>
      </tp>
      <tp t="e">
        <v>#N/A</v>
        <stp/>
        <stp>BDH|17850426173777749862</stp>
        <tr r="U54" s="13"/>
      </tp>
      <tp t="e">
        <v>#N/A</v>
        <stp/>
        <stp>BDH|11339933537017652794</stp>
        <tr r="U44" s="24"/>
      </tp>
      <tp t="e">
        <v>#N/A</v>
        <stp/>
        <stp>BDH|15912833211335088238</stp>
        <tr r="V17" s="18"/>
      </tp>
      <tp t="e">
        <v>#N/A</v>
        <stp/>
        <stp>BDH|10619881744475050221</stp>
        <tr r="T43" s="22"/>
      </tp>
      <tp t="e">
        <v>#N/A</v>
        <stp/>
        <stp>BDH|17804041144171258922</stp>
        <tr r="M32" s="5"/>
      </tp>
      <tp t="e">
        <v>#N/A</v>
        <stp/>
        <stp>BDH|10406692132127100964</stp>
        <tr r="E8" s="23"/>
      </tp>
      <tp t="e">
        <v>#N/A</v>
        <stp/>
        <stp>BDH|15821531192642014013</stp>
        <tr r="R67" s="12"/>
      </tp>
      <tp t="e">
        <v>#N/A</v>
        <stp/>
        <stp>BDH|10666923714786124596</stp>
        <tr r="AA11" s="21"/>
      </tp>
      <tp t="e">
        <v>#N/A</v>
        <stp/>
        <stp>BDH|18081413650413199180</stp>
        <tr r="F20" s="18"/>
      </tp>
      <tp t="e">
        <v>#N/A</v>
        <stp/>
        <stp>BDH|10013691514528746427</stp>
        <tr r="R8" s="4"/>
      </tp>
      <tp t="e">
        <v>#N/A</v>
        <stp/>
        <stp>BDH|17486648254207875840</stp>
        <tr r="T8" s="13"/>
      </tp>
      <tp t="e">
        <v>#N/A</v>
        <stp/>
        <stp>BDH|13846883940414901017</stp>
        <tr r="U71" s="18"/>
      </tp>
      <tp t="e">
        <v>#N/A</v>
        <stp/>
        <stp>BDH|18240757037383103494</stp>
        <tr r="I145" s="18"/>
      </tp>
      <tp t="e">
        <v>#N/A</v>
        <stp/>
        <stp>BDH|16028852758313049353</stp>
        <tr r="O137" s="18"/>
      </tp>
      <tp t="e">
        <v>#N/A</v>
        <stp/>
        <stp>BDH|15486280993085247058</stp>
        <tr r="T16" s="29"/>
        <tr r="T39" s="29"/>
      </tp>
      <tp t="e">
        <v>#N/A</v>
        <stp/>
        <stp>BDH|15994278882667038340</stp>
        <tr r="K37" s="17"/>
      </tp>
      <tp t="e">
        <v>#N/A</v>
        <stp/>
        <stp>BDH|17428598312420315874</stp>
        <tr r="AA30" s="12"/>
      </tp>
      <tp t="e">
        <v>#N/A</v>
        <stp/>
        <stp>BDH|17375292587085763318</stp>
        <tr r="O32" s="22"/>
      </tp>
      <tp t="e">
        <v>#N/A</v>
        <stp/>
        <stp>BDH|14125818063775178491</stp>
        <tr r="L20" s="25"/>
      </tp>
      <tp t="e">
        <v>#N/A</v>
        <stp/>
        <stp>BDH|14610485367009692447</stp>
        <tr r="W67" s="18"/>
      </tp>
      <tp t="e">
        <v>#N/A</v>
        <stp/>
        <stp>BDH|16091425035798459287</stp>
        <tr r="H12" s="12"/>
      </tp>
      <tp t="e">
        <v>#N/A</v>
        <stp/>
        <stp>BDH|16158350239584781911</stp>
        <tr r="W87" s="12"/>
      </tp>
      <tp t="e">
        <v>#N/A</v>
        <stp/>
        <stp>BDH|17964310990312090434</stp>
        <tr r="AA152" s="18"/>
      </tp>
      <tp t="e">
        <v>#N/A</v>
        <stp/>
        <stp>BDH|18176974380790990243</stp>
        <tr r="E80" s="34"/>
      </tp>
      <tp t="e">
        <v>#N/A</v>
        <stp/>
        <stp>BDH|10310056143156612989</stp>
        <tr r="H18" s="18"/>
      </tp>
      <tp t="e">
        <v>#N/A</v>
        <stp/>
        <stp>BDH|17369830389879570574</stp>
        <tr r="L12" s="7"/>
      </tp>
      <tp t="e">
        <v>#N/A</v>
        <stp/>
        <stp>BDH|14749281277318093232</stp>
        <tr r="D13" s="23"/>
      </tp>
      <tp t="e">
        <v>#N/A</v>
        <stp/>
        <stp>BDH|10969923611283690073</stp>
        <tr r="H82" s="17"/>
        <tr r="H20" s="3"/>
        <tr r="F6" s="7"/>
      </tp>
      <tp t="e">
        <v>#N/A</v>
        <stp/>
        <stp>BDH|15770948463688216994</stp>
        <tr r="G22" s="21"/>
      </tp>
      <tp t="e">
        <v>#N/A</v>
        <stp/>
        <stp>BDH|18271563074478382984</stp>
        <tr r="V6" s="28"/>
      </tp>
      <tp t="e">
        <v>#N/A</v>
        <stp/>
        <stp>BDH|18292735438260570775</stp>
        <tr r="W70" s="12"/>
      </tp>
      <tp t="e">
        <v>#N/A</v>
        <stp/>
        <stp>BDH|17789093317909095428</stp>
        <tr r="N11" s="30"/>
      </tp>
      <tp t="e">
        <v>#N/A</v>
        <stp/>
        <stp>BDH|15968472645298247621</stp>
        <tr r="Z63" s="17"/>
      </tp>
      <tp t="e">
        <v>#N/A</v>
        <stp/>
        <stp>BDH|16009905204923864778</stp>
        <tr r="H87" s="12"/>
      </tp>
      <tp t="e">
        <v>#N/A</v>
        <stp/>
        <stp>BDH|12522038618689276179</stp>
        <tr r="E28" s="10"/>
        <tr r="G37" s="13"/>
      </tp>
      <tp t="e">
        <v>#N/A</v>
        <stp/>
        <stp>BDH|14687168509478206606</stp>
        <tr r="M106" s="12"/>
      </tp>
      <tp t="e">
        <v>#N/A</v>
        <stp/>
        <stp>BDH|13193581953350122808</stp>
        <tr r="I80" s="24"/>
      </tp>
      <tp t="e">
        <v>#N/A</v>
        <stp/>
        <stp>BDH|15295973931020931468</stp>
        <tr r="S7" s="34"/>
      </tp>
      <tp t="e">
        <v>#N/A</v>
        <stp/>
        <stp>BDH|16958039442138297115</stp>
        <tr r="X27" s="7"/>
      </tp>
      <tp t="e">
        <v>#N/A</v>
        <stp/>
        <stp>BDH|12541906198120425920</stp>
        <tr r="F26" s="21"/>
      </tp>
      <tp t="e">
        <v>#N/A</v>
        <stp/>
        <stp>BDH|15364639774607619898</stp>
        <tr r="P16" s="21"/>
      </tp>
      <tp t="e">
        <v>#N/A</v>
        <stp/>
        <stp>BDH|15472737631669522384</stp>
        <tr r="S75" s="18"/>
      </tp>
      <tp t="e">
        <v>#N/A</v>
        <stp/>
        <stp>BDH|12874656026704370936</stp>
        <tr r="M68" s="24"/>
      </tp>
      <tp t="e">
        <v>#N/A</v>
        <stp/>
        <stp>BDH|15056827499158433747</stp>
        <tr r="X12" s="13"/>
      </tp>
      <tp t="e">
        <v>#N/A</v>
        <stp/>
        <stp>BDH|13505055434228722382</stp>
        <tr r="R8" s="10"/>
      </tp>
      <tp t="e">
        <v>#N/A</v>
        <stp/>
        <stp>BDH|10536400288696702113</stp>
        <tr r="Z33" s="24"/>
      </tp>
      <tp t="e">
        <v>#N/A</v>
        <stp/>
        <stp>BDH|11763578122918079596</stp>
        <tr r="L33" s="12"/>
      </tp>
      <tp t="e">
        <v>#N/A</v>
        <stp/>
        <stp>BDH|11423657836106568994</stp>
        <tr r="I75" s="24"/>
      </tp>
      <tp t="e">
        <v>#N/A</v>
        <stp/>
        <stp>BDH|16913910241244775451</stp>
        <tr r="G25" s="22"/>
      </tp>
      <tp t="e">
        <v>#N/A</v>
        <stp/>
        <stp>BDH|17296390785845455211</stp>
        <tr r="R25" s="17"/>
      </tp>
      <tp t="e">
        <v>#N/A</v>
        <stp/>
        <stp>BDH|13809594429586518964</stp>
        <tr r="Z25" s="3"/>
      </tp>
      <tp t="e">
        <v>#N/A</v>
        <stp/>
        <stp>BDH|15427759439819214309</stp>
        <tr r="E18" s="10"/>
      </tp>
      <tp t="e">
        <v>#N/A</v>
        <stp/>
        <stp>BDH|11887400412318691769</stp>
        <tr r="W10" s="13"/>
      </tp>
      <tp t="e">
        <v>#N/A</v>
        <stp/>
        <stp>BDH|15794810141967886552</stp>
        <tr r="C10" s="14"/>
      </tp>
      <tp t="e">
        <v>#N/A</v>
        <stp/>
        <stp>BDH|10858463793793697512</stp>
        <tr r="P7" s="11"/>
      </tp>
      <tp t="e">
        <v>#N/A</v>
        <stp/>
        <stp>BDH|18274964181950802270</stp>
        <tr r="T14" s="2"/>
        <tr r="T11" s="10"/>
      </tp>
      <tp t="e">
        <v>#N/A</v>
        <stp/>
        <stp>BDH|11804763231118128649</stp>
        <tr r="I75" s="34"/>
      </tp>
      <tp t="e">
        <v>#N/A</v>
        <stp/>
        <stp>BDH|14707868527367434281</stp>
        <tr r="O44" s="12"/>
      </tp>
      <tp t="e">
        <v>#N/A</v>
        <stp/>
        <stp>BDH|11552437513936832970</stp>
        <tr r="H18" s="34"/>
      </tp>
      <tp t="e">
        <v>#N/A</v>
        <stp/>
        <stp>BDH|10525880176566809298</stp>
        <tr r="D15" s="14"/>
      </tp>
      <tp t="e">
        <v>#N/A</v>
        <stp/>
        <stp>BDH|11278169809049060277</stp>
        <tr r="C13" s="13"/>
      </tp>
      <tp t="e">
        <v>#N/A</v>
        <stp/>
        <stp>BDH|10992756747588076013</stp>
        <tr r="S63" s="17"/>
      </tp>
      <tp t="e">
        <v>#N/A</v>
        <stp/>
        <stp>BDH|13802305236130527818</stp>
        <tr r="S71" s="24"/>
      </tp>
      <tp t="e">
        <v>#N/A</v>
        <stp/>
        <stp>BDH|13494881786621380938</stp>
        <tr r="P12" s="13"/>
      </tp>
      <tp t="e">
        <v>#N/A</v>
        <stp/>
        <stp>BDH|17184296398300308790</stp>
        <tr r="L91" s="12"/>
      </tp>
      <tp t="e">
        <v>#N/A</v>
        <stp/>
        <stp>BDH|12395891480929189015</stp>
        <tr r="U74" s="18"/>
      </tp>
      <tp t="e">
        <v>#N/A</v>
        <stp/>
        <stp>BDH|12403956445955700193</stp>
        <tr r="P26" s="34"/>
      </tp>
      <tp t="e">
        <v>#N/A</v>
        <stp/>
        <stp>BDH|13394676185741939729</stp>
        <tr r="W22" s="17"/>
      </tp>
      <tp t="e">
        <v>#N/A</v>
        <stp/>
        <stp>BDH|15000499787531583316</stp>
        <tr r="D7" s="10"/>
      </tp>
      <tp t="e">
        <v>#N/A</v>
        <stp/>
        <stp>BDH|14675080215306361820</stp>
        <tr r="P106" s="18"/>
      </tp>
      <tp t="e">
        <v>#N/A</v>
        <stp/>
        <stp>BDH|14171547468884209858</stp>
        <tr r="D193" s="18"/>
      </tp>
      <tp t="e">
        <v>#N/A</v>
        <stp/>
        <stp>BDH|18074810643167852804</stp>
        <tr r="U66" s="17"/>
      </tp>
      <tp t="e">
        <v>#N/A</v>
        <stp/>
        <stp>BDH|12461998130644785707</stp>
        <tr r="D51" s="18"/>
      </tp>
      <tp t="e">
        <v>#N/A</v>
        <stp/>
        <stp>BDH|17920519040624593973</stp>
        <tr r="J14" s="34"/>
      </tp>
      <tp t="e">
        <v>#N/A</v>
        <stp/>
        <stp>BDH|14402907849586531426</stp>
        <tr r="O110" s="18"/>
      </tp>
      <tp t="e">
        <v>#N/A</v>
        <stp/>
        <stp>BDH|14940843874656646653</stp>
        <tr r="U59" s="17"/>
      </tp>
      <tp t="e">
        <v>#N/A</v>
        <stp/>
        <stp>BDH|12967221201742407946</stp>
        <tr r="D11" s="14"/>
      </tp>
      <tp t="e">
        <v>#N/A</v>
        <stp/>
        <stp>BDH|11827259201700581831</stp>
        <tr r="V15" s="5"/>
      </tp>
      <tp t="e">
        <v>#N/A</v>
        <stp/>
        <stp>BDH|18136872981782900143</stp>
        <tr r="N60" s="17"/>
      </tp>
      <tp t="e">
        <v>#N/A</v>
        <stp/>
        <stp>BDH|11522362375967823930</stp>
        <tr r="W6" s="2"/>
        <tr r="V6" s="5"/>
        <tr r="V6" s="9"/>
        <tr r="X12" s="8"/>
        <tr r="X10" s="29"/>
        <tr r="X19" s="29"/>
        <tr r="X25" s="29"/>
      </tp>
      <tp t="e">
        <v>#N/A</v>
        <stp/>
        <stp>BDH|18392334249867277369</stp>
        <tr r="Z83" s="18"/>
      </tp>
      <tp t="e">
        <v>#N/A</v>
        <stp/>
        <stp>BDH|11065903702934973760</stp>
        <tr r="T68" s="12"/>
      </tp>
      <tp t="e">
        <v>#N/A</v>
        <stp/>
        <stp>BDH|12623735619258985787</stp>
        <tr r="R39" s="25"/>
        <tr r="R7" s="3"/>
        <tr r="P17" s="11"/>
        <tr r="R22" s="13"/>
        <tr r="R7" s="13"/>
      </tp>
      <tp t="e">
        <v>#N/A</v>
        <stp/>
        <stp>BDH|15710916002672995501</stp>
        <tr r="K45" s="24"/>
      </tp>
      <tp t="e">
        <v>#N/A</v>
        <stp/>
        <stp>BDH|11471124664955807872</stp>
        <tr r="F39" s="10"/>
        <tr r="F29" s="11"/>
      </tp>
      <tp t="e">
        <v>#N/A</v>
        <stp/>
        <stp>BDH|13784117410351960925</stp>
        <tr r="Q60" s="21"/>
        <tr r="O53" s="11"/>
      </tp>
      <tp t="e">
        <v>#N/A</v>
        <stp/>
        <stp>BDH|18206482370343095377</stp>
        <tr r="G20" s="9"/>
      </tp>
      <tp t="e">
        <v>#N/A</v>
        <stp/>
        <stp>BDH|17706982243483389220</stp>
        <tr r="E21" s="4"/>
      </tp>
      <tp t="e">
        <v>#N/A</v>
        <stp/>
        <stp>BDH|15059917457517234599</stp>
        <tr r="G58" s="24"/>
      </tp>
      <tp t="e">
        <v>#N/A</v>
        <stp/>
        <stp>BDH|11259166356969939764</stp>
        <tr r="F36" s="4"/>
      </tp>
      <tp t="e">
        <v>#N/A</v>
        <stp/>
        <stp>BDH|15947401326178512078</stp>
        <tr r="H22" s="14"/>
      </tp>
      <tp t="e">
        <v>#N/A</v>
        <stp/>
        <stp>BDH|12993435227568034707</stp>
        <tr r="D59" s="18"/>
      </tp>
      <tp t="e">
        <v>#N/A</v>
        <stp/>
        <stp>BDH|14805814854551297324</stp>
        <tr r="G50" s="24"/>
      </tp>
      <tp t="e">
        <v>#N/A</v>
        <stp/>
        <stp>BDH|13546839632526840510</stp>
        <tr r="D12" s="26"/>
      </tp>
      <tp t="e">
        <v>#N/A</v>
        <stp/>
        <stp>BDH|10350605361068629391</stp>
        <tr r="O156" s="18"/>
      </tp>
      <tp t="e">
        <v>#N/A</v>
        <stp/>
        <stp>BDH|18408433743725141683</stp>
        <tr r="AA82" s="12"/>
      </tp>
      <tp t="e">
        <v>#N/A</v>
        <stp/>
        <stp>BDH|11852379270287481965</stp>
        <tr r="Q24" s="14"/>
      </tp>
      <tp t="e">
        <v>#N/A</v>
        <stp/>
        <stp>BDH|11719949425344811539</stp>
        <tr r="Q31" s="22"/>
      </tp>
      <tp t="e">
        <v>#N/A</v>
        <stp/>
        <stp>BDH|16372125289580622436</stp>
        <tr r="Q20" s="26"/>
      </tp>
      <tp t="e">
        <v>#N/A</v>
        <stp/>
        <stp>BDH|11870192248368477702</stp>
        <tr r="U24" s="18"/>
      </tp>
      <tp t="e">
        <v>#N/A</v>
        <stp/>
        <stp>BDH|11562952926380866133</stp>
        <tr r="Y49" s="17"/>
      </tp>
      <tp t="e">
        <v>#N/A</v>
        <stp/>
        <stp>BDH|16191933914846226391</stp>
        <tr r="P70" s="12"/>
      </tp>
      <tp t="e">
        <v>#N/A</v>
        <stp/>
        <stp>BDH|13541184717331124960</stp>
        <tr r="U16" s="34"/>
      </tp>
      <tp t="e">
        <v>#N/A</v>
        <stp/>
        <stp>BDH|11577019539939051003</stp>
        <tr r="L103" s="12"/>
      </tp>
      <tp t="e">
        <v>#N/A</v>
        <stp/>
        <stp>BDH|17611468184849076997</stp>
        <tr r="G16" s="26"/>
      </tp>
      <tp t="e">
        <v>#N/A</v>
        <stp/>
        <stp>BDH|10342866816403674181</stp>
        <tr r="O12" s="13"/>
      </tp>
      <tp t="e">
        <v>#N/A</v>
        <stp/>
        <stp>BDH|14019649298956207631</stp>
        <tr r="J33" s="9"/>
      </tp>
      <tp t="e">
        <v>#N/A</v>
        <stp/>
        <stp>BDH|14148722906351933916</stp>
        <tr r="L38" s="34"/>
      </tp>
      <tp t="e">
        <v>#N/A</v>
        <stp/>
        <stp>BDH|16214906138710404730</stp>
        <tr r="R10" s="22"/>
      </tp>
      <tp t="e">
        <v>#N/A</v>
        <stp/>
        <stp>BDH|11768251049049410521</stp>
        <tr r="AA14" s="24"/>
      </tp>
      <tp t="e">
        <v>#N/A</v>
        <stp/>
        <stp>BDH|11975784096683839721</stp>
        <tr r="T73" s="12"/>
      </tp>
      <tp t="e">
        <v>#N/A</v>
        <stp/>
        <stp>BDH|12147448048538390137</stp>
        <tr r="D16" s="13"/>
        <tr r="D30" s="13"/>
      </tp>
      <tp t="e">
        <v>#N/A</v>
        <stp/>
        <stp>BDH|17084829388245420936</stp>
        <tr r="Q34" s="24"/>
      </tp>
      <tp t="e">
        <v>#N/A</v>
        <stp/>
        <stp>BDH|12509179069627212948</stp>
        <tr r="U7" s="23"/>
      </tp>
      <tp t="e">
        <v>#N/A</v>
        <stp/>
        <stp>BDH|12501887664992623529</stp>
        <tr r="D35" s="34"/>
      </tp>
      <tp t="e">
        <v>#N/A</v>
        <stp/>
        <stp>BDH|17941890598728133545</stp>
        <tr r="G82" s="12"/>
      </tp>
      <tp t="e">
        <v>#N/A</v>
        <stp/>
        <stp>BDH|12581572678152263958</stp>
        <tr r="K13" s="7"/>
      </tp>
      <tp t="e">
        <v>#N/A</v>
        <stp/>
        <stp>BDH|13276404865263341991</stp>
        <tr r="G34" s="10"/>
        <tr r="G24" s="11"/>
      </tp>
      <tp t="e">
        <v>#N/A</v>
        <stp/>
        <stp>BDH|13907910908600516183</stp>
        <tr r="E39" s="34"/>
      </tp>
      <tp t="e">
        <v>#N/A</v>
        <stp/>
        <stp>BDH|16346218027998007581</stp>
        <tr r="G38" s="22"/>
      </tp>
      <tp t="e">
        <v>#N/A</v>
        <stp/>
        <stp>BDH|15988091822965652991</stp>
        <tr r="J134" s="18"/>
      </tp>
      <tp t="e">
        <v>#N/A</v>
        <stp/>
        <stp>BDH|13812155837033774918</stp>
        <tr r="AA19" s="22"/>
      </tp>
      <tp t="e">
        <v>#N/A</v>
        <stp/>
        <stp>BDH|17466400461168083694</stp>
        <tr r="W38" s="24"/>
      </tp>
      <tp t="e">
        <v>#N/A</v>
        <stp/>
        <stp>BDH|11134819138952082340</stp>
        <tr r="E33" s="12"/>
      </tp>
      <tp t="e">
        <v>#N/A</v>
        <stp/>
        <stp>BDH|14450939539206332317</stp>
        <tr r="K87" s="17"/>
      </tp>
      <tp t="e">
        <v>#N/A</v>
        <stp/>
        <stp>BDH|16419927238716196131</stp>
        <tr r="L71" s="13"/>
      </tp>
      <tp t="e">
        <v>#N/A</v>
        <stp/>
        <stp>BDH|14963913120710036448</stp>
        <tr r="M94" s="17"/>
      </tp>
      <tp t="e">
        <v>#N/A</v>
        <stp/>
        <stp>BDH|11072443683222896437</stp>
        <tr r="E191" s="18"/>
      </tp>
      <tp t="e">
        <v>#N/A</v>
        <stp/>
        <stp>BDH|14819836528190775589</stp>
        <tr r="J31" s="34"/>
      </tp>
      <tp t="e">
        <v>#N/A</v>
        <stp/>
        <stp>BDH|14590396650171302836</stp>
        <tr r="F150" s="18"/>
      </tp>
      <tp t="e">
        <v>#N/A</v>
        <stp/>
        <stp>BDH|15471196255999606327</stp>
        <tr r="Y45" s="22"/>
      </tp>
      <tp t="e">
        <v>#N/A</v>
        <stp/>
        <stp>BDH|17265507766926957912</stp>
        <tr r="D30" s="17"/>
      </tp>
      <tp t="e">
        <v>#N/A</v>
        <stp/>
        <stp>BDH|13170335237498902008</stp>
        <tr r="K25" s="24"/>
      </tp>
      <tp t="e">
        <v>#N/A</v>
        <stp/>
        <stp>BDH|17385959062276995514</stp>
        <tr r="G23" s="14"/>
      </tp>
      <tp t="e">
        <v>#N/A</v>
        <stp/>
        <stp>BDH|12462953059210683521</stp>
        <tr r="W23" s="30"/>
        <tr r="W25" s="23"/>
      </tp>
      <tp t="e">
        <v>#N/A</v>
        <stp/>
        <stp>BDH|15271333021446998955</stp>
        <tr r="T10" s="10"/>
      </tp>
      <tp t="e">
        <v>#N/A</v>
        <stp/>
        <stp>BDH|10387282681099128874</stp>
        <tr r="E62" s="13"/>
      </tp>
      <tp t="e">
        <v>#N/A</v>
        <stp/>
        <stp>BDH|10891544197595419235</stp>
        <tr r="U15" s="26"/>
      </tp>
      <tp t="e">
        <v>#N/A</v>
        <stp/>
        <stp>BDH|10221588957332586943</stp>
        <tr r="O92" s="24"/>
      </tp>
      <tp t="e">
        <v>#N/A</v>
        <stp/>
        <stp>BDH|16444844319492327664</stp>
        <tr r="K20" s="10"/>
      </tp>
      <tp t="e">
        <v>#N/A</v>
        <stp/>
        <stp>BDH|13779884144786738206</stp>
        <tr r="D35" s="24"/>
      </tp>
      <tp t="e">
        <v>#N/A</v>
        <stp/>
        <stp>BDH|12837767502746964894</stp>
        <tr r="T18" s="17"/>
      </tp>
      <tp t="e">
        <v>#N/A</v>
        <stp/>
        <stp>BDH|11460350160197811856</stp>
        <tr r="E67" s="13"/>
      </tp>
      <tp t="e">
        <v>#N/A</v>
        <stp/>
        <stp>BDH|11544477945872981823</stp>
        <tr r="X109" s="18"/>
      </tp>
      <tp t="e">
        <v>#N/A</v>
        <stp/>
        <stp>BDH|15093080444842060807</stp>
        <tr r="S14" s="4"/>
      </tp>
      <tp t="e">
        <v>#N/A</v>
        <stp/>
        <stp>BDH|15492847648042118058</stp>
        <tr r="G195" s="18"/>
      </tp>
      <tp t="e">
        <v>#N/A</v>
        <stp/>
        <stp>BDH|12067054190351119187</stp>
        <tr r="Q40" s="10"/>
        <tr r="Q30" s="11"/>
      </tp>
      <tp t="e">
        <v>#N/A</v>
        <stp/>
        <stp>BDH|18355090053746534006</stp>
        <tr r="U17" s="13"/>
      </tp>
      <tp t="e">
        <v>#N/A</v>
        <stp/>
        <stp>BDH|16411557438472379963</stp>
        <tr r="O73" s="34"/>
      </tp>
      <tp t="e">
        <v>#N/A</v>
        <stp/>
        <stp>BDH|14827574339731938837</stp>
        <tr r="C23" s="21"/>
      </tp>
      <tp t="e">
        <v>#N/A</v>
        <stp/>
        <stp>BDH|16880614989865484688</stp>
        <tr r="D17" s="20"/>
      </tp>
      <tp t="e">
        <v>#N/A</v>
        <stp/>
        <stp>BDH|12384559090865926000</stp>
        <tr r="F49" s="6"/>
        <tr r="H10" s="8"/>
      </tp>
      <tp t="e">
        <v>#N/A</v>
        <stp/>
        <stp>BDH|16941815907095791073</stp>
        <tr r="I74" s="24"/>
      </tp>
      <tp t="e">
        <v>#N/A</v>
        <stp/>
        <stp>BDH|14426089197785242362</stp>
        <tr r="H28" s="34"/>
      </tp>
      <tp t="e">
        <v>#N/A</v>
        <stp/>
        <stp>BDH|10362091194676138408</stp>
        <tr r="W79" s="18"/>
      </tp>
      <tp t="e">
        <v>#N/A</v>
        <stp/>
        <stp>BDH|18078222096219993124</stp>
        <tr r="O116" s="18"/>
      </tp>
      <tp t="e">
        <v>#N/A</v>
        <stp/>
        <stp>BDH|10701408606736762993</stp>
        <tr r="Q35" s="12"/>
      </tp>
      <tp t="e">
        <v>#N/A</v>
        <stp/>
        <stp>BDH|11077865694138582381</stp>
        <tr r="V73" s="10"/>
        <tr r="V63" s="11"/>
      </tp>
      <tp t="e">
        <v>#N/A</v>
        <stp/>
        <stp>BDH|18010090026143290220</stp>
        <tr r="W195" s="18"/>
      </tp>
      <tp t="e">
        <v>#N/A</v>
        <stp/>
        <stp>BDH|18384182034233857285</stp>
        <tr r="P46" s="4"/>
        <tr r="P23" s="10"/>
        <tr r="R42" s="13"/>
      </tp>
      <tp t="e">
        <v>#N/A</v>
        <stp/>
        <stp>BDH|17565565184277084685</stp>
        <tr r="E18" s="9"/>
      </tp>
      <tp t="e">
        <v>#N/A</v>
        <stp/>
        <stp>BDH|16430129089621713571</stp>
        <tr r="U17" s="5"/>
        <tr r="U32" s="6"/>
      </tp>
      <tp t="e">
        <v>#N/A</v>
        <stp/>
        <stp>BDH|12791921127011433397</stp>
        <tr r="P49" s="12"/>
      </tp>
      <tp t="e">
        <v>#N/A</v>
        <stp/>
        <stp>BDH|11557822818151877280</stp>
        <tr r="W52" s="10"/>
        <tr r="W42" s="11"/>
        <tr r="W15" s="7"/>
      </tp>
      <tp t="e">
        <v>#N/A</v>
        <stp/>
        <stp>BDH|17868315586500117716</stp>
        <tr r="O10" s="34"/>
      </tp>
      <tp t="e">
        <v>#N/A</v>
        <stp/>
        <stp>BDH|14584926270978808907</stp>
        <tr r="R39" s="6"/>
      </tp>
      <tp t="e">
        <v>#N/A</v>
        <stp/>
        <stp>BDH|10135343474046661986</stp>
        <tr r="R133" s="18"/>
      </tp>
      <tp t="e">
        <v>#N/A</v>
        <stp/>
        <stp>BDH|14713526184352647080</stp>
        <tr r="U53" s="24"/>
      </tp>
      <tp t="e">
        <v>#N/A</v>
        <stp/>
        <stp>BDH|17857806131740300754</stp>
        <tr r="E18" s="22"/>
      </tp>
      <tp t="e">
        <v>#N/A</v>
        <stp/>
        <stp>BDH|10206094518683567993</stp>
        <tr r="K166" s="18"/>
      </tp>
      <tp t="e">
        <v>#N/A</v>
        <stp/>
        <stp>BDH|17619887416794143162</stp>
        <tr r="X71" s="34"/>
      </tp>
      <tp t="e">
        <v>#N/A</v>
        <stp/>
        <stp>BDH|11988802657291081617</stp>
        <tr r="V17" s="30"/>
      </tp>
      <tp t="e">
        <v>#N/A</v>
        <stp/>
        <stp>BDH|16659897017541599528</stp>
        <tr r="E21" s="22"/>
      </tp>
      <tp t="e">
        <v>#N/A</v>
        <stp/>
        <stp>BDH|16565070462422712985</stp>
        <tr r="R15" s="18"/>
      </tp>
      <tp t="e">
        <v>#N/A</v>
        <stp/>
        <stp>BDH|13043277714092558993</stp>
        <tr r="O37" s="10"/>
        <tr r="O27" s="11"/>
        <tr r="Q46" s="13"/>
      </tp>
      <tp t="e">
        <v>#N/A</v>
        <stp/>
        <stp>BDH|11843911539626629695</stp>
        <tr r="K198" s="18"/>
      </tp>
      <tp t="e">
        <v>#N/A</v>
        <stp/>
        <stp>BDH|12921573765582620822</stp>
        <tr r="L51" s="13"/>
      </tp>
      <tp t="e">
        <v>#N/A</v>
        <stp/>
        <stp>BDH|12975905435052757143</stp>
        <tr r="W13" s="9"/>
      </tp>
      <tp t="e">
        <v>#N/A</v>
        <stp/>
        <stp>BDH|13244546134888864647</stp>
        <tr r="T93" s="12"/>
      </tp>
      <tp t="e">
        <v>#N/A</v>
        <stp/>
        <stp>BDH|14497838737834844066</stp>
        <tr r="M21" s="10"/>
      </tp>
      <tp t="e">
        <v>#N/A</v>
        <stp/>
        <stp>BDH|11672179081145714694</stp>
        <tr r="G30" s="25"/>
        <tr r="G16" s="27"/>
      </tp>
      <tp t="e">
        <v>#N/A</v>
        <stp/>
        <stp>BDH|15907519880414603704</stp>
        <tr r="S25" s="7"/>
      </tp>
      <tp t="e">
        <v>#N/A</v>
        <stp/>
        <stp>BDH|14809919529163703791</stp>
        <tr r="Y100" s="12"/>
      </tp>
      <tp t="e">
        <v>#N/A</v>
        <stp/>
        <stp>BDH|12270799846332060832</stp>
        <tr r="C33" s="21"/>
      </tp>
      <tp t="e">
        <v>#N/A</v>
        <stp/>
        <stp>BDH|15045613493345945459</stp>
        <tr r="M26" s="25"/>
        <tr r="M12" s="27"/>
      </tp>
      <tp t="e">
        <v>#N/A</v>
        <stp/>
        <stp>BDH|17411710113362886803</stp>
        <tr r="J90" s="12"/>
      </tp>
      <tp t="e">
        <v>#N/A</v>
        <stp/>
        <stp>BDH|13626292360169687571</stp>
        <tr r="AA43" s="12"/>
      </tp>
      <tp t="e">
        <v>#N/A</v>
        <stp/>
        <stp>BDH|15790143435604940810</stp>
        <tr r="Q71" s="34"/>
      </tp>
      <tp t="e">
        <v>#N/A</v>
        <stp/>
        <stp>BDH|14192356590235277082</stp>
        <tr r="D51" s="34"/>
      </tp>
      <tp t="e">
        <v>#N/A</v>
        <stp/>
        <stp>BDH|14830993748093460139</stp>
        <tr r="K6" s="27"/>
      </tp>
      <tp t="e">
        <v>#N/A</v>
        <stp/>
        <stp>BDH|12970706285992174431</stp>
        <tr r="D48" s="24"/>
      </tp>
      <tp t="e">
        <v>#N/A</v>
        <stp/>
        <stp>BDH|14794644554738049490</stp>
        <tr r="O35" s="4"/>
      </tp>
      <tp t="e">
        <v>#N/A</v>
        <stp/>
        <stp>BDH|16020808258310732014</stp>
        <tr r="F88" s="12"/>
      </tp>
      <tp t="e">
        <v>#N/A</v>
        <stp/>
        <stp>BDH|17261938854318947824</stp>
        <tr r="K35" s="18"/>
      </tp>
      <tp t="e">
        <v>#N/A</v>
        <stp/>
        <stp>BDH|10714745199555046048</stp>
        <tr r="AA28" s="22"/>
      </tp>
      <tp t="e">
        <v>#N/A</v>
        <stp/>
        <stp>BDH|11529710082672800708</stp>
        <tr r="P29" s="18"/>
      </tp>
      <tp t="e">
        <v>#N/A</v>
        <stp/>
        <stp>BDH|12735446484937181288</stp>
        <tr r="S31" s="34"/>
      </tp>
      <tp t="e">
        <v>#N/A</v>
        <stp/>
        <stp>BDH|13045594270978452230</stp>
        <tr r="D29" s="12"/>
      </tp>
      <tp t="e">
        <v>#N/A</v>
        <stp/>
        <stp>BDH|16770996235851799623</stp>
        <tr r="AA62" s="12"/>
      </tp>
      <tp t="e">
        <v>#N/A</v>
        <stp/>
        <stp>BDH|15825107356178579250</stp>
        <tr r="X92" s="12"/>
      </tp>
      <tp t="e">
        <v>#N/A</v>
        <stp/>
        <stp>BDH|10079273976367679992</stp>
        <tr r="O38" s="22"/>
      </tp>
      <tp t="e">
        <v>#N/A</v>
        <stp/>
        <stp>BDH|11428337480444160585</stp>
        <tr r="V25" s="34"/>
      </tp>
      <tp t="e">
        <v>#N/A</v>
        <stp/>
        <stp>BDH|11636297898805965408</stp>
        <tr r="Q23" s="13"/>
      </tp>
      <tp t="e">
        <v>#N/A</v>
        <stp/>
        <stp>BDH|14715410772458852422</stp>
        <tr r="L74" s="24"/>
      </tp>
      <tp t="e">
        <v>#N/A</v>
        <stp/>
        <stp>BDH|12342493520579791639</stp>
        <tr r="X67" s="13"/>
      </tp>
      <tp t="e">
        <v>#N/A</v>
        <stp/>
        <stp>BDH|11225711514454149882</stp>
        <tr r="C31" s="9"/>
      </tp>
      <tp t="e">
        <v>#N/A</v>
        <stp/>
        <stp>BDH|17079534899347405700</stp>
        <tr r="W13" s="10"/>
      </tp>
      <tp t="e">
        <v>#N/A</v>
        <stp/>
        <stp>BDH|13954556992320260421</stp>
        <tr r="N14" s="22"/>
      </tp>
      <tp t="e">
        <v>#N/A</v>
        <stp/>
        <stp>BDH|12306844259175544156</stp>
        <tr r="D38" s="22"/>
      </tp>
      <tp t="e">
        <v>#N/A</v>
        <stp/>
        <stp>BDH|18275289301938628933</stp>
        <tr r="V19" s="25"/>
      </tp>
      <tp t="e">
        <v>#N/A</v>
        <stp/>
        <stp>BDH|13502137819480875892</stp>
        <tr r="R76" s="34"/>
      </tp>
      <tp t="e">
        <v>#N/A</v>
        <stp/>
        <stp>BDH|14801919572065481417</stp>
        <tr r="W7" s="17"/>
      </tp>
      <tp t="e">
        <v>#N/A</v>
        <stp/>
        <stp>BDH|16759780774468029556</stp>
        <tr r="S199" s="18"/>
      </tp>
      <tp t="e">
        <v>#N/A</v>
        <stp/>
        <stp>BDH|11758270036902101998</stp>
        <tr r="C69" s="17"/>
      </tp>
      <tp t="e">
        <v>#N/A</v>
        <stp/>
        <stp>BDH|15575375788900694526</stp>
        <tr r="P23" s="23"/>
      </tp>
      <tp t="e">
        <v>#N/A</v>
        <stp/>
        <stp>BDH|12667981057330176567</stp>
        <tr r="K12" s="22"/>
      </tp>
      <tp t="e">
        <v>#N/A</v>
        <stp/>
        <stp>BDH|17399070544713716864</stp>
        <tr r="O70" s="13"/>
      </tp>
      <tp t="e">
        <v>#N/A</v>
        <stp/>
        <stp>BDH|16014929222444175100</stp>
        <tr r="F21" s="27"/>
      </tp>
      <tp t="e">
        <v>#N/A</v>
        <stp/>
        <stp>BDH|14800109184304451194</stp>
        <tr r="F44" s="22"/>
      </tp>
      <tp t="e">
        <v>#N/A</v>
        <stp/>
        <stp>BDH|15339151755148595170</stp>
        <tr r="X44" s="6"/>
      </tp>
      <tp t="e">
        <v>#N/A</v>
        <stp/>
        <stp>BDH|17716708803800086853</stp>
        <tr r="R74" s="12"/>
      </tp>
      <tp t="e">
        <v>#N/A</v>
        <stp/>
        <stp>BDH|10538846091400522949</stp>
        <tr r="R100" s="18"/>
      </tp>
      <tp t="e">
        <v>#N/A</v>
        <stp/>
        <stp>BDH|13311805202435635669</stp>
        <tr r="N49" s="18"/>
      </tp>
      <tp t="e">
        <v>#N/A</v>
        <stp/>
        <stp>BDH|13182967605544706643</stp>
        <tr r="W45" s="6"/>
      </tp>
      <tp t="e">
        <v>#N/A</v>
        <stp/>
        <stp>BDH|11985057398194667430</stp>
        <tr r="Q184" s="18"/>
      </tp>
      <tp t="e">
        <v>#N/A</v>
        <stp/>
        <stp>BDH|18234695870997302697</stp>
        <tr r="L24" s="2"/>
      </tp>
      <tp t="e">
        <v>#N/A</v>
        <stp/>
        <stp>BDH|10672918221526210553</stp>
        <tr r="R31" s="18"/>
      </tp>
      <tp t="e">
        <v>#N/A</v>
        <stp/>
        <stp>BDH|11819898312407025720</stp>
        <tr r="E89" s="17"/>
      </tp>
      <tp t="e">
        <v>#N/A</v>
        <stp/>
        <stp>BDH|11067724074269384047</stp>
        <tr r="L31" s="17"/>
      </tp>
      <tp t="e">
        <v>#N/A</v>
        <stp/>
        <stp>BDH|12651813002851475306</stp>
        <tr r="X67" s="12"/>
      </tp>
      <tp t="e">
        <v>#N/A</v>
        <stp/>
        <stp>BDH|13092442169920852948</stp>
        <tr r="O43" s="12"/>
      </tp>
      <tp t="e">
        <v>#N/A</v>
        <stp/>
        <stp>BDH|17333273171763588911</stp>
        <tr r="L20" s="23"/>
      </tp>
      <tp t="e">
        <v>#N/A</v>
        <stp/>
        <stp>BDH|12378997379272358619</stp>
        <tr r="N15" s="30"/>
      </tp>
      <tp t="e">
        <v>#N/A</v>
        <stp/>
        <stp>BDH|17154875603265453209</stp>
        <tr r="W66" s="17"/>
      </tp>
      <tp t="e">
        <v>#N/A</v>
        <stp/>
        <stp>BDH|17895480911359345333</stp>
        <tr r="J48" s="24"/>
      </tp>
      <tp t="e">
        <v>#N/A</v>
        <stp/>
        <stp>BDH|17626867749974925713</stp>
        <tr r="G7" s="10"/>
      </tp>
      <tp t="e">
        <v>#N/A</v>
        <stp/>
        <stp>BDH|18104867859215790880</stp>
        <tr r="M88" s="17"/>
      </tp>
      <tp t="e">
        <v>#N/A</v>
        <stp/>
        <stp>BDH|12251152369405869879</stp>
        <tr r="G207" s="18"/>
      </tp>
      <tp t="e">
        <v>#N/A</v>
        <stp/>
        <stp>BDH|15489995547659214999</stp>
        <tr r="S24" s="10"/>
      </tp>
      <tp t="e">
        <v>#N/A</v>
        <stp/>
        <stp>BDH|10739104995266518667</stp>
        <tr r="U10" s="34"/>
      </tp>
      <tp t="e">
        <v>#N/A</v>
        <stp/>
        <stp>BDH|12131883269487702367</stp>
        <tr r="Y25" s="10"/>
        <tr r="AA34" s="13"/>
      </tp>
      <tp t="e">
        <v>#N/A</v>
        <stp/>
        <stp>BDH|13671434054018526252</stp>
        <tr r="F135" s="18"/>
      </tp>
      <tp t="e">
        <v>#N/A</v>
        <stp/>
        <stp>BDH|12794749073943085913</stp>
        <tr r="G205" s="18"/>
      </tp>
      <tp t="e">
        <v>#N/A</v>
        <stp/>
        <stp>BDH|13048744819424456983</stp>
        <tr r="H15" s="34"/>
      </tp>
      <tp t="e">
        <v>#N/A</v>
        <stp/>
        <stp>BDH|13283631522496178938</stp>
        <tr r="Q20" s="12"/>
      </tp>
      <tp t="e">
        <v>#N/A</v>
        <stp/>
        <stp>BDH|17019262095230213401</stp>
        <tr r="D12" s="17"/>
      </tp>
      <tp t="e">
        <v>#N/A</v>
        <stp/>
        <stp>BDH|11772072382074427576</stp>
        <tr r="M70" s="24"/>
      </tp>
      <tp t="e">
        <v>#N/A</v>
        <stp/>
        <stp>BDH|10750073293952277309</stp>
        <tr r="P95" s="18"/>
      </tp>
      <tp t="e">
        <v>#N/A</v>
        <stp/>
        <stp>BDH|15196168350349662005</stp>
        <tr r="E68" s="24"/>
      </tp>
      <tp t="e">
        <v>#N/A</v>
        <stp/>
        <stp>BDH|17684308912874018958</stp>
        <tr r="E75" s="12"/>
      </tp>
      <tp t="e">
        <v>#N/A</v>
        <stp/>
        <stp>BDH|10142231726128427016</stp>
        <tr r="P118" s="18"/>
        <tr r="P6" s="20"/>
      </tp>
      <tp t="e">
        <v>#N/A</v>
        <stp/>
        <stp>BDH|15927355632964998960</stp>
        <tr r="T25" s="17"/>
      </tp>
      <tp t="e">
        <v>#N/A</v>
        <stp/>
        <stp>BDH|17651544111622359915</stp>
        <tr r="Z105" s="12"/>
      </tp>
      <tp t="e">
        <v>#N/A</v>
        <stp/>
        <stp>BDH|12637303435229731356</stp>
        <tr r="N11" s="21"/>
      </tp>
      <tp t="e">
        <v>#N/A</v>
        <stp/>
        <stp>BDH|14732542043335423856</stp>
        <tr r="G11" s="18"/>
      </tp>
      <tp t="e">
        <v>#N/A</v>
        <stp/>
        <stp>BDH|10502874618888304989</stp>
        <tr r="X43" s="17"/>
      </tp>
      <tp t="e">
        <v>#N/A</v>
        <stp/>
        <stp>BDH|15626832728427526093</stp>
        <tr r="X30" s="12"/>
      </tp>
      <tp t="e">
        <v>#N/A</v>
        <stp/>
        <stp>BDH|11070056288409993859</stp>
        <tr r="I135" s="18"/>
      </tp>
      <tp t="e">
        <v>#N/A</v>
        <stp/>
        <stp>BDH|12457801223267413722</stp>
        <tr r="W74" s="17"/>
      </tp>
      <tp t="e">
        <v>#N/A</v>
        <stp/>
        <stp>BDH|12373050893496421504</stp>
        <tr r="N53" s="17"/>
      </tp>
      <tp t="e">
        <v>#N/A</v>
        <stp/>
        <stp>BDH|15788826537336480071</stp>
        <tr r="Z22" s="27"/>
      </tp>
      <tp t="e">
        <v>#N/A</v>
        <stp/>
        <stp>BDH|13835911110773893008</stp>
        <tr r="S29" s="10"/>
        <tr r="U38" s="13"/>
      </tp>
      <tp t="e">
        <v>#N/A</v>
        <stp/>
        <stp>BDH|11012424383626561351</stp>
        <tr r="V7" s="11"/>
      </tp>
      <tp t="e">
        <v>#N/A</v>
        <stp/>
        <stp>BDH|14509632727168087011</stp>
        <tr r="C64" s="17"/>
      </tp>
      <tp t="e">
        <v>#N/A</v>
        <stp/>
        <stp>BDH|13383667307879557478</stp>
        <tr r="Y10" s="34"/>
      </tp>
      <tp t="e">
        <v>#N/A</v>
        <stp/>
        <stp>BDH|15630239920125719820</stp>
        <tr r="M27" s="21"/>
      </tp>
      <tp t="e">
        <v>#N/A</v>
        <stp/>
        <stp>BDH|11311178936663238805</stp>
        <tr r="R43" s="17"/>
      </tp>
      <tp t="e">
        <v>#N/A</v>
        <stp/>
        <stp>BDH|16915370366762076988</stp>
        <tr r="T71" s="18"/>
      </tp>
      <tp t="e">
        <v>#N/A</v>
        <stp/>
        <stp>BDH|18117318236470709015</stp>
        <tr r="K63" s="18"/>
      </tp>
      <tp t="e">
        <v>#N/A</v>
        <stp/>
        <stp>BDH|10727652236814180958</stp>
        <tr r="C37" s="22"/>
      </tp>
      <tp t="e">
        <v>#N/A</v>
        <stp/>
        <stp>BDH|17243179880564069256</stp>
        <tr r="R56" s="13"/>
      </tp>
      <tp t="e">
        <v>#N/A</v>
        <stp/>
        <stp>BDH|14145266316856660974</stp>
        <tr r="P17" s="6"/>
      </tp>
      <tp t="e">
        <v>#N/A</v>
        <stp/>
        <stp>BDH|16695892779188040961</stp>
        <tr r="I12" s="26"/>
      </tp>
      <tp t="e">
        <v>#N/A</v>
        <stp/>
        <stp>BDH|13394738037806039977</stp>
        <tr r="E28" s="18"/>
      </tp>
      <tp t="e">
        <v>#N/A</v>
        <stp/>
        <stp>BDH|12955160491017809568</stp>
        <tr r="W45" s="24"/>
      </tp>
      <tp t="e">
        <v>#N/A</v>
        <stp/>
        <stp>BDH|16271449957529400657</stp>
        <tr r="Q8" s="24"/>
      </tp>
      <tp t="e">
        <v>#N/A</v>
        <stp/>
        <stp>BDH|18046289416066770596</stp>
        <tr r="D71" s="18"/>
      </tp>
      <tp t="e">
        <v>#N/A</v>
        <stp/>
        <stp>BDH|17748307726358699675</stp>
        <tr r="E65" s="21"/>
        <tr r="C23" s="7"/>
      </tp>
      <tp t="e">
        <v>#N/A</v>
        <stp/>
        <stp>BDH|15165857889744544981</stp>
        <tr r="F54" s="24"/>
      </tp>
      <tp t="e">
        <v>#N/A</v>
        <stp/>
        <stp>BDH|16331722279698832607</stp>
        <tr r="N103" s="12"/>
      </tp>
      <tp t="e">
        <v>#N/A</v>
        <stp/>
        <stp>BDH|11470751976450528923</stp>
        <tr r="I35" s="34"/>
      </tp>
      <tp t="e">
        <v>#N/A</v>
        <stp/>
        <stp>BDH|10133303685645246661</stp>
        <tr r="F50" s="4"/>
      </tp>
      <tp t="e">
        <v>#N/A</v>
        <stp/>
        <stp>BDH|13748829530957619736</stp>
        <tr r="W6" s="15"/>
        <tr r="W12" s="2"/>
        <tr r="W11" s="4"/>
        <tr r="W6" s="10"/>
      </tp>
      <tp t="e">
        <v>#N/A</v>
        <stp/>
        <stp>BDH|14610093698213359647</stp>
        <tr r="AA57" s="18"/>
      </tp>
      <tp t="e">
        <v>#N/A</v>
        <stp/>
        <stp>BDH|13938061769469102474</stp>
        <tr r="D23" s="30"/>
        <tr r="D25" s="23"/>
      </tp>
      <tp t="e">
        <v>#N/A</v>
        <stp/>
        <stp>BDH|10754616544903183933</stp>
        <tr r="T49" s="21"/>
      </tp>
      <tp t="e">
        <v>#N/A</v>
        <stp/>
        <stp>BDH|10622128011180057859</stp>
        <tr r="L49" s="17"/>
      </tp>
      <tp t="e">
        <v>#N/A</v>
        <stp/>
        <stp>BDH|10627253814298638317</stp>
        <tr r="C26" s="25"/>
        <tr r="C12" s="27"/>
      </tp>
      <tp t="e">
        <v>#N/A</v>
        <stp/>
        <stp>BDH|11023101893357546663</stp>
        <tr r="J21" s="24"/>
      </tp>
      <tp t="e">
        <v>#N/A</v>
        <stp/>
        <stp>BDH|17323566546118502662</stp>
        <tr r="P44" s="24"/>
      </tp>
      <tp t="e">
        <v>#N/A</v>
        <stp/>
        <stp>BDH|16148981009280986798</stp>
        <tr r="J73" s="13"/>
      </tp>
      <tp t="e">
        <v>#N/A</v>
        <stp/>
        <stp>BDH|13984056220241483883</stp>
        <tr r="D36" s="34"/>
      </tp>
      <tp t="e">
        <v>#N/A</v>
        <stp/>
        <stp>BDH|13805993422254614457</stp>
        <tr r="K32" s="21"/>
      </tp>
      <tp t="e">
        <v>#N/A</v>
        <stp/>
        <stp>BDH|14420650787625145777</stp>
        <tr r="S11" s="13"/>
      </tp>
      <tp t="e">
        <v>#N/A</v>
        <stp/>
        <stp>BDH|11760408726889387628</stp>
        <tr r="T67" s="34"/>
      </tp>
      <tp t="e">
        <v>#N/A</v>
        <stp/>
        <stp>BDH|18144300604544704727</stp>
        <tr r="K78" s="17"/>
      </tp>
      <tp t="e">
        <v>#N/A</v>
        <stp/>
        <stp>BDH|15928074991841792582</stp>
        <tr r="L95" s="17"/>
      </tp>
      <tp t="e">
        <v>#N/A</v>
        <stp/>
        <stp>BDH|15535367354029788208</stp>
        <tr r="N52" s="18"/>
      </tp>
      <tp t="e">
        <v>#N/A</v>
        <stp/>
        <stp>BDH|13659635886135303005</stp>
        <tr r="T22" s="11"/>
      </tp>
      <tp t="e">
        <v>#N/A</v>
        <stp/>
        <stp>BDH|16769568120229270000</stp>
        <tr r="T28" s="34"/>
      </tp>
      <tp t="e">
        <v>#N/A</v>
        <stp/>
        <stp>BDH|17889125769309601167</stp>
        <tr r="H17" s="14"/>
      </tp>
      <tp t="e">
        <v>#N/A</v>
        <stp/>
        <stp>BDH|15036468242345214850</stp>
        <tr r="V54" s="24"/>
      </tp>
      <tp t="e">
        <v>#N/A</v>
        <stp/>
        <stp>BDH|18240041231855474603</stp>
        <tr r="M81" s="12"/>
      </tp>
      <tp t="e">
        <v>#N/A</v>
        <stp/>
        <stp>BDH|10312776986496037118</stp>
        <tr r="Z156" s="18"/>
      </tp>
      <tp t="e">
        <v>#N/A</v>
        <stp/>
        <stp>BDH|12580287217729164086</stp>
        <tr r="L19" s="24"/>
      </tp>
      <tp t="e">
        <v>#N/A</v>
        <stp/>
        <stp>BDH|13988809150282386493</stp>
        <tr r="D29" s="14"/>
      </tp>
      <tp t="e">
        <v>#N/A</v>
        <stp/>
        <stp>BDH|10260299797317974463</stp>
        <tr r="C43" s="24"/>
      </tp>
      <tp t="e">
        <v>#N/A</v>
        <stp/>
        <stp>BDH|13548292904548837138</stp>
        <tr r="S28" s="21"/>
      </tp>
      <tp t="e">
        <v>#N/A</v>
        <stp/>
        <stp>BDH|18090772293088740600</stp>
        <tr r="F45" s="6"/>
      </tp>
      <tp t="e">
        <v>#N/A</v>
        <stp/>
        <stp>BDH|14411850755469134869</stp>
        <tr r="J94" s="24"/>
      </tp>
      <tp t="e">
        <v>#N/A</v>
        <stp/>
        <stp>BDH|15267118296717121275</stp>
        <tr r="E10" s="14"/>
      </tp>
      <tp t="e">
        <v>#N/A</v>
        <stp/>
        <stp>BDH|18392070008076877670</stp>
        <tr r="P13" s="13"/>
      </tp>
      <tp t="e">
        <v>#N/A</v>
        <stp/>
        <stp>BDH|10744979195389656106</stp>
        <tr r="C89" s="17"/>
      </tp>
      <tp t="e">
        <v>#N/A</v>
        <stp/>
        <stp>BDH|12275019577328579527</stp>
        <tr r="M43" s="17"/>
      </tp>
      <tp t="e">
        <v>#N/A</v>
        <stp/>
        <stp>BDH|18041124075964050241</stp>
        <tr r="V78" s="24"/>
      </tp>
      <tp t="e">
        <v>#N/A</v>
        <stp/>
        <stp>BDH|15443855345690299153</stp>
        <tr r="C10" s="23"/>
      </tp>
      <tp t="e">
        <v>#N/A</v>
        <stp/>
        <stp>BDH|12802887250374539364</stp>
        <tr r="L92" s="18"/>
      </tp>
      <tp t="e">
        <v>#N/A</v>
        <stp/>
        <stp>BDH|14488269585453736535</stp>
        <tr r="R23" s="18"/>
      </tp>
      <tp t="e">
        <v>#N/A</v>
        <stp/>
        <stp>BDH|15495750475289407438</stp>
        <tr r="Z42" s="12"/>
      </tp>
      <tp t="e">
        <v>#N/A</v>
        <stp/>
        <stp>BDH|11461945838766336584</stp>
        <tr r="I18" s="9"/>
      </tp>
      <tp t="e">
        <v>#N/A</v>
        <stp/>
        <stp>BDH|12295989788408159302</stp>
        <tr r="Q82" s="18"/>
      </tp>
      <tp t="e">
        <v>#N/A</v>
        <stp/>
        <stp>BDH|14274272396774017300</stp>
        <tr r="F11" s="22"/>
      </tp>
      <tp t="e">
        <v>#N/A</v>
        <stp/>
        <stp>BDH|18114228477121399443</stp>
        <tr r="G29" s="6"/>
      </tp>
      <tp t="e">
        <v>#N/A</v>
        <stp/>
        <stp>BDH|16916805019297438077</stp>
        <tr r="F71" s="18"/>
      </tp>
      <tp t="e">
        <v>#N/A</v>
        <stp/>
        <stp>BDH|17895974596118267788</stp>
        <tr r="P18" s="18"/>
      </tp>
      <tp t="e">
        <v>#N/A</v>
        <stp/>
        <stp>BDH|10169950187089518056</stp>
        <tr r="J33" s="24"/>
      </tp>
      <tp t="e">
        <v>#N/A</v>
        <stp/>
        <stp>BDH|16711045053379713246</stp>
        <tr r="F29" s="18"/>
      </tp>
      <tp t="e">
        <v>#N/A</v>
        <stp/>
        <stp>BDH|17540723090366241760</stp>
        <tr r="P14" s="23"/>
      </tp>
      <tp t="e">
        <v>#N/A</v>
        <stp/>
        <stp>BDH|13373577244373114922</stp>
        <tr r="Z124" s="18"/>
        <tr r="Z13" s="20"/>
      </tp>
      <tp t="e">
        <v>#N/A</v>
        <stp/>
        <stp>BDH|15485645580257200418</stp>
        <tr r="E16" s="23"/>
      </tp>
      <tp t="e">
        <v>#N/A</v>
        <stp/>
        <stp>BDH|10245863552996605338</stp>
        <tr r="O45" s="18"/>
      </tp>
      <tp t="e">
        <v>#N/A</v>
        <stp/>
        <stp>BDH|13111918672944444152</stp>
        <tr r="T93" s="17"/>
        <tr r="T13" s="28"/>
      </tp>
      <tp t="e">
        <v>#N/A</v>
        <stp/>
        <stp>BDH|11307410535108423605</stp>
        <tr r="P43" s="24"/>
      </tp>
      <tp t="e">
        <v>#N/A</v>
        <stp/>
        <stp>BDH|17734588802252656889</stp>
        <tr r="J6" s="28"/>
      </tp>
      <tp t="e">
        <v>#N/A</v>
        <stp/>
        <stp>BDH|14183096018984330901</stp>
        <tr r="C6" s="2"/>
        <tr r="D12" s="8"/>
        <tr r="D10" s="29"/>
        <tr r="D19" s="29"/>
        <tr r="D25" s="29"/>
      </tp>
      <tp t="e">
        <v>#N/A</v>
        <stp/>
        <stp>BDH|12694250456279269449</stp>
        <tr r="U28" s="27"/>
      </tp>
      <tp t="e">
        <v>#N/A</v>
        <stp/>
        <stp>BDH|14072452821063636912</stp>
        <tr r="Q168" s="18"/>
      </tp>
      <tp t="e">
        <v>#N/A</v>
        <stp/>
        <stp>BDH|12776876654597508020</stp>
        <tr r="M23" s="30"/>
        <tr r="M25" s="23"/>
      </tp>
      <tp t="e">
        <v>#N/A</v>
        <stp/>
        <stp>BDH|17038816888738973731</stp>
        <tr r="X63" s="34"/>
      </tp>
      <tp t="e">
        <v>#N/A</v>
        <stp/>
        <stp>BDH|14392338938364204889</stp>
        <tr r="E51" s="18"/>
      </tp>
      <tp t="e">
        <v>#N/A</v>
        <stp/>
        <stp>BDH|18269044732812371157</stp>
        <tr r="X25" s="21"/>
      </tp>
      <tp t="e">
        <v>#N/A</v>
        <stp/>
        <stp>BDH|15381904812100740543</stp>
        <tr r="C49" s="21"/>
      </tp>
      <tp t="e">
        <v>#N/A</v>
        <stp/>
        <stp>BDH|15152759263084568800</stp>
        <tr r="D57" s="13"/>
      </tp>
      <tp t="e">
        <v>#N/A</v>
        <stp/>
        <stp>BDH|13717556593005141229</stp>
        <tr r="W44" s="22"/>
      </tp>
      <tp t="e">
        <v>#N/A</v>
        <stp/>
        <stp>BDH|14012389328755616844</stp>
        <tr r="J18" s="26"/>
      </tp>
      <tp t="e">
        <v>#N/A</v>
        <stp/>
        <stp>BDH|16895918579621297107</stp>
        <tr r="V8" s="23"/>
      </tp>
      <tp t="e">
        <v>#N/A</v>
        <stp/>
        <stp>BDH|16161946574933680358</stp>
        <tr r="Y35" s="26"/>
      </tp>
      <tp t="e">
        <v>#N/A</v>
        <stp/>
        <stp>BDH|17440811822091340468</stp>
        <tr r="C10" s="26"/>
      </tp>
      <tp t="e">
        <v>#N/A</v>
        <stp/>
        <stp>BDH|10760245180822311023</stp>
        <tr r="D20" s="9"/>
      </tp>
      <tp t="e">
        <v>#N/A</v>
        <stp/>
        <stp>BDH|15879661802392996974</stp>
        <tr r="N25" s="14"/>
      </tp>
      <tp t="e">
        <v>#N/A</v>
        <stp/>
        <stp>BDH|13086455444102759941</stp>
        <tr r="C31" s="18"/>
      </tp>
      <tp t="e">
        <v>#N/A</v>
        <stp/>
        <stp>BDH|15385858701847385268</stp>
        <tr r="K28" s="6"/>
      </tp>
      <tp t="e">
        <v>#N/A</v>
        <stp/>
        <stp>BDH|15045394197961548692</stp>
        <tr r="W23" s="24"/>
      </tp>
      <tp t="e">
        <v>#N/A</v>
        <stp/>
        <stp>BDH|16758886333351684487</stp>
        <tr r="H205" s="18"/>
      </tp>
      <tp t="e">
        <v>#N/A</v>
        <stp/>
        <stp>BDH|13120759291626126360</stp>
        <tr r="K44" s="21"/>
      </tp>
      <tp t="e">
        <v>#N/A</v>
        <stp/>
        <stp>BDH|14618495299469791837</stp>
        <tr r="W13" s="5"/>
      </tp>
      <tp t="e">
        <v>#N/A</v>
        <stp/>
        <stp>BDH|14856182305989446437</stp>
        <tr r="X32" s="34"/>
      </tp>
      <tp t="e">
        <v>#N/A</v>
        <stp/>
        <stp>BDH|13198435199062018490</stp>
        <tr r="Q38" s="22"/>
      </tp>
      <tp t="e">
        <v>#N/A</v>
        <stp/>
        <stp>BDH|14222157715068685460</stp>
        <tr r="T38" s="25"/>
      </tp>
      <tp t="e">
        <v>#N/A</v>
        <stp/>
        <stp>BDH|15185353595060377701</stp>
        <tr r="V27" s="25"/>
        <tr r="V13" s="27"/>
      </tp>
      <tp t="e">
        <v>#N/A</v>
        <stp/>
        <stp>BDH|13131076397650394207</stp>
        <tr r="N15" s="29"/>
        <tr r="N38" s="29"/>
      </tp>
      <tp t="e">
        <v>#N/A</v>
        <stp/>
        <stp>BDH|15516420557485318919</stp>
        <tr r="Q58" s="17"/>
      </tp>
      <tp t="e">
        <v>#N/A</v>
        <stp/>
        <stp>BDH|11170537474999631229</stp>
        <tr r="K13" s="21"/>
      </tp>
      <tp t="e">
        <v>#N/A</v>
        <stp/>
        <stp>BDH|10617914245776022303</stp>
        <tr r="X37" s="17"/>
      </tp>
      <tp t="e">
        <v>#N/A</v>
        <stp/>
        <stp>BDH|17244713830123123805</stp>
        <tr r="K26" s="10"/>
        <tr r="M35" s="13"/>
      </tp>
      <tp t="e">
        <v>#N/A</v>
        <stp/>
        <stp>BDH|10105702058603359980</stp>
        <tr r="C78" s="34"/>
      </tp>
      <tp t="e">
        <v>#N/A</v>
        <stp/>
        <stp>BDH|10180019340994180831</stp>
        <tr r="Q73" s="24"/>
      </tp>
      <tp t="e">
        <v>#N/A</v>
        <stp/>
        <stp>BDH|16613456857716648905</stp>
        <tr r="C43" s="34"/>
      </tp>
      <tp t="e">
        <v>#N/A</v>
        <stp/>
        <stp>BDH|13654696080144938141</stp>
        <tr r="M13" s="9"/>
      </tp>
      <tp t="e">
        <v>#N/A</v>
        <stp/>
        <stp>BDH|17964659338753396951</stp>
        <tr r="M21" s="20"/>
      </tp>
      <tp t="e">
        <v>#N/A</v>
        <stp/>
        <stp>BDH|18240568163935256670</stp>
        <tr r="O8" s="18"/>
      </tp>
      <tp t="e">
        <v>#N/A</v>
        <stp/>
        <stp>BDH|17930384631108471761</stp>
        <tr r="N18" s="21"/>
      </tp>
      <tp t="e">
        <v>#N/A</v>
        <stp/>
        <stp>BDH|17802925097638611792</stp>
        <tr r="K29" s="6"/>
      </tp>
      <tp t="e">
        <v>#N/A</v>
        <stp/>
        <stp>BDH|14678420347669315526</stp>
        <tr r="J22" s="18"/>
      </tp>
      <tp t="e">
        <v>#N/A</v>
        <stp/>
        <stp>BDH|15513980545860893026</stp>
        <tr r="G74" s="17"/>
      </tp>
      <tp t="e">
        <v>#N/A</v>
        <stp/>
        <stp>BDH|13800583336128356572</stp>
        <tr r="O91" s="18"/>
      </tp>
      <tp t="e">
        <v>#N/A</v>
        <stp/>
        <stp>BDH|10616438077879563252</stp>
        <tr r="O12" s="12"/>
      </tp>
      <tp t="e">
        <v>#N/A</v>
        <stp/>
        <stp>BDH|10359239141668586666</stp>
        <tr r="U211" s="18"/>
      </tp>
      <tp t="e">
        <v>#N/A</v>
        <stp/>
        <stp>BDH|11691919878126411194</stp>
        <tr r="M6" s="6"/>
      </tp>
      <tp t="e">
        <v>#N/A</v>
        <stp/>
        <stp>BDH|15315735622990990890</stp>
        <tr r="S24" s="4"/>
        <tr r="S55" s="11"/>
      </tp>
      <tp t="e">
        <v>#N/A</v>
        <stp/>
        <stp>BDH|15931314392773134497</stp>
        <tr r="N12" s="14"/>
      </tp>
      <tp t="e">
        <v>#N/A</v>
        <stp/>
        <stp>BDH|15029131038256781992</stp>
        <tr r="Y71" s="10"/>
        <tr r="Y61" s="11"/>
      </tp>
      <tp t="e">
        <v>#N/A</v>
        <stp/>
        <stp>BDH|12606210991794488574</stp>
        <tr r="W48" s="17"/>
      </tp>
      <tp t="e">
        <v>#N/A</v>
        <stp/>
        <stp>BDH|12095845670996263338</stp>
        <tr r="O159" s="18"/>
      </tp>
      <tp t="e">
        <v>#N/A</v>
        <stp/>
        <stp>BDH|10611849629014906673</stp>
        <tr r="O29" s="13"/>
      </tp>
      <tp t="e">
        <v>#N/A</v>
        <stp/>
        <stp>BDH|15663783230489321089</stp>
        <tr r="E45" s="34"/>
      </tp>
      <tp t="e">
        <v>#N/A</v>
        <stp/>
        <stp>BDH|10705255404038289217</stp>
        <tr r="M24" s="27"/>
      </tp>
      <tp t="e">
        <v>#N/A</v>
        <stp/>
        <stp>BDH|15475347836608588564</stp>
        <tr r="G8" s="13"/>
      </tp>
      <tp t="e">
        <v>#N/A</v>
        <stp/>
        <stp>BDH|12611473866908764054</stp>
        <tr r="G8" s="23"/>
      </tp>
      <tp t="e">
        <v>#N/A</v>
        <stp/>
        <stp>BDH|12161245821259196300</stp>
        <tr r="O65" s="18"/>
      </tp>
      <tp t="e">
        <v>#N/A</v>
        <stp/>
        <stp>BDH|14764995942376810719</stp>
        <tr r="Z23" s="26"/>
      </tp>
      <tp t="e">
        <v>#N/A</v>
        <stp/>
        <stp>BDH|15544274820769360449</stp>
        <tr r="E154" s="18"/>
      </tp>
      <tp t="e">
        <v>#N/A</v>
        <stp/>
        <stp>BDH|10074223892793135048</stp>
        <tr r="F13" s="30"/>
      </tp>
      <tp t="e">
        <v>#N/A</v>
        <stp/>
        <stp>BDH|16387982599739518723</stp>
        <tr r="P30" s="25"/>
        <tr r="P16" s="27"/>
      </tp>
      <tp t="e">
        <v>#N/A</v>
        <stp/>
        <stp>BDH|17347545148968858622</stp>
        <tr r="O34" s="21"/>
      </tp>
      <tp t="e">
        <v>#N/A</v>
        <stp/>
        <stp>BDH|10282258880922423064</stp>
        <tr r="P33" s="21"/>
      </tp>
      <tp t="e">
        <v>#N/A</v>
        <stp/>
        <stp>BDH|17149467005733080873</stp>
        <tr r="F165" s="18"/>
      </tp>
      <tp t="e">
        <v>#N/A</v>
        <stp/>
        <stp>BDH|12499505922564143922</stp>
        <tr r="N24" s="9"/>
      </tp>
      <tp t="e">
        <v>#N/A</v>
        <stp/>
        <stp>BDH|15073043480946975385</stp>
        <tr r="I27" s="21"/>
      </tp>
      <tp t="e">
        <v>#N/A</v>
        <stp/>
        <stp>BDH|14064607414123992887</stp>
        <tr r="AA54" s="18"/>
      </tp>
      <tp t="e">
        <v>#N/A</v>
        <stp/>
        <stp>BDH|11678038591655746560</stp>
        <tr r="Z17" s="34"/>
      </tp>
      <tp t="e">
        <v>#N/A</v>
        <stp/>
        <stp>BDH|12171637381221098566</stp>
        <tr r="X14" s="34"/>
      </tp>
      <tp t="e">
        <v>#N/A</v>
        <stp/>
        <stp>BDH|14587325584155280249</stp>
        <tr r="Z172" s="18"/>
      </tp>
      <tp t="e">
        <v>#N/A</v>
        <stp/>
        <stp>BDH|18094604666023597369</stp>
        <tr r="E6" s="6"/>
      </tp>
      <tp t="e">
        <v>#N/A</v>
        <stp/>
        <stp>BDH|17077651821438220333</stp>
        <tr r="U17" s="21"/>
      </tp>
      <tp t="e">
        <v>#N/A</v>
        <stp/>
        <stp>BDH|16462615849054160886</stp>
        <tr r="M12" s="14"/>
      </tp>
      <tp t="e">
        <v>#N/A</v>
        <stp/>
        <stp>BDH|10799658892542570501</stp>
        <tr r="Q20" s="6"/>
      </tp>
      <tp t="e">
        <v>#N/A</v>
        <stp/>
        <stp>BDH|16678442036079569041</stp>
        <tr r="R67" s="10"/>
      </tp>
      <tp t="e">
        <v>#N/A</v>
        <stp/>
        <stp>BDH|15317872841507922695</stp>
        <tr r="N52" s="34"/>
      </tp>
      <tp t="e">
        <v>#N/A</v>
        <stp/>
        <stp>BDH|17505621132269345336</stp>
        <tr r="Y46" s="21"/>
      </tp>
      <tp t="e">
        <v>#N/A</v>
        <stp/>
        <stp>BDH|16749373315775531953</stp>
        <tr r="M114" s="18"/>
      </tp>
      <tp t="e">
        <v>#N/A</v>
        <stp/>
        <stp>BDH|11272937540243726730</stp>
        <tr r="V79" s="34"/>
      </tp>
      <tp t="e">
        <v>#N/A</v>
        <stp/>
        <stp>BDH|15276056557470262873</stp>
        <tr r="J33" s="12"/>
      </tp>
      <tp t="e">
        <v>#N/A</v>
        <stp/>
        <stp>BDH|18212462527727735117</stp>
        <tr r="J18" s="34"/>
      </tp>
      <tp t="e">
        <v>#N/A</v>
        <stp/>
        <stp>BDH|18373655114486745105</stp>
        <tr r="O13" s="5"/>
      </tp>
      <tp t="e">
        <v>#N/A</v>
        <stp/>
        <stp>BDH|13684207488658883936</stp>
        <tr r="L23" s="5"/>
        <tr r="L23" s="9"/>
      </tp>
      <tp t="e">
        <v>#N/A</v>
        <stp/>
        <stp>BDH|15359468848465868809</stp>
        <tr r="J35" s="22"/>
      </tp>
      <tp t="e">
        <v>#N/A</v>
        <stp/>
        <stp>BDH|14759447895459130823</stp>
        <tr r="H52" s="6"/>
      </tp>
      <tp t="e">
        <v>#N/A</v>
        <stp/>
        <stp>BDH|12054385579508077644</stp>
        <tr r="Y100" s="18"/>
      </tp>
      <tp t="e">
        <v>#N/A</v>
        <stp/>
        <stp>BDH|13742825397569121360</stp>
        <tr r="Y43" s="21"/>
      </tp>
      <tp t="e">
        <v>#N/A</v>
        <stp/>
        <stp>BDH|14046348892253325509</stp>
        <tr r="T48" s="12"/>
      </tp>
      <tp t="e">
        <v>#N/A</v>
        <stp/>
        <stp>BDH|16496369891663116772</stp>
        <tr r="Y75" s="34"/>
      </tp>
      <tp t="e">
        <v>#N/A</v>
        <stp/>
        <stp>BDH|15239853533046710064</stp>
        <tr r="D30" s="12"/>
      </tp>
      <tp t="e">
        <v>#N/A</v>
        <stp/>
        <stp>BDH|10973012884857909708</stp>
        <tr r="C34" s="22"/>
      </tp>
      <tp t="e">
        <v>#N/A</v>
        <stp/>
        <stp>BDH|13112116415022643966</stp>
        <tr r="D64" s="24"/>
      </tp>
      <tp t="e">
        <v>#N/A</v>
        <stp/>
        <stp>BDH|10420193097195902564</stp>
        <tr r="AA94" s="18"/>
      </tp>
      <tp t="e">
        <v>#N/A</v>
        <stp/>
        <stp>BDH|13744597699727126032</stp>
        <tr r="X23" s="13"/>
      </tp>
      <tp t="e">
        <v>#N/A</v>
        <stp/>
        <stp>BDH|14625706797575077742</stp>
        <tr r="E194" s="18"/>
      </tp>
      <tp t="e">
        <v>#N/A</v>
        <stp/>
        <stp>BDH|12163596118497281967</stp>
        <tr r="I152" s="18"/>
      </tp>
      <tp t="e">
        <v>#N/A</v>
        <stp/>
        <stp>BDH|14880697984264576640</stp>
        <tr r="U49" s="21"/>
      </tp>
      <tp t="e">
        <v>#N/A</v>
        <stp/>
        <stp>BDH|13215326673876636916</stp>
        <tr r="P60" s="12"/>
      </tp>
      <tp t="e">
        <v>#N/A</v>
        <stp/>
        <stp>BDH|16743717776887117953</stp>
        <tr r="V17" s="23"/>
      </tp>
      <tp t="e">
        <v>#N/A</v>
        <stp/>
        <stp>BDH|12991085433011060863</stp>
        <tr r="Z23" s="20"/>
      </tp>
      <tp t="e">
        <v>#N/A</v>
        <stp/>
        <stp>BDH|18073340862864169130</stp>
        <tr r="M92" s="18"/>
      </tp>
      <tp t="e">
        <v>#N/A</v>
        <stp/>
        <stp>BDH|14965688385047805586</stp>
        <tr r="F41" s="22"/>
      </tp>
      <tp t="e">
        <v>#N/A</v>
        <stp/>
        <stp>BDH|12892590183102262546</stp>
        <tr r="P38" s="17"/>
      </tp>
      <tp t="e">
        <v>#N/A</v>
        <stp/>
        <stp>BDH|11694615819367224982</stp>
        <tr r="Q136" s="18"/>
      </tp>
      <tp t="e">
        <v>#N/A</v>
        <stp/>
        <stp>BDH|14744122497183400728</stp>
        <tr r="E17" s="24"/>
      </tp>
      <tp t="e">
        <v>#N/A</v>
        <stp/>
        <stp>BDH|13709918245645643314</stp>
        <tr r="F168" s="18"/>
      </tp>
      <tp t="e">
        <v>#N/A</v>
        <stp/>
        <stp>BDH|17021607610579188156</stp>
        <tr r="W15" s="22"/>
      </tp>
      <tp t="e">
        <v>#N/A</v>
        <stp/>
        <stp>BDH|10899984455130415453</stp>
        <tr r="V58" s="11"/>
        <tr r="X19" s="23"/>
      </tp>
      <tp t="e">
        <v>#N/A</v>
        <stp/>
        <stp>BDH|11079569976133794838</stp>
        <tr r="J183" s="18"/>
      </tp>
      <tp t="e">
        <v>#N/A</v>
        <stp/>
        <stp>BDH|12428201484138399875</stp>
        <tr r="F29" s="6"/>
      </tp>
      <tp t="e">
        <v>#N/A</v>
        <stp/>
        <stp>BDH|17357947216380688734</stp>
        <tr r="G66" s="13"/>
      </tp>
      <tp t="e">
        <v>#N/A</v>
        <stp/>
        <stp>BDH|11063701080483278569</stp>
        <tr r="X26" s="18"/>
      </tp>
      <tp t="e">
        <v>#N/A</v>
        <stp/>
        <stp>BDH|12456815814240595307</stp>
        <tr r="G70" s="12"/>
      </tp>
      <tp t="e">
        <v>#N/A</v>
        <stp/>
        <stp>BDH|16701930373008196825</stp>
        <tr r="T77" s="34"/>
      </tp>
      <tp t="e">
        <v>#N/A</v>
        <stp/>
        <stp>BDH|11486901150774958198</stp>
        <tr r="P45" s="24"/>
      </tp>
      <tp t="e">
        <v>#N/A</v>
        <stp/>
        <stp>BDH|14152486581490926054</stp>
        <tr r="F106" s="18"/>
      </tp>
      <tp t="e">
        <v>#N/A</v>
        <stp/>
        <stp>BDH|11016436715534213802</stp>
        <tr r="V49" s="12"/>
      </tp>
      <tp t="e">
        <v>#N/A</v>
        <stp/>
        <stp>BDH|10834927069950391745</stp>
        <tr r="Y63" s="12"/>
      </tp>
      <tp t="e">
        <v>#N/A</v>
        <stp/>
        <stp>BDH|14502222951282639943</stp>
        <tr r="F12" s="22"/>
      </tp>
      <tp t="e">
        <v>#N/A</v>
        <stp/>
        <stp>BDH|18259621961821358169</stp>
        <tr r="G31" s="12"/>
      </tp>
      <tp t="e">
        <v>#N/A</v>
        <stp/>
        <stp>BDH|13962923499159162275</stp>
        <tr r="S18" s="17"/>
      </tp>
      <tp t="e">
        <v>#N/A</v>
        <stp/>
        <stp>BDH|16750612144748115476</stp>
        <tr r="Y76" s="12"/>
      </tp>
      <tp t="e">
        <v>#N/A</v>
        <stp/>
        <stp>BDH|11838352360719198588</stp>
        <tr r="W68" s="18"/>
      </tp>
      <tp t="e">
        <v>#N/A</v>
        <stp/>
        <stp>BDH|16509249987503282703</stp>
        <tr r="Q18" s="6"/>
      </tp>
      <tp t="e">
        <v>#N/A</v>
        <stp/>
        <stp>BDH|17836264488777041222</stp>
        <tr r="P16" s="17"/>
        <tr r="P19" s="28"/>
      </tp>
      <tp t="e">
        <v>#N/A</v>
        <stp/>
        <stp>BDH|11485038323133153812</stp>
        <tr r="R26" s="24"/>
      </tp>
      <tp t="e">
        <v>#N/A</v>
        <stp/>
        <stp>BDH|16687908926973498606</stp>
        <tr r="O66" s="17"/>
      </tp>
      <tp t="e">
        <v>#N/A</v>
        <stp/>
        <stp>BDH|13025237297565758570</stp>
        <tr r="H79" s="12"/>
      </tp>
      <tp t="e">
        <v>#N/A</v>
        <stp/>
        <stp>BDH|13621330981021330134</stp>
        <tr r="T45" s="12"/>
      </tp>
      <tp t="e">
        <v>#N/A</v>
        <stp/>
        <stp>BDH|13365554719449850636</stp>
        <tr r="K24" s="14"/>
      </tp>
      <tp t="e">
        <v>#N/A</v>
        <stp/>
        <stp>BDH|18356099309835724503</stp>
        <tr r="H8" s="4"/>
      </tp>
      <tp t="e">
        <v>#N/A</v>
        <stp/>
        <stp>BDH|16611917386367335862</stp>
        <tr r="X65" s="13"/>
      </tp>
      <tp t="e">
        <v>#N/A</v>
        <stp/>
        <stp>BDH|13407256565229843684</stp>
        <tr r="R64" s="18"/>
      </tp>
      <tp t="e">
        <v>#N/A</v>
        <stp/>
        <stp>BDH|17594926019377019097</stp>
        <tr r="M77" s="24"/>
      </tp>
      <tp t="e">
        <v>#N/A</v>
        <stp/>
        <stp>BDH|11416989259521300417</stp>
        <tr r="Z72" s="12"/>
      </tp>
      <tp t="e">
        <v>#N/A</v>
        <stp/>
        <stp>BDH|14131947375773405139</stp>
        <tr r="N29" s="13"/>
      </tp>
      <tp t="e">
        <v>#N/A</v>
        <stp/>
        <stp>BDH|16765809536040639505</stp>
        <tr r="E91" s="24"/>
      </tp>
      <tp t="e">
        <v>#N/A</v>
        <stp/>
        <stp>BDH|10496727169180904916</stp>
        <tr r="K35" s="24"/>
      </tp>
      <tp t="e">
        <v>#N/A</v>
        <stp/>
        <stp>BDH|13012865031909056901</stp>
        <tr r="K8" s="21"/>
      </tp>
      <tp t="e">
        <v>#N/A</v>
        <stp/>
        <stp>BDH|15443232884217392075</stp>
        <tr r="AA25" s="12"/>
      </tp>
      <tp t="e">
        <v>#N/A</v>
        <stp/>
        <stp>BDH|16427339671763473953</stp>
        <tr r="N43" s="17"/>
      </tp>
      <tp t="e">
        <v>#N/A</v>
        <stp/>
        <stp>BDH|15221178472112303933</stp>
        <tr r="Y6" s="19"/>
        <tr r="Y34" s="17"/>
        <tr r="Y16" s="3"/>
      </tp>
      <tp t="e">
        <v>#N/A</v>
        <stp/>
        <stp>BDH|12212623164588687250</stp>
        <tr r="M67" s="21"/>
      </tp>
      <tp t="e">
        <v>#N/A</v>
        <stp/>
        <stp>BDH|15139665539329084192</stp>
        <tr r="H186" s="18"/>
      </tp>
      <tp t="e">
        <v>#N/A</v>
        <stp/>
        <stp>BDH|10702872560230366649</stp>
        <tr r="J35" s="24"/>
      </tp>
      <tp t="e">
        <v>#N/A</v>
        <stp/>
        <stp>BDH|10468068535209238221</stp>
        <tr r="Y28" s="12"/>
      </tp>
      <tp t="e">
        <v>#N/A</v>
        <stp/>
        <stp>BDH|13921829508717774435</stp>
        <tr r="P27" s="13"/>
      </tp>
      <tp t="e">
        <v>#N/A</v>
        <stp/>
        <stp>BDH|15840593504738794057</stp>
        <tr r="S37" s="26"/>
      </tp>
      <tp t="e">
        <v>#N/A</v>
        <stp/>
        <stp>BDH|17251169900707720944</stp>
        <tr r="G32" s="26"/>
      </tp>
      <tp t="e">
        <v>#N/A</v>
        <stp/>
        <stp>BDH|10994057093373818201</stp>
        <tr r="L33" s="17"/>
      </tp>
      <tp t="e">
        <v>#N/A</v>
        <stp/>
        <stp>BDH|15128772730729189002</stp>
        <tr r="U54" s="12"/>
      </tp>
      <tp t="e">
        <v>#N/A</v>
        <stp/>
        <stp>BDH|15701071737946200825</stp>
        <tr r="W38" s="25"/>
      </tp>
      <tp t="e">
        <v>#N/A</v>
        <stp/>
        <stp>BDH|13125536885691819780</stp>
        <tr r="H13" s="9"/>
      </tp>
      <tp t="e">
        <v>#N/A</v>
        <stp/>
        <stp>BDH|13477934963633731745</stp>
        <tr r="P28" s="25"/>
        <tr r="P14" s="27"/>
      </tp>
      <tp t="e">
        <v>#N/A</v>
        <stp/>
        <stp>BDH|10769949481259076059</stp>
        <tr r="P25" s="14"/>
      </tp>
      <tp t="e">
        <v>#N/A</v>
        <stp/>
        <stp>BDH|11961135478528252770</stp>
        <tr r="S11" s="21"/>
      </tp>
      <tp t="e">
        <v>#N/A</v>
        <stp/>
        <stp>BDH|17143765575257046854</stp>
        <tr r="N85" s="24"/>
      </tp>
      <tp t="e">
        <v>#N/A</v>
        <stp/>
        <stp>BDH|14555154471382490829</stp>
        <tr r="M38" s="17"/>
      </tp>
      <tp t="e">
        <v>#N/A</v>
        <stp/>
        <stp>BDH|15673494299441344121</stp>
        <tr r="K9" s="26"/>
      </tp>
      <tp t="e">
        <v>#N/A</v>
        <stp/>
        <stp>BDH|18201098909099723928</stp>
        <tr r="N91" s="17"/>
      </tp>
      <tp t="e">
        <v>#N/A</v>
        <stp/>
        <stp>BDH|13706159513903539832</stp>
        <tr r="D26" s="7"/>
      </tp>
      <tp t="e">
        <v>#N/A</v>
        <stp/>
        <stp>BDH|16593208592926301339</stp>
        <tr r="H189" s="18"/>
      </tp>
      <tp t="e">
        <v>#N/A</v>
        <stp/>
        <stp>BDH|11733638221184587972</stp>
        <tr r="Q151" s="18"/>
      </tp>
      <tp t="e">
        <v>#N/A</v>
        <stp/>
        <stp>BDH|15559705633530435956</stp>
        <tr r="AA43" s="34"/>
      </tp>
      <tp t="e">
        <v>#N/A</v>
        <stp/>
        <stp>BDH|14553832717493248647</stp>
        <tr r="H11" s="24"/>
      </tp>
      <tp t="e">
        <v>#N/A</v>
        <stp/>
        <stp>BDH|18417666503972408429</stp>
        <tr r="D150" s="18"/>
      </tp>
      <tp t="e">
        <v>#N/A</v>
        <stp/>
        <stp>BDH|13222232793078379860</stp>
        <tr r="J110" s="18"/>
      </tp>
      <tp t="e">
        <v>#N/A</v>
        <stp/>
        <stp>BDH|13895860929617889680</stp>
        <tr r="R61" s="17"/>
      </tp>
      <tp t="e">
        <v>#N/A</v>
        <stp/>
        <stp>BDH|16814763398241525145</stp>
        <tr r="D23" s="20"/>
      </tp>
      <tp t="e">
        <v>#N/A</v>
        <stp/>
        <stp>BDH|10758038485181590133</stp>
        <tr r="H79" s="34"/>
      </tp>
      <tp t="e">
        <v>#N/A</v>
        <stp/>
        <stp>BDH|15067827330342060452</stp>
        <tr r="K53" s="17"/>
      </tp>
      <tp t="e">
        <v>#N/A</v>
        <stp/>
        <stp>BDH|14211387381307996059</stp>
        <tr r="P16" s="29"/>
        <tr r="P39" s="29"/>
      </tp>
      <tp t="e">
        <v>#N/A</v>
        <stp/>
        <stp>BDH|15943330709059705731</stp>
        <tr r="I22" s="27"/>
      </tp>
      <tp t="e">
        <v>#N/A</v>
        <stp/>
        <stp>BDH|11471544593575114052</stp>
        <tr r="J61" s="18"/>
      </tp>
      <tp t="e">
        <v>#N/A</v>
        <stp/>
        <stp>BDH|10339268093980951382</stp>
        <tr r="E196" s="18"/>
      </tp>
      <tp t="e">
        <v>#N/A</v>
        <stp/>
        <stp>BDH|17480053046552636968</stp>
        <tr r="Z185" s="18"/>
      </tp>
      <tp t="e">
        <v>#N/A</v>
        <stp/>
        <stp>BDH|11490778384082607465</stp>
        <tr r="T77" s="17"/>
        <tr r="T19" s="3"/>
      </tp>
      <tp t="e">
        <v>#N/A</v>
        <stp/>
        <stp>BDH|15661883540497935606</stp>
        <tr r="I26" s="17"/>
      </tp>
      <tp t="e">
        <v>#N/A</v>
        <stp/>
        <stp>BDH|13435956657053131402</stp>
        <tr r="E56" s="18"/>
      </tp>
      <tp t="e">
        <v>#N/A</v>
        <stp/>
        <stp>BDH|15551874838903963555</stp>
        <tr r="M7" s="17"/>
      </tp>
      <tp t="e">
        <v>#N/A</v>
        <stp/>
        <stp>BDH|15982782652186419911</stp>
        <tr r="J174" s="18"/>
      </tp>
      <tp t="e">
        <v>#N/A</v>
        <stp/>
        <stp>BDH|16223720380822611301</stp>
        <tr r="H11" s="14"/>
      </tp>
      <tp t="e">
        <v>#N/A</v>
        <stp/>
        <stp>BDH|10783861535807424469</stp>
        <tr r="E67" s="34"/>
      </tp>
      <tp t="e">
        <v>#N/A</v>
        <stp/>
        <stp>BDH|18312432566860903291</stp>
        <tr r="F54" s="6"/>
      </tp>
      <tp t="e">
        <v>#N/A</v>
        <stp/>
        <stp>BDH|15180170952000087929</stp>
        <tr r="O179" s="18"/>
      </tp>
      <tp t="e">
        <v>#N/A</v>
        <stp/>
        <stp>BDH|15869506541965662996</stp>
        <tr r="W51" s="34"/>
      </tp>
      <tp t="e">
        <v>#N/A</v>
        <stp/>
        <stp>BDH|10215337242936701926</stp>
        <tr r="J58" s="12"/>
      </tp>
      <tp t="e">
        <v>#N/A</v>
        <stp/>
        <stp>BDH|11253259399046861403</stp>
        <tr r="G58" s="11"/>
        <tr r="I19" s="23"/>
      </tp>
      <tp t="e">
        <v>#N/A</v>
        <stp/>
        <stp>BDH|17850414095103307198</stp>
        <tr r="P45" s="17"/>
      </tp>
      <tp t="e">
        <v>#N/A</v>
        <stp/>
        <stp>BDH|11527845547764106118</stp>
        <tr r="G23" s="23"/>
      </tp>
      <tp t="e">
        <v>#N/A</v>
        <stp/>
        <stp>BDH|14952946579585599770</stp>
        <tr r="J148" s="18"/>
      </tp>
      <tp t="e">
        <v>#N/A</v>
        <stp/>
        <stp>BDH|13678603673852429871</stp>
        <tr r="R18" s="10"/>
      </tp>
      <tp t="e">
        <v>#N/A</v>
        <stp/>
        <stp>BDH|11056440603605245839</stp>
        <tr r="O59" s="21"/>
        <tr r="O37" s="25"/>
        <tr r="M31" s="4"/>
        <tr r="M52" s="11"/>
      </tp>
      <tp t="e">
        <v>#N/A</v>
        <stp/>
        <stp>BDH|10453151132713191947</stp>
        <tr r="O29" s="12"/>
      </tp>
      <tp t="e">
        <v>#N/A</v>
        <stp/>
        <stp>BDH|14470500566097581813</stp>
        <tr r="Z50" s="24"/>
      </tp>
      <tp t="e">
        <v>#N/A</v>
        <stp/>
        <stp>BDH|16920974825914800153</stp>
        <tr r="U12" s="26"/>
      </tp>
      <tp t="e">
        <v>#N/A</v>
        <stp/>
        <stp>BDH|16353405240779224779</stp>
        <tr r="K58" s="18"/>
      </tp>
      <tp t="e">
        <v>#N/A</v>
        <stp/>
        <stp>BDH|13608539615618698705</stp>
        <tr r="I96" s="12"/>
      </tp>
      <tp t="e">
        <v>#N/A</v>
        <stp/>
        <stp>BDH|17620375834539594669</stp>
        <tr r="D93" s="12"/>
      </tp>
      <tp t="e">
        <v>#N/A</v>
        <stp/>
        <stp>BDH|11919056950064372892</stp>
        <tr r="V10" s="22"/>
      </tp>
      <tp t="e">
        <v>#N/A</v>
        <stp/>
        <stp>BDH|16723310181567850290</stp>
        <tr r="J22" s="20"/>
      </tp>
      <tp t="e">
        <v>#N/A</v>
        <stp/>
        <stp>BDH|15713907402013017735</stp>
        <tr r="C93" s="24"/>
      </tp>
      <tp t="e">
        <v>#N/A</v>
        <stp/>
        <stp>BDH|10888992202530286176</stp>
        <tr r="V29" s="6"/>
      </tp>
      <tp t="e">
        <v>#N/A</v>
        <stp/>
        <stp>BDH|12225985575690863416</stp>
        <tr r="C7" s="17"/>
      </tp>
      <tp t="e">
        <v>#N/A</v>
        <stp/>
        <stp>BDH|17800284214599259505</stp>
        <tr r="E75" s="18"/>
      </tp>
      <tp t="e">
        <v>#N/A</v>
        <stp/>
        <stp>BDH|16465403555877241859</stp>
        <tr r="E202" s="18"/>
      </tp>
      <tp t="e">
        <v>#N/A</v>
        <stp/>
        <stp>BDH|16114853249715266793</stp>
        <tr r="P29" s="17"/>
      </tp>
      <tp t="e">
        <v>#N/A</v>
        <stp/>
        <stp>BDH|10459148495269398906</stp>
        <tr r="L32" s="26"/>
      </tp>
      <tp t="e">
        <v>#N/A</v>
        <stp/>
        <stp>BDH|14557195487255830056</stp>
        <tr r="C65" s="21"/>
      </tp>
      <tp t="e">
        <v>#N/A</v>
        <stp/>
        <stp>BDH|17143392732508554791</stp>
        <tr r="I98" s="12"/>
      </tp>
      <tp t="e">
        <v>#N/A</v>
        <stp/>
        <stp>BDH|16414662706381449963</stp>
        <tr r="E17" s="17"/>
        <tr r="E20" s="28"/>
      </tp>
      <tp t="e">
        <v>#N/A</v>
        <stp/>
        <stp>BDH|18175420210133656634</stp>
        <tr r="X78" s="34"/>
      </tp>
      <tp t="e">
        <v>#N/A</v>
        <stp/>
        <stp>BDH|10714749806917348803</stp>
        <tr r="E33" s="24"/>
      </tp>
      <tp t="e">
        <v>#N/A</v>
        <stp/>
        <stp>BDH|15147087890394970061</stp>
        <tr r="E22" s="14"/>
      </tp>
      <tp t="e">
        <v>#N/A</v>
        <stp/>
        <stp>BDH|13243252754709117546</stp>
        <tr r="D18" s="2"/>
        <tr r="D53" s="4"/>
        <tr r="D46" s="10"/>
        <tr r="D36" s="11"/>
        <tr r="F58" s="13"/>
      </tp>
      <tp t="e">
        <v>#N/A</v>
        <stp/>
        <stp>BDH|15527047211489233547</stp>
        <tr r="H19" s="5"/>
        <tr r="H42" s="6"/>
      </tp>
      <tp t="e">
        <v>#N/A</v>
        <stp/>
        <stp>BDH|15900233870351505995</stp>
        <tr r="F19" s="12"/>
      </tp>
      <tp t="e">
        <v>#N/A</v>
        <stp/>
        <stp>BDH|12367627356141324827</stp>
        <tr r="G28" s="10"/>
        <tr r="I37" s="13"/>
      </tp>
      <tp t="e">
        <v>#N/A</v>
        <stp/>
        <stp>BDH|14346217857432121921</stp>
        <tr r="G52" s="4"/>
        <tr r="I8" s="3"/>
        <tr r="G44" s="10"/>
        <tr r="G34" s="11"/>
        <tr r="I45" s="13"/>
      </tp>
      <tp t="e">
        <v>#N/A</v>
        <stp/>
        <stp>BDH|14446695539179718055</stp>
        <tr r="U15" s="12"/>
      </tp>
      <tp t="e">
        <v>#N/A</v>
        <stp/>
        <stp>BDH|17791747582823603312</stp>
        <tr r="Z25" s="17"/>
      </tp>
      <tp t="e">
        <v>#N/A</v>
        <stp/>
        <stp>BDH|17401773682412431230</stp>
        <tr r="H33" s="24"/>
      </tp>
      <tp t="e">
        <v>#N/A</v>
        <stp/>
        <stp>BDH|10904322688283887023</stp>
        <tr r="N74" s="17"/>
      </tp>
      <tp t="e">
        <v>#N/A</v>
        <stp/>
        <stp>BDH|11454718688865689326</stp>
        <tr r="R16" s="11"/>
      </tp>
      <tp t="e">
        <v>#N/A</v>
        <stp/>
        <stp>BDH|11918288148566440943</stp>
        <tr r="G16" s="21"/>
      </tp>
      <tp t="e">
        <v>#N/A</v>
        <stp/>
        <stp>BDH|15539004098176045249</stp>
        <tr r="C24" s="27"/>
      </tp>
      <tp t="e">
        <v>#N/A</v>
        <stp/>
        <stp>BDH|15433069091067258385</stp>
        <tr r="I11" s="29"/>
      </tp>
      <tp t="e">
        <v>#N/A</v>
        <stp/>
        <stp>BDH|10411490214749092405</stp>
        <tr r="J24" s="17"/>
      </tp>
      <tp t="e">
        <v>#N/A</v>
        <stp/>
        <stp>BDH|18375420918524095102</stp>
        <tr r="W13" s="13"/>
      </tp>
      <tp t="e">
        <v>#N/A</v>
        <stp/>
        <stp>BDH|15125455597895354592</stp>
        <tr r="D22" s="6"/>
      </tp>
      <tp t="e">
        <v>#N/A</v>
        <stp/>
        <stp>BDH|17694370366702827864</stp>
        <tr r="K14" s="13"/>
      </tp>
      <tp t="e">
        <v>#N/A</v>
        <stp/>
        <stp>BDH|11887007355135093948</stp>
        <tr r="R47" s="34"/>
      </tp>
      <tp t="e">
        <v>#N/A</v>
        <stp/>
        <stp>BDH|15940434857495595912</stp>
        <tr r="E93" s="17"/>
        <tr r="E13" s="28"/>
      </tp>
      <tp t="e">
        <v>#N/A</v>
        <stp/>
        <stp>BDH|13853325588123364388</stp>
        <tr r="C16" s="10"/>
      </tp>
      <tp t="e">
        <v>#N/A</v>
        <stp/>
        <stp>BDH|14738088397422648775</stp>
        <tr r="K199" s="18"/>
      </tp>
      <tp t="e">
        <v>#N/A</v>
        <stp/>
        <stp>BDH|12318756499766779219</stp>
        <tr r="X34" s="9"/>
      </tp>
      <tp t="e">
        <v>#N/A</v>
        <stp/>
        <stp>BDH|11418986931164315779</stp>
        <tr r="I18" s="20"/>
      </tp>
      <tp t="e">
        <v>#N/A</v>
        <stp/>
        <stp>BDH|18140031365490698686</stp>
        <tr r="U7" s="30"/>
      </tp>
      <tp t="e">
        <v>#N/A</v>
        <stp/>
        <stp>BDH|16010286312994437971</stp>
        <tr r="Q30" s="17"/>
      </tp>
      <tp t="e">
        <v>#N/A</v>
        <stp/>
        <stp>BDH|12224882140926031036</stp>
        <tr r="W19" s="10"/>
      </tp>
      <tp t="e">
        <v>#N/A</v>
        <stp/>
        <stp>BDH|13392675324927044893</stp>
        <tr r="L24" s="24"/>
      </tp>
      <tp t="e">
        <v>#N/A</v>
        <stp/>
        <stp>BDH|18080675636920066580</stp>
        <tr r="L101" s="12"/>
      </tp>
      <tp t="e">
        <v>#N/A</v>
        <stp/>
        <stp>BDH|17658981335103702654</stp>
        <tr r="D32" s="24"/>
      </tp>
      <tp t="e">
        <v>#N/A</v>
        <stp/>
        <stp>BDH|10197121588818416960</stp>
        <tr r="Y77" s="17"/>
        <tr r="Y19" s="3"/>
      </tp>
      <tp t="e">
        <v>#N/A</v>
        <stp/>
        <stp>BDH|10729197688561866076</stp>
        <tr r="S38" s="10"/>
        <tr r="S28" s="11"/>
        <tr r="U47" s="13"/>
      </tp>
      <tp t="e">
        <v>#N/A</v>
        <stp/>
        <stp>BDH|10661093347365071911</stp>
        <tr r="AA63" s="34"/>
      </tp>
      <tp t="e">
        <v>#N/A</v>
        <stp/>
        <stp>BDH|14784446888917549773</stp>
        <tr r="U65" s="18"/>
      </tp>
      <tp t="e">
        <v>#N/A</v>
        <stp/>
        <stp>BDH|15579085887597467276</stp>
        <tr r="Q24" s="4"/>
        <tr r="Q55" s="11"/>
      </tp>
      <tp t="e">
        <v>#N/A</v>
        <stp/>
        <stp>BDH|11005996808189900912</stp>
        <tr r="F10" s="23"/>
      </tp>
      <tp t="e">
        <v>#N/A</v>
        <stp/>
        <stp>BDH|17067271807009164485</stp>
        <tr r="G85" s="12"/>
      </tp>
      <tp t="e">
        <v>#N/A</v>
        <stp/>
        <stp>BDH|10981304452216059832</stp>
        <tr r="P80" s="34"/>
      </tp>
      <tp t="e">
        <v>#N/A</v>
        <stp/>
        <stp>BDH|11921662455973176937</stp>
        <tr r="T84" s="17"/>
      </tp>
      <tp t="e">
        <v>#N/A</v>
        <stp/>
        <stp>BDH|13380052826009852007</stp>
        <tr r="Y15" s="29"/>
        <tr r="Y38" s="29"/>
      </tp>
      <tp t="e">
        <v>#N/A</v>
        <stp/>
        <stp>BDH|17492985272221154073</stp>
        <tr r="D26" s="13"/>
      </tp>
      <tp t="e">
        <v>#N/A</v>
        <stp/>
        <stp>BDH|10585939679581098775</stp>
        <tr r="AA192" s="18"/>
      </tp>
      <tp t="e">
        <v>#N/A</v>
        <stp/>
        <stp>BDH|12544576691137393182</stp>
        <tr r="X101" s="18"/>
      </tp>
      <tp t="e">
        <v>#N/A</v>
        <stp/>
        <stp>BDH|10788160198213406355</stp>
        <tr r="W77" s="17"/>
        <tr r="W19" s="3"/>
      </tp>
      <tp t="e">
        <v>#N/A</v>
        <stp/>
        <stp>BDH|12614373009041286825</stp>
        <tr r="U72" s="10"/>
        <tr r="U62" s="11"/>
      </tp>
      <tp t="e">
        <v>#N/A</v>
        <stp/>
        <stp>BDH|17812221398830952432</stp>
        <tr r="R16" s="24"/>
      </tp>
      <tp t="e">
        <v>#N/A</v>
        <stp/>
        <stp>BDH|15940881076227910569</stp>
        <tr r="M18" s="11"/>
      </tp>
      <tp t="e">
        <v>#N/A</v>
        <stp/>
        <stp>BDH|15343541100651649999</stp>
        <tr r="T23" s="2"/>
        <tr r="V19" s="21"/>
        <tr r="V23" s="3"/>
      </tp>
      <tp t="e">
        <v>#N/A</v>
        <stp/>
        <stp>BDH|15319577753654797985</stp>
        <tr r="H22" s="17"/>
      </tp>
      <tp t="e">
        <v>#N/A</v>
        <stp/>
        <stp>BDH|18225784613434287236</stp>
        <tr r="K14" s="34"/>
      </tp>
      <tp t="e">
        <v>#N/A</v>
        <stp/>
        <stp>BDH|14627374285300935755</stp>
        <tr r="S12" s="3"/>
        <tr r="Q55" s="10"/>
        <tr r="Q45" s="11"/>
        <tr r="Q7" s="7"/>
      </tp>
      <tp t="e">
        <v>#N/A</v>
        <stp/>
        <stp>BDH|14568992541328476912</stp>
        <tr r="O25" s="14"/>
      </tp>
      <tp t="e">
        <v>#N/A</v>
        <stp/>
        <stp>BDH|14805242182294709212</stp>
        <tr r="W67" s="13"/>
      </tp>
      <tp t="e">
        <v>#N/A</v>
        <stp/>
        <stp>BDH|17871748463089373749</stp>
        <tr r="O16" s="22"/>
      </tp>
      <tp t="e">
        <v>#N/A</v>
        <stp/>
        <stp>BDH|18364453136540140795</stp>
        <tr r="H19" s="17"/>
      </tp>
      <tp t="e">
        <v>#N/A</v>
        <stp/>
        <stp>BDH|11905424784085448031</stp>
        <tr r="R80" s="18"/>
      </tp>
      <tp t="e">
        <v>#N/A</v>
        <stp/>
        <stp>BDH|18055287575226028352</stp>
        <tr r="L86" s="18"/>
      </tp>
      <tp t="e">
        <v>#N/A</v>
        <stp/>
        <stp>BDH|14992079063523420910</stp>
        <tr r="N13" s="26"/>
      </tp>
      <tp t="e">
        <v>#N/A</v>
        <stp/>
        <stp>BDH|12202093594174039777</stp>
        <tr r="H18" s="21"/>
      </tp>
      <tp t="e">
        <v>#N/A</v>
        <stp/>
        <stp>BDH|15831576993718052941</stp>
        <tr r="Q76" s="17"/>
        <tr r="N9" s="5"/>
        <tr r="N9" s="9"/>
      </tp>
      <tp t="e">
        <v>#N/A</v>
        <stp/>
        <stp>BDH|16178790661408604776</stp>
        <tr r="J13" s="21"/>
      </tp>
      <tp t="e">
        <v>#N/A</v>
        <stp/>
        <stp>BDH|14593148778929486355</stp>
        <tr r="K103" s="12"/>
      </tp>
      <tp t="e">
        <v>#N/A</v>
        <stp/>
        <stp>BDH|15549959442828803821</stp>
        <tr r="K73" s="17"/>
      </tp>
      <tp t="e">
        <v>#N/A</v>
        <stp/>
        <stp>BDH|16991758814240835884</stp>
        <tr r="V40" s="10"/>
        <tr r="V30" s="11"/>
      </tp>
      <tp t="e">
        <v>#N/A</v>
        <stp/>
        <stp>BDH|11244838638913779166</stp>
        <tr r="M67" s="12"/>
      </tp>
      <tp t="e">
        <v>#N/A</v>
        <stp/>
        <stp>BDH|14707833715452175784</stp>
        <tr r="Q28" s="21"/>
      </tp>
      <tp t="e">
        <v>#N/A</v>
        <stp/>
        <stp>BDH|11706760298206399110</stp>
        <tr r="Q63" s="24"/>
      </tp>
      <tp t="e">
        <v>#N/A</v>
        <stp/>
        <stp>BDH|10289080291301687068</stp>
        <tr r="S132" s="18"/>
      </tp>
      <tp t="e">
        <v>#N/A</v>
        <stp/>
        <stp>BDH|10797878229827253507</stp>
        <tr r="C37" s="21"/>
      </tp>
      <tp t="e">
        <v>#N/A</v>
        <stp/>
        <stp>BDH|17051898851955545769</stp>
        <tr r="R56" s="17"/>
      </tp>
      <tp t="e">
        <v>#N/A</v>
        <stp/>
        <stp>BDH|17684329289865048164</stp>
        <tr r="D8" s="6"/>
      </tp>
      <tp t="e">
        <v>#N/A</v>
        <stp/>
        <stp>BDH|16710029508348125670</stp>
        <tr r="E53" s="18"/>
      </tp>
      <tp t="e">
        <v>#N/A</v>
        <stp/>
        <stp>BDH|17147199185735022361</stp>
        <tr r="P51" s="24"/>
      </tp>
      <tp t="e">
        <v>#N/A</v>
        <stp/>
        <stp>BDH|11875845407953314232</stp>
        <tr r="P21" s="11"/>
      </tp>
      <tp t="e">
        <v>#N/A</v>
        <stp/>
        <stp>BDH|16362558399005720733</stp>
        <tr r="J14" s="8"/>
      </tp>
      <tp t="e">
        <v>#N/A</v>
        <stp/>
        <stp>BDH|12185810664577917363</stp>
        <tr r="L59" s="17"/>
      </tp>
      <tp t="e">
        <v>#N/A</v>
        <stp/>
        <stp>BDH|17294086591202601463</stp>
        <tr r="J58" s="17"/>
      </tp>
      <tp t="e">
        <v>#N/A</v>
        <stp/>
        <stp>BDH|11109559999513766616</stp>
        <tr r="R76" s="18"/>
      </tp>
      <tp t="e">
        <v>#N/A</v>
        <stp/>
        <stp>BDH|15646449188746825794</stp>
        <tr r="K152" s="18"/>
      </tp>
      <tp t="e">
        <v>#N/A</v>
        <stp/>
        <stp>BDH|17186558086296897418</stp>
        <tr r="U92" s="12"/>
      </tp>
      <tp t="e">
        <v>#N/A</v>
        <stp/>
        <stp>BDH|11718543760942185892</stp>
        <tr r="O52" s="13"/>
      </tp>
      <tp t="e">
        <v>#N/A</v>
        <stp/>
        <stp>BDH|18323802704668918056</stp>
        <tr r="L45" s="4"/>
        <tr r="L33" s="10"/>
        <tr r="L23" s="11"/>
        <tr r="N33" s="13"/>
      </tp>
      <tp t="e">
        <v>#N/A</v>
        <stp/>
        <stp>BDH|10259583432686190828</stp>
        <tr r="Q83" s="17"/>
      </tp>
      <tp t="e">
        <v>#N/A</v>
        <stp/>
        <stp>BDH|11358292887285178673</stp>
        <tr r="O90" s="17"/>
        <tr r="O34" s="25"/>
      </tp>
      <tp t="e">
        <v>#N/A</v>
        <stp/>
        <stp>BDH|13239726249488119030</stp>
        <tr r="S19" s="9"/>
      </tp>
      <tp t="e">
        <v>#N/A</v>
        <stp/>
        <stp>BDH|16717523361768724587</stp>
        <tr r="V33" s="12"/>
      </tp>
      <tp t="e">
        <v>#N/A</v>
        <stp/>
        <stp>BDH|18104852934263825835</stp>
        <tr r="Y19" s="20"/>
      </tp>
      <tp t="e">
        <v>#N/A</v>
        <stp/>
        <stp>BDH|13142159897870959317</stp>
        <tr r="O64" s="21"/>
      </tp>
      <tp t="e">
        <v>#N/A</v>
        <stp/>
        <stp>BDH|17033583367219439507</stp>
        <tr r="R16" s="17"/>
        <tr r="R19" s="28"/>
      </tp>
      <tp t="e">
        <v>#N/A</v>
        <stp/>
        <stp>BDH|16870872231560707526</stp>
        <tr r="I20" s="22"/>
      </tp>
      <tp t="e">
        <v>#N/A</v>
        <stp/>
        <stp>BDH|14927675102229466335</stp>
        <tr r="Y24" s="20"/>
      </tp>
      <tp t="e">
        <v>#N/A</v>
        <stp/>
        <stp>BDH|13537260017301700985</stp>
        <tr r="M57" s="11"/>
        <tr r="O15" s="23"/>
      </tp>
      <tp t="e">
        <v>#N/A</v>
        <stp/>
        <stp>BDH|11080131999024947596</stp>
        <tr r="U98" s="18"/>
      </tp>
      <tp t="e">
        <v>#N/A</v>
        <stp/>
        <stp>BDH|13116497385247586026</stp>
        <tr r="H29" s="17"/>
      </tp>
      <tp t="e">
        <v>#N/A</v>
        <stp/>
        <stp>BDH|12480901649777111065</stp>
        <tr r="H15" s="12"/>
      </tp>
      <tp t="e">
        <v>#N/A</v>
        <stp/>
        <stp>BDH|13837131023599481166</stp>
        <tr r="T66" s="13"/>
      </tp>
      <tp t="e">
        <v>#N/A</v>
        <stp/>
        <stp>BDH|12224893551875998299</stp>
        <tr r="L22" s="34"/>
      </tp>
      <tp t="e">
        <v>#N/A</v>
        <stp/>
        <stp>BDH|15354983650535435459</stp>
        <tr r="R54" s="24"/>
      </tp>
      <tp t="e">
        <v>#N/A</v>
        <stp/>
        <stp>BDH|17691252940778945100</stp>
        <tr r="D9" s="29"/>
      </tp>
      <tp t="e">
        <v>#N/A</v>
        <stp/>
        <stp>BDH|10098972276255879336</stp>
        <tr r="E20" s="26"/>
      </tp>
      <tp t="e">
        <v>#N/A</v>
        <stp/>
        <stp>BDH|17526748750954295995</stp>
        <tr r="U68" s="18"/>
      </tp>
      <tp t="e">
        <v>#N/A</v>
        <stp/>
        <stp>BDH|14429282251352791904</stp>
        <tr r="L55" s="13"/>
      </tp>
      <tp t="e">
        <v>#N/A</v>
        <stp/>
        <stp>BDH|17115894033093989783</stp>
        <tr r="R53" s="18"/>
      </tp>
      <tp t="e">
        <v>#N/A</v>
        <stp/>
        <stp>BDH|11445981868432799496</stp>
        <tr r="K67" s="13"/>
      </tp>
      <tp t="e">
        <v>#N/A</v>
        <stp/>
        <stp>BDH|14307044226479961728</stp>
        <tr r="E102" s="18"/>
      </tp>
      <tp t="e">
        <v>#N/A</v>
        <stp/>
        <stp>BDH|15196427738288597248</stp>
        <tr r="W23" s="12"/>
      </tp>
      <tp t="e">
        <v>#N/A</v>
        <stp/>
        <stp>BDH|13752103328749392164</stp>
        <tr r="H9" s="10"/>
      </tp>
      <tp t="e">
        <v>#N/A</v>
        <stp/>
        <stp>BDH|10796063991292337397</stp>
        <tr r="H16" s="29"/>
        <tr r="H39" s="29"/>
      </tp>
      <tp t="e">
        <v>#N/A</v>
        <stp/>
        <stp>BDH|13502953511982910128</stp>
        <tr r="V205" s="18"/>
      </tp>
      <tp t="e">
        <v>#N/A</v>
        <stp/>
        <stp>BDH|17428144066279913157</stp>
        <tr r="Y8" s="34"/>
      </tp>
      <tp t="e">
        <v>#N/A</v>
        <stp/>
        <stp>BDH|10992905912070598047</stp>
        <tr r="Z99" s="12"/>
      </tp>
      <tp t="e">
        <v>#N/A</v>
        <stp/>
        <stp>BDH|16853392389277423266</stp>
        <tr r="W54" s="17"/>
      </tp>
      <tp t="e">
        <v>#N/A</v>
        <stp/>
        <stp>BDH|15643636841027738890</stp>
        <tr r="M17" s="13"/>
      </tp>
      <tp t="e">
        <v>#N/A</v>
        <stp/>
        <stp>BDH|12974090144109735794</stp>
        <tr r="K42" s="34"/>
      </tp>
      <tp t="e">
        <v>#N/A</v>
        <stp/>
        <stp>BDH|12966643289546908270</stp>
        <tr r="F8" s="10"/>
      </tp>
      <tp t="e">
        <v>#N/A</v>
        <stp/>
        <stp>BDH|18278492914500279570</stp>
        <tr r="I16" s="18"/>
      </tp>
      <tp t="e">
        <v>#N/A</v>
        <stp/>
        <stp>BDH|16504001486924998206</stp>
        <tr r="L33" s="24"/>
      </tp>
      <tp t="e">
        <v>#N/A</v>
        <stp/>
        <stp>BDH|12193218296438921950</stp>
        <tr r="K16" s="25"/>
      </tp>
      <tp t="e">
        <v>#N/A</v>
        <stp/>
        <stp>BDH|11249952711896800748</stp>
        <tr r="U37" s="22"/>
      </tp>
      <tp t="e">
        <v>#N/A</v>
        <stp/>
        <stp>BDH|12215613520779029792</stp>
        <tr r="I210" s="18"/>
      </tp>
      <tp t="e">
        <v>#N/A</v>
        <stp/>
        <stp>BDH|11475405678172073861</stp>
        <tr r="D173" s="18"/>
      </tp>
      <tp t="e">
        <v>#N/A</v>
        <stp/>
        <stp>BDH|12219940513543965166</stp>
        <tr r="S68" s="24"/>
      </tp>
      <tp t="e">
        <v>#N/A</v>
        <stp/>
        <stp>BDH|15300010489990085515</stp>
        <tr r="K53" s="13"/>
      </tp>
      <tp t="e">
        <v>#N/A</v>
        <stp/>
        <stp>BDH|12527613231579766686</stp>
        <tr r="AA30" s="22"/>
      </tp>
      <tp t="e">
        <v>#N/A</v>
        <stp/>
        <stp>BDH|17694432918693075900</stp>
        <tr r="W29" s="21"/>
      </tp>
      <tp t="e">
        <v>#N/A</v>
        <stp/>
        <stp>BDH|10847237704492076829</stp>
        <tr r="I85" s="12"/>
      </tp>
      <tp t="e">
        <v>#N/A</v>
        <stp/>
        <stp>BDH|11656065081106860748</stp>
        <tr r="Q24" s="24"/>
      </tp>
      <tp t="e">
        <v>#N/A</v>
        <stp/>
        <stp>BDH|16374280574179605248</stp>
        <tr r="AA58" s="24"/>
      </tp>
      <tp t="e">
        <v>#N/A</v>
        <stp/>
        <stp>BDH|16569109324578864541</stp>
        <tr r="R80" s="12"/>
      </tp>
      <tp t="e">
        <v>#N/A</v>
        <stp/>
        <stp>BDH|14839843646927306744</stp>
        <tr r="Q38" s="24"/>
      </tp>
      <tp t="e">
        <v>#N/A</v>
        <stp/>
        <stp>BDH|11697430777339749383</stp>
        <tr r="X57" s="11"/>
        <tr r="Z15" s="23"/>
      </tp>
      <tp t="e">
        <v>#N/A</v>
        <stp/>
        <stp>BDH|16992010280444420212</stp>
        <tr r="P33" s="18"/>
      </tp>
      <tp t="e">
        <v>#N/A</v>
        <stp/>
        <stp>BDH|14518550355839858501</stp>
        <tr r="Q65" s="21"/>
        <tr r="O23" s="7"/>
      </tp>
      <tp t="e">
        <v>#N/A</v>
        <stp/>
        <stp>BDH|10675919850521902537</stp>
        <tr r="F24" s="9"/>
      </tp>
      <tp t="e">
        <v>#N/A</v>
        <stp/>
        <stp>BDH|10366084984729281901</stp>
        <tr r="I32" s="18"/>
      </tp>
      <tp t="e">
        <v>#N/A</v>
        <stp/>
        <stp>BDH|11837860950482638657</stp>
        <tr r="W19" s="34"/>
      </tp>
      <tp t="e">
        <v>#N/A</v>
        <stp/>
        <stp>BDH|11270733690740569796</stp>
        <tr r="Q181" s="18"/>
      </tp>
      <tp t="e">
        <v>#N/A</v>
        <stp/>
        <stp>BDH|16834844224102029656</stp>
        <tr r="X81" s="24"/>
      </tp>
      <tp t="e">
        <v>#N/A</v>
        <stp/>
        <stp>BDH|11269530765169848311</stp>
        <tr r="V26" s="13"/>
      </tp>
      <tp t="e">
        <v>#N/A</v>
        <stp/>
        <stp>BDH|14957152488443024693</stp>
        <tr r="H59" s="12"/>
      </tp>
      <tp t="e">
        <v>#N/A</v>
        <stp/>
        <stp>BDH|10270489525148643649</stp>
        <tr r="I85" s="17"/>
      </tp>
      <tp t="e">
        <v>#N/A</v>
        <stp/>
        <stp>BDH|12245852142891871708</stp>
        <tr r="G33" s="5"/>
      </tp>
      <tp t="e">
        <v>#N/A</v>
        <stp/>
        <stp>BDH|11388447362412931919</stp>
        <tr r="T21" s="5"/>
      </tp>
      <tp t="e">
        <v>#N/A</v>
        <stp/>
        <stp>BDH|14893353594823271564</stp>
        <tr r="N93" s="24"/>
      </tp>
      <tp t="e">
        <v>#N/A</v>
        <stp/>
        <stp>BDH|15923552081259922991</stp>
        <tr r="S69" s="34"/>
      </tp>
      <tp t="e">
        <v>#N/A</v>
        <stp/>
        <stp>BDH|17424444296161824334</stp>
        <tr r="W8" s="8"/>
      </tp>
      <tp t="e">
        <v>#N/A</v>
        <stp/>
        <stp>BDH|17644601880100841130</stp>
        <tr r="Z100" s="18"/>
      </tp>
      <tp t="e">
        <v>#N/A</v>
        <stp/>
        <stp>BDH|18410008258324394123</stp>
        <tr r="E25" s="21"/>
      </tp>
      <tp t="e">
        <v>#N/A</v>
        <stp/>
        <stp>BDH|12409612649610568842</stp>
        <tr r="P43" s="22"/>
      </tp>
      <tp t="e">
        <v>#N/A</v>
        <stp/>
        <stp>BDH|12486900870922872611</stp>
        <tr r="Z92" s="24"/>
      </tp>
      <tp t="e">
        <v>#N/A</v>
        <stp/>
        <stp>BDH|15826311181382025455</stp>
        <tr r="X78" s="18"/>
      </tp>
      <tp t="e">
        <v>#N/A</v>
        <stp/>
        <stp>BDH|18324318089952136977</stp>
        <tr r="E16" s="17"/>
        <tr r="E19" s="28"/>
      </tp>
      <tp t="e">
        <v>#N/A</v>
        <stp/>
        <stp>BDH|10148300539608724026</stp>
        <tr r="W127" s="18"/>
      </tp>
      <tp t="e">
        <v>#N/A</v>
        <stp/>
        <stp>BDH|13000613078543011941</stp>
        <tr r="H34" s="5"/>
        <tr r="J32" s="29"/>
      </tp>
      <tp t="e">
        <v>#N/A</v>
        <stp/>
        <stp>BDH|17883845025227382271</stp>
        <tr r="Z18" s="25"/>
      </tp>
      <tp t="e">
        <v>#N/A</v>
        <stp/>
        <stp>BDH|12818376183000900182</stp>
        <tr r="O70" s="12"/>
      </tp>
      <tp t="e">
        <v>#N/A</v>
        <stp/>
        <stp>BDH|18240982362418139744</stp>
        <tr r="U100" s="18"/>
      </tp>
      <tp t="e">
        <v>#N/A</v>
        <stp/>
        <stp>BDH|12235269120943054993</stp>
        <tr r="N34" s="14"/>
      </tp>
      <tp t="e">
        <v>#N/A</v>
        <stp/>
        <stp>BDH|16512488462059292505</stp>
        <tr r="Q32" s="18"/>
      </tp>
      <tp t="e">
        <v>#N/A</v>
        <stp/>
        <stp>BDH|17530432568445603850</stp>
        <tr r="P133" s="18"/>
      </tp>
      <tp t="e">
        <v>#N/A</v>
        <stp/>
        <stp>BDH|11329889255975503166</stp>
        <tr r="M15" s="22"/>
      </tp>
      <tp t="e">
        <v>#N/A</v>
        <stp/>
        <stp>BDH|15881042219258189494</stp>
        <tr r="C137" s="18"/>
      </tp>
      <tp t="e">
        <v>#N/A</v>
        <stp/>
        <stp>BDH|14359912874051917322</stp>
        <tr r="C19" s="11"/>
      </tp>
      <tp t="e">
        <v>#N/A</v>
        <stp/>
        <stp>BDH|11783006094848843879</stp>
        <tr r="L8" s="13"/>
      </tp>
      <tp t="e">
        <v>#N/A</v>
        <stp/>
        <stp>BDH|10976931333430396260</stp>
        <tr r="I18" s="2"/>
        <tr r="I53" s="4"/>
        <tr r="I46" s="10"/>
        <tr r="I36" s="11"/>
        <tr r="K58" s="13"/>
      </tp>
      <tp t="e">
        <v>#N/A</v>
        <stp/>
        <stp>BDH|12819812774753076619</stp>
        <tr r="H28" s="25"/>
        <tr r="H14" s="27"/>
      </tp>
      <tp t="e">
        <v>#N/A</v>
        <stp/>
        <stp>BDH|17156408421610859944</stp>
        <tr r="Y114" s="18"/>
      </tp>
      <tp t="e">
        <v>#N/A</v>
        <stp/>
        <stp>BDH|15711543624249387382</stp>
        <tr r="M63" s="13"/>
      </tp>
      <tp t="e">
        <v>#N/A</v>
        <stp/>
        <stp>BDH|11642321598231145219</stp>
        <tr r="V60" s="21"/>
        <tr r="T53" s="11"/>
      </tp>
      <tp t="e">
        <v>#N/A</v>
        <stp/>
        <stp>BDH|12482536425454683988</stp>
        <tr r="D22" s="11"/>
      </tp>
      <tp t="e">
        <v>#N/A</v>
        <stp/>
        <stp>BDH|12036225135953351880</stp>
        <tr r="U154" s="18"/>
      </tp>
      <tp t="e">
        <v>#N/A</v>
        <stp/>
        <stp>BDH|13823499786765320284</stp>
        <tr r="D7" s="6"/>
      </tp>
      <tp t="e">
        <v>#N/A</v>
        <stp/>
        <stp>BDH|15432788092326094528</stp>
        <tr r="E49" s="21"/>
      </tp>
      <tp t="e">
        <v>#N/A</v>
        <stp/>
        <stp>BDH|12403117159457836989</stp>
        <tr r="C14" s="2"/>
        <tr r="C11" s="10"/>
      </tp>
      <tp t="e">
        <v>#N/A</v>
        <stp/>
        <stp>BDH|14909264106487269978</stp>
        <tr r="L50" s="4"/>
      </tp>
      <tp t="e">
        <v>#N/A</v>
        <stp/>
        <stp>BDH|10912933945444184120</stp>
        <tr r="U74" s="12"/>
      </tp>
      <tp t="e">
        <v>#N/A</v>
        <stp/>
        <stp>BDH|11878761699975949225</stp>
        <tr r="W20" s="17"/>
      </tp>
      <tp t="e">
        <v>#N/A</v>
        <stp/>
        <stp>BDH|11957321502048725228</stp>
        <tr r="Y36" s="10"/>
        <tr r="Y48" s="10"/>
        <tr r="Y26" s="11"/>
        <tr r="Y38" s="11"/>
      </tp>
      <tp t="e">
        <v>#N/A</v>
        <stp/>
        <stp>BDH|12246533694920111681</stp>
        <tr r="I67" s="13"/>
      </tp>
      <tp t="e">
        <v>#N/A</v>
        <stp/>
        <stp>BDH|12321964888348794361</stp>
        <tr r="F64" s="34"/>
      </tp>
      <tp t="e">
        <v>#N/A</v>
        <stp/>
        <stp>BDH|15956306073851118877</stp>
        <tr r="P37" s="22"/>
      </tp>
      <tp t="e">
        <v>#N/A</v>
        <stp/>
        <stp>BDH|15194735211082650995</stp>
        <tr r="Q16" s="23"/>
      </tp>
      <tp t="e">
        <v>#N/A</v>
        <stp/>
        <stp>BDH|16760821449310178210</stp>
        <tr r="N29" s="10"/>
        <tr r="P38" s="13"/>
      </tp>
      <tp t="e">
        <v>#N/A</v>
        <stp/>
        <stp>BDH|12339018057999158685</stp>
        <tr r="S8" s="26"/>
        <tr r="P10" s="9"/>
      </tp>
      <tp t="e">
        <v>#N/A</v>
        <stp/>
        <stp>BDH|15016849662556390596</stp>
        <tr r="P146" s="18"/>
      </tp>
      <tp t="e">
        <v>#N/A</v>
        <stp/>
        <stp>BDH|18096845098873656263</stp>
        <tr r="D54" s="18"/>
      </tp>
      <tp t="e">
        <v>#N/A</v>
        <stp/>
        <stp>BDH|14228666570045028884</stp>
        <tr r="X57" s="10"/>
        <tr r="X47" s="11"/>
        <tr r="X18" s="7"/>
        <tr r="Z64" s="13"/>
      </tp>
      <tp t="e">
        <v>#N/A</v>
        <stp/>
        <stp>BDH|14337317839589058575</stp>
        <tr r="U26" s="7"/>
      </tp>
      <tp t="e">
        <v>#N/A</v>
        <stp/>
        <stp>BDH|15636612557047852945</stp>
        <tr r="L32" s="5"/>
      </tp>
      <tp t="e">
        <v>#N/A</v>
        <stp/>
        <stp>BDH|14853431013581404801</stp>
        <tr r="R54" s="12"/>
      </tp>
      <tp t="e">
        <v>#N/A</v>
        <stp/>
        <stp>BDH|17094091693601387756</stp>
        <tr r="M10" s="22"/>
      </tp>
      <tp t="e">
        <v>#N/A</v>
        <stp/>
        <stp>BDH|16837062382371857780</stp>
        <tr r="C12" s="7"/>
      </tp>
      <tp t="e">
        <v>#N/A</v>
        <stp/>
        <stp>BDH|17149133188366178074</stp>
        <tr r="W64" s="18"/>
      </tp>
      <tp t="e">
        <v>#N/A</v>
        <stp/>
        <stp>BDH|16708599950786589871</stp>
        <tr r="H45" s="22"/>
      </tp>
      <tp t="e">
        <v>#N/A</v>
        <stp/>
        <stp>BDH|14830100385724464154</stp>
        <tr r="Q30" s="6"/>
      </tp>
      <tp t="e">
        <v>#N/A</v>
        <stp/>
        <stp>BDH|15416267612766541893</stp>
        <tr r="H30" s="26"/>
      </tp>
      <tp t="e">
        <v>#N/A</v>
        <stp/>
        <stp>BDH|16282434225570208892</stp>
        <tr r="P62" s="24"/>
      </tp>
      <tp t="e">
        <v>#N/A</v>
        <stp/>
        <stp>BDH|16912911970867145767</stp>
        <tr r="P18" s="5"/>
        <tr r="P37" s="6"/>
      </tp>
      <tp t="e">
        <v>#N/A</v>
        <stp/>
        <stp>BDH|12400317683997134686</stp>
        <tr r="X12" s="11"/>
      </tp>
      <tp t="e">
        <v>#N/A</v>
        <stp/>
        <stp>BDH|12934813906835419752</stp>
        <tr r="O44" s="22"/>
      </tp>
      <tp t="e">
        <v>#N/A</v>
        <stp/>
        <stp>BDH|15468404506409990045</stp>
        <tr r="N70" s="34"/>
      </tp>
      <tp t="e">
        <v>#N/A</v>
        <stp/>
        <stp>BDH|14973678571378823584</stp>
        <tr r="W20" s="22"/>
      </tp>
      <tp t="e">
        <v>#N/A</v>
        <stp/>
        <stp>BDH|11333811087780948938</stp>
        <tr r="S24" s="29"/>
      </tp>
      <tp t="e">
        <v>#N/A</v>
        <stp/>
        <stp>BDH|13504542998961705613</stp>
        <tr r="N205" s="18"/>
      </tp>
      <tp t="e">
        <v>#N/A</v>
        <stp/>
        <stp>BDH|15125837207574919139</stp>
        <tr r="J28" s="17"/>
      </tp>
      <tp t="e">
        <v>#N/A</v>
        <stp/>
        <stp>BDH|17078283289261800469</stp>
        <tr r="W42" s="34"/>
      </tp>
      <tp t="e">
        <v>#N/A</v>
        <stp/>
        <stp>BDH|15231880409263568698</stp>
        <tr r="E31" s="9"/>
      </tp>
      <tp t="e">
        <v>#N/A</v>
        <stp/>
        <stp>BDH|18298703422622835770</stp>
        <tr r="L22" s="27"/>
      </tp>
      <tp t="e">
        <v>#N/A</v>
        <stp/>
        <stp>BDH|18346087532124443729</stp>
        <tr r="T34" s="29"/>
      </tp>
      <tp t="e">
        <v>#N/A</v>
        <stp/>
        <stp>BDH|12150552238995230913</stp>
        <tr r="R14" s="29"/>
        <tr r="R23" s="29"/>
        <tr r="R37" s="29"/>
      </tp>
      <tp t="e">
        <v>#N/A</v>
        <stp/>
        <stp>BDH|14922883185935801936</stp>
        <tr r="D135" s="18"/>
      </tp>
      <tp t="e">
        <v>#N/A</v>
        <stp/>
        <stp>BDH|18372203471995497099</stp>
        <tr r="E25" s="4"/>
        <tr r="E65" s="10"/>
      </tp>
      <tp t="e">
        <v>#N/A</v>
        <stp/>
        <stp>BDH|13909216227859875285</stp>
        <tr r="N30" s="17"/>
      </tp>
      <tp t="e">
        <v>#N/A</v>
        <stp/>
        <stp>BDH|12477398612089108113</stp>
        <tr r="W8" s="4"/>
      </tp>
      <tp t="e">
        <v>#N/A</v>
        <stp/>
        <stp>BDH|17037268992382954621</stp>
        <tr r="N68" s="13"/>
      </tp>
      <tp t="e">
        <v>#N/A</v>
        <stp/>
        <stp>BDH|17179297091684654000</stp>
        <tr r="M196" s="18"/>
      </tp>
      <tp t="e">
        <v>#N/A</v>
        <stp/>
        <stp>BDH|10515367424161103894</stp>
        <tr r="U10" s="23"/>
      </tp>
      <tp t="e">
        <v>#N/A</v>
        <stp/>
        <stp>BDH|17233923335331972437</stp>
        <tr r="Y31" s="17"/>
      </tp>
      <tp t="e">
        <v>#N/A</v>
        <stp/>
        <stp>BDH|14953818947564582452</stp>
        <tr r="S103" s="18"/>
      </tp>
      <tp t="e">
        <v>#N/A</v>
        <stp/>
        <stp>BDH|11517583961018597269</stp>
        <tr r="K13" s="12"/>
      </tp>
      <tp t="e">
        <v>#N/A</v>
        <stp/>
        <stp>BDH|16237285072693490838</stp>
        <tr r="S16" s="26"/>
      </tp>
      <tp t="e">
        <v>#N/A</v>
        <stp/>
        <stp>BDH|14372601089775524702</stp>
        <tr r="T27" s="24"/>
      </tp>
      <tp t="e">
        <v>#N/A</v>
        <stp/>
        <stp>BDH|17300969089969015730</stp>
        <tr r="F94" s="18"/>
      </tp>
      <tp t="e">
        <v>#N/A</v>
        <stp/>
        <stp>BDH|10215884678414850355</stp>
        <tr r="Q10" s="11"/>
      </tp>
      <tp t="e">
        <v>#N/A</v>
        <stp/>
        <stp>BDH|11971974118249906800</stp>
        <tr r="D27" s="13"/>
      </tp>
      <tp t="e">
        <v>#N/A</v>
        <stp/>
        <stp>BDH|11163621948952790937</stp>
        <tr r="O27" s="34"/>
      </tp>
      <tp t="e">
        <v>#N/A</v>
        <stp/>
        <stp>BDH|14990794665769989432</stp>
        <tr r="K11" s="13"/>
      </tp>
      <tp t="e">
        <v>#N/A</v>
        <stp/>
        <stp>BDH|11685727250888938324</stp>
        <tr r="V28" s="22"/>
      </tp>
      <tp t="e">
        <v>#N/A</v>
        <stp/>
        <stp>BDH|15087242452678085294</stp>
        <tr r="G53" s="18"/>
      </tp>
      <tp t="e">
        <v>#N/A</v>
        <stp/>
        <stp>BDH|16799902879908101802</stp>
        <tr r="P39" s="17"/>
      </tp>
      <tp t="e">
        <v>#N/A</v>
        <stp/>
        <stp>BDH|12449198540898247707</stp>
        <tr r="P31" s="18"/>
      </tp>
      <tp t="e">
        <v>#N/A</v>
        <stp/>
        <stp>BDH|14052180190935699113</stp>
        <tr r="G15" s="22"/>
      </tp>
      <tp t="e">
        <v>#N/A</v>
        <stp/>
        <stp>BDH|16774997745280062342</stp>
        <tr r="Z56" s="13"/>
      </tp>
      <tp t="e">
        <v>#N/A</v>
        <stp/>
        <stp>BDH|16060032446382378896</stp>
        <tr r="P20" s="2"/>
        <tr r="P18" s="4"/>
        <tr r="P58" s="10"/>
        <tr r="P48" s="11"/>
        <tr r="P19" s="7"/>
        <tr r="R74" s="13"/>
      </tp>
      <tp t="e">
        <v>#N/A</v>
        <stp/>
        <stp>BDH|10754966517535075594</stp>
        <tr r="U34" s="12"/>
      </tp>
      <tp t="e">
        <v>#N/A</v>
        <stp/>
        <stp>BDH|12536889044412391452</stp>
        <tr r="O37" s="26"/>
      </tp>
      <tp t="e">
        <v>#N/A</v>
        <stp/>
        <stp>BDH|12492048331099959071</stp>
        <tr r="X48" s="24"/>
      </tp>
      <tp t="e">
        <v>#N/A</v>
        <stp/>
        <stp>BDH|12358512559459038345</stp>
        <tr r="D15" s="17"/>
        <tr r="D18" s="28"/>
      </tp>
      <tp t="e">
        <v>#N/A</v>
        <stp/>
        <stp>BDH|14170684935951274819</stp>
        <tr r="T6" s="19"/>
        <tr r="T34" s="17"/>
        <tr r="T16" s="3"/>
      </tp>
      <tp t="e">
        <v>#N/A</v>
        <stp/>
        <stp>BDH|16557861983198753684</stp>
        <tr r="C54" s="11"/>
      </tp>
      <tp t="e">
        <v>#N/A</v>
        <stp/>
        <stp>BDH|18336786654937697561</stp>
        <tr r="Z125" s="18"/>
        <tr r="Z14" s="20"/>
      </tp>
      <tp t="e">
        <v>#N/A</v>
        <stp/>
        <stp>BDH|12995273995263759239</stp>
        <tr r="P33" s="12"/>
      </tp>
      <tp t="e">
        <v>#N/A</v>
        <stp/>
        <stp>BDH|14411712871709882527</stp>
        <tr r="L71" s="34"/>
      </tp>
      <tp t="e">
        <v>#N/A</v>
        <stp/>
        <stp>BDH|15800809433090223671</stp>
        <tr r="G69" s="12"/>
      </tp>
      <tp t="e">
        <v>#N/A</v>
        <stp/>
        <stp>BDH|13975202287709703878</stp>
        <tr r="E72" s="18"/>
      </tp>
      <tp t="e">
        <v>#N/A</v>
        <stp/>
        <stp>BDH|12863261541705618978</stp>
        <tr r="Z24" s="21"/>
      </tp>
      <tp t="e">
        <v>#N/A</v>
        <stp/>
        <stp>BDH|15550996987429574508</stp>
        <tr r="G22" s="4"/>
      </tp>
      <tp t="e">
        <v>#N/A</v>
        <stp/>
        <stp>BDH|17517175170831410885</stp>
        <tr r="F21" s="11"/>
      </tp>
      <tp t="e">
        <v>#N/A</v>
        <stp/>
        <stp>BDH|17274774699621384015</stp>
        <tr r="Q128" s="18"/>
      </tp>
      <tp t="e">
        <v>#N/A</v>
        <stp/>
        <stp>BDH|10237628258542215940</stp>
        <tr r="Y36" s="4"/>
      </tp>
      <tp t="e">
        <v>#N/A</v>
        <stp/>
        <stp>BDH|13116991608753891161</stp>
        <tr r="O25" s="25"/>
        <tr r="O10" s="27"/>
      </tp>
      <tp t="e">
        <v>#N/A</v>
        <stp/>
        <stp>BDH|15507455514229811129</stp>
        <tr r="N39" s="24"/>
      </tp>
      <tp t="e">
        <v>#N/A</v>
        <stp/>
        <stp>BDH|17091156000508349680</stp>
        <tr r="G164" s="18"/>
      </tp>
      <tp t="e">
        <v>#N/A</v>
        <stp/>
        <stp>BDH|17998212943509270077</stp>
        <tr r="F42" s="10"/>
        <tr r="F32" s="11"/>
      </tp>
      <tp t="e">
        <v>#N/A</v>
        <stp/>
        <stp>BDH|10387197567059714640</stp>
        <tr r="L200" s="18"/>
      </tp>
      <tp t="e">
        <v>#N/A</v>
        <stp/>
        <stp>BDH|15600867402851407482</stp>
        <tr r="F37" s="34"/>
      </tp>
      <tp t="e">
        <v>#N/A</v>
        <stp/>
        <stp>BDH|14159837958058067949</stp>
        <tr r="X86" s="18"/>
      </tp>
      <tp t="e">
        <v>#N/A</v>
        <stp/>
        <stp>BDH|13843235243015254848</stp>
        <tr r="D17" s="22"/>
      </tp>
      <tp t="e">
        <v>#N/A</v>
        <stp/>
        <stp>BDH|17901377691600440559</stp>
        <tr r="E197" s="18"/>
      </tp>
      <tp t="e">
        <v>#N/A</v>
        <stp/>
        <stp>BDH|16406287320346420865</stp>
        <tr r="D11" s="6"/>
      </tp>
      <tp t="e">
        <v>#N/A</v>
        <stp/>
        <stp>BDH|11139511648801094961</stp>
        <tr r="E38" s="4"/>
        <tr r="E56" s="11"/>
        <tr r="G13" s="23"/>
      </tp>
      <tp t="e">
        <v>#N/A</v>
        <stp/>
        <stp>BDH|11255428385643280691</stp>
        <tr r="P115" s="18"/>
      </tp>
      <tp t="e">
        <v>#N/A</v>
        <stp/>
        <stp>BDH|10614110884775865451</stp>
        <tr r="L187" s="18"/>
      </tp>
      <tp t="e">
        <v>#N/A</v>
        <stp/>
        <stp>BDH|15321539999080138168</stp>
        <tr r="E59" s="24"/>
      </tp>
      <tp t="e">
        <v>#N/A</v>
        <stp/>
        <stp>BDH|11963162871699614663</stp>
        <tr r="R68" s="18"/>
      </tp>
      <tp t="e">
        <v>#N/A</v>
        <stp/>
        <stp>BDH|11921408308979738486</stp>
        <tr r="Q90" s="24"/>
      </tp>
      <tp t="e">
        <v>#N/A</v>
        <stp/>
        <stp>BDH|17860110022194244876</stp>
        <tr r="L43" s="10"/>
        <tr r="L33" s="11"/>
      </tp>
      <tp t="e">
        <v>#N/A</v>
        <stp/>
        <stp>BDH|10181988542327449212</stp>
        <tr r="X10" s="11"/>
      </tp>
      <tp t="e">
        <v>#N/A</v>
        <stp/>
        <stp>BDH|14640030265732624884</stp>
        <tr r="Z29" s="13"/>
      </tp>
      <tp t="e">
        <v>#N/A</v>
        <stp/>
        <stp>BDH|11192818664563377497</stp>
        <tr r="AA11" s="17"/>
      </tp>
      <tp t="e">
        <v>#N/A</v>
        <stp/>
        <stp>BDH|11043446750458900032</stp>
        <tr r="C49" s="17"/>
      </tp>
      <tp t="e">
        <v>#N/A</v>
        <stp/>
        <stp>BDH|12603649792547314326</stp>
        <tr r="C167" s="18"/>
      </tp>
      <tp t="e">
        <v>#N/A</v>
        <stp/>
        <stp>BDH|17487964569316905734</stp>
        <tr r="V56" s="18"/>
      </tp>
      <tp t="e">
        <v>#N/A</v>
        <stp/>
        <stp>BDH|11224046813381148859</stp>
        <tr r="T12" s="6"/>
      </tp>
      <tp t="e">
        <v>#N/A</v>
        <stp/>
        <stp>BDH|13815198142389692649</stp>
        <tr r="T95" s="18"/>
      </tp>
      <tp t="e">
        <v>#N/A</v>
        <stp/>
        <stp>BDH|15559836638611788687</stp>
        <tr r="Z17" s="12"/>
      </tp>
      <tp t="e">
        <v>#N/A</v>
        <stp/>
        <stp>BDH|16459504194845205630</stp>
        <tr r="K23" s="14"/>
      </tp>
      <tp t="e">
        <v>#N/A</v>
        <stp/>
        <stp>BDH|11535923406275293422</stp>
        <tr r="N70" s="18"/>
      </tp>
      <tp t="e">
        <v>#N/A</v>
        <stp/>
        <stp>BDH|15519638822050540804</stp>
        <tr r="AA29" s="34"/>
      </tp>
      <tp t="e">
        <v>#N/A</v>
        <stp/>
        <stp>BDH|10272959161777069170</stp>
        <tr r="Q9" s="29"/>
      </tp>
      <tp t="e">
        <v>#N/A</v>
        <stp/>
        <stp>BDH|13811939859825476378</stp>
        <tr r="AA6" s="28"/>
      </tp>
      <tp t="e">
        <v>#N/A</v>
        <stp/>
        <stp>BDH|14924966342364898441</stp>
        <tr r="P7" s="34"/>
      </tp>
      <tp t="e">
        <v>#N/A</v>
        <stp/>
        <stp>BDH|15788961558239005984</stp>
        <tr r="R39" s="22"/>
      </tp>
      <tp t="e">
        <v>#N/A</v>
        <stp/>
        <stp>BDH|10540865474480795612</stp>
        <tr r="L13" s="24"/>
      </tp>
      <tp t="e">
        <v>#N/A</v>
        <stp/>
        <stp>BDH|17137907328404081186</stp>
        <tr r="O112" s="18"/>
      </tp>
      <tp t="e">
        <v>#N/A</v>
        <stp/>
        <stp>BDH|13325478491536755137</stp>
        <tr r="AA26" s="13"/>
      </tp>
      <tp t="e">
        <v>#N/A</v>
        <stp/>
        <stp>BDH|17800030282423196590</stp>
        <tr r="K200" s="18"/>
      </tp>
      <tp t="e">
        <v>#N/A</v>
        <stp/>
        <stp>BDH|14218928603193075723</stp>
        <tr r="P84" s="12"/>
      </tp>
      <tp t="e">
        <v>#N/A</v>
        <stp/>
        <stp>BDH|17231120638629153583</stp>
        <tr r="K64" s="12"/>
      </tp>
      <tp t="e">
        <v>#N/A</v>
        <stp/>
        <stp>BDH|12713755049990376898</stp>
        <tr r="N7" s="14"/>
      </tp>
      <tp t="e">
        <v>#N/A</v>
        <stp/>
        <stp>BDH|13145458756318145329</stp>
        <tr r="V32" s="22"/>
      </tp>
      <tp t="e">
        <v>#N/A</v>
        <stp/>
        <stp>BDH|15160412535022036945</stp>
        <tr r="AA23" s="17"/>
      </tp>
      <tp t="e">
        <v>#N/A</v>
        <stp/>
        <stp>BDH|14431467363128870780</stp>
        <tr r="H17" s="29"/>
        <tr r="H40" s="29"/>
      </tp>
      <tp t="e">
        <v>#N/A</v>
        <stp/>
        <stp>BDH|11889680826755298957</stp>
        <tr r="P40" s="24"/>
      </tp>
      <tp t="e">
        <v>#N/A</v>
        <stp/>
        <stp>BDH|16939381177573207856</stp>
        <tr r="S68" s="17"/>
        <tr r="P8" s="5"/>
        <tr r="P8" s="9"/>
      </tp>
      <tp t="e">
        <v>#N/A</v>
        <stp/>
        <stp>BDH|13019544258462840855</stp>
        <tr r="C16" s="29"/>
        <tr r="C39" s="29"/>
      </tp>
      <tp t="e">
        <v>#N/A</v>
        <stp/>
        <stp>BDH|12445767521278469667</stp>
        <tr r="S15" s="12"/>
      </tp>
      <tp t="e">
        <v>#N/A</v>
        <stp/>
        <stp>BDH|12689528688181890758</stp>
        <tr r="W57" s="24"/>
      </tp>
      <tp t="e">
        <v>#N/A</v>
        <stp/>
        <stp>BDH|16064636902118924194</stp>
        <tr r="I206" s="18"/>
      </tp>
      <tp t="e">
        <v>#N/A</v>
        <stp/>
        <stp>BDH|12124998751090881705</stp>
        <tr r="V97" s="18"/>
      </tp>
      <tp t="e">
        <v>#N/A</v>
        <stp/>
        <stp>BDH|12080944110423776028</stp>
        <tr r="Z95" s="18"/>
      </tp>
      <tp t="e">
        <v>#N/A</v>
        <stp/>
        <stp>BDH|10400022624053472872</stp>
        <tr r="K33" s="5"/>
      </tp>
      <tp t="e">
        <v>#N/A</v>
        <stp/>
        <stp>BDH|16793907762127681721</stp>
        <tr r="I72" s="17"/>
      </tp>
      <tp t="e">
        <v>#N/A</v>
        <stp/>
        <stp>BDH|10804708762100383887</stp>
        <tr r="E151" s="18"/>
      </tp>
      <tp t="e">
        <v>#N/A</v>
        <stp/>
        <stp>BDH|13421667574253020870</stp>
        <tr r="F72" s="13"/>
      </tp>
      <tp t="e">
        <v>#N/A</v>
        <stp/>
        <stp>BDH|11625203255198445760</stp>
        <tr r="C136" s="18"/>
      </tp>
      <tp t="e">
        <v>#N/A</v>
        <stp/>
        <stp>BDH|15842823076605428688</stp>
        <tr r="AA15" s="18"/>
      </tp>
      <tp t="e">
        <v>#N/A</v>
        <stp/>
        <stp>BDH|10153183762109983724</stp>
        <tr r="T75" s="24"/>
      </tp>
      <tp t="e">
        <v>#N/A</v>
        <stp/>
        <stp>BDH|14312939398294146994</stp>
        <tr r="G29" s="12"/>
      </tp>
      <tp t="e">
        <v>#N/A</v>
        <stp/>
        <stp>BDH|11061752535974168811</stp>
        <tr r="K25" s="4"/>
        <tr r="K65" s="10"/>
      </tp>
      <tp t="e">
        <v>#N/A</v>
        <stp/>
        <stp>BDH|16023654894885959581</stp>
        <tr r="F6" s="28"/>
      </tp>
      <tp t="e">
        <v>#N/A</v>
        <stp/>
        <stp>BDH|17698695973369415684</stp>
        <tr r="S7" s="6"/>
      </tp>
      <tp t="e">
        <v>#N/A</v>
        <stp/>
        <stp>BDH|12718627606825430874</stp>
        <tr r="Q18" s="18"/>
      </tp>
      <tp t="e">
        <v>#N/A</v>
        <stp/>
        <stp>BDH|13343974305907888498</stp>
        <tr r="S82" s="17"/>
        <tr r="S20" s="3"/>
        <tr r="Q6" s="7"/>
      </tp>
      <tp t="e">
        <v>#N/A</v>
        <stp/>
        <stp>BDH|15545667843746084804</stp>
        <tr r="K123" s="18"/>
        <tr r="K12" s="20"/>
      </tp>
      <tp t="e">
        <v>#N/A</v>
        <stp/>
        <stp>BDH|12578651575742505809</stp>
        <tr r="Z28" s="18"/>
      </tp>
      <tp t="e">
        <v>#N/A</v>
        <stp/>
        <stp>BDH|14803266818626583830</stp>
        <tr r="W18" s="17"/>
      </tp>
      <tp t="e">
        <v>#N/A</v>
        <stp/>
        <stp>BDH|11228185509849264016</stp>
        <tr r="Z39" s="26"/>
      </tp>
      <tp t="e">
        <v>#N/A</v>
        <stp/>
        <stp>BDH|14417485131899822351</stp>
        <tr r="N22" s="7"/>
      </tp>
      <tp t="e">
        <v>#N/A</v>
        <stp/>
        <stp>BDH|11738228283502178076</stp>
        <tr r="V58" s="12"/>
      </tp>
      <tp t="e">
        <v>#N/A</v>
        <stp/>
        <stp>BDH|11050866446343187715</stp>
        <tr r="T88" s="17"/>
      </tp>
      <tp t="e">
        <v>#N/A</v>
        <stp/>
        <stp>BDH|17373444916579422258</stp>
        <tr r="C31" s="10"/>
        <tr r="E40" s="13"/>
      </tp>
      <tp t="e">
        <v>#N/A</v>
        <stp/>
        <stp>BDH|11614922707958743942</stp>
        <tr r="J27" s="14"/>
      </tp>
      <tp t="e">
        <v>#N/A</v>
        <stp/>
        <stp>BDH|15200604397837140444</stp>
        <tr r="Y208" s="18"/>
      </tp>
      <tp t="e">
        <v>#N/A</v>
        <stp/>
        <stp>BDH|11604467780042079603</stp>
        <tr r="G44" s="22"/>
      </tp>
      <tp t="e">
        <v>#N/A</v>
        <stp/>
        <stp>BDH|17770205994246579364</stp>
        <tr r="P28" s="27"/>
      </tp>
      <tp t="e">
        <v>#N/A</v>
        <stp/>
        <stp>BDH|10984056520578895341</stp>
        <tr r="K10" s="23"/>
      </tp>
      <tp t="e">
        <v>#N/A</v>
        <stp/>
        <stp>BDH|11984679975940294993</stp>
        <tr r="I21" s="2"/>
      </tp>
      <tp t="e">
        <v>#N/A</v>
        <stp/>
        <stp>BDH|12606272933042624841</stp>
        <tr r="S22" s="12"/>
      </tp>
      <tp t="e">
        <v>#N/A</v>
        <stp/>
        <stp>BDH|11892301842188905738</stp>
        <tr r="T92" s="24"/>
      </tp>
      <tp t="e">
        <v>#N/A</v>
        <stp/>
        <stp>BDH|18332839790041388132</stp>
        <tr r="S18" s="11"/>
      </tp>
      <tp t="e">
        <v>#N/A</v>
        <stp/>
        <stp>BDH|13864185333391105920</stp>
        <tr r="H21" s="9"/>
      </tp>
      <tp t="e">
        <v>#N/A</v>
        <stp/>
        <stp>BDH|17232911333490912497</stp>
        <tr r="I148" s="18"/>
      </tp>
      <tp t="e">
        <v>#N/A</v>
        <stp/>
        <stp>BDH|18417780108560253661</stp>
        <tr r="Y34" s="14"/>
      </tp>
      <tp t="e">
        <v>#N/A</v>
        <stp/>
        <stp>BDH|12497874967140498505</stp>
        <tr r="L20" s="34"/>
      </tp>
      <tp t="e">
        <v>#N/A</v>
        <stp/>
        <stp>BDH|14249360997130027730</stp>
        <tr r="E203" s="18"/>
      </tp>
      <tp t="e">
        <v>#N/A</v>
        <stp/>
        <stp>BDH|12943072993932518089</stp>
        <tr r="M28" s="13"/>
      </tp>
      <tp t="e">
        <v>#N/A</v>
        <stp/>
        <stp>BDH|13638289269806069873</stp>
        <tr r="Y70" s="17"/>
      </tp>
      <tp t="e">
        <v>#N/A</v>
        <stp/>
        <stp>BDH|14234925765181318361</stp>
        <tr r="O42" s="4"/>
      </tp>
      <tp t="e">
        <v>#N/A</v>
        <stp/>
        <stp>BDH|15608871321795990398</stp>
        <tr r="H36" s="21"/>
      </tp>
      <tp t="e">
        <v>#N/A</v>
        <stp/>
        <stp>BDH|11155310548397804800</stp>
        <tr r="S8" s="8"/>
      </tp>
      <tp t="e">
        <v>#N/A</v>
        <stp/>
        <stp>BDH|11902604205138438680</stp>
        <tr r="T85" s="24"/>
      </tp>
      <tp t="e">
        <v>#N/A</v>
        <stp/>
        <stp>BDH|15676654352047635876</stp>
        <tr r="V34" s="21"/>
      </tp>
      <tp t="e">
        <v>#N/A</v>
        <stp/>
        <stp>BDH|11358946197301626967</stp>
        <tr r="T17" s="13"/>
      </tp>
      <tp t="e">
        <v>#N/A</v>
        <stp/>
        <stp>BDH|15459888368263323178</stp>
        <tr r="Z161" s="18"/>
      </tp>
      <tp t="e">
        <v>#N/A</v>
        <stp/>
        <stp>BDH|16036072486683511442</stp>
        <tr r="S11" s="29"/>
      </tp>
      <tp t="e">
        <v>#N/A</v>
        <stp/>
        <stp>BDH|18248901967949511709</stp>
        <tr r="AA15" s="21"/>
      </tp>
      <tp t="e">
        <v>#N/A</v>
        <stp/>
        <stp>BDH|18287277747831467665</stp>
        <tr r="T24" s="21"/>
      </tp>
      <tp t="e">
        <v>#N/A</v>
        <stp/>
        <stp>BDH|11598850613716698753</stp>
        <tr r="W57" s="34"/>
      </tp>
      <tp t="e">
        <v>#N/A</v>
        <stp/>
        <stp>BDH|11827702599413001510</stp>
        <tr r="R19" s="10"/>
      </tp>
      <tp t="e">
        <v>#N/A</v>
        <stp/>
        <stp>BDH|15857303349472786951</stp>
        <tr r="C79" s="18"/>
      </tp>
      <tp t="e">
        <v>#N/A</v>
        <stp/>
        <stp>BDH|12194875704506965584</stp>
        <tr r="P24" s="27"/>
      </tp>
      <tp t="e">
        <v>#N/A</v>
        <stp/>
        <stp>BDH|10164136886469086976</stp>
        <tr r="I22" s="21"/>
      </tp>
      <tp t="e">
        <v>#N/A</v>
        <stp/>
        <stp>BDH|17072970374954578453</stp>
        <tr r="E59" s="34"/>
      </tp>
      <tp t="e">
        <v>#N/A</v>
        <stp/>
        <stp>BDH|16722979947192657025</stp>
        <tr r="R16" s="2"/>
        <tr r="R32" s="4"/>
        <tr r="R62" s="10"/>
        <tr r="T19" s="13"/>
      </tp>
      <tp t="e">
        <v>#N/A</v>
        <stp/>
        <stp>BDH|16296975931584373144</stp>
        <tr r="C20" s="22"/>
      </tp>
      <tp t="e">
        <v>#N/A</v>
        <stp/>
        <stp>BDH|13515110395161036329</stp>
        <tr r="U24" s="20"/>
      </tp>
      <tp t="e">
        <v>#N/A</v>
        <stp/>
        <stp>BDH|15011809210026251317</stp>
        <tr r="U71" s="10"/>
        <tr r="U61" s="11"/>
      </tp>
      <tp t="e">
        <v>#N/A</v>
        <stp/>
        <stp>BDH|11382704285357616034</stp>
        <tr r="H13" s="22"/>
      </tp>
      <tp t="e">
        <v>#N/A</v>
        <stp/>
        <stp>BDH|18008339696083014862</stp>
        <tr r="P79" s="18"/>
      </tp>
      <tp t="e">
        <v>#N/A</v>
        <stp/>
        <stp>BDH|10391860956431437547</stp>
        <tr r="Q7" s="6"/>
      </tp>
      <tp t="e">
        <v>#N/A</v>
        <stp/>
        <stp>BDH|13648900674747484352</stp>
        <tr r="R77" s="17"/>
        <tr r="R19" s="3"/>
      </tp>
      <tp t="e">
        <v>#N/A</v>
        <stp/>
        <stp>BDH|14298469988715677499</stp>
        <tr r="V38" s="18"/>
      </tp>
      <tp t="e">
        <v>#N/A</v>
        <stp/>
        <stp>BDH|11197220683602502067</stp>
        <tr r="H23" s="14"/>
      </tp>
      <tp t="e">
        <v>#N/A</v>
        <stp/>
        <stp>BDH|16923490970948503464</stp>
        <tr r="Z208" s="18"/>
      </tp>
      <tp t="e">
        <v>#N/A</v>
        <stp/>
        <stp>BDH|10102051286896176701</stp>
        <tr r="N74" s="24"/>
      </tp>
      <tp t="e">
        <v>#N/A</v>
        <stp/>
        <stp>BDH|11039718052153564953</stp>
        <tr r="Q13" s="8"/>
      </tp>
      <tp t="e">
        <v>#N/A</v>
        <stp/>
        <stp>BDH|10927305857406954949</stp>
        <tr r="E182" s="18"/>
      </tp>
      <tp t="e">
        <v>#N/A</v>
        <stp/>
        <stp>BDH|14515083750160887864</stp>
        <tr r="J19" s="5"/>
        <tr r="J42" s="6"/>
      </tp>
      <tp t="e">
        <v>#N/A</v>
        <stp/>
        <stp>BDH|11705510164899319227</stp>
        <tr r="F17" s="4"/>
        <tr r="H10" s="3"/>
        <tr r="F56" s="10"/>
        <tr r="F46" s="11"/>
        <tr r="F17" s="7"/>
        <tr r="H61" s="13"/>
      </tp>
      <tp t="e">
        <v>#N/A</v>
        <stp/>
        <stp>BDH|15230412744918317477</stp>
        <tr r="AA56" s="12"/>
      </tp>
      <tp t="e">
        <v>#N/A</v>
        <stp/>
        <stp>BDH|11261144540199375469</stp>
        <tr r="AA201" s="18"/>
      </tp>
      <tp t="e">
        <v>#N/A</v>
        <stp/>
        <stp>BDH|17288041757973654849</stp>
        <tr r="P11" s="22"/>
      </tp>
      <tp t="e">
        <v>#N/A</v>
        <stp/>
        <stp>BDH|17575988169183530221</stp>
        <tr r="V15" s="17"/>
        <tr r="V18" s="28"/>
      </tp>
      <tp t="e">
        <v>#N/A</v>
        <stp/>
        <stp>BDH|15191837131210595759</stp>
        <tr r="M26" s="17"/>
      </tp>
      <tp t="e">
        <v>#N/A</v>
        <stp/>
        <stp>BDH|18191492539162045422</stp>
        <tr r="V66" s="21"/>
        <tr r="S27" s="6"/>
      </tp>
      <tp t="e">
        <v>#N/A</v>
        <stp/>
        <stp>BDH|13046316016938434004</stp>
        <tr r="G94" s="12"/>
      </tp>
      <tp t="e">
        <v>#N/A</v>
        <stp/>
        <stp>BDH|16690171508717834920</stp>
        <tr r="K15" s="30"/>
      </tp>
      <tp t="e">
        <v>#N/A</v>
        <stp/>
        <stp>BDH|12963525233148229593</stp>
        <tr r="AA25" s="21"/>
      </tp>
      <tp t="e">
        <v>#N/A</v>
        <stp/>
        <stp>BDH|10091691087275406299</stp>
        <tr r="T95" s="17"/>
      </tp>
      <tp t="e">
        <v>#N/A</v>
        <stp/>
        <stp>BDH|12335082271304087899</stp>
        <tr r="S48" s="6"/>
        <tr r="U9" s="8"/>
      </tp>
      <tp t="e">
        <v>#N/A</v>
        <stp/>
        <stp>BDH|16133145016739810683</stp>
        <tr r="C9" s="24"/>
      </tp>
      <tp t="e">
        <v>#N/A</v>
        <stp/>
        <stp>BDH|10765496559430440803</stp>
        <tr r="S26" s="29"/>
      </tp>
      <tp t="e">
        <v>#N/A</v>
        <stp/>
        <stp>BDH|15104819663486088406</stp>
        <tr r="K73" s="18"/>
      </tp>
      <tp t="e">
        <v>#N/A</v>
        <stp/>
        <stp>BDH|10486366199794987713</stp>
        <tr r="R7" s="10"/>
      </tp>
      <tp t="e">
        <v>#N/A</v>
        <stp/>
        <stp>BDH|14373924386149093549</stp>
        <tr r="P116" s="18"/>
      </tp>
      <tp t="e">
        <v>#N/A</v>
        <stp/>
        <stp>BDH|11581312011672160878</stp>
        <tr r="L28" s="17"/>
      </tp>
      <tp t="e">
        <v>#N/A</v>
        <stp/>
        <stp>BDH|14752633306562245935</stp>
        <tr r="J66" s="17"/>
      </tp>
      <tp t="e">
        <v>#N/A</v>
        <stp/>
        <stp>BDH|15959106200004224980</stp>
        <tr r="O101" s="18"/>
      </tp>
      <tp t="e">
        <v>#N/A</v>
        <stp/>
        <stp>BDH|17908948588047382851</stp>
        <tr r="L71" s="18"/>
      </tp>
      <tp t="e">
        <v>#N/A</v>
        <stp/>
        <stp>BDH|14044420160756252937</stp>
        <tr r="F32" s="22"/>
      </tp>
      <tp t="e">
        <v>#N/A</v>
        <stp/>
        <stp>BDH|17238978699977728980</stp>
        <tr r="O82" s="12"/>
      </tp>
      <tp t="e">
        <v>#N/A</v>
        <stp/>
        <stp>BDH|12820330643598876437</stp>
        <tr r="D53" s="10"/>
        <tr r="D43" s="11"/>
        <tr r="D16" s="7"/>
      </tp>
      <tp t="e">
        <v>#N/A</v>
        <stp/>
        <stp>BDH|13563465042273652943</stp>
        <tr r="P11" s="9"/>
      </tp>
      <tp t="e">
        <v>#N/A</v>
        <stp/>
        <stp>BDH|11178686581523343586</stp>
        <tr r="D8" s="22"/>
      </tp>
      <tp t="e">
        <v>#N/A</v>
        <stp/>
        <stp>BDH|10400342373619509452</stp>
        <tr r="AA22" s="27"/>
      </tp>
      <tp t="e">
        <v>#N/A</v>
        <stp/>
        <stp>BDH|16838406619069003323</stp>
        <tr r="J85" s="24"/>
      </tp>
      <tp t="e">
        <v>#N/A</v>
        <stp/>
        <stp>BDH|18178869182838561936</stp>
        <tr r="J20" s="5"/>
      </tp>
      <tp t="e">
        <v>#N/A</v>
        <stp/>
        <stp>BDH|10585894805986897729</stp>
        <tr r="K101" s="18"/>
      </tp>
      <tp t="e">
        <v>#N/A</v>
        <stp/>
        <stp>BDH|13020789099827600346</stp>
        <tr r="R38" s="18"/>
      </tp>
      <tp t="e">
        <v>#N/A</v>
        <stp/>
        <stp>BDH|15054957997258157401</stp>
        <tr r="K60" s="18"/>
      </tp>
      <tp t="e">
        <v>#N/A</v>
        <stp/>
        <stp>BDH|11834857678510759710</stp>
        <tr r="U55" s="12"/>
      </tp>
      <tp t="e">
        <v>#N/A</v>
        <stp/>
        <stp>BDH|16094126028438173488</stp>
        <tr r="AA35" s="14"/>
      </tp>
      <tp t="e">
        <v>#N/A</v>
        <stp/>
        <stp>BDH|13666320293770760033</stp>
        <tr r="Y18" s="22"/>
      </tp>
      <tp t="e">
        <v>#N/A</v>
        <stp/>
        <stp>BDH|16283998741800818202</stp>
        <tr r="M16" s="23"/>
      </tp>
      <tp t="e">
        <v>#N/A</v>
        <stp/>
        <stp>BDH|14573514774699179639</stp>
        <tr r="X31" s="12"/>
      </tp>
      <tp t="e">
        <v>#N/A</v>
        <stp/>
        <stp>BDH|14848434475048485682</stp>
        <tr r="R9" s="2"/>
        <tr r="T8" s="25"/>
        <tr r="Q10" s="5"/>
      </tp>
      <tp t="e">
        <v>#N/A</v>
        <stp/>
        <stp>BDH|11949082090331164029</stp>
        <tr r="Q89" s="17"/>
      </tp>
      <tp t="e">
        <v>#N/A</v>
        <stp/>
        <stp>BDH|17934282970749490275</stp>
        <tr r="N184" s="18"/>
      </tp>
      <tp t="e">
        <v>#N/A</v>
        <stp/>
        <stp>BDH|11420011797051211028</stp>
        <tr r="V139" s="18"/>
      </tp>
      <tp t="e">
        <v>#N/A</v>
        <stp/>
        <stp>BDH|16440144131418459579</stp>
        <tr r="J43" s="12"/>
      </tp>
      <tp t="e">
        <v>#N/A</v>
        <stp/>
        <stp>BDH|18412894398138286854</stp>
        <tr r="H45" s="17"/>
      </tp>
      <tp t="e">
        <v>#N/A</v>
        <stp/>
        <stp>BDH|18208200852624395210</stp>
        <tr r="N10" s="18"/>
      </tp>
      <tp t="e">
        <v>#N/A</v>
        <stp/>
        <stp>BDH|13150184015702711898</stp>
        <tr r="R82" s="12"/>
      </tp>
      <tp t="e">
        <v>#N/A</v>
        <stp/>
        <stp>BDH|10998055073378457694</stp>
        <tr r="E10" s="23"/>
      </tp>
      <tp t="e">
        <v>#N/A</v>
        <stp/>
        <stp>BDH|12493413474551062937</stp>
        <tr r="D25" s="26"/>
      </tp>
      <tp t="e">
        <v>#N/A</v>
        <stp/>
        <stp>BDH|18064999389647510776</stp>
        <tr r="K14" s="11"/>
      </tp>
      <tp t="e">
        <v>#N/A</v>
        <stp/>
        <stp>BDH|17409951741713297002</stp>
        <tr r="H50" s="13"/>
      </tp>
      <tp t="e">
        <v>#N/A</v>
        <stp/>
        <stp>BDH|16507880555897849521</stp>
        <tr r="H32" s="26"/>
      </tp>
      <tp t="e">
        <v>#N/A</v>
        <stp/>
        <stp>BDH|16768810600352216568</stp>
        <tr r="J63" s="12"/>
      </tp>
      <tp t="e">
        <v>#N/A</v>
        <stp/>
        <stp>BDH|10458968515548410915</stp>
        <tr r="F27" s="17"/>
      </tp>
      <tp t="e">
        <v>#N/A</v>
        <stp/>
        <stp>BDH|13009052963864008849</stp>
        <tr r="K67" s="17"/>
        <tr r="K18" s="3"/>
      </tp>
      <tp t="e">
        <v>#N/A</v>
        <stp/>
        <stp>BDH|10403361452899693642</stp>
        <tr r="C7" s="23"/>
      </tp>
      <tp t="e">
        <v>#N/A</v>
        <stp/>
        <stp>BDH|15914027829608813683</stp>
        <tr r="M63" s="12"/>
      </tp>
      <tp t="e">
        <v>#N/A</v>
        <stp/>
        <stp>BDH|10142307273985310839</stp>
        <tr r="F27" s="22"/>
      </tp>
      <tp t="e">
        <v>#N/A</v>
        <stp/>
        <stp>BDH|12223980417061605290</stp>
        <tr r="K170" s="18"/>
      </tp>
      <tp t="e">
        <v>#N/A</v>
        <stp/>
        <stp>BDH|16363056694095958397</stp>
        <tr r="D38" s="10"/>
        <tr r="D28" s="11"/>
        <tr r="F47" s="13"/>
      </tp>
      <tp t="e">
        <v>#N/A</v>
        <stp/>
        <stp>BDH|10874603649899357208</stp>
        <tr r="Z39" s="24"/>
      </tp>
      <tp t="e">
        <v>#N/A</v>
        <stp/>
        <stp>BDH|16699947770104771579</stp>
        <tr r="G11" s="22"/>
      </tp>
      <tp t="e">
        <v>#N/A</v>
        <stp/>
        <stp>BDH|17127013937605068851</stp>
        <tr r="U31" s="34"/>
      </tp>
      <tp t="e">
        <v>#N/A</v>
        <stp/>
        <stp>BDH|18085171859471859448</stp>
        <tr r="G6" s="6"/>
      </tp>
      <tp t="e">
        <v>#N/A</v>
        <stp/>
        <stp>BDH|12590918044584675244</stp>
        <tr r="R63" s="21"/>
      </tp>
      <tp t="e">
        <v>#N/A</v>
        <stp/>
        <stp>BDH|15485853123604038209</stp>
        <tr r="R19" s="20"/>
      </tp>
      <tp t="e">
        <v>#N/A</v>
        <stp/>
        <stp>BDH|12479010585223311013</stp>
        <tr r="W16" s="18"/>
      </tp>
      <tp t="e">
        <v>#N/A</v>
        <stp/>
        <stp>BDH|17433631636563494878</stp>
        <tr r="E74" s="24"/>
      </tp>
      <tp t="e">
        <v>#N/A</v>
        <stp/>
        <stp>BDH|10376461335228388619</stp>
        <tr r="X15" s="11"/>
      </tp>
      <tp t="e">
        <v>#N/A</v>
        <stp/>
        <stp>BDH|13017926929792113384</stp>
        <tr r="J11" s="24"/>
      </tp>
      <tp t="e">
        <v>#N/A</v>
        <stp/>
        <stp>BDH|13224530222145515847</stp>
        <tr r="I64" s="10"/>
      </tp>
      <tp t="e">
        <v>#N/A</v>
        <stp/>
        <stp>BDH|14433023071212532804</stp>
        <tr r="G9" s="3"/>
        <tr r="E51" s="10"/>
        <tr r="E41" s="11"/>
        <tr r="E14" s="7"/>
      </tp>
      <tp t="e">
        <v>#N/A</v>
        <stp/>
        <stp>BDH|16442293212125919943</stp>
        <tr r="T20" s="23"/>
      </tp>
      <tp t="e">
        <v>#N/A</v>
        <stp/>
        <stp>BDH|13313585179458039078</stp>
        <tr r="S91" s="17"/>
      </tp>
      <tp t="e">
        <v>#N/A</v>
        <stp/>
        <stp>BDH|10927418827218306793</stp>
        <tr r="P54" s="6"/>
      </tp>
      <tp t="e">
        <v>#N/A</v>
        <stp/>
        <stp>BDH|11179527025959554667</stp>
        <tr r="U31" s="18"/>
      </tp>
      <tp t="e">
        <v>#N/A</v>
        <stp/>
        <stp>BDH|17905596036820737846</stp>
        <tr r="P49" s="22"/>
      </tp>
      <tp t="e">
        <v>#N/A</v>
        <stp/>
        <stp>BDH|14319871805731184455</stp>
        <tr r="P72" s="18"/>
      </tp>
      <tp t="e">
        <v>#N/A</v>
        <stp/>
        <stp>BDH|14221658336318113052</stp>
        <tr r="D69" s="10"/>
      </tp>
      <tp t="e">
        <v>#N/A</v>
        <stp/>
        <stp>BDH|17698251263552434817</stp>
        <tr r="Y28" s="22"/>
      </tp>
      <tp t="e">
        <v>#N/A</v>
        <stp/>
        <stp>BDH|12548519511908158718</stp>
        <tr r="C11" s="14"/>
      </tp>
      <tp t="e">
        <v>#N/A</v>
        <stp/>
        <stp>BDH|17544245228688463689</stp>
        <tr r="V18" s="24"/>
      </tp>
      <tp t="e">
        <v>#N/A</v>
        <stp/>
        <stp>BDH|11192368803819722263</stp>
        <tr r="D74" s="24"/>
      </tp>
      <tp t="e">
        <v>#N/A</v>
        <stp/>
        <stp>BDH|15627848481999492522</stp>
        <tr r="V49" s="18"/>
      </tp>
      <tp t="e">
        <v>#N/A</v>
        <stp/>
        <stp>BDH|11700449022197042944</stp>
        <tr r="V59" s="21"/>
        <tr r="V37" s="25"/>
        <tr r="T31" s="4"/>
        <tr r="T52" s="11"/>
      </tp>
      <tp t="e">
        <v>#N/A</v>
        <stp/>
        <stp>BDH|17544954134860571447</stp>
        <tr r="R18" s="20"/>
      </tp>
      <tp t="e">
        <v>#N/A</v>
        <stp/>
        <stp>BDH|18137658539366048282</stp>
        <tr r="M48" s="17"/>
      </tp>
      <tp t="e">
        <v>#N/A</v>
        <stp/>
        <stp>BDH|12146318920178330260</stp>
        <tr r="Z79" s="34"/>
      </tp>
      <tp t="e">
        <v>#N/A</v>
        <stp/>
        <stp>BDH|18206838403129613016</stp>
        <tr r="X31" s="34"/>
      </tp>
      <tp t="e">
        <v>#N/A</v>
        <stp/>
        <stp>BDH|12052952525292200278</stp>
        <tr r="X53" s="6"/>
      </tp>
      <tp t="e">
        <v>#N/A</v>
        <stp/>
        <stp>BDH|16539279782104066150</stp>
        <tr r="AA60" s="21"/>
        <tr r="Y53" s="11"/>
      </tp>
      <tp t="e">
        <v>#N/A</v>
        <stp/>
        <stp>BDH|12368438282376316141</stp>
        <tr r="V26" s="21"/>
      </tp>
      <tp t="e">
        <v>#N/A</v>
        <stp/>
        <stp>BDH|15156873060272003039</stp>
        <tr r="P36" s="18"/>
      </tp>
      <tp t="e">
        <v>#N/A</v>
        <stp/>
        <stp>BDH|11427390195186990449</stp>
        <tr r="W209" s="18"/>
      </tp>
      <tp t="e">
        <v>#N/A</v>
        <stp/>
        <stp>BDH|17883794343844128964</stp>
        <tr r="I31" s="12"/>
      </tp>
      <tp t="e">
        <v>#N/A</v>
        <stp/>
        <stp>BDH|11058309524120265939</stp>
        <tr r="S31" s="5"/>
      </tp>
      <tp t="e">
        <v>#N/A</v>
        <stp/>
        <stp>BDH|11895985685398680165</stp>
        <tr r="J9" s="21"/>
      </tp>
      <tp t="e">
        <v>#N/A</v>
        <stp/>
        <stp>BDH|12415827428901280095</stp>
        <tr r="W25" s="13"/>
      </tp>
      <tp t="e">
        <v>#N/A</v>
        <stp/>
        <stp>BDH|11824641990701822617</stp>
        <tr r="Z26" s="26"/>
      </tp>
      <tp t="e">
        <v>#N/A</v>
        <stp/>
        <stp>BDH|10630711515597759803</stp>
        <tr r="X88" s="24"/>
      </tp>
      <tp t="e">
        <v>#N/A</v>
        <stp/>
        <stp>BDH|17852122686093139485</stp>
        <tr r="W81" s="18"/>
      </tp>
      <tp t="e">
        <v>#N/A</v>
        <stp/>
        <stp>BDH|12760931545724715230</stp>
        <tr r="F65" s="24"/>
      </tp>
      <tp t="e">
        <v>#N/A</v>
        <stp/>
        <stp>BDH|15943802380558420481</stp>
        <tr r="V68" s="10"/>
      </tp>
      <tp t="e">
        <v>#N/A</v>
        <stp/>
        <stp>BDH|10407083115260411880</stp>
        <tr r="T76" s="17"/>
        <tr r="Q9" s="5"/>
        <tr r="Q9" s="9"/>
      </tp>
      <tp t="e">
        <v>#N/A</v>
        <stp/>
        <stp>BDH|14802572961797962923</stp>
        <tr r="C57" s="10"/>
        <tr r="C47" s="11"/>
        <tr r="C18" s="7"/>
        <tr r="E64" s="13"/>
      </tp>
      <tp t="e">
        <v>#N/A</v>
        <stp/>
        <stp>BDH|12976482906707763853</stp>
        <tr r="R98" s="12"/>
      </tp>
      <tp t="e">
        <v>#N/A</v>
        <stp/>
        <stp>BDH|17108513659608972655</stp>
        <tr r="D11" s="22"/>
      </tp>
      <tp t="e">
        <v>#N/A</v>
        <stp/>
        <stp>BDH|12838848211674930618</stp>
        <tr r="Q205" s="18"/>
      </tp>
      <tp t="e">
        <v>#N/A</v>
        <stp/>
        <stp>BDH|10267315090427729413</stp>
        <tr r="M35" s="12"/>
      </tp>
      <tp t="e">
        <v>#N/A</v>
        <stp/>
        <stp>BDH|10064841971225341337</stp>
        <tr r="J19" s="12"/>
      </tp>
      <tp t="e">
        <v>#N/A</v>
        <stp/>
        <stp>BDH|14905957356224727581</stp>
        <tr r="O101" s="12"/>
      </tp>
      <tp t="e">
        <v>#N/A</v>
        <stp/>
        <stp>BDH|15886073918984669941</stp>
        <tr r="R8" s="27"/>
      </tp>
      <tp t="e">
        <v>#N/A</v>
        <stp/>
        <stp>BDH|11020911011297350760</stp>
        <tr r="D51" s="21"/>
      </tp>
      <tp t="e">
        <v>#N/A</v>
        <stp/>
        <stp>BDH|14525433915939365145</stp>
        <tr r="U39" s="6"/>
      </tp>
      <tp t="e">
        <v>#N/A</v>
        <stp/>
        <stp>BDH|14907870018942607642</stp>
        <tr r="L35" s="26"/>
      </tp>
      <tp t="e">
        <v>#N/A</v>
        <stp/>
        <stp>BDH|17103468513578235324</stp>
        <tr r="L7" s="14"/>
      </tp>
      <tp t="e">
        <v>#N/A</v>
        <stp/>
        <stp>BDH|11651139544018658530</stp>
        <tr r="U43" s="22"/>
      </tp>
      <tp t="e">
        <v>#N/A</v>
        <stp/>
        <stp>BDH|15984641205739434384</stp>
        <tr r="X13" s="22"/>
      </tp>
      <tp t="e">
        <v>#N/A</v>
        <stp/>
        <stp>BDH|15819512462388919769</stp>
        <tr r="X86" s="17"/>
      </tp>
      <tp t="e">
        <v>#N/A</v>
        <stp/>
        <stp>BDH|15130286288485605339</stp>
        <tr r="Q14" s="23"/>
      </tp>
      <tp t="e">
        <v>#N/A</v>
        <stp/>
        <stp>BDH|16420669441649455430</stp>
        <tr r="AA28" s="26"/>
      </tp>
      <tp t="e">
        <v>#N/A</v>
        <stp/>
        <stp>BDH|11736098454049700493</stp>
        <tr r="I23" s="5"/>
        <tr r="I23" s="9"/>
      </tp>
      <tp t="e">
        <v>#N/A</v>
        <stp/>
        <stp>BDH|14474885505393988641</stp>
        <tr r="I24" s="22"/>
      </tp>
      <tp t="e">
        <v>#N/A</v>
        <stp/>
        <stp>BDH|10567169706869719169</stp>
        <tr r="U9" s="3"/>
        <tr r="S51" s="10"/>
        <tr r="S41" s="11"/>
        <tr r="S14" s="7"/>
      </tp>
      <tp t="e">
        <v>#N/A</v>
        <stp/>
        <stp>BDH|13785901238212813235</stp>
        <tr r="R21" s="17"/>
        <tr r="R15" s="3"/>
      </tp>
      <tp t="e">
        <v>#N/A</v>
        <stp/>
        <stp>BDH|13723941141346380157</stp>
        <tr r="G52" s="13"/>
      </tp>
      <tp t="e">
        <v>#N/A</v>
        <stp/>
        <stp>BDH|12357821390848029250</stp>
        <tr r="S59" s="24"/>
      </tp>
      <tp t="e">
        <v>#N/A</v>
        <stp/>
        <stp>BDH|13151294390654811548</stp>
        <tr r="F51" s="12"/>
      </tp>
      <tp t="e">
        <v>#N/A</v>
        <stp/>
        <stp>BDH|10187655411217230932</stp>
        <tr r="Y29" s="14"/>
      </tp>
      <tp t="e">
        <v>#N/A</v>
        <stp/>
        <stp>BDH|16531529192695574646</stp>
        <tr r="L82" s="17"/>
        <tr r="L20" s="3"/>
        <tr r="J6" s="7"/>
      </tp>
      <tp t="e">
        <v>#N/A</v>
        <stp/>
        <stp>BDH|12167911471562669739</stp>
        <tr r="K7" s="23"/>
      </tp>
      <tp t="e">
        <v>#N/A</v>
        <stp/>
        <stp>BDH|16650851637061088501</stp>
        <tr r="K40" s="12"/>
      </tp>
      <tp t="e">
        <v>#N/A</v>
        <stp/>
        <stp>BDH|17097342977783054974</stp>
        <tr r="F15" s="30"/>
      </tp>
      <tp t="e">
        <v>#N/A</v>
        <stp/>
        <stp>BDH|10581157895505194400</stp>
        <tr r="AA35" s="24"/>
      </tp>
      <tp t="e">
        <v>#N/A</v>
        <stp/>
        <stp>BDH|11372098103058542088</stp>
        <tr r="Z57" s="12"/>
      </tp>
      <tp t="e">
        <v>#N/A</v>
        <stp/>
        <stp>BDH|13468457784292171407</stp>
        <tr r="U8" s="14"/>
      </tp>
      <tp t="e">
        <v>#N/A</v>
        <stp/>
        <stp>BDH|15424863713214661136</stp>
        <tr r="Z32" s="24"/>
      </tp>
      <tp t="e">
        <v>#N/A</v>
        <stp/>
        <stp>BDH|15159776822719511057</stp>
        <tr r="C31" s="24"/>
      </tp>
      <tp t="e">
        <v>#N/A</v>
        <stp/>
        <stp>BDH|18229557858225263493</stp>
        <tr r="H199" s="18"/>
      </tp>
      <tp t="e">
        <v>#N/A</v>
        <stp/>
        <stp>BDH|15142911752512666204</stp>
        <tr r="H84" s="24"/>
      </tp>
      <tp t="e">
        <v>#N/A</v>
        <stp/>
        <stp>BDH|14530459842135230849</stp>
        <tr r="S40" s="10"/>
        <tr r="S30" s="11"/>
      </tp>
      <tp t="e">
        <v>#N/A</v>
        <stp/>
        <stp>BDH|14307278300868638762</stp>
        <tr r="S53" s="18"/>
      </tp>
      <tp t="e">
        <v>#N/A</v>
        <stp/>
        <stp>BDH|10910187696358436977</stp>
        <tr r="H10" s="26"/>
      </tp>
      <tp t="e">
        <v>#N/A</v>
        <stp/>
        <stp>BDH|15787046826927373920</stp>
        <tr r="L77" s="34"/>
      </tp>
      <tp t="e">
        <v>#N/A</v>
        <stp/>
        <stp>BDH|15091153198025187182</stp>
        <tr r="G54" s="18"/>
      </tp>
      <tp t="e">
        <v>#N/A</v>
        <stp/>
        <stp>BDH|16133898973864718482</stp>
        <tr r="S57" s="12"/>
      </tp>
      <tp t="e">
        <v>#N/A</v>
        <stp/>
        <stp>BDH|16220224114468151417</stp>
        <tr r="M65" s="13"/>
      </tp>
      <tp t="e">
        <v>#N/A</v>
        <stp/>
        <stp>BDH|12850013759669138754</stp>
        <tr r="M14" s="23"/>
      </tp>
      <tp t="e">
        <v>#N/A</v>
        <stp/>
        <stp>BDH|15420791431910193894</stp>
        <tr r="U131" s="18"/>
      </tp>
      <tp t="e">
        <v>#N/A</v>
        <stp/>
        <stp>BDH|12072156286070355243</stp>
        <tr r="M47" s="24"/>
      </tp>
      <tp t="e">
        <v>#N/A</v>
        <stp/>
        <stp>BDH|14071737137299365032</stp>
        <tr r="T16" s="21"/>
      </tp>
      <tp t="e">
        <v>#N/A</v>
        <stp/>
        <stp>BDH|17046737342435729823</stp>
        <tr r="T120" s="18"/>
        <tr r="T8" s="20"/>
      </tp>
      <tp t="e">
        <v>#N/A</v>
        <stp/>
        <stp>BDH|13377323789619465881</stp>
        <tr r="E24" s="29"/>
      </tp>
      <tp t="e">
        <v>#N/A</v>
        <stp/>
        <stp>BDH|17738125288516859113</stp>
        <tr r="J167" s="18"/>
      </tp>
      <tp t="e">
        <v>#N/A</v>
        <stp/>
        <stp>BDH|13488154003759481227</stp>
        <tr r="G42" s="21"/>
      </tp>
      <tp t="e">
        <v>#N/A</v>
        <stp/>
        <stp>BDH|14060922189989617598</stp>
        <tr r="C16" s="11"/>
      </tp>
      <tp t="e">
        <v>#N/A</v>
        <stp/>
        <stp>BDH|12409019632288796046</stp>
        <tr r="Y6" s="27"/>
      </tp>
      <tp t="e">
        <v>#N/A</v>
        <stp/>
        <stp>BDH|15710194888842345722</stp>
        <tr r="U42" s="24"/>
      </tp>
      <tp t="e">
        <v>#N/A</v>
        <stp/>
        <stp>BDH|10255046183919652844</stp>
        <tr r="N18" s="25"/>
      </tp>
      <tp t="e">
        <v>#N/A</v>
        <stp/>
        <stp>BDH|11054544507845506812</stp>
        <tr r="M25" s="2"/>
        <tr r="O62" s="21"/>
      </tp>
      <tp t="e">
        <v>#N/A</v>
        <stp/>
        <stp>BDH|14774543189789981941</stp>
        <tr r="E50" s="4"/>
      </tp>
      <tp t="e">
        <v>#N/A</v>
        <stp/>
        <stp>BDH|15650909911626497249</stp>
        <tr r="U95" s="12"/>
      </tp>
      <tp t="e">
        <v>#N/A</v>
        <stp/>
        <stp>BDH|14411338729378985408</stp>
        <tr r="O25" s="34"/>
      </tp>
      <tp t="e">
        <v>#N/A</v>
        <stp/>
        <stp>BDH|10495024957109167573</stp>
        <tr r="E133" s="18"/>
      </tp>
      <tp t="e">
        <v>#N/A</v>
        <stp/>
        <stp>BDH|10076978366292029466</stp>
        <tr r="O93" s="17"/>
        <tr r="O13" s="28"/>
      </tp>
      <tp t="e">
        <v>#N/A</v>
        <stp/>
        <stp>BDH|11175804084639690145</stp>
        <tr r="O17" s="17"/>
        <tr r="O20" s="28"/>
      </tp>
      <tp t="e">
        <v>#N/A</v>
        <stp/>
        <stp>BDH|11699302394370367266</stp>
        <tr r="O17" s="30"/>
      </tp>
      <tp t="e">
        <v>#N/A</v>
        <stp/>
        <stp>BDH|12831179625678870054</stp>
        <tr r="G57" s="18"/>
      </tp>
      <tp t="e">
        <v>#N/A</v>
        <stp/>
        <stp>BDH|17386736256984399820</stp>
        <tr r="U84" s="24"/>
      </tp>
      <tp t="e">
        <v>#N/A</v>
        <stp/>
        <stp>BDH|10007469359119177191</stp>
        <tr r="D51" s="24"/>
      </tp>
      <tp t="e">
        <v>#N/A</v>
        <stp/>
        <stp>BDH|14846717235061386886</stp>
        <tr r="U13" s="25"/>
      </tp>
      <tp t="e">
        <v>#N/A</v>
        <stp/>
        <stp>BDH|12521303490613699242</stp>
        <tr r="N49" s="6"/>
        <tr r="P10" s="8"/>
      </tp>
      <tp t="e">
        <v>#N/A</v>
        <stp/>
        <stp>BDH|16599132334488725521</stp>
        <tr r="P103" s="18"/>
      </tp>
      <tp t="e">
        <v>#N/A</v>
        <stp/>
        <stp>BDH|11189972827993202040</stp>
        <tr r="L60" s="17"/>
      </tp>
      <tp t="e">
        <v>#N/A</v>
        <stp/>
        <stp>BDH|14302317301009715735</stp>
        <tr r="F43" s="18"/>
      </tp>
      <tp t="e">
        <v>#N/A</v>
        <stp/>
        <stp>BDH|12607917606225340752</stp>
        <tr r="Z49" s="12"/>
      </tp>
      <tp t="e">
        <v>#N/A</v>
        <stp/>
        <stp>BDH|10035883457506035284</stp>
        <tr r="T38" s="17"/>
      </tp>
      <tp t="e">
        <v>#N/A</v>
        <stp/>
        <stp>BDH|15843613578358352553</stp>
        <tr r="K11" s="14"/>
      </tp>
      <tp t="e">
        <v>#N/A</v>
        <stp/>
        <stp>BDH|12076801481478221341</stp>
        <tr r="X25" s="12"/>
      </tp>
      <tp t="e">
        <v>#N/A</v>
        <stp/>
        <stp>BDH|11161746471860192820</stp>
        <tr r="P21" s="4"/>
      </tp>
      <tp t="e">
        <v>#N/A</v>
        <stp/>
        <stp>BDH|16253936262522124254</stp>
        <tr r="J146" s="18"/>
      </tp>
      <tp t="e">
        <v>#N/A</v>
        <stp/>
        <stp>BDH|18070054124055205643</stp>
        <tr r="I62" s="34"/>
      </tp>
      <tp t="e">
        <v>#N/A</v>
        <stp/>
        <stp>BDH|14124345887000286678</stp>
        <tr r="N53" s="10"/>
        <tr r="N43" s="11"/>
        <tr r="N16" s="7"/>
      </tp>
      <tp t="e">
        <v>#N/A</v>
        <stp/>
        <stp>BDH|13977761033968283690</stp>
        <tr r="T9" s="21"/>
      </tp>
      <tp t="e">
        <v>#N/A</v>
        <stp/>
        <stp>BDH|13574783761662219995</stp>
        <tr r="N13" s="12"/>
      </tp>
      <tp t="e">
        <v>#N/A</v>
        <stp/>
        <stp>BDH|14096822500006372369</stp>
        <tr r="T178" s="18"/>
      </tp>
      <tp t="e">
        <v>#N/A</v>
        <stp/>
        <stp>BDH|17528259321506214854</stp>
        <tr r="O22" s="10"/>
      </tp>
      <tp t="e">
        <v>#N/A</v>
        <stp/>
        <stp>BDH|12546053697392582047</stp>
        <tr r="J199" s="18"/>
      </tp>
      <tp t="e">
        <v>#N/A</v>
        <stp/>
        <stp>BDH|15281176684654263155</stp>
        <tr r="H44" s="17"/>
      </tp>
      <tp t="e">
        <v>#N/A</v>
        <stp/>
        <stp>BDH|14081870877947296542</stp>
        <tr r="U35" s="4"/>
      </tp>
      <tp t="e">
        <v>#N/A</v>
        <stp/>
        <stp>BDH|14632409502569176032</stp>
        <tr r="K33" s="14"/>
      </tp>
      <tp t="e">
        <v>#N/A</v>
        <stp/>
        <stp>BDH|15561538246069422426</stp>
        <tr r="H28" s="21"/>
      </tp>
      <tp t="e">
        <v>#N/A</v>
        <stp/>
        <stp>BDH|12476262636468697242</stp>
        <tr r="G197" s="18"/>
      </tp>
      <tp t="e">
        <v>#N/A</v>
        <stp/>
        <stp>BDH|13254452971718000109</stp>
        <tr r="S10" s="17"/>
      </tp>
      <tp t="e">
        <v>#N/A</v>
        <stp/>
        <stp>BDH|10706854319994514484</stp>
        <tr r="I25" s="7"/>
      </tp>
      <tp t="e">
        <v>#N/A</v>
        <stp/>
        <stp>BDH|17532328094527047352</stp>
        <tr r="Q13" s="10"/>
      </tp>
      <tp t="e">
        <v>#N/A</v>
        <stp/>
        <stp>BDH|13859344789412191323</stp>
        <tr r="J73" s="10"/>
        <tr r="J63" s="11"/>
      </tp>
      <tp t="e">
        <v>#N/A</v>
        <stp/>
        <stp>BDH|13647209889144822411</stp>
        <tr r="U78" s="18"/>
      </tp>
      <tp t="e">
        <v>#N/A</v>
        <stp/>
        <stp>BDH|11488961930582010043</stp>
        <tr r="T14" s="34"/>
      </tp>
      <tp t="e">
        <v>#N/A</v>
        <stp/>
        <stp>BDH|15216796834320136889</stp>
        <tr r="L134" s="18"/>
      </tp>
      <tp t="e">
        <v>#N/A</v>
        <stp/>
        <stp>BDH|15666963677574893697</stp>
        <tr r="R18" s="12"/>
      </tp>
      <tp t="e">
        <v>#N/A</v>
        <stp/>
        <stp>BDH|13694635181654561072</stp>
        <tr r="F9" s="18"/>
      </tp>
      <tp t="e">
        <v>#N/A</v>
        <stp/>
        <stp>BDH|14020957907024219069</stp>
        <tr r="J21" s="27"/>
      </tp>
      <tp t="e">
        <v>#N/A</v>
        <stp/>
        <stp>BDH|17758855784857018904</stp>
        <tr r="L68" s="17"/>
        <tr r="I8" s="5"/>
        <tr r="I8" s="9"/>
      </tp>
      <tp t="e">
        <v>#N/A</v>
        <stp/>
        <stp>BDH|14114014390945013161</stp>
        <tr r="E26" s="7"/>
      </tp>
      <tp t="e">
        <v>#N/A</v>
        <stp/>
        <stp>BDH|10771104896528439939</stp>
        <tr r="I170" s="18"/>
      </tp>
      <tp t="e">
        <v>#N/A</v>
        <stp/>
        <stp>BDH|12108978584282027844</stp>
        <tr r="K17" s="30"/>
      </tp>
      <tp t="e">
        <v>#N/A</v>
        <stp/>
        <stp>BDH|12354867471433168733</stp>
        <tr r="Y19" s="18"/>
      </tp>
      <tp t="e">
        <v>#N/A</v>
        <stp/>
        <stp>BDH|13766948565902878783</stp>
        <tr r="M62" s="17"/>
      </tp>
      <tp t="e">
        <v>#N/A</v>
        <stp/>
        <stp>BDH|16246661217771253974</stp>
        <tr r="S158" s="18"/>
      </tp>
      <tp t="e">
        <v>#N/A</v>
        <stp/>
        <stp>BDH|12773513523784095838</stp>
        <tr r="V8" s="6"/>
      </tp>
      <tp t="e">
        <v>#N/A</v>
        <stp/>
        <stp>BDH|10958836648127016241</stp>
        <tr r="D203" s="18"/>
      </tp>
      <tp t="e">
        <v>#N/A</v>
        <stp/>
        <stp>BDH|15972644252726934905</stp>
        <tr r="T6" s="15"/>
        <tr r="T12" s="2"/>
        <tr r="T11" s="4"/>
        <tr r="T6" s="10"/>
      </tp>
      <tp t="e">
        <v>#N/A</v>
        <stp/>
        <stp>BDH|18408450117432639665</stp>
        <tr r="L59" s="11"/>
      </tp>
      <tp t="e">
        <v>#N/A</v>
        <stp/>
        <stp>BDH|13492876604844642671</stp>
        <tr r="W33" s="6"/>
      </tp>
      <tp t="e">
        <v>#N/A</v>
        <stp/>
        <stp>BDH|11617748263918638112</stp>
        <tr r="E11" s="24"/>
      </tp>
      <tp t="e">
        <v>#N/A</v>
        <stp/>
        <stp>BDH|18106474847953747208</stp>
        <tr r="I13" s="22"/>
      </tp>
      <tp t="e">
        <v>#N/A</v>
        <stp/>
        <stp>BDH|17184123590400166648</stp>
        <tr r="I90" s="18"/>
      </tp>
      <tp t="e">
        <v>#N/A</v>
        <stp/>
        <stp>BDH|18400154020464744605</stp>
        <tr r="V33" s="14"/>
      </tp>
      <tp t="e">
        <v>#N/A</v>
        <stp/>
        <stp>BDH|17959523111469474385</stp>
        <tr r="AA39" s="25"/>
        <tr r="AA7" s="3"/>
        <tr r="Y17" s="11"/>
        <tr r="AA22" s="13"/>
        <tr r="AA7" s="13"/>
      </tp>
      <tp t="e">
        <v>#N/A</v>
        <stp/>
        <stp>BDH|12720809071577783376</stp>
        <tr r="I29" s="13"/>
      </tp>
      <tp t="e">
        <v>#N/A</v>
        <stp/>
        <stp>BDH|11059210220488195068</stp>
        <tr r="Z43" s="22"/>
      </tp>
      <tp t="e">
        <v>#N/A</v>
        <stp/>
        <stp>BDH|14863345295877887074</stp>
        <tr r="R26" s="21"/>
      </tp>
      <tp t="e">
        <v>#N/A</v>
        <stp/>
        <stp>BDH|13741013517353266854</stp>
        <tr r="V63" s="18"/>
      </tp>
      <tp t="e">
        <v>#N/A</v>
        <stp/>
        <stp>BDH|16087389271632640995</stp>
        <tr r="H76" s="34"/>
      </tp>
      <tp t="e">
        <v>#N/A</v>
        <stp/>
        <stp>BDH|14088611755398586674</stp>
        <tr r="L61" s="21"/>
      </tp>
      <tp t="e">
        <v>#N/A</v>
        <stp/>
        <stp>BDH|12539907032469132806</stp>
        <tr r="V23" s="18"/>
      </tp>
      <tp t="e">
        <v>#N/A</v>
        <stp/>
        <stp>BDH|18400611576320559002</stp>
        <tr r="Y31" s="26"/>
        <tr r="V14" s="9"/>
      </tp>
      <tp t="e">
        <v>#N/A</v>
        <stp/>
        <stp>BDH|17065557327208553113</stp>
        <tr r="Y148" s="18"/>
      </tp>
      <tp t="e">
        <v>#N/A</v>
        <stp/>
        <stp>BDH|12970440563641872803</stp>
        <tr r="AA30" s="24"/>
      </tp>
      <tp t="e">
        <v>#N/A</v>
        <stp/>
        <stp>BDH|18135030019457963744</stp>
        <tr r="O91" s="17"/>
      </tp>
      <tp t="e">
        <v>#N/A</v>
        <stp/>
        <stp>BDH|15038131006244432989</stp>
        <tr r="E12" s="18"/>
      </tp>
      <tp t="e">
        <v>#N/A</v>
        <stp/>
        <stp>BDH|18138759648431672331</stp>
        <tr r="L12" s="21"/>
      </tp>
      <tp t="e">
        <v>#N/A</v>
        <stp/>
        <stp>BDH|14528859148301648074</stp>
        <tr r="L69" s="12"/>
      </tp>
      <tp t="e">
        <v>#N/A</v>
        <stp/>
        <stp>BDH|10340604997961470791</stp>
        <tr r="X23" s="22"/>
      </tp>
      <tp t="e">
        <v>#N/A</v>
        <stp/>
        <stp>BDH|17442366994951731587</stp>
        <tr r="D10" s="26"/>
      </tp>
      <tp t="e">
        <v>#N/A</v>
        <stp/>
        <stp>BDH|13235195294941686309</stp>
        <tr r="Y26" s="10"/>
        <tr r="AA35" s="13"/>
      </tp>
      <tp t="e">
        <v>#N/A</v>
        <stp/>
        <stp>BDH|11877238950417072821</stp>
        <tr r="Z53" s="12"/>
      </tp>
      <tp t="e">
        <v>#N/A</v>
        <stp/>
        <stp>BDH|17722666902760877829</stp>
        <tr r="C57" s="13"/>
      </tp>
      <tp t="e">
        <v>#N/A</v>
        <stp/>
        <stp>BDH|13800872806255253726</stp>
        <tr r="D15" s="18"/>
      </tp>
      <tp t="e">
        <v>#N/A</v>
        <stp/>
        <stp>BDH|14720387482290703634</stp>
        <tr r="AA25" s="14"/>
      </tp>
      <tp t="e">
        <v>#N/A</v>
        <stp/>
        <stp>BDH|14866475933463402914</stp>
        <tr r="N18" s="22"/>
      </tp>
      <tp t="e">
        <v>#N/A</v>
        <stp/>
        <stp>BDH|12800805793058631245</stp>
        <tr r="P54" s="12"/>
      </tp>
      <tp t="e">
        <v>#N/A</v>
        <stp/>
        <stp>BDH|13620814958527640006</stp>
        <tr r="N24" s="17"/>
      </tp>
      <tp t="e">
        <v>#N/A</v>
        <stp/>
        <stp>BDH|12145924176393977655</stp>
        <tr r="C87" s="17"/>
      </tp>
      <tp t="e">
        <v>#N/A</v>
        <stp/>
        <stp>BDH|11699089292563578203</stp>
        <tr r="C34" s="10"/>
        <tr r="C24" s="11"/>
      </tp>
      <tp t="e">
        <v>#N/A</v>
        <stp/>
        <stp>BDH|17556065996732954552</stp>
        <tr r="G30" s="22"/>
      </tp>
      <tp t="e">
        <v>#N/A</v>
        <stp/>
        <stp>BDH|12397962850497866049</stp>
        <tr r="J50" s="34"/>
      </tp>
      <tp t="e">
        <v>#N/A</v>
        <stp/>
        <stp>BDH|11028345268208278575</stp>
        <tr r="K51" s="17"/>
        <tr r="K17" s="3"/>
      </tp>
      <tp t="e">
        <v>#N/A</v>
        <stp/>
        <stp>BDH|15623174584093893649</stp>
        <tr r="Y34" s="29"/>
      </tp>
      <tp t="e">
        <v>#N/A</v>
        <stp/>
        <stp>BDH|10270676320008546593</stp>
        <tr r="W12" s="24"/>
      </tp>
      <tp t="e">
        <v>#N/A</v>
        <stp/>
        <stp>BDH|12207890910935754758</stp>
        <tr r="P8" s="12"/>
      </tp>
      <tp t="e">
        <v>#N/A</v>
        <stp/>
        <stp>BDH|15579059121036090883</stp>
        <tr r="R57" s="13"/>
      </tp>
      <tp t="e">
        <v>#N/A</v>
        <stp/>
        <stp>BDH|16629679222073368886</stp>
        <tr r="T16" s="18"/>
      </tp>
      <tp t="e">
        <v>#N/A</v>
        <stp/>
        <stp>BDH|15533049572688268391</stp>
        <tr r="K127" s="18"/>
      </tp>
      <tp t="e">
        <v>#N/A</v>
        <stp/>
        <stp>BDH|15690322723704862973</stp>
        <tr r="T65" s="12"/>
      </tp>
      <tp t="e">
        <v>#N/A</v>
        <stp/>
        <stp>BDH|15022826319975220016</stp>
        <tr r="H10" s="2"/>
        <tr r="G11" s="5"/>
        <tr r="G51" s="6"/>
        <tr r="I33" s="29"/>
        <tr r="I42" s="29"/>
      </tp>
      <tp t="e">
        <v>#N/A</v>
        <stp/>
        <stp>BDH|17730454607839557383</stp>
        <tr r="M19" s="20"/>
      </tp>
      <tp t="e">
        <v>#N/A</v>
        <stp/>
        <stp>BDH|14895320143023820993</stp>
        <tr r="R14" s="22"/>
      </tp>
      <tp t="e">
        <v>#N/A</v>
        <stp/>
        <stp>BDH|11288373713733765995</stp>
        <tr r="K57" s="34"/>
      </tp>
      <tp t="e">
        <v>#N/A</v>
        <stp/>
        <stp>BDH|14443038146718018194</stp>
        <tr r="G33" s="9"/>
      </tp>
      <tp t="e">
        <v>#N/A</v>
        <stp/>
        <stp>BDH|14595836376717124594</stp>
        <tr r="H16" s="20"/>
      </tp>
      <tp t="e">
        <v>#N/A</v>
        <stp/>
        <stp>BDH|14906927954849653817</stp>
        <tr r="O27" s="13"/>
      </tp>
      <tp t="e">
        <v>#N/A</v>
        <stp/>
        <stp>BDH|11832076636978959384</stp>
        <tr r="D22" s="10"/>
      </tp>
      <tp t="e">
        <v>#N/A</v>
        <stp/>
        <stp>BDH|11856909562193186439</stp>
        <tr r="T16" s="34"/>
      </tp>
      <tp t="e">
        <v>#N/A</v>
        <stp/>
        <stp>BDH|14061896150999717964</stp>
        <tr r="X9" s="34"/>
      </tp>
      <tp t="e">
        <v>#N/A</v>
        <stp/>
        <stp>BDH|10978348843449421725</stp>
        <tr r="R49" s="18"/>
      </tp>
      <tp t="e">
        <v>#N/A</v>
        <stp/>
        <stp>BDH|17170689491130957196</stp>
        <tr r="P13" s="17"/>
        <tr r="P16" s="28"/>
      </tp>
      <tp t="e">
        <v>#N/A</v>
        <stp/>
        <stp>BDH|17957849456584269713</stp>
        <tr r="R29" s="4"/>
      </tp>
      <tp t="e">
        <v>#N/A</v>
        <stp/>
        <stp>BDH|11000126167397504886</stp>
        <tr r="G71" s="34"/>
      </tp>
      <tp t="e">
        <v>#N/A</v>
        <stp/>
        <stp>BDH|16634821609616378160</stp>
        <tr r="E35" s="34"/>
      </tp>
      <tp t="e">
        <v>#N/A</v>
        <stp/>
        <stp>BDH|12470052426700889978</stp>
        <tr r="P29" s="12"/>
      </tp>
      <tp t="e">
        <v>#N/A</v>
        <stp/>
        <stp>BDH|13624589883345695233</stp>
        <tr r="U25" s="3"/>
      </tp>
      <tp t="e">
        <v>#N/A</v>
        <stp/>
        <stp>BDH|17884476006989851390</stp>
        <tr r="K33" s="21"/>
      </tp>
      <tp t="e">
        <v>#N/A</v>
        <stp/>
        <stp>BDH|10389612464068790191</stp>
        <tr r="N30" s="22"/>
      </tp>
      <tp t="e">
        <v>#N/A</v>
        <stp/>
        <stp>BDH|12116462428818095570</stp>
        <tr r="M165" s="18"/>
      </tp>
      <tp t="e">
        <v>#N/A</v>
        <stp/>
        <stp>BDH|14629898820294038379</stp>
        <tr r="E25" s="7"/>
      </tp>
      <tp t="e">
        <v>#N/A</v>
        <stp/>
        <stp>BDH|10859887213027906723</stp>
        <tr r="U12" s="25"/>
      </tp>
      <tp t="e">
        <v>#N/A</v>
        <stp/>
        <stp>BDH|17995045619758498783</stp>
        <tr r="I28" s="25"/>
        <tr r="I14" s="27"/>
      </tp>
      <tp t="e">
        <v>#N/A</v>
        <stp/>
        <stp>BDH|12353892811485031730</stp>
        <tr r="Y101" s="18"/>
      </tp>
      <tp t="e">
        <v>#N/A</v>
        <stp/>
        <stp>BDH|10321190943328652471</stp>
        <tr r="D19" s="30"/>
      </tp>
      <tp t="e">
        <v>#N/A</v>
        <stp/>
        <stp>BDH|12942030828758277181</stp>
        <tr r="T180" s="18"/>
      </tp>
      <tp t="e">
        <v>#N/A</v>
        <stp/>
        <stp>BDH|16434821943403826051</stp>
        <tr r="N77" s="12"/>
      </tp>
      <tp t="e">
        <v>#N/A</v>
        <stp/>
        <stp>BDH|10647842531686939426</stp>
        <tr r="R29" s="14"/>
      </tp>
      <tp t="e">
        <v>#N/A</v>
        <stp/>
        <stp>BDH|13079041634820827908</stp>
        <tr r="F34" s="9"/>
      </tp>
      <tp t="e">
        <v>#N/A</v>
        <stp/>
        <stp>BDH|12284132669489537566</stp>
        <tr r="Y50" s="18"/>
      </tp>
      <tp t="e">
        <v>#N/A</v>
        <stp/>
        <stp>BDH|11290103484273507283</stp>
        <tr r="D69" s="34"/>
      </tp>
      <tp t="e">
        <v>#N/A</v>
        <stp/>
        <stp>BDH|13619907196938221294</stp>
        <tr r="R21" s="22"/>
      </tp>
      <tp t="e">
        <v>#N/A</v>
        <stp/>
        <stp>BDH|11956181204701782892</stp>
        <tr r="K6" s="2"/>
        <tr r="J6" s="5"/>
        <tr r="J6" s="9"/>
        <tr r="L12" s="8"/>
        <tr r="L10" s="29"/>
        <tr r="L19" s="29"/>
        <tr r="L25" s="29"/>
      </tp>
      <tp t="e">
        <v>#N/A</v>
        <stp/>
        <stp>BDH|17086963102296707181</stp>
        <tr r="W76" s="34"/>
      </tp>
      <tp t="e">
        <v>#N/A</v>
        <stp/>
        <stp>BDH|15691902156536272696</stp>
        <tr r="T29" s="17"/>
      </tp>
      <tp t="e">
        <v>#N/A</v>
        <stp/>
        <stp>BDH|15933793156038460699</stp>
        <tr r="N27" s="12"/>
      </tp>
      <tp t="e">
        <v>#N/A</v>
        <stp/>
        <stp>BDH|11016298925660601811</stp>
        <tr r="Q10" s="18"/>
      </tp>
      <tp t="e">
        <v>#N/A</v>
        <stp/>
        <stp>BDH|17569887225577397303</stp>
        <tr r="X50" s="12"/>
      </tp>
      <tp t="e">
        <v>#N/A</v>
        <stp/>
        <stp>BDH|12934069234039761172</stp>
        <tr r="F54" s="17"/>
      </tp>
      <tp t="e">
        <v>#N/A</v>
        <stp/>
        <stp>BDH|12748868468085366017</stp>
        <tr r="Y103" s="12"/>
      </tp>
      <tp t="e">
        <v>#N/A</v>
        <stp/>
        <stp>BDH|15495148371019289385</stp>
        <tr r="S128" s="18"/>
      </tp>
      <tp t="e">
        <v>#N/A</v>
        <stp/>
        <stp>BDH|14583582640645248944</stp>
        <tr r="R41" s="22"/>
      </tp>
      <tp t="e">
        <v>#N/A</v>
        <stp/>
        <stp>BDH|10736934673673855448</stp>
        <tr r="T43" s="12"/>
      </tp>
      <tp t="e">
        <v>#N/A</v>
        <stp/>
        <stp>BDH|12065373686038379891</stp>
        <tr r="N25" s="25"/>
        <tr r="N10" s="27"/>
      </tp>
      <tp t="e">
        <v>#N/A</v>
        <stp/>
        <stp>BDH|15422606544218963623</stp>
        <tr r="M78" s="24"/>
      </tp>
      <tp t="e">
        <v>#N/A</v>
        <stp/>
        <stp>BDH|17091696307270386866</stp>
        <tr r="X38" s="17"/>
      </tp>
      <tp t="e">
        <v>#N/A</v>
        <stp/>
        <stp>BDH|14201154999305561003</stp>
        <tr r="I17" s="6"/>
      </tp>
      <tp t="e">
        <v>#N/A</v>
        <stp/>
        <stp>BDH|10310323549407278910</stp>
        <tr r="C42" s="12"/>
      </tp>
      <tp t="e">
        <v>#N/A</v>
        <stp/>
        <stp>BDH|13026822958174293339</stp>
        <tr r="U22" s="30"/>
        <tr r="U24" s="23"/>
      </tp>
      <tp t="e">
        <v>#N/A</v>
        <stp/>
        <stp>BDH|11204011675048925742</stp>
        <tr r="Z94" s="17"/>
      </tp>
      <tp t="e">
        <v>#N/A</v>
        <stp/>
        <stp>BDH|10658602881163579496</stp>
        <tr r="D44" s="22"/>
      </tp>
      <tp t="e">
        <v>#N/A</v>
        <stp/>
        <stp>BDH|13930857467342917693</stp>
        <tr r="J13" s="26"/>
      </tp>
      <tp t="e">
        <v>#N/A</v>
        <stp/>
        <stp>BDH|12711521175058973122</stp>
        <tr r="AA97" s="18"/>
      </tp>
      <tp t="e">
        <v>#N/A</v>
        <stp/>
        <stp>BDH|10489302133108884147</stp>
        <tr r="M12" s="24"/>
      </tp>
      <tp t="e">
        <v>#N/A</v>
        <stp/>
        <stp>BDH|17673660981707314795</stp>
        <tr r="Z94" s="18"/>
      </tp>
      <tp t="e">
        <v>#N/A</v>
        <stp/>
        <stp>BDH|14703201439148223476</stp>
        <tr r="L20" s="29"/>
      </tp>
      <tp t="e">
        <v>#N/A</v>
        <stp/>
        <stp>BDH|16749779353504889904</stp>
        <tr r="E73" s="34"/>
      </tp>
      <tp t="e">
        <v>#N/A</v>
        <stp/>
        <stp>BDH|14982905121257623146</stp>
        <tr r="R10" s="21"/>
      </tp>
      <tp t="e">
        <v>#N/A</v>
        <stp/>
        <stp>BDH|15209319708396173906</stp>
        <tr r="T21" s="11"/>
      </tp>
      <tp t="e">
        <v>#N/A</v>
        <stp/>
        <stp>BDH|11323648352279956266</stp>
        <tr r="U17" s="6"/>
      </tp>
      <tp t="e">
        <v>#N/A</v>
        <stp/>
        <stp>BDH|13798498671751595805</stp>
        <tr r="L84" s="18"/>
      </tp>
      <tp t="e">
        <v>#N/A</v>
        <stp/>
        <stp>BDH|10526151943999013591</stp>
        <tr r="R65" s="21"/>
        <tr r="P23" s="7"/>
      </tp>
      <tp t="e">
        <v>#N/A</v>
        <stp/>
        <stp>BDH|15537838243577657791</stp>
        <tr r="Q71" s="24"/>
      </tp>
      <tp t="e">
        <v>#N/A</v>
        <stp/>
        <stp>BDH|14308861245083996232</stp>
        <tr r="C57" s="18"/>
      </tp>
      <tp t="e">
        <v>#N/A</v>
        <stp/>
        <stp>BDH|17633824688836715814</stp>
        <tr r="Q63" s="21"/>
      </tp>
      <tp t="e">
        <v>#N/A</v>
        <stp/>
        <stp>BDH|14827489283968881910</stp>
        <tr r="U22" s="7"/>
      </tp>
      <tp t="e">
        <v>#N/A</v>
        <stp/>
        <stp>BDH|17357402290384198785</stp>
        <tr r="Z16" s="34"/>
      </tp>
      <tp t="e">
        <v>#N/A</v>
        <stp/>
        <stp>BDH|11173934069443277438</stp>
        <tr r="L97" s="18"/>
      </tp>
      <tp t="e">
        <v>#N/A</v>
        <stp/>
        <stp>BDH|15728229053743949857</stp>
        <tr r="V74" s="18"/>
      </tp>
      <tp t="e">
        <v>#N/A</v>
        <stp/>
        <stp>BDH|14995666052119712700</stp>
        <tr r="H61" s="34"/>
      </tp>
      <tp t="e">
        <v>#N/A</v>
        <stp/>
        <stp>BDH|16338838856020809245</stp>
        <tr r="P16" s="22"/>
      </tp>
      <tp t="e">
        <v>#N/A</v>
        <stp/>
        <stp>BDH|16383627218051795948</stp>
        <tr r="D70" s="17"/>
      </tp>
      <tp t="e">
        <v>#N/A</v>
        <stp/>
        <stp>BDH|14174434008308298124</stp>
        <tr r="K16" s="23"/>
      </tp>
      <tp t="e">
        <v>#N/A</v>
        <stp/>
        <stp>BDH|14431198692797465217</stp>
        <tr r="F66" s="17"/>
      </tp>
      <tp t="e">
        <v>#N/A</v>
        <stp/>
        <stp>BDH|10023612183780129799</stp>
        <tr r="G27" s="34"/>
      </tp>
      <tp t="e">
        <v>#N/A</v>
        <stp/>
        <stp>BDH|14158373198325725234</stp>
        <tr r="P8" s="6"/>
      </tp>
      <tp t="e">
        <v>#N/A</v>
        <stp/>
        <stp>BDH|12893049877164167804</stp>
        <tr r="T30" s="34"/>
      </tp>
      <tp t="e">
        <v>#N/A</v>
        <stp/>
        <stp>BDH|15686895309840404486</stp>
        <tr r="C51" s="13"/>
      </tp>
      <tp t="e">
        <v>#N/A</v>
        <stp/>
        <stp>BDH|14296187761273570948</stp>
        <tr r="D18" s="10"/>
      </tp>
      <tp t="e">
        <v>#N/A</v>
        <stp/>
        <stp>BDH|15593874875791513288</stp>
        <tr r="G33" s="6"/>
      </tp>
      <tp t="e">
        <v>#N/A</v>
        <stp/>
        <stp>BDH|11350161052068810457</stp>
        <tr r="L12" s="13"/>
      </tp>
      <tp t="e">
        <v>#N/A</v>
        <stp/>
        <stp>BDH|17906431373634070932</stp>
        <tr r="M22" s="14"/>
      </tp>
      <tp t="e">
        <v>#N/A</v>
        <stp/>
        <stp>BDH|14913914454774021562</stp>
        <tr r="Y138" s="18"/>
      </tp>
      <tp t="e">
        <v>#N/A</v>
        <stp/>
        <stp>BDH|14211915426776901061</stp>
        <tr r="U50" s="34"/>
      </tp>
      <tp t="e">
        <v>#N/A</v>
        <stp/>
        <stp>BDH|13902543421619265441</stp>
        <tr r="Y17" s="23"/>
      </tp>
      <tp t="e">
        <v>#N/A</v>
        <stp/>
        <stp>BDH|15082230782392286492</stp>
        <tr r="H28" s="24"/>
      </tp>
      <tp t="e">
        <v>#N/A</v>
        <stp/>
        <stp>BDH|14521065949131205826</stp>
        <tr r="T37" s="26"/>
      </tp>
      <tp t="e">
        <v>#N/A</v>
        <stp/>
        <stp>BDH|11005540438898103678</stp>
        <tr r="D48" s="6"/>
        <tr r="F9" s="8"/>
      </tp>
      <tp t="e">
        <v>#N/A</v>
        <stp/>
        <stp>BDH|15141915589624257912</stp>
        <tr r="S16" s="10"/>
      </tp>
      <tp t="e">
        <v>#N/A</v>
        <stp/>
        <stp>BDH|14097160733048917768</stp>
        <tr r="Y94" s="18"/>
      </tp>
      <tp t="e">
        <v>#N/A</v>
        <stp/>
        <stp>BDH|11268953869193344477</stp>
        <tr r="G59" s="12"/>
      </tp>
      <tp t="e">
        <v>#N/A</v>
        <stp/>
        <stp>BDH|11432630584630858617</stp>
        <tr r="D15" s="29"/>
        <tr r="D38" s="29"/>
      </tp>
      <tp t="e">
        <v>#N/A</v>
        <stp/>
        <stp>BDH|10371931741482974622</stp>
        <tr r="K32" s="12"/>
      </tp>
      <tp t="e">
        <v>#N/A</v>
        <stp/>
        <stp>BDH|14945203095045180378</stp>
        <tr r="O34" s="10"/>
        <tr r="O24" s="11"/>
      </tp>
      <tp t="e">
        <v>#N/A</v>
        <stp/>
        <stp>BDH|16195922016875941260</stp>
        <tr r="U49" s="22"/>
      </tp>
      <tp t="e">
        <v>#N/A</v>
        <stp/>
        <stp>BDH|14675778925560698885</stp>
        <tr r="F25" s="10"/>
        <tr r="H34" s="13"/>
      </tp>
      <tp t="e">
        <v>#N/A</v>
        <stp/>
        <stp>BDH|14964345137499432441</stp>
        <tr r="U64" s="10"/>
      </tp>
      <tp t="e">
        <v>#N/A</v>
        <stp/>
        <stp>BDH|18253723234067809263</stp>
        <tr r="AA20" s="18"/>
      </tp>
      <tp t="e">
        <v>#N/A</v>
        <stp/>
        <stp>BDH|13129844022772805254</stp>
        <tr r="S99" s="12"/>
      </tp>
      <tp t="e">
        <v>#N/A</v>
        <stp/>
        <stp>BDH|13523625771552904957</stp>
        <tr r="D35" s="18"/>
      </tp>
      <tp t="e">
        <v>#N/A</v>
        <stp/>
        <stp>BDH|13654292027669417364</stp>
        <tr r="H8" s="27"/>
      </tp>
      <tp t="e">
        <v>#N/A</v>
        <stp/>
        <stp>BDH|10184584607965044945</stp>
        <tr r="L8" s="12"/>
      </tp>
      <tp t="e">
        <v>#N/A</v>
        <stp/>
        <stp>BDH|12718090994343037105</stp>
        <tr r="P21" s="9"/>
      </tp>
      <tp t="e">
        <v>#N/A</v>
        <stp/>
        <stp>BDH|14604390725645275925</stp>
        <tr r="X45" s="18"/>
      </tp>
      <tp t="e">
        <v>#N/A</v>
        <stp/>
        <stp>BDH|14988899129087723047</stp>
        <tr r="W61" s="12"/>
      </tp>
      <tp t="e">
        <v>#N/A</v>
        <stp/>
        <stp>BDH|13452922409761692242</stp>
        <tr r="C51" s="12"/>
      </tp>
      <tp t="e">
        <v>#N/A</v>
        <stp/>
        <stp>BDH|16167075801256338999</stp>
        <tr r="H10" s="4"/>
        <tr r="G6" s="16"/>
        <tr r="J6" s="3"/>
        <tr r="H6" s="11"/>
      </tp>
      <tp t="e">
        <v>#N/A</v>
        <stp/>
        <stp>BDH|13075890465940972483</stp>
        <tr r="M23" s="17"/>
      </tp>
      <tp t="e">
        <v>#N/A</v>
        <stp/>
        <stp>BDH|16602937828574930098</stp>
        <tr r="AA22" s="17"/>
      </tp>
      <tp t="e">
        <v>#N/A</v>
        <stp/>
        <stp>BDH|15795806727060416696</stp>
        <tr r="I55" s="21"/>
      </tp>
      <tp t="e">
        <v>#N/A</v>
        <stp/>
        <stp>BDH|12671953746153932518</stp>
        <tr r="D73" s="34"/>
      </tp>
      <tp t="e">
        <v>#N/A</v>
        <stp/>
        <stp>BDH|18077604350611409398</stp>
        <tr r="P64" s="12"/>
      </tp>
      <tp t="e">
        <v>#N/A</v>
        <stp/>
        <stp>BDH|12907785355048809118</stp>
        <tr r="W48" s="24"/>
      </tp>
      <tp t="e">
        <v>#N/A</v>
        <stp/>
        <stp>BDH|15912313625899567451</stp>
        <tr r="H7" s="11"/>
      </tp>
      <tp t="e">
        <v>#N/A</v>
        <stp/>
        <stp>BDH|10303682480975205246</stp>
        <tr r="F67" s="10"/>
      </tp>
      <tp t="e">
        <v>#N/A</v>
        <stp/>
        <stp>BDH|16384222588257023247</stp>
        <tr r="S28" s="10"/>
        <tr r="U37" s="13"/>
      </tp>
      <tp t="e">
        <v>#N/A</v>
        <stp/>
        <stp>BDH|16306408965368901527</stp>
        <tr r="H32" s="21"/>
      </tp>
      <tp t="e">
        <v>#N/A</v>
        <stp/>
        <stp>BDH|18134088864112713578</stp>
        <tr r="M133" s="18"/>
      </tp>
      <tp t="e">
        <v>#N/A</v>
        <stp/>
        <stp>BDH|10480590922807750956</stp>
        <tr r="E187" s="18"/>
      </tp>
      <tp t="e">
        <v>#N/A</v>
        <stp/>
        <stp>BDH|12493598594292458505</stp>
        <tr r="S37" s="22"/>
      </tp>
      <tp t="e">
        <v>#N/A</v>
        <stp/>
        <stp>BDH|14992188598830584512</stp>
        <tr r="Z75" s="34"/>
      </tp>
      <tp t="e">
        <v>#N/A</v>
        <stp/>
        <stp>BDH|11630884018287873630</stp>
        <tr r="V39" s="25"/>
        <tr r="V7" s="3"/>
        <tr r="T17" s="11"/>
        <tr r="V22" s="13"/>
        <tr r="V7" s="13"/>
      </tp>
      <tp t="e">
        <v>#N/A</v>
        <stp/>
        <stp>BDH|12022561188237045134</stp>
        <tr r="D49" s="24"/>
      </tp>
      <tp t="e">
        <v>#N/A</v>
        <stp/>
        <stp>BDH|11157242026998879068</stp>
        <tr r="J45" s="12"/>
      </tp>
      <tp t="e">
        <v>#N/A</v>
        <stp/>
        <stp>BDH|16753502549589227710</stp>
        <tr r="Q121" s="18"/>
        <tr r="Q9" s="20"/>
      </tp>
      <tp t="e">
        <v>#N/A</v>
        <stp/>
        <stp>BDH|12272291880753395258</stp>
        <tr r="M141" s="18"/>
      </tp>
      <tp t="e">
        <v>#N/A</v>
        <stp/>
        <stp>BDH|14445399326858356450</stp>
        <tr r="N93" s="17"/>
        <tr r="N13" s="28"/>
      </tp>
      <tp t="e">
        <v>#N/A</v>
        <stp/>
        <stp>BDH|13417185852499552765</stp>
        <tr r="S39" s="17"/>
      </tp>
      <tp t="e">
        <v>#N/A</v>
        <stp/>
        <stp>BDH|18202336266713865727</stp>
        <tr r="M41" s="24"/>
      </tp>
      <tp t="e">
        <v>#N/A</v>
        <stp/>
        <stp>BDH|10104947154701853445</stp>
        <tr r="X16" s="24"/>
      </tp>
      <tp t="e">
        <v>#N/A</v>
        <stp/>
        <stp>BDH|17490078728378231441</stp>
        <tr r="K27" s="25"/>
        <tr r="K13" s="27"/>
      </tp>
      <tp t="e">
        <v>#N/A</v>
        <stp/>
        <stp>BDH|10935455687493229640</stp>
        <tr r="R198" s="18"/>
      </tp>
      <tp t="e">
        <v>#N/A</v>
        <stp/>
        <stp>BDH|12372698522019596601</stp>
        <tr r="O32" s="17"/>
      </tp>
      <tp t="e">
        <v>#N/A</v>
        <stp/>
        <stp>BDH|10700820368550373737</stp>
        <tr r="D37" s="12"/>
      </tp>
      <tp t="e">
        <v>#N/A</v>
        <stp/>
        <stp>BDH|15208995726561674663</stp>
        <tr r="L23" s="21"/>
      </tp>
      <tp t="e">
        <v>#N/A</v>
        <stp/>
        <stp>BDH|14308086877682106804</stp>
        <tr r="F39" s="25"/>
        <tr r="F7" s="3"/>
        <tr r="D17" s="11"/>
        <tr r="F22" s="13"/>
        <tr r="F7" s="13"/>
      </tp>
      <tp t="e">
        <v>#N/A</v>
        <stp/>
        <stp>BDH|10891673140888532375</stp>
        <tr r="L37" s="12"/>
      </tp>
      <tp t="e">
        <v>#N/A</v>
        <stp/>
        <stp>BDH|11344649147203522989</stp>
        <tr r="V37" s="34"/>
      </tp>
      <tp t="e">
        <v>#N/A</v>
        <stp/>
        <stp>BDH|17235091523288199452</stp>
        <tr r="G50" s="34"/>
      </tp>
      <tp t="e">
        <v>#N/A</v>
        <stp/>
        <stp>BDH|11921301312909154366</stp>
        <tr r="S40" s="18"/>
      </tp>
      <tp t="e">
        <v>#N/A</v>
        <stp/>
        <stp>BDH|17685337139706494848</stp>
        <tr r="L46" s="18"/>
      </tp>
      <tp t="e">
        <v>#N/A</v>
        <stp/>
        <stp>BDH|11350914162060489781</stp>
        <tr r="T32" s="24"/>
      </tp>
      <tp t="e">
        <v>#N/A</v>
        <stp/>
        <stp>BDH|11568780135329780535</stp>
        <tr r="E123" s="18"/>
        <tr r="E12" s="20"/>
      </tp>
      <tp t="e">
        <v>#N/A</v>
        <stp/>
        <stp>BDH|14352931644995946511</stp>
        <tr r="V8" s="14"/>
      </tp>
      <tp t="e">
        <v>#N/A</v>
        <stp/>
        <stp>BDH|14982830180578361553</stp>
        <tr r="R38" s="24"/>
      </tp>
      <tp t="e">
        <v>#N/A</v>
        <stp/>
        <stp>BDH|13597443638018741521</stp>
        <tr r="C25" s="12"/>
      </tp>
      <tp t="e">
        <v>#N/A</v>
        <stp/>
        <stp>BDH|17897228233466190943</stp>
        <tr r="C15" s="22"/>
      </tp>
      <tp t="e">
        <v>#N/A</v>
        <stp/>
        <stp>BDH|17765864653993738097</stp>
        <tr r="O20" s="6"/>
      </tp>
      <tp t="e">
        <v>#N/A</v>
        <stp/>
        <stp>BDH|16051855088587792862</stp>
        <tr r="Q27" s="10"/>
        <tr r="S36" s="13"/>
      </tp>
      <tp t="e">
        <v>#N/A</v>
        <stp/>
        <stp>BDH|12352099380052403122</stp>
        <tr r="N82" s="17"/>
        <tr r="N20" s="3"/>
        <tr r="L6" s="7"/>
      </tp>
      <tp t="e">
        <v>#N/A</v>
        <stp/>
        <stp>BDH|15065781216179438368</stp>
        <tr r="M64" s="24"/>
      </tp>
      <tp t="e">
        <v>#N/A</v>
        <stp/>
        <stp>BDH|11536762463911958850</stp>
        <tr r="E13" s="7"/>
      </tp>
      <tp t="e">
        <v>#N/A</v>
        <stp/>
        <stp>BDH|15705998968175329696</stp>
        <tr r="Q82" s="17"/>
        <tr r="Q20" s="3"/>
        <tr r="O6" s="7"/>
      </tp>
      <tp t="e">
        <v>#N/A</v>
        <stp/>
        <stp>BDH|16154727799378486924</stp>
        <tr r="I24" s="2"/>
      </tp>
      <tp t="e">
        <v>#N/A</v>
        <stp/>
        <stp>BDH|11103449849838191014</stp>
        <tr r="E65" s="24"/>
      </tp>
      <tp t="e">
        <v>#N/A</v>
        <stp/>
        <stp>BDH|11853238954016662957</stp>
        <tr r="AA70" s="34"/>
      </tp>
      <tp t="e">
        <v>#N/A</v>
        <stp/>
        <stp>BDH|15655189783324772164</stp>
        <tr r="D12" s="13"/>
      </tp>
      <tp t="e">
        <v>#N/A</v>
        <stp/>
        <stp>BDH|17060727009778533126</stp>
        <tr r="AA47" s="22"/>
      </tp>
      <tp t="e">
        <v>#N/A</v>
        <stp/>
        <stp>BDH|10868961647683410713</stp>
        <tr r="O30" s="5"/>
        <tr r="O30" s="9"/>
      </tp>
      <tp t="e">
        <v>#N/A</v>
        <stp/>
        <stp>BDH|13842772324558559724</stp>
        <tr r="D85" s="17"/>
      </tp>
      <tp t="e">
        <v>#N/A</v>
        <stp/>
        <stp>BDH|15217081871463543821</stp>
        <tr r="S88" s="24"/>
      </tp>
      <tp t="e">
        <v>#N/A</v>
        <stp/>
        <stp>BDH|16243366778073916892</stp>
        <tr r="U19" s="25"/>
      </tp>
      <tp t="e">
        <v>#N/A</v>
        <stp/>
        <stp>BDH|17673474807062933830</stp>
        <tr r="U57" s="17"/>
      </tp>
      <tp t="e">
        <v>#N/A</v>
        <stp/>
        <stp>BDH|14729357788636637000</stp>
        <tr r="X70" s="10"/>
        <tr r="X60" s="11"/>
        <tr r="X20" s="7"/>
      </tp>
      <tp t="e">
        <v>#N/A</v>
        <stp/>
        <stp>BDH|17974251866949779318</stp>
        <tr r="V48" s="6"/>
        <tr r="X9" s="8"/>
      </tp>
      <tp t="e">
        <v>#N/A</v>
        <stp/>
        <stp>BDH|11949955423570206313</stp>
        <tr r="K15" s="29"/>
        <tr r="K38" s="29"/>
      </tp>
      <tp t="e">
        <v>#N/A</v>
        <stp/>
        <stp>BDH|10809092665939154698</stp>
        <tr r="J12" s="13"/>
      </tp>
      <tp t="e">
        <v>#N/A</v>
        <stp/>
        <stp>BDH|11360273859319462656</stp>
        <tr r="N43" s="18"/>
      </tp>
      <tp t="e">
        <v>#N/A</v>
        <stp/>
        <stp>BDH|16012477782642072191</stp>
        <tr r="G90" s="24"/>
      </tp>
      <tp t="e">
        <v>#N/A</v>
        <stp/>
        <stp>BDH|17911510967248557563</stp>
        <tr r="H20" s="6"/>
      </tp>
      <tp t="e">
        <v>#N/A</v>
        <stp/>
        <stp>BDH|17970605907438453067</stp>
        <tr r="S72" s="12"/>
      </tp>
      <tp t="e">
        <v>#N/A</v>
        <stp/>
        <stp>BDH|12700974866097216381</stp>
        <tr r="N9" s="2"/>
        <tr r="P8" s="25"/>
        <tr r="M10" s="5"/>
      </tp>
      <tp t="e">
        <v>#N/A</v>
        <stp/>
        <stp>BDH|17779409123168039088</stp>
        <tr r="D35" s="6"/>
      </tp>
      <tp t="e">
        <v>#N/A</v>
        <stp/>
        <stp>BDH|14573734466778836443</stp>
        <tr r="X59" s="18"/>
      </tp>
      <tp t="e">
        <v>#N/A</v>
        <stp/>
        <stp>BDH|12380915123878584889</stp>
        <tr r="L14" s="17"/>
        <tr r="L17" s="28"/>
      </tp>
      <tp t="e">
        <v>#N/A</v>
        <stp/>
        <stp>BDH|13542096623831874986</stp>
        <tr r="Y85" s="24"/>
      </tp>
      <tp t="e">
        <v>#N/A</v>
        <stp/>
        <stp>BDH|11345353862215286894</stp>
        <tr r="J71" s="13"/>
      </tp>
      <tp t="e">
        <v>#N/A</v>
        <stp/>
        <stp>BDH|10367930267837051182</stp>
        <tr r="R59" s="24"/>
      </tp>
      <tp t="e">
        <v>#N/A</v>
        <stp/>
        <stp>BDH|14763394591755390235</stp>
        <tr r="N32" s="26"/>
      </tp>
      <tp t="e">
        <v>#N/A</v>
        <stp/>
        <stp>BDH|15035929065567037483</stp>
        <tr r="L77" s="17"/>
        <tr r="L19" s="3"/>
      </tp>
      <tp t="e">
        <v>#N/A</v>
        <stp/>
        <stp>BDH|16877719382141526112</stp>
        <tr r="X21" s="34"/>
      </tp>
      <tp t="e">
        <v>#N/A</v>
        <stp/>
        <stp>BDH|18346134015318844928</stp>
        <tr r="R35" s="4"/>
      </tp>
      <tp t="e">
        <v>#N/A</v>
        <stp/>
        <stp>BDH|16773951077237299683</stp>
        <tr r="T28" s="22"/>
      </tp>
      <tp t="e">
        <v>#N/A</v>
        <stp/>
        <stp>BDH|14369163316799459489</stp>
        <tr r="J43" s="18"/>
      </tp>
      <tp t="e">
        <v>#N/A</v>
        <stp/>
        <stp>BDH|17394650391154175591</stp>
        <tr r="F9" s="24"/>
      </tp>
      <tp t="e">
        <v>#N/A</v>
        <stp/>
        <stp>BDH|14811015071359786301</stp>
        <tr r="H67" s="17"/>
        <tr r="H18" s="3"/>
      </tp>
      <tp t="e">
        <v>#N/A</v>
        <stp/>
        <stp>BDH|10397252512392324887</stp>
        <tr r="O90" s="12"/>
      </tp>
      <tp t="e">
        <v>#N/A</v>
        <stp/>
        <stp>BDH|17872252085446550229</stp>
        <tr r="G21" s="11"/>
      </tp>
      <tp t="e">
        <v>#N/A</v>
        <stp/>
        <stp>BDH|10301995673865408221</stp>
        <tr r="L75" s="18"/>
      </tp>
      <tp t="e">
        <v>#N/A</v>
        <stp/>
        <stp>BDH|13710944010132807048</stp>
        <tr r="H39" s="4"/>
        <tr r="H66" s="10"/>
      </tp>
      <tp t="e">
        <v>#N/A</v>
        <stp/>
        <stp>BDH|14169031075799086384</stp>
        <tr r="K148" s="18"/>
      </tp>
      <tp t="e">
        <v>#N/A</v>
        <stp/>
        <stp>BDH|13220991460117184256</stp>
        <tr r="Y37" s="10"/>
        <tr r="Y27" s="11"/>
        <tr r="AA46" s="13"/>
      </tp>
      <tp t="e">
        <v>#N/A</v>
        <stp/>
        <stp>BDH|15037977109952020713</stp>
        <tr r="S18" s="2"/>
        <tr r="S53" s="4"/>
        <tr r="S46" s="10"/>
        <tr r="S36" s="11"/>
        <tr r="U58" s="13"/>
      </tp>
      <tp t="e">
        <v>#N/A</v>
        <stp/>
        <stp>BDH|14833189721529688784</stp>
        <tr r="P16" s="11"/>
      </tp>
      <tp t="e">
        <v>#N/A</v>
        <stp/>
        <stp>BDH|12632921726109519980</stp>
        <tr r="P42" s="17"/>
      </tp>
      <tp t="e">
        <v>#N/A</v>
        <stp/>
        <stp>BDH|12867242764766048975</stp>
        <tr r="L47" s="22"/>
      </tp>
      <tp t="e">
        <v>#N/A</v>
        <stp/>
        <stp>BDH|18049114969061567724</stp>
        <tr r="W69" s="12"/>
      </tp>
      <tp t="e">
        <v>#N/A</v>
        <stp/>
        <stp>BDH|12768060062334939954</stp>
        <tr r="Z31" s="22"/>
      </tp>
      <tp t="e">
        <v>#N/A</v>
        <stp/>
        <stp>BDH|12621980355086404103</stp>
        <tr r="I22" s="34"/>
      </tp>
      <tp t="e">
        <v>#N/A</v>
        <stp/>
        <stp>BDH|16917012429785970872</stp>
        <tr r="I9" s="23"/>
      </tp>
      <tp t="e">
        <v>#N/A</v>
        <stp/>
        <stp>BDH|18179065870035010382</stp>
        <tr r="G208" s="18"/>
      </tp>
      <tp t="e">
        <v>#N/A</v>
        <stp/>
        <stp>BDH|14009851437831593780</stp>
        <tr r="S8" s="6"/>
      </tp>
      <tp t="e">
        <v>#N/A</v>
        <stp/>
        <stp>BDH|16940668382960570172</stp>
        <tr r="R16" s="21"/>
      </tp>
      <tp t="e">
        <v>#N/A</v>
        <stp/>
        <stp>BDH|16119579139060581957</stp>
        <tr r="V54" s="13"/>
      </tp>
      <tp t="e">
        <v>#N/A</v>
        <stp/>
        <stp>BDH|13211866044521825777</stp>
        <tr r="R16" s="20"/>
      </tp>
      <tp t="e">
        <v>#N/A</v>
        <stp/>
        <stp>BDH|14486608633921178998</stp>
        <tr r="H56" s="17"/>
      </tp>
      <tp t="e">
        <v>#N/A</v>
        <stp/>
        <stp>BDH|17289294663109302348</stp>
        <tr r="Z71" s="18"/>
      </tp>
      <tp t="e">
        <v>#N/A</v>
        <stp/>
        <stp>BDH|15193788756798174614</stp>
        <tr r="D24" s="9"/>
      </tp>
      <tp t="e">
        <v>#N/A</v>
        <stp/>
        <stp>BDH|14608972486644072886</stp>
        <tr r="F209" s="18"/>
      </tp>
      <tp t="e">
        <v>#N/A</v>
        <stp/>
        <stp>BDH|13023395494875385512</stp>
        <tr r="X27" s="22"/>
      </tp>
      <tp t="e">
        <v>#N/A</v>
        <stp/>
        <stp>BDH|14450094809799927421</stp>
        <tr r="M45" s="18"/>
      </tp>
      <tp t="e">
        <v>#N/A</v>
        <stp/>
        <stp>BDH|10531650749182741912</stp>
        <tr r="X7" s="6"/>
      </tp>
      <tp t="e">
        <v>#N/A</v>
        <stp/>
        <stp>BDH|13967813562320296464</stp>
        <tr r="X43" s="18"/>
      </tp>
      <tp t="e">
        <v>#N/A</v>
        <stp/>
        <stp>BDH|12497906722136929616</stp>
        <tr r="X126" s="18"/>
      </tp>
      <tp t="e">
        <v>#N/A</v>
        <stp/>
        <stp>BDH|10661938705363945373</stp>
        <tr r="AA41" s="21"/>
      </tp>
      <tp t="e">
        <v>#N/A</v>
        <stp/>
        <stp>BDH|11627125010230287887</stp>
        <tr r="S20" s="12"/>
      </tp>
      <tp t="e">
        <v>#N/A</v>
        <stp/>
        <stp>BDH|14341375443929088399</stp>
        <tr r="H17" s="10"/>
        <tr r="J16" s="13"/>
        <tr r="J30" s="13"/>
      </tp>
      <tp t="e">
        <v>#N/A</v>
        <stp/>
        <stp>BDH|14695840849450200174</stp>
        <tr r="F34" s="26"/>
      </tp>
      <tp t="e">
        <v>#N/A</v>
        <stp/>
        <stp>BDH|16933425925921462840</stp>
        <tr r="L33" s="14"/>
      </tp>
      <tp t="e">
        <v>#N/A</v>
        <stp/>
        <stp>BDH|16034268909705463852</stp>
        <tr r="H37" s="10"/>
        <tr r="H27" s="11"/>
        <tr r="J46" s="13"/>
      </tp>
      <tp t="e">
        <v>#N/A</v>
        <stp/>
        <stp>BDH|14897764636630022961</stp>
        <tr r="S9" s="29"/>
      </tp>
      <tp t="e">
        <v>#N/A</v>
        <stp/>
        <stp>BDH|16615738485473946376</stp>
        <tr r="J70" s="18"/>
      </tp>
      <tp t="e">
        <v>#N/A</v>
        <stp/>
        <stp>BDH|12464969861881899550</stp>
        <tr r="I165" s="18"/>
      </tp>
      <tp t="e">
        <v>#N/A</v>
        <stp/>
        <stp>BDH|12391103846289869730</stp>
        <tr r="F70" s="18"/>
      </tp>
      <tp t="e">
        <v>#N/A</v>
        <stp/>
        <stp>BDH|14395994703667130366</stp>
        <tr r="Q52" s="24"/>
      </tp>
      <tp t="e">
        <v>#N/A</v>
        <stp/>
        <stp>BDH|11221924321322882173</stp>
        <tr r="Z65" s="12"/>
      </tp>
      <tp t="e">
        <v>#N/A</v>
        <stp/>
        <stp>BDH|16155628739552722837</stp>
        <tr r="Z20" s="34"/>
      </tp>
      <tp t="e">
        <v>#N/A</v>
        <stp/>
        <stp>BDH|17170163223645383897</stp>
        <tr r="D33" s="18"/>
      </tp>
      <tp t="e">
        <v>#N/A</v>
        <stp/>
        <stp>BDH|17092926059382568007</stp>
        <tr r="Y155" s="18"/>
      </tp>
      <tp t="e">
        <v>#N/A</v>
        <stp/>
        <stp>BDH|10741190767336188863</stp>
        <tr r="Q13" s="21"/>
      </tp>
      <tp t="e">
        <v>#N/A</v>
        <stp/>
        <stp>BDH|13306024649839128772</stp>
        <tr r="Y94" s="17"/>
      </tp>
      <tp t="e">
        <v>#N/A</v>
        <stp/>
        <stp>BDH|10377000567686340996</stp>
        <tr r="Z73" s="24"/>
      </tp>
      <tp t="e">
        <v>#N/A</v>
        <stp/>
        <stp>BDH|14441501389404617453</stp>
        <tr r="Q94" s="24"/>
      </tp>
      <tp t="e">
        <v>#N/A</v>
        <stp/>
        <stp>BDH|17265551796400723282</stp>
        <tr r="E117" s="18"/>
      </tp>
      <tp t="e">
        <v>#N/A</v>
        <stp/>
        <stp>BDH|13949790871032902867</stp>
        <tr r="Q92" s="24"/>
      </tp>
      <tp t="e">
        <v>#N/A</v>
        <stp/>
        <stp>BDH|12288389570178125753</stp>
        <tr r="M29" s="29"/>
        <tr r="M7" s="29"/>
      </tp>
      <tp t="e">
        <v>#N/A</v>
        <stp/>
        <stp>BDH|17896389887166802310</stp>
        <tr r="G39" s="24"/>
      </tp>
      <tp t="e">
        <v>#N/A</v>
        <stp/>
        <stp>BDH|10518956816388822906</stp>
        <tr r="P22" s="10"/>
      </tp>
      <tp t="e">
        <v>#N/A</v>
        <stp/>
        <stp>BDH|17202377826398445790</stp>
        <tr r="T58" s="11"/>
        <tr r="V19" s="23"/>
      </tp>
      <tp t="e">
        <v>#N/A</v>
        <stp/>
        <stp>BDH|16218927741484845676</stp>
        <tr r="K53" s="12"/>
      </tp>
      <tp t="e">
        <v>#N/A</v>
        <stp/>
        <stp>BDH|11088270266055870978</stp>
        <tr r="V43" s="6"/>
      </tp>
      <tp t="e">
        <v>#N/A</v>
        <stp/>
        <stp>BDH|14433673387580909332</stp>
        <tr r="V19" s="26"/>
      </tp>
      <tp t="e">
        <v>#N/A</v>
        <stp/>
        <stp>BDH|16530559194420981333</stp>
        <tr r="N21" s="24"/>
      </tp>
      <tp t="e">
        <v>#N/A</v>
        <stp/>
        <stp>BDH|15205468607398986047</stp>
        <tr r="G64" s="17"/>
      </tp>
      <tp t="e">
        <v>#N/A</v>
        <stp/>
        <stp>BDH|12776040981954494783</stp>
        <tr r="T9" s="18"/>
      </tp>
      <tp t="e">
        <v>#N/A</v>
        <stp/>
        <stp>BDH|13509507095949371822</stp>
        <tr r="D59" s="24"/>
      </tp>
      <tp t="e">
        <v>#N/A</v>
        <stp/>
        <stp>BDH|10223404433219781077</stp>
        <tr r="X11" s="6"/>
      </tp>
      <tp t="e">
        <v>#N/A</v>
        <stp/>
        <stp>BDH|17705098396259145985</stp>
        <tr r="W27" s="25"/>
        <tr r="W13" s="27"/>
      </tp>
      <tp t="e">
        <v>#N/A</v>
        <stp/>
        <stp>BDH|15401612017425291914</stp>
        <tr r="X17" s="24"/>
      </tp>
      <tp t="e">
        <v>#N/A</v>
        <stp/>
        <stp>BDH|12474653580860319237</stp>
        <tr r="I33" s="24"/>
      </tp>
      <tp t="e">
        <v>#N/A</v>
        <stp/>
        <stp>BDH|16485839318060780190</stp>
        <tr r="T16" s="24"/>
      </tp>
      <tp t="e">
        <v>#N/A</v>
        <stp/>
        <stp>BDH|14708751824556797904</stp>
        <tr r="F59" s="17"/>
      </tp>
      <tp t="e">
        <v>#N/A</v>
        <stp/>
        <stp>BDH|16059107708920162985</stp>
        <tr r="J43" s="10"/>
        <tr r="J33" s="11"/>
      </tp>
      <tp t="e">
        <v>#N/A</v>
        <stp/>
        <stp>BDH|11214253410295081967</stp>
        <tr r="R128" s="18"/>
      </tp>
      <tp t="e">
        <v>#N/A</v>
        <stp/>
        <stp>BDH|13030793029928338025</stp>
        <tr r="D21" s="34"/>
      </tp>
      <tp t="e">
        <v>#N/A</v>
        <stp/>
        <stp>BDH|16165840174454493345</stp>
        <tr r="L59" s="18"/>
      </tp>
      <tp t="e">
        <v>#N/A</v>
        <stp/>
        <stp>BDH|13703330926034040839</stp>
        <tr r="AA34" s="21"/>
      </tp>
      <tp t="e">
        <v>#N/A</v>
        <stp/>
        <stp>BDH|11281270485813783665</stp>
        <tr r="X98" s="18"/>
      </tp>
      <tp t="e">
        <v>#N/A</v>
        <stp/>
        <stp>BDH|16532159598754883418</stp>
        <tr r="G101" s="18"/>
      </tp>
      <tp t="e">
        <v>#N/A</v>
        <stp/>
        <stp>BDH|13235379840592726830</stp>
        <tr r="E7" s="8"/>
      </tp>
      <tp t="e">
        <v>#N/A</v>
        <stp/>
        <stp>BDH|18321325383944044937</stp>
        <tr r="Y26" s="21"/>
      </tp>
      <tp t="e">
        <v>#N/A</v>
        <stp/>
        <stp>BDH|11998830616474876256</stp>
        <tr r="W113" s="18"/>
      </tp>
      <tp t="e">
        <v>#N/A</v>
        <stp/>
        <stp>BDH|11295848452246361466</stp>
        <tr r="I25" s="22"/>
      </tp>
      <tp t="e">
        <v>#N/A</v>
        <stp/>
        <stp>BDH|14628376041575117802</stp>
        <tr r="T55" s="17"/>
      </tp>
      <tp t="e">
        <v>#N/A</v>
        <stp/>
        <stp>BDH|13278736403798552261</stp>
        <tr r="V51" s="21"/>
      </tp>
      <tp t="e">
        <v>#N/A</v>
        <stp/>
        <stp>BDH|16771251490121341201</stp>
        <tr r="Q53" s="13"/>
      </tp>
      <tp t="e">
        <v>#N/A</v>
        <stp/>
        <stp>BDH|18060463335334110535</stp>
        <tr r="J46" s="12"/>
      </tp>
      <tp t="e">
        <v>#N/A</v>
        <stp/>
        <stp>BDH|10901687310639103013</stp>
        <tr r="S29" s="13"/>
      </tp>
      <tp t="e">
        <v>#N/A</v>
        <stp/>
        <stp>BDH|17122587708148743471</stp>
        <tr r="R65" s="17"/>
      </tp>
      <tp t="e">
        <v>#N/A</v>
        <stp/>
        <stp>BDH|13531473464206371945</stp>
        <tr r="J9" s="13"/>
      </tp>
      <tp t="e">
        <v>#N/A</v>
        <stp/>
        <stp>BDH|16106963790628103075</stp>
        <tr r="N67" s="34"/>
      </tp>
      <tp t="e">
        <v>#N/A</v>
        <stp/>
        <stp>BDH|17568555299731045487</stp>
        <tr r="U68" s="12"/>
      </tp>
      <tp t="e">
        <v>#N/A</v>
        <stp/>
        <stp>BDH|10302811405380741611</stp>
        <tr r="U52" s="10"/>
        <tr r="U42" s="11"/>
        <tr r="U15" s="7"/>
      </tp>
      <tp t="e">
        <v>#N/A</v>
        <stp/>
        <stp>BDH|18087627329595353798</stp>
        <tr r="P13" s="11"/>
      </tp>
      <tp t="e">
        <v>#N/A</v>
        <stp/>
        <stp>BDH|10626817758641751291</stp>
        <tr r="S35" s="24"/>
      </tp>
      <tp t="e">
        <v>#N/A</v>
        <stp/>
        <stp>BDH|15137505282192317410</stp>
        <tr r="G63" s="34"/>
      </tp>
      <tp t="e">
        <v>#N/A</v>
        <stp/>
        <stp>BDH|12498072510008098524</stp>
        <tr r="T42" s="12"/>
      </tp>
      <tp t="e">
        <v>#N/A</v>
        <stp/>
        <stp>BDH|16266967384409250036</stp>
        <tr r="P23" s="17"/>
      </tp>
      <tp t="e">
        <v>#N/A</v>
        <stp/>
        <stp>BDH|18170307365073402016</stp>
        <tr r="Y24" s="24"/>
      </tp>
      <tp t="e">
        <v>#N/A</v>
        <stp/>
        <stp>BDH|10201341863703318871</stp>
        <tr r="E33" s="9"/>
      </tp>
      <tp t="e">
        <v>#N/A</v>
        <stp/>
        <stp>BDH|10076306594735036150</stp>
        <tr r="Y43" s="24"/>
      </tp>
      <tp t="e">
        <v>#N/A</v>
        <stp/>
        <stp>BDH|15460933956331755677</stp>
        <tr r="M13" s="30"/>
      </tp>
      <tp t="e">
        <v>#N/A</v>
        <stp/>
        <stp>BDH|13287862473494590633</stp>
        <tr r="E57" s="13"/>
      </tp>
      <tp t="e">
        <v>#N/A</v>
        <stp/>
        <stp>BDH|16432961210921375108</stp>
        <tr r="T10" s="28"/>
      </tp>
      <tp t="e">
        <v>#N/A</v>
        <stp/>
        <stp>BDH|15729408586747309039</stp>
        <tr r="P19" s="11"/>
      </tp>
      <tp t="e">
        <v>#N/A</v>
        <stp/>
        <stp>BDH|16706427192463420625</stp>
        <tr r="P18" s="17"/>
      </tp>
      <tp t="e">
        <v>#N/A</v>
        <stp/>
        <stp>BDH|11414186141709826359</stp>
        <tr r="Q106" s="18"/>
      </tp>
      <tp t="e">
        <v>#N/A</v>
        <stp/>
        <stp>BDH|15698938260993050756</stp>
        <tr r="X68" s="24"/>
      </tp>
      <tp t="e">
        <v>#N/A</v>
        <stp/>
        <stp>BDH|12871562999713715309</stp>
        <tr r="O61" s="24"/>
      </tp>
      <tp t="e">
        <v>#N/A</v>
        <stp/>
        <stp>BDH|10354877192127208849</stp>
        <tr r="S151" s="18"/>
      </tp>
      <tp t="e">
        <v>#N/A</v>
        <stp/>
        <stp>BDH|11243905466933434301</stp>
        <tr r="N23" s="23"/>
      </tp>
      <tp t="e">
        <v>#N/A</v>
        <stp/>
        <stp>BDH|15246925647830340647</stp>
        <tr r="T57" s="10"/>
        <tr r="T47" s="11"/>
        <tr r="T18" s="7"/>
        <tr r="V64" s="13"/>
      </tp>
      <tp t="e">
        <v>#N/A</v>
        <stp/>
        <stp>BDH|11286811401760216705</stp>
        <tr r="E28" s="14"/>
      </tp>
      <tp t="e">
        <v>#N/A</v>
        <stp/>
        <stp>BDH|18417664660016662049</stp>
        <tr r="AA95" s="12"/>
      </tp>
      <tp t="e">
        <v>#N/A</v>
        <stp/>
        <stp>BDH|15420710550921219873</stp>
        <tr r="N77" s="17"/>
        <tr r="N19" s="3"/>
      </tp>
      <tp t="e">
        <v>#N/A</v>
        <stp/>
        <stp>BDH|17693177992263532266</stp>
        <tr r="E22" s="11"/>
      </tp>
      <tp t="e">
        <v>#N/A</v>
        <stp/>
        <stp>BDH|16240331242168541769</stp>
        <tr r="E17" s="22"/>
      </tp>
      <tp t="e">
        <v>#N/A</v>
        <stp/>
        <stp>BDH|18177208922707109121</stp>
        <tr r="L99" s="12"/>
      </tp>
      <tp t="e">
        <v>#N/A</v>
        <stp/>
        <stp>BDH|11179207759688199097</stp>
        <tr r="N53" s="13"/>
      </tp>
      <tp t="e">
        <v>#N/A</v>
        <stp/>
        <stp>BDH|18009152453391468328</stp>
        <tr r="I45" s="6"/>
      </tp>
      <tp t="e">
        <v>#N/A</v>
        <stp/>
        <stp>BDH|10243703883864811590</stp>
        <tr r="E58" s="34"/>
      </tp>
      <tp t="e">
        <v>#N/A</v>
        <stp/>
        <stp>BDH|12656948116932026648</stp>
        <tr r="J67" s="10"/>
      </tp>
      <tp t="e">
        <v>#N/A</v>
        <stp/>
        <stp>BDH|13699969443586197622</stp>
        <tr r="X142" s="18"/>
      </tp>
      <tp t="e">
        <v>#N/A</v>
        <stp/>
        <stp>BDH|11090037660361371807</stp>
        <tr r="D60" s="17"/>
      </tp>
      <tp t="e">
        <v>#N/A</v>
        <stp/>
        <stp>BDH|13720772519403817818</stp>
        <tr r="T187" s="18"/>
      </tp>
      <tp t="e">
        <v>#N/A</v>
        <stp/>
        <stp>BDH|10218926526220416527</stp>
        <tr r="K203" s="18"/>
      </tp>
      <tp t="e">
        <v>#N/A</v>
        <stp/>
        <stp>BDH|13810183315439757420</stp>
        <tr r="D54" s="6"/>
      </tp>
      <tp t="e">
        <v>#N/A</v>
        <stp/>
        <stp>BDH|11480834811641783710</stp>
        <tr r="C23" s="20"/>
      </tp>
      <tp t="e">
        <v>#N/A</v>
        <stp/>
        <stp>BDH|14505486178399176040</stp>
        <tr r="I90" s="17"/>
        <tr r="I34" s="25"/>
      </tp>
      <tp t="e">
        <v>#N/A</v>
        <stp/>
        <stp>BDH|13470169287923153740</stp>
        <tr r="G147" s="18"/>
      </tp>
      <tp t="e">
        <v>#N/A</v>
        <stp/>
        <stp>BDH|12709354603307503846</stp>
        <tr r="N13" s="9"/>
      </tp>
      <tp t="e">
        <v>#N/A</v>
        <stp/>
        <stp>BDH|15704708894444347109</stp>
        <tr r="V32" s="21"/>
      </tp>
      <tp t="e">
        <v>#N/A</v>
        <stp/>
        <stp>BDH|13810507282738934833</stp>
        <tr r="D8" s="14"/>
      </tp>
      <tp t="e">
        <v>#N/A</v>
        <stp/>
        <stp>BDH|16821394898041154383</stp>
        <tr r="K20" s="17"/>
      </tp>
      <tp t="e">
        <v>#N/A</v>
        <stp/>
        <stp>BDH|12150122665739331253</stp>
        <tr r="C18" s="21"/>
      </tp>
      <tp t="e">
        <v>#N/A</v>
        <stp/>
        <stp>BDH|14829026003803120988</stp>
        <tr r="K28" s="22"/>
      </tp>
      <tp t="e">
        <v>#N/A</v>
        <stp/>
        <stp>BDH|11456841955791573302</stp>
        <tr r="F38" s="6"/>
      </tp>
      <tp t="e">
        <v>#N/A</v>
        <stp/>
        <stp>BDH|13954990504913625728</stp>
        <tr r="M8" s="23"/>
      </tp>
      <tp t="e">
        <v>#N/A</v>
        <stp/>
        <stp>BDH|14250618691642585775</stp>
        <tr r="F27" s="14"/>
      </tp>
      <tp t="e">
        <v>#N/A</v>
        <stp/>
        <stp>BDH|16901805415328865946</stp>
        <tr r="R42" s="10"/>
        <tr r="R32" s="11"/>
      </tp>
      <tp t="e">
        <v>#N/A</v>
        <stp/>
        <stp>BDH|16786801425027055529</stp>
        <tr r="M70" s="18"/>
      </tp>
      <tp t="e">
        <v>#N/A</v>
        <stp/>
        <stp>BDH|11548912050595147652</stp>
        <tr r="Y173" s="18"/>
      </tp>
      <tp t="e">
        <v>#N/A</v>
        <stp/>
        <stp>BDH|15330906203684078601</stp>
        <tr r="R31" s="34"/>
      </tp>
      <tp t="e">
        <v>#N/A</v>
        <stp/>
        <stp>BDH|11265423470549769572</stp>
        <tr r="V22" s="21"/>
      </tp>
      <tp t="e">
        <v>#N/A</v>
        <stp/>
        <stp>BDH|14994499511778740767</stp>
        <tr r="F190" s="18"/>
      </tp>
      <tp t="e">
        <v>#N/A</v>
        <stp/>
        <stp>BDH|16513946598921124988</stp>
        <tr r="F173" s="18"/>
      </tp>
      <tp t="e">
        <v>#N/A</v>
        <stp/>
        <stp>BDH|12966295880741789778</stp>
        <tr r="J15" s="21"/>
      </tp>
      <tp t="e">
        <v>#N/A</v>
        <stp/>
        <stp>BDH|12483616783845388765</stp>
        <tr r="N52" s="17"/>
        <tr r="N10" s="25"/>
      </tp>
      <tp t="e">
        <v>#N/A</v>
        <stp/>
        <stp>BDH|14120342989429983867</stp>
        <tr r="J8" s="8"/>
      </tp>
      <tp t="e">
        <v>#N/A</v>
        <stp/>
        <stp>BDH|14165764433918210651</stp>
        <tr r="N12" s="11"/>
      </tp>
      <tp t="e">
        <v>#N/A</v>
        <stp/>
        <stp>BDH|18200980188592361529</stp>
        <tr r="M17" s="4"/>
        <tr r="O10" s="3"/>
        <tr r="M56" s="10"/>
        <tr r="M46" s="11"/>
        <tr r="M17" s="7"/>
        <tr r="O61" s="13"/>
      </tp>
      <tp t="e">
        <v>#N/A</v>
        <stp/>
        <stp>BDH|12893294482672143415</stp>
        <tr r="V77" s="24"/>
      </tp>
      <tp t="e">
        <v>#N/A</v>
        <stp/>
        <stp>BDH|15828713466463497985</stp>
        <tr r="S29" s="6"/>
      </tp>
      <tp t="e">
        <v>#N/A</v>
        <stp/>
        <stp>BDH|10581169590140989691</stp>
        <tr r="I13" s="30"/>
      </tp>
      <tp t="e">
        <v>#N/A</v>
        <stp/>
        <stp>BDH|14840212511659304089</stp>
        <tr r="X14" s="10"/>
      </tp>
      <tp t="e">
        <v>#N/A</v>
        <stp/>
        <stp>BDH|10603846093886653944</stp>
        <tr r="I28" s="34"/>
      </tp>
      <tp t="e">
        <v>#N/A</v>
        <stp/>
        <stp>BDH|12906797196851167346</stp>
        <tr r="AA18" s="17"/>
      </tp>
      <tp t="e">
        <v>#N/A</v>
        <stp/>
        <stp>BDH|15677497612979921774</stp>
        <tr r="D66" s="21"/>
      </tp>
      <tp t="e">
        <v>#N/A</v>
        <stp/>
        <stp>BDH|10359844974931565050</stp>
        <tr r="S50" s="18"/>
      </tp>
      <tp t="e">
        <v>#N/A</v>
        <stp/>
        <stp>BDH|11028104988811943724</stp>
        <tr r="R7" s="23"/>
      </tp>
      <tp t="e">
        <v>#N/A</v>
        <stp/>
        <stp>BDH|11950718885184643486</stp>
        <tr r="C17" s="6"/>
      </tp>
      <tp t="e">
        <v>#N/A</v>
        <stp/>
        <stp>BDH|16707524128847770895</stp>
        <tr r="K7" s="4"/>
      </tp>
      <tp t="e">
        <v>#N/A</v>
        <stp/>
        <stp>BDH|10463609801548547033</stp>
        <tr r="F21" s="2"/>
      </tp>
      <tp t="e">
        <v>#N/A</v>
        <stp/>
        <stp>BDH|17622144132758193325</stp>
        <tr r="F180" s="18"/>
      </tp>
      <tp t="e">
        <v>#N/A</v>
        <stp/>
        <stp>BDH|16606113505091400850</stp>
        <tr r="Q53" s="21"/>
      </tp>
      <tp t="e">
        <v>#N/A</v>
        <stp/>
        <stp>BDH|11010816594496029862</stp>
        <tr r="Y15" s="26"/>
      </tp>
      <tp t="e">
        <v>#N/A</v>
        <stp/>
        <stp>BDH|15686065265014776919</stp>
        <tr r="F163" s="18"/>
      </tp>
      <tp t="e">
        <v>#N/A</v>
        <stp/>
        <stp>BDH|12505553622608421354</stp>
        <tr r="E27" s="13"/>
      </tp>
      <tp t="e">
        <v>#N/A</v>
        <stp/>
        <stp>BDH|13433846779634320693</stp>
        <tr r="Q71" s="12"/>
      </tp>
      <tp t="e">
        <v>#N/A</v>
        <stp/>
        <stp>BDH|13467430495637941786</stp>
        <tr r="I112" s="18"/>
      </tp>
      <tp t="e">
        <v>#N/A</v>
        <stp/>
        <stp>BDH|11410542189410823227</stp>
        <tr r="D27" s="21"/>
      </tp>
      <tp t="e">
        <v>#N/A</v>
        <stp/>
        <stp>BDH|15897579381856532089</stp>
        <tr r="C18" s="18"/>
      </tp>
      <tp t="e">
        <v>#N/A</v>
        <stp/>
        <stp>BDH|14546573407297423826</stp>
        <tr r="U16" s="14"/>
      </tp>
      <tp t="e">
        <v>#N/A</v>
        <stp/>
        <stp>BDH|11756049134508412409</stp>
        <tr r="S21" s="2"/>
      </tp>
      <tp t="e">
        <v>#N/A</v>
        <stp/>
        <stp>BDH|15820285391679491969</stp>
        <tr r="R71" s="12"/>
      </tp>
      <tp t="e">
        <v>#N/A</v>
        <stp/>
        <stp>BDH|11134565684383039107</stp>
        <tr r="V9" s="12"/>
      </tp>
      <tp t="e">
        <v>#N/A</v>
        <stp/>
        <stp>BDH|11802543468895531928</stp>
        <tr r="H57" s="24"/>
      </tp>
      <tp t="e">
        <v>#N/A</v>
        <stp/>
        <stp>BDH|13271321903656965896</stp>
        <tr r="D57" s="12"/>
      </tp>
      <tp t="e">
        <v>#N/A</v>
        <stp/>
        <stp>BDH|13181757105248695244</stp>
        <tr r="O32" s="18"/>
      </tp>
      <tp t="e">
        <v>#N/A</v>
        <stp/>
        <stp>BDH|13667046581600273526</stp>
        <tr r="V88" s="17"/>
      </tp>
      <tp t="e">
        <v>#N/A</v>
        <stp/>
        <stp>BDH|14367505154228109257</stp>
        <tr r="X12" s="17"/>
      </tp>
      <tp t="e">
        <v>#N/A</v>
        <stp/>
        <stp>BDH|16536070393494250504</stp>
        <tr r="V74" s="17"/>
      </tp>
      <tp t="e">
        <v>#N/A</v>
        <stp/>
        <stp>BDH|18375008832932491769</stp>
        <tr r="C94" s="17"/>
      </tp>
      <tp t="e">
        <v>#N/A</v>
        <stp/>
        <stp>BDH|12526957273693606165</stp>
        <tr r="T69" s="10"/>
      </tp>
      <tp t="e">
        <v>#N/A</v>
        <stp/>
        <stp>BDH|14576703096304950094</stp>
        <tr r="H26" s="27"/>
      </tp>
      <tp t="e">
        <v>#N/A</v>
        <stp/>
        <stp>BDH|14851452942078862244</stp>
        <tr r="I23" s="21"/>
      </tp>
      <tp t="e">
        <v>#N/A</v>
        <stp/>
        <stp>BDH|16724267984262740016</stp>
        <tr r="P93" s="12"/>
      </tp>
      <tp t="e">
        <v>#N/A</v>
        <stp/>
        <stp>BDH|10741276682233831796</stp>
        <tr r="F23" s="18"/>
      </tp>
      <tp t="e">
        <v>#N/A</v>
        <stp/>
        <stp>BDH|12160242387357973185</stp>
        <tr r="AA210" s="18"/>
      </tp>
      <tp t="e">
        <v>#N/A</v>
        <stp/>
        <stp>BDH|16822947307277056687</stp>
        <tr r="K15" s="10"/>
      </tp>
      <tp t="e">
        <v>#N/A</v>
        <stp/>
        <stp>BDH|16924947743223953647</stp>
        <tr r="V198" s="18"/>
      </tp>
      <tp t="e">
        <v>#N/A</v>
        <stp/>
        <stp>BDH|10155527892442517073</stp>
        <tr r="N101" s="12"/>
      </tp>
      <tp t="e">
        <v>#N/A</v>
        <stp/>
        <stp>BDH|14689340171008540658</stp>
        <tr r="K23" s="23"/>
      </tp>
      <tp t="e">
        <v>#N/A</v>
        <stp/>
        <stp>BDH|13462871168074930710</stp>
        <tr r="W143" s="18"/>
      </tp>
      <tp t="e">
        <v>#N/A</v>
        <stp/>
        <stp>BDH|13158986941553847336</stp>
        <tr r="K18" s="2"/>
        <tr r="K53" s="4"/>
        <tr r="K46" s="10"/>
        <tr r="K36" s="11"/>
        <tr r="M58" s="13"/>
      </tp>
      <tp t="e">
        <v>#N/A</v>
        <stp/>
        <stp>BDH|17675322365215555976</stp>
        <tr r="Y63" s="17"/>
      </tp>
      <tp t="e">
        <v>#N/A</v>
        <stp/>
        <stp>BDH|16309727377541286961</stp>
        <tr r="D32" s="10"/>
        <tr r="F41" s="13"/>
      </tp>
      <tp t="e">
        <v>#N/A</v>
        <stp/>
        <stp>BDH|14580975260412125710</stp>
        <tr r="S173" s="18"/>
      </tp>
      <tp t="e">
        <v>#N/A</v>
        <stp/>
        <stp>BDH|13513349926339229572</stp>
        <tr r="N29" s="6"/>
      </tp>
      <tp t="e">
        <v>#N/A</v>
        <stp/>
        <stp>BDH|12714391068149087040</stp>
        <tr r="Q49" s="18"/>
      </tp>
      <tp t="e">
        <v>#N/A</v>
        <stp/>
        <stp>BDH|15136630680306801389</stp>
        <tr r="D64" s="34"/>
      </tp>
      <tp t="e">
        <v>#N/A</v>
        <stp/>
        <stp>BDH|10474717789655608489</stp>
        <tr r="T12" s="12"/>
      </tp>
      <tp t="e">
        <v>#N/A</v>
        <stp/>
        <stp>BDH|10824717488522165328</stp>
        <tr r="Z71" s="17"/>
      </tp>
      <tp t="e">
        <v>#N/A</v>
        <stp/>
        <stp>BDH|10223469083323741122</stp>
        <tr r="X130" s="18"/>
      </tp>
      <tp t="e">
        <v>#N/A</v>
        <stp/>
        <stp>BDH|16484857724537275550</stp>
        <tr r="Q59" s="34"/>
      </tp>
      <tp t="e">
        <v>#N/A</v>
        <stp/>
        <stp>BDH|15436255391417182737</stp>
        <tr r="M25" s="5"/>
      </tp>
      <tp t="e">
        <v>#N/A</v>
        <stp/>
        <stp>BDH|16705532102238091544</stp>
        <tr r="E21" s="27"/>
      </tp>
      <tp t="e">
        <v>#N/A</v>
        <stp/>
        <stp>BDH|14439267465388388663</stp>
        <tr r="D47" s="13"/>
      </tp>
      <tp t="e">
        <v>#N/A</v>
        <stp/>
        <stp>BDH|10198950574364077421</stp>
        <tr r="P19" s="9"/>
      </tp>
      <tp t="e">
        <v>#N/A</v>
        <stp/>
        <stp>BDH|13631382397244896336</stp>
        <tr r="R12" s="17"/>
      </tp>
      <tp t="e">
        <v>#N/A</v>
        <stp/>
        <stp>BDH|15188160695845075604</stp>
        <tr r="U112" s="18"/>
      </tp>
      <tp t="e">
        <v>#N/A</v>
        <stp/>
        <stp>BDH|16119142261037030863</stp>
        <tr r="S21" s="4"/>
      </tp>
      <tp t="e">
        <v>#N/A</v>
        <stp/>
        <stp>BDH|13274491939688670264</stp>
        <tr r="I18" s="10"/>
      </tp>
      <tp t="e">
        <v>#N/A</v>
        <stp/>
        <stp>BDH|14783005452938510726</stp>
        <tr r="Y52" s="12"/>
      </tp>
      <tp t="e">
        <v>#N/A</v>
        <stp/>
        <stp>BDH|11263432496484212673</stp>
        <tr r="F76" s="18"/>
      </tp>
      <tp t="e">
        <v>#N/A</v>
        <stp/>
        <stp>BDH|13617977095915242849</stp>
        <tr r="G25" s="18"/>
      </tp>
      <tp t="e">
        <v>#N/A</v>
        <stp/>
        <stp>BDH|10677131296806753069</stp>
        <tr r="T14" s="10"/>
      </tp>
      <tp t="e">
        <v>#N/A</v>
        <stp/>
        <stp>BDH|15952399583338395824</stp>
        <tr r="F17" s="14"/>
      </tp>
      <tp t="e">
        <v>#N/A</v>
        <stp/>
        <stp>BDH|12370874756128065906</stp>
        <tr r="J83" s="12"/>
      </tp>
      <tp t="e">
        <v>#N/A</v>
        <stp/>
        <stp>BDH|17017674282700156765</stp>
        <tr r="Z33" s="22"/>
      </tp>
      <tp t="e">
        <v>#N/A</v>
        <stp/>
        <stp>BDH|18370966954809515369</stp>
        <tr r="F15" s="4"/>
      </tp>
      <tp t="e">
        <v>#N/A</v>
        <stp/>
        <stp>BDH|17642704737288529561</stp>
        <tr r="I22" s="30"/>
        <tr r="I24" s="23"/>
      </tp>
      <tp t="e">
        <v>#N/A</v>
        <stp/>
        <stp>BDH|15848586787186245076</stp>
        <tr r="J104" s="18"/>
      </tp>
      <tp t="e">
        <v>#N/A</v>
        <stp/>
        <stp>BDH|11773253708498097589</stp>
        <tr r="E43" s="24"/>
      </tp>
      <tp t="e">
        <v>#N/A</v>
        <stp/>
        <stp>BDH|15229867772840350478</stp>
        <tr r="X194" s="18"/>
      </tp>
      <tp t="e">
        <v>#N/A</v>
        <stp/>
        <stp>BDH|14972951438408277845</stp>
        <tr r="N13" s="11"/>
      </tp>
      <tp t="e">
        <v>#N/A</v>
        <stp/>
        <stp>BDH|12439809551213763209</stp>
        <tr r="Y38" s="17"/>
      </tp>
      <tp t="e">
        <v>#N/A</v>
        <stp/>
        <stp>BDH|11779331103148234473</stp>
        <tr r="I65" s="12"/>
      </tp>
      <tp t="e">
        <v>#N/A</v>
        <stp/>
        <stp>BDH|15110846370307655316</stp>
        <tr r="X21" s="3"/>
      </tp>
      <tp t="e">
        <v>#N/A</v>
        <stp/>
        <stp>BDH|18104626308867890710</stp>
        <tr r="Q69" s="18"/>
      </tp>
      <tp t="e">
        <v>#N/A</v>
        <stp/>
        <stp>BDH|13115807952611154103</stp>
        <tr r="H68" s="34"/>
      </tp>
      <tp t="e">
        <v>#N/A</v>
        <stp/>
        <stp>BDH|12435395189446023166</stp>
        <tr r="AA9" s="18"/>
      </tp>
      <tp t="e">
        <v>#N/A</v>
        <stp/>
        <stp>BDH|10437815740582166060</stp>
        <tr r="Y7" s="34"/>
      </tp>
      <tp t="e">
        <v>#N/A</v>
        <stp/>
        <stp>BDH|11085064056879477366</stp>
        <tr r="E62" s="18"/>
      </tp>
      <tp t="e">
        <v>#N/A</v>
        <stp/>
        <stp>BDH|18105367462981926297</stp>
        <tr r="Q20" s="27"/>
      </tp>
      <tp t="e">
        <v>#N/A</v>
        <stp/>
        <stp>BDH|12325010968829760387</stp>
        <tr r="T117" s="18"/>
      </tp>
      <tp t="e">
        <v>#N/A</v>
        <stp/>
        <stp>BDH|11967788002078104075</stp>
        <tr r="S62" s="18"/>
      </tp>
      <tp t="e">
        <v>#N/A</v>
        <stp/>
        <stp>BDH|14969940778760537458</stp>
        <tr r="T25" s="6"/>
      </tp>
      <tp t="e">
        <v>#N/A</v>
        <stp/>
        <stp>BDH|13672355984607785156</stp>
        <tr r="H29" s="21"/>
      </tp>
      <tp t="e">
        <v>#N/A</v>
        <stp/>
        <stp>BDH|11088318415249581440</stp>
        <tr r="O48" s="18"/>
      </tp>
      <tp t="e">
        <v>#N/A</v>
        <stp/>
        <stp>BDH|17181574796787447215</stp>
        <tr r="F42" s="12"/>
      </tp>
      <tp t="e">
        <v>#N/A</v>
        <stp/>
        <stp>BDH|18209790201921828071</stp>
        <tr r="D70" s="13"/>
      </tp>
      <tp t="e">
        <v>#N/A</v>
        <stp/>
        <stp>BDH|13015914105971468553</stp>
        <tr r="AA10" s="17"/>
      </tp>
      <tp t="e">
        <v>#N/A</v>
        <stp/>
        <stp>BDH|16796382534469703196</stp>
        <tr r="K49" s="13"/>
      </tp>
      <tp t="e">
        <v>#N/A</v>
        <stp/>
        <stp>BDH|11288703997340779177</stp>
        <tr r="K24" s="13"/>
      </tp>
      <tp t="e">
        <v>#N/A</v>
        <stp/>
        <stp>BDH|11631000245109328258</stp>
        <tr r="X171" s="18"/>
      </tp>
      <tp t="e">
        <v>#N/A</v>
        <stp/>
        <stp>BDH|11114379093482520751</stp>
        <tr r="M31" s="9"/>
      </tp>
      <tp t="e">
        <v>#N/A</v>
        <stp/>
        <stp>BDH|16719849199599768084</stp>
        <tr r="AA183" s="18"/>
      </tp>
      <tp t="e">
        <v>#N/A</v>
        <stp/>
        <stp>BDH|16787765392794409225</stp>
        <tr r="N146" s="18"/>
      </tp>
      <tp t="e">
        <v>#N/A</v>
        <stp/>
        <stp>BDH|11351733591106082740</stp>
        <tr r="V13" s="26"/>
      </tp>
      <tp t="e">
        <v>#N/A</v>
        <stp/>
        <stp>BDH|13031439485476013730</stp>
        <tr r="V30" s="22"/>
      </tp>
      <tp t="e">
        <v>#N/A</v>
        <stp/>
        <stp>BDH|16545129996329631923</stp>
        <tr r="Y97" s="18"/>
      </tp>
      <tp t="e">
        <v>#N/A</v>
        <stp/>
        <stp>BDH|13501161294915572071</stp>
        <tr r="L45" s="21"/>
      </tp>
      <tp t="e">
        <v>#N/A</v>
        <stp/>
        <stp>BDH|13458992104274898041</stp>
        <tr r="I24" s="21"/>
      </tp>
      <tp t="e">
        <v>#N/A</v>
        <stp/>
        <stp>BDH|15780841173430391469</stp>
        <tr r="M13" s="2"/>
      </tp>
      <tp t="e">
        <v>#N/A</v>
        <stp/>
        <stp>BDH|16903088177598489779</stp>
        <tr r="C52" s="24"/>
      </tp>
      <tp t="e">
        <v>#N/A</v>
        <stp/>
        <stp>BDH|14896996915477581540</stp>
        <tr r="W98" s="12"/>
      </tp>
      <tp t="e">
        <v>#N/A</v>
        <stp/>
        <stp>BDH|14840377579598504665</stp>
        <tr r="N16" s="24"/>
      </tp>
      <tp t="e">
        <v>#N/A</v>
        <stp/>
        <stp>BDH|16386912054217221319</stp>
        <tr r="AA11" s="30"/>
      </tp>
      <tp t="e">
        <v>#N/A</v>
        <stp/>
        <stp>BDH|11396268504125103853</stp>
        <tr r="D54" s="13"/>
      </tp>
      <tp t="e">
        <v>#N/A</v>
        <stp/>
        <stp>BDH|17456343216749768245</stp>
        <tr r="Q64" s="21"/>
      </tp>
      <tp t="e">
        <v>#N/A</v>
        <stp/>
        <stp>BDH|12011617487202144022</stp>
        <tr r="C12" s="21"/>
      </tp>
      <tp t="e">
        <v>#N/A</v>
        <stp/>
        <stp>BDH|13064251480987575058</stp>
        <tr r="X57" s="17"/>
      </tp>
      <tp t="e">
        <v>#N/A</v>
        <stp/>
        <stp>BDH|11708354302424184848</stp>
        <tr r="W29" s="6"/>
      </tp>
      <tp t="e">
        <v>#N/A</v>
        <stp/>
        <stp>BDH|14414876195739278217</stp>
        <tr r="V15" s="21"/>
      </tp>
      <tp t="e">
        <v>#N/A</v>
        <stp/>
        <stp>BDH|18130394428851398666</stp>
        <tr r="J68" s="24"/>
      </tp>
      <tp t="e">
        <v>#N/A</v>
        <stp/>
        <stp>BDH|15711450090615461331</stp>
        <tr r="G6" s="27"/>
      </tp>
      <tp t="e">
        <v>#N/A</v>
        <stp/>
        <stp>BDH|10261419437410137908</stp>
        <tr r="H81" s="18"/>
      </tp>
      <tp t="e">
        <v>#N/A</v>
        <stp/>
        <stp>BDH|16983312537768299083</stp>
        <tr r="N14" s="6"/>
      </tp>
      <tp t="e">
        <v>#N/A</v>
        <stp/>
        <stp>BDH|12248316799584850275</stp>
        <tr r="T103" s="12"/>
      </tp>
      <tp t="e">
        <v>#N/A</v>
        <stp/>
        <stp>BDH|11128235645699343013</stp>
        <tr r="Q26" s="21"/>
      </tp>
      <tp t="e">
        <v>#N/A</v>
        <stp/>
        <stp>BDH|12031263563478957097</stp>
        <tr r="U24" s="12"/>
      </tp>
      <tp t="e">
        <v>#N/A</v>
        <stp/>
        <stp>BDH|14929925079217068375</stp>
        <tr r="L45" s="6"/>
      </tp>
      <tp t="e">
        <v>#N/A</v>
        <stp/>
        <stp>BDH|12860750531059093199</stp>
        <tr r="P19" s="26"/>
      </tp>
      <tp t="e">
        <v>#N/A</v>
        <stp/>
        <stp>BDH|17012020842145571802</stp>
        <tr r="S44" s="6"/>
      </tp>
      <tp t="e">
        <v>#N/A</v>
        <stp/>
        <stp>BDH|14281909950060265652</stp>
        <tr r="H73" s="17"/>
      </tp>
      <tp t="e">
        <v>#N/A</v>
        <stp/>
        <stp>BDH|11337876102046626152</stp>
        <tr r="Q61" s="18"/>
      </tp>
      <tp t="e">
        <v>#N/A</v>
        <stp/>
        <stp>BDH|17006356653459754642</stp>
        <tr r="Y35" s="4"/>
      </tp>
      <tp t="e">
        <v>#N/A</v>
        <stp/>
        <stp>BDH|10335092769348623004</stp>
        <tr r="V72" s="34"/>
      </tp>
      <tp t="e">
        <v>#N/A</v>
        <stp/>
        <stp>BDH|15255527649573840947</stp>
        <tr r="G32" s="34"/>
      </tp>
      <tp t="e">
        <v>#N/A</v>
        <stp/>
        <stp>BDH|13092715073505629801</stp>
        <tr r="U27" s="26"/>
      </tp>
      <tp t="e">
        <v>#N/A</v>
        <stp/>
        <stp>BDH|12703548461689436624</stp>
        <tr r="I38" s="10"/>
        <tr r="I28" s="11"/>
        <tr r="K47" s="13"/>
      </tp>
      <tp t="e">
        <v>#N/A</v>
        <stp/>
        <stp>BDH|17581813227690231357</stp>
        <tr r="M109" s="18"/>
      </tp>
      <tp t="e">
        <v>#N/A</v>
        <stp/>
        <stp>BDH|12528501673387483961</stp>
        <tr r="G14" s="6"/>
      </tp>
      <tp t="e">
        <v>#N/A</v>
        <stp/>
        <stp>BDH|11977407866785285896</stp>
        <tr r="F58" s="11"/>
        <tr r="H19" s="23"/>
      </tp>
      <tp t="e">
        <v>#N/A</v>
        <stp/>
        <stp>BDH|13237208799227809171</stp>
        <tr r="D28" s="21"/>
      </tp>
      <tp t="e">
        <v>#N/A</v>
        <stp/>
        <stp>BDH|10413708303498340106</stp>
        <tr r="R8" s="21"/>
      </tp>
      <tp t="e">
        <v>#N/A</v>
        <stp/>
        <stp>BDH|14335800790123752808</stp>
        <tr r="C39" s="17"/>
      </tp>
      <tp t="e">
        <v>#N/A</v>
        <stp/>
        <stp>BDH|17748908217366075745</stp>
        <tr r="R16" s="26"/>
      </tp>
      <tp t="e">
        <v>#N/A</v>
        <stp/>
        <stp>BDH|12562457884236391637</stp>
        <tr r="M36" s="4"/>
      </tp>
      <tp t="e">
        <v>#N/A</v>
        <stp/>
        <stp>BDH|16094960121765756646</stp>
        <tr r="V58" s="17"/>
      </tp>
      <tp t="e">
        <v>#N/A</v>
        <stp/>
        <stp>BDH|13666968659724573583</stp>
        <tr r="G21" s="27"/>
      </tp>
      <tp t="e">
        <v>#N/A</v>
        <stp/>
        <stp>BDH|10722129585346342170</stp>
        <tr r="AA55" s="12"/>
      </tp>
      <tp t="e">
        <v>#N/A</v>
        <stp/>
        <stp>BDH|12191841350723820291</stp>
        <tr r="G7" s="34"/>
      </tp>
      <tp t="e">
        <v>#N/A</v>
        <stp/>
        <stp>BDH|16318800524127669555</stp>
        <tr r="AA65" s="24"/>
      </tp>
      <tp t="e">
        <v>#N/A</v>
        <stp/>
        <stp>BDH|12438372535359116531</stp>
        <tr r="C9" s="11"/>
      </tp>
      <tp t="e">
        <v>#N/A</v>
        <stp/>
        <stp>BDH|13036057295590614422</stp>
        <tr r="O10" s="14"/>
      </tp>
      <tp t="e">
        <v>#N/A</v>
        <stp/>
        <stp>BDH|10737904914403276556</stp>
        <tr r="V119" s="18"/>
        <tr r="V7" s="20"/>
      </tp>
      <tp t="e">
        <v>#N/A</v>
        <stp/>
        <stp>BDH|15460579814317359808</stp>
        <tr r="R135" s="18"/>
      </tp>
      <tp t="e">
        <v>#N/A</v>
        <stp/>
        <stp>BDH|15959326624503911920</stp>
        <tr r="O43" s="4"/>
      </tp>
      <tp t="e">
        <v>#N/A</v>
        <stp/>
        <stp>BDH|10033108753562086871</stp>
        <tr r="Y158" s="18"/>
      </tp>
      <tp t="e">
        <v>#N/A</v>
        <stp/>
        <stp>BDH|14549225888294367483</stp>
        <tr r="Y61" s="34"/>
      </tp>
      <tp t="e">
        <v>#N/A</v>
        <stp/>
        <stp>BDH|15510365247889282522</stp>
        <tr r="P25" s="10"/>
        <tr r="R34" s="13"/>
      </tp>
      <tp t="e">
        <v>#N/A</v>
        <stp/>
        <stp>BDH|15251702583567045350</stp>
        <tr r="V32" s="25"/>
        <tr r="V18" s="27"/>
      </tp>
      <tp t="e">
        <v>#N/A</v>
        <stp/>
        <stp>BDH|10576439565358536428</stp>
        <tr r="O41" s="24"/>
      </tp>
      <tp t="e">
        <v>#N/A</v>
        <stp/>
        <stp>BDH|12870207008318011644</stp>
        <tr r="L94" s="24"/>
      </tp>
      <tp t="e">
        <v>#N/A</v>
        <stp/>
        <stp>BDH|11381382484120291497</stp>
        <tr r="V59" s="11"/>
      </tp>
      <tp t="e">
        <v>#N/A</v>
        <stp/>
        <stp>BDH|15490946482242614808</stp>
        <tr r="F24" s="17"/>
      </tp>
      <tp t="e">
        <v>#N/A</v>
        <stp/>
        <stp>BDH|11683543551889678610</stp>
        <tr r="D208" s="18"/>
      </tp>
      <tp t="e">
        <v>#N/A</v>
        <stp/>
        <stp>BDH|15786689405319630485</stp>
        <tr r="K20" s="34"/>
      </tp>
      <tp t="e">
        <v>#N/A</v>
        <stp/>
        <stp>BDH|11183060411849430758</stp>
        <tr r="E68" s="12"/>
      </tp>
      <tp t="e">
        <v>#N/A</v>
        <stp/>
        <stp>BDH|15786861310182738011</stp>
        <tr r="S53" s="24"/>
      </tp>
      <tp t="e">
        <v>#N/A</v>
        <stp/>
        <stp>BDH|13279855334792780437</stp>
        <tr r="P26" s="10"/>
        <tr r="R35" s="13"/>
      </tp>
      <tp t="e">
        <v>#N/A</v>
        <stp/>
        <stp>BDH|18174597066275891011</stp>
        <tr r="H85" s="24"/>
      </tp>
      <tp t="e">
        <v>#N/A</v>
        <stp/>
        <stp>BDH|15249025861638399556</stp>
        <tr r="U64" s="17"/>
      </tp>
      <tp t="e">
        <v>#N/A</v>
        <stp/>
        <stp>BDH|18090456062207711374</stp>
        <tr r="D81" s="18"/>
      </tp>
      <tp t="e">
        <v>#N/A</v>
        <stp/>
        <stp>BDH|13921573780936145684</stp>
        <tr r="C85" s="24"/>
      </tp>
      <tp t="e">
        <v>#N/A</v>
        <stp/>
        <stp>BDH|13654926444791388143</stp>
        <tr r="Q19" s="17"/>
      </tp>
      <tp t="e">
        <v>#N/A</v>
        <stp/>
        <stp>BDH|15139711341851742910</stp>
        <tr r="T190" s="18"/>
      </tp>
      <tp t="e">
        <v>#N/A</v>
        <stp/>
        <stp>BDH|14791036557079718630</stp>
        <tr r="L154" s="18"/>
      </tp>
      <tp t="e">
        <v>#N/A</v>
        <stp/>
        <stp>BDH|13789070815564641847</stp>
        <tr r="G25" s="21"/>
      </tp>
      <tp t="e">
        <v>#N/A</v>
        <stp/>
        <stp>BDH|14417039218083926817</stp>
        <tr r="W91" s="12"/>
      </tp>
      <tp t="e">
        <v>#N/A</v>
        <stp/>
        <stp>BDH|12823284172820224971</stp>
        <tr r="I117" s="18"/>
      </tp>
      <tp t="e">
        <v>#N/A</v>
        <stp/>
        <stp>BDH|10560205759261957829</stp>
        <tr r="F22" s="7"/>
      </tp>
      <tp t="e">
        <v>#N/A</v>
        <stp/>
        <stp>BDH|10096464292170320303</stp>
        <tr r="W22" s="18"/>
      </tp>
      <tp t="e">
        <v>#N/A</v>
        <stp/>
        <stp>BDH|10634708800191318827</stp>
        <tr r="Y16" s="20"/>
      </tp>
      <tp t="e">
        <v>#N/A</v>
        <stp/>
        <stp>BDH|10497781601151812824</stp>
        <tr r="S40" s="22"/>
      </tp>
      <tp t="e">
        <v>#N/A</v>
        <stp/>
        <stp>BDH|10296827372243082258</stp>
        <tr r="K24" s="2"/>
      </tp>
      <tp t="e">
        <v>#N/A</v>
        <stp/>
        <stp>BDH|13145880748571666004</stp>
        <tr r="Q48" s="13"/>
      </tp>
      <tp t="e">
        <v>#N/A</v>
        <stp/>
        <stp>BDH|11058052298572323492</stp>
        <tr r="D34" s="24"/>
      </tp>
      <tp t="e">
        <v>#N/A</v>
        <stp/>
        <stp>BDH|15221177891594546766</stp>
        <tr r="U52" s="13"/>
      </tp>
      <tp t="e">
        <v>#N/A</v>
        <stp/>
        <stp>BDH|12162120071788327262</stp>
        <tr r="D80" s="24"/>
      </tp>
      <tp t="e">
        <v>#N/A</v>
        <stp/>
        <stp>BDH|15058950222101363133</stp>
        <tr r="W100" s="18"/>
      </tp>
      <tp t="e">
        <v>#N/A</v>
        <stp/>
        <stp>BDH|15684993819974173704</stp>
        <tr r="E26" s="18"/>
      </tp>
      <tp t="e">
        <v>#N/A</v>
        <stp/>
        <stp>BDH|13588830330934694278</stp>
        <tr r="M115" s="18"/>
      </tp>
      <tp t="e">
        <v>#N/A</v>
        <stp/>
        <stp>BDH|14595907186938321375</stp>
        <tr r="R184" s="18"/>
      </tp>
      <tp t="e">
        <v>#N/A</v>
        <stp/>
        <stp>BDH|15492288958255478974</stp>
        <tr r="X133" s="18"/>
      </tp>
      <tp t="e">
        <v>#N/A</v>
        <stp/>
        <stp>BDH|15098450692641412749</stp>
        <tr r="P10" s="13"/>
      </tp>
      <tp t="e">
        <v>#N/A</v>
        <stp/>
        <stp>BDH|18366003516280793759</stp>
        <tr r="W70" s="34"/>
      </tp>
      <tp t="e">
        <v>#N/A</v>
        <stp/>
        <stp>BDH|11882078001739994609</stp>
        <tr r="T15" s="29"/>
        <tr r="T38" s="29"/>
      </tp>
      <tp t="e">
        <v>#N/A</v>
        <stp/>
        <stp>BDH|16137044227838712229</stp>
        <tr r="G60" s="12"/>
      </tp>
      <tp t="e">
        <v>#N/A</v>
        <stp/>
        <stp>BDH|17246494564438963315</stp>
        <tr r="M11" s="18"/>
      </tp>
      <tp t="e">
        <v>#N/A</v>
        <stp/>
        <stp>BDH|15574140415039298218</stp>
        <tr r="Q45" s="6"/>
      </tp>
      <tp t="e">
        <v>#N/A</v>
        <stp/>
        <stp>BDH|16113879765246347078</stp>
        <tr r="S14" s="28"/>
      </tp>
      <tp t="e">
        <v>#N/A</v>
        <stp/>
        <stp>BDH|16700477563438250260</stp>
        <tr r="J13" s="12"/>
      </tp>
      <tp t="e">
        <v>#N/A</v>
        <stp/>
        <stp>BDH|11455345150669070077</stp>
        <tr r="L28" s="24"/>
      </tp>
      <tp t="e">
        <v>#N/A</v>
        <stp/>
        <stp>BDH|16330364750676752852</stp>
        <tr r="J138" s="18"/>
      </tp>
      <tp t="e">
        <v>#N/A</v>
        <stp/>
        <stp>BDH|14125533411477039943</stp>
        <tr r="R39" s="24"/>
      </tp>
      <tp t="e">
        <v>#N/A</v>
        <stp/>
        <stp>BDH|15864085178089637595</stp>
        <tr r="T8" s="26"/>
        <tr r="Q10" s="9"/>
      </tp>
      <tp t="e">
        <v>#N/A</v>
        <stp/>
        <stp>BDH|14768941941693657430</stp>
        <tr r="R88" s="12"/>
      </tp>
      <tp t="e">
        <v>#N/A</v>
        <stp/>
        <stp>BDH|12716502163279025637</stp>
        <tr r="G42" s="34"/>
      </tp>
      <tp t="e">
        <v>#N/A</v>
        <stp/>
        <stp>BDH|14566602691695509066</stp>
        <tr r="U8" s="12"/>
      </tp>
      <tp t="e">
        <v>#N/A</v>
        <stp/>
        <stp>BDH|13520048557090751874</stp>
        <tr r="R11" s="28"/>
      </tp>
      <tp t="e">
        <v>#N/A</v>
        <stp/>
        <stp>BDH|11111756382208362838</stp>
        <tr r="M37" s="10"/>
        <tr r="M27" s="11"/>
        <tr r="O46" s="13"/>
      </tp>
      <tp t="e">
        <v>#N/A</v>
        <stp/>
        <stp>BDH|18121430133856037772</stp>
        <tr r="X69" s="10"/>
      </tp>
      <tp t="e">
        <v>#N/A</v>
        <stp/>
        <stp>BDH|15943190361655295951</stp>
        <tr r="V15" s="10"/>
      </tp>
      <tp t="e">
        <v>#N/A</v>
        <stp/>
        <stp>BDH|11065293459870446820</stp>
        <tr r="W15" s="26"/>
      </tp>
      <tp t="e">
        <v>#N/A</v>
        <stp/>
        <stp>BDH|12927883176065088611</stp>
        <tr r="Y68" s="18"/>
      </tp>
      <tp t="e">
        <v>#N/A</v>
        <stp/>
        <stp>BDH|15152200646358297537</stp>
        <tr r="O85" s="12"/>
      </tp>
      <tp t="e">
        <v>#N/A</v>
        <stp/>
        <stp>BDH|17037509417829781462</stp>
        <tr r="S12" s="10"/>
      </tp>
      <tp t="e">
        <v>#N/A</v>
        <stp/>
        <stp>BDH|17367580124878141682</stp>
        <tr r="O15" s="29"/>
        <tr r="O38" s="29"/>
      </tp>
      <tp t="e">
        <v>#N/A</v>
        <stp/>
        <stp>BDH|14911112666939115494</stp>
        <tr r="M103" s="18"/>
      </tp>
      <tp t="e">
        <v>#N/A</v>
        <stp/>
        <stp>BDH|18395794074491109794</stp>
        <tr r="J57" s="13"/>
      </tp>
      <tp t="e">
        <v>#N/A</v>
        <stp/>
        <stp>BDH|17157924772924732306</stp>
        <tr r="Q8" s="8"/>
      </tp>
      <tp t="e">
        <v>#N/A</v>
        <stp/>
        <stp>BDH|16839564599061770563</stp>
        <tr r="S202" s="18"/>
      </tp>
      <tp t="e">
        <v>#N/A</v>
        <stp/>
        <stp>BDH|17285248591460942283</stp>
        <tr r="W181" s="18"/>
      </tp>
      <tp t="e">
        <v>#N/A</v>
        <stp/>
        <stp>BDH|13166830845619358826</stp>
        <tr r="N9" s="10"/>
      </tp>
      <tp t="e">
        <v>#N/A</v>
        <stp/>
        <stp>BDH|17060681777220943803</stp>
        <tr r="R44" s="24"/>
      </tp>
      <tp t="e">
        <v>#N/A</v>
        <stp/>
        <stp>BDH|15443012084167475432</stp>
        <tr r="F66" s="21"/>
        <tr r="C27" s="6"/>
      </tp>
      <tp t="e">
        <v>#N/A</v>
        <stp/>
        <stp>BDH|15716345740495004951</stp>
        <tr r="K175" s="18"/>
      </tp>
      <tp t="e">
        <v>#N/A</v>
        <stp/>
        <stp>BDH|14306725916408211431</stp>
        <tr r="C30" s="25"/>
        <tr r="C16" s="27"/>
      </tp>
      <tp t="e">
        <v>#N/A</v>
        <stp/>
        <stp>BDH|15052207948875724899</stp>
        <tr r="U6" s="6"/>
      </tp>
      <tp t="e">
        <v>#N/A</v>
        <stp/>
        <stp>BDH|18127535370034751033</stp>
        <tr r="E96" s="12"/>
      </tp>
      <tp t="e">
        <v>#N/A</v>
        <stp/>
        <stp>BDH|12005447293297567643</stp>
        <tr r="H105" s="12"/>
      </tp>
      <tp t="e">
        <v>#N/A</v>
        <stp/>
        <stp>BDH|15944965951851101699</stp>
        <tr r="C42" s="21"/>
      </tp>
      <tp t="e">
        <v>#N/A</v>
        <stp/>
        <stp>BDH|10155422984884918689</stp>
        <tr r="F22" s="17"/>
      </tp>
      <tp t="e">
        <v>#N/A</v>
        <stp/>
        <stp>BDH|11791263043899537016</stp>
        <tr r="Q84" s="24"/>
      </tp>
      <tp t="e">
        <v>#N/A</v>
        <stp/>
        <stp>BDH|17976734005036170882</stp>
        <tr r="M19" s="25"/>
      </tp>
      <tp t="e">
        <v>#N/A</v>
        <stp/>
        <stp>BDH|13321165452060745965</stp>
        <tr r="P139" s="18"/>
      </tp>
      <tp t="e">
        <v>#N/A</v>
        <stp/>
        <stp>BDH|16606500428487820803</stp>
        <tr r="X10" s="2"/>
        <tr r="W11" s="5"/>
        <tr r="W51" s="6"/>
        <tr r="Y33" s="29"/>
        <tr r="Y42" s="29"/>
      </tp>
      <tp t="e">
        <v>#N/A</v>
        <stp/>
        <stp>BDH|14724101795622577017</stp>
        <tr r="I67" s="10"/>
      </tp>
      <tp t="e">
        <v>#N/A</v>
        <stp/>
        <stp>BDH|11189755079836264997</stp>
        <tr r="E31" s="5"/>
      </tp>
      <tp t="e">
        <v>#N/A</v>
        <stp/>
        <stp>BDH|15616847807450343302</stp>
        <tr r="S18" s="6"/>
      </tp>
      <tp t="e">
        <v>#N/A</v>
        <stp/>
        <stp>BDH|16739346093345428720</stp>
        <tr r="P45" s="4"/>
        <tr r="P33" s="10"/>
        <tr r="P23" s="11"/>
        <tr r="R33" s="13"/>
      </tp>
      <tp t="e">
        <v>#N/A</v>
        <stp/>
        <stp>BDH|17845692126649864492</stp>
        <tr r="G77" s="34"/>
      </tp>
      <tp t="e">
        <v>#N/A</v>
        <stp/>
        <stp>BDH|17526084673899766702</stp>
        <tr r="W24" s="21"/>
      </tp>
      <tp t="e">
        <v>#N/A</v>
        <stp/>
        <stp>BDH|17333842732283992150</stp>
        <tr r="K25" s="18"/>
      </tp>
      <tp t="e">
        <v>#N/A</v>
        <stp/>
        <stp>BDH|13620595891710023178</stp>
        <tr r="AA12" s="3"/>
        <tr r="Y55" s="10"/>
        <tr r="Y45" s="11"/>
        <tr r="Y7" s="7"/>
      </tp>
      <tp t="e">
        <v>#N/A</v>
        <stp/>
        <stp>BDH|14114911406871664294</stp>
        <tr r="R41" s="10"/>
        <tr r="R31" s="11"/>
      </tp>
      <tp t="e">
        <v>#N/A</v>
        <stp/>
        <stp>BDH|11298186148603220992</stp>
        <tr r="M108" s="18"/>
      </tp>
      <tp t="e">
        <v>#N/A</v>
        <stp/>
        <stp>BDH|12757498646855644978</stp>
        <tr r="L25" s="17"/>
      </tp>
      <tp t="e">
        <v>#N/A</v>
        <stp/>
        <stp>BDH|17928959151185703033</stp>
        <tr r="S156" s="18"/>
      </tp>
      <tp t="e">
        <v>#N/A</v>
        <stp/>
        <stp>BDH|10267785601990631941</stp>
        <tr r="P9" s="17"/>
      </tp>
      <tp t="e">
        <v>#N/A</v>
        <stp/>
        <stp>BDH|13328155968518021278</stp>
        <tr r="P39" s="18"/>
      </tp>
      <tp t="e">
        <v>#N/A</v>
        <stp/>
        <stp>BDH|18227408231412915337</stp>
        <tr r="K59" s="12"/>
      </tp>
      <tp t="e">
        <v>#N/A</v>
        <stp/>
        <stp>BDH|17251584485457489322</stp>
        <tr r="G13" s="5"/>
      </tp>
      <tp t="e">
        <v>#N/A</v>
        <stp/>
        <stp>BDH|15945065291012062078</stp>
        <tr r="U107" s="18"/>
      </tp>
      <tp t="e">
        <v>#N/A</v>
        <stp/>
        <stp>BDH|15640868402671245291</stp>
        <tr r="G59" s="17"/>
      </tp>
      <tp t="e">
        <v>#N/A</v>
        <stp/>
        <stp>BDH|11554326242009955158</stp>
        <tr r="C19" s="23"/>
      </tp>
      <tp t="e">
        <v>#N/A</v>
        <stp/>
        <stp>BDH|11039522330818266192</stp>
        <tr r="Q24" s="12"/>
      </tp>
      <tp t="e">
        <v>#N/A</v>
        <stp/>
        <stp>BDH|17143086421209682275</stp>
        <tr r="N43" s="29"/>
      </tp>
      <tp t="e">
        <v>#N/A</v>
        <stp/>
        <stp>BDH|18148701471253985503</stp>
        <tr r="U48" s="13"/>
      </tp>
      <tp t="e">
        <v>#N/A</v>
        <stp/>
        <stp>BDH|15468450151593076998</stp>
        <tr r="Z67" s="13"/>
      </tp>
      <tp t="e">
        <v>#N/A</v>
        <stp/>
        <stp>BDH|14950804004522301078</stp>
        <tr r="D24" s="2"/>
      </tp>
      <tp t="e">
        <v>#N/A</v>
        <stp/>
        <stp>BDH|13114471217009822103</stp>
        <tr r="Z74" s="24"/>
      </tp>
      <tp t="e">
        <v>#N/A</v>
        <stp/>
        <stp>BDH|16317992850792529661</stp>
        <tr r="W31" s="29"/>
      </tp>
      <tp t="e">
        <v>#N/A</v>
        <stp/>
        <stp>BDH|15895837822788362938</stp>
        <tr r="M50" s="24"/>
      </tp>
      <tp t="e">
        <v>#N/A</v>
        <stp/>
        <stp>BDH|15255608132889029791</stp>
        <tr r="J32" s="25"/>
        <tr r="J18" s="27"/>
      </tp>
      <tp t="e">
        <v>#N/A</v>
        <stp/>
        <stp>BDH|17269748703027825949</stp>
        <tr r="K105" s="18"/>
      </tp>
      <tp t="e">
        <v>#N/A</v>
        <stp/>
        <stp>BDH|14905995121941995010</stp>
        <tr r="W9" s="21"/>
      </tp>
      <tp t="e">
        <v>#N/A</v>
        <stp/>
        <stp>BDH|16617834451241412493</stp>
        <tr r="Q25" s="2"/>
        <tr r="S62" s="21"/>
      </tp>
      <tp t="e">
        <v>#N/A</v>
        <stp/>
        <stp>BDH|13200875239910002659</stp>
        <tr r="M31" s="5"/>
      </tp>
      <tp t="e">
        <v>#N/A</v>
        <stp/>
        <stp>BDH|18266070919470755723</stp>
        <tr r="G25" s="4"/>
        <tr r="G65" s="10"/>
      </tp>
      <tp t="e">
        <v>#N/A</v>
        <stp/>
        <stp>BDH|16978424099175220094</stp>
        <tr r="Z24" s="24"/>
      </tp>
      <tp t="e">
        <v>#N/A</v>
        <stp/>
        <stp>BDH|18315490852902495555</stp>
        <tr r="P200" s="18"/>
      </tp>
      <tp t="e">
        <v>#N/A</v>
        <stp/>
        <stp>BDH|13557799695687042415</stp>
        <tr r="D33" s="5"/>
      </tp>
      <tp t="e">
        <v>#N/A</v>
        <stp/>
        <stp>BDH|13660305282807449184</stp>
        <tr r="E11" s="9"/>
      </tp>
      <tp t="e">
        <v>#N/A</v>
        <stp/>
        <stp>BDH|18190850839039149446</stp>
        <tr r="P63" s="17"/>
      </tp>
      <tp t="e">
        <v>#N/A</v>
        <stp/>
        <stp>BDH|16297506790344873021</stp>
        <tr r="M27" s="22"/>
      </tp>
      <tp t="e">
        <v>#N/A</v>
        <stp/>
        <stp>BDH|10985759714290489842</stp>
        <tr r="K65" s="12"/>
      </tp>
      <tp t="e">
        <v>#N/A</v>
        <stp/>
        <stp>BDH|13638567669807130907</stp>
        <tr r="U105" s="18"/>
      </tp>
      <tp t="e">
        <v>#N/A</v>
        <stp/>
        <stp>BDH|16211391472735772968</stp>
        <tr r="F45" s="24"/>
      </tp>
      <tp t="e">
        <v>#N/A</v>
        <stp/>
        <stp>BDH|10257945072941592198</stp>
        <tr r="D8" s="12"/>
      </tp>
      <tp t="e">
        <v>#N/A</v>
        <stp/>
        <stp>BDH|13261870046355324488</stp>
        <tr r="O12" s="26"/>
      </tp>
      <tp t="e">
        <v>#N/A</v>
        <stp/>
        <stp>BDH|11384707788728433874</stp>
        <tr r="V43" s="22"/>
      </tp>
      <tp t="e">
        <v>#N/A</v>
        <stp/>
        <stp>BDH|11992663014979596164</stp>
        <tr r="X143" s="18"/>
      </tp>
      <tp t="e">
        <v>#N/A</v>
        <stp/>
        <stp>BDH|14731208689048150873</stp>
        <tr r="P30" s="12"/>
      </tp>
      <tp t="e">
        <v>#N/A</v>
        <stp/>
        <stp>BDH|16912865704897605750</stp>
        <tr r="M31" s="29"/>
      </tp>
      <tp t="e">
        <v>#N/A</v>
        <stp/>
        <stp>BDH|14192635339836073931</stp>
        <tr r="G15" s="11"/>
      </tp>
      <tp t="e">
        <v>#N/A</v>
        <stp/>
        <stp>BDH|13563283927144723957</stp>
        <tr r="L81" s="18"/>
      </tp>
      <tp t="e">
        <v>#N/A</v>
        <stp/>
        <stp>BDH|13933002469668059383</stp>
        <tr r="T21" s="17"/>
        <tr r="T15" s="3"/>
      </tp>
      <tp t="e">
        <v>#N/A</v>
        <stp/>
        <stp>BDH|14768510717629015790</stp>
        <tr r="M72" s="10"/>
        <tr r="M62" s="11"/>
      </tp>
      <tp t="e">
        <v>#N/A</v>
        <stp/>
        <stp>BDH|10046145591027412191</stp>
        <tr r="F68" s="24"/>
      </tp>
      <tp t="e">
        <v>#N/A</v>
        <stp/>
        <stp>BDH|14053025580102959034</stp>
        <tr r="E9" s="26"/>
      </tp>
      <tp t="e">
        <v>#N/A</v>
        <stp/>
        <stp>BDH|12385643830918862174</stp>
        <tr r="D30" s="6"/>
      </tp>
      <tp t="e">
        <v>#N/A</v>
        <stp/>
        <stp>BDH|14534108716229304389</stp>
        <tr r="D8" s="25"/>
      </tp>
      <tp t="e">
        <v>#N/A</v>
        <stp/>
        <stp>BDH|13503981635637459045</stp>
        <tr r="X94" s="18"/>
      </tp>
      <tp t="e">
        <v>#N/A</v>
        <stp/>
        <stp>BDH|11414385764509348332</stp>
        <tr r="P51" s="21"/>
      </tp>
      <tp t="e">
        <v>#N/A</v>
        <stp/>
        <stp>BDH|17613953695960654989</stp>
        <tr r="Q52" s="10"/>
        <tr r="Q42" s="11"/>
        <tr r="Q15" s="7"/>
      </tp>
      <tp t="e">
        <v>#N/A</v>
        <stp/>
        <stp>BDH|12310523183310240182</stp>
        <tr r="R49" s="21"/>
      </tp>
      <tp t="e">
        <v>#N/A</v>
        <stp/>
        <stp>BDH|12191454530649448289</stp>
        <tr r="S32" s="34"/>
      </tp>
      <tp t="e">
        <v>#N/A</v>
        <stp/>
        <stp>BDH|18236349269211085276</stp>
        <tr r="L8" s="22"/>
      </tp>
      <tp t="e">
        <v>#N/A</v>
        <stp/>
        <stp>BDH|12113668449129145779</stp>
        <tr r="J9" s="6"/>
      </tp>
      <tp t="e">
        <v>#N/A</v>
        <stp/>
        <stp>BDH|11821144403768107665</stp>
        <tr r="K86" s="12"/>
      </tp>
      <tp t="e">
        <v>#N/A</v>
        <stp/>
        <stp>BDH|12626666715643432895</stp>
        <tr r="U80" s="12"/>
      </tp>
      <tp t="e">
        <v>#N/A</v>
        <stp/>
        <stp>BDH|17669862012775259582</stp>
        <tr r="W90" s="24"/>
      </tp>
      <tp t="e">
        <v>#N/A</v>
        <stp/>
        <stp>BDH|10473829970580992176</stp>
        <tr r="K23" s="25"/>
        <tr r="I20" s="11"/>
      </tp>
      <tp t="e">
        <v>#N/A</v>
        <stp/>
        <stp>BDH|11153094586652403523</stp>
        <tr r="E35" s="10"/>
        <tr r="E25" s="11"/>
      </tp>
      <tp t="e">
        <v>#N/A</v>
        <stp/>
        <stp>BDH|17524928096539905034</stp>
        <tr r="G210" s="18"/>
      </tp>
      <tp t="e">
        <v>#N/A</v>
        <stp/>
        <stp>BDH|15600280010870171845</stp>
        <tr r="O88" s="24"/>
      </tp>
      <tp t="e">
        <v>#N/A</v>
        <stp/>
        <stp>BDH|14418439788297614121</stp>
        <tr r="J30" s="34"/>
      </tp>
      <tp t="e">
        <v>#N/A</v>
        <stp/>
        <stp>BDH|11757849238535992199</stp>
        <tr r="X26" s="34"/>
      </tp>
      <tp t="e">
        <v>#N/A</v>
        <stp/>
        <stp>BDH|17559935959542058748</stp>
        <tr r="K9" s="17"/>
      </tp>
      <tp t="e">
        <v>#N/A</v>
        <stp/>
        <stp>BDH|10473873025040956449</stp>
        <tr r="U199" s="18"/>
      </tp>
      <tp t="e">
        <v>#N/A</v>
        <stp/>
        <stp>BDH|10487456499077555463</stp>
        <tr r="X7" s="8"/>
      </tp>
      <tp t="e">
        <v>#N/A</v>
        <stp/>
        <stp>BDH|15350842048982155554</stp>
        <tr r="G172" s="18"/>
      </tp>
      <tp t="e">
        <v>#N/A</v>
        <stp/>
        <stp>BDH|16350119880411811016</stp>
        <tr r="F33" s="24"/>
      </tp>
      <tp t="e">
        <v>#N/A</v>
        <stp/>
        <stp>BDH|12396882955546240775</stp>
        <tr r="AA60" s="34"/>
      </tp>
      <tp t="e">
        <v>#N/A</v>
        <stp/>
        <stp>BDH|16014833272331363698</stp>
        <tr r="C52" s="4"/>
        <tr r="E8" s="3"/>
        <tr r="C44" s="10"/>
        <tr r="C34" s="11"/>
        <tr r="E45" s="13"/>
      </tp>
      <tp t="e">
        <v>#N/A</v>
        <stp/>
        <stp>BDH|11926511524980119865</stp>
        <tr r="Z186" s="18"/>
      </tp>
      <tp t="e">
        <v>#N/A</v>
        <stp/>
        <stp>BDH|11571783401341328948</stp>
        <tr r="U50" s="18"/>
      </tp>
      <tp t="e">
        <v>#N/A</v>
        <stp/>
        <stp>BDH|11372781750629747479</stp>
        <tr r="P27" s="12"/>
      </tp>
      <tp t="e">
        <v>#N/A</v>
        <stp/>
        <stp>BDH|10424988617723548555</stp>
        <tr r="W20" s="12"/>
      </tp>
      <tp t="e">
        <v>#N/A</v>
        <stp/>
        <stp>BDH|17047182894541235053</stp>
        <tr r="X30" s="24"/>
      </tp>
      <tp t="e">
        <v>#N/A</v>
        <stp/>
        <stp>BDH|14834957288353729896</stp>
        <tr r="Q48" s="22"/>
      </tp>
      <tp t="e">
        <v>#N/A</v>
        <stp/>
        <stp>BDH|15445032688230629324</stp>
        <tr r="D29" s="6"/>
      </tp>
      <tp t="e">
        <v>#N/A</v>
        <stp/>
        <stp>BDH|15255704728508848691</stp>
        <tr r="R49" s="24"/>
      </tp>
      <tp t="e">
        <v>#N/A</v>
        <stp/>
        <stp>BDH|10840549583412498107</stp>
        <tr r="Z200" s="18"/>
      </tp>
      <tp t="e">
        <v>#N/A</v>
        <stp/>
        <stp>BDH|11455468879534360839</stp>
        <tr r="W164" s="18"/>
      </tp>
      <tp t="e">
        <v>#N/A</v>
        <stp/>
        <stp>BDH|10642135589434301342</stp>
        <tr r="R85" s="12"/>
      </tp>
      <tp t="e">
        <v>#N/A</v>
        <stp/>
        <stp>BDH|14924623430356237926</stp>
        <tr r="N203" s="18"/>
      </tp>
      <tp t="e">
        <v>#N/A</v>
        <stp/>
        <stp>BDH|13796298996802661459</stp>
        <tr r="K48" s="24"/>
      </tp>
      <tp t="e">
        <v>#N/A</v>
        <stp/>
        <stp>BDH|13696855958725591557</stp>
        <tr r="T150" s="18"/>
      </tp>
      <tp t="e">
        <v>#N/A</v>
        <stp/>
        <stp>BDH|16569370738959687172</stp>
        <tr r="Z7" s="23"/>
      </tp>
      <tp t="e">
        <v>#N/A</v>
        <stp/>
        <stp>BDH|11226750968736422802</stp>
        <tr r="Z119" s="18"/>
        <tr r="Z7" s="20"/>
      </tp>
      <tp t="e">
        <v>#N/A</v>
        <stp/>
        <stp>BDH|17354972549606254240</stp>
        <tr r="G22" s="12"/>
      </tp>
      <tp t="e">
        <v>#N/A</v>
        <stp/>
        <stp>BDH|17352911204839408987</stp>
        <tr r="S15" s="13"/>
      </tp>
      <tp t="e">
        <v>#N/A</v>
        <stp/>
        <stp>BDH|13583241646349544284</stp>
        <tr r="F13" s="2"/>
      </tp>
      <tp t="e">
        <v>#N/A</v>
        <stp/>
        <stp>BDH|17548557617689970448</stp>
        <tr r="P23" s="24"/>
      </tp>
      <tp t="e">
        <v>#N/A</v>
        <stp/>
        <stp>BDH|12982727079664088888</stp>
        <tr r="D70" s="12"/>
      </tp>
      <tp t="e">
        <v>#N/A</v>
        <stp/>
        <stp>BDH|16414958388460704945</stp>
        <tr r="Q22" s="6"/>
      </tp>
      <tp t="e">
        <v>#N/A</v>
        <stp/>
        <stp>BDH|14359266055589966438</stp>
        <tr r="G51" s="12"/>
      </tp>
      <tp t="e">
        <v>#N/A</v>
        <stp/>
        <stp>BDH|10220832545536823468</stp>
        <tr r="U34" s="24"/>
      </tp>
      <tp t="e">
        <v>#N/A</v>
        <stp/>
        <stp>BDH|18114329273103802126</stp>
        <tr r="J57" s="24"/>
      </tp>
      <tp t="e">
        <v>#N/A</v>
        <stp/>
        <stp>BDH|14082974243784830366</stp>
        <tr r="U42" s="21"/>
      </tp>
      <tp t="e">
        <v>#N/A</v>
        <stp/>
        <stp>BDH|14970830528524898406</stp>
        <tr r="F68" s="17"/>
        <tr r="C8" s="5"/>
        <tr r="C8" s="9"/>
      </tp>
      <tp t="e">
        <v>#N/A</v>
        <stp/>
        <stp>BDH|13161208490747809134</stp>
        <tr r="D50" s="24"/>
      </tp>
      <tp t="e">
        <v>#N/A</v>
        <stp/>
        <stp>BDH|15810880951882859431</stp>
        <tr r="E66" s="13"/>
      </tp>
      <tp t="e">
        <v>#N/A</v>
        <stp/>
        <stp>BDH|11172621511539171199</stp>
        <tr r="D45" s="22"/>
      </tp>
      <tp t="e">
        <v>#N/A</v>
        <stp/>
        <stp>BDH|13808324992946146134</stp>
        <tr r="P47" s="10"/>
        <tr r="P37" s="11"/>
      </tp>
      <tp t="e">
        <v>#N/A</v>
        <stp/>
        <stp>BDH|17754885626690016336</stp>
        <tr r="I55" s="12"/>
      </tp>
      <tp t="e">
        <v>#N/A</v>
        <stp/>
        <stp>BDH|13441854944126620792</stp>
        <tr r="R57" s="10"/>
        <tr r="R47" s="11"/>
        <tr r="R18" s="7"/>
        <tr r="T64" s="13"/>
      </tp>
      <tp t="e">
        <v>#N/A</v>
        <stp/>
        <stp>BDH|17958922250462806792</stp>
        <tr r="C77" s="18"/>
      </tp>
      <tp t="e">
        <v>#N/A</v>
        <stp/>
        <stp>BDH|10372016649553403955</stp>
        <tr r="AA42" s="22"/>
      </tp>
      <tp t="e">
        <v>#N/A</v>
        <stp/>
        <stp>BDH|15170050780762660186</stp>
        <tr r="P28" s="22"/>
      </tp>
      <tp t="e">
        <v>#N/A</v>
        <stp/>
        <stp>BDH|10562599450037075968</stp>
        <tr r="U21" s="17"/>
        <tr r="U15" s="3"/>
      </tp>
      <tp t="e">
        <v>#N/A</v>
        <stp/>
        <stp>BDH|13124253223358851557</stp>
        <tr r="J34" s="26"/>
      </tp>
      <tp t="e">
        <v>#N/A</v>
        <stp/>
        <stp>BDH|13374537088397070723</stp>
        <tr r="W30" s="34"/>
      </tp>
      <tp t="e">
        <v>#N/A</v>
        <stp/>
        <stp>BDH|11023871242767948467</stp>
        <tr r="W28" s="25"/>
        <tr r="W14" s="27"/>
      </tp>
      <tp t="e">
        <v>#N/A</v>
        <stp/>
        <stp>BDH|12543454058605669847</stp>
        <tr r="P35" s="18"/>
      </tp>
      <tp t="e">
        <v>#N/A</v>
        <stp/>
        <stp>BDH|17739630171240946862</stp>
        <tr r="V70" s="13"/>
      </tp>
      <tp t="e">
        <v>#N/A</v>
        <stp/>
        <stp>BDH|17806395919312369916</stp>
        <tr r="O29" s="4"/>
      </tp>
      <tp t="e">
        <v>#N/A</v>
        <stp/>
        <stp>BDH|12236880950965789474</stp>
        <tr r="M56" s="13"/>
      </tp>
      <tp t="e">
        <v>#N/A</v>
        <stp/>
        <stp>BDH|11296914368275910588</stp>
        <tr r="E23" s="23"/>
      </tp>
      <tp t="e">
        <v>#N/A</v>
        <stp/>
        <stp>BDH|13578986946218958883</stp>
        <tr r="V13" s="10"/>
      </tp>
      <tp t="e">
        <v>#N/A</v>
        <stp/>
        <stp>BDH|10617483132298330157</stp>
        <tr r="D29" s="13"/>
      </tp>
      <tp t="e">
        <v>#N/A</v>
        <stp/>
        <stp>BDH|14941452771950937997</stp>
        <tr r="K113" s="18"/>
      </tp>
      <tp t="e">
        <v>#N/A</v>
        <stp/>
        <stp>BDH|15164752585087992357</stp>
        <tr r="K34" s="9"/>
      </tp>
      <tp t="e">
        <v>#N/A</v>
        <stp/>
        <stp>BDH|17543390650269153609</stp>
        <tr r="H48" s="13"/>
      </tp>
      <tp t="e">
        <v>#N/A</v>
        <stp/>
        <stp>BDH|11162248483702829732</stp>
        <tr r="I22" s="4"/>
      </tp>
      <tp t="e">
        <v>#N/A</v>
        <stp/>
        <stp>BDH|16635926958846524247</stp>
        <tr r="W39" s="18"/>
      </tp>
      <tp t="e">
        <v>#N/A</v>
        <stp/>
        <stp>BDH|17086912457316855334</stp>
        <tr r="U56" s="13"/>
      </tp>
      <tp t="e">
        <v>#N/A</v>
        <stp/>
        <stp>BDH|10378898888969967768</stp>
        <tr r="C35" s="4"/>
      </tp>
      <tp t="e">
        <v>#N/A</v>
        <stp/>
        <stp>BDH|14524139808393173820</stp>
        <tr r="N74" s="34"/>
      </tp>
      <tp t="e">
        <v>#N/A</v>
        <stp/>
        <stp>BDH|12542007592867860222</stp>
        <tr r="D72" s="24"/>
      </tp>
      <tp t="e">
        <v>#N/A</v>
        <stp/>
        <stp>BDH|13984393982152629497</stp>
        <tr r="AA16" s="20"/>
      </tp>
      <tp t="e">
        <v>#N/A</v>
        <stp/>
        <stp>BDH|18274600145656884227</stp>
        <tr r="V62" s="34"/>
      </tp>
      <tp t="e">
        <v>#N/A</v>
        <stp/>
        <stp>BDH|14118721023898446792</stp>
        <tr r="U39" s="17"/>
      </tp>
      <tp t="e">
        <v>#N/A</v>
        <stp/>
        <stp>BDH|14954398888320709120</stp>
        <tr r="H53" s="21"/>
      </tp>
      <tp t="e">
        <v>#N/A</v>
        <stp/>
        <stp>BDH|10651964335567805309</stp>
        <tr r="T37" s="21"/>
      </tp>
      <tp t="e">
        <v>#N/A</v>
        <stp/>
        <stp>BDH|11438232550290288887</stp>
        <tr r="Y72" s="18"/>
      </tp>
      <tp t="e">
        <v>#N/A</v>
        <stp/>
        <stp>BDH|14083363348095005837</stp>
        <tr r="T75" s="12"/>
      </tp>
      <tp t="e">
        <v>#N/A</v>
        <stp/>
        <stp>BDH|17903873352035094116</stp>
        <tr r="Y8" s="8"/>
      </tp>
      <tp t="e">
        <v>#N/A</v>
        <stp/>
        <stp>BDH|17825415388420576598</stp>
        <tr r="C72" s="17"/>
      </tp>
      <tp t="e">
        <v>#N/A</v>
        <stp/>
        <stp>BDH|11712381556758532117</stp>
        <tr r="F195" s="18"/>
      </tp>
      <tp t="e">
        <v>#N/A</v>
        <stp/>
        <stp>BDH|14921915739700831042</stp>
        <tr r="M79" s="24"/>
      </tp>
      <tp t="e">
        <v>#N/A</v>
        <stp/>
        <stp>BDH|16190350339279699162</stp>
        <tr r="F34" s="12"/>
      </tp>
      <tp t="e">
        <v>#N/A</v>
        <stp/>
        <stp>BDH|17769686583026753165</stp>
        <tr r="W13" s="24"/>
      </tp>
      <tp t="e">
        <v>#N/A</v>
        <stp/>
        <stp>BDH|13456872352287531796</stp>
        <tr r="C9" s="23"/>
      </tp>
      <tp t="e">
        <v>#N/A</v>
        <stp/>
        <stp>BDH|10985538647357576853</stp>
        <tr r="R45" s="6"/>
      </tp>
      <tp t="e">
        <v>#N/A</v>
        <stp/>
        <stp>BDH|16278021380262473295</stp>
        <tr r="Y8" s="28"/>
      </tp>
      <tp t="e">
        <v>#N/A</v>
        <stp/>
        <stp>BDH|10770980246746545512</stp>
        <tr r="L205" s="18"/>
      </tp>
      <tp t="e">
        <v>#N/A</v>
        <stp/>
        <stp>BDH|17650537591343942603</stp>
        <tr r="R24" s="27"/>
      </tp>
      <tp t="e">
        <v>#N/A</v>
        <stp/>
        <stp>BDH|11850960272590717164</stp>
        <tr r="G28" s="27"/>
      </tp>
      <tp t="e">
        <v>#N/A</v>
        <stp/>
        <stp>BDH|17511112289287211725</stp>
        <tr r="I47" s="17"/>
      </tp>
      <tp t="e">
        <v>#N/A</v>
        <stp/>
        <stp>BDH|11734155609669645701</stp>
        <tr r="C62" s="21"/>
      </tp>
      <tp t="e">
        <v>#N/A</v>
        <stp/>
        <stp>BDH|12642542694613939327</stp>
        <tr r="L83" s="12"/>
      </tp>
      <tp t="e">
        <v>#N/A</v>
        <stp/>
        <stp>BDH|15927553951638235320</stp>
        <tr r="V23" s="20"/>
      </tp>
      <tp t="e">
        <v>#N/A</v>
        <stp/>
        <stp>BDH|12189890522856085063</stp>
        <tr r="S30" s="29"/>
        <tr r="S8" s="29"/>
      </tp>
      <tp t="e">
        <v>#N/A</v>
        <stp/>
        <stp>BDH|14053699619475921850</stp>
        <tr r="H27" s="13"/>
      </tp>
      <tp t="e">
        <v>#N/A</v>
        <stp/>
        <stp>BDH|15196074509472168926</stp>
        <tr r="X79" s="12"/>
      </tp>
      <tp t="e">
        <v>#N/A</v>
        <stp/>
        <stp>BDH|11949821667170552158</stp>
        <tr r="C71" s="34"/>
      </tp>
      <tp t="e">
        <v>#N/A</v>
        <stp/>
        <stp>BDH|10941745429938935312</stp>
        <tr r="U14" s="23"/>
      </tp>
      <tp t="e">
        <v>#N/A</v>
        <stp/>
        <stp>BDH|12982951120566668162</stp>
        <tr r="D33" s="9"/>
      </tp>
      <tp t="e">
        <v>#N/A</v>
        <stp/>
        <stp>BDH|13675024872682898824</stp>
        <tr r="U13" s="6"/>
      </tp>
      <tp t="e">
        <v>#N/A</v>
        <stp/>
        <stp>BDH|13908262720979524461</stp>
        <tr r="AA19" s="17"/>
      </tp>
      <tp t="e">
        <v>#N/A</v>
        <stp/>
        <stp>BDH|11583195357702619913</stp>
        <tr r="U101" s="18"/>
      </tp>
      <tp t="e">
        <v>#N/A</v>
        <stp/>
        <stp>BDH|13462955738323680430</stp>
        <tr r="C36" s="18"/>
      </tp>
      <tp t="e">
        <v>#N/A</v>
        <stp/>
        <stp>BDH|11997201390653667730</stp>
        <tr r="O106" s="12"/>
      </tp>
      <tp t="e">
        <v>#N/A</v>
        <stp/>
        <stp>BDH|10496034049109505374</stp>
        <tr r="K62" s="12"/>
      </tp>
      <tp t="e">
        <v>#N/A</v>
        <stp/>
        <stp>BDH|12848464083455081513</stp>
        <tr r="I36" s="18"/>
      </tp>
      <tp t="e">
        <v>#N/A</v>
        <stp/>
        <stp>BDH|11837434404988272316</stp>
        <tr r="M30" s="22"/>
      </tp>
      <tp t="e">
        <v>#N/A</v>
        <stp/>
        <stp>BDH|14474447308898757633</stp>
        <tr r="Q26" s="7"/>
      </tp>
      <tp t="e">
        <v>#N/A</v>
        <stp/>
        <stp>BDH|13532069549881349858</stp>
        <tr r="E104" s="18"/>
      </tp>
      <tp t="e">
        <v>#N/A</v>
        <stp/>
        <stp>BDH|16843697208897150943</stp>
        <tr r="D15" s="22"/>
      </tp>
      <tp t="e">
        <v>#N/A</v>
        <stp/>
        <stp>BDH|18211131213365680386</stp>
        <tr r="Y109" s="18"/>
      </tp>
      <tp t="e">
        <v>#N/A</v>
        <stp/>
        <stp>BDH|14968145093231288304</stp>
        <tr r="D47" s="18"/>
      </tp>
      <tp t="e">
        <v>#N/A</v>
        <stp/>
        <stp>BDH|11361763289383290323</stp>
        <tr r="Z23" s="24"/>
      </tp>
      <tp t="e">
        <v>#N/A</v>
        <stp/>
        <stp>BDH|16505664380765718381</stp>
        <tr r="F20" s="12"/>
      </tp>
      <tp t="e">
        <v>#N/A</v>
        <stp/>
        <stp>BDH|15012905605415862715</stp>
        <tr r="Q63" s="12"/>
      </tp>
      <tp t="e">
        <v>#N/A</v>
        <stp/>
        <stp>BDH|16033502148651611825</stp>
        <tr r="J42" s="22"/>
      </tp>
      <tp t="e">
        <v>#N/A</v>
        <stp/>
        <stp>BDH|15852060793882594046</stp>
        <tr r="K30" s="10"/>
        <tr r="M39" s="13"/>
      </tp>
      <tp t="e">
        <v>#N/A</v>
        <stp/>
        <stp>BDH|15559983836287301646</stp>
        <tr r="T173" s="18"/>
      </tp>
      <tp t="e">
        <v>#N/A</v>
        <stp/>
        <stp>BDH|17236930425256051486</stp>
        <tr r="R37" s="21"/>
      </tp>
      <tp t="e">
        <v>#N/A</v>
        <stp/>
        <stp>BDH|11260681546295740870</stp>
        <tr r="F11" s="21"/>
      </tp>
      <tp t="e">
        <v>#N/A</v>
        <stp/>
        <stp>BDH|12460646872158990578</stp>
        <tr r="Z68" s="18"/>
      </tp>
      <tp t="e">
        <v>#N/A</v>
        <stp/>
        <stp>BDH|10244413899023059062</stp>
        <tr r="V10" s="2"/>
        <tr r="U11" s="5"/>
        <tr r="U51" s="6"/>
        <tr r="W33" s="29"/>
        <tr r="W42" s="29"/>
      </tp>
      <tp t="e">
        <v>#N/A</v>
        <stp/>
        <stp>BDH|10341182085695537274</stp>
        <tr r="G38" s="17"/>
      </tp>
      <tp t="e">
        <v>#N/A</v>
        <stp/>
        <stp>BDH|11955167225494561837</stp>
        <tr r="H25" s="14"/>
      </tp>
      <tp t="e">
        <v>#N/A</v>
        <stp/>
        <stp>BDH|12436176499672510635</stp>
        <tr r="U36" s="21"/>
      </tp>
      <tp t="e">
        <v>#N/A</v>
        <stp/>
        <stp>BDH|10924960220400697558</stp>
        <tr r="N73" s="12"/>
      </tp>
      <tp t="e">
        <v>#N/A</v>
        <stp/>
        <stp>BDH|15972311375518320726</stp>
        <tr r="G92" s="18"/>
      </tp>
      <tp t="e">
        <v>#N/A</v>
        <stp/>
        <stp>BDH|16089843658260983597</stp>
        <tr r="AA110" s="18"/>
      </tp>
      <tp t="e">
        <v>#N/A</v>
        <stp/>
        <stp>BDH|10267792218529613196</stp>
        <tr r="D39" s="6"/>
      </tp>
      <tp t="e">
        <v>#N/A</v>
        <stp/>
        <stp>BDH|14901638558839747092</stp>
        <tr r="X35" s="34"/>
      </tp>
      <tp t="e">
        <v>#N/A</v>
        <stp/>
        <stp>BDH|10889058707448346655</stp>
        <tr r="L21" s="4"/>
      </tp>
      <tp t="e">
        <v>#N/A</v>
        <stp/>
        <stp>BDH|16394790519398778688</stp>
        <tr r="X83" s="18"/>
      </tp>
      <tp t="e">
        <v>#N/A</v>
        <stp/>
        <stp>BDH|17792469603178971573</stp>
        <tr r="F77" s="34"/>
      </tp>
      <tp t="e">
        <v>#N/A</v>
        <stp/>
        <stp>BDH|12380910666610031389</stp>
        <tr r="X161" s="18"/>
      </tp>
      <tp t="e">
        <v>#N/A</v>
        <stp/>
        <stp>BDH|17307170119058403154</stp>
        <tr r="J196" s="18"/>
      </tp>
      <tp t="e">
        <v>#N/A</v>
        <stp/>
        <stp>BDH|13007839722133624481</stp>
        <tr r="S75" s="24"/>
      </tp>
      <tp t="e">
        <v>#N/A</v>
        <stp/>
        <stp>BDH|16870872964233643529</stp>
        <tr r="V19" s="22"/>
      </tp>
      <tp t="e">
        <v>#N/A</v>
        <stp/>
        <stp>BDH|11910090951682741899</stp>
        <tr r="G64" s="18"/>
      </tp>
      <tp t="e">
        <v>#N/A</v>
        <stp/>
        <stp>BDH|13203146363973934936</stp>
        <tr r="G11" s="11"/>
      </tp>
      <tp t="e">
        <v>#N/A</v>
        <stp/>
        <stp>BDH|12479000219814426964</stp>
        <tr r="L44" s="24"/>
      </tp>
      <tp t="e">
        <v>#N/A</v>
        <stp/>
        <stp>BDH|17337599897336107330</stp>
        <tr r="V39" s="34"/>
      </tp>
      <tp t="e">
        <v>#N/A</v>
        <stp/>
        <stp>BDH|11482701019550723957</stp>
        <tr r="V42" s="22"/>
      </tp>
      <tp t="e">
        <v>#N/A</v>
        <stp/>
        <stp>BDH|13880149330456442979</stp>
        <tr r="J62" s="34"/>
      </tp>
      <tp t="e">
        <v>#N/A</v>
        <stp/>
        <stp>BDH|11445359729949596725</stp>
        <tr r="AA59" s="21"/>
        <tr r="AA37" s="25"/>
        <tr r="Y31" s="4"/>
        <tr r="Y52" s="11"/>
      </tp>
      <tp t="e">
        <v>#N/A</v>
        <stp/>
        <stp>BDH|17305485355451280931</stp>
        <tr r="D42" s="18"/>
      </tp>
      <tp t="e">
        <v>#N/A</v>
        <stp/>
        <stp>BDH|15849329526458265210</stp>
        <tr r="F7" s="30"/>
      </tp>
      <tp t="e">
        <v>#N/A</v>
        <stp/>
        <stp>BDH|12441795895502297052</stp>
        <tr r="G49" s="13"/>
      </tp>
      <tp t="e">
        <v>#N/A</v>
        <stp/>
        <stp>BDH|13095874562282883128</stp>
        <tr r="W73" s="12"/>
      </tp>
      <tp t="e">
        <v>#N/A</v>
        <stp/>
        <stp>BDH|16846558288674879123</stp>
        <tr r="C182" s="18"/>
      </tp>
      <tp t="e">
        <v>#N/A</v>
        <stp/>
        <stp>BDH|15082422607327830824</stp>
        <tr r="W165" s="18"/>
      </tp>
      <tp t="e">
        <v>#N/A</v>
        <stp/>
        <stp>BDH|12396532883267575693</stp>
        <tr r="C80" s="18"/>
      </tp>
      <tp t="e">
        <v>#N/A</v>
        <stp/>
        <stp>BDH|10873198828355394858</stp>
        <tr r="X13" s="29"/>
        <tr r="X22" s="29"/>
        <tr r="X36" s="29"/>
      </tp>
      <tp t="e">
        <v>#N/A</v>
        <stp/>
        <stp>BDH|15278475819568230619</stp>
        <tr r="N23" s="12"/>
      </tp>
      <tp t="e">
        <v>#N/A</v>
        <stp/>
        <stp>BDH|15583964116864210786</stp>
        <tr r="K39" s="26"/>
      </tp>
      <tp t="e">
        <v>#N/A</v>
        <stp/>
        <stp>BDH|10444605503738913014</stp>
        <tr r="D35" s="14"/>
      </tp>
      <tp t="e">
        <v>#N/A</v>
        <stp/>
        <stp>BDH|18402676936137357490</stp>
        <tr r="O51" s="12"/>
      </tp>
      <tp t="e">
        <v>#N/A</v>
        <stp/>
        <stp>BDH|12695360998202082471</stp>
        <tr r="X15" s="5"/>
      </tp>
      <tp t="e">
        <v>#N/A</v>
        <stp/>
        <stp>BDH|11642463429301037865</stp>
        <tr r="C85" s="17"/>
      </tp>
      <tp t="e">
        <v>#N/A</v>
        <stp/>
        <stp>BDH|15251980335392833384</stp>
        <tr r="C69" s="12"/>
      </tp>
      <tp t="e">
        <v>#N/A</v>
        <stp/>
        <stp>BDH|16438399810728598275</stp>
        <tr r="S49" s="4"/>
      </tp>
      <tp t="e">
        <v>#N/A</v>
        <stp/>
        <stp>BDH|15178983806200959293</stp>
        <tr r="H192" s="18"/>
      </tp>
      <tp t="e">
        <v>#N/A</v>
        <stp/>
        <stp>BDH|15275502333265719896</stp>
        <tr r="H14" s="2"/>
        <tr r="H11" s="10"/>
      </tp>
      <tp t="e">
        <v>#N/A</v>
        <stp/>
        <stp>BDH|17636390411753041810</stp>
        <tr r="Q77" s="18"/>
      </tp>
      <tp t="e">
        <v>#N/A</v>
        <stp/>
        <stp>BDH|17586701194973661486</stp>
        <tr r="U63" s="34"/>
      </tp>
      <tp t="e">
        <v>#N/A</v>
        <stp/>
        <stp>BDH|10467139283161980626</stp>
        <tr r="P32" s="5"/>
      </tp>
      <tp t="e">
        <v>#N/A</v>
        <stp/>
        <stp>BDH|15994875740031153609</stp>
        <tr r="D82" s="17"/>
        <tr r="D20" s="3"/>
      </tp>
      <tp t="e">
        <v>#N/A</v>
        <stp/>
        <stp>BDH|17797236088983750044</stp>
        <tr r="G34" s="12"/>
      </tp>
      <tp t="e">
        <v>#N/A</v>
        <stp/>
        <stp>BDH|17594917836045501689</stp>
        <tr r="L31" s="22"/>
      </tp>
      <tp t="e">
        <v>#N/A</v>
        <stp/>
        <stp>BDH|17529346541668810674</stp>
        <tr r="V70" s="17"/>
      </tp>
      <tp t="e">
        <v>#N/A</v>
        <stp/>
        <stp>BDH|11101990334174230115</stp>
        <tr r="J96" s="18"/>
      </tp>
      <tp t="e">
        <v>#N/A</v>
        <stp/>
        <stp>BDH|11467871171340974044</stp>
        <tr r="K107" s="18"/>
      </tp>
      <tp t="e">
        <v>#N/A</v>
        <stp/>
        <stp>BDH|13285758250358842700</stp>
        <tr r="V9" s="17"/>
      </tp>
      <tp t="e">
        <v>#N/A</v>
        <stp/>
        <stp>BDH|14310255149174005803</stp>
        <tr r="V10" s="34"/>
      </tp>
      <tp t="e">
        <v>#N/A</v>
        <stp/>
        <stp>BDH|11609486193312601040</stp>
        <tr r="O73" s="18"/>
      </tp>
      <tp t="e">
        <v>#N/A</v>
        <stp/>
        <stp>BDH|13063826339743060544</stp>
        <tr r="F185" s="18"/>
      </tp>
      <tp t="e">
        <v>#N/A</v>
        <stp/>
        <stp>BDH|12018247296801994643</stp>
        <tr r="K27" s="14"/>
      </tp>
      <tp t="e">
        <v>#N/A</v>
        <stp/>
        <stp>BDH|12550016363612017880</stp>
        <tr r="T15" s="26"/>
      </tp>
      <tp t="e">
        <v>#N/A</v>
        <stp/>
        <stp>BDH|18205344303157801221</stp>
        <tr r="H129" s="18"/>
      </tp>
      <tp t="e">
        <v>#N/A</v>
        <stp/>
        <stp>BDH|14517839716952881162</stp>
        <tr r="V93" s="18"/>
      </tp>
      <tp t="e">
        <v>#N/A</v>
        <stp/>
        <stp>BDH|12621555822949929266</stp>
        <tr r="P192" s="18"/>
      </tp>
      <tp t="e">
        <v>#N/A</v>
        <stp/>
        <stp>BDH|14587296683067940783</stp>
        <tr r="Y11" s="24"/>
      </tp>
      <tp t="e">
        <v>#N/A</v>
        <stp/>
        <stp>BDH|16666501273449987323</stp>
        <tr r="F111" s="18"/>
      </tp>
      <tp t="e">
        <v>#N/A</v>
        <stp/>
        <stp>BDH|16452382308878256382</stp>
        <tr r="D45" s="6"/>
      </tp>
      <tp t="e">
        <v>#N/A</v>
        <stp/>
        <stp>BDH|15402900360743299781</stp>
        <tr r="J74" s="17"/>
      </tp>
      <tp t="e">
        <v>#N/A</v>
        <stp/>
        <stp>BDH|14250453158998979387</stp>
        <tr r="E84" s="12"/>
      </tp>
      <tp t="e">
        <v>#N/A</v>
        <stp/>
        <stp>BDH|18083247952005895408</stp>
        <tr r="S18" s="29"/>
        <tr r="S41" s="29"/>
      </tp>
      <tp t="e">
        <v>#N/A</v>
        <stp/>
        <stp>BDH|13943442928138290390</stp>
        <tr r="P28" s="34"/>
      </tp>
      <tp t="e">
        <v>#N/A</v>
        <stp/>
        <stp>BDH|14660000493984949725</stp>
        <tr r="J77" s="18"/>
      </tp>
      <tp t="e">
        <v>#N/A</v>
        <stp/>
        <stp>BDH|11275429584885992632</stp>
        <tr r="I27" s="13"/>
      </tp>
      <tp t="e">
        <v>#N/A</v>
        <stp/>
        <stp>BDH|14959679185266557207</stp>
        <tr r="G19" s="9"/>
      </tp>
      <tp t="e">
        <v>#N/A</v>
        <stp/>
        <stp>BDH|12124065739809936690</stp>
        <tr r="U61" s="17"/>
      </tp>
      <tp t="e">
        <v>#N/A</v>
        <stp/>
        <stp>BDH|10311274285054768080</stp>
        <tr r="K9" s="3"/>
        <tr r="I51" s="10"/>
        <tr r="I41" s="11"/>
        <tr r="I14" s="7"/>
      </tp>
      <tp t="e">
        <v>#N/A</v>
        <stp/>
        <stp>BDH|10624641279959706629</stp>
        <tr r="O75" s="17"/>
      </tp>
      <tp t="e">
        <v>#N/A</v>
        <stp/>
        <stp>BDH|14891069915589300266</stp>
        <tr r="I134" s="18"/>
      </tp>
      <tp t="e">
        <v>#N/A</v>
        <stp/>
        <stp>BDH|10396872868725391517</stp>
        <tr r="O43" s="24"/>
      </tp>
      <tp t="e">
        <v>#N/A</v>
        <stp/>
        <stp>BDH|16612552889314319173</stp>
        <tr r="R43" s="21"/>
      </tp>
      <tp t="e">
        <v>#N/A</v>
        <stp/>
        <stp>BDH|14068665788197031300</stp>
        <tr r="W43" s="4"/>
      </tp>
      <tp t="e">
        <v>#N/A</v>
        <stp/>
        <stp>BDH|12420111669402005926</stp>
        <tr r="T13" s="25"/>
      </tp>
      <tp t="e">
        <v>#N/A</v>
        <stp/>
        <stp>BDH|12368180609184934955</stp>
        <tr r="T32" s="25"/>
        <tr r="T18" s="27"/>
      </tp>
      <tp t="e">
        <v>#N/A</v>
        <stp/>
        <stp>BDH|18319443434461912047</stp>
        <tr r="P64" s="24"/>
      </tp>
      <tp t="e">
        <v>#N/A</v>
        <stp/>
        <stp>BDH|11765977150210873363</stp>
        <tr r="W18" s="29"/>
        <tr r="W41" s="29"/>
      </tp>
      <tp t="e">
        <v>#N/A</v>
        <stp/>
        <stp>BDH|15476297096751719120</stp>
        <tr r="X33" s="24"/>
      </tp>
      <tp t="e">
        <v>#N/A</v>
        <stp/>
        <stp>BDH|13865969870094613768</stp>
        <tr r="D23" s="25"/>
      </tp>
      <tp t="e">
        <v>#N/A</v>
        <stp/>
        <stp>BDH|10950573753326027831</stp>
        <tr r="J34" s="10"/>
        <tr r="J24" s="11"/>
      </tp>
      <tp t="e">
        <v>#N/A</v>
        <stp/>
        <stp>BDH|10843055850538419371</stp>
        <tr r="E49" s="18"/>
      </tp>
      <tp t="e">
        <v>#N/A</v>
        <stp/>
        <stp>BDH|17573435816139591440</stp>
        <tr r="C92" s="12"/>
      </tp>
      <tp t="e">
        <v>#N/A</v>
        <stp/>
        <stp>BDH|15887937262450159597</stp>
        <tr r="D26" s="29"/>
      </tp>
      <tp t="e">
        <v>#N/A</v>
        <stp/>
        <stp>BDH|15515793591323886740</stp>
        <tr r="N46" s="34"/>
      </tp>
      <tp t="e">
        <v>#N/A</v>
        <stp/>
        <stp>BDH|13230985308864474170</stp>
        <tr r="F15" s="21"/>
      </tp>
      <tp t="e">
        <v>#N/A</v>
        <stp/>
        <stp>BDH|12216873365315186600</stp>
        <tr r="G102" s="18"/>
      </tp>
      <tp t="e">
        <v>#N/A</v>
        <stp/>
        <stp>BDH|10454978494296526935</stp>
        <tr r="C84" s="17"/>
      </tp>
      <tp t="e">
        <v>#N/A</v>
        <stp/>
        <stp>BDH|13044521450409200519</stp>
        <tr r="C27" s="13"/>
      </tp>
      <tp t="e">
        <v>#N/A</v>
        <stp/>
        <stp>BDH|15873471503658498696</stp>
        <tr r="H135" s="18"/>
      </tp>
      <tp t="e">
        <v>#N/A</v>
        <stp/>
        <stp>BDH|14341509695281045674</stp>
        <tr r="F138" s="18"/>
      </tp>
      <tp t="e">
        <v>#N/A</v>
        <stp/>
        <stp>BDH|16432846838486980406</stp>
        <tr r="N8" s="22"/>
      </tp>
      <tp t="e">
        <v>#N/A</v>
        <stp/>
        <stp>BDH|18255567623997520737</stp>
        <tr r="L73" s="34"/>
      </tp>
      <tp t="e">
        <v>#N/A</v>
        <stp/>
        <stp>BDH|16121803610949864980</stp>
        <tr r="S31" s="12"/>
      </tp>
      <tp t="e">
        <v>#N/A</v>
        <stp/>
        <stp>BDH|14703594901878665687</stp>
        <tr r="F134" s="18"/>
      </tp>
      <tp t="e">
        <v>#N/A</v>
        <stp/>
        <stp>BDH|17889581829907959818</stp>
        <tr r="X45" s="6"/>
      </tp>
      <tp t="e">
        <v>#N/A</v>
        <stp/>
        <stp>BDH|15000909682198614354</stp>
        <tr r="R18" s="17"/>
      </tp>
      <tp t="e">
        <v>#N/A</v>
        <stp/>
        <stp>BDH|13188773812769333363</stp>
        <tr r="J13" s="30"/>
      </tp>
      <tp t="e">
        <v>#N/A</v>
        <stp/>
        <stp>BDH|12349159570948164361</stp>
        <tr r="W48" s="12"/>
      </tp>
      <tp t="e">
        <v>#N/A</v>
        <stp/>
        <stp>BDH|10196413390823180109</stp>
        <tr r="N71" s="12"/>
      </tp>
      <tp t="e">
        <v>#N/A</v>
        <stp/>
        <stp>BDH|17010158098343514398</stp>
        <tr r="AA52" s="24"/>
      </tp>
      <tp t="e">
        <v>#N/A</v>
        <stp/>
        <stp>BDH|15668972586648652306</stp>
        <tr r="H60" s="21"/>
        <tr r="F53" s="11"/>
      </tp>
      <tp t="e">
        <v>#N/A</v>
        <stp/>
        <stp>BDH|12221845611841592537</stp>
        <tr r="T48" s="21"/>
      </tp>
      <tp t="e">
        <v>#N/A</v>
        <stp/>
        <stp>BDH|13303911123561634667</stp>
        <tr r="P8" s="18"/>
      </tp>
      <tp t="e">
        <v>#N/A</v>
        <stp/>
        <stp>BDH|10855273439799775701</stp>
        <tr r="N26" s="21"/>
      </tp>
      <tp t="e">
        <v>#N/A</v>
        <stp/>
        <stp>BDH|12726893669697305450</stp>
        <tr r="P62" s="34"/>
      </tp>
      <tp t="e">
        <v>#N/A</v>
        <stp/>
        <stp>BDH|18038222655729055964</stp>
        <tr r="P77" s="24"/>
      </tp>
      <tp t="e">
        <v>#N/A</v>
        <stp/>
        <stp>BDH|17039637847392482818</stp>
        <tr r="H123" s="18"/>
        <tr r="H12" s="20"/>
      </tp>
      <tp t="e">
        <v>#N/A</v>
        <stp/>
        <stp>BDH|14742008600388791310</stp>
        <tr r="L24" s="6"/>
      </tp>
      <tp t="e">
        <v>#N/A</v>
        <stp/>
        <stp>BDH|16172167687008528844</stp>
        <tr r="W26" s="34"/>
      </tp>
      <tp t="e">
        <v>#N/A</v>
        <stp/>
        <stp>BDH|15526152706462572925</stp>
        <tr r="I25" s="18"/>
      </tp>
      <tp t="e">
        <v>#N/A</v>
        <stp/>
        <stp>BDH|17700766221458308527</stp>
        <tr r="O49" s="24"/>
      </tp>
      <tp t="e">
        <v>#N/A</v>
        <stp/>
        <stp>BDH|14166352092659000877</stp>
        <tr r="M24" s="29"/>
      </tp>
      <tp t="e">
        <v>#N/A</v>
        <stp/>
        <stp>BDH|13177631282945570753</stp>
        <tr r="J61" s="17"/>
      </tp>
      <tp t="e">
        <v>#N/A</v>
        <stp/>
        <stp>BDH|18127261001927506231</stp>
        <tr r="O44" s="6"/>
      </tp>
      <tp t="e">
        <v>#N/A</v>
        <stp/>
        <stp>BDH|15208509747603105845</stp>
        <tr r="W24" s="27"/>
      </tp>
      <tp t="e">
        <v>#N/A</v>
        <stp/>
        <stp>BDH|17637204558147780894</stp>
        <tr r="J9" s="30"/>
      </tp>
      <tp t="e">
        <v>#N/A</v>
        <stp/>
        <stp>BDH|10865412144417594883</stp>
        <tr r="T194" s="18"/>
      </tp>
      <tp t="e">
        <v>#N/A</v>
        <stp/>
        <stp>BDH|10712958046597736536</stp>
        <tr r="S35" s="22"/>
      </tp>
      <tp t="e">
        <v>#N/A</v>
        <stp/>
        <stp>BDH|10262920513937008036</stp>
        <tr r="V128" s="18"/>
      </tp>
      <tp t="e">
        <v>#N/A</v>
        <stp/>
        <stp>BDH|10174423986257767429</stp>
        <tr r="O52" s="17"/>
        <tr r="O10" s="25"/>
      </tp>
      <tp t="e">
        <v>#N/A</v>
        <stp/>
        <stp>BDH|12464339483266069042</stp>
        <tr r="W24" s="17"/>
      </tp>
      <tp t="e">
        <v>#N/A</v>
        <stp/>
        <stp>BDH|17639594608558138568</stp>
        <tr r="P83" s="17"/>
      </tp>
      <tp t="e">
        <v>#N/A</v>
        <stp/>
        <stp>BDH|16539078485043176264</stp>
        <tr r="P22" s="22"/>
      </tp>
      <tp t="e">
        <v>#N/A</v>
        <stp/>
        <stp>BDH|17101206398427123488</stp>
        <tr r="O18" s="20"/>
      </tp>
      <tp t="e">
        <v>#N/A</v>
        <stp/>
        <stp>BDH|18386879702937040864</stp>
        <tr r="T19" s="18"/>
      </tp>
      <tp t="e">
        <v>#N/A</v>
        <stp/>
        <stp>BDH|10480978181838024625</stp>
        <tr r="P61" s="24"/>
      </tp>
      <tp t="e">
        <v>#N/A</v>
        <stp/>
        <stp>BDH|15858171728018181162</stp>
        <tr r="W48" s="13"/>
      </tp>
      <tp t="e">
        <v>#N/A</v>
        <stp/>
        <stp>BDH|12707915238673789495</stp>
        <tr r="N25" s="17"/>
      </tp>
      <tp t="e">
        <v>#N/A</v>
        <stp/>
        <stp>BDH|14509809623480275144</stp>
        <tr r="M27" s="12"/>
      </tp>
      <tp t="e">
        <v>#N/A</v>
        <stp/>
        <stp>BDH|12778211032934460804</stp>
        <tr r="R28" s="4"/>
      </tp>
      <tp t="e">
        <v>#N/A</v>
        <stp/>
        <stp>BDH|14977593882715698347</stp>
        <tr r="E58" s="24"/>
      </tp>
      <tp t="e">
        <v>#N/A</v>
        <stp/>
        <stp>BDH|11842138867081816841</stp>
        <tr r="O13" s="6"/>
      </tp>
      <tp t="e">
        <v>#N/A</v>
        <stp/>
        <stp>BDH|17356442462763114942</stp>
        <tr r="E34" s="24"/>
      </tp>
      <tp t="e">
        <v>#N/A</v>
        <stp/>
        <stp>BDH|18392202838957221191</stp>
        <tr r="Y73" s="24"/>
      </tp>
      <tp t="e">
        <v>#N/A</v>
        <stp/>
        <stp>BDH|17342604010927498871</stp>
        <tr r="U76" s="12"/>
      </tp>
      <tp t="e">
        <v>#N/A</v>
        <stp/>
        <stp>BDH|17116398010929011380</stp>
        <tr r="G29" s="34"/>
      </tp>
      <tp t="e">
        <v>#N/A</v>
        <stp/>
        <stp>BDH|11258323893157313307</stp>
        <tr r="D81" s="24"/>
      </tp>
      <tp t="e">
        <v>#N/A</v>
        <stp/>
        <stp>BDH|14810856233722939273</stp>
        <tr r="Y44" s="34"/>
      </tp>
      <tp t="e">
        <v>#N/A</v>
        <stp/>
        <stp>BDH|17482055457449600409</stp>
        <tr r="F17" s="20"/>
      </tp>
      <tp t="e">
        <v>#N/A</v>
        <stp/>
        <stp>BDH|11558526502263733825</stp>
        <tr r="U49" s="18"/>
      </tp>
      <tp t="e">
        <v>#N/A</v>
        <stp/>
        <stp>BDH|15033549420568205568</stp>
        <tr r="H171" s="18"/>
      </tp>
      <tp t="e">
        <v>#N/A</v>
        <stp/>
        <stp>BDH|13429231197687931091</stp>
        <tr r="J7" s="8"/>
      </tp>
      <tp t="e">
        <v>#N/A</v>
        <stp/>
        <stp>BDH|10007570805769270306</stp>
        <tr r="N15" s="10"/>
      </tp>
      <tp t="e">
        <v>#N/A</v>
        <stp/>
        <stp>BDH|11759967572018249810</stp>
        <tr r="V31" s="9"/>
      </tp>
      <tp t="e">
        <v>#N/A</v>
        <stp/>
        <stp>BDH|15927417028255705971</stp>
        <tr r="Q41" s="22"/>
      </tp>
      <tp t="e">
        <v>#N/A</v>
        <stp/>
        <stp>BDH|13643511459265987979</stp>
        <tr r="L80" s="18"/>
      </tp>
      <tp t="e">
        <v>#N/A</v>
        <stp/>
        <stp>BDH|15452290089989239969</stp>
        <tr r="G69" s="34"/>
      </tp>
      <tp t="e">
        <v>#N/A</v>
        <stp/>
        <stp>BDH|12131599792522396390</stp>
        <tr r="R40" s="18"/>
      </tp>
      <tp t="e">
        <v>#N/A</v>
        <stp/>
        <stp>BDH|15196911710812648061</stp>
        <tr r="O8" s="28"/>
      </tp>
      <tp t="e">
        <v>#N/A</v>
        <stp/>
        <stp>BDH|12561123793343126651</stp>
        <tr r="F39" s="22"/>
      </tp>
      <tp t="e">
        <v>#N/A</v>
        <stp/>
        <stp>BDH|14454814319312456082</stp>
        <tr r="W46" s="4"/>
        <tr r="W23" s="10"/>
        <tr r="Y42" s="13"/>
      </tp>
      <tp t="e">
        <v>#N/A</v>
        <stp/>
        <stp>BDH|11380329785320117556</stp>
        <tr r="F8" s="26"/>
        <tr r="C10" s="9"/>
      </tp>
      <tp t="e">
        <v>#N/A</v>
        <stp/>
        <stp>BDH|14372768712308697510</stp>
        <tr r="T45" s="18"/>
      </tp>
      <tp t="e">
        <v>#N/A</v>
        <stp/>
        <stp>BDH|17848076188515125561</stp>
        <tr r="L58" s="18"/>
      </tp>
      <tp t="e">
        <v>#N/A</v>
        <stp/>
        <stp>BDH|17397455662999282369</stp>
        <tr r="I102" s="18"/>
      </tp>
      <tp t="e">
        <v>#N/A</v>
        <stp/>
        <stp>BDH|18353409546132700529</stp>
        <tr r="G68" s="13"/>
      </tp>
      <tp t="e">
        <v>#N/A</v>
        <stp/>
        <stp>BDH|18388773944832823685</stp>
        <tr r="X25" s="5"/>
      </tp>
      <tp t="e">
        <v>#N/A</v>
        <stp/>
        <stp>BDH|18195262032842641433</stp>
        <tr r="C78" s="17"/>
      </tp>
      <tp t="e">
        <v>#N/A</v>
        <stp/>
        <stp>BDH|11858249999692786719</stp>
        <tr r="I6" s="28"/>
      </tp>
      <tp t="e">
        <v>#N/A</v>
        <stp/>
        <stp>BDH|10805717139298176329</stp>
        <tr r="G51" s="13"/>
      </tp>
      <tp t="e">
        <v>#N/A</v>
        <stp/>
        <stp>BDH|13445347858828355285</stp>
        <tr r="Y99" s="12"/>
      </tp>
      <tp t="e">
        <v>#N/A</v>
        <stp/>
        <stp>BDH|18179372181229047549</stp>
        <tr r="T11" s="9"/>
      </tp>
      <tp t="e">
        <v>#N/A</v>
        <stp/>
        <stp>BDH|10954693488999270892</stp>
        <tr r="D167" s="18"/>
      </tp>
      <tp t="e">
        <v>#N/A</v>
        <stp/>
        <stp>BDH|11822486584393595124</stp>
        <tr r="E52" s="4"/>
        <tr r="G8" s="3"/>
        <tr r="E44" s="10"/>
        <tr r="E34" s="11"/>
        <tr r="G45" s="13"/>
      </tp>
      <tp t="e">
        <v>#N/A</v>
        <stp/>
        <stp>BDH|14398654206858442579</stp>
        <tr r="C124" s="18"/>
        <tr r="C13" s="20"/>
      </tp>
      <tp t="e">
        <v>#N/A</v>
        <stp/>
        <stp>BDH|16317318472354220910</stp>
        <tr r="U137" s="18"/>
      </tp>
      <tp t="e">
        <v>#N/A</v>
        <stp/>
        <stp>BDH|16433855348356843329</stp>
        <tr r="H7" s="14"/>
      </tp>
      <tp t="e">
        <v>#N/A</v>
        <stp/>
        <stp>BDH|15794130499251939377</stp>
        <tr r="U84" s="17"/>
      </tp>
      <tp t="e">
        <v>#N/A</v>
        <stp/>
        <stp>BDH|12502238412516042876</stp>
        <tr r="F16" s="17"/>
        <tr r="F19" s="28"/>
      </tp>
      <tp t="e">
        <v>#N/A</v>
        <stp/>
        <stp>BDH|13482323691502772436</stp>
        <tr r="N25" s="22"/>
      </tp>
      <tp t="e">
        <v>#N/A</v>
        <stp/>
        <stp>BDH|17006176106540095925</stp>
        <tr r="G115" s="18"/>
      </tp>
      <tp t="e">
        <v>#N/A</v>
        <stp/>
        <stp>BDH|18352435972141981587</stp>
        <tr r="W57" s="13"/>
      </tp>
      <tp t="e">
        <v>#N/A</v>
        <stp/>
        <stp>BDH|11330175729455744898</stp>
        <tr r="C94" s="24"/>
      </tp>
      <tp t="e">
        <v>#N/A</v>
        <stp/>
        <stp>BDH|14637053792664133638</stp>
        <tr r="J27" s="25"/>
        <tr r="J13" s="27"/>
      </tp>
      <tp t="e">
        <v>#N/A</v>
        <stp/>
        <stp>BDH|16482601260511215850</stp>
        <tr r="W9" s="34"/>
      </tp>
      <tp t="e">
        <v>#N/A</v>
        <stp/>
        <stp>BDH|14475606940808041171</stp>
        <tr r="X54" s="18"/>
      </tp>
      <tp t="e">
        <v>#N/A</v>
        <stp/>
        <stp>BDH|11964451511048833368</stp>
        <tr r="Y16" s="18"/>
      </tp>
      <tp t="e">
        <v>#N/A</v>
        <stp/>
        <stp>BDH|14093227863937117835</stp>
        <tr r="L31" s="9"/>
      </tp>
      <tp t="e">
        <v>#N/A</v>
        <stp/>
        <stp>BDH|11496618534289505272</stp>
        <tr r="G123" s="18"/>
        <tr r="G12" s="20"/>
      </tp>
      <tp t="e">
        <v>#N/A</v>
        <stp/>
        <stp>BDH|10167655289160947177</stp>
        <tr r="I23" s="23"/>
      </tp>
      <tp t="e">
        <v>#N/A</v>
        <stp/>
        <stp>BDH|12821692699157833533</stp>
        <tr r="Q14" s="4"/>
      </tp>
      <tp t="e">
        <v>#N/A</v>
        <stp/>
        <stp>BDH|15859092097633786029</stp>
        <tr r="V24" s="24"/>
      </tp>
      <tp t="e">
        <v>#N/A</v>
        <stp/>
        <stp>BDH|17858770573429730182</stp>
        <tr r="J11" s="28"/>
      </tp>
      <tp t="e">
        <v>#N/A</v>
        <stp/>
        <stp>BDH|12713402130518349272</stp>
        <tr r="O125" s="18"/>
        <tr r="O14" s="20"/>
      </tp>
      <tp t="e">
        <v>#N/A</v>
        <stp/>
        <stp>BDH|13685440040225685972</stp>
        <tr r="Z63" s="18"/>
      </tp>
      <tp t="e">
        <v>#N/A</v>
        <stp/>
        <stp>BDH|13870981977685378770</stp>
        <tr r="E56" s="13"/>
      </tp>
      <tp t="e">
        <v>#N/A</v>
        <stp/>
        <stp>BDH|17929567510188877444</stp>
        <tr r="C87" s="12"/>
      </tp>
      <tp t="e">
        <v>#N/A</v>
        <stp/>
        <stp>BDH|16136097296370597088</stp>
        <tr r="X42" s="18"/>
      </tp>
      <tp t="e">
        <v>#N/A</v>
        <stp/>
        <stp>BDH|14556403173738313066</stp>
        <tr r="Y32" s="21"/>
      </tp>
      <tp t="e">
        <v>#N/A</v>
        <stp/>
        <stp>BDH|17230326593551547352</stp>
        <tr r="D23" s="26"/>
      </tp>
      <tp t="e">
        <v>#N/A</v>
        <stp/>
        <stp>BDH|13672803600257041354</stp>
        <tr r="P47" s="6"/>
        <tr r="R6" s="8"/>
      </tp>
      <tp t="e">
        <v>#N/A</v>
        <stp/>
        <stp>BDH|11718415899700503395</stp>
        <tr r="Q55" s="18"/>
      </tp>
      <tp t="e">
        <v>#N/A</v>
        <stp/>
        <stp>BDH|11104212802308458451</stp>
        <tr r="N22" s="10"/>
      </tp>
      <tp t="e">
        <v>#N/A</v>
        <stp/>
        <stp>BDH|17309411083690521470</stp>
        <tr r="K37" s="18"/>
      </tp>
      <tp t="e">
        <v>#N/A</v>
        <stp/>
        <stp>BDH|14506757523487883991</stp>
        <tr r="L24" s="9"/>
      </tp>
      <tp t="e">
        <v>#N/A</v>
        <stp/>
        <stp>BDH|11500932364667280626</stp>
        <tr r="V45" s="22"/>
      </tp>
      <tp t="e">
        <v>#N/A</v>
        <stp/>
        <stp>BDH|15138958377487515344</stp>
        <tr r="I31" s="5"/>
      </tp>
      <tp t="e">
        <v>#N/A</v>
        <stp/>
        <stp>BDH|15059460188903553590</stp>
        <tr r="Q27" s="12"/>
      </tp>
      <tp t="e">
        <v>#N/A</v>
        <stp/>
        <stp>BDH|11159578580475181658</stp>
        <tr r="X28" s="14"/>
      </tp>
      <tp t="e">
        <v>#N/A</v>
        <stp/>
        <stp>BDH|16275838702034865590</stp>
        <tr r="Q88" s="24"/>
      </tp>
      <tp t="e">
        <v>#N/A</v>
        <stp/>
        <stp>BDH|10949269648370774921</stp>
        <tr r="M86" s="24"/>
      </tp>
      <tp t="e">
        <v>#N/A</v>
        <stp/>
        <stp>BDH|10463142433874938987</stp>
        <tr r="Z22" s="24"/>
      </tp>
      <tp t="e">
        <v>#N/A</v>
        <stp/>
        <stp>BDH|15121728061858281322</stp>
        <tr r="L42" s="10"/>
        <tr r="L32" s="11"/>
      </tp>
      <tp t="e">
        <v>#N/A</v>
        <stp/>
        <stp>BDH|16517837401704502509</stp>
        <tr r="H20" s="23"/>
      </tp>
      <tp t="e">
        <v>#N/A</v>
        <stp/>
        <stp>BDH|11295542782880039368</stp>
        <tr r="O26" s="34"/>
      </tp>
      <tp t="e">
        <v>#N/A</v>
        <stp/>
        <stp>BDH|12709379019697385888</stp>
        <tr r="K87" s="24"/>
      </tp>
      <tp t="e">
        <v>#N/A</v>
        <stp/>
        <stp>BDH|10374011865050596901</stp>
        <tr r="N49" s="4"/>
      </tp>
      <tp t="e">
        <v>#N/A</v>
        <stp/>
        <stp>BDH|11630574887337380472</stp>
        <tr r="G52" s="6"/>
      </tp>
      <tp t="e">
        <v>#N/A</v>
        <stp/>
        <stp>BDH|17685739926398792565</stp>
        <tr r="W14" s="10"/>
      </tp>
      <tp t="e">
        <v>#N/A</v>
        <stp/>
        <stp>BDH|16565009882712011354</stp>
        <tr r="T52" s="18"/>
      </tp>
      <tp t="e">
        <v>#N/A</v>
        <stp/>
        <stp>BDH|12059250082635095257</stp>
        <tr r="H23" s="17"/>
      </tp>
      <tp t="e">
        <v>#N/A</v>
        <stp/>
        <stp>BDH|10965900358226511569</stp>
        <tr r="M43" s="24"/>
      </tp>
      <tp t="e">
        <v>#N/A</v>
        <stp/>
        <stp>BDH|17129966654211541540</stp>
        <tr r="Q50" s="21"/>
      </tp>
      <tp t="e">
        <v>#N/A</v>
        <stp/>
        <stp>BDH|14350960625682439262</stp>
        <tr r="O85" s="18"/>
      </tp>
      <tp t="e">
        <v>#N/A</v>
        <stp/>
        <stp>BDH|15471857972951005418</stp>
        <tr r="J85" s="12"/>
      </tp>
      <tp t="e">
        <v>#N/A</v>
        <stp/>
        <stp>BDH|11211558567849364416</stp>
        <tr r="H30" s="21"/>
      </tp>
      <tp t="e">
        <v>#N/A</v>
        <stp/>
        <stp>BDH|10733812257453541161</stp>
        <tr r="V201" s="18"/>
      </tp>
      <tp t="e">
        <v>#N/A</v>
        <stp/>
        <stp>BDH|13691038337219147617</stp>
        <tr r="AA21" s="20"/>
      </tp>
      <tp t="e">
        <v>#N/A</v>
        <stp/>
        <stp>BDH|16839700691434226392</stp>
        <tr r="P58" s="18"/>
      </tp>
      <tp t="e">
        <v>#N/A</v>
        <stp/>
        <stp>BDH|17609332291172129076</stp>
        <tr r="G30" s="6"/>
      </tp>
      <tp t="e">
        <v>#N/A</v>
        <stp/>
        <stp>BDH|10549972240092322032</stp>
        <tr r="D16" s="11"/>
      </tp>
      <tp t="e">
        <v>#N/A</v>
        <stp/>
        <stp>BDH|10841355599553662604</stp>
        <tr r="Q23" s="20"/>
      </tp>
      <tp t="e">
        <v>#N/A</v>
        <stp/>
        <stp>BDH|11408143606757534813</stp>
        <tr r="Y44" s="21"/>
      </tp>
      <tp t="e">
        <v>#N/A</v>
        <stp/>
        <stp>BDH|14270887858491136713</stp>
        <tr r="X139" s="18"/>
      </tp>
      <tp t="e">
        <v>#N/A</v>
        <stp/>
        <stp>BDH|13470922079720833255</stp>
        <tr r="K15" s="26"/>
      </tp>
      <tp t="e">
        <v>#N/A</v>
        <stp/>
        <stp>BDH|18303292988928171565</stp>
        <tr r="G23" s="30"/>
        <tr r="G25" s="23"/>
      </tp>
      <tp t="e">
        <v>#N/A</v>
        <stp/>
        <stp>BDH|15586229424412496825</stp>
        <tr r="G48" s="22"/>
      </tp>
      <tp t="e">
        <v>#N/A</v>
        <stp/>
        <stp>BDH|13972229046503116993</stp>
        <tr r="N24" s="27"/>
      </tp>
      <tp t="e">
        <v>#N/A</v>
        <stp/>
        <stp>BDH|17185053787449350953</stp>
        <tr r="Q8" s="2"/>
      </tp>
      <tp t="e">
        <v>#N/A</v>
        <stp/>
        <stp>BDH|12758229490350812686</stp>
        <tr r="W43" s="10"/>
        <tr r="W33" s="11"/>
      </tp>
      <tp t="e">
        <v>#N/A</v>
        <stp/>
        <stp>BDH|14449855185602699976</stp>
        <tr r="F47" s="24"/>
      </tp>
      <tp t="e">
        <v>#N/A</v>
        <stp/>
        <stp>BDH|16898573308924498862</stp>
        <tr r="Y7" s="24"/>
      </tp>
      <tp t="e">
        <v>#N/A</v>
        <stp/>
        <stp>BDH|17404845049326565298</stp>
        <tr r="V22" s="12"/>
      </tp>
      <tp t="e">
        <v>#N/A</v>
        <stp/>
        <stp>BDH|11843286723889012764</stp>
        <tr r="D21" s="30"/>
      </tp>
      <tp t="e">
        <v>#N/A</v>
        <stp/>
        <stp>BDH|18363364648285897506</stp>
        <tr r="P39" s="6"/>
      </tp>
      <tp t="e">
        <v>#N/A</v>
        <stp/>
        <stp>BDH|17657904072660900688</stp>
        <tr r="N32" s="12"/>
      </tp>
      <tp t="e">
        <v>#N/A</v>
        <stp/>
        <stp>BDH|11407348935027211927</stp>
        <tr r="D65" s="21"/>
      </tp>
      <tp t="e">
        <v>#N/A</v>
        <stp/>
        <stp>BDH|10808449545529404682</stp>
        <tr r="I70" s="12"/>
      </tp>
      <tp t="e">
        <v>#N/A</v>
        <stp/>
        <stp>BDH|11473019216658335755</stp>
        <tr r="L16" s="12"/>
      </tp>
      <tp t="e">
        <v>#N/A</v>
        <stp/>
        <stp>BDH|11087030337018220537</stp>
        <tr r="V144" s="18"/>
      </tp>
      <tp t="e">
        <v>#N/A</v>
        <stp/>
        <stp>BDH|16673583569038393210</stp>
        <tr r="R80" s="24"/>
      </tp>
      <tp t="e">
        <v>#N/A</v>
        <stp/>
        <stp>BDH|16282122785834765479</stp>
        <tr r="V13" s="22"/>
      </tp>
      <tp t="e">
        <v>#N/A</v>
        <stp/>
        <stp>BDH|10994436528781127866</stp>
        <tr r="V22" s="24"/>
      </tp>
      <tp t="e">
        <v>#N/A</v>
        <stp/>
        <stp>BDH|18037522159275963279</stp>
        <tr r="C154" s="18"/>
      </tp>
      <tp t="e">
        <v>#N/A</v>
        <stp/>
        <stp>BDH|17540527346161339872</stp>
        <tr r="J28" s="6"/>
      </tp>
      <tp t="e">
        <v>#N/A</v>
        <stp/>
        <stp>BDH|14470781705419988559</stp>
        <tr r="V18" s="13"/>
      </tp>
      <tp t="e">
        <v>#N/A</v>
        <stp/>
        <stp>BDH|16886688050378596209</stp>
        <tr r="O18" s="18"/>
      </tp>
      <tp t="e">
        <v>#N/A</v>
        <stp/>
        <stp>BDH|11134512980441579201</stp>
        <tr r="K75" s="18"/>
      </tp>
      <tp t="e">
        <v>#N/A</v>
        <stp/>
        <stp>BDH|12527901774382237161</stp>
        <tr r="U33" s="12"/>
      </tp>
      <tp t="e">
        <v>#N/A</v>
        <stp/>
        <stp>BDH|15657634190375806080</stp>
        <tr r="K31" s="22"/>
      </tp>
      <tp t="e">
        <v>#N/A</v>
        <stp/>
        <stp>BDH|11645739835493518909</stp>
        <tr r="G12" s="25"/>
      </tp>
      <tp t="e">
        <v>#N/A</v>
        <stp/>
        <stp>BDH|18238155814240661703</stp>
        <tr r="C34" s="29"/>
      </tp>
      <tp t="e">
        <v>#N/A</v>
        <stp/>
        <stp>BDH|14442070011329754303</stp>
        <tr r="Y28" s="26"/>
      </tp>
      <tp t="e">
        <v>#N/A</v>
        <stp/>
        <stp>BDH|16356077110790559841</stp>
        <tr r="J76" s="18"/>
      </tp>
      <tp t="e">
        <v>#N/A</v>
        <stp/>
        <stp>BDH|18423975157749260237</stp>
        <tr r="I8" s="18"/>
      </tp>
      <tp t="e">
        <v>#N/A</v>
        <stp/>
        <stp>BDH|18219506800466675415</stp>
        <tr r="E23" s="18"/>
      </tp>
      <tp t="e">
        <v>#N/A</v>
        <stp/>
        <stp>BDH|18325241611960389402</stp>
        <tr r="N17" s="18"/>
      </tp>
      <tp t="e">
        <v>#N/A</v>
        <stp/>
        <stp>BDH|17679092100161927936</stp>
        <tr r="D172" s="18"/>
      </tp>
      <tp t="e">
        <v>#N/A</v>
        <stp/>
        <stp>BDH|10608506299655939633</stp>
        <tr r="X19" s="24"/>
      </tp>
      <tp t="e">
        <v>#N/A</v>
        <stp/>
        <stp>BDH|18194573799569295286</stp>
        <tr r="Q6" s="28"/>
      </tp>
      <tp t="e">
        <v>#N/A</v>
        <stp/>
        <stp>BDH|10200527518612817950</stp>
        <tr r="J22" s="27"/>
      </tp>
      <tp t="e">
        <v>#N/A</v>
        <stp/>
        <stp>BDH|13124200744499123313</stp>
        <tr r="N13" s="34"/>
      </tp>
      <tp t="e">
        <v>#N/A</v>
        <stp/>
        <stp>BDH|17365394104602320980</stp>
        <tr r="O20" s="10"/>
      </tp>
      <tp t="e">
        <v>#N/A</v>
        <stp/>
        <stp>BDH|12359052140478628157</stp>
        <tr r="K30" s="17"/>
      </tp>
      <tp t="e">
        <v>#N/A</v>
        <stp/>
        <stp>BDH|13584277412588399765</stp>
        <tr r="N38" s="17"/>
      </tp>
      <tp t="e">
        <v>#N/A</v>
        <stp/>
        <stp>BDH|11258446184084263653</stp>
        <tr r="M19" s="22"/>
      </tp>
      <tp t="e">
        <v>#N/A</v>
        <stp/>
        <stp>BDH|11969634098728004970</stp>
        <tr r="N108" s="18"/>
      </tp>
      <tp t="e">
        <v>#N/A</v>
        <stp/>
        <stp>BDH|18235551290599611243</stp>
        <tr r="C28" s="4"/>
      </tp>
      <tp t="e">
        <v>#N/A</v>
        <stp/>
        <stp>BDH|12653219817707293977</stp>
        <tr r="H17" s="9"/>
      </tp>
      <tp t="e">
        <v>#N/A</v>
        <stp/>
        <stp>BDH|10059521470449029477</stp>
        <tr r="I73" s="24"/>
      </tp>
      <tp t="e">
        <v>#N/A</v>
        <stp/>
        <stp>BDH|14561751417748751550</stp>
        <tr r="M22" s="18"/>
      </tp>
      <tp t="e">
        <v>#N/A</v>
        <stp/>
        <stp>BDH|16383485890863665787</stp>
        <tr r="M14" s="22"/>
      </tp>
      <tp t="e">
        <v>#N/A</v>
        <stp/>
        <stp>BDH|12515755331300443907</stp>
        <tr r="L69" s="10"/>
      </tp>
      <tp t="e">
        <v>#N/A</v>
        <stp/>
        <stp>BDH|10307206632948723639</stp>
        <tr r="K26" s="25"/>
        <tr r="K12" s="27"/>
      </tp>
      <tp t="e">
        <v>#N/A</v>
        <stp/>
        <stp>BDH|11495771324563129824</stp>
        <tr r="R139" s="18"/>
      </tp>
      <tp t="e">
        <v>#N/A</v>
        <stp/>
        <stp>BDH|14251185390490968379</stp>
        <tr r="L176" s="18"/>
      </tp>
      <tp t="e">
        <v>#N/A</v>
        <stp/>
        <stp>BDH|17616522165388082352</stp>
        <tr r="O139" s="18"/>
      </tp>
      <tp t="e">
        <v>#N/A</v>
        <stp/>
        <stp>BDH|14158373090203076229</stp>
        <tr r="P26" s="17"/>
      </tp>
      <tp t="e">
        <v>#N/A</v>
        <stp/>
        <stp>BDH|14045747787081590523</stp>
        <tr r="F29" s="4"/>
      </tp>
      <tp t="e">
        <v>#N/A</v>
        <stp/>
        <stp>BDH|14410731924249534729</stp>
        <tr r="C75" s="24"/>
      </tp>
      <tp t="e">
        <v>#N/A</v>
        <stp/>
        <stp>BDH|14783016285506119562</stp>
        <tr r="H149" s="18"/>
      </tp>
      <tp t="e">
        <v>#N/A</v>
        <stp/>
        <stp>BDH|15856990326706220718</stp>
        <tr r="H12" s="7"/>
      </tp>
      <tp t="e">
        <v>#N/A</v>
        <stp/>
        <stp>BDH|18362702002853653331</stp>
        <tr r="V22" s="22"/>
      </tp>
      <tp t="e">
        <v>#N/A</v>
        <stp/>
        <stp>BDH|13726336852219485361</stp>
        <tr r="N114" s="18"/>
      </tp>
      <tp t="e">
        <v>#N/A</v>
        <stp/>
        <stp>BDH|18338032260170077148</stp>
        <tr r="G54" s="12"/>
      </tp>
      <tp t="e">
        <v>#N/A</v>
        <stp/>
        <stp>BDH|12178874650112698244</stp>
        <tr r="M12" s="7"/>
      </tp>
      <tp t="e">
        <v>#N/A</v>
        <stp/>
        <stp>BDH|12894887972003164176</stp>
        <tr r="O39" s="26"/>
      </tp>
      <tp t="e">
        <v>#N/A</v>
        <stp/>
        <stp>BDH|15440029888537803526</stp>
        <tr r="Z23" s="17"/>
      </tp>
      <tp t="e">
        <v>#N/A</v>
        <stp/>
        <stp>BDH|11459657544125185906</stp>
        <tr r="Y83" s="12"/>
      </tp>
      <tp t="e">
        <v>#N/A</v>
        <stp/>
        <stp>BDH|18168492746995975236</stp>
        <tr r="V68" s="13"/>
      </tp>
      <tp t="e">
        <v>#N/A</v>
        <stp/>
        <stp>BDH|10913211449909588002</stp>
        <tr r="I104" s="12"/>
      </tp>
      <tp t="e">
        <v>#N/A</v>
        <stp/>
        <stp>BDH|18198038722243191659</stp>
        <tr r="C22" s="14"/>
      </tp>
      <tp t="e">
        <v>#N/A</v>
        <stp/>
        <stp>BDH|16479456656488111027</stp>
        <tr r="P33" s="9"/>
      </tp>
      <tp t="e">
        <v>#N/A</v>
        <stp/>
        <stp>BDH|11046478085022375058</stp>
        <tr r="X16" s="17"/>
        <tr r="X19" s="28"/>
      </tp>
      <tp t="e">
        <v>#N/A</v>
        <stp/>
        <stp>BDH|18173428287042286924</stp>
        <tr r="R168" s="18"/>
      </tp>
      <tp t="e">
        <v>#N/A</v>
        <stp/>
        <stp>BDH|13422520389541869033</stp>
        <tr r="D20" s="34"/>
      </tp>
      <tp t="e">
        <v>#N/A</v>
        <stp/>
        <stp>BDH|12155767118263843836</stp>
        <tr r="D52" s="6"/>
      </tp>
      <tp t="e">
        <v>#N/A</v>
        <stp/>
        <stp>BDH|11557416656286645904</stp>
        <tr r="G8" s="24"/>
      </tp>
      <tp t="e">
        <v>#N/A</v>
        <stp/>
        <stp>BDH|12235149671929514263</stp>
        <tr r="C75" s="18"/>
      </tp>
      <tp t="e">
        <v>#N/A</v>
        <stp/>
        <stp>BDH|14756444812359176745</stp>
        <tr r="W43" s="6"/>
      </tp>
      <tp t="e">
        <v>#N/A</v>
        <stp/>
        <stp>BDH|12186026392011588506</stp>
        <tr r="V46" s="21"/>
      </tp>
      <tp t="e">
        <v>#N/A</v>
        <stp/>
        <stp>BDH|14823886830029636927</stp>
        <tr r="N6" s="28"/>
      </tp>
      <tp t="e">
        <v>#N/A</v>
        <stp/>
        <stp>BDH|18175356502591256501</stp>
        <tr r="W9" s="24"/>
      </tp>
      <tp t="e">
        <v>#N/A</v>
        <stp/>
        <stp>BDH|11376674930412070900</stp>
        <tr r="W12" s="14"/>
      </tp>
      <tp t="e">
        <v>#N/A</v>
        <stp/>
        <stp>BDH|11607464504032239827</stp>
        <tr r="S12" s="24"/>
      </tp>
      <tp t="e">
        <v>#N/A</v>
        <stp/>
        <stp>BDH|16633444292096502217</stp>
        <tr r="AA52" s="34"/>
      </tp>
      <tp t="e">
        <v>#N/A</v>
        <stp/>
        <stp>BDH|11772043627015923996</stp>
        <tr r="W18" s="25"/>
      </tp>
      <tp t="e">
        <v>#N/A</v>
        <stp/>
        <stp>BDH|15942122789844416728</stp>
        <tr r="F8" s="34"/>
      </tp>
      <tp t="e">
        <v>#N/A</v>
        <stp/>
        <stp>BDH|11114615484771234127</stp>
        <tr r="L43" s="17"/>
      </tp>
      <tp t="e">
        <v>#N/A</v>
        <stp/>
        <stp>BDH|16200562906318215446</stp>
        <tr r="X26" s="10"/>
        <tr r="Z35" s="13"/>
      </tp>
      <tp t="e">
        <v>#N/A</v>
        <stp/>
        <stp>BDH|18051778742067187303</stp>
        <tr r="H61" s="24"/>
      </tp>
      <tp t="e">
        <v>#N/A</v>
        <stp/>
        <stp>BDH|14466023700048327311</stp>
        <tr r="L54" s="24"/>
      </tp>
      <tp t="e">
        <v>#N/A</v>
        <stp/>
        <stp>BDH|13571012753411551861</stp>
        <tr r="Z62" s="24"/>
      </tp>
      <tp t="e">
        <v>#N/A</v>
        <stp/>
        <stp>BDH|10549510116712665901</stp>
        <tr r="J92" s="18"/>
      </tp>
      <tp t="e">
        <v>#N/A</v>
        <stp/>
        <stp>BDH|10967831228060147577</stp>
        <tr r="E70" s="10"/>
        <tr r="E60" s="11"/>
        <tr r="E20" s="7"/>
      </tp>
      <tp t="e">
        <v>#N/A</v>
        <stp/>
        <stp>BDH|11536830331885932093</stp>
        <tr r="S88" s="18"/>
      </tp>
      <tp t="e">
        <v>#N/A</v>
        <stp/>
        <stp>BDH|15095356182299322834</stp>
        <tr r="G12" s="26"/>
      </tp>
      <tp t="e">
        <v>#N/A</v>
        <stp/>
        <stp>BDH|16192338213168790312</stp>
        <tr r="Z96" s="18"/>
      </tp>
      <tp t="e">
        <v>#N/A</v>
        <stp/>
        <stp>BDH|12197415923553420801</stp>
        <tr r="K164" s="18"/>
      </tp>
      <tp t="e">
        <v>#N/A</v>
        <stp/>
        <stp>BDH|15624142122148620119</stp>
        <tr r="K30" s="12"/>
      </tp>
      <tp t="e">
        <v>#N/A</v>
        <stp/>
        <stp>BDH|15923160863244316988</stp>
        <tr r="D45" s="12"/>
      </tp>
      <tp t="e">
        <v>#N/A</v>
        <stp/>
        <stp>BDH|10878908951487932471</stp>
        <tr r="V12" s="21"/>
      </tp>
      <tp t="e">
        <v>#N/A</v>
        <stp/>
        <stp>BDH|16634586385987505395</stp>
        <tr r="Z63" s="12"/>
      </tp>
      <tp t="e">
        <v>#N/A</v>
        <stp/>
        <stp>BDH|11029518696877427548</stp>
        <tr r="Z60" s="12"/>
      </tp>
      <tp t="e">
        <v>#N/A</v>
        <stp/>
        <stp>BDH|10731075112746413818</stp>
        <tr r="K13" s="2"/>
      </tp>
      <tp t="e">
        <v>#N/A</v>
        <stp/>
        <stp>BDH|17163815654912615753</stp>
        <tr r="K59" s="11"/>
      </tp>
      <tp t="e">
        <v>#N/A</v>
        <stp/>
        <stp>BDH|13169612652016235978</stp>
        <tr r="F8" s="14"/>
      </tp>
      <tp t="e">
        <v>#N/A</v>
        <stp/>
        <stp>BDH|16504027912819709150</stp>
        <tr r="M39" s="26"/>
      </tp>
      <tp t="e">
        <v>#N/A</v>
        <stp/>
        <stp>BDH|14403237421909574247</stp>
        <tr r="R87" s="18"/>
      </tp>
      <tp t="e">
        <v>#N/A</v>
        <stp/>
        <stp>BDH|17652468896412659772</stp>
        <tr r="R174" s="18"/>
      </tp>
      <tp t="e">
        <v>#N/A</v>
        <stp/>
        <stp>BDH|13624709903663376817</stp>
        <tr r="M16" s="24"/>
      </tp>
      <tp t="e">
        <v>#N/A</v>
        <stp/>
        <stp>BDH|16320908395230966982</stp>
        <tr r="G11" s="21"/>
      </tp>
      <tp t="e">
        <v>#N/A</v>
        <stp/>
        <stp>BDH|13416964155726681669</stp>
        <tr r="T86" s="18"/>
      </tp>
      <tp t="e">
        <v>#N/A</v>
        <stp/>
        <stp>BDH|12215537205490421871</stp>
        <tr r="W18" s="14"/>
      </tp>
      <tp t="e">
        <v>#N/A</v>
        <stp/>
        <stp>BDH|13606341652489377343</stp>
        <tr r="U26" s="13"/>
      </tp>
      <tp t="e">
        <v>#N/A</v>
        <stp/>
        <stp>BDH|14533052039589604185</stp>
        <tr r="S20" s="17"/>
      </tp>
      <tp t="e">
        <v>#N/A</v>
        <stp/>
        <stp>BDH|15061741863123204827</stp>
        <tr r="Y12" s="25"/>
      </tp>
      <tp t="e">
        <v>#N/A</v>
        <stp/>
        <stp>BDH|10173856569105252484</stp>
        <tr r="E7" s="30"/>
      </tp>
      <tp t="e">
        <v>#N/A</v>
        <stp/>
        <stp>BDH|11654934060676536773</stp>
        <tr r="N33" s="5"/>
      </tp>
      <tp t="e">
        <v>#N/A</v>
        <stp/>
        <stp>BDH|18016146782557312924</stp>
        <tr r="M38" s="6"/>
      </tp>
      <tp t="e">
        <v>#N/A</v>
        <stp/>
        <stp>BDH|17531156434353711940</stp>
        <tr r="F17" s="30"/>
      </tp>
      <tp t="e">
        <v>#N/A</v>
        <stp/>
        <stp>BDH|11764177193205045340</stp>
        <tr r="I62" s="12"/>
      </tp>
      <tp t="e">
        <v>#N/A</v>
        <stp/>
        <stp>BDH|14042460591133447546</stp>
        <tr r="X65" s="21"/>
        <tr r="V23" s="7"/>
      </tp>
      <tp t="e">
        <v>#N/A</v>
        <stp/>
        <stp>BDH|14598337634339031258</stp>
        <tr r="C13" s="12"/>
      </tp>
      <tp t="e">
        <v>#N/A</v>
        <stp/>
        <stp>BDH|18218301395914780977</stp>
        <tr r="Q52" s="18"/>
      </tp>
      <tp t="e">
        <v>#N/A</v>
        <stp/>
        <stp>BDH|12375132899695937076</stp>
        <tr r="Z136" s="18"/>
      </tp>
      <tp t="e">
        <v>#N/A</v>
        <stp/>
        <stp>BDH|15953955673322978611</stp>
        <tr r="S13" s="30"/>
      </tp>
      <tp t="e">
        <v>#N/A</v>
        <stp/>
        <stp>BDH|17206974038774929634</stp>
        <tr r="U36" s="10"/>
        <tr r="U48" s="10"/>
        <tr r="U26" s="11"/>
        <tr r="U38" s="11"/>
      </tp>
      <tp t="e">
        <v>#N/A</v>
        <stp/>
        <stp>BDH|15241979064703090666</stp>
        <tr r="S33" s="6"/>
      </tp>
      <tp t="e">
        <v>#N/A</v>
        <stp/>
        <stp>BDH|18139023724276008307</stp>
        <tr r="F72" s="12"/>
      </tp>
      <tp t="e">
        <v>#N/A</v>
        <stp/>
        <stp>BDH|10265975501410324601</stp>
        <tr r="J68" s="18"/>
      </tp>
      <tp t="e">
        <v>#N/A</v>
        <stp/>
        <stp>BDH|11283591682197612492</stp>
        <tr r="F52" s="12"/>
      </tp>
      <tp t="e">
        <v>#N/A</v>
        <stp/>
        <stp>BDH|15576254615841363806</stp>
        <tr r="X51" s="34"/>
      </tp>
      <tp t="e">
        <v>#N/A</v>
        <stp/>
        <stp>BDH|18045664521963467054</stp>
        <tr r="W7" s="10"/>
      </tp>
      <tp t="e">
        <v>#N/A</v>
        <stp/>
        <stp>BDH|11400911767820515113</stp>
        <tr r="N15" s="25"/>
      </tp>
      <tp t="e">
        <v>#N/A</v>
        <stp/>
        <stp>BDH|18194955356718468307</stp>
        <tr r="O7" s="24"/>
      </tp>
      <tp t="e">
        <v>#N/A</v>
        <stp/>
        <stp>BDH|12215268549808399382</stp>
        <tr r="N7" s="21"/>
      </tp>
      <tp t="e">
        <v>#N/A</v>
        <stp/>
        <stp>BDH|18150063440815220636</stp>
        <tr r="V49" s="22"/>
      </tp>
      <tp t="e">
        <v>#N/A</v>
        <stp/>
        <stp>BDH|10734875165039391805</stp>
        <tr r="V20" s="27"/>
      </tp>
      <tp t="e">
        <v>#N/A</v>
        <stp/>
        <stp>BDH|12737731447389499712</stp>
        <tr r="F42" s="4"/>
      </tp>
      <tp t="e">
        <v>#N/A</v>
        <stp/>
        <stp>BDH|15582811128172948235</stp>
        <tr r="R15" s="9"/>
      </tp>
      <tp t="e">
        <v>#N/A</v>
        <stp/>
        <stp>BDH|15749702904784704928</stp>
        <tr r="V30" s="12"/>
      </tp>
      <tp t="e">
        <v>#N/A</v>
        <stp/>
        <stp>BDH|12671286119046010819</stp>
        <tr r="T29" s="29"/>
        <tr r="T7" s="29"/>
      </tp>
      <tp t="e">
        <v>#N/A</v>
        <stp/>
        <stp>BDH|13745475700750489826</stp>
        <tr r="S18" s="34"/>
      </tp>
      <tp t="e">
        <v>#N/A</v>
        <stp/>
        <stp>BDH|13508395143862878912</stp>
        <tr r="S55" s="12"/>
      </tp>
      <tp t="e">
        <v>#N/A</v>
        <stp/>
        <stp>BDH|14405529833725659853</stp>
        <tr r="J16" s="22"/>
      </tp>
      <tp t="e">
        <v>#N/A</v>
        <stp/>
        <stp>BDH|15971253958138787552</stp>
        <tr r="R63" s="10"/>
      </tp>
      <tp t="e">
        <v>#N/A</v>
        <stp/>
        <stp>BDH|16794830072137310136</stp>
        <tr r="Y47" s="34"/>
      </tp>
      <tp t="e">
        <v>#N/A</v>
        <stp/>
        <stp>BDH|18051108753037617433</stp>
        <tr r="S46" s="17"/>
      </tp>
      <tp t="e">
        <v>#N/A</v>
        <stp/>
        <stp>BDH|18121699248714527130</stp>
        <tr r="W71" s="18"/>
      </tp>
      <tp t="e">
        <v>#N/A</v>
        <stp/>
        <stp>BDH|13418464457885067835</stp>
        <tr r="S17" s="24"/>
      </tp>
      <tp t="e">
        <v>#N/A</v>
        <stp/>
        <stp>BDH|11082347597663063751</stp>
        <tr r="L10" s="24"/>
      </tp>
      <tp t="e">
        <v>#N/A</v>
        <stp/>
        <stp>BDH|10759340139366522999</stp>
        <tr r="K10" s="21"/>
      </tp>
      <tp t="e">
        <v>#N/A</v>
        <stp/>
        <stp>BDH|16783721063448050005</stp>
        <tr r="I47" s="10"/>
        <tr r="I37" s="11"/>
      </tp>
      <tp t="e">
        <v>#N/A</v>
        <stp/>
        <stp>BDH|11898250150559323082</stp>
        <tr r="V25" s="14"/>
      </tp>
      <tp t="e">
        <v>#N/A</v>
        <stp/>
        <stp>BDH|14018575916638289756</stp>
        <tr r="U24" s="9"/>
      </tp>
      <tp t="e">
        <v>#N/A</v>
        <stp/>
        <stp>BDH|10570072797097788141</stp>
        <tr r="E18" s="18"/>
      </tp>
      <tp t="e">
        <v>#N/A</v>
        <stp/>
        <stp>BDH|10574320063502674849</stp>
        <tr r="E46" s="17"/>
      </tp>
      <tp t="e">
        <v>#N/A</v>
        <stp/>
        <stp>BDH|17167979626661344251</stp>
        <tr r="Y9" s="21"/>
      </tp>
      <tp t="e">
        <v>#N/A</v>
        <stp/>
        <stp>BDH|13865325684591957610</stp>
        <tr r="W29" s="17"/>
      </tp>
      <tp t="e">
        <v>#N/A</v>
        <stp/>
        <stp>BDH|14858842565195643091</stp>
        <tr r="T21" s="10"/>
      </tp>
      <tp t="e">
        <v>#N/A</v>
        <stp/>
        <stp>BDH|11970373524738835743</stp>
        <tr r="K32" s="18"/>
      </tp>
      <tp t="e">
        <v>#N/A</v>
        <stp/>
        <stp>BDH|12658673451429433723</stp>
        <tr r="Q15" s="13"/>
      </tp>
      <tp t="e">
        <v>#N/A</v>
        <stp/>
        <stp>BDH|11858885561271095179</stp>
        <tr r="Z71" s="13"/>
      </tp>
      <tp t="e">
        <v>#N/A</v>
        <stp/>
        <stp>BDH|15021462059098911303</stp>
        <tr r="G13" s="2"/>
      </tp>
      <tp t="e">
        <v>#N/A</v>
        <stp/>
        <stp>BDH|16334432516224176816</stp>
        <tr r="C60" s="34"/>
      </tp>
      <tp t="e">
        <v>#N/A</v>
        <stp/>
        <stp>BDH|16905386132949192044</stp>
        <tr r="S93" s="18"/>
      </tp>
      <tp t="e">
        <v>#N/A</v>
        <stp/>
        <stp>BDH|11066237794742758762</stp>
        <tr r="L9" s="21"/>
      </tp>
      <tp t="e">
        <v>#N/A</v>
        <stp/>
        <stp>BDH|11987698738093947875</stp>
        <tr r="I109" s="18"/>
      </tp>
      <tp t="e">
        <v>#N/A</v>
        <stp/>
        <stp>BDH|12010760591805012619</stp>
        <tr r="P31" s="10"/>
        <tr r="R40" s="13"/>
      </tp>
      <tp t="e">
        <v>#N/A</v>
        <stp/>
        <stp>BDH|17229501391656428216</stp>
        <tr r="O70" s="18"/>
      </tp>
      <tp t="e">
        <v>#N/A</v>
        <stp/>
        <stp>BDH|18142766214342017351</stp>
        <tr r="E47" s="17"/>
      </tp>
      <tp t="e">
        <v>#N/A</v>
        <stp/>
        <stp>BDH|18366027620766028374</stp>
        <tr r="N32" s="17"/>
      </tp>
      <tp t="e">
        <v>#N/A</v>
        <stp/>
        <stp>BDH|12589191839789682656</stp>
        <tr r="U67" s="13"/>
      </tp>
      <tp t="e">
        <v>#N/A</v>
        <stp/>
        <stp>BDH|13925985743271123057</stp>
        <tr r="M86" s="18"/>
      </tp>
      <tp t="e">
        <v>#N/A</v>
        <stp/>
        <stp>BDH|11054047364598276047</stp>
        <tr r="T52" s="6"/>
      </tp>
      <tp t="e">
        <v>#N/A</v>
        <stp/>
        <stp>BDH|15086860031891257032</stp>
        <tr r="S22" s="20"/>
      </tp>
      <tp t="e">
        <v>#N/A</v>
        <stp/>
        <stp>BDH|17724460490654458137</stp>
        <tr r="O14" s="10"/>
      </tp>
      <tp t="e">
        <v>#N/A</v>
        <stp/>
        <stp>BDH|14099168671559073415</stp>
        <tr r="U76" s="17"/>
        <tr r="R9" s="5"/>
        <tr r="R9" s="9"/>
      </tp>
      <tp t="e">
        <v>#N/A</v>
        <stp/>
        <stp>BDH|11050810337645502055</stp>
        <tr r="X22" s="22"/>
      </tp>
      <tp t="e">
        <v>#N/A</v>
        <stp/>
        <stp>BDH|16560818747811121442</stp>
        <tr r="V102" s="18"/>
      </tp>
      <tp t="e">
        <v>#N/A</v>
        <stp/>
        <stp>BDH|16537968927985440760</stp>
        <tr r="H17" s="21"/>
      </tp>
      <tp t="e">
        <v>#N/A</v>
        <stp/>
        <stp>BDH|17276783862089776095</stp>
        <tr r="I51" s="24"/>
      </tp>
      <tp t="e">
        <v>#N/A</v>
        <stp/>
        <stp>BDH|15101180385075227684</stp>
        <tr r="C14" s="3"/>
      </tp>
      <tp t="e">
        <v>#N/A</v>
        <stp/>
        <stp>BDH|17015094353368458586</stp>
        <tr r="T80" s="18"/>
      </tp>
      <tp t="e">
        <v>#N/A</v>
        <stp/>
        <stp>BDH|13168082881814809068</stp>
        <tr r="AA105" s="18"/>
      </tp>
      <tp t="e">
        <v>#N/A</v>
        <stp/>
        <stp>BDH|12790631216732394872</stp>
        <tr r="Z22" s="18"/>
      </tp>
      <tp t="e">
        <v>#N/A</v>
        <stp/>
        <stp>BDH|13521836090158045505</stp>
        <tr r="P18" s="14"/>
      </tp>
      <tp t="e">
        <v>#N/A</v>
        <stp/>
        <stp>BDH|10096196084872598414</stp>
        <tr r="G201" s="18"/>
      </tp>
      <tp t="e">
        <v>#N/A</v>
        <stp/>
        <stp>BDH|10696964578702173307</stp>
        <tr r="O10" s="13"/>
      </tp>
      <tp t="e">
        <v>#N/A</v>
        <stp/>
        <stp>BDH|15112716976229944368</stp>
        <tr r="Y69" s="12"/>
      </tp>
      <tp t="e">
        <v>#N/A</v>
        <stp/>
        <stp>BDH|13945754163095691800</stp>
        <tr r="T37" s="18"/>
      </tp>
      <tp t="e">
        <v>#N/A</v>
        <stp/>
        <stp>BDH|17286065381470459085</stp>
        <tr r="I24" s="20"/>
      </tp>
      <tp t="e">
        <v>#N/A</v>
        <stp/>
        <stp>BDH|10437985446932542062</stp>
        <tr r="V29" s="17"/>
      </tp>
      <tp t="e">
        <v>#N/A</v>
        <stp/>
        <stp>BDH|11593818176189201898</stp>
        <tr r="U11" s="14"/>
      </tp>
      <tp t="e">
        <v>#N/A</v>
        <stp/>
        <stp>BDH|17414105635713034988</stp>
        <tr r="P25" s="9"/>
      </tp>
      <tp t="e">
        <v>#N/A</v>
        <stp/>
        <stp>BDH|16760709467041113986</stp>
        <tr r="L69" s="34"/>
      </tp>
      <tp t="e">
        <v>#N/A</v>
        <stp/>
        <stp>BDH|16853040967206615949</stp>
        <tr r="X22" s="7"/>
      </tp>
      <tp t="e">
        <v>#N/A</v>
        <stp/>
        <stp>BDH|14015077888954162776</stp>
        <tr r="Y68" s="34"/>
      </tp>
      <tp t="e">
        <v>#N/A</v>
        <stp/>
        <stp>BDH|14700697691511490525</stp>
        <tr r="I28" s="24"/>
      </tp>
      <tp t="e">
        <v>#N/A</v>
        <stp/>
        <stp>BDH|10615438752009724795</stp>
        <tr r="C73" s="18"/>
      </tp>
      <tp t="e">
        <v>#N/A</v>
        <stp/>
        <stp>BDH|13300833058174686574</stp>
        <tr r="E48" s="12"/>
      </tp>
      <tp t="e">
        <v>#N/A</v>
        <stp/>
        <stp>BDH|14269597886060757639</stp>
        <tr r="S73" s="34"/>
      </tp>
      <tp t="e">
        <v>#N/A</v>
        <stp/>
        <stp>BDH|18115713731837126494</stp>
        <tr r="I23" s="30"/>
        <tr r="I25" s="23"/>
      </tp>
      <tp t="e">
        <v>#N/A</v>
        <stp/>
        <stp>BDH|10715358814205903869</stp>
        <tr r="X57" s="18"/>
      </tp>
      <tp t="e">
        <v>#N/A</v>
        <stp/>
        <stp>BDH|12062874902125531092</stp>
        <tr r="P13" s="5"/>
      </tp>
      <tp t="e">
        <v>#N/A</v>
        <stp/>
        <stp>BDH|17760426124726122897</stp>
        <tr r="Y62" s="13"/>
      </tp>
      <tp t="e">
        <v>#N/A</v>
        <stp/>
        <stp>BDH|13867828370832755141</stp>
        <tr r="M54" s="11"/>
      </tp>
      <tp t="e">
        <v>#N/A</v>
        <stp/>
        <stp>BDH|12962613995360475200</stp>
        <tr r="X76" s="34"/>
      </tp>
      <tp t="e">
        <v>#N/A</v>
        <stp/>
        <stp>BDH|14438004148257414815</stp>
        <tr r="F10" s="22"/>
      </tp>
      <tp t="e">
        <v>#N/A</v>
        <stp/>
        <stp>BDH|16429695426945587876</stp>
        <tr r="C18" s="14"/>
      </tp>
      <tp t="e">
        <v>#N/A</v>
        <stp/>
        <stp>BDH|11836408335188441109</stp>
        <tr r="R166" s="18"/>
      </tp>
      <tp t="e">
        <v>#N/A</v>
        <stp/>
        <stp>BDH|11589460958187766858</stp>
        <tr r="K27" s="17"/>
      </tp>
      <tp t="e">
        <v>#N/A</v>
        <stp/>
        <stp>BDH|17222915934013802160</stp>
        <tr r="N63" s="10"/>
      </tp>
      <tp t="e">
        <v>#N/A</v>
        <stp/>
        <stp>BDH|11412426138068593129</stp>
        <tr r="S95" s="18"/>
      </tp>
      <tp t="e">
        <v>#N/A</v>
        <stp/>
        <stp>BDH|14019393450579748474</stp>
        <tr r="Q94" s="17"/>
      </tp>
      <tp t="e">
        <v>#N/A</v>
        <stp/>
        <stp>BDH|16208662684246946102</stp>
        <tr r="C38" s="10"/>
        <tr r="C28" s="11"/>
        <tr r="E47" s="13"/>
      </tp>
      <tp t="e">
        <v>#N/A</v>
        <stp/>
        <stp>BDH|12386785261089724549</stp>
        <tr r="E59" s="21"/>
        <tr r="E37" s="25"/>
        <tr r="C31" s="4"/>
        <tr r="C52" s="11"/>
      </tp>
      <tp t="e">
        <v>#N/A</v>
        <stp/>
        <stp>BDH|12020888470835720766</stp>
        <tr r="I204" s="18"/>
      </tp>
      <tp t="e">
        <v>#N/A</v>
        <stp/>
        <stp>BDH|14433672394794676084</stp>
        <tr r="R60" s="18"/>
      </tp>
      <tp t="e">
        <v>#N/A</v>
        <stp/>
        <stp>BDH|17797481511258188567</stp>
        <tr r="X12" s="24"/>
      </tp>
      <tp t="e">
        <v>#N/A</v>
        <stp/>
        <stp>BDH|18084003556777709589</stp>
        <tr r="L79" s="24"/>
      </tp>
      <tp t="e">
        <v>#N/A</v>
        <stp/>
        <stp>BDH|16635488947900519956</stp>
        <tr r="L78" s="12"/>
      </tp>
      <tp t="e">
        <v>#N/A</v>
        <stp/>
        <stp>BDH|15697853649567233119</stp>
        <tr r="E61" s="24"/>
      </tp>
      <tp t="e">
        <v>#N/A</v>
        <stp/>
        <stp>BDH|13720930606496218392</stp>
        <tr r="W33" s="5"/>
      </tp>
      <tp t="e">
        <v>#N/A</v>
        <stp/>
        <stp>BDH|18241067359240255261</stp>
        <tr r="P140" s="18"/>
      </tp>
      <tp t="e">
        <v>#N/A</v>
        <stp/>
        <stp>BDH|16255280486303173044</stp>
        <tr r="W75" s="17"/>
      </tp>
      <tp t="e">
        <v>#N/A</v>
        <stp/>
        <stp>BDH|12153244055522818811</stp>
        <tr r="N29" s="22"/>
      </tp>
      <tp t="e">
        <v>#N/A</v>
        <stp/>
        <stp>BDH|13712522726369342290</stp>
        <tr r="I166" s="18"/>
      </tp>
      <tp t="e">
        <v>#N/A</v>
        <stp/>
        <stp>BDH|11643500835421824939</stp>
        <tr r="S16" s="14"/>
      </tp>
      <tp t="e">
        <v>#N/A</v>
        <stp/>
        <stp>BDH|18093552705265002782</stp>
        <tr r="V133" s="18"/>
      </tp>
      <tp t="e">
        <v>#N/A</v>
        <stp/>
        <stp>BDH|14398820287459671280</stp>
        <tr r="S32" s="12"/>
      </tp>
      <tp t="e">
        <v>#N/A</v>
        <stp/>
        <stp>BDH|16255200537988556083</stp>
        <tr r="D48" s="21"/>
      </tp>
      <tp t="e">
        <v>#N/A</v>
        <stp/>
        <stp>BDH|14518612068958729331</stp>
        <tr r="T49" s="12"/>
      </tp>
      <tp t="e">
        <v>#N/A</v>
        <stp/>
        <stp>BDH|15691107078114626804</stp>
        <tr r="L61" s="24"/>
      </tp>
      <tp t="e">
        <v>#N/A</v>
        <stp/>
        <stp>BDH|12831178856981391822</stp>
        <tr r="D10" s="34"/>
      </tp>
      <tp t="e">
        <v>#N/A</v>
        <stp/>
        <stp>BDH|13806445585880975082</stp>
        <tr r="Q50" s="34"/>
      </tp>
      <tp t="e">
        <v>#N/A</v>
        <stp/>
        <stp>BDH|15082880821237862794</stp>
        <tr r="AA28" s="12"/>
      </tp>
      <tp t="e">
        <v>#N/A</v>
        <stp/>
        <stp>BDH|13784679143809286799</stp>
        <tr r="E47" s="24"/>
      </tp>
      <tp t="e">
        <v>#N/A</v>
        <stp/>
        <stp>BDH|13690663739470768967</stp>
        <tr r="O61" s="34"/>
      </tp>
      <tp t="e">
        <v>#N/A</v>
        <stp/>
        <stp>BDH|11567925857466914418</stp>
        <tr r="AA72" s="18"/>
      </tp>
      <tp t="e">
        <v>#N/A</v>
        <stp/>
        <stp>BDH|16370978979063066457</stp>
        <tr r="N9" s="29"/>
      </tp>
      <tp t="e">
        <v>#N/A</v>
        <stp/>
        <stp>BDH|12036981966171490324</stp>
        <tr r="U12" s="7"/>
      </tp>
      <tp t="e">
        <v>#N/A</v>
        <stp/>
        <stp>BDH|10008365911918971566</stp>
        <tr r="R25" s="26"/>
      </tp>
      <tp t="e">
        <v>#N/A</v>
        <stp/>
        <stp>BDH|15519585451799294366</stp>
        <tr r="V160" s="18"/>
      </tp>
      <tp t="e">
        <v>#N/A</v>
        <stp/>
        <stp>BDH|12354319176808430184</stp>
        <tr r="J9" s="14"/>
      </tp>
      <tp t="e">
        <v>#N/A</v>
        <stp/>
        <stp>BDH|17300716738044066823</stp>
        <tr r="Q45" s="12"/>
      </tp>
      <tp t="e">
        <v>#N/A</v>
        <stp/>
        <stp>BDH|14361395297776259773</stp>
        <tr r="W80" s="34"/>
      </tp>
      <tp t="e">
        <v>#N/A</v>
        <stp/>
        <stp>BDH|16104637707099577682</stp>
        <tr r="C49" s="22"/>
      </tp>
      <tp t="e">
        <v>#N/A</v>
        <stp/>
        <stp>BDH|10401328609135481933</stp>
        <tr r="H51" s="18"/>
      </tp>
      <tp t="e">
        <v>#N/A</v>
        <stp/>
        <stp>BDH|17173734568440542971</stp>
        <tr r="H8" s="21"/>
      </tp>
      <tp t="e">
        <v>#N/A</v>
        <stp/>
        <stp>BDH|10263574464369189588</stp>
        <tr r="U31" s="25"/>
        <tr r="R14" s="5"/>
        <tr r="U17" s="27"/>
      </tp>
      <tp t="e">
        <v>#N/A</v>
        <stp/>
        <stp>BDH|10121283894744059052</stp>
        <tr r="C22" s="4"/>
      </tp>
      <tp t="e">
        <v>#N/A</v>
        <stp/>
        <stp>BDH|18158322619281142430</stp>
        <tr r="AA56" s="18"/>
      </tp>
      <tp t="e">
        <v>#N/A</v>
        <stp/>
        <stp>BDH|13421736066608921501</stp>
        <tr r="Y25" s="18"/>
      </tp>
      <tp t="e">
        <v>#N/A</v>
        <stp/>
        <stp>BDH|14367724769613904994</stp>
        <tr r="R43" s="6"/>
      </tp>
      <tp t="e">
        <v>#N/A</v>
        <stp/>
        <stp>BDH|18166141765682055283</stp>
        <tr r="N40" s="18"/>
      </tp>
      <tp t="e">
        <v>#N/A</v>
        <stp/>
        <stp>BDH|11746722904480815914</stp>
        <tr r="U22" s="34"/>
      </tp>
      <tp t="e">
        <v>#N/A</v>
        <stp/>
        <stp>BDH|15812322378247969931</stp>
        <tr r="U22" s="17"/>
      </tp>
      <tp t="e">
        <v>#N/A</v>
        <stp/>
        <stp>BDH|14038292270266212834</stp>
        <tr r="I126" s="18"/>
      </tp>
      <tp t="e">
        <v>#N/A</v>
        <stp/>
        <stp>BDH|16971915951651756467</stp>
        <tr r="M11" s="11"/>
      </tp>
      <tp t="e">
        <v>#N/A</v>
        <stp/>
        <stp>BDH|17918856992041276846</stp>
        <tr r="F22" s="4"/>
      </tp>
      <tp t="e">
        <v>#N/A</v>
        <stp/>
        <stp>BDH|10385385162593892994</stp>
        <tr r="K19" s="18"/>
      </tp>
      <tp t="e">
        <v>#N/A</v>
        <stp/>
        <stp>BDH|11531135132338947454</stp>
        <tr r="Y186" s="18"/>
      </tp>
      <tp t="e">
        <v>#N/A</v>
        <stp/>
        <stp>BDH|11466175225035637884</stp>
        <tr r="J133" s="18"/>
      </tp>
      <tp t="e">
        <v>#N/A</v>
        <stp/>
        <stp>BDH|18251084062259777870</stp>
        <tr r="T21" s="27"/>
      </tp>
      <tp t="e">
        <v>#N/A</v>
        <stp/>
        <stp>BDH|12960468649294833954</stp>
        <tr r="G128" s="18"/>
      </tp>
      <tp t="e">
        <v>#N/A</v>
        <stp/>
        <stp>BDH|18275046379654655429</stp>
        <tr r="P60" s="18"/>
      </tp>
      <tp t="e">
        <v>#N/A</v>
        <stp/>
        <stp>BDH|11078500949996538976</stp>
        <tr r="E45" s="22"/>
      </tp>
      <tp t="e">
        <v>#N/A</v>
        <stp/>
        <stp>BDH|14981464825298825596</stp>
        <tr r="Y24" s="10"/>
      </tp>
      <tp t="e">
        <v>#N/A</v>
        <stp/>
        <stp>BDH|10202344569139085347</stp>
        <tr r="G58" s="12"/>
      </tp>
      <tp t="e">
        <v>#N/A</v>
        <stp/>
        <stp>BDH|10202226581567287282</stp>
        <tr r="U34" s="22"/>
      </tp>
      <tp t="e">
        <v>#N/A</v>
        <stp/>
        <stp>BDH|15359774712128885457</stp>
        <tr r="G66" s="18"/>
      </tp>
      <tp t="e">
        <v>#N/A</v>
        <stp/>
        <stp>BDH|10464247166923410896</stp>
        <tr r="P84" s="17"/>
      </tp>
      <tp t="e">
        <v>#N/A</v>
        <stp/>
        <stp>BDH|10349362979022194960</stp>
        <tr r="L24" s="10"/>
      </tp>
      <tp t="e">
        <v>#N/A</v>
        <stp/>
        <stp>BDH|14307926621907348785</stp>
        <tr r="H53" s="18"/>
      </tp>
      <tp t="e">
        <v>#N/A</v>
        <stp/>
        <stp>BDH|15852514413307346928</stp>
        <tr r="L16" s="20"/>
      </tp>
      <tp t="e">
        <v>#N/A</v>
        <stp/>
        <stp>BDH|16693436577233837910</stp>
        <tr r="F52" s="6"/>
      </tp>
      <tp t="e">
        <v>#N/A</v>
        <stp/>
        <stp>BDH|12636826831913859564</stp>
        <tr r="H66" s="13"/>
      </tp>
      <tp t="e">
        <v>#N/A</v>
        <stp/>
        <stp>BDH|16906207367945339861</stp>
        <tr r="Y30" s="10"/>
        <tr r="AA39" s="13"/>
      </tp>
      <tp t="e">
        <v>#N/A</v>
        <stp/>
        <stp>BDH|10132182263158918082</stp>
        <tr r="X47" s="34"/>
      </tp>
      <tp t="e">
        <v>#N/A</v>
        <stp/>
        <stp>BDH|12927650313392154857</stp>
        <tr r="R32" s="24"/>
      </tp>
      <tp t="e">
        <v>#N/A</v>
        <stp/>
        <stp>BDH|18095729431492960111</stp>
        <tr r="M202" s="18"/>
      </tp>
      <tp t="e">
        <v>#N/A</v>
        <stp/>
        <stp>BDH|18325076438641154564</stp>
        <tr r="I153" s="18"/>
      </tp>
      <tp t="e">
        <v>#N/A</v>
        <stp/>
        <stp>BDH|12385239748288471376</stp>
        <tr r="O42" s="18"/>
      </tp>
      <tp t="e">
        <v>#N/A</v>
        <stp/>
        <stp>BDH|13948786036718404084</stp>
        <tr r="D38" s="24"/>
      </tp>
      <tp t="e">
        <v>#N/A</v>
        <stp/>
        <stp>BDH|12871000672483548946</stp>
        <tr r="S74" s="17"/>
      </tp>
      <tp t="e">
        <v>#N/A</v>
        <stp/>
        <stp>BDH|13304182798651924517</stp>
        <tr r="P75" s="24"/>
      </tp>
      <tp t="e">
        <v>#N/A</v>
        <stp/>
        <stp>BDH|10039918355927870475</stp>
        <tr r="O83" s="18"/>
      </tp>
      <tp t="e">
        <v>#N/A</v>
        <stp/>
        <stp>BDH|10126834458662976087</stp>
        <tr r="V24" s="6"/>
      </tp>
      <tp t="e">
        <v>#N/A</v>
        <stp/>
        <stp>BDH|17101601044889896367</stp>
        <tr r="Y28" s="13"/>
      </tp>
      <tp t="e">
        <v>#N/A</v>
        <stp/>
        <stp>BDH|11381900114054980257</stp>
        <tr r="M144" s="18"/>
      </tp>
      <tp t="e">
        <v>#N/A</v>
        <stp/>
        <stp>BDH|15973879524431946188</stp>
        <tr r="E35" s="21"/>
      </tp>
      <tp t="e">
        <v>#N/A</v>
        <stp/>
        <stp>BDH|10065952816361133691</stp>
        <tr r="E16" s="21"/>
      </tp>
      <tp t="e">
        <v>#N/A</v>
        <stp/>
        <stp>BDH|13171319688651794644</stp>
        <tr r="J27" s="26"/>
      </tp>
      <tp t="e">
        <v>#N/A</v>
        <stp/>
        <stp>BDH|15110224436013855865</stp>
        <tr r="U80" s="34"/>
      </tp>
      <tp t="e">
        <v>#N/A</v>
        <stp/>
        <stp>BDH|15272857332766757797</stp>
        <tr r="D9" s="22"/>
      </tp>
      <tp t="e">
        <v>#N/A</v>
        <stp/>
        <stp>BDH|12501762529070674871</stp>
        <tr r="I18" s="5"/>
        <tr r="I37" s="6"/>
      </tp>
      <tp t="e">
        <v>#N/A</v>
        <stp/>
        <stp>BDH|12524167598861187411</stp>
        <tr r="T71" s="17"/>
      </tp>
      <tp t="e">
        <v>#N/A</v>
        <stp/>
        <stp>BDH|10322229259260055838</stp>
        <tr r="Z106" s="18"/>
      </tp>
      <tp t="e">
        <v>#N/A</v>
        <stp/>
        <stp>BDH|14709497831954348860</stp>
        <tr r="T11" s="14"/>
      </tp>
      <tp t="e">
        <v>#N/A</v>
        <stp/>
        <stp>BDH|11860930660497609678</stp>
        <tr r="N104" s="18"/>
      </tp>
      <tp t="e">
        <v>#N/A</v>
        <stp/>
        <stp>BDH|11269277415798373598</stp>
        <tr r="Q27" s="7"/>
      </tp>
      <tp t="e">
        <v>#N/A</v>
        <stp/>
        <stp>BDH|16885182488400169030</stp>
        <tr r="Y63" s="10"/>
      </tp>
      <tp t="e">
        <v>#N/A</v>
        <stp/>
        <stp>BDH|13803121787283426639</stp>
        <tr r="K10" s="10"/>
      </tp>
      <tp t="e">
        <v>#N/A</v>
        <stp/>
        <stp>BDH|14912737094870170556</stp>
        <tr r="M10" s="17"/>
      </tp>
      <tp t="e">
        <v>#N/A</v>
        <stp/>
        <stp>BDH|12198158248258786015</stp>
        <tr r="Y187" s="18"/>
      </tp>
      <tp t="e">
        <v>#N/A</v>
        <stp/>
        <stp>BDH|11825009860279533176</stp>
        <tr r="L7" s="34"/>
      </tp>
      <tp t="e">
        <v>#N/A</v>
        <stp/>
        <stp>BDH|18323979837698807511</stp>
        <tr r="R56" s="18"/>
      </tp>
      <tp t="e">
        <v>#N/A</v>
        <stp/>
        <stp>BDH|13783892346168675840</stp>
        <tr r="W61" s="21"/>
      </tp>
      <tp t="e">
        <v>#N/A</v>
        <stp/>
        <stp>BDH|14237396926499435331</stp>
        <tr r="N69" s="18"/>
      </tp>
      <tp t="e">
        <v>#N/A</v>
        <stp/>
        <stp>BDH|10276937394788778782</stp>
        <tr r="W37" s="12"/>
      </tp>
      <tp t="e">
        <v>#N/A</v>
        <stp/>
        <stp>BDH|12513965413330928534</stp>
        <tr r="S95" s="12"/>
      </tp>
      <tp t="e">
        <v>#N/A</v>
        <stp/>
        <stp>BDH|11011267784926193297</stp>
        <tr r="W30" s="6"/>
      </tp>
      <tp t="e">
        <v>#N/A</v>
        <stp/>
        <stp>BDH|14858884598923380910</stp>
        <tr r="AA26" s="17"/>
      </tp>
      <tp t="e">
        <v>#N/A</v>
        <stp/>
        <stp>BDH|12900619225078213158</stp>
        <tr r="AA31" s="22"/>
      </tp>
      <tp t="e">
        <v>#N/A</v>
        <stp/>
        <stp>BDH|13042998024136257158</stp>
        <tr r="Z9" s="13"/>
      </tp>
      <tp t="e">
        <v>#N/A</v>
        <stp/>
        <stp>BDH|17907581337526967852</stp>
        <tr r="Y23" s="24"/>
      </tp>
      <tp t="e">
        <v>#N/A</v>
        <stp/>
        <stp>BDH|12410971866203638191</stp>
        <tr r="N39" s="18"/>
      </tp>
      <tp t="e">
        <v>#N/A</v>
        <stp/>
        <stp>BDH|11280280406885568931</stp>
        <tr r="Q66" s="13"/>
      </tp>
      <tp t="e">
        <v>#N/A</v>
        <stp/>
        <stp>BDH|14036847781083824873</stp>
        <tr r="R148" s="18"/>
      </tp>
      <tp t="e">
        <v>#N/A</v>
        <stp/>
        <stp>BDH|16060214857398420686</stp>
        <tr r="Q33" s="12"/>
      </tp>
      <tp t="e">
        <v>#N/A</v>
        <stp/>
        <stp>BDH|18303940969931799935</stp>
        <tr r="U59" s="24"/>
      </tp>
      <tp t="e">
        <v>#N/A</v>
        <stp/>
        <stp>BDH|12067266884202810507</stp>
        <tr r="G171" s="18"/>
      </tp>
      <tp t="e">
        <v>#N/A</v>
        <stp/>
        <stp>BDH|10551421908368247377</stp>
        <tr r="P25" s="12"/>
      </tp>
      <tp t="e">
        <v>#N/A</v>
        <stp/>
        <stp>BDH|18000786177903235478</stp>
        <tr r="P9" s="34"/>
      </tp>
      <tp t="e">
        <v>#N/A</v>
        <stp/>
        <stp>BDH|17686950274873533587</stp>
        <tr r="AA46" s="18"/>
      </tp>
      <tp t="e">
        <v>#N/A</v>
        <stp/>
        <stp>BDH|15381854288218636256</stp>
        <tr r="D41" s="12"/>
      </tp>
      <tp t="e">
        <v>#N/A</v>
        <stp/>
        <stp>BDH|12055192815658595542</stp>
        <tr r="V21" s="11"/>
      </tp>
      <tp t="e">
        <v>#N/A</v>
        <stp/>
        <stp>BDH|17013450787947619393</stp>
        <tr r="W93" s="12"/>
      </tp>
      <tp t="e">
        <v>#N/A</v>
        <stp/>
        <stp>BDH|18422118248511704375</stp>
        <tr r="G63" s="12"/>
      </tp>
      <tp t="e">
        <v>#N/A</v>
        <stp/>
        <stp>BDH|12876602508253542889</stp>
        <tr r="G28" s="12"/>
      </tp>
      <tp t="e">
        <v>#N/A</v>
        <stp/>
        <stp>BDH|16684954448115536134</stp>
        <tr r="W92" s="24"/>
      </tp>
      <tp t="e">
        <v>#N/A</v>
        <stp/>
        <stp>BDH|17725796855682314859</stp>
        <tr r="D159" s="18"/>
      </tp>
      <tp t="e">
        <v>#N/A</v>
        <stp/>
        <stp>BDH|11827427063428298461</stp>
        <tr r="G24" s="10"/>
      </tp>
      <tp t="e">
        <v>#N/A</v>
        <stp/>
        <stp>BDH|14468176578029002469</stp>
        <tr r="Z84" s="18"/>
      </tp>
      <tp t="e">
        <v>#N/A</v>
        <stp/>
        <stp>BDH|10658882530937559362</stp>
        <tr r="J9" s="12"/>
      </tp>
      <tp t="e">
        <v>#N/A</v>
        <stp/>
        <stp>BDH|11579159261210910955</stp>
        <tr r="M185" s="18"/>
      </tp>
      <tp t="e">
        <v>#N/A</v>
        <stp/>
        <stp>BDH|14796476675698144092</stp>
        <tr r="O14" s="2"/>
        <tr r="O11" s="10"/>
      </tp>
      <tp t="e">
        <v>#N/A</v>
        <stp/>
        <stp>BDH|13826805944735643578</stp>
        <tr r="N23" s="30"/>
        <tr r="N25" s="23"/>
      </tp>
      <tp t="e">
        <v>#N/A</v>
        <stp/>
        <stp>BDH|11426390786830021564</stp>
        <tr r="X135" s="18"/>
      </tp>
      <tp t="e">
        <v>#N/A</v>
        <stp/>
        <stp>BDH|12563292839764952814</stp>
        <tr r="O38" s="18"/>
      </tp>
      <tp t="e">
        <v>#N/A</v>
        <stp/>
        <stp>BDH|17617515722108829705</stp>
        <tr r="G24" s="27"/>
      </tp>
      <tp t="e">
        <v>#N/A</v>
        <stp/>
        <stp>BDH|13807467896350000156</stp>
        <tr r="P30" s="29"/>
        <tr r="P8" s="29"/>
      </tp>
      <tp t="e">
        <v>#N/A</v>
        <stp/>
        <stp>BDH|16916119596914025531</stp>
        <tr r="R15" s="34"/>
      </tp>
      <tp t="e">
        <v>#N/A</v>
        <stp/>
        <stp>BDH|18112473452073122582</stp>
        <tr r="C8" s="25"/>
      </tp>
      <tp t="e">
        <v>#N/A</v>
        <stp/>
        <stp>BDH|11802911169408477993</stp>
        <tr r="J20" s="17"/>
      </tp>
      <tp t="e">
        <v>#N/A</v>
        <stp/>
        <stp>BDH|12350349258598180331</stp>
        <tr r="T75" s="34"/>
      </tp>
      <tp t="e">
        <v>#N/A</v>
        <stp/>
        <stp>BDH|17903815644313561747</stp>
        <tr r="K15" s="9"/>
      </tp>
      <tp t="e">
        <v>#N/A</v>
        <stp/>
        <stp>BDH|16316855133476034484</stp>
        <tr r="L48" s="21"/>
      </tp>
      <tp t="e">
        <v>#N/A</v>
        <stp/>
        <stp>BDH|12765361381442855451</stp>
        <tr r="N35" s="10"/>
        <tr r="N25" s="11"/>
      </tp>
      <tp t="e">
        <v>#N/A</v>
        <stp/>
        <stp>BDH|13939509947215197826</stp>
        <tr r="X90" s="12"/>
      </tp>
      <tp t="e">
        <v>#N/A</v>
        <stp/>
        <stp>BDH|15420322806741400891</stp>
        <tr r="I52" s="34"/>
      </tp>
      <tp t="e">
        <v>#N/A</v>
        <stp/>
        <stp>BDH|13470094400384802884</stp>
        <tr r="X24" s="21"/>
      </tp>
      <tp t="e">
        <v>#N/A</v>
        <stp/>
        <stp>BDH|16882368443187636966</stp>
        <tr r="V63" s="13"/>
      </tp>
      <tp t="e">
        <v>#N/A</v>
        <stp/>
        <stp>BDH|11313055045478715295</stp>
        <tr r="S8" s="27"/>
      </tp>
      <tp t="e">
        <v>#N/A</v>
        <stp/>
        <stp>BDH|16610599585137744309</stp>
        <tr r="H48" s="17"/>
      </tp>
      <tp t="e">
        <v>#N/A</v>
        <stp/>
        <stp>BDH|13401317460610830919</stp>
        <tr r="J34" s="24"/>
      </tp>
      <tp t="e">
        <v>#N/A</v>
        <stp/>
        <stp>BDH|10341695793802657237</stp>
        <tr r="O15" s="5"/>
      </tp>
      <tp t="e">
        <v>#N/A</v>
        <stp/>
        <stp>BDH|10969833436047675368</stp>
        <tr r="Q23" s="5"/>
        <tr r="Q23" s="9"/>
      </tp>
      <tp t="e">
        <v>#N/A</v>
        <stp/>
        <stp>BDH|16085394525570308833</stp>
        <tr r="Y88" s="24"/>
      </tp>
      <tp t="e">
        <v>#N/A</v>
        <stp/>
        <stp>BDH|12818830251646390654</stp>
        <tr r="AA19" s="20"/>
      </tp>
      <tp t="e">
        <v>#N/A</v>
        <stp/>
        <stp>BDH|13535371144159205289</stp>
        <tr r="R30" s="25"/>
        <tr r="R16" s="27"/>
      </tp>
      <tp t="e">
        <v>#N/A</v>
        <stp/>
        <stp>BDH|11336215400915608987</stp>
        <tr r="AA32" s="22"/>
      </tp>
      <tp t="e">
        <v>#N/A</v>
        <stp/>
        <stp>BDH|12370383697381297621</stp>
        <tr r="Y41" s="22"/>
      </tp>
      <tp t="e">
        <v>#N/A</v>
        <stp/>
        <stp>BDH|17767773538938202463</stp>
        <tr r="J77" s="12"/>
      </tp>
      <tp t="e">
        <v>#N/A</v>
        <stp/>
        <stp>BDH|16147716394826059181</stp>
        <tr r="I34" s="21"/>
      </tp>
      <tp t="e">
        <v>#N/A</v>
        <stp/>
        <stp>BDH|12629818889815098825</stp>
        <tr r="D184" s="18"/>
      </tp>
      <tp t="e">
        <v>#N/A</v>
        <stp/>
        <stp>BDH|17452079372517807857</stp>
        <tr r="J8" s="23"/>
      </tp>
      <tp t="e">
        <v>#N/A</v>
        <stp/>
        <stp>BDH|14827121178898879562</stp>
        <tr r="M35" s="34"/>
      </tp>
      <tp t="e">
        <v>#N/A</v>
        <stp/>
        <stp>BDH|10843868375185333542</stp>
        <tr r="F102" s="18"/>
      </tp>
      <tp t="e">
        <v>#N/A</v>
        <stp/>
        <stp>BDH|16295151993967190694</stp>
        <tr r="J117" s="18"/>
      </tp>
      <tp t="e">
        <v>#N/A</v>
        <stp/>
        <stp>BDH|15011849212326802528</stp>
        <tr r="AA11" s="14"/>
      </tp>
      <tp t="e">
        <v>#N/A</v>
        <stp/>
        <stp>BDH|15989703844480471959</stp>
        <tr r="G11" s="14"/>
      </tp>
      <tp t="e">
        <v>#N/A</v>
        <stp/>
        <stp>BDH|10079336096725826014</stp>
        <tr r="F23" s="25"/>
        <tr r="D20" s="11"/>
      </tp>
      <tp t="e">
        <v>#N/A</v>
        <stp/>
        <stp>BDH|16000997660036762021</stp>
        <tr r="I185" s="18"/>
      </tp>
      <tp t="e">
        <v>#N/A</v>
        <stp/>
        <stp>BDH|14938714797005317001</stp>
        <tr r="N145" s="18"/>
      </tp>
      <tp t="e">
        <v>#N/A</v>
        <stp/>
        <stp>BDH|16446856471083411584</stp>
        <tr r="V51" s="18"/>
      </tp>
      <tp t="e">
        <v>#N/A</v>
        <stp/>
        <stp>BDH|15702066798530101344</stp>
        <tr r="U39" s="4"/>
        <tr r="U66" s="10"/>
      </tp>
      <tp t="e">
        <v>#N/A</v>
        <stp/>
        <stp>BDH|11182699296930472168</stp>
        <tr r="G28" s="13"/>
      </tp>
      <tp t="e">
        <v>#N/A</v>
        <stp/>
        <stp>BDH|16198743883434203289</stp>
        <tr r="X8" s="26"/>
        <tr r="U10" s="9"/>
      </tp>
      <tp t="e">
        <v>#N/A</v>
        <stp/>
        <stp>BDH|14245092910822700808</stp>
        <tr r="P6" s="27"/>
      </tp>
      <tp t="e">
        <v>#N/A</v>
        <stp/>
        <stp>BDH|13374597826228334337</stp>
        <tr r="M19" s="26"/>
      </tp>
      <tp t="e">
        <v>#N/A</v>
        <stp/>
        <stp>BDH|15048494551623455805</stp>
        <tr r="T17" s="12"/>
      </tp>
      <tp t="e">
        <v>#N/A</v>
        <stp/>
        <stp>BDH|17160475822659978717</stp>
        <tr r="J13" s="17"/>
        <tr r="J16" s="28"/>
      </tp>
      <tp t="e">
        <v>#N/A</v>
        <stp/>
        <stp>BDH|15768777719768449417</stp>
        <tr r="U34" s="14"/>
      </tp>
      <tp t="e">
        <v>#N/A</v>
        <stp/>
        <stp>BDH|16115283330758421012</stp>
        <tr r="G28" s="17"/>
      </tp>
      <tp t="e">
        <v>#N/A</v>
        <stp/>
        <stp>BDH|17968777563310311927</stp>
        <tr r="V186" s="18"/>
      </tp>
      <tp t="e">
        <v>#N/A</v>
        <stp/>
        <stp>BDH|15560190224380276966</stp>
        <tr r="I202" s="18"/>
      </tp>
      <tp t="e">
        <v>#N/A</v>
        <stp/>
        <stp>BDH|15209066995333842055</stp>
        <tr r="K52" s="34"/>
      </tp>
      <tp t="e">
        <v>#N/A</v>
        <stp/>
        <stp>BDH|17052987016626702650</stp>
        <tr r="O24" s="5"/>
      </tp>
      <tp t="e">
        <v>#N/A</v>
        <stp/>
        <stp>BDH|14447478009468154746</stp>
        <tr r="F21" s="4"/>
      </tp>
      <tp t="e">
        <v>#N/A</v>
        <stp/>
        <stp>BDH|14172194499011906278</stp>
        <tr r="N24" s="24"/>
      </tp>
      <tp t="e">
        <v>#N/A</v>
        <stp/>
        <stp>BDH|12914705244568730659</stp>
        <tr r="M36" s="34"/>
      </tp>
      <tp t="e">
        <v>#N/A</v>
        <stp/>
        <stp>BDH|12501490983842662364</stp>
        <tr r="P18" s="21"/>
      </tp>
      <tp t="e">
        <v>#N/A</v>
        <stp/>
        <stp>BDH|12420572592859659887</stp>
        <tr r="T56" s="18"/>
      </tp>
      <tp t="e">
        <v>#N/A</v>
        <stp/>
        <stp>BDH|10768392552948041130</stp>
        <tr r="N84" s="17"/>
      </tp>
      <tp t="e">
        <v>#N/A</v>
        <stp/>
        <stp>BDH|17200590538458597694</stp>
        <tr r="K159" s="18"/>
      </tp>
      <tp t="e">
        <v>#N/A</v>
        <stp/>
        <stp>BDH|10001621639159210369</stp>
        <tr r="AA90" s="18"/>
      </tp>
      <tp t="e">
        <v>#N/A</v>
        <stp/>
        <stp>BDH|10201352099685620079</stp>
        <tr r="J87" s="24"/>
      </tp>
      <tp t="e">
        <v>#N/A</v>
        <stp/>
        <stp>BDH|16980602905869489675</stp>
        <tr r="Z47" s="17"/>
      </tp>
      <tp t="e">
        <v>#N/A</v>
        <stp/>
        <stp>BDH|18281269348236445779</stp>
        <tr r="G92" s="24"/>
      </tp>
      <tp t="e">
        <v>#N/A</v>
        <stp/>
        <stp>BDH|10928226076348236209</stp>
        <tr r="H22" s="20"/>
      </tp>
      <tp t="e">
        <v>#N/A</v>
        <stp/>
        <stp>BDH|18029507698688272359</stp>
        <tr r="C38" s="21"/>
        <tr r="C24" s="3"/>
      </tp>
      <tp t="e">
        <v>#N/A</v>
        <stp/>
        <stp>BDH|14771369658669106475</stp>
        <tr r="T77" s="12"/>
      </tp>
      <tp t="e">
        <v>#N/A</v>
        <stp/>
        <stp>BDH|16430538390471142497</stp>
        <tr r="AA12" s="14"/>
      </tp>
      <tp t="e">
        <v>#N/A</v>
        <stp/>
        <stp>BDH|13211011479202271976</stp>
        <tr r="AA62" s="18"/>
      </tp>
      <tp t="e">
        <v>#N/A</v>
        <stp/>
        <stp>BDH|14154664378538440243</stp>
        <tr r="W41" s="10"/>
        <tr r="W31" s="11"/>
      </tp>
      <tp t="e">
        <v>#N/A</v>
        <stp/>
        <stp>BDH|14744691497621332553</stp>
        <tr r="R67" s="18"/>
      </tp>
      <tp t="e">
        <v>#N/A</v>
        <stp/>
        <stp>BDH|13752401190564006582</stp>
        <tr r="Y180" s="18"/>
      </tp>
      <tp t="e">
        <v>#N/A</v>
        <stp/>
        <stp>BDH|10563396651120139930</stp>
        <tr r="T90" s="12"/>
      </tp>
      <tp t="e">
        <v>#N/A</v>
        <stp/>
        <stp>BDH|11608251430777400884</stp>
        <tr r="U15" s="34"/>
      </tp>
      <tp t="e">
        <v>#N/A</v>
        <stp/>
        <stp>BDH|12810553381525629554</stp>
        <tr r="H132" s="18"/>
      </tp>
      <tp t="e">
        <v>#N/A</v>
        <stp/>
        <stp>BDH|16817958152284588152</stp>
        <tr r="I73" s="17"/>
      </tp>
      <tp t="e">
        <v>#N/A</v>
        <stp/>
        <stp>BDH|14079202496524012491</stp>
        <tr r="W30" s="29"/>
        <tr r="W8" s="29"/>
      </tp>
      <tp t="e">
        <v>#N/A</v>
        <stp/>
        <stp>BDH|16030997923564675636</stp>
        <tr r="L7" s="30"/>
      </tp>
      <tp t="e">
        <v>#N/A</v>
        <stp/>
        <stp>BDH|17034849505326613688</stp>
        <tr r="AA88" s="17"/>
      </tp>
      <tp t="e">
        <v>#N/A</v>
        <stp/>
        <stp>BDH|10861429631309254169</stp>
        <tr r="D84" s="24"/>
      </tp>
      <tp t="e">
        <v>#N/A</v>
        <stp/>
        <stp>BDH|13810217568378858067</stp>
        <tr r="O6" s="15"/>
        <tr r="O12" s="2"/>
        <tr r="O11" s="4"/>
        <tr r="O6" s="10"/>
      </tp>
      <tp t="e">
        <v>#N/A</v>
        <stp/>
        <stp>BDH|13917287074641265881</stp>
        <tr r="N35" s="22"/>
      </tp>
      <tp t="e">
        <v>#N/A</v>
        <stp/>
        <stp>BDH|11389439356387173882</stp>
        <tr r="W43" s="18"/>
      </tp>
      <tp t="e">
        <v>#N/A</v>
        <stp/>
        <stp>BDH|16223430476203172991</stp>
        <tr r="X52" s="4"/>
        <tr r="Z8" s="3"/>
        <tr r="X44" s="10"/>
        <tr r="X34" s="11"/>
        <tr r="Z45" s="13"/>
      </tp>
      <tp t="e">
        <v>#N/A</v>
        <stp/>
        <stp>BDH|12411873935587191188</stp>
        <tr r="R17" s="29"/>
        <tr r="R40" s="29"/>
      </tp>
      <tp t="e">
        <v>#N/A</v>
        <stp/>
        <stp>BDH|13112182922189175650</stp>
        <tr r="C16" s="23"/>
      </tp>
      <tp t="e">
        <v>#N/A</v>
        <stp/>
        <stp>BDH|15420880906625248775</stp>
        <tr r="O25" s="22"/>
      </tp>
      <tp t="e">
        <v>#N/A</v>
        <stp/>
        <stp>BDH|17584095736458382365</stp>
        <tr r="W90" s="18"/>
      </tp>
      <tp t="e">
        <v>#N/A</v>
        <stp/>
        <stp>BDH|13270387217029240700</stp>
        <tr r="Z102" s="12"/>
      </tp>
      <tp t="e">
        <v>#N/A</v>
        <stp/>
        <stp>BDH|13635878804250865434</stp>
        <tr r="S209" s="18"/>
      </tp>
      <tp t="e">
        <v>#N/A</v>
        <stp/>
        <stp>BDH|11735378728896514939</stp>
        <tr r="Z42" s="17"/>
      </tp>
      <tp t="e">
        <v>#N/A</v>
        <stp/>
        <stp>BDH|11854820802694616209</stp>
        <tr r="P23" s="6"/>
      </tp>
      <tp t="e">
        <v>#N/A</v>
        <stp/>
        <stp>BDH|16870431346901340800</stp>
        <tr r="G49" s="18"/>
      </tp>
      <tp t="e">
        <v>#N/A</v>
        <stp/>
        <stp>BDH|14363558395065534286</stp>
        <tr r="M15" s="17"/>
        <tr r="M18" s="28"/>
      </tp>
      <tp t="e">
        <v>#N/A</v>
        <stp/>
        <stp>BDH|15170338858718445406</stp>
        <tr r="W62" s="34"/>
      </tp>
      <tp t="e">
        <v>#N/A</v>
        <stp/>
        <stp>BDH|17485234632100206997</stp>
        <tr r="W25" s="4"/>
        <tr r="W65" s="10"/>
      </tp>
      <tp t="e">
        <v>#N/A</v>
        <stp/>
        <stp>BDH|10331459221779800017</stp>
        <tr r="D33" s="12"/>
      </tp>
      <tp t="e">
        <v>#N/A</v>
        <stp/>
        <stp>BDH|13167612818519418228</stp>
        <tr r="I43" s="21"/>
      </tp>
      <tp t="e">
        <v>#N/A</v>
        <stp/>
        <stp>BDH|13092757880867317488</stp>
        <tr r="H12" s="6"/>
      </tp>
      <tp t="e">
        <v>#N/A</v>
        <stp/>
        <stp>BDH|17191240482376854410</stp>
        <tr r="W24" s="29"/>
      </tp>
      <tp t="e">
        <v>#N/A</v>
        <stp/>
        <stp>BDH|17593113300589801021</stp>
        <tr r="K29" s="14"/>
      </tp>
      <tp t="e">
        <v>#N/A</v>
        <stp/>
        <stp>BDH|18392863029084703954</stp>
        <tr r="L92" s="12"/>
      </tp>
      <tp t="e">
        <v>#N/A</v>
        <stp/>
        <stp>BDH|13872885484944864823</stp>
        <tr r="P8" s="23"/>
      </tp>
      <tp t="e">
        <v>#N/A</v>
        <stp/>
        <stp>BDH|15890823327569536962</stp>
        <tr r="P48" s="6"/>
        <tr r="R9" s="8"/>
      </tp>
      <tp t="e">
        <v>#N/A</v>
        <stp/>
        <stp>BDH|12539309794624684399</stp>
        <tr r="Q16" s="24"/>
      </tp>
      <tp t="e">
        <v>#N/A</v>
        <stp/>
        <stp>BDH|12180397352243570817</stp>
        <tr r="M44" s="24"/>
      </tp>
      <tp t="e">
        <v>#N/A</v>
        <stp/>
        <stp>BDH|17434300973125196987</stp>
        <tr r="I13" s="6"/>
      </tp>
      <tp t="e">
        <v>#N/A</v>
        <stp/>
        <stp>BDH|11858355063019983294</stp>
        <tr r="W85" s="18"/>
      </tp>
      <tp t="e">
        <v>#N/A</v>
        <stp/>
        <stp>BDH|12108540892234199587</stp>
        <tr r="C8" s="26"/>
      </tp>
      <tp t="e">
        <v>#N/A</v>
        <stp/>
        <stp>BDH|10189293854841468966</stp>
        <tr r="J182" s="18"/>
      </tp>
      <tp t="e">
        <v>#N/A</v>
        <stp/>
        <stp>BDH|10264207695273938703</stp>
        <tr r="O32" s="10"/>
        <tr r="Q41" s="13"/>
      </tp>
      <tp t="e">
        <v>#N/A</v>
        <stp/>
        <stp>BDH|17825051772337379824</stp>
        <tr r="J18" s="9"/>
      </tp>
      <tp t="e">
        <v>#N/A</v>
        <stp/>
        <stp>BDH|14970548648823812935</stp>
        <tr r="I81" s="18"/>
      </tp>
      <tp t="e">
        <v>#N/A</v>
        <stp/>
        <stp>BDH|13008046832638850706</stp>
        <tr r="N14" s="11"/>
      </tp>
      <tp t="e">
        <v>#N/A</v>
        <stp/>
        <stp>BDH|12072025639887701928</stp>
        <tr r="N57" s="17"/>
      </tp>
      <tp t="e">
        <v>#N/A</v>
        <stp/>
        <stp>BDH|10694490086896785508</stp>
        <tr r="X28" s="12"/>
      </tp>
      <tp t="e">
        <v>#N/A</v>
        <stp/>
        <stp>BDH|15776979449802768501</stp>
        <tr r="Y28" s="17"/>
      </tp>
      <tp t="e">
        <v>#N/A</v>
        <stp/>
        <stp>BDH|16546629020918143581</stp>
        <tr r="N10" s="17"/>
      </tp>
      <tp t="e">
        <v>#N/A</v>
        <stp/>
        <stp>BDH|17187053101598968029</stp>
        <tr r="U12" s="21"/>
      </tp>
      <tp t="e">
        <v>#N/A</v>
        <stp/>
        <stp>BDH|12310986907486550277</stp>
        <tr r="J140" s="18"/>
      </tp>
      <tp t="e">
        <v>#N/A</v>
        <stp/>
        <stp>BDH|10337483495762465041</stp>
        <tr r="L37" s="17"/>
      </tp>
      <tp t="e">
        <v>#N/A</v>
        <stp/>
        <stp>BDH|13963773455726345866</stp>
        <tr r="F86" s="18"/>
      </tp>
      <tp t="e">
        <v>#N/A</v>
        <stp/>
        <stp>BDH|13672786936101158975</stp>
        <tr r="M95" s="17"/>
      </tp>
      <tp t="e">
        <v>#N/A</v>
        <stp/>
        <stp>BDH|16327085660257622830</stp>
        <tr r="K30" s="26"/>
      </tp>
      <tp t="e">
        <v>#N/A</v>
        <stp/>
        <stp>BDH|10732126114877835879</stp>
        <tr r="Y37" s="21"/>
      </tp>
      <tp t="e">
        <v>#N/A</v>
        <stp/>
        <stp>BDH|12791128549679042124</stp>
        <tr r="L70" s="17"/>
      </tp>
      <tp t="e">
        <v>#N/A</v>
        <stp/>
        <stp>BDH|16461812492310947804</stp>
        <tr r="U20" s="18"/>
      </tp>
      <tp t="e">
        <v>#N/A</v>
        <stp/>
        <stp>BDH|15149853732996103798</stp>
        <tr r="D14" s="34"/>
      </tp>
      <tp t="e">
        <v>#N/A</v>
        <stp/>
        <stp>BDH|15361086454928691776</stp>
        <tr r="H17" s="4"/>
        <tr r="J10" s="3"/>
        <tr r="H56" s="10"/>
        <tr r="H46" s="11"/>
        <tr r="H17" s="7"/>
        <tr r="J61" s="13"/>
      </tp>
      <tp t="e">
        <v>#N/A</v>
        <stp/>
        <stp>BDH|11853951766950291172</stp>
        <tr r="W25" s="6"/>
      </tp>
      <tp t="e">
        <v>#N/A</v>
        <stp/>
        <stp>BDH|14071972008080975287</stp>
        <tr r="V18" s="18"/>
      </tp>
      <tp t="e">
        <v>#N/A</v>
        <stp/>
        <stp>BDH|15750634089322264611</stp>
        <tr r="G91" s="18"/>
      </tp>
      <tp t="e">
        <v>#N/A</v>
        <stp/>
        <stp>BDH|14665725251230234997</stp>
        <tr r="W41" s="21"/>
      </tp>
      <tp t="e">
        <v>#N/A</v>
        <stp/>
        <stp>BDH|10769054956350199943</stp>
        <tr r="G24" s="18"/>
      </tp>
      <tp t="e">
        <v>#N/A</v>
        <stp/>
        <stp>BDH|15284989387329909159</stp>
        <tr r="O21" s="2"/>
      </tp>
      <tp t="e">
        <v>#N/A</v>
        <stp/>
        <stp>BDH|17710861264001299462</stp>
        <tr r="S49" s="17"/>
      </tp>
      <tp t="e">
        <v>#N/A</v>
        <stp/>
        <stp>BDH|12677709860448660716</stp>
        <tr r="M9" s="6"/>
      </tp>
      <tp t="e">
        <v>#N/A</v>
        <stp/>
        <stp>BDH|15636728504246332823</stp>
        <tr r="K10" s="13"/>
      </tp>
      <tp t="e">
        <v>#N/A</v>
        <stp/>
        <stp>BDH|13695992553061958246</stp>
        <tr r="K120" s="18"/>
        <tr r="K8" s="20"/>
      </tp>
      <tp t="e">
        <v>#N/A</v>
        <stp/>
        <stp>BDH|14585838903467531718</stp>
        <tr r="E211" s="18"/>
      </tp>
      <tp t="e">
        <v>#N/A</v>
        <stp/>
        <stp>BDH|17475949900460472250</stp>
        <tr r="R57" s="12"/>
      </tp>
      <tp t="e">
        <v>#N/A</v>
        <stp/>
        <stp>BDH|12872552559968001651</stp>
        <tr r="D31" s="9"/>
      </tp>
      <tp t="e">
        <v>#N/A</v>
        <stp/>
        <stp>BDH|12288457181437078571</stp>
        <tr r="F80" s="24"/>
      </tp>
      <tp t="e">
        <v>#N/A</v>
        <stp/>
        <stp>BDH|17862786859949160093</stp>
        <tr r="I45" s="24"/>
      </tp>
      <tp t="e">
        <v>#N/A</v>
        <stp/>
        <stp>BDH|17471387844225965907</stp>
        <tr r="V25" s="27"/>
      </tp>
      <tp t="e">
        <v>#N/A</v>
        <stp/>
        <stp>BDH|10549553751628845486</stp>
        <tr r="D34" s="21"/>
      </tp>
      <tp t="e">
        <v>#N/A</v>
        <stp/>
        <stp>BDH|11962864971437863573</stp>
        <tr r="AA24" s="12"/>
      </tp>
      <tp t="e">
        <v>#N/A</v>
        <stp/>
        <stp>BDH|13742066256608515236</stp>
        <tr r="R155" s="18"/>
      </tp>
      <tp t="e">
        <v>#N/A</v>
        <stp/>
        <stp>BDH|10269943927531342637</stp>
        <tr r="G68" s="24"/>
      </tp>
      <tp t="e">
        <v>#N/A</v>
        <stp/>
        <stp>BDH|11048221001507258806</stp>
        <tr r="N37" s="22"/>
      </tp>
      <tp t="e">
        <v>#N/A</v>
        <stp/>
        <stp>BDH|16430569407156609929</stp>
        <tr r="I8" s="4"/>
      </tp>
      <tp t="e">
        <v>#N/A</v>
        <stp/>
        <stp>BDH|11999035415999951571</stp>
        <tr r="E22" s="6"/>
      </tp>
      <tp t="e">
        <v>#N/A</v>
        <stp/>
        <stp>BDH|13855469138261276958</stp>
        <tr r="X23" s="25"/>
        <tr r="V20" s="11"/>
      </tp>
      <tp t="e">
        <v>#N/A</v>
        <stp/>
        <stp>BDH|18046620043074766273</stp>
        <tr r="L55" s="24"/>
      </tp>
      <tp t="e">
        <v>#N/A</v>
        <stp/>
        <stp>BDH|13502713504880999883</stp>
        <tr r="AA6" s="19"/>
        <tr r="AA34" s="17"/>
        <tr r="AA16" s="3"/>
      </tp>
      <tp t="e">
        <v>#N/A</v>
        <stp/>
        <stp>BDH|12295458643766505807</stp>
        <tr r="P58" s="17"/>
      </tp>
      <tp t="e">
        <v>#N/A</v>
        <stp/>
        <stp>BDH|10958892910374945180</stp>
        <tr r="S15" s="4"/>
      </tp>
      <tp t="e">
        <v>#N/A</v>
        <stp/>
        <stp>BDH|13132502950708931792</stp>
        <tr r="R70" s="17"/>
      </tp>
      <tp t="e">
        <v>#N/A</v>
        <stp/>
        <stp>BDH|16141776757650902893</stp>
        <tr r="G45" s="22"/>
      </tp>
      <tp t="e">
        <v>#N/A</v>
        <stp/>
        <stp>BDH|15237178595943200234</stp>
        <tr r="F47" s="12"/>
      </tp>
      <tp t="e">
        <v>#N/A</v>
        <stp/>
        <stp>BDH|15795641335215444938</stp>
        <tr r="D18" s="12"/>
      </tp>
      <tp t="e">
        <v>#N/A</v>
        <stp/>
        <stp>BDH|16807620879488304312</stp>
        <tr r="W36" s="34"/>
      </tp>
      <tp t="e">
        <v>#N/A</v>
        <stp/>
        <stp>BDH|15130284997956805465</stp>
        <tr r="M81" s="24"/>
      </tp>
      <tp t="e">
        <v>#N/A</v>
        <stp/>
        <stp>BDH|10841809050574016582</stp>
        <tr r="D7" s="24"/>
      </tp>
      <tp t="e">
        <v>#N/A</v>
        <stp/>
        <stp>BDH|16184915050073503556</stp>
        <tr r="N14" s="8"/>
      </tp>
      <tp t="e">
        <v>#N/A</v>
        <stp/>
        <stp>BDH|16414826626690828088</stp>
        <tr r="K30" s="24"/>
      </tp>
      <tp t="e">
        <v>#N/A</v>
        <stp/>
        <stp>BDH|17096252974628460651</stp>
        <tr r="N52" s="24"/>
      </tp>
      <tp t="e">
        <v>#N/A</v>
        <stp/>
        <stp>BDH|14876696666169527128</stp>
        <tr r="P42" s="22"/>
      </tp>
      <tp t="e">
        <v>#N/A</v>
        <stp/>
        <stp>BDH|12650861323855040131</stp>
        <tr r="D52" s="12"/>
      </tp>
      <tp t="e">
        <v>#N/A</v>
        <stp/>
        <stp>BDH|16488406986247103135</stp>
        <tr r="Q57" s="17"/>
      </tp>
      <tp t="e">
        <v>#N/A</v>
        <stp/>
        <stp>BDH|16266461456043690841</stp>
        <tr r="S75" s="34"/>
      </tp>
      <tp t="e">
        <v>#N/A</v>
        <stp/>
        <stp>BDH|15780493808315424824</stp>
        <tr r="J12" s="14"/>
      </tp>
      <tp t="e">
        <v>#N/A</v>
        <stp/>
        <stp>BDH|17240347883767739729</stp>
        <tr r="V151" s="18"/>
      </tp>
      <tp t="e">
        <v>#N/A</v>
        <stp/>
        <stp>BDH|13637380992004990157</stp>
        <tr r="I25" s="25"/>
        <tr r="I10" s="27"/>
      </tp>
      <tp t="e">
        <v>#N/A</v>
        <stp/>
        <stp>BDH|13364136607276166869</stp>
        <tr r="L129" s="18"/>
      </tp>
      <tp t="e">
        <v>#N/A</v>
        <stp/>
        <stp>BDH|18224617915212333158</stp>
        <tr r="H14" s="29"/>
        <tr r="H23" s="29"/>
        <tr r="H37" s="29"/>
      </tp>
      <tp t="e">
        <v>#N/A</v>
        <stp/>
        <stp>BDH|17701576514836456907</stp>
        <tr r="T26" s="21"/>
      </tp>
      <tp t="e">
        <v>#N/A</v>
        <stp/>
        <stp>BDH|12178274703604040852</stp>
        <tr r="D211" s="18"/>
      </tp>
      <tp t="e">
        <v>#N/A</v>
        <stp/>
        <stp>BDH|16842563295280330685</stp>
        <tr r="F74" s="34"/>
      </tp>
      <tp t="e">
        <v>#N/A</v>
        <stp/>
        <stp>BDH|16242423187241353742</stp>
        <tr r="K12" s="10"/>
      </tp>
      <tp t="e">
        <v>#N/A</v>
        <stp/>
        <stp>BDH|15711520056071367805</stp>
        <tr r="T118" s="18"/>
        <tr r="T6" s="20"/>
      </tp>
      <tp t="e">
        <v>#N/A</v>
        <stp/>
        <stp>BDH|13800345565378050291</stp>
        <tr r="T97" s="12"/>
      </tp>
      <tp t="e">
        <v>#N/A</v>
        <stp/>
        <stp>BDH|10029718170755646978</stp>
        <tr r="AA49" s="13"/>
      </tp>
      <tp t="e">
        <v>#N/A</v>
        <stp/>
        <stp>BDH|17255032587464501732</stp>
        <tr r="L20" s="5"/>
      </tp>
      <tp t="e">
        <v>#N/A</v>
        <stp/>
        <stp>BDH|12413187743309937267</stp>
        <tr r="O21" s="34"/>
      </tp>
      <tp t="e">
        <v>#N/A</v>
        <stp/>
        <stp>BDH|13084310153988594178</stp>
        <tr r="P92" s="18"/>
      </tp>
      <tp t="e">
        <v>#N/A</v>
        <stp/>
        <stp>BDH|18191261377737683667</stp>
        <tr r="P61" s="12"/>
      </tp>
      <tp t="e">
        <v>#N/A</v>
        <stp/>
        <stp>BDH|10324702574145149960</stp>
        <tr r="K18" s="12"/>
      </tp>
      <tp t="e">
        <v>#N/A</v>
        <stp/>
        <stp>BDH|11181700892656422579</stp>
        <tr r="Q13" s="9"/>
      </tp>
      <tp t="e">
        <v>#N/A</v>
        <stp/>
        <stp>BDH|11614869754632331278</stp>
        <tr r="H41" s="12"/>
      </tp>
      <tp t="e">
        <v>#N/A</v>
        <stp/>
        <stp>BDH|12299823744597384572</stp>
        <tr r="U41" s="18"/>
      </tp>
      <tp t="e">
        <v>#N/A</v>
        <stp/>
        <stp>BDH|16347721905045451804</stp>
        <tr r="V43" s="18"/>
      </tp>
      <tp t="e">
        <v>#N/A</v>
        <stp/>
        <stp>BDH|15231669450983729935</stp>
        <tr r="H57" s="12"/>
      </tp>
      <tp t="e">
        <v>#N/A</v>
        <stp/>
        <stp>BDH|18179693943120394688</stp>
        <tr r="M16" s="34"/>
      </tp>
      <tp t="e">
        <v>#N/A</v>
        <stp/>
        <stp>BDH|16580028114663256817</stp>
        <tr r="Q23" s="18"/>
      </tp>
      <tp t="e">
        <v>#N/A</v>
        <stp/>
        <stp>BDH|14590617220125032948</stp>
        <tr r="J156" s="18"/>
      </tp>
      <tp t="e">
        <v>#N/A</v>
        <stp/>
        <stp>BDH|10030116071988072230</stp>
        <tr r="AA7" s="23"/>
      </tp>
      <tp t="e">
        <v>#N/A</v>
        <stp/>
        <stp>BDH|18106788537522812257</stp>
        <tr r="R72" s="24"/>
      </tp>
      <tp t="e">
        <v>#N/A</v>
        <stp/>
        <stp>BDH|12099067799823550499</stp>
        <tr r="W25" s="34"/>
      </tp>
      <tp t="e">
        <v>#N/A</v>
        <stp/>
        <stp>BDH|13488387348461028973</stp>
        <tr r="AA45" s="21"/>
      </tp>
      <tp t="e">
        <v>#N/A</v>
        <stp/>
        <stp>BDH|13897730881538129884</stp>
        <tr r="J26" s="13"/>
      </tp>
      <tp t="e">
        <v>#N/A</v>
        <stp/>
        <stp>BDH|17232131205702466839</stp>
        <tr r="L91" s="18"/>
      </tp>
      <tp t="e">
        <v>#N/A</v>
        <stp/>
        <stp>BDH|14299788664991557884</stp>
        <tr r="P73" s="13"/>
      </tp>
      <tp t="e">
        <v>#N/A</v>
        <stp/>
        <stp>BDH|15797556300634915881</stp>
        <tr r="H143" s="18"/>
      </tp>
      <tp t="e">
        <v>#N/A</v>
        <stp/>
        <stp>BDH|15706906262583320559</stp>
        <tr r="K112" s="18"/>
      </tp>
      <tp t="e">
        <v>#N/A</v>
        <stp/>
        <stp>BDH|10603601881274194652</stp>
        <tr r="AA58" s="12"/>
      </tp>
      <tp t="e">
        <v>#N/A</v>
        <stp/>
        <stp>BDH|10527232340662291877</stp>
        <tr r="N189" s="18"/>
      </tp>
      <tp t="e">
        <v>#N/A</v>
        <stp/>
        <stp>BDH|10776527322963531812</stp>
        <tr r="D68" s="12"/>
      </tp>
      <tp t="e">
        <v>#N/A</v>
        <stp/>
        <stp>BDH|14416319080481556236</stp>
        <tr r="S10" s="34"/>
      </tp>
      <tp t="e">
        <v>#N/A</v>
        <stp/>
        <stp>BDH|18011534679110981603</stp>
        <tr r="X18" s="5"/>
        <tr r="X37" s="6"/>
      </tp>
      <tp t="e">
        <v>#N/A</v>
        <stp/>
        <stp>BDH|17390987453571862632</stp>
        <tr r="Z33" s="17"/>
      </tp>
      <tp t="e">
        <v>#N/A</v>
        <stp/>
        <stp>BDH|16816260114871133884</stp>
        <tr r="W21" s="10"/>
      </tp>
      <tp t="e">
        <v>#N/A</v>
        <stp/>
        <stp>BDH|12096909958745239799</stp>
        <tr r="J20" s="24"/>
      </tp>
      <tp t="e">
        <v>#N/A</v>
        <stp/>
        <stp>BDH|12389547121370783928</stp>
        <tr r="J50" s="21"/>
      </tp>
      <tp t="e">
        <v>#N/A</v>
        <stp/>
        <stp>BDH|13627952793537306809</stp>
        <tr r="X74" s="18"/>
      </tp>
      <tp t="e">
        <v>#N/A</v>
        <stp/>
        <stp>BDH|13645224751858114075</stp>
        <tr r="N144" s="18"/>
      </tp>
      <tp t="e">
        <v>#N/A</v>
        <stp/>
        <stp>BDH|17128718073698533353</stp>
        <tr r="H83" s="18"/>
      </tp>
      <tp t="e">
        <v>#N/A</v>
        <stp/>
        <stp>BDH|14059791399531031731</stp>
        <tr r="F63" s="17"/>
      </tp>
      <tp t="e">
        <v>#N/A</v>
        <stp/>
        <stp>BDH|18035934274143208965</stp>
        <tr r="M73" s="17"/>
      </tp>
      <tp t="e">
        <v>#N/A</v>
        <stp/>
        <stp>BDH|17694157786064084665</stp>
        <tr r="M15" s="26"/>
      </tp>
      <tp t="e">
        <v>#N/A</v>
        <stp/>
        <stp>BDH|10539737485845875689</stp>
        <tr r="E127" s="18"/>
      </tp>
      <tp t="e">
        <v>#N/A</v>
        <stp/>
        <stp>BDH|14201102131233566956</stp>
        <tr r="J25" s="25"/>
        <tr r="J10" s="27"/>
      </tp>
      <tp t="e">
        <v>#N/A</v>
        <stp/>
        <stp>BDH|13710160367839216178</stp>
        <tr r="AA72" s="12"/>
      </tp>
      <tp t="e">
        <v>#N/A</v>
        <stp/>
        <stp>BDH|13739246746019369053</stp>
        <tr r="Q65" s="24"/>
      </tp>
      <tp t="e">
        <v>#N/A</v>
        <stp/>
        <stp>BDH|10592295064021391985</stp>
        <tr r="W63" s="13"/>
      </tp>
      <tp t="e">
        <v>#N/A</v>
        <stp/>
        <stp>BDH|18150222576307438621</stp>
        <tr r="R92" s="24"/>
      </tp>
      <tp t="e">
        <v>#N/A</v>
        <stp/>
        <stp>BDH|15311431353830089806</stp>
        <tr r="R75" s="17"/>
      </tp>
      <tp t="e">
        <v>#N/A</v>
        <stp/>
        <stp>BDH|15490072446685039868</stp>
        <tr r="R192" s="18"/>
      </tp>
      <tp t="e">
        <v>#N/A</v>
        <stp/>
        <stp>BDH|17030753402554054846</stp>
        <tr r="I34" s="6"/>
      </tp>
      <tp t="e">
        <v>#N/A</v>
        <stp/>
        <stp>BDH|10177811347553527317</stp>
        <tr r="O144" s="18"/>
      </tp>
      <tp t="e">
        <v>#N/A</v>
        <stp/>
        <stp>BDH|14037523814619611533</stp>
        <tr r="P38" s="4"/>
        <tr r="P56" s="11"/>
        <tr r="R13" s="23"/>
      </tp>
      <tp t="e">
        <v>#N/A</v>
        <stp/>
        <stp>BDH|14686119296445328513</stp>
        <tr r="J12" s="21"/>
      </tp>
      <tp t="e">
        <v>#N/A</v>
        <stp/>
        <stp>BDH|17657111090154348775</stp>
        <tr r="H16" s="25"/>
      </tp>
      <tp t="e">
        <v>#N/A</v>
        <stp/>
        <stp>BDH|12039418123620313837</stp>
        <tr r="K75" s="17"/>
      </tp>
      <tp t="e">
        <v>#N/A</v>
        <stp/>
        <stp>BDH|13091884756436560494</stp>
        <tr r="I13" s="7"/>
      </tp>
      <tp t="e">
        <v>#N/A</v>
        <stp/>
        <stp>BDH|10150947266265509649</stp>
        <tr r="R30" s="24"/>
      </tp>
      <tp t="e">
        <v>#N/A</v>
        <stp/>
        <stp>BDH|15491749657999003250</stp>
        <tr r="O17" s="21"/>
      </tp>
      <tp t="e">
        <v>#N/A</v>
        <stp/>
        <stp>BDH|12559779884984497505</stp>
        <tr r="R12" s="12"/>
      </tp>
      <tp t="e">
        <v>#N/A</v>
        <stp/>
        <stp>BDH|12651381491942938647</stp>
        <tr r="X10" s="24"/>
      </tp>
      <tp t="e">
        <v>#N/A</v>
        <stp/>
        <stp>BDH|13475861148960801306</stp>
        <tr r="T33" s="22"/>
      </tp>
      <tp t="e">
        <v>#N/A</v>
        <stp/>
        <stp>BDH|17575123152907116865</stp>
        <tr r="Z30" s="21"/>
      </tp>
      <tp t="e">
        <v>#N/A</v>
        <stp/>
        <stp>BDH|13695956790936087916</stp>
        <tr r="Q45" s="24"/>
      </tp>
      <tp t="e">
        <v>#N/A</v>
        <stp/>
        <stp>BDH|15474369969368879412</stp>
        <tr r="W19" s="11"/>
      </tp>
      <tp t="e">
        <v>#N/A</v>
        <stp/>
        <stp>BDH|10459729000723537817</stp>
        <tr r="G18" s="5"/>
        <tr r="G37" s="6"/>
      </tp>
      <tp t="e">
        <v>#N/A</v>
        <stp/>
        <stp>BDH|14378568797005834183</stp>
        <tr r="R28" s="24"/>
      </tp>
      <tp t="e">
        <v>#N/A</v>
        <stp/>
        <stp>BDH|16414261087337250759</stp>
        <tr r="I9" s="13"/>
      </tp>
      <tp t="e">
        <v>#N/A</v>
        <stp/>
        <stp>BDH|13414417784262227119</stp>
        <tr r="X42" s="24"/>
      </tp>
      <tp t="e">
        <v>#N/A</v>
        <stp/>
        <stp>BDH|14299807058444054181</stp>
        <tr r="P173" s="18"/>
      </tp>
      <tp t="e">
        <v>#N/A</v>
        <stp/>
        <stp>BDH|11698390480580850657</stp>
        <tr r="M54" s="12"/>
      </tp>
      <tp t="e">
        <v>#N/A</v>
        <stp/>
        <stp>BDH|11173735460915657960</stp>
        <tr r="Z69" s="24"/>
      </tp>
      <tp t="e">
        <v>#N/A</v>
        <stp/>
        <stp>BDH|12543855238704891121</stp>
        <tr r="K108" s="18"/>
      </tp>
      <tp t="e">
        <v>#N/A</v>
        <stp/>
        <stp>BDH|15303324552898972787</stp>
        <tr r="Y48" s="21"/>
      </tp>
      <tp t="e">
        <v>#N/A</v>
        <stp/>
        <stp>BDH|13070296242128149188</stp>
        <tr r="Q147" s="18"/>
      </tp>
      <tp t="e">
        <v>#N/A</v>
        <stp/>
        <stp>BDH|17775566565148152079</stp>
        <tr r="E53" s="17"/>
      </tp>
      <tp t="e">
        <v>#N/A</v>
        <stp/>
        <stp>BDH|10859922447455601490</stp>
        <tr r="O20" s="12"/>
      </tp>
      <tp t="e">
        <v>#N/A</v>
        <stp/>
        <stp>BDH|13358951254724713771</stp>
        <tr r="K97" s="18"/>
      </tp>
      <tp t="e">
        <v>#N/A</v>
        <stp/>
        <stp>BDH|10544959712936946293</stp>
        <tr r="G89" s="17"/>
      </tp>
      <tp t="e">
        <v>#N/A</v>
        <stp/>
        <stp>BDH|13440553115443797819</stp>
        <tr r="W96" s="18"/>
      </tp>
      <tp t="e">
        <v>#N/A</v>
        <stp/>
        <stp>BDH|14681961101327400679</stp>
        <tr r="I176" s="18"/>
      </tp>
      <tp t="e">
        <v>#N/A</v>
        <stp/>
        <stp>BDH|12849735578908896693</stp>
        <tr r="W28" s="13"/>
      </tp>
      <tp t="e">
        <v>#N/A</v>
        <stp/>
        <stp>BDH|17893902239796358708</stp>
        <tr r="I69" s="13"/>
      </tp>
      <tp t="e">
        <v>#N/A</v>
        <stp/>
        <stp>BDH|12716991507256918123</stp>
        <tr r="N20" s="25"/>
      </tp>
      <tp t="e">
        <v>#N/A</v>
        <stp/>
        <stp>BDH|13922767599521025042</stp>
        <tr r="E34" s="26"/>
      </tp>
      <tp t="e">
        <v>#N/A</v>
        <stp/>
        <stp>BDH|17550723892751004476</stp>
        <tr r="H26" s="17"/>
      </tp>
      <tp t="e">
        <v>#N/A</v>
        <stp/>
        <stp>BDH|18323228529900325496</stp>
        <tr r="Z78" s="24"/>
      </tp>
      <tp t="e">
        <v>#N/A</v>
        <stp/>
        <stp>BDH|17302234779747973923</stp>
        <tr r="AA25" s="26"/>
      </tp>
      <tp t="e">
        <v>#N/A</v>
        <stp/>
        <stp>BDH|15138214883176222532</stp>
        <tr r="S61" s="18"/>
      </tp>
      <tp t="e">
        <v>#N/A</v>
        <stp/>
        <stp>BDH|13635046633194668854</stp>
        <tr r="M9" s="11"/>
      </tp>
      <tp t="e">
        <v>#N/A</v>
        <stp/>
        <stp>BDH|12268880149660110205</stp>
        <tr r="Y26" s="25"/>
        <tr r="Y12" s="27"/>
      </tp>
      <tp t="e">
        <v>#N/A</v>
        <stp/>
        <stp>BDH|17531411142332739936</stp>
        <tr r="Q22" s="27"/>
      </tp>
      <tp t="e">
        <v>#N/A</v>
        <stp/>
        <stp>BDH|17809596639419502489</stp>
        <tr r="I53" s="13"/>
      </tp>
      <tp t="e">
        <v>#N/A</v>
        <stp/>
        <stp>BDH|16209137734179455149</stp>
        <tr r="I42" s="17"/>
      </tp>
      <tp t="e">
        <v>#N/A</v>
        <stp/>
        <stp>BDH|14375388624308874122</stp>
        <tr r="Z73" s="34"/>
      </tp>
      <tp t="e">
        <v>#N/A</v>
        <stp/>
        <stp>BDH|11766842114657632348</stp>
        <tr r="E171" s="18"/>
      </tp>
      <tp t="e">
        <v>#N/A</v>
        <stp/>
        <stp>BDH|17975692693666797213</stp>
        <tr r="Z10" s="17"/>
      </tp>
      <tp t="e">
        <v>#N/A</v>
        <stp/>
        <stp>BDH|13795213093004528050</stp>
        <tr r="I31" s="25"/>
        <tr r="F14" s="5"/>
        <tr r="I17" s="27"/>
      </tp>
      <tp t="e">
        <v>#N/A</v>
        <stp/>
        <stp>BDH|14510809388119045185</stp>
        <tr r="O25" s="5"/>
      </tp>
      <tp t="e">
        <v>#N/A</v>
        <stp/>
        <stp>BDH|17521352715050994991</stp>
        <tr r="V28" s="13"/>
      </tp>
      <tp t="e">
        <v>#N/A</v>
        <stp/>
        <stp>BDH|17388472851603976993</stp>
        <tr r="C37" s="17"/>
      </tp>
      <tp t="e">
        <v>#N/A</v>
        <stp/>
        <stp>BDH|15321725454608915398</stp>
        <tr r="S38" s="17"/>
      </tp>
      <tp t="e">
        <v>#N/A</v>
        <stp/>
        <stp>BDH|18125125509903802676</stp>
        <tr r="L13" s="18"/>
      </tp>
      <tp t="e">
        <v>#N/A</v>
        <stp/>
        <stp>BDH|16640278585313608370</stp>
        <tr r="R15" s="13"/>
      </tp>
      <tp t="e">
        <v>#N/A</v>
        <stp/>
        <stp>BDH|16049969131372007221</stp>
        <tr r="S49" s="21"/>
      </tp>
      <tp t="e">
        <v>#N/A</v>
        <stp/>
        <stp>BDH|15514214761649596454</stp>
        <tr r="Z188" s="18"/>
      </tp>
      <tp t="e">
        <v>#N/A</v>
        <stp/>
        <stp>BDH|10750075973719023268</stp>
        <tr r="M181" s="18"/>
      </tp>
      <tp t="e">
        <v>#N/A</v>
        <stp/>
        <stp>BDH|10592803768313003184</stp>
        <tr r="Y18" s="14"/>
      </tp>
      <tp t="e">
        <v>#N/A</v>
        <stp/>
        <stp>BDH|10327521326908408366</stp>
        <tr r="N13" s="13"/>
      </tp>
      <tp t="e">
        <v>#N/A</v>
        <stp/>
        <stp>BDH|13189549291233364029</stp>
        <tr r="F9" s="3"/>
        <tr r="D51" s="10"/>
        <tr r="D41" s="11"/>
        <tr r="D14" s="7"/>
      </tp>
      <tp t="e">
        <v>#N/A</v>
        <stp/>
        <stp>BDH|10460661862108235476</stp>
        <tr r="V25" s="4"/>
        <tr r="V65" s="10"/>
      </tp>
      <tp t="e">
        <v>#N/A</v>
        <stp/>
        <stp>BDH|13925321389581013574</stp>
        <tr r="W86" s="17"/>
      </tp>
      <tp t="e">
        <v>#N/A</v>
        <stp/>
        <stp>BDH|12701286984695832160</stp>
        <tr r="E74" s="18"/>
      </tp>
      <tp t="e">
        <v>#N/A</v>
        <stp/>
        <stp>BDH|18349983935278334685</stp>
        <tr r="W74" s="24"/>
      </tp>
      <tp t="e">
        <v>#N/A</v>
        <stp/>
        <stp>BDH|12566459205053443948</stp>
        <tr r="AA25" s="13"/>
      </tp>
      <tp t="e">
        <v>#N/A</v>
        <stp/>
        <stp>BDH|17212736974168211325</stp>
        <tr r="V60" s="18"/>
      </tp>
      <tp t="e">
        <v>#N/A</v>
        <stp/>
        <stp>BDH|13528945344941445348</stp>
        <tr r="Q18" s="34"/>
      </tp>
      <tp t="e">
        <v>#N/A</v>
        <stp/>
        <stp>BDH|15561732495180626706</stp>
        <tr r="U8" s="28"/>
      </tp>
      <tp t="e">
        <v>#N/A</v>
        <stp/>
        <stp>BDH|10291395181013944469</stp>
        <tr r="P90" s="17"/>
        <tr r="P34" s="25"/>
      </tp>
      <tp t="e">
        <v>#N/A</v>
        <stp/>
        <stp>BDH|17318866456000675600</stp>
        <tr r="C117" s="18"/>
      </tp>
      <tp t="e">
        <v>#N/A</v>
        <stp/>
        <stp>BDH|13893145191681831609</stp>
        <tr r="G50" s="12"/>
      </tp>
      <tp t="e">
        <v>#N/A</v>
        <stp/>
        <stp>BDH|13611726582641284119</stp>
        <tr r="E6" s="28"/>
      </tp>
      <tp t="e">
        <v>#N/A</v>
        <stp/>
        <stp>BDH|15734433381876796376</stp>
        <tr r="I45" s="22"/>
      </tp>
      <tp t="e">
        <v>#N/A</v>
        <stp/>
        <stp>BDH|13736297721739232687</stp>
        <tr r="R38" s="6"/>
      </tp>
      <tp t="e">
        <v>#N/A</v>
        <stp/>
        <stp>BDH|13884216619898503400</stp>
        <tr r="T18" s="25"/>
      </tp>
      <tp t="e">
        <v>#N/A</v>
        <stp/>
        <stp>BDH|15445425634649603711</stp>
        <tr r="D10" s="11"/>
      </tp>
      <tp t="e">
        <v>#N/A</v>
        <stp/>
        <stp>BDH|10430843262192274053</stp>
        <tr r="S17" s="9"/>
      </tp>
      <tp t="e">
        <v>#N/A</v>
        <stp/>
        <stp>BDH|14766540247171714863</stp>
        <tr r="X8" s="21"/>
      </tp>
      <tp t="e">
        <v>#N/A</v>
        <stp/>
        <stp>BDH|17245783558198171165</stp>
        <tr r="N21" s="11"/>
      </tp>
      <tp t="e">
        <v>#N/A</v>
        <stp/>
        <stp>BDH|13506563442279713734</stp>
        <tr r="G39" s="10"/>
        <tr r="G29" s="11"/>
      </tp>
      <tp t="e">
        <v>#N/A</v>
        <stp/>
        <stp>BDH|12193473677059461408</stp>
        <tr r="E37" s="34"/>
      </tp>
      <tp t="e">
        <v>#N/A</v>
        <stp/>
        <stp>BDH|12839686390724728524</stp>
        <tr r="Z49" s="22"/>
      </tp>
      <tp t="e">
        <v>#N/A</v>
        <stp/>
        <stp>BDH|14025987158323286765</stp>
        <tr r="S73" s="13"/>
      </tp>
      <tp t="e">
        <v>#N/A</v>
        <stp/>
        <stp>BDH|13791422163968499561</stp>
        <tr r="M98" s="18"/>
      </tp>
      <tp t="e">
        <v>#N/A</v>
        <stp/>
        <stp>BDH|16370824866215498172</stp>
        <tr r="J9" s="26"/>
      </tp>
      <tp t="e">
        <v>#N/A</v>
        <stp/>
        <stp>BDH|16760312196994670423</stp>
        <tr r="D14" s="22"/>
      </tp>
      <tp t="e">
        <v>#N/A</v>
        <stp/>
        <stp>BDH|15341350194822703115</stp>
        <tr r="E96" s="18"/>
      </tp>
      <tp t="e">
        <v>#N/A</v>
        <stp/>
        <stp>BDH|15860949868722877487</stp>
        <tr r="Q12" s="11"/>
      </tp>
      <tp t="e">
        <v>#N/A</v>
        <stp/>
        <stp>BDH|13377347482663179709</stp>
        <tr r="Z27" s="26"/>
      </tp>
      <tp t="e">
        <v>#N/A</v>
        <stp/>
        <stp>BDH|12468724690196049628</stp>
        <tr r="K39" s="24"/>
      </tp>
      <tp t="e">
        <v>#N/A</v>
        <stp/>
        <stp>BDH|15458414413338741459</stp>
        <tr r="K45" s="21"/>
      </tp>
      <tp t="e">
        <v>#N/A</v>
        <stp/>
        <stp>BDH|16021067060898573475</stp>
        <tr r="Z19" s="17"/>
      </tp>
      <tp t="e">
        <v>#N/A</v>
        <stp/>
        <stp>BDH|18354061751889223820</stp>
        <tr r="U56" s="12"/>
      </tp>
      <tp t="e">
        <v>#N/A</v>
        <stp/>
        <stp>BDH|16030745616018293441</stp>
        <tr r="J82" s="18"/>
      </tp>
      <tp t="e">
        <v>#N/A</v>
        <stp/>
        <stp>BDH|13219750517848215165</stp>
        <tr r="U43" s="17"/>
      </tp>
      <tp t="e">
        <v>#N/A</v>
        <stp/>
        <stp>BDH|11845528939568735307</stp>
        <tr r="Y20" s="26"/>
      </tp>
      <tp t="e">
        <v>#N/A</v>
        <stp/>
        <stp>BDH|14903124190623891376</stp>
        <tr r="S13" s="2"/>
      </tp>
      <tp t="e">
        <v>#N/A</v>
        <stp/>
        <stp>BDH|13346075861281180807</stp>
        <tr r="H136" s="18"/>
      </tp>
      <tp t="e">
        <v>#N/A</v>
        <stp/>
        <stp>BDH|16047596619526390872</stp>
        <tr r="I50" s="34"/>
      </tp>
      <tp t="e">
        <v>#N/A</v>
        <stp/>
        <stp>BDH|16380334757698207419</stp>
        <tr r="F11" s="28"/>
      </tp>
      <tp t="e">
        <v>#N/A</v>
        <stp/>
        <stp>BDH|17164927633604342570</stp>
        <tr r="C24" s="29"/>
      </tp>
      <tp t="e">
        <v>#N/A</v>
        <stp/>
        <stp>BDH|11494911553165694443</stp>
        <tr r="T191" s="18"/>
      </tp>
      <tp t="e">
        <v>#N/A</v>
        <stp/>
        <stp>BDH|18091379461173540276</stp>
        <tr r="D17" s="34"/>
      </tp>
      <tp t="e">
        <v>#N/A</v>
        <stp/>
        <stp>BDH|11692151975059696243</stp>
        <tr r="F178" s="18"/>
      </tp>
      <tp t="e">
        <v>#N/A</v>
        <stp/>
        <stp>BDH|16579806100317811591</stp>
        <tr r="Y28" s="25"/>
        <tr r="Y14" s="27"/>
      </tp>
      <tp t="e">
        <v>#N/A</v>
        <stp/>
        <stp>BDH|17354987661701905577</stp>
        <tr r="D37" s="17"/>
      </tp>
      <tp t="e">
        <v>#N/A</v>
        <stp/>
        <stp>BDH|16869066739050440975</stp>
        <tr r="M27" s="24"/>
      </tp>
      <tp t="e">
        <v>#N/A</v>
        <stp/>
        <stp>BDH|13572802431077958390</stp>
        <tr r="X70" s="34"/>
      </tp>
      <tp t="e">
        <v>#N/A</v>
        <stp/>
        <stp>BDH|17350039453947514924</stp>
        <tr r="N53" s="24"/>
      </tp>
      <tp t="e">
        <v>#N/A</v>
        <stp/>
        <stp>BDH|18428342827927503269</stp>
        <tr r="K9" s="10"/>
      </tp>
      <tp t="e">
        <v>#N/A</v>
        <stp/>
        <stp>BDH|17951606807055840820</stp>
        <tr r="W49" s="6"/>
        <tr r="Y10" s="8"/>
      </tp>
      <tp t="e">
        <v>#N/A</v>
        <stp/>
        <stp>BDH|15472596859269333037</stp>
        <tr r="Y86" s="17"/>
      </tp>
      <tp t="e">
        <v>#N/A</v>
        <stp/>
        <stp>BDH|16971718989932199748</stp>
        <tr r="AA148" s="18"/>
      </tp>
      <tp t="e">
        <v>#N/A</v>
        <stp/>
        <stp>BDH|13989068181026817127</stp>
        <tr r="Y143" s="18"/>
      </tp>
      <tp t="e">
        <v>#N/A</v>
        <stp/>
        <stp>BDH|11197179980600341414</stp>
        <tr r="J31" s="18"/>
      </tp>
      <tp t="e">
        <v>#N/A</v>
        <stp/>
        <stp>BDH|15286411425969664640</stp>
        <tr r="J81" s="12"/>
      </tp>
      <tp t="e">
        <v>#N/A</v>
        <stp/>
        <stp>BDH|14129601156842062938</stp>
        <tr r="F28" s="22"/>
      </tp>
      <tp t="e">
        <v>#N/A</v>
        <stp/>
        <stp>BDH|10360216701136072873</stp>
        <tr r="Z11" s="21"/>
      </tp>
      <tp t="e">
        <v>#N/A</v>
        <stp/>
        <stp>BDH|14615164084406205724</stp>
        <tr r="C20" s="6"/>
      </tp>
      <tp t="e">
        <v>#N/A</v>
        <stp/>
        <stp>BDH|17469971867705302135</stp>
        <tr r="V29" s="14"/>
      </tp>
      <tp t="e">
        <v>#N/A</v>
        <stp/>
        <stp>BDH|18329748704364287755</stp>
        <tr r="T87" s="18"/>
      </tp>
      <tp t="e">
        <v>#N/A</v>
        <stp/>
        <stp>BDH|18066610036007468674</stp>
        <tr r="E76" s="17"/>
      </tp>
      <tp t="e">
        <v>#N/A</v>
        <stp/>
        <stp>BDH|12330843358324348783</stp>
        <tr r="M67" s="34"/>
      </tp>
      <tp t="e">
        <v>#N/A</v>
        <stp/>
        <stp>BDH|12650507943256468952</stp>
        <tr r="D84" s="12"/>
      </tp>
      <tp t="e">
        <v>#N/A</v>
        <stp/>
        <stp>BDH|13862699516721554969</stp>
        <tr r="P22" s="17"/>
      </tp>
      <tp t="e">
        <v>#N/A</v>
        <stp/>
        <stp>BDH|10426171890955665127</stp>
        <tr r="W105" s="12"/>
      </tp>
      <tp t="e">
        <v>#N/A</v>
        <stp/>
        <stp>BDH|14320660287241083753</stp>
        <tr r="J157" s="18"/>
      </tp>
      <tp t="e">
        <v>#N/A</v>
        <stp/>
        <stp>BDH|12474769901120723937</stp>
        <tr r="G31" s="21"/>
      </tp>
      <tp t="e">
        <v>#N/A</v>
        <stp/>
        <stp>BDH|10694581914428864050</stp>
        <tr r="D56" s="17"/>
      </tp>
      <tp t="e">
        <v>#N/A</v>
        <stp/>
        <stp>BDH|11370953629740198690</stp>
        <tr r="I29" s="6"/>
      </tp>
      <tp t="e">
        <v>#N/A</v>
        <stp/>
        <stp>BDH|12316718385268800981</stp>
        <tr r="L57" s="12"/>
      </tp>
      <tp t="e">
        <v>#N/A</v>
        <stp/>
        <stp>BDH|17498237033668280219</stp>
        <tr r="H71" s="34"/>
      </tp>
      <tp t="e">
        <v>#N/A</v>
        <stp/>
        <stp>BDH|16281857745361329767</stp>
        <tr r="P22" s="27"/>
      </tp>
      <tp t="e">
        <v>#N/A</v>
        <stp/>
        <stp>BDH|13730216333068040628</stp>
        <tr r="N14" s="34"/>
      </tp>
      <tp t="e">
        <v>#N/A</v>
        <stp/>
        <stp>BDH|16206729081805496021</stp>
        <tr r="G88" s="24"/>
      </tp>
      <tp t="e">
        <v>#N/A</v>
        <stp/>
        <stp>BDH|14230016992004237549</stp>
        <tr r="K115" s="18"/>
      </tp>
      <tp t="e">
        <v>#N/A</v>
        <stp/>
        <stp>BDH|16270882195883850807</stp>
        <tr r="C48" s="22"/>
      </tp>
      <tp t="e">
        <v>#N/A</v>
        <stp/>
        <stp>BDH|17371234332852529807</stp>
        <tr r="S58" s="24"/>
      </tp>
      <tp t="e">
        <v>#N/A</v>
        <stp/>
        <stp>BDH|11038450047835742822</stp>
        <tr r="D29" s="18"/>
      </tp>
      <tp t="e">
        <v>#N/A</v>
        <stp/>
        <stp>BDH|10906335991505584395</stp>
        <tr r="E13" s="26"/>
      </tp>
      <tp t="e">
        <v>#N/A</v>
        <stp/>
        <stp>BDH|13440965860834051451</stp>
        <tr r="E32" s="17"/>
      </tp>
      <tp t="e">
        <v>#N/A</v>
        <stp/>
        <stp>BDH|11417640631121145979</stp>
        <tr r="Y43" s="34"/>
      </tp>
      <tp t="e">
        <v>#N/A</v>
        <stp/>
        <stp>BDH|13225765811939738050</stp>
        <tr r="X20" s="26"/>
      </tp>
      <tp t="e">
        <v>#N/A</v>
        <stp/>
        <stp>BDH|13094372525098418617</stp>
        <tr r="E11" s="13"/>
      </tp>
      <tp t="e">
        <v>#N/A</v>
        <stp/>
        <stp>BDH|10548607991341691255</stp>
        <tr r="H10" s="18"/>
      </tp>
      <tp t="e">
        <v>#N/A</v>
        <stp/>
        <stp>BDH|10623840912266104362</stp>
        <tr r="F13" s="18"/>
      </tp>
      <tp t="e">
        <v>#N/A</v>
        <stp/>
        <stp>BDH|11721973303092500613</stp>
        <tr r="P95" s="17"/>
      </tp>
      <tp t="e">
        <v>#N/A</v>
        <stp/>
        <stp>BDH|17720272296426504646</stp>
        <tr r="E10" s="28"/>
      </tp>
      <tp t="e">
        <v>#N/A</v>
        <stp/>
        <stp>BDH|18125252566832537209</stp>
        <tr r="P7" s="10"/>
      </tp>
      <tp t="e">
        <v>#N/A</v>
        <stp/>
        <stp>BDH|13830996833421117441</stp>
        <tr r="Q32" s="12"/>
      </tp>
      <tp t="e">
        <v>#N/A</v>
        <stp/>
        <stp>BDH|17533732188766019296</stp>
        <tr r="C78" s="18"/>
      </tp>
      <tp t="e">
        <v>#N/A</v>
        <stp/>
        <stp>BDH|10459593319648484078</stp>
        <tr r="D24" s="5"/>
      </tp>
      <tp t="e">
        <v>#N/A</v>
        <stp/>
        <stp>BDH|17840835677931380580</stp>
        <tr r="J21" s="34"/>
      </tp>
      <tp t="e">
        <v>#N/A</v>
        <stp/>
        <stp>BDH|14859918369113494432</stp>
        <tr r="P87" s="18"/>
      </tp>
      <tp t="e">
        <v>#N/A</v>
        <stp/>
        <stp>BDH|15849743587665515397</stp>
        <tr r="Y20" s="23"/>
      </tp>
      <tp t="e">
        <v>#N/A</v>
        <stp/>
        <stp>BDH|15546212818032245895</stp>
        <tr r="E163" s="18"/>
      </tp>
      <tp t="e">
        <v>#N/A</v>
        <stp/>
        <stp>BDH|13808136739835606839</stp>
        <tr r="H15" s="29"/>
        <tr r="H38" s="29"/>
      </tp>
      <tp t="e">
        <v>#N/A</v>
        <stp/>
        <stp>BDH|12321263146330364873</stp>
        <tr r="M25" s="12"/>
      </tp>
      <tp t="e">
        <v>#N/A</v>
        <stp/>
        <stp>BDH|15006506296997498250</stp>
        <tr r="Z24" s="27"/>
      </tp>
      <tp t="e">
        <v>#N/A</v>
        <stp/>
        <stp>BDH|10101256245153791918</stp>
        <tr r="Y41" s="24"/>
      </tp>
      <tp t="e">
        <v>#N/A</v>
        <stp/>
        <stp>BDH|17205506680354345267</stp>
        <tr r="Q25" s="24"/>
      </tp>
      <tp t="e">
        <v>#N/A</v>
        <stp/>
        <stp>BDH|17593751403678412409</stp>
        <tr r="D98" s="12"/>
      </tp>
      <tp t="e">
        <v>#N/A</v>
        <stp/>
        <stp>BDH|12600879734431588470</stp>
        <tr r="I187" s="18"/>
      </tp>
      <tp t="e">
        <v>#N/A</v>
        <stp/>
        <stp>BDH|11457398985287698193</stp>
        <tr r="U181" s="18"/>
      </tp>
      <tp t="e">
        <v>#N/A</v>
        <stp/>
        <stp>BDH|18233836217579777462</stp>
        <tr r="U21" s="24"/>
      </tp>
      <tp t="e">
        <v>#N/A</v>
        <stp/>
        <stp>BDH|11808414187719917806</stp>
        <tr r="F40" s="12"/>
      </tp>
      <tp t="e">
        <v>#N/A</v>
        <stp/>
        <stp>BDH|17883893163522637739</stp>
        <tr r="C47" s="13"/>
      </tp>
      <tp t="e">
        <v>#N/A</v>
        <stp/>
        <stp>BDH|10824970448531351036</stp>
        <tr r="H23" s="25"/>
        <tr r="F20" s="11"/>
      </tp>
      <tp t="e">
        <v>#N/A</v>
        <stp/>
        <stp>BDH|14861570808924844990</stp>
        <tr r="J28" s="26"/>
      </tp>
      <tp t="e">
        <v>#N/A</v>
        <stp/>
        <stp>BDH|18060415459884988178</stp>
        <tr r="D19" s="23"/>
      </tp>
      <tp t="e">
        <v>#N/A</v>
        <stp/>
        <stp>BDH|12879668772026273982</stp>
        <tr r="X48" s="17"/>
      </tp>
      <tp t="e">
        <v>#N/A</v>
        <stp/>
        <stp>BDH|10464684623598853018</stp>
        <tr r="V183" s="18"/>
      </tp>
      <tp t="e">
        <v>#N/A</v>
        <stp/>
        <stp>BDH|14242705119827829951</stp>
        <tr r="X19" s="11"/>
      </tp>
      <tp t="e">
        <v>#N/A</v>
        <stp/>
        <stp>BDH|18211107791984036856</stp>
        <tr r="M51" s="21"/>
      </tp>
      <tp t="e">
        <v>#N/A</v>
        <stp/>
        <stp>BDH|14259363489110996324</stp>
        <tr r="O91" s="12"/>
      </tp>
      <tp t="e">
        <v>#N/A</v>
        <stp/>
        <stp>BDH|15171981639205495627</stp>
        <tr r="G15" s="25"/>
      </tp>
      <tp t="e">
        <v>#N/A</v>
        <stp/>
        <stp>BDH|12248244654020400909</stp>
        <tr r="Z64" s="21"/>
      </tp>
      <tp t="e">
        <v>#N/A</v>
        <stp/>
        <stp>BDH|14072383865575888830</stp>
        <tr r="Z76" s="17"/>
        <tr r="W9" s="5"/>
        <tr r="W9" s="9"/>
      </tp>
      <tp t="e">
        <v>#N/A</v>
        <stp/>
        <stp>BDH|15740255414049918398</stp>
        <tr r="D77" s="18"/>
      </tp>
      <tp t="e">
        <v>#N/A</v>
        <stp/>
        <stp>BDH|14995334911448923243</stp>
        <tr r="G70" s="34"/>
      </tp>
      <tp t="e">
        <v>#N/A</v>
        <stp/>
        <stp>BDH|18388660342692963480</stp>
        <tr r="AA10" s="12"/>
      </tp>
      <tp t="e">
        <v>#N/A</v>
        <stp/>
        <stp>BDH|17323202985169773879</stp>
        <tr r="U60" s="12"/>
      </tp>
      <tp t="e">
        <v>#N/A</v>
        <stp/>
        <stp>BDH|18389997924419042680</stp>
        <tr r="W9" s="13"/>
      </tp>
      <tp t="e">
        <v>#N/A</v>
        <stp/>
        <stp>BDH|15662808831343639170</stp>
        <tr r="E25" s="34"/>
      </tp>
      <tp t="e">
        <v>#N/A</v>
        <stp/>
        <stp>BDH|11569508827672630825</stp>
        <tr r="F87" s="12"/>
      </tp>
      <tp t="e">
        <v>#N/A</v>
        <stp/>
        <stp>BDH|13867820960146938759</stp>
        <tr r="M95" s="24"/>
      </tp>
      <tp t="e">
        <v>#N/A</v>
        <stp/>
        <stp>BDH|11794415269028048794</stp>
        <tr r="Y35" s="24"/>
      </tp>
      <tp t="e">
        <v>#N/A</v>
        <stp/>
        <stp>BDH|13814288185787554267</stp>
        <tr r="M129" s="18"/>
      </tp>
      <tp t="e">
        <v>#N/A</v>
        <stp/>
        <stp>BDH|18317665207527495504</stp>
        <tr r="H35" s="10"/>
        <tr r="H25" s="11"/>
      </tp>
      <tp t="e">
        <v>#N/A</v>
        <stp/>
        <stp>BDH|12020260068793036985</stp>
        <tr r="R71" s="10"/>
        <tr r="R61" s="11"/>
      </tp>
      <tp t="e">
        <v>#N/A</v>
        <stp/>
        <stp>BDH|18171650030232148332</stp>
        <tr r="P37" s="21"/>
      </tp>
      <tp t="e">
        <v>#N/A</v>
        <stp/>
        <stp>BDH|15996876766553791490</stp>
        <tr r="C47" s="34"/>
      </tp>
      <tp t="e">
        <v>#N/A</v>
        <stp/>
        <stp>BDH|11632434692171135106</stp>
        <tr r="W102" s="18"/>
      </tp>
      <tp t="e">
        <v>#N/A</v>
        <stp/>
        <stp>BDH|14113508290083798703</stp>
        <tr r="P199" s="18"/>
      </tp>
      <tp t="e">
        <v>#N/A</v>
        <stp/>
        <stp>BDH|17095480050053829969</stp>
        <tr r="Z17" s="22"/>
      </tp>
      <tp t="e">
        <v>#N/A</v>
        <stp/>
        <stp>BDH|10336955026823291445</stp>
        <tr r="F50" s="13"/>
      </tp>
      <tp t="e">
        <v>#N/A</v>
        <stp/>
        <stp>BDH|15502447930099754700</stp>
        <tr r="F49" s="13"/>
      </tp>
      <tp t="e">
        <v>#N/A</v>
        <stp/>
        <stp>BDH|11219926058559857866</stp>
        <tr r="Z51" s="21"/>
      </tp>
      <tp t="e">
        <v>#N/A</v>
        <stp/>
        <stp>BDH|15239613605048361737</stp>
        <tr r="D8" s="4"/>
      </tp>
      <tp t="e">
        <v>#N/A</v>
        <stp/>
        <stp>BDH|15766673944162413964</stp>
        <tr r="V42" s="24"/>
      </tp>
      <tp t="e">
        <v>#N/A</v>
        <stp/>
        <stp>BDH|10464005297333768626</stp>
        <tr r="T21" s="2"/>
      </tp>
      <tp t="e">
        <v>#N/A</v>
        <stp/>
        <stp>BDH|13398052471559993187</stp>
        <tr r="Z14" s="24"/>
      </tp>
      <tp t="e">
        <v>#N/A</v>
        <stp/>
        <stp>BDH|15976329779608616529</stp>
        <tr r="F12" s="10"/>
      </tp>
      <tp t="e">
        <v>#N/A</v>
        <stp/>
        <stp>BDH|15999324891931442280</stp>
        <tr r="N13" s="8"/>
      </tp>
      <tp t="e">
        <v>#N/A</v>
        <stp/>
        <stp>BDH|12137643766997274979</stp>
        <tr r="R117" s="18"/>
      </tp>
      <tp t="e">
        <v>#N/A</v>
        <stp/>
        <stp>BDH|10037854063501137316</stp>
        <tr r="Q59" s="18"/>
      </tp>
      <tp t="e">
        <v>#N/A</v>
        <stp/>
        <stp>BDH|15618715408777850910</stp>
        <tr r="Y31" s="12"/>
      </tp>
      <tp t="e">
        <v>#N/A</v>
        <stp/>
        <stp>BDH|13565632326333075866</stp>
        <tr r="E38" s="25"/>
      </tp>
      <tp t="e">
        <v>#N/A</v>
        <stp/>
        <stp>BDH|14104462666842055879</stp>
        <tr r="H7" s="8"/>
      </tp>
      <tp t="e">
        <v>#N/A</v>
        <stp/>
        <stp>BDH|17436334901709249121</stp>
        <tr r="Y39" s="10"/>
        <tr r="Y29" s="11"/>
      </tp>
      <tp t="e">
        <v>#N/A</v>
        <stp/>
        <stp>BDH|18016722644756004100</stp>
        <tr r="X106" s="18"/>
      </tp>
      <tp t="e">
        <v>#N/A</v>
        <stp/>
        <stp>BDH|15872948039971893244</stp>
        <tr r="D18" s="21"/>
      </tp>
      <tp t="e">
        <v>#N/A</v>
        <stp/>
        <stp>BDH|16332193797137190553</stp>
        <tr r="Y153" s="18"/>
      </tp>
      <tp t="e">
        <v>#N/A</v>
        <stp/>
        <stp>BDH|14506259559659375633</stp>
        <tr r="R11" s="22"/>
      </tp>
      <tp t="e">
        <v>#N/A</v>
        <stp/>
        <stp>BDH|17202905262197167388</stp>
        <tr r="M131" s="18"/>
      </tp>
      <tp t="e">
        <v>#N/A</v>
        <stp/>
        <stp>BDH|11927745082962068062</stp>
        <tr r="I46" s="34"/>
      </tp>
      <tp t="e">
        <v>#N/A</v>
        <stp/>
        <stp>BDH|10948795028520560948</stp>
        <tr r="D87" s="12"/>
      </tp>
      <tp t="e">
        <v>#N/A</v>
        <stp/>
        <stp>BDH|13518579151987994832</stp>
        <tr r="Z18" s="14"/>
      </tp>
      <tp t="e">
        <v>#N/A</v>
        <stp/>
        <stp>BDH|13808449374974681871</stp>
        <tr r="P97" s="18"/>
      </tp>
      <tp t="e">
        <v>#N/A</v>
        <stp/>
        <stp>BDH|10747971635496503098</stp>
        <tr r="Z69" s="18"/>
      </tp>
      <tp t="e">
        <v>#N/A</v>
        <stp/>
        <stp>BDH|13963226104015796810</stp>
        <tr r="C51" s="17"/>
        <tr r="C17" s="3"/>
      </tp>
      <tp t="e">
        <v>#N/A</v>
        <stp/>
        <stp>BDH|13925931281118330618</stp>
        <tr r="E11" s="7"/>
      </tp>
      <tp t="e">
        <v>#N/A</v>
        <stp/>
        <stp>BDH|11296479622909690289</stp>
        <tr r="AA44" s="17"/>
      </tp>
      <tp t="e">
        <v>#N/A</v>
        <stp/>
        <stp>BDH|11476491387084290517</stp>
        <tr r="N171" s="18"/>
      </tp>
      <tp t="e">
        <v>#N/A</v>
        <stp/>
        <stp>BDH|16367086791065262619</stp>
        <tr r="Y147" s="18"/>
      </tp>
      <tp t="e">
        <v>#N/A</v>
        <stp/>
        <stp>BDH|11962899361391802202</stp>
        <tr r="W16" s="25"/>
      </tp>
      <tp t="e">
        <v>#N/A</v>
        <stp/>
        <stp>BDH|17650325482789925968</stp>
        <tr r="N67" s="10"/>
      </tp>
      <tp t="e">
        <v>#N/A</v>
        <stp/>
        <stp>BDH|17989830943625939290</stp>
        <tr r="L74" s="34"/>
      </tp>
      <tp t="e">
        <v>#N/A</v>
        <stp/>
        <stp>BDH|14870778072381774937</stp>
        <tr r="J51" s="12"/>
      </tp>
      <tp t="e">
        <v>#N/A</v>
        <stp/>
        <stp>BDH|14725164975018423698</stp>
        <tr r="Q52" s="4"/>
        <tr r="S8" s="3"/>
        <tr r="Q44" s="10"/>
        <tr r="Q34" s="11"/>
        <tr r="S45" s="13"/>
      </tp>
      <tp t="e">
        <v>#N/A</v>
        <stp/>
        <stp>BDH|13758077052779304389</stp>
        <tr r="P8" s="34"/>
      </tp>
      <tp t="e">
        <v>#N/A</v>
        <stp/>
        <stp>BDH|13894726366438651632</stp>
        <tr r="K74" s="12"/>
      </tp>
      <tp t="e">
        <v>#N/A</v>
        <stp/>
        <stp>BDH|12506533660138660597</stp>
        <tr r="J29" s="12"/>
      </tp>
      <tp t="e">
        <v>#N/A</v>
        <stp/>
        <stp>BDH|13533398625348233628</stp>
        <tr r="O51" s="24"/>
      </tp>
      <tp t="e">
        <v>#N/A</v>
        <stp/>
        <stp>BDH|14921327502108900396</stp>
        <tr r="Q16" s="22"/>
      </tp>
      <tp t="e">
        <v>#N/A</v>
        <stp/>
        <stp>BDH|16917874240076706007</stp>
        <tr r="U29" s="4"/>
      </tp>
      <tp t="e">
        <v>#N/A</v>
        <stp/>
        <stp>BDH|10477867260884381681</stp>
        <tr r="O10" s="21"/>
      </tp>
      <tp t="e">
        <v>#N/A</v>
        <stp/>
        <stp>BDH|15039842103027736693</stp>
        <tr r="L52" s="12"/>
      </tp>
      <tp t="e">
        <v>#N/A</v>
        <stp/>
        <stp>BDH|17008898028031185091</stp>
        <tr r="Q62" s="24"/>
      </tp>
      <tp t="e">
        <v>#N/A</v>
        <stp/>
        <stp>BDH|15006594567159279352</stp>
        <tr r="S204" s="18"/>
      </tp>
      <tp t="e">
        <v>#N/A</v>
        <stp/>
        <stp>BDH|16439044325138527094</stp>
        <tr r="M31" s="17"/>
      </tp>
      <tp t="e">
        <v>#N/A</v>
        <stp/>
        <stp>BDH|11309236955709549395</stp>
        <tr r="Z21" s="3"/>
      </tp>
      <tp t="e">
        <v>#N/A</v>
        <stp/>
        <stp>BDH|13363802108160121730</stp>
        <tr r="S78" s="24"/>
      </tp>
      <tp t="e">
        <v>#N/A</v>
        <stp/>
        <stp>BDH|11671813158888185872</stp>
        <tr r="G43" s="17"/>
      </tp>
      <tp t="e">
        <v>#N/A</v>
        <stp/>
        <stp>BDH|10078911551479033997</stp>
        <tr r="D20" s="12"/>
      </tp>
      <tp t="e">
        <v>#N/A</v>
        <stp/>
        <stp>BDH|15707046394985608589</stp>
        <tr r="Q89" s="18"/>
      </tp>
      <tp t="e">
        <v>#N/A</v>
        <stp/>
        <stp>BDH|14756077888430608073</stp>
        <tr r="L206" s="18"/>
      </tp>
      <tp t="e">
        <v>#N/A</v>
        <stp/>
        <stp>BDH|13680299024027166832</stp>
        <tr r="O165" s="18"/>
      </tp>
      <tp t="e">
        <v>#N/A</v>
        <stp/>
        <stp>BDH|12456103546673255890</stp>
        <tr r="Z54" s="17"/>
      </tp>
      <tp t="e">
        <v>#N/A</v>
        <stp/>
        <stp>BDH|17668193392922604128</stp>
        <tr r="S36" s="10"/>
        <tr r="S48" s="10"/>
        <tr r="S26" s="11"/>
        <tr r="S38" s="11"/>
      </tp>
      <tp t="e">
        <v>#N/A</v>
        <stp/>
        <stp>BDH|14106360164404292989</stp>
        <tr r="W21" s="34"/>
      </tp>
      <tp t="e">
        <v>#N/A</v>
        <stp/>
        <stp>BDH|14234502400058334586</stp>
        <tr r="AA23" s="13"/>
      </tp>
      <tp t="e">
        <v>#N/A</v>
        <stp/>
        <stp>BDH|17835927731177770648</stp>
        <tr r="J10" s="11"/>
      </tp>
      <tp t="e">
        <v>#N/A</v>
        <stp/>
        <stp>BDH|13089382162108449265</stp>
        <tr r="F64" s="18"/>
      </tp>
      <tp t="e">
        <v>#N/A</v>
        <stp/>
        <stp>BDH|14757171312908836024</stp>
        <tr r="H29" s="18"/>
      </tp>
      <tp t="e">
        <v>#N/A</v>
        <stp/>
        <stp>BDH|10436681931398189140</stp>
        <tr r="Z29" s="34"/>
      </tp>
      <tp t="e">
        <v>#N/A</v>
        <stp/>
        <stp>BDH|11018396932828628554</stp>
        <tr r="Y38" s="26"/>
      </tp>
      <tp t="e">
        <v>#N/A</v>
        <stp/>
        <stp>BDH|17352471998151685724</stp>
        <tr r="S133" s="18"/>
      </tp>
      <tp t="e">
        <v>#N/A</v>
        <stp/>
        <stp>BDH|14020042465637090997</stp>
        <tr r="T64" s="18"/>
      </tp>
      <tp t="e">
        <v>#N/A</v>
        <stp/>
        <stp>BDH|12306994121186283312</stp>
        <tr r="S16" s="12"/>
      </tp>
      <tp t="e">
        <v>#N/A</v>
        <stp/>
        <stp>BDH|14287566824158040784</stp>
        <tr r="P176" s="18"/>
      </tp>
      <tp t="e">
        <v>#N/A</v>
        <stp/>
        <stp>BDH|15874859064067403051</stp>
        <tr r="Q67" s="34"/>
      </tp>
      <tp t="e">
        <v>#N/A</v>
        <stp/>
        <stp>BDH|17404969415117635495</stp>
        <tr r="H31" s="12"/>
      </tp>
      <tp t="e">
        <v>#N/A</v>
        <stp/>
        <stp>BDH|18247329094007966955</stp>
        <tr r="Q80" s="34"/>
      </tp>
      <tp t="e">
        <v>#N/A</v>
        <stp/>
        <stp>BDH|12132859666783247384</stp>
        <tr r="Y69" s="34"/>
      </tp>
      <tp t="e">
        <v>#N/A</v>
        <stp/>
        <stp>BDH|12194478457188185784</stp>
        <tr r="Y40" s="18"/>
      </tp>
      <tp t="e">
        <v>#N/A</v>
        <stp/>
        <stp>BDH|15983230534580263847</stp>
        <tr r="E42" s="21"/>
      </tp>
      <tp t="e">
        <v>#N/A</v>
        <stp/>
        <stp>BDH|12861608360329491748</stp>
        <tr r="X71" s="24"/>
      </tp>
      <tp t="e">
        <v>#N/A</v>
        <stp/>
        <stp>BDH|14555552188695687069</stp>
        <tr r="R8" s="12"/>
      </tp>
      <tp t="e">
        <v>#N/A</v>
        <stp/>
        <stp>BDH|14336824098600141905</stp>
        <tr r="D8" s="27"/>
      </tp>
      <tp t="e">
        <v>#N/A</v>
        <stp/>
        <stp>BDH|13141235183707936202</stp>
        <tr r="V8" s="24"/>
      </tp>
      <tp t="e">
        <v>#N/A</v>
        <stp/>
        <stp>BDH|13540462040259827631</stp>
        <tr r="D31" s="29"/>
      </tp>
      <tp t="e">
        <v>#N/A</v>
        <stp/>
        <stp>BDH|10313065585441168590</stp>
        <tr r="E47" s="18"/>
      </tp>
      <tp t="e">
        <v>#N/A</v>
        <stp/>
        <stp>BDH|15225876738340796228</stp>
        <tr r="Y67" s="17"/>
        <tr r="Y18" s="3"/>
      </tp>
      <tp t="e">
        <v>#N/A</v>
        <stp/>
        <stp>BDH|11392188271982584975</stp>
        <tr r="T13" s="10"/>
      </tp>
      <tp t="e">
        <v>#N/A</v>
        <stp/>
        <stp>BDH|12205397592324208031</stp>
        <tr r="X35" s="12"/>
      </tp>
      <tp t="e">
        <v>#N/A</v>
        <stp/>
        <stp>BDH|16579843844527432197</stp>
        <tr r="R56" s="12"/>
      </tp>
      <tp t="e">
        <v>#N/A</v>
        <stp/>
        <stp>BDH|16150122478284581856</stp>
        <tr r="D37" s="18"/>
      </tp>
      <tp t="e">
        <v>#N/A</v>
        <stp/>
        <stp>BDH|10456911259886572620</stp>
        <tr r="S18" s="14"/>
      </tp>
      <tp t="e">
        <v>#N/A</v>
        <stp/>
        <stp>BDH|16717044528238787074</stp>
        <tr r="Q12" s="10"/>
      </tp>
      <tp t="e">
        <v>#N/A</v>
        <stp/>
        <stp>BDH|18279093712872646742</stp>
        <tr r="Z29" s="29"/>
        <tr r="Z7" s="29"/>
      </tp>
      <tp t="e">
        <v>#N/A</v>
        <stp/>
        <stp>BDH|12298846502266655092</stp>
        <tr r="Y46" s="4"/>
        <tr r="Y23" s="10"/>
        <tr r="AA42" s="13"/>
      </tp>
      <tp t="e">
        <v>#N/A</v>
        <stp/>
        <stp>BDH|17881231686447015666</stp>
        <tr r="L12" s="17"/>
      </tp>
      <tp t="e">
        <v>#N/A</v>
        <stp/>
        <stp>BDH|17245323480956815635</stp>
        <tr r="M18" s="25"/>
      </tp>
      <tp t="e">
        <v>#N/A</v>
        <stp/>
        <stp>BDH|10216932522016100199</stp>
        <tr r="C17" s="9"/>
      </tp>
      <tp t="e">
        <v>#N/A</v>
        <stp/>
        <stp>BDH|10311689583356618453</stp>
        <tr r="H148" s="18"/>
      </tp>
      <tp t="e">
        <v>#N/A</v>
        <stp/>
        <stp>BDH|12136949869355431433</stp>
        <tr r="L35" s="10"/>
        <tr r="L25" s="11"/>
      </tp>
      <tp t="e">
        <v>#N/A</v>
        <stp/>
        <stp>BDH|11092894016030116452</stp>
        <tr r="P18" s="12"/>
      </tp>
      <tp t="e">
        <v>#N/A</v>
        <stp/>
        <stp>BDH|16917669425876194807</stp>
        <tr r="K13" s="22"/>
      </tp>
      <tp t="e">
        <v>#N/A</v>
        <stp/>
        <stp>BDH|16814831436856379752</stp>
        <tr r="L39" s="18"/>
      </tp>
      <tp t="e">
        <v>#N/A</v>
        <stp/>
        <stp>BDH|14505820432066699584</stp>
        <tr r="J66" s="13"/>
      </tp>
      <tp t="e">
        <v>#N/A</v>
        <stp/>
        <stp>BDH|14158102450504877828</stp>
        <tr r="N39" s="17"/>
      </tp>
      <tp t="e">
        <v>#N/A</v>
        <stp/>
        <stp>BDH|15919890405963860263</stp>
        <tr r="D20" s="6"/>
      </tp>
      <tp t="e">
        <v>#N/A</v>
        <stp/>
        <stp>BDH|13189853816565821311</stp>
        <tr r="D28" s="34"/>
      </tp>
      <tp t="e">
        <v>#N/A</v>
        <stp/>
        <stp>BDH|15678964518043095236</stp>
        <tr r="L64" s="21"/>
      </tp>
      <tp t="e">
        <v>#N/A</v>
        <stp/>
        <stp>BDH|16321814942431800730</stp>
        <tr r="E27" s="34"/>
      </tp>
      <tp t="e">
        <v>#N/A</v>
        <stp/>
        <stp>BDH|10501446171569807631</stp>
        <tr r="I59" s="18"/>
      </tp>
      <tp t="e">
        <v>#N/A</v>
        <stp/>
        <stp>BDH|13087286961842366911</stp>
        <tr r="S15" s="26"/>
      </tp>
      <tp t="e">
        <v>#N/A</v>
        <stp/>
        <stp>BDH|14250388401239688266</stp>
        <tr r="N54" s="24"/>
      </tp>
      <tp t="e">
        <v>#N/A</v>
        <stp/>
        <stp>BDH|11254582688743802311</stp>
        <tr r="Z76" s="12"/>
      </tp>
      <tp t="e">
        <v>#N/A</v>
        <stp/>
        <stp>BDH|12705190396142070437</stp>
        <tr r="Q163" s="18"/>
      </tp>
      <tp t="e">
        <v>#N/A</v>
        <stp/>
        <stp>BDH|16544834653921882660</stp>
        <tr r="V192" s="18"/>
      </tp>
      <tp t="e">
        <v>#N/A</v>
        <stp/>
        <stp>BDH|10742991253477262747</stp>
        <tr r="V63" s="12"/>
      </tp>
      <tp t="e">
        <v>#N/A</v>
        <stp/>
        <stp>BDH|11332305821749199588</stp>
        <tr r="I61" s="12"/>
      </tp>
      <tp t="e">
        <v>#N/A</v>
        <stp/>
        <stp>BDH|13408687826648783369</stp>
        <tr r="V138" s="18"/>
      </tp>
      <tp t="e">
        <v>#N/A</v>
        <stp/>
        <stp>BDH|15803224895723222166</stp>
        <tr r="F21" s="5"/>
      </tp>
      <tp t="e">
        <v>#N/A</v>
        <stp/>
        <stp>BDH|15299889485131041843</stp>
        <tr r="H26" s="24"/>
      </tp>
      <tp t="e">
        <v>#N/A</v>
        <stp/>
        <stp>BDH|14080986522395185603</stp>
        <tr r="S24" s="20"/>
      </tp>
      <tp t="e">
        <v>#N/A</v>
        <stp/>
        <stp>BDH|10960494860946885836</stp>
        <tr r="T23" s="5"/>
        <tr r="T23" s="9"/>
      </tp>
      <tp t="e">
        <v>#N/A</v>
        <stp/>
        <stp>BDH|13386171741752829868</stp>
        <tr r="O49" s="21"/>
      </tp>
      <tp t="e">
        <v>#N/A</v>
        <stp/>
        <stp>BDH|13414463822460864934</stp>
        <tr r="U25" s="14"/>
      </tp>
      <tp t="e">
        <v>#N/A</v>
        <stp/>
        <stp>BDH|13016688623403547842</stp>
        <tr r="H60" s="34"/>
      </tp>
      <tp t="e">
        <v>#N/A</v>
        <stp/>
        <stp>BDH|14799956506121824066</stp>
        <tr r="O15" s="21"/>
      </tp>
      <tp t="e">
        <v>#N/A</v>
        <stp/>
        <stp>BDH|15911189602221878914</stp>
        <tr r="Q22" s="22"/>
      </tp>
      <tp t="e">
        <v>#N/A</v>
        <stp/>
        <stp>BDH|11760695794791042309</stp>
        <tr r="X41" s="22"/>
      </tp>
      <tp t="e">
        <v>#N/A</v>
        <stp/>
        <stp>BDH|10794647585184516697</stp>
        <tr r="C130" s="18"/>
      </tp>
      <tp t="e">
        <v>#N/A</v>
        <stp/>
        <stp>BDH|14384848027886267486</stp>
        <tr r="R7" s="28"/>
      </tp>
      <tp t="e">
        <v>#N/A</v>
        <stp/>
        <stp>BDH|12749969161596367796</stp>
        <tr r="M15" s="30"/>
      </tp>
      <tp t="e">
        <v>#N/A</v>
        <stp/>
        <stp>BDH|16999071881074576607</stp>
        <tr r="V62" s="13"/>
      </tp>
      <tp t="e">
        <v>#N/A</v>
        <stp/>
        <stp>BDH|11373284291866671063</stp>
        <tr r="P24" s="9"/>
      </tp>
      <tp t="e">
        <v>#N/A</v>
        <stp/>
        <stp>BDH|14121902288499530069</stp>
        <tr r="G34" s="5"/>
        <tr r="I32" s="29"/>
      </tp>
      <tp t="e">
        <v>#N/A</v>
        <stp/>
        <stp>BDH|14731396494775360739</stp>
        <tr r="J116" s="18"/>
      </tp>
      <tp t="e">
        <v>#N/A</v>
        <stp/>
        <stp>BDH|13157891623376629379</stp>
        <tr r="Y183" s="18"/>
      </tp>
      <tp t="e">
        <v>#N/A</v>
        <stp/>
        <stp>BDH|13929146471409256049</stp>
        <tr r="V76" s="17"/>
        <tr r="S9" s="5"/>
        <tr r="S9" s="9"/>
      </tp>
      <tp t="e">
        <v>#N/A</v>
        <stp/>
        <stp>BDH|13264340362392961870</stp>
        <tr r="R45" s="12"/>
      </tp>
      <tp t="e">
        <v>#N/A</v>
        <stp/>
        <stp>BDH|16258965459015136360</stp>
        <tr r="Z29" s="14"/>
      </tp>
      <tp t="e">
        <v>#N/A</v>
        <stp/>
        <stp>BDH|10990053468492687885</stp>
        <tr r="K49" s="22"/>
      </tp>
      <tp t="e">
        <v>#N/A</v>
        <stp/>
        <stp>BDH|11006101513465177881</stp>
        <tr r="E63" s="21"/>
      </tp>
      <tp t="e">
        <v>#N/A</v>
        <stp/>
        <stp>BDH|14401983521021464236</stp>
        <tr r="N181" s="18"/>
      </tp>
      <tp t="e">
        <v>#N/A</v>
        <stp/>
        <stp>BDH|17834773813385310850</stp>
        <tr r="O20" s="26"/>
      </tp>
      <tp t="e">
        <v>#N/A</v>
        <stp/>
        <stp>BDH|13990088328449558461</stp>
        <tr r="U16" s="24"/>
      </tp>
      <tp t="e">
        <v>#N/A</v>
        <stp/>
        <stp>BDH|13148035436179977577</stp>
        <tr r="S52" s="24"/>
      </tp>
      <tp t="e">
        <v>#N/A</v>
        <stp/>
        <stp>BDH|14156812127445436790</stp>
        <tr r="W23" s="6"/>
      </tp>
      <tp t="e">
        <v>#N/A</v>
        <stp/>
        <stp>BDH|10003112731767823927</stp>
        <tr r="G25" s="17"/>
      </tp>
      <tp t="e">
        <v>#N/A</v>
        <stp/>
        <stp>BDH|13427897632497699338</stp>
        <tr r="R67" s="21"/>
      </tp>
      <tp t="e">
        <v>#N/A</v>
        <stp/>
        <stp>BDH|13806782651598964526</stp>
        <tr r="D91" s="12"/>
      </tp>
      <tp t="e">
        <v>#N/A</v>
        <stp/>
        <stp>BDH|17784087984340081313</stp>
        <tr r="J162" s="18"/>
      </tp>
      <tp t="e">
        <v>#N/A</v>
        <stp/>
        <stp>BDH|16248501999332174406</stp>
        <tr r="U23" s="24"/>
      </tp>
      <tp t="e">
        <v>#N/A</v>
        <stp/>
        <stp>BDH|18244587290518589058</stp>
        <tr r="O32" s="12"/>
      </tp>
      <tp t="e">
        <v>#N/A</v>
        <stp/>
        <stp>BDH|12538541094667973566</stp>
        <tr r="S18" s="9"/>
      </tp>
      <tp t="e">
        <v>#N/A</v>
        <stp/>
        <stp>BDH|17365844409091227265</stp>
        <tr r="W20" s="18"/>
      </tp>
      <tp t="e">
        <v>#N/A</v>
        <stp/>
        <stp>BDH|11704833989639727403</stp>
        <tr r="S25" s="5"/>
      </tp>
      <tp t="e">
        <v>#N/A</v>
        <stp/>
        <stp>BDH|12709851053267374480</stp>
        <tr r="N25" s="3"/>
      </tp>
      <tp t="e">
        <v>#N/A</v>
        <stp/>
        <stp>BDH|17896208683744062514</stp>
        <tr r="L32" s="10"/>
        <tr r="N41" s="13"/>
      </tp>
      <tp t="e">
        <v>#N/A</v>
        <stp/>
        <stp>BDH|12058745699550995096</stp>
        <tr r="R200" s="18"/>
      </tp>
      <tp t="e">
        <v>#N/A</v>
        <stp/>
        <stp>BDH|12979627225988137220</stp>
        <tr r="AA68" s="13"/>
      </tp>
      <tp t="e">
        <v>#N/A</v>
        <stp/>
        <stp>BDH|17033888324321176005</stp>
        <tr r="C188" s="18"/>
      </tp>
      <tp t="e">
        <v>#N/A</v>
        <stp/>
        <stp>BDH|10663724790520896214</stp>
        <tr r="V17" s="17"/>
        <tr r="V20" s="28"/>
      </tp>
      <tp t="e">
        <v>#N/A</v>
        <stp/>
        <stp>BDH|11605298412559229726</stp>
        <tr r="S15" s="34"/>
      </tp>
      <tp t="e">
        <v>#N/A</v>
        <stp/>
        <stp>BDH|11179418693665601580</stp>
        <tr r="X92" s="18"/>
      </tp>
      <tp t="e">
        <v>#N/A</v>
        <stp/>
        <stp>BDH|17277712631937975862</stp>
        <tr r="G25" s="24"/>
      </tp>
      <tp t="e">
        <v>#N/A</v>
        <stp/>
        <stp>BDH|15077469976703501981</stp>
        <tr r="U63" s="12"/>
      </tp>
      <tp t="e">
        <v>#N/A</v>
        <stp/>
        <stp>BDH|18234374968356151719</stp>
        <tr r="Y54" s="11"/>
      </tp>
      <tp t="e">
        <v>#N/A</v>
        <stp/>
        <stp>BDH|13185133585031816722</stp>
        <tr r="U18" s="26"/>
      </tp>
      <tp t="e">
        <v>#N/A</v>
        <stp/>
        <stp>BDH|12772981312857432145</stp>
        <tr r="Q12" s="22"/>
      </tp>
      <tp t="e">
        <v>#N/A</v>
        <stp/>
        <stp>BDH|17979502830149389473</stp>
        <tr r="K53" s="24"/>
      </tp>
      <tp t="e">
        <v>#N/A</v>
        <stp/>
        <stp>BDH|14718720129968230534</stp>
        <tr r="X43" s="4"/>
      </tp>
      <tp t="e">
        <v>#N/A</v>
        <stp/>
        <stp>BDH|10921541573989344701</stp>
        <tr r="M45" s="22"/>
      </tp>
      <tp t="e">
        <v>#N/A</v>
        <stp/>
        <stp>BDH|12344879970965881413</stp>
        <tr r="K24" s="24"/>
      </tp>
      <tp t="e">
        <v>#N/A</v>
        <stp/>
        <stp>BDH|14483561882343467692</stp>
        <tr r="T32" s="22"/>
      </tp>
      <tp t="e">
        <v>#N/A</v>
        <stp/>
        <stp>BDH|12774570102819852277</stp>
        <tr r="E35" s="26"/>
      </tp>
      <tp t="e">
        <v>#N/A</v>
        <stp/>
        <stp>BDH|16849947186019077278</stp>
        <tr r="P63" s="34"/>
      </tp>
      <tp t="e">
        <v>#N/A</v>
        <stp/>
        <stp>BDH|14646231785857467598</stp>
        <tr r="Y18" s="13"/>
      </tp>
      <tp t="e">
        <v>#N/A</v>
        <stp/>
        <stp>BDH|18101540515318986848</stp>
        <tr r="H44" s="24"/>
      </tp>
      <tp t="e">
        <v>#N/A</v>
        <stp/>
        <stp>BDH|14409640588131755726</stp>
        <tr r="V23" s="30"/>
        <tr r="V25" s="23"/>
      </tp>
      <tp t="e">
        <v>#N/A</v>
        <stp/>
        <stp>BDH|10872241592360319704</stp>
        <tr r="C144" s="18"/>
      </tp>
      <tp t="e">
        <v>#N/A</v>
        <stp/>
        <stp>BDH|12174662665989682794</stp>
        <tr r="R39" s="10"/>
        <tr r="R29" s="11"/>
      </tp>
      <tp t="e">
        <v>#N/A</v>
        <stp/>
        <stp>BDH|10844755994490265264</stp>
        <tr r="I195" s="18"/>
      </tp>
      <tp t="e">
        <v>#N/A</v>
        <stp/>
        <stp>BDH|18318815494132312782</stp>
        <tr r="H32" s="14"/>
      </tp>
      <tp t="e">
        <v>#N/A</v>
        <stp/>
        <stp>BDH|14102487850668415106</stp>
        <tr r="C49" s="24"/>
      </tp>
      <tp t="e">
        <v>#N/A</v>
        <stp/>
        <stp>BDH|17956339954115595862</stp>
        <tr r="E69" s="34"/>
      </tp>
      <tp t="e">
        <v>#N/A</v>
        <stp/>
        <stp>BDH|15380895935142590070</stp>
        <tr r="T40" s="6"/>
      </tp>
      <tp t="e">
        <v>#N/A</v>
        <stp/>
        <stp>BDH|15189673088654126334</stp>
        <tr r="O99" s="12"/>
      </tp>
      <tp t="e">
        <v>#N/A</v>
        <stp/>
        <stp>BDH|14875852723747693540</stp>
        <tr r="C59" s="34"/>
      </tp>
      <tp t="e">
        <v>#N/A</v>
        <stp/>
        <stp>BDH|14982817541141353560</stp>
        <tr r="S17" s="10"/>
        <tr r="U16" s="13"/>
        <tr r="U30" s="13"/>
      </tp>
      <tp t="e">
        <v>#N/A</v>
        <stp/>
        <stp>BDH|16525843878822252776</stp>
        <tr r="G33" s="21"/>
      </tp>
      <tp t="e">
        <v>#N/A</v>
        <stp/>
        <stp>BDH|10161625385185803728</stp>
        <tr r="P94" s="18"/>
      </tp>
      <tp t="e">
        <v>#N/A</v>
        <stp/>
        <stp>BDH|14907820317059738879</stp>
        <tr r="K75" s="34"/>
      </tp>
      <tp t="e">
        <v>#N/A</v>
        <stp/>
        <stp>BDH|13860218426198417774</stp>
        <tr r="V10" s="24"/>
      </tp>
      <tp t="e">
        <v>#N/A</v>
        <stp/>
        <stp>BDH|15386243041398984739</stp>
        <tr r="U26" s="26"/>
      </tp>
      <tp t="e">
        <v>#N/A</v>
        <stp/>
        <stp>BDH|16891110787616552573</stp>
        <tr r="T129" s="18"/>
      </tp>
      <tp t="e">
        <v>#N/A</v>
        <stp/>
        <stp>BDH|11888451692551130127</stp>
        <tr r="O175" s="18"/>
      </tp>
      <tp t="e">
        <v>#N/A</v>
        <stp/>
        <stp>BDH|12083228319924687919</stp>
        <tr r="Z46" s="12"/>
      </tp>
      <tp t="e">
        <v>#N/A</v>
        <stp/>
        <stp>BDH|14935062273958982798</stp>
        <tr r="N47" s="34"/>
      </tp>
      <tp t="e">
        <v>#N/A</v>
        <stp/>
        <stp>BDH|11399508696930070191</stp>
        <tr r="V130" s="18"/>
      </tp>
      <tp t="e">
        <v>#N/A</v>
        <stp/>
        <stp>BDH|10068921744527253689</stp>
        <tr r="Z45" s="21"/>
      </tp>
      <tp t="e">
        <v>#N/A</v>
        <stp/>
        <stp>BDH|14765565246648388180</stp>
        <tr r="G64" s="34"/>
      </tp>
      <tp t="e">
        <v>#N/A</v>
        <stp/>
        <stp>BDH|16260800913813423091</stp>
        <tr r="D10" s="8"/>
      </tp>
      <tp t="e">
        <v>#N/A</v>
        <stp/>
        <stp>BDH|11996026112828781422</stp>
        <tr r="E15" s="30"/>
      </tp>
      <tp t="e">
        <v>#N/A</v>
        <stp/>
        <stp>BDH|10417736242827831811</stp>
        <tr r="Z9" s="30"/>
      </tp>
      <tp t="e">
        <v>#N/A</v>
        <stp/>
        <stp>BDH|16935539281777683018</stp>
        <tr r="F9" s="17"/>
      </tp>
      <tp t="e">
        <v>#N/A</v>
        <stp/>
        <stp>BDH|11115244075028829044</stp>
        <tr r="R17" s="34"/>
      </tp>
      <tp t="e">
        <v>#N/A</v>
        <stp/>
        <stp>BDH|18332251451404838736</stp>
        <tr r="P205" s="18"/>
      </tp>
      <tp t="e">
        <v>#N/A</v>
        <stp/>
        <stp>BDH|12665243590860762598</stp>
        <tr r="Z181" s="18"/>
      </tp>
      <tp t="e">
        <v>#N/A</v>
        <stp/>
        <stp>BDH|15120945308490251034</stp>
        <tr r="C86" s="24"/>
      </tp>
      <tp t="e">
        <v>#N/A</v>
        <stp/>
        <stp>BDH|12627998306691697637</stp>
        <tr r="W202" s="18"/>
      </tp>
      <tp t="e">
        <v>#N/A</v>
        <stp/>
        <stp>BDH|18293676061871931516</stp>
        <tr r="H131" s="18"/>
      </tp>
      <tp t="e">
        <v>#N/A</v>
        <stp/>
        <stp>BDH|15357846678367374105</stp>
        <tr r="L15" s="13"/>
      </tp>
      <tp t="e">
        <v>#N/A</v>
        <stp/>
        <stp>BDH|15594040904910070996</stp>
        <tr r="G46" s="18"/>
      </tp>
      <tp t="e">
        <v>#N/A</v>
        <stp/>
        <stp>BDH|15826303703618450232</stp>
        <tr r="R106" s="18"/>
      </tp>
      <tp t="e">
        <v>#N/A</v>
        <stp/>
        <stp>BDH|15271867786020939974</stp>
        <tr r="G21" s="34"/>
      </tp>
      <tp t="e">
        <v>#N/A</v>
        <stp/>
        <stp>BDH|10829039883851738537</stp>
        <tr r="AA43" s="22"/>
      </tp>
      <tp t="e">
        <v>#N/A</v>
        <stp/>
        <stp>BDH|10849165217218206474</stp>
        <tr r="S44" s="24"/>
      </tp>
      <tp t="e">
        <v>#N/A</v>
        <stp/>
        <stp>BDH|10446816997519951475</stp>
        <tr r="C86" s="12"/>
      </tp>
      <tp t="e">
        <v>#N/A</v>
        <stp/>
        <stp>BDH|12838528956879029706</stp>
        <tr r="H96" s="12"/>
      </tp>
      <tp t="e">
        <v>#N/A</v>
        <stp/>
        <stp>BDH|15245941272413918417</stp>
        <tr r="F99" s="12"/>
      </tp>
      <tp t="e">
        <v>#N/A</v>
        <stp/>
        <stp>BDH|17572909022294290493</stp>
        <tr r="D21" s="2"/>
      </tp>
      <tp t="e">
        <v>#N/A</v>
        <stp/>
        <stp>BDH|12190503659539381771</stp>
        <tr r="P21" s="27"/>
      </tp>
      <tp t="e">
        <v>#N/A</v>
        <stp/>
        <stp>BDH|16649172276148212493</stp>
        <tr r="V29" s="34"/>
      </tp>
      <tp t="e">
        <v>#N/A</v>
        <stp/>
        <stp>BDH|15137212718783331970</stp>
        <tr r="V20" s="12"/>
      </tp>
      <tp t="e">
        <v>#N/A</v>
        <stp/>
        <stp>BDH|13820916571035734432</stp>
        <tr r="I110" s="18"/>
      </tp>
      <tp t="e">
        <v>#N/A</v>
        <stp/>
        <stp>BDH|17565479979281119968</stp>
        <tr r="P22" s="7"/>
      </tp>
      <tp t="e">
        <v>#N/A</v>
        <stp/>
        <stp>BDH|15869111634602041911</stp>
        <tr r="E37" s="21"/>
      </tp>
      <tp t="e">
        <v>#N/A</v>
        <stp/>
        <stp>BDH|15720193397984657506</stp>
        <tr r="W197" s="18"/>
      </tp>
      <tp t="e">
        <v>#N/A</v>
        <stp/>
        <stp>BDH|14602979278273617501</stp>
        <tr r="J78" s="34"/>
      </tp>
      <tp t="e">
        <v>#N/A</v>
        <stp/>
        <stp>BDH|12830549115019167376</stp>
        <tr r="J14" s="2"/>
        <tr r="J11" s="10"/>
      </tp>
      <tp t="e">
        <v>#N/A</v>
        <stp/>
        <stp>BDH|17386039630931828973</stp>
        <tr r="W26" s="25"/>
        <tr r="W12" s="27"/>
      </tp>
      <tp t="e">
        <v>#N/A</v>
        <stp/>
        <stp>BDH|12938969642653210005</stp>
        <tr r="V49" s="13"/>
      </tp>
      <tp t="e">
        <v>#N/A</v>
        <stp/>
        <stp>BDH|13536273396802954622</stp>
        <tr r="I59" s="21"/>
        <tr r="I37" s="25"/>
        <tr r="G31" s="4"/>
        <tr r="G52" s="11"/>
      </tp>
      <tp t="e">
        <v>#N/A</v>
        <stp/>
        <stp>BDH|14720980404192147359</stp>
        <tr r="H13" s="26"/>
      </tp>
      <tp t="e">
        <v>#N/A</v>
        <stp/>
        <stp>BDH|11020786225568472068</stp>
        <tr r="R40" s="12"/>
      </tp>
      <tp t="e">
        <v>#N/A</v>
        <stp/>
        <stp>BDH|11489964969133781138</stp>
        <tr r="N16" s="10"/>
      </tp>
      <tp t="e">
        <v>#N/A</v>
        <stp/>
        <stp>BDH|18072215874044260588</stp>
        <tr r="C82" s="12"/>
      </tp>
      <tp t="e">
        <v>#N/A</v>
        <stp/>
        <stp>BDH|18397897662293422932</stp>
        <tr r="H59" s="17"/>
      </tp>
      <tp t="e">
        <v>#N/A</v>
        <stp/>
        <stp>BDH|15911451966998498313</stp>
        <tr r="E20" s="17"/>
      </tp>
      <tp t="e">
        <v>#N/A</v>
        <stp/>
        <stp>BDH|11339985413492231752</stp>
        <tr r="U12" s="22"/>
      </tp>
      <tp t="e">
        <v>#N/A</v>
        <stp/>
        <stp>BDH|18242530753232968642</stp>
        <tr r="M163" s="18"/>
      </tp>
      <tp t="e">
        <v>#N/A</v>
        <stp/>
        <stp>BDH|17667640549341425805</stp>
        <tr r="J27" s="24"/>
      </tp>
      <tp t="e">
        <v>#N/A</v>
        <stp/>
        <stp>BDH|15227929533307918458</stp>
        <tr r="M8" s="11"/>
      </tp>
      <tp t="e">
        <v>#N/A</v>
        <stp/>
        <stp>BDH|16201481965921800989</stp>
        <tr r="G6" s="2"/>
        <tr r="F6" s="5"/>
        <tr r="F6" s="9"/>
        <tr r="H12" s="8"/>
        <tr r="H10" s="29"/>
        <tr r="H19" s="29"/>
        <tr r="H25" s="29"/>
      </tp>
      <tp t="e">
        <v>#N/A</v>
        <stp/>
        <stp>BDH|16212355038478710270</stp>
        <tr r="L24" s="27"/>
      </tp>
      <tp t="e">
        <v>#N/A</v>
        <stp/>
        <stp>BDH|13810425233179551131</stp>
        <tr r="O31" s="12"/>
      </tp>
      <tp t="e">
        <v>#N/A</v>
        <stp/>
        <stp>BDH|17643638483171844418</stp>
        <tr r="I90" s="24"/>
      </tp>
      <tp t="e">
        <v>#N/A</v>
        <stp/>
        <stp>BDH|11353869227237492097</stp>
        <tr r="T99" s="18"/>
      </tp>
      <tp t="e">
        <v>#N/A</v>
        <stp/>
        <stp>BDH|15785589165273361965</stp>
        <tr r="G49" s="4"/>
      </tp>
      <tp t="e">
        <v>#N/A</v>
        <stp/>
        <stp>BDH|12862181252403968942</stp>
        <tr r="N33" s="22"/>
      </tp>
      <tp t="e">
        <v>#N/A</v>
        <stp/>
        <stp>BDH|11420973136707322093</stp>
        <tr r="F62" s="18"/>
      </tp>
      <tp t="e">
        <v>#N/A</v>
        <stp/>
        <stp>BDH|17323145487612944062</stp>
        <tr r="V28" s="25"/>
        <tr r="V14" s="27"/>
      </tp>
      <tp t="e">
        <v>#N/A</v>
        <stp/>
        <stp>BDH|16398015694812176185</stp>
        <tr r="X69" s="18"/>
      </tp>
      <tp t="e">
        <v>#N/A</v>
        <stp/>
        <stp>BDH|18258661543695820306</stp>
        <tr r="J171" s="18"/>
      </tp>
      <tp t="e">
        <v>#N/A</v>
        <stp/>
        <stp>BDH|15458602062690921905</stp>
        <tr r="P45" s="12"/>
      </tp>
      <tp t="e">
        <v>#N/A</v>
        <stp/>
        <stp>BDH|16084743651719904139</stp>
        <tr r="M23" s="12"/>
      </tp>
      <tp t="e">
        <v>#N/A</v>
        <stp/>
        <stp>BDH|15093801319008186875</stp>
        <tr r="S15" s="14"/>
      </tp>
      <tp t="e">
        <v>#N/A</v>
        <stp/>
        <stp>BDH|13445995710224013327</stp>
        <tr r="O127" s="18"/>
      </tp>
      <tp t="e">
        <v>#N/A</v>
        <stp/>
        <stp>BDH|17035672774473496989</stp>
        <tr r="K34" s="10"/>
        <tr r="K24" s="11"/>
      </tp>
      <tp t="e">
        <v>#N/A</v>
        <stp/>
        <stp>BDH|16020727132956896870</stp>
        <tr r="H38" s="22"/>
      </tp>
      <tp t="e">
        <v>#N/A</v>
        <stp/>
        <stp>BDH|10181021008809170552</stp>
        <tr r="V51" s="34"/>
      </tp>
      <tp t="e">
        <v>#N/A</v>
        <stp/>
        <stp>BDH|15942973113402211319</stp>
        <tr r="U8" s="10"/>
      </tp>
      <tp t="e">
        <v>#N/A</v>
        <stp/>
        <stp>BDH|14151278983327323586</stp>
        <tr r="G14" s="11"/>
      </tp>
      <tp t="e">
        <v>#N/A</v>
        <stp/>
        <stp>BDH|10940594446739051488</stp>
        <tr r="Z59" s="24"/>
      </tp>
      <tp t="e">
        <v>#N/A</v>
        <stp/>
        <stp>BDH|10196194445880298916</stp>
        <tr r="R71" s="18"/>
      </tp>
      <tp t="e">
        <v>#N/A</v>
        <stp/>
        <stp>BDH|14068137899307683723</stp>
        <tr r="Y67" s="18"/>
      </tp>
      <tp t="e">
        <v>#N/A</v>
        <stp/>
        <stp>BDH|18291468750930328592</stp>
        <tr r="U86" s="17"/>
      </tp>
      <tp t="e">
        <v>#N/A</v>
        <stp/>
        <stp>BDH|13722256156048280084</stp>
        <tr r="U50" s="17"/>
      </tp>
      <tp t="e">
        <v>#N/A</v>
        <stp/>
        <stp>BDH|13199455137199979145</stp>
        <tr r="G57" s="34"/>
      </tp>
      <tp t="e">
        <v>#N/A</v>
        <stp/>
        <stp>BDH|10293813278250510307</stp>
        <tr r="D14" s="21"/>
      </tp>
      <tp t="e">
        <v>#N/A</v>
        <stp/>
        <stp>BDH|10240627294265839621</stp>
        <tr r="N46" s="21"/>
      </tp>
      <tp t="e">
        <v>#N/A</v>
        <stp/>
        <stp>BDH|16188306687421983011</stp>
        <tr r="T31" s="25"/>
        <tr r="Q14" s="5"/>
        <tr r="T17" s="27"/>
      </tp>
      <tp t="e">
        <v>#N/A</v>
        <stp/>
        <stp>BDH|11540950061561621391</stp>
        <tr r="H53" s="24"/>
      </tp>
      <tp t="e">
        <v>#N/A</v>
        <stp/>
        <stp>BDH|16141160391004855603</stp>
        <tr r="X94" s="12"/>
      </tp>
      <tp t="e">
        <v>#N/A</v>
        <stp/>
        <stp>BDH|10764462186627056795</stp>
        <tr r="P66" s="18"/>
      </tp>
      <tp t="e">
        <v>#N/A</v>
        <stp/>
        <stp>BDH|15698141074837806801</stp>
        <tr r="R35" s="6"/>
      </tp>
      <tp t="e">
        <v>#N/A</v>
        <stp/>
        <stp>BDH|16122222085087132792</stp>
        <tr r="I88" s="12"/>
      </tp>
      <tp t="e">
        <v>#N/A</v>
        <stp/>
        <stp>BDH|17933465641082359932</stp>
        <tr r="K50" s="4"/>
      </tp>
      <tp t="e">
        <v>#N/A</v>
        <stp/>
        <stp>BDH|17213985633415373446</stp>
        <tr r="C6" s="19"/>
        <tr r="C34" s="17"/>
        <tr r="C16" s="3"/>
      </tp>
      <tp t="e">
        <v>#N/A</v>
        <stp/>
        <stp>BDH|14247450382652813632</stp>
        <tr r="M58" s="34"/>
      </tp>
      <tp t="e">
        <v>#N/A</v>
        <stp/>
        <stp>BDH|11899301368368631088</stp>
        <tr r="S51" s="13"/>
      </tp>
      <tp t="e">
        <v>#N/A</v>
        <stp/>
        <stp>BDH|13707247599982777639</stp>
        <tr r="F51" s="21"/>
      </tp>
      <tp t="e">
        <v>#N/A</v>
        <stp/>
        <stp>BDH|13732792081682515246</stp>
        <tr r="T45" s="17"/>
      </tp>
      <tp t="e">
        <v>#N/A</v>
        <stp/>
        <stp>BDH|13791087505827469800</stp>
        <tr r="V13" s="7"/>
      </tp>
      <tp t="e">
        <v>#N/A</v>
        <stp/>
        <stp>BDH|12054883544402562074</stp>
        <tr r="Y29" s="12"/>
      </tp>
      <tp t="e">
        <v>#N/A</v>
        <stp/>
        <stp>BDH|12136963648336726566</stp>
        <tr r="G83" s="12"/>
      </tp>
      <tp t="e">
        <v>#N/A</v>
        <stp/>
        <stp>BDH|11873806700887264249</stp>
        <tr r="S57" s="24"/>
      </tp>
      <tp t="e">
        <v>#N/A</v>
        <stp/>
        <stp>BDH|12524209293793925618</stp>
        <tr r="C95" s="17"/>
      </tp>
      <tp t="e">
        <v>#N/A</v>
        <stp/>
        <stp>BDH|17594088272608630472</stp>
        <tr r="L34" s="26"/>
      </tp>
      <tp t="e">
        <v>#N/A</v>
        <stp/>
        <stp>BDH|13871324728847880945</stp>
        <tr r="L47" s="24"/>
      </tp>
      <tp t="e">
        <v>#N/A</v>
        <stp/>
        <stp>BDH|14089982617324950489</stp>
        <tr r="AA94" s="12"/>
      </tp>
      <tp t="e">
        <v>#N/A</v>
        <stp/>
        <stp>BDH|10288132568418026379</stp>
        <tr r="Q14" s="13"/>
      </tp>
      <tp t="e">
        <v>#N/A</v>
        <stp/>
        <stp>BDH|12357407812202876973</stp>
        <tr r="J69" s="34"/>
      </tp>
      <tp t="e">
        <v>#N/A</v>
        <stp/>
        <stp>BDH|14130904429463024065</stp>
        <tr r="R67" s="34"/>
      </tp>
      <tp t="e">
        <v>#N/A</v>
        <stp/>
        <stp>BDH|14644618037128319427</stp>
        <tr r="X154" s="18"/>
      </tp>
      <tp t="e">
        <v>#N/A</v>
        <stp/>
        <stp>BDH|14272911333746184503</stp>
        <tr r="M34" s="21"/>
      </tp>
      <tp t="e">
        <v>#N/A</v>
        <stp/>
        <stp>BDH|13340613397552685320</stp>
        <tr r="K144" s="18"/>
      </tp>
      <tp t="e">
        <v>#N/A</v>
        <stp/>
        <stp>BDH|11388503338852991833</stp>
        <tr r="Y22" s="11"/>
      </tp>
      <tp t="e">
        <v>#N/A</v>
        <stp/>
        <stp>BDH|12068653842548581531</stp>
        <tr r="S80" s="24"/>
      </tp>
      <tp t="e">
        <v>#N/A</v>
        <stp/>
        <stp>BDH|11966396459073804909</stp>
        <tr r="D134" s="18"/>
      </tp>
      <tp t="e">
        <v>#N/A</v>
        <stp/>
        <stp>BDH|10095969705454154038</stp>
        <tr r="M79" s="34"/>
      </tp>
      <tp t="e">
        <v>#N/A</v>
        <stp/>
        <stp>BDH|13214220254951106840</stp>
        <tr r="O65" s="21"/>
        <tr r="M23" s="7"/>
      </tp>
      <tp t="e">
        <v>#N/A</v>
        <stp/>
        <stp>BDH|15159840981448001059</stp>
        <tr r="F117" s="18"/>
      </tp>
      <tp t="e">
        <v>#N/A</v>
        <stp/>
        <stp>BDH|14021673359259921369</stp>
        <tr r="C54" s="6"/>
      </tp>
      <tp t="e">
        <v>#N/A</v>
        <stp/>
        <stp>BDH|14553904853927658215</stp>
        <tr r="X7" s="34"/>
      </tp>
      <tp t="e">
        <v>#N/A</v>
        <stp/>
        <stp>BDH|13109977302206721128</stp>
        <tr r="Z13" s="13"/>
      </tp>
      <tp t="e">
        <v>#N/A</v>
        <stp/>
        <stp>BDH|14664187855815337895</stp>
        <tr r="AA16" s="22"/>
      </tp>
      <tp t="e">
        <v>#N/A</v>
        <stp/>
        <stp>BDH|13394345509364716981</stp>
        <tr r="F9" s="23"/>
      </tp>
      <tp t="e">
        <v>#N/A</v>
        <stp/>
        <stp>BDH|13343941735276318208</stp>
        <tr r="T105" s="18"/>
      </tp>
      <tp t="e">
        <v>#N/A</v>
        <stp/>
        <stp>BDH|10066608961195990898</stp>
        <tr r="K14" s="8"/>
      </tp>
      <tp t="e">
        <v>#N/A</v>
        <stp/>
        <stp>BDH|10999397776749600014</stp>
        <tr r="K56" s="18"/>
      </tp>
      <tp t="e">
        <v>#N/A</v>
        <stp/>
        <stp>BDH|11068933605692791707</stp>
        <tr r="F51" s="24"/>
      </tp>
      <tp t="e">
        <v>#N/A</v>
        <stp/>
        <stp>BDH|11895598582260170139</stp>
        <tr r="W29" s="18"/>
      </tp>
      <tp t="e">
        <v>#N/A</v>
        <stp/>
        <stp>BDH|12152530878719889436</stp>
        <tr r="Q11" s="18"/>
      </tp>
      <tp t="e">
        <v>#N/A</v>
        <stp/>
        <stp>BDH|11324918146508688934</stp>
        <tr r="W201" s="18"/>
      </tp>
      <tp t="e">
        <v>#N/A</v>
        <stp/>
        <stp>BDH|16721673809234056985</stp>
        <tr r="S127" s="18"/>
      </tp>
      <tp t="e">
        <v>#N/A</v>
        <stp/>
        <stp>BDH|17949134224070972964</stp>
        <tr r="G57" s="24"/>
      </tp>
      <tp t="e">
        <v>#N/A</v>
        <stp/>
        <stp>BDH|16510667845549265056</stp>
        <tr r="K46" s="21"/>
      </tp>
      <tp t="e">
        <v>#N/A</v>
        <stp/>
        <stp>BDH|16247645466518055312</stp>
        <tr r="O39" s="18"/>
      </tp>
      <tp t="e">
        <v>#N/A</v>
        <stp/>
        <stp>BDH|11122583799772229236</stp>
        <tr r="L28" s="27"/>
      </tp>
      <tp t="e">
        <v>#N/A</v>
        <stp/>
        <stp>BDH|16424428292211092753</stp>
        <tr r="K44" s="17"/>
      </tp>
      <tp t="e">
        <v>#N/A</v>
        <stp/>
        <stp>BDH|11342183353121900904</stp>
        <tr r="V9" s="22"/>
      </tp>
      <tp t="e">
        <v>#N/A</v>
        <stp/>
        <stp>BDH|14447180785142157292</stp>
        <tr r="Y37" s="12"/>
      </tp>
      <tp t="e">
        <v>#N/A</v>
        <stp/>
        <stp>BDH|12479251798011932514</stp>
        <tr r="F11" s="29"/>
      </tp>
      <tp t="e">
        <v>#N/A</v>
        <stp/>
        <stp>BDH|15238914414057474721</stp>
        <tr r="X20" s="17"/>
      </tp>
      <tp t="e">
        <v>#N/A</v>
        <stp/>
        <stp>BDH|18010360877935592450</stp>
        <tr r="U36" s="18"/>
      </tp>
      <tp t="e">
        <v>#N/A</v>
        <stp/>
        <stp>BDH|10863627848167397808</stp>
        <tr r="P26" s="25"/>
        <tr r="P12" s="27"/>
      </tp>
      <tp t="e">
        <v>#N/A</v>
        <stp/>
        <stp>BDH|12709869569340139188</stp>
        <tr r="T80" s="24"/>
      </tp>
      <tp t="e">
        <v>#N/A</v>
        <stp/>
        <stp>BDH|10302832514795557100</stp>
        <tr r="C32" s="34"/>
      </tp>
      <tp t="e">
        <v>#N/A</v>
        <stp/>
        <stp>BDH|18319742533794363562</stp>
        <tr r="Z19" s="30"/>
      </tp>
      <tp t="e">
        <v>#N/A</v>
        <stp/>
        <stp>BDH|11353936136162542423</stp>
        <tr r="I27" s="10"/>
        <tr r="K36" s="13"/>
      </tp>
      <tp t="e">
        <v>#N/A</v>
        <stp/>
        <stp>BDH|18265281377696859641</stp>
        <tr r="S34" s="6"/>
      </tp>
      <tp t="e">
        <v>#N/A</v>
        <stp/>
        <stp>BDH|16442955985383503906</stp>
        <tr r="M64" s="12"/>
      </tp>
      <tp t="e">
        <v>#N/A</v>
        <stp/>
        <stp>BDH|16894983142195128332</stp>
        <tr r="F17" s="9"/>
      </tp>
      <tp t="e">
        <v>#N/A</v>
        <stp/>
        <stp>BDH|11285667745246477851</stp>
        <tr r="G48" s="13"/>
      </tp>
      <tp t="e">
        <v>#N/A</v>
        <stp/>
        <stp>BDH|16754131597467190423</stp>
        <tr r="J6" s="27"/>
      </tp>
      <tp t="e">
        <v>#N/A</v>
        <stp/>
        <stp>BDH|17785845844477575126</stp>
        <tr r="X22" s="20"/>
      </tp>
      <tp t="e">
        <v>#N/A</v>
        <stp/>
        <stp>BDH|11992804318097616274</stp>
        <tr r="K49" s="4"/>
      </tp>
      <tp t="e">
        <v>#N/A</v>
        <stp/>
        <stp>BDH|12648327187107687352</stp>
        <tr r="J73" s="18"/>
      </tp>
      <tp t="e">
        <v>#N/A</v>
        <stp/>
        <stp>BDH|12084273977333077907</stp>
        <tr r="V169" s="18"/>
      </tp>
      <tp t="e">
        <v>#N/A</v>
        <stp/>
        <stp>BDH|16492819044484431358</stp>
        <tr r="C74" s="12"/>
      </tp>
      <tp t="e">
        <v>#N/A</v>
        <stp/>
        <stp>BDH|12198208085336141359</stp>
        <tr r="F10" s="12"/>
      </tp>
      <tp t="e">
        <v>#N/A</v>
        <stp/>
        <stp>BDH|13455825230773211649</stp>
        <tr r="M69" s="18"/>
      </tp>
      <tp t="e">
        <v>#N/A</v>
        <stp/>
        <stp>BDH|18295304562785759571</stp>
        <tr r="N24" s="21"/>
      </tp>
      <tp t="e">
        <v>#N/A</v>
        <stp/>
        <stp>BDH|10772396823728893452</stp>
        <tr r="K16" s="18"/>
      </tp>
      <tp t="e">
        <v>#N/A</v>
        <stp/>
        <stp>BDH|12658871073367335719</stp>
        <tr r="Y17" s="10"/>
        <tr r="AA16" s="13"/>
        <tr r="AA30" s="13"/>
      </tp>
      <tp t="e">
        <v>#N/A</v>
        <stp/>
        <stp>BDH|14088753440669181348</stp>
        <tr r="R24" s="10"/>
      </tp>
      <tp t="e">
        <v>#N/A</v>
        <stp/>
        <stp>BDH|15347954630203586137</stp>
        <tr r="R190" s="18"/>
      </tp>
      <tp t="e">
        <v>#N/A</v>
        <stp/>
        <stp>BDH|10098077611508435424</stp>
        <tr r="J32" s="10"/>
        <tr r="L41" s="13"/>
      </tp>
      <tp t="e">
        <v>#N/A</v>
        <stp/>
        <stp>BDH|15892527375132666895</stp>
        <tr r="Q58" s="24"/>
      </tp>
      <tp t="e">
        <v>#N/A</v>
        <stp/>
        <stp>BDH|17408033774944496970</stp>
        <tr r="G80" s="12"/>
      </tp>
      <tp t="e">
        <v>#N/A</v>
        <stp/>
        <stp>BDH|17630546896632344474</stp>
        <tr r="W90" s="17"/>
        <tr r="W34" s="25"/>
      </tp>
      <tp t="e">
        <v>#N/A</v>
        <stp/>
        <stp>BDH|16022555498553831452</stp>
        <tr r="D39" s="26"/>
      </tp>
      <tp t="e">
        <v>#N/A</v>
        <stp/>
        <stp>BDH|11546500284696272737</stp>
        <tr r="G11" s="7"/>
      </tp>
      <tp t="e">
        <v>#N/A</v>
        <stp/>
        <stp>BDH|11114001154459709026</stp>
        <tr r="V82" s="18"/>
      </tp>
      <tp t="e">
        <v>#N/A</v>
        <stp/>
        <stp>BDH|12020131803446746871</stp>
        <tr r="S47" s="17"/>
      </tp>
      <tp t="e">
        <v>#N/A</v>
        <stp/>
        <stp>BDH|13535220031618303757</stp>
        <tr r="X48" s="13"/>
      </tp>
      <tp t="e">
        <v>#N/A</v>
        <stp/>
        <stp>BDH|17654146021259736040</stp>
        <tr r="O86" s="24"/>
      </tp>
      <tp t="e">
        <v>#N/A</v>
        <stp/>
        <stp>BDH|12045357780111450515</stp>
        <tr r="P86" s="12"/>
      </tp>
      <tp t="e">
        <v>#N/A</v>
        <stp/>
        <stp>BDH|11099304352913760953</stp>
        <tr r="T14" s="12"/>
      </tp>
      <tp t="e">
        <v>#N/A</v>
        <stp/>
        <stp>BDH|13395558452679230765</stp>
        <tr r="K25" s="5"/>
      </tp>
      <tp t="e">
        <v>#N/A</v>
        <stp/>
        <stp>BDH|13121027975049715013</stp>
        <tr r="M43" s="6"/>
      </tp>
      <tp t="e">
        <v>#N/A</v>
        <stp/>
        <stp>BDH|12611359793615094000</stp>
        <tr r="E152" s="18"/>
      </tp>
      <tp t="e">
        <v>#N/A</v>
        <stp/>
        <stp>BDH|15362261123288455026</stp>
        <tr r="C126" s="18"/>
      </tp>
      <tp t="e">
        <v>#N/A</v>
        <stp/>
        <stp>BDH|18343751496253755874</stp>
        <tr r="F19" s="26"/>
      </tp>
      <tp t="e">
        <v>#N/A</v>
        <stp/>
        <stp>BDH|16860525186186854042</stp>
        <tr r="D76" s="18"/>
      </tp>
      <tp t="e">
        <v>#N/A</v>
        <stp/>
        <stp>BDH|17109335343115117800</stp>
        <tr r="C32" s="18"/>
      </tp>
      <tp t="e">
        <v>#N/A</v>
        <stp/>
        <stp>BDH|10589801415573803789</stp>
        <tr r="T9" s="29"/>
      </tp>
      <tp t="e">
        <v>#N/A</v>
        <stp/>
        <stp>BDH|11254146302105473800</stp>
        <tr r="K8" s="10"/>
      </tp>
      <tp t="e">
        <v>#N/A</v>
        <stp/>
        <stp>BDH|16577112739271461894</stp>
        <tr r="W50" s="13"/>
      </tp>
      <tp t="e">
        <v>#N/A</v>
        <stp/>
        <stp>BDH|18261064561744262776</stp>
        <tr r="I10" s="24"/>
      </tp>
      <tp t="e">
        <v>#N/A</v>
        <stp/>
        <stp>BDH|14941154936142839926</stp>
        <tr r="R60" s="21"/>
        <tr r="P53" s="11"/>
      </tp>
      <tp t="e">
        <v>#N/A</v>
        <stp/>
        <stp>BDH|14613810260202135564</stp>
        <tr r="P37" s="26"/>
      </tp>
      <tp t="e">
        <v>#N/A</v>
        <stp/>
        <stp>BDH|11105363723008375570</stp>
        <tr r="T64" s="12"/>
      </tp>
      <tp t="e">
        <v>#N/A</v>
        <stp/>
        <stp>BDH|17143875151001712604</stp>
        <tr r="W79" s="34"/>
      </tp>
      <tp t="e">
        <v>#N/A</v>
        <stp/>
        <stp>BDH|12227924040036636461</stp>
        <tr r="C27" s="34"/>
      </tp>
      <tp t="e">
        <v>#N/A</v>
        <stp/>
        <stp>BDH|16765949355380161741</stp>
        <tr r="D72" s="17"/>
      </tp>
      <tp t="e">
        <v>#N/A</v>
        <stp/>
        <stp>BDH|17050119656056501817</stp>
        <tr r="R19" s="26"/>
      </tp>
      <tp t="e">
        <v>#N/A</v>
        <stp/>
        <stp>BDH|17527349865276571924</stp>
        <tr r="J32" s="34"/>
      </tp>
      <tp t="e">
        <v>#N/A</v>
        <stp/>
        <stp>BDH|15243194156815844966</stp>
        <tr r="O35" s="6"/>
      </tp>
      <tp t="e">
        <v>#N/A</v>
        <stp/>
        <stp>BDH|11651929699554848864</stp>
        <tr r="Y43" s="17"/>
      </tp>
      <tp t="e">
        <v>#N/A</v>
        <stp/>
        <stp>BDH|10041502983256898684</stp>
        <tr r="J47" s="22"/>
      </tp>
      <tp t="e">
        <v>#N/A</v>
        <stp/>
        <stp>BDH|16349501347892667812</stp>
        <tr r="V9" s="6"/>
      </tp>
      <tp t="e">
        <v>#N/A</v>
        <stp/>
        <stp>BDH|13291445933590052965</stp>
        <tr r="D82" s="18"/>
      </tp>
      <tp t="e">
        <v>#N/A</v>
        <stp/>
        <stp>BDH|17784535301196370953</stp>
        <tr r="N58" s="34"/>
      </tp>
      <tp t="e">
        <v>#N/A</v>
        <stp/>
        <stp>BDH|17485092353588445793</stp>
        <tr r="D26" s="34"/>
      </tp>
      <tp t="e">
        <v>#N/A</v>
        <stp/>
        <stp>BDH|17250739682052606764</stp>
        <tr r="E14" s="12"/>
      </tp>
      <tp t="e">
        <v>#N/A</v>
        <stp/>
        <stp>BDH|16158036970669381525</stp>
        <tr r="C11" s="21"/>
      </tp>
      <tp t="e">
        <v>#N/A</v>
        <stp/>
        <stp>BDH|18367187178063901099</stp>
        <tr r="N51" s="18"/>
      </tp>
      <tp t="e">
        <v>#N/A</v>
        <stp/>
        <stp>BDH|13437586982923457096</stp>
        <tr r="P20" s="27"/>
      </tp>
      <tp t="e">
        <v>#N/A</v>
        <stp/>
        <stp>BDH|15919424769833160905</stp>
        <tr r="X40" s="6"/>
      </tp>
      <tp t="e">
        <v>#N/A</v>
        <stp/>
        <stp>BDH|10796804630382029442</stp>
        <tr r="C27" s="25"/>
        <tr r="C13" s="27"/>
      </tp>
      <tp t="e">
        <v>#N/A</v>
        <stp/>
        <stp>BDH|17649809793059558236</stp>
        <tr r="I43" s="10"/>
        <tr r="I33" s="11"/>
      </tp>
      <tp t="e">
        <v>#N/A</v>
        <stp/>
        <stp>BDH|17042283062937917902</stp>
        <tr r="T18" s="21"/>
      </tp>
      <tp t="e">
        <v>#N/A</v>
        <stp/>
        <stp>BDH|15158541197992381628</stp>
        <tr r="T33" s="9"/>
      </tp>
      <tp t="e">
        <v>#N/A</v>
        <stp/>
        <stp>BDH|11900878576437384489</stp>
        <tr r="M23" s="21"/>
      </tp>
      <tp t="e">
        <v>#N/A</v>
        <stp/>
        <stp>BDH|16497638599583492791</stp>
        <tr r="T24" s="13"/>
      </tp>
      <tp t="e">
        <v>#N/A</v>
        <stp/>
        <stp>BDH|14464444012574828899</stp>
        <tr r="K32" s="22"/>
      </tp>
      <tp t="e">
        <v>#N/A</v>
        <stp/>
        <stp>BDH|14314964880461406922</stp>
        <tr r="O23" s="2"/>
        <tr r="Q19" s="21"/>
        <tr r="Q23" s="3"/>
      </tp>
      <tp t="e">
        <v>#N/A</v>
        <stp/>
        <stp>BDH|16625331596578208925</stp>
        <tr r="AA90" s="12"/>
      </tp>
      <tp t="e">
        <v>#N/A</v>
        <stp/>
        <stp>BDH|10648636263744516907</stp>
        <tr r="N7" s="10"/>
      </tp>
      <tp t="e">
        <v>#N/A</v>
        <stp/>
        <stp>BDH|17049365419001806942</stp>
        <tr r="T20" s="24"/>
      </tp>
      <tp t="e">
        <v>#N/A</v>
        <stp/>
        <stp>BDH|13972832760122823215</stp>
        <tr r="T51" s="21"/>
      </tp>
      <tp t="e">
        <v>#N/A</v>
        <stp/>
        <stp>BDH|16763222331452711802</stp>
        <tr r="N41" s="24"/>
      </tp>
      <tp t="e">
        <v>#N/A</v>
        <stp/>
        <stp>BDH|16071267511360235863</stp>
        <tr r="V8" s="27"/>
      </tp>
      <tp t="e">
        <v>#N/A</v>
        <stp/>
        <stp>BDH|10605659292855303713</stp>
        <tr r="P24" s="13"/>
      </tp>
      <tp t="e">
        <v>#N/A</v>
        <stp/>
        <stp>BDH|10734716395225452643</stp>
        <tr r="T42" s="34"/>
      </tp>
      <tp t="e">
        <v>#N/A</v>
        <stp/>
        <stp>BDH|16506225508431857845</stp>
        <tr r="X49" s="17"/>
      </tp>
      <tp t="e">
        <v>#N/A</v>
        <stp/>
        <stp>BDH|17929027018699656267</stp>
        <tr r="R183" s="18"/>
      </tp>
      <tp t="e">
        <v>#N/A</v>
        <stp/>
        <stp>BDH|14198909950504769153</stp>
        <tr r="V18" s="21"/>
      </tp>
      <tp t="e">
        <v>#N/A</v>
        <stp/>
        <stp>BDH|11240522522699508240</stp>
        <tr r="D62" s="34"/>
      </tp>
      <tp t="e">
        <v>#N/A</v>
        <stp/>
        <stp>BDH|13885407087957807546</stp>
        <tr r="AA12" s="13"/>
      </tp>
      <tp t="e">
        <v>#N/A</v>
        <stp/>
        <stp>BDH|11673169663142972998</stp>
        <tr r="AA143" s="18"/>
      </tp>
      <tp t="e">
        <v>#N/A</v>
        <stp/>
        <stp>BDH|13482997991918601691</stp>
        <tr r="X88" s="18"/>
      </tp>
      <tp t="e">
        <v>#N/A</v>
        <stp/>
        <stp>BDH|15987463808885151950</stp>
        <tr r="Z12" s="25"/>
      </tp>
      <tp t="e">
        <v>#N/A</v>
        <stp/>
        <stp>BDH|14254165580721661117</stp>
        <tr r="AA91" s="24"/>
      </tp>
      <tp t="e">
        <v>#N/A</v>
        <stp/>
        <stp>BDH|17408307844564648953</stp>
        <tr r="L16" s="2"/>
        <tr r="L32" s="4"/>
        <tr r="L62" s="10"/>
        <tr r="N19" s="13"/>
      </tp>
      <tp t="e">
        <v>#N/A</v>
        <stp/>
        <stp>BDH|18015743736051212036</stp>
        <tr r="C61" s="18"/>
      </tp>
      <tp t="e">
        <v>#N/A</v>
        <stp/>
        <stp>BDH|10287985112424953128</stp>
        <tr r="O108" s="18"/>
      </tp>
      <tp t="e">
        <v>#N/A</v>
        <stp/>
        <stp>BDH|18134329374178396976</stp>
        <tr r="L55" s="18"/>
      </tp>
      <tp t="e">
        <v>#N/A</v>
        <stp/>
        <stp>BDH|13190688695559670897</stp>
        <tr r="T74" s="12"/>
      </tp>
      <tp t="e">
        <v>#N/A</v>
        <stp/>
        <stp>BDH|15044322196604029669</stp>
        <tr r="W25" s="25"/>
        <tr r="W10" s="27"/>
      </tp>
      <tp t="e">
        <v>#N/A</v>
        <stp/>
        <stp>BDH|11100933374820117251</stp>
        <tr r="P10" s="34"/>
      </tp>
      <tp t="e">
        <v>#N/A</v>
        <stp/>
        <stp>BDH|15881287781885588764</stp>
        <tr r="J10" s="22"/>
      </tp>
      <tp t="e">
        <v>#N/A</v>
        <stp/>
        <stp>BDH|17097270785340112010</stp>
        <tr r="L26" s="13"/>
      </tp>
      <tp t="e">
        <v>#N/A</v>
        <stp/>
        <stp>BDH|11055861631381683635</stp>
        <tr r="W105" s="18"/>
      </tp>
      <tp t="e">
        <v>#N/A</v>
        <stp/>
        <stp>BDH|17958488707507028940</stp>
        <tr r="F48" s="12"/>
      </tp>
      <tp t="e">
        <v>#N/A</v>
        <stp/>
        <stp>BDH|11552349377418113053</stp>
        <tr r="X34" s="10"/>
        <tr r="X24" s="11"/>
      </tp>
      <tp t="e">
        <v>#N/A</v>
        <stp/>
        <stp>BDH|10816697103723707878</stp>
        <tr r="E119" s="18"/>
        <tr r="E7" s="20"/>
      </tp>
      <tp t="e">
        <v>#N/A</v>
        <stp/>
        <stp>BDH|14762833767153792464</stp>
        <tr r="Q45" s="17"/>
      </tp>
      <tp t="e">
        <v>#N/A</v>
        <stp/>
        <stp>BDH|15860860469832738425</stp>
        <tr r="N59" s="17"/>
      </tp>
      <tp t="e">
        <v>#N/A</v>
        <stp/>
        <stp>BDH|13465268281196706267</stp>
        <tr r="N36" s="18"/>
      </tp>
      <tp t="e">
        <v>#N/A</v>
        <stp/>
        <stp>BDH|18409888949569145061</stp>
        <tr r="J47" s="6"/>
        <tr r="L6" s="8"/>
      </tp>
      <tp t="e">
        <v>#N/A</v>
        <stp/>
        <stp>BDH|17406549024178262541</stp>
        <tr r="I12" s="7"/>
      </tp>
      <tp t="e">
        <v>#N/A</v>
        <stp/>
        <stp>BDH|11353788254806423898</stp>
        <tr r="D27" s="26"/>
      </tp>
      <tp t="e">
        <v>#N/A</v>
        <stp/>
        <stp>BDH|10599088681443917679</stp>
        <tr r="AA87" s="24"/>
      </tp>
      <tp t="e">
        <v>#N/A</v>
        <stp/>
        <stp>BDH|16946984029791384193</stp>
        <tr r="W20" s="24"/>
      </tp>
      <tp t="e">
        <v>#N/A</v>
        <stp/>
        <stp>BDH|12113022803178223703</stp>
        <tr r="Y24" s="18"/>
      </tp>
      <tp t="e">
        <v>#N/A</v>
        <stp/>
        <stp>BDH|11589967220235873299</stp>
        <tr r="D151" s="18"/>
      </tp>
      <tp t="e">
        <v>#N/A</v>
        <stp/>
        <stp>BDH|10021837866560339340</stp>
        <tr r="Z147" s="18"/>
      </tp>
      <tp t="e">
        <v>#N/A</v>
        <stp/>
        <stp>BDH|12717611058314905850</stp>
        <tr r="N75" s="24"/>
      </tp>
      <tp t="e">
        <v>#N/A</v>
        <stp/>
        <stp>BDH|13235841144670465240</stp>
        <tr r="N18" s="11"/>
      </tp>
      <tp t="e">
        <v>#N/A</v>
        <stp/>
        <stp>BDH|12987683082865550444</stp>
        <tr r="R40" s="22"/>
      </tp>
      <tp t="e">
        <v>#N/A</v>
        <stp/>
        <stp>BDH|15534866100328734867</stp>
        <tr r="Q19" s="12"/>
      </tp>
      <tp t="e">
        <v>#N/A</v>
        <stp/>
        <stp>BDH|13819260371833986840</stp>
        <tr r="H41" s="10"/>
        <tr r="H31" s="11"/>
      </tp>
      <tp t="e">
        <v>#N/A</v>
        <stp/>
        <stp>BDH|12141807953593309137</stp>
        <tr r="J24" s="22"/>
      </tp>
      <tp t="e">
        <v>#N/A</v>
        <stp/>
        <stp>BDH|13570944302216341124</stp>
        <tr r="I78" s="24"/>
      </tp>
      <tp t="e">
        <v>#N/A</v>
        <stp/>
        <stp>BDH|17263923915472386049</stp>
        <tr r="H33" s="12"/>
      </tp>
      <tp t="e">
        <v>#N/A</v>
        <stp/>
        <stp>BDH|14318232269505926823</stp>
        <tr r="T87" s="24"/>
      </tp>
      <tp t="e">
        <v>#N/A</v>
        <stp/>
        <stp>BDH|13920959928970017564</stp>
        <tr r="S31" s="9"/>
      </tp>
      <tp t="e">
        <v>#N/A</v>
        <stp/>
        <stp>BDH|10763667910623132923</stp>
        <tr r="K194" s="18"/>
      </tp>
      <tp t="e">
        <v>#N/A</v>
        <stp/>
        <stp>BDH|15022623361661276937</stp>
        <tr r="W37" s="34"/>
      </tp>
      <tp t="e">
        <v>#N/A</v>
        <stp/>
        <stp>BDH|12988764019381784831</stp>
        <tr r="H38" s="21"/>
        <tr r="H24" s="3"/>
      </tp>
      <tp t="e">
        <v>#N/A</v>
        <stp/>
        <stp>BDH|17966699532348230729</stp>
        <tr r="O19" s="5"/>
        <tr r="O42" s="6"/>
      </tp>
      <tp t="e">
        <v>#N/A</v>
        <stp/>
        <stp>BDH|12547816062055603424</stp>
        <tr r="I20" s="5"/>
      </tp>
      <tp t="e">
        <v>#N/A</v>
        <stp/>
        <stp>BDH|15810322231748927000</stp>
        <tr r="N53" s="21"/>
      </tp>
      <tp t="e">
        <v>#N/A</v>
        <stp/>
        <stp>BDH|15563738323824351945</stp>
        <tr r="X11" s="28"/>
      </tp>
      <tp t="e">
        <v>#N/A</v>
        <stp/>
        <stp>BDH|11596713980442634108</stp>
        <tr r="C53" s="18"/>
      </tp>
      <tp t="e">
        <v>#N/A</v>
        <stp/>
        <stp>BDH|12021444880300117371</stp>
        <tr r="V7" s="2"/>
        <tr r="U7" s="5"/>
        <tr r="U7" s="9"/>
        <tr r="X14" s="3"/>
      </tp>
      <tp t="e">
        <v>#N/A</v>
        <stp/>
        <stp>BDH|15873550653549915156</stp>
        <tr r="W87" s="24"/>
      </tp>
      <tp t="e">
        <v>#N/A</v>
        <stp/>
        <stp>BDH|11754322542878785322</stp>
        <tr r="AA66" s="18"/>
      </tp>
      <tp t="e">
        <v>#N/A</v>
        <stp/>
        <stp>BDH|10091627821619184004</stp>
        <tr r="Z86" s="12"/>
      </tp>
      <tp t="e">
        <v>#N/A</v>
        <stp/>
        <stp>BDH|18411008841504276521</stp>
        <tr r="I31" s="10"/>
        <tr r="K40" s="13"/>
      </tp>
      <tp t="e">
        <v>#N/A</v>
        <stp/>
        <stp>BDH|17321409492852418508</stp>
        <tr r="F77" s="17"/>
        <tr r="F19" s="3"/>
      </tp>
      <tp t="e">
        <v>#N/A</v>
        <stp/>
        <stp>BDH|10575056695853134710</stp>
        <tr r="O15" s="14"/>
      </tp>
      <tp t="e">
        <v>#N/A</v>
        <stp/>
        <stp>BDH|13359476722329714148</stp>
        <tr r="S7" s="14"/>
      </tp>
      <tp t="e">
        <v>#N/A</v>
        <stp/>
        <stp>BDH|14379310431898406126</stp>
        <tr r="M22" s="21"/>
      </tp>
      <tp t="e">
        <v>#N/A</v>
        <stp/>
        <stp>BDH|11392390986606847113</stp>
        <tr r="Z55" s="24"/>
      </tp>
      <tp t="e">
        <v>#N/A</v>
        <stp/>
        <stp>BDH|15860308942229817672</stp>
        <tr r="O31" s="18"/>
      </tp>
      <tp t="e">
        <v>#N/A</v>
        <stp/>
        <stp>BDH|14679422794222619638</stp>
        <tr r="C12" s="6"/>
      </tp>
      <tp t="e">
        <v>#N/A</v>
        <stp/>
        <stp>BDH|16128131608422924868</stp>
        <tr r="S13" s="29"/>
        <tr r="S22" s="29"/>
        <tr r="S36" s="29"/>
      </tp>
      <tp t="e">
        <v>#N/A</v>
        <stp/>
        <stp>BDH|11784339264250289976</stp>
        <tr r="L34" s="24"/>
      </tp>
      <tp t="e">
        <v>#N/A</v>
        <stp/>
        <stp>BDH|14952969877720962740</stp>
        <tr r="S22" s="22"/>
      </tp>
      <tp t="e">
        <v>#N/A</v>
        <stp/>
        <stp>BDH|15361310287105999693</stp>
        <tr r="AA31" s="12"/>
      </tp>
      <tp t="e">
        <v>#N/A</v>
        <stp/>
        <stp>BDH|12244147712809222634</stp>
        <tr r="P79" s="34"/>
      </tp>
      <tp t="e">
        <v>#N/A</v>
        <stp/>
        <stp>BDH|18258238256380670244</stp>
        <tr r="M190" s="18"/>
      </tp>
      <tp t="e">
        <v>#N/A</v>
        <stp/>
        <stp>BDH|18222006524007618059</stp>
        <tr r="L39" s="24"/>
      </tp>
      <tp t="e">
        <v>#N/A</v>
        <stp/>
        <stp>BDH|15827727583781975656</stp>
        <tr r="G19" s="34"/>
      </tp>
      <tp t="e">
        <v>#N/A</v>
        <stp/>
        <stp>BDH|16129546070550806982</stp>
        <tr r="Q23" s="26"/>
      </tp>
      <tp t="e">
        <v>#N/A</v>
        <stp/>
        <stp>BDH|11230150120629476661</stp>
        <tr r="X28" s="34"/>
      </tp>
      <tp t="e">
        <v>#N/A</v>
        <stp/>
        <stp>BDH|11317089397733086694</stp>
        <tr r="J33" s="22"/>
      </tp>
      <tp t="e">
        <v>#N/A</v>
        <stp/>
        <stp>BDH|15944064133852022999</stp>
        <tr r="O12" s="7"/>
      </tp>
      <tp t="e">
        <v>#N/A</v>
        <stp/>
        <stp>BDH|14826073969248692758</stp>
        <tr r="T115" s="18"/>
      </tp>
      <tp t="e">
        <v>#N/A</v>
        <stp/>
        <stp>BDH|15869396112058046266</stp>
        <tr r="G40" s="6"/>
      </tp>
      <tp t="e">
        <v>#N/A</v>
        <stp/>
        <stp>BDH|15763722494863073549</stp>
        <tr r="I9" s="21"/>
      </tp>
      <tp t="e">
        <v>#N/A</v>
        <stp/>
        <stp>BDH|17563491799197565050</stp>
        <tr r="L63" s="34"/>
      </tp>
      <tp t="e">
        <v>#N/A</v>
        <stp/>
        <stp>BDH|14052937239400627394</stp>
        <tr r="O22" s="34"/>
      </tp>
      <tp t="e">
        <v>#N/A</v>
        <stp/>
        <stp>BDH|17068852353487605050</stp>
        <tr r="R16" s="22"/>
      </tp>
      <tp t="e">
        <v>#N/A</v>
        <stp/>
        <stp>BDH|15299142776968305665</stp>
        <tr r="Z142" s="18"/>
      </tp>
      <tp t="e">
        <v>#N/A</v>
        <stp/>
        <stp>BDH|13197162522149691464</stp>
        <tr r="C60" s="12"/>
      </tp>
      <tp t="e">
        <v>#N/A</v>
        <stp/>
        <stp>BDH|15419872816738614962</stp>
        <tr r="V67" s="10"/>
      </tp>
      <tp t="e">
        <v>#N/A</v>
        <stp/>
        <stp>BDH|15779481939338070735</stp>
        <tr r="X70" s="13"/>
      </tp>
      <tp t="e">
        <v>#N/A</v>
        <stp/>
        <stp>BDH|13018575178234815821</stp>
        <tr r="Q176" s="18"/>
      </tp>
      <tp t="e">
        <v>#N/A</v>
        <stp/>
        <stp>BDH|14507443052581151975</stp>
        <tr r="R156" s="18"/>
      </tp>
      <tp t="e">
        <v>#N/A</v>
        <stp/>
        <stp>BDH|12351319425016505879</stp>
        <tr r="Z55" s="13"/>
      </tp>
      <tp t="e">
        <v>#N/A</v>
        <stp/>
        <stp>BDH|13517752390846460618</stp>
        <tr r="Q95" s="12"/>
      </tp>
      <tp t="e">
        <v>#N/A</v>
        <stp/>
        <stp>BDH|16493997225836968644</stp>
        <tr r="H142" s="18"/>
      </tp>
      <tp t="e">
        <v>#N/A</v>
        <stp/>
        <stp>BDH|11240241006306559818</stp>
        <tr r="H78" s="24"/>
      </tp>
      <tp t="e">
        <v>#N/A</v>
        <stp/>
        <stp>BDH|12409073745713292807</stp>
        <tr r="I13" s="24"/>
      </tp>
      <tp t="e">
        <v>#N/A</v>
        <stp/>
        <stp>BDH|12190673494755549533</stp>
        <tr r="R65" s="18"/>
      </tp>
      <tp t="e">
        <v>#N/A</v>
        <stp/>
        <stp>BDH|11710971761205531608</stp>
        <tr r="H139" s="18"/>
      </tp>
      <tp t="e">
        <v>#N/A</v>
        <stp/>
        <stp>BDH|12598098479648568048</stp>
        <tr r="N31" s="26"/>
        <tr r="K14" s="9"/>
      </tp>
      <tp t="e">
        <v>#N/A</v>
        <stp/>
        <stp>BDH|16309734372038399354</stp>
        <tr r="V30" s="21"/>
      </tp>
      <tp t="e">
        <v>#N/A</v>
        <stp/>
        <stp>BDH|17772818366156441202</stp>
        <tr r="L79" s="18"/>
      </tp>
      <tp t="e">
        <v>#N/A</v>
        <stp/>
        <stp>BDH|18282894845208994138</stp>
        <tr r="N28" s="17"/>
      </tp>
      <tp t="e">
        <v>#N/A</v>
        <stp/>
        <stp>BDH|18175892742280790991</stp>
        <tr r="M20" s="22"/>
      </tp>
      <tp t="e">
        <v>#N/A</v>
        <stp/>
        <stp>BDH|14846487431718427619</stp>
        <tr r="T41" s="21"/>
      </tp>
      <tp t="e">
        <v>#N/A</v>
        <stp/>
        <stp>BDH|14241458558288384088</stp>
        <tr r="R111" s="18"/>
      </tp>
      <tp t="e">
        <v>#N/A</v>
        <stp/>
        <stp>BDH|16961543846783899975</stp>
        <tr r="W25" s="10"/>
        <tr r="Y34" s="13"/>
      </tp>
      <tp t="e">
        <v>#N/A</v>
        <stp/>
        <stp>BDH|17736149147598966797</stp>
        <tr r="N38" s="25"/>
      </tp>
      <tp t="e">
        <v>#N/A</v>
        <stp/>
        <stp>BDH|12546073171910341844</stp>
        <tr r="Z81" s="24"/>
      </tp>
      <tp t="e">
        <v>#N/A</v>
        <stp/>
        <stp>BDH|18387469812082194225</stp>
        <tr r="P15" s="5"/>
      </tp>
      <tp t="e">
        <v>#N/A</v>
        <stp/>
        <stp>BDH|16060156414392061959</stp>
        <tr r="R26" s="34"/>
      </tp>
      <tp t="e">
        <v>#N/A</v>
        <stp/>
        <stp>BDH|17672808638206230782</stp>
        <tr r="T53" s="12"/>
      </tp>
      <tp t="e">
        <v>#N/A</v>
        <stp/>
        <stp>BDH|14524696168111385831</stp>
        <tr r="N30" s="21"/>
      </tp>
      <tp t="e">
        <v>#N/A</v>
        <stp/>
        <stp>BDH|17319034815403890894</stp>
        <tr r="X35" s="6"/>
      </tp>
      <tp t="e">
        <v>#N/A</v>
        <stp/>
        <stp>BDH|16468943867837181329</stp>
        <tr r="O23" s="13"/>
      </tp>
      <tp t="e">
        <v>#N/A</v>
        <stp/>
        <stp>BDH|16890524798143664409</stp>
        <tr r="L61" s="18"/>
      </tp>
      <tp t="e">
        <v>#N/A</v>
        <stp/>
        <stp>BDH|15427447345171843993</stp>
        <tr r="D9" s="17"/>
      </tp>
      <tp t="e">
        <v>#N/A</v>
        <stp/>
        <stp>BDH|12308632713749214156</stp>
        <tr r="M41" s="18"/>
      </tp>
      <tp t="e">
        <v>#N/A</v>
        <stp/>
        <stp>BDH|10512422191690151032</stp>
        <tr r="X11" s="14"/>
      </tp>
      <tp t="e">
        <v>#N/A</v>
        <stp/>
        <stp>BDH|14965448595784517099</stp>
        <tr r="F63" s="34"/>
      </tp>
      <tp t="e">
        <v>#N/A</v>
        <stp/>
        <stp>BDH|15178375420421635844</stp>
        <tr r="F79" s="12"/>
      </tp>
      <tp t="e">
        <v>#N/A</v>
        <stp/>
        <stp>BDH|16858602012509758596</stp>
        <tr r="L25" s="10"/>
        <tr r="N34" s="13"/>
      </tp>
      <tp t="e">
        <v>#N/A</v>
        <stp/>
        <stp>BDH|15010781606716898929</stp>
        <tr r="G8" s="28"/>
      </tp>
      <tp t="e">
        <v>#N/A</v>
        <stp/>
        <stp>BDH|12731481568848381505</stp>
        <tr r="C54" s="13"/>
      </tp>
      <tp t="e">
        <v>#N/A</v>
        <stp/>
        <stp>BDH|14941685192095020376</stp>
        <tr r="AA167" s="18"/>
      </tp>
      <tp t="e">
        <v>#N/A</v>
        <stp/>
        <stp>BDH|16020061017103149943</stp>
        <tr r="W23" s="13"/>
      </tp>
      <tp t="e">
        <v>#N/A</v>
        <stp/>
        <stp>BDH|16249599913948900751</stp>
        <tr r="W61" s="18"/>
      </tp>
      <tp t="e">
        <v>#N/A</v>
        <stp/>
        <stp>BDH|15113545169812184991</stp>
        <tr r="E11" s="18"/>
      </tp>
      <tp t="e">
        <v>#N/A</v>
        <stp/>
        <stp>BDH|18058447829730884318</stp>
        <tr r="S64" s="10"/>
      </tp>
      <tp t="e">
        <v>#N/A</v>
        <stp/>
        <stp>BDH|16756802688248978326</stp>
        <tr r="L67" s="10"/>
      </tp>
      <tp t="e">
        <v>#N/A</v>
        <stp/>
        <stp>BDH|15004537875119156337</stp>
        <tr r="W24" s="22"/>
      </tp>
      <tp t="e">
        <v>#N/A</v>
        <stp/>
        <stp>BDH|18147623634541121124</stp>
        <tr r="M30" s="26"/>
      </tp>
      <tp t="e">
        <v>#N/A</v>
        <stp/>
        <stp>BDH|15620478756979431074</stp>
        <tr r="F53" s="17"/>
      </tp>
      <tp t="e">
        <v>#N/A</v>
        <stp/>
        <stp>BDH|17163805855013115429</stp>
        <tr r="L6" s="28"/>
      </tp>
      <tp t="e">
        <v>#N/A</v>
        <stp/>
        <stp>BDH|13405426920821339926</stp>
        <tr r="F40" s="18"/>
      </tp>
      <tp t="e">
        <v>#N/A</v>
        <stp/>
        <stp>BDH|15448920411303541359</stp>
        <tr r="R87" s="24"/>
      </tp>
      <tp t="e">
        <v>#N/A</v>
        <stp/>
        <stp>BDH|13215408161249324573</stp>
        <tr r="J14" s="12"/>
      </tp>
      <tp t="e">
        <v>#N/A</v>
        <stp/>
        <stp>BDH|13385154782233275413</stp>
        <tr r="E158" s="18"/>
      </tp>
      <tp t="e">
        <v>#N/A</v>
        <stp/>
        <stp>BDH|11326477586767716729</stp>
        <tr r="U83" s="12"/>
      </tp>
      <tp t="e">
        <v>#N/A</v>
        <stp/>
        <stp>BDH|13295732604001530872</stp>
        <tr r="N72" s="34"/>
      </tp>
      <tp t="e">
        <v>#N/A</v>
        <stp/>
        <stp>BDH|17140933132247796706</stp>
        <tr r="C202" s="18"/>
      </tp>
      <tp t="e">
        <v>#N/A</v>
        <stp/>
        <stp>BDH|17760279766048558643</stp>
        <tr r="Y57" s="10"/>
        <tr r="Y47" s="11"/>
        <tr r="Y18" s="7"/>
        <tr r="AA64" s="13"/>
      </tp>
      <tp t="e">
        <v>#N/A</v>
        <stp/>
        <stp>BDH|14751019096392026275</stp>
        <tr r="N132" s="18"/>
      </tp>
      <tp t="e">
        <v>#N/A</v>
        <stp/>
        <stp>BDH|10130700680040729219</stp>
        <tr r="H197" s="18"/>
      </tp>
      <tp t="e">
        <v>#N/A</v>
        <stp/>
        <stp>BDH|10015571265106203879</stp>
        <tr r="C71" s="13"/>
      </tp>
      <tp t="e">
        <v>#N/A</v>
        <stp/>
        <stp>BDH|16047013122259584012</stp>
        <tr r="W33" s="21"/>
      </tp>
      <tp t="e">
        <v>#N/A</v>
        <stp/>
        <stp>BDH|16605768000965385946</stp>
        <tr r="Z70" s="12"/>
      </tp>
      <tp t="e">
        <v>#N/A</v>
        <stp/>
        <stp>BDH|12171048347963296870</stp>
        <tr r="G19" s="10"/>
      </tp>
      <tp t="e">
        <v>#N/A</v>
        <stp/>
        <stp>BDH|12025259737208516606</stp>
        <tr r="F192" s="18"/>
      </tp>
      <tp t="e">
        <v>#N/A</v>
        <stp/>
        <stp>BDH|14890799500416433829</stp>
        <tr r="G180" s="18"/>
      </tp>
      <tp t="e">
        <v>#N/A</v>
        <stp/>
        <stp>BDH|11047819009857830378</stp>
        <tr r="M30" s="10"/>
        <tr r="O39" s="13"/>
      </tp>
      <tp t="e">
        <v>#N/A</v>
        <stp/>
        <stp>BDH|10016865382259699452</stp>
        <tr r="W25" s="18"/>
      </tp>
      <tp t="e">
        <v>#N/A</v>
        <stp/>
        <stp>BDH|16650890893343285993</stp>
        <tr r="T108" s="18"/>
      </tp>
      <tp t="e">
        <v>#N/A</v>
        <stp/>
        <stp>BDH|16064077485932649131</stp>
        <tr r="G79" s="18"/>
      </tp>
      <tp t="e">
        <v>#N/A</v>
        <stp/>
        <stp>BDH|17669576472690297862</stp>
        <tr r="T15" s="17"/>
        <tr r="T18" s="28"/>
      </tp>
      <tp t="e">
        <v>#N/A</v>
        <stp/>
        <stp>BDH|10677229805096011963</stp>
        <tr r="T26" s="7"/>
      </tp>
      <tp t="e">
        <v>#N/A</v>
        <stp/>
        <stp>BDH|15527486090046294381</stp>
        <tr r="S32" s="17"/>
      </tp>
      <tp t="e">
        <v>#N/A</v>
        <stp/>
        <stp>BDH|12383711496720264114</stp>
        <tr r="X18" s="2"/>
        <tr r="X53" s="4"/>
        <tr r="X46" s="10"/>
        <tr r="X36" s="11"/>
        <tr r="Z58" s="13"/>
      </tp>
      <tp t="e">
        <v>#N/A</v>
        <stp/>
        <stp>BDH|16525979675817167216</stp>
        <tr r="U18" s="11"/>
      </tp>
      <tp t="e">
        <v>#N/A</v>
        <stp/>
        <stp>BDH|13458917872111066106</stp>
        <tr r="J20" s="18"/>
      </tp>
      <tp t="e">
        <v>#N/A</v>
        <stp/>
        <stp>BDH|16446487570331869934</stp>
        <tr r="Y80" s="34"/>
      </tp>
      <tp t="e">
        <v>#N/A</v>
        <stp/>
        <stp>BDH|13340655745839181553</stp>
        <tr r="T47" s="12"/>
      </tp>
      <tp t="e">
        <v>#N/A</v>
        <stp/>
        <stp>BDH|10105713423140723832</stp>
        <tr r="AA92" s="18"/>
      </tp>
      <tp t="e">
        <v>#N/A</v>
        <stp/>
        <stp>BDH|10725900193909739449</stp>
        <tr r="V64" s="10"/>
      </tp>
      <tp t="e">
        <v>#N/A</v>
        <stp/>
        <stp>BDH|16369915356761413674</stp>
        <tr r="K25" s="2"/>
        <tr r="M62" s="21"/>
      </tp>
      <tp t="e">
        <v>#N/A</v>
        <stp/>
        <stp>BDH|13089794557258961409</stp>
        <tr r="V83" s="24"/>
      </tp>
      <tp t="e">
        <v>#N/A</v>
        <stp/>
        <stp>BDH|17224669433259001608</stp>
        <tr r="I26" s="29"/>
      </tp>
      <tp t="e">
        <v>#N/A</v>
        <stp/>
        <stp>BDH|13618114890497793178</stp>
        <tr r="L25" s="27"/>
      </tp>
      <tp t="e">
        <v>#N/A</v>
        <stp/>
        <stp>BDH|17428125465274377975</stp>
        <tr r="N33" s="18"/>
      </tp>
      <tp t="e">
        <v>#N/A</v>
        <stp/>
        <stp>BDH|10360073490636047230</stp>
        <tr r="D61" s="24"/>
      </tp>
      <tp t="e">
        <v>#N/A</v>
        <stp/>
        <stp>BDH|14515664262349753014</stp>
        <tr r="L196" s="18"/>
      </tp>
      <tp t="e">
        <v>#N/A</v>
        <stp/>
        <stp>BDH|17353038385945766755</stp>
        <tr r="AA45" s="17"/>
      </tp>
      <tp t="e">
        <v>#N/A</v>
        <stp/>
        <stp>BDH|17552113197287065544</stp>
        <tr r="M77" s="18"/>
      </tp>
      <tp t="e">
        <v>#N/A</v>
        <stp/>
        <stp>BDH|14662390802743236987</stp>
        <tr r="Z52" s="24"/>
      </tp>
      <tp t="e">
        <v>#N/A</v>
        <stp/>
        <stp>BDH|15936293335671568875</stp>
        <tr r="X53" s="18"/>
      </tp>
      <tp t="e">
        <v>#N/A</v>
        <stp/>
        <stp>BDH|11421771793513403133</stp>
        <tr r="F57" s="17"/>
      </tp>
      <tp t="e">
        <v>#N/A</v>
        <stp/>
        <stp>BDH|15740017080874683476</stp>
        <tr r="E42" s="17"/>
      </tp>
      <tp t="e">
        <v>#N/A</v>
        <stp/>
        <stp>BDH|15986964778826391038</stp>
        <tr r="E172" s="18"/>
      </tp>
      <tp t="e">
        <v>#N/A</v>
        <stp/>
        <stp>BDH|14150996133247518494</stp>
        <tr r="I16" s="26"/>
      </tp>
      <tp t="e">
        <v>#N/A</v>
        <stp/>
        <stp>BDH|13432474335499762061</stp>
        <tr r="T8" s="21"/>
      </tp>
      <tp t="e">
        <v>#N/A</v>
        <stp/>
        <stp>BDH|16640100916622061970</stp>
        <tr r="U35" s="26"/>
      </tp>
      <tp t="e">
        <v>#N/A</v>
        <stp/>
        <stp>BDH|10550541302578362073</stp>
        <tr r="R34" s="29"/>
      </tp>
      <tp t="e">
        <v>#N/A</v>
        <stp/>
        <stp>BDH|12939148859289226200</stp>
        <tr r="H53" s="6"/>
      </tp>
      <tp t="e">
        <v>#N/A</v>
        <stp/>
        <stp>BDH|17098950648021943626</stp>
        <tr r="R55" s="18"/>
      </tp>
      <tp t="e">
        <v>#N/A</v>
        <stp/>
        <stp>BDH|12632130191516185134</stp>
        <tr r="H14" s="6"/>
      </tp>
      <tp t="e">
        <v>#N/A</v>
        <stp/>
        <stp>BDH|15184792258988290243</stp>
        <tr r="C101" s="12"/>
      </tp>
      <tp t="e">
        <v>#N/A</v>
        <stp/>
        <stp>BDH|10147738611098132346</stp>
        <tr r="I79" s="34"/>
      </tp>
      <tp t="e">
        <v>#N/A</v>
        <stp/>
        <stp>BDH|14811957348614284011</stp>
        <tr r="U23" s="26"/>
      </tp>
      <tp t="e">
        <v>#N/A</v>
        <stp/>
        <stp>BDH|10592495948524678947</stp>
        <tr r="U27" s="24"/>
      </tp>
      <tp t="e">
        <v>#N/A</v>
        <stp/>
        <stp>BDH|15207709120168098549</stp>
        <tr r="Z162" s="18"/>
      </tp>
      <tp t="e">
        <v>#N/A</v>
        <stp/>
        <stp>BDH|12055483782492544199</stp>
        <tr r="F38" s="21"/>
        <tr r="F24" s="3"/>
      </tp>
      <tp t="e">
        <v>#N/A</v>
        <stp/>
        <stp>BDH|12609861972896420604</stp>
        <tr r="L38" s="6"/>
      </tp>
      <tp t="e">
        <v>#N/A</v>
        <stp/>
        <stp>BDH|16066855410802123026</stp>
        <tr r="L97" s="12"/>
      </tp>
      <tp t="e">
        <v>#N/A</v>
        <stp/>
        <stp>BDH|10175451706618371178</stp>
        <tr r="H42" s="22"/>
      </tp>
      <tp t="e">
        <v>#N/A</v>
        <stp/>
        <stp>BDH|10697650590651002351</stp>
        <tr r="L22" s="18"/>
      </tp>
      <tp t="e">
        <v>#N/A</v>
        <stp/>
        <stp>BDH|14749908543943784750</stp>
        <tr r="W10" s="34"/>
      </tp>
      <tp t="e">
        <v>#N/A</v>
        <stp/>
        <stp>BDH|13006951505455580230</stp>
        <tr r="T49" s="22"/>
      </tp>
      <tp t="e">
        <v>#N/A</v>
        <stp/>
        <stp>BDH|12109998466252818206</stp>
        <tr r="Z15" s="17"/>
        <tr r="Z18" s="28"/>
      </tp>
      <tp t="e">
        <v>#N/A</v>
        <stp/>
        <stp>BDH|17133979270401898584</stp>
        <tr r="O15" s="34"/>
      </tp>
      <tp t="e">
        <v>#N/A</v>
        <stp/>
        <stp>BDH|18113539959745984044</stp>
        <tr r="I25" s="5"/>
      </tp>
      <tp t="e">
        <v>#N/A</v>
        <stp/>
        <stp>BDH|15629738192854958284</stp>
        <tr r="AA27" s="14"/>
      </tp>
      <tp t="e">
        <v>#N/A</v>
        <stp/>
        <stp>BDH|10052077267319460224</stp>
        <tr r="P44" s="17"/>
      </tp>
      <tp t="e">
        <v>#N/A</v>
        <stp/>
        <stp>BDH|13464955603297656026</stp>
        <tr r="H35" s="12"/>
      </tp>
      <tp t="e">
        <v>#N/A</v>
        <stp/>
        <stp>BDH|17307272555794323945</stp>
        <tr r="Z201" s="18"/>
      </tp>
      <tp t="e">
        <v>#N/A</v>
        <stp/>
        <stp>BDH|15568101998056233696</stp>
        <tr r="E27" s="12"/>
      </tp>
      <tp t="e">
        <v>#N/A</v>
        <stp/>
        <stp>BDH|18334976265579559324</stp>
        <tr r="H46" s="18"/>
      </tp>
      <tp t="e">
        <v>#N/A</v>
        <stp/>
        <stp>BDH|16327148543108587672</stp>
        <tr r="T6" s="27"/>
      </tp>
      <tp t="e">
        <v>#N/A</v>
        <stp/>
        <stp>BDH|18109922291276019340</stp>
        <tr r="F7" s="23"/>
      </tp>
      <tp t="e">
        <v>#N/A</v>
        <stp/>
        <stp>BDH|15537075473606315940</stp>
        <tr r="W60" s="12"/>
      </tp>
      <tp t="e">
        <v>#N/A</v>
        <stp/>
        <stp>BDH|13881253931828829720</stp>
        <tr r="O57" s="10"/>
        <tr r="O47" s="11"/>
        <tr r="O18" s="7"/>
        <tr r="Q64" s="13"/>
      </tp>
      <tp t="e">
        <v>#N/A</v>
        <stp/>
        <stp>BDH|15974499247400995882</stp>
        <tr r="R7" s="6"/>
      </tp>
      <tp t="e">
        <v>#N/A</v>
        <stp/>
        <stp>BDH|16491257182981313061</stp>
        <tr r="N78" s="18"/>
      </tp>
      <tp t="e">
        <v>#N/A</v>
        <stp/>
        <stp>BDH|17069735272793555927</stp>
        <tr r="M91" s="17"/>
      </tp>
      <tp t="e">
        <v>#N/A</v>
        <stp/>
        <stp>BDH|12864119889800433621</stp>
        <tr r="Q37" s="10"/>
        <tr r="Q27" s="11"/>
        <tr r="S46" s="13"/>
      </tp>
      <tp t="e">
        <v>#N/A</v>
        <stp/>
        <stp>BDH|10716864065290768354</stp>
        <tr r="Y62" s="24"/>
      </tp>
      <tp t="e">
        <v>#N/A</v>
        <stp/>
        <stp>BDH|16581148906798067214</stp>
        <tr r="V21" s="4"/>
      </tp>
      <tp t="e">
        <v>#N/A</v>
        <stp/>
        <stp>BDH|14913664605798413787</stp>
        <tr r="V19" s="6"/>
      </tp>
      <tp t="e">
        <v>#N/A</v>
        <stp/>
        <stp>BDH|11927361980025596231</stp>
        <tr r="Q31" s="24"/>
      </tp>
      <tp t="e">
        <v>#N/A</v>
        <stp/>
        <stp>BDH|14318316445128954678</stp>
        <tr r="T85" s="17"/>
      </tp>
      <tp t="e">
        <v>#N/A</v>
        <stp/>
        <stp>BDH|10375759732139466092</stp>
        <tr r="H15" s="21"/>
      </tp>
      <tp t="e">
        <v>#N/A</v>
        <stp/>
        <stp>BDH|18206195473232593145</stp>
        <tr r="D21" s="11"/>
      </tp>
      <tp t="e">
        <v>#N/A</v>
        <stp/>
        <stp>BDH|17845445593104289342</stp>
        <tr r="D30" s="26"/>
      </tp>
      <tp t="e">
        <v>#N/A</v>
        <stp/>
        <stp>BDH|14790931712530701187</stp>
        <tr r="R24" s="4"/>
        <tr r="R55" s="11"/>
      </tp>
      <tp t="e">
        <v>#N/A</v>
        <stp/>
        <stp>BDH|17731596622165270879</stp>
        <tr r="Z17" s="30"/>
      </tp>
      <tp t="e">
        <v>#N/A</v>
        <stp/>
        <stp>BDH|17029097125388572008</stp>
        <tr r="Q85" s="24"/>
      </tp>
      <tp t="e">
        <v>#N/A</v>
        <stp/>
        <stp>BDH|17749359795041620187</stp>
        <tr r="O35" s="18"/>
      </tp>
      <tp t="e">
        <v>#N/A</v>
        <stp/>
        <stp>BDH|10935825087648291576</stp>
        <tr r="P21" s="3"/>
      </tp>
      <tp t="e">
        <v>#N/A</v>
        <stp/>
        <stp>BDH|11321956764907905422</stp>
        <tr r="Q30" s="21"/>
      </tp>
      <tp t="e">
        <v>#N/A</v>
        <stp/>
        <stp>BDH|17308429318026261921</stp>
        <tr r="J52" s="6"/>
      </tp>
      <tp t="e">
        <v>#N/A</v>
        <stp/>
        <stp>BDH|13409264322218991601</stp>
        <tr r="U21" s="5"/>
      </tp>
      <tp t="e">
        <v>#N/A</v>
        <stp/>
        <stp>BDH|11944751294644247639</stp>
        <tr r="M210" s="18"/>
      </tp>
      <tp t="e">
        <v>#N/A</v>
        <stp/>
        <stp>BDH|17198295261727649961</stp>
        <tr r="AA45" s="34"/>
      </tp>
      <tp t="e">
        <v>#N/A</v>
        <stp/>
        <stp>BDH|14828228394236110465</stp>
        <tr r="R49" s="12"/>
      </tp>
      <tp t="e">
        <v>#N/A</v>
        <stp/>
        <stp>BDH|15323862906490283080</stp>
        <tr r="W9" s="17"/>
      </tp>
      <tp t="e">
        <v>#N/A</v>
        <stp/>
        <stp>BDH|14839461580134192168</stp>
        <tr r="T30" s="10"/>
        <tr r="V39" s="13"/>
      </tp>
      <tp t="e">
        <v>#N/A</v>
        <stp/>
        <stp>BDH|16743997144595554363</stp>
        <tr r="S48" s="24"/>
      </tp>
      <tp t="e">
        <v>#N/A</v>
        <stp/>
        <stp>BDH|10968194948641835997</stp>
        <tr r="N33" s="24"/>
      </tp>
      <tp t="e">
        <v>#N/A</v>
        <stp/>
        <stp>BDH|16650709574078282394</stp>
        <tr r="E30" s="29"/>
        <tr r="E8" s="29"/>
      </tp>
      <tp t="e">
        <v>#N/A</v>
        <stp/>
        <stp>BDH|16501787555191942885</stp>
        <tr r="H25" s="27"/>
      </tp>
      <tp t="e">
        <v>#N/A</v>
        <stp/>
        <stp>BDH|13216494793896791563</stp>
        <tr r="F17" s="22"/>
      </tp>
      <tp t="e">
        <v>#N/A</v>
        <stp/>
        <stp>BDH|16841162716862295930</stp>
        <tr r="F18" s="25"/>
      </tp>
      <tp t="e">
        <v>#N/A</v>
        <stp/>
        <stp>BDH|18301334870205879416</stp>
        <tr r="C58" s="17"/>
      </tp>
      <tp t="e">
        <v>#N/A</v>
        <stp/>
        <stp>BDH|10673044216494816850</stp>
        <tr r="J66" s="21"/>
        <tr r="G27" s="6"/>
      </tp>
      <tp t="e">
        <v>#N/A</v>
        <stp/>
        <stp>BDH|17764698111389396452</stp>
        <tr r="W52" s="34"/>
      </tp>
      <tp t="e">
        <v>#N/A</v>
        <stp/>
        <stp>BDH|13289764988157490612</stp>
        <tr r="X46" s="21"/>
      </tp>
      <tp t="e">
        <v>#N/A</v>
        <stp/>
        <stp>BDH|17265202092436108785</stp>
        <tr r="X18" s="26"/>
      </tp>
      <tp t="e">
        <v>#N/A</v>
        <stp/>
        <stp>BDH|12317167783786842070</stp>
        <tr r="G73" s="13"/>
      </tp>
      <tp t="e">
        <v>#N/A</v>
        <stp/>
        <stp>BDH|12728513484015848730</stp>
        <tr r="H69" s="34"/>
      </tp>
      <tp t="e">
        <v>#N/A</v>
        <stp/>
        <stp>BDH|11967547282654216543</stp>
        <tr r="R11" s="29"/>
      </tp>
      <tp t="e">
        <v>#N/A</v>
        <stp/>
        <stp>BDH|17071800539475622464</stp>
        <tr r="F73" s="13"/>
      </tp>
      <tp t="e">
        <v>#N/A</v>
        <stp/>
        <stp>BDH|12062938929977122321</stp>
        <tr r="G10" s="22"/>
      </tp>
      <tp t="e">
        <v>#N/A</v>
        <stp/>
        <stp>BDH|10970724687992064058</stp>
        <tr r="R13" s="30"/>
      </tp>
      <tp t="e">
        <v>#N/A</v>
        <stp/>
        <stp>BDH|17376355602150916946</stp>
        <tr r="T15" s="14"/>
      </tp>
      <tp t="e">
        <v>#N/A</v>
        <stp/>
        <stp>BDH|16508558307797876972</stp>
        <tr r="J22" s="17"/>
      </tp>
      <tp t="e">
        <v>#N/A</v>
        <stp/>
        <stp>BDH|15607669414588919757</stp>
        <tr r="D32" s="17"/>
      </tp>
      <tp t="e">
        <v>#N/A</v>
        <stp/>
        <stp>BDH|18022482426196497521</stp>
        <tr r="J83" s="18"/>
      </tp>
      <tp t="e">
        <v>#N/A</v>
        <stp/>
        <stp>BDH|11889081348751608967</stp>
        <tr r="J15" s="30"/>
      </tp>
      <tp t="e">
        <v>#N/A</v>
        <stp/>
        <stp>BDH|17945838436952453309</stp>
        <tr r="V60" s="12"/>
      </tp>
      <tp t="e">
        <v>#N/A</v>
        <stp/>
        <stp>BDH|12775778858648928592</stp>
        <tr r="C29" s="14"/>
      </tp>
      <tp t="e">
        <v>#N/A</v>
        <stp/>
        <stp>BDH|12318845840862866173</stp>
        <tr r="I194" s="18"/>
      </tp>
      <tp t="e">
        <v>#N/A</v>
        <stp/>
        <stp>BDH|12443672392139096996</stp>
        <tr r="G15" s="30"/>
      </tp>
      <tp t="e">
        <v>#N/A</v>
        <stp/>
        <stp>BDH|14910758137779343402</stp>
        <tr r="C22" s="18"/>
      </tp>
      <tp t="e">
        <v>#N/A</v>
        <stp/>
        <stp>BDH|11532452287437754788</stp>
        <tr r="S66" s="13"/>
      </tp>
      <tp t="e">
        <v>#N/A</v>
        <stp/>
        <stp>BDH|10356481873969554756</stp>
        <tr r="L20" s="22"/>
      </tp>
      <tp t="e">
        <v>#N/A</v>
        <stp/>
        <stp>BDH|16525279597269428995</stp>
        <tr r="M35" s="10"/>
        <tr r="M25" s="11"/>
      </tp>
      <tp t="e">
        <v>#N/A</v>
        <stp/>
        <stp>BDH|14064081186785454428</stp>
        <tr r="J90" s="24"/>
      </tp>
      <tp t="e">
        <v>#N/A</v>
        <stp/>
        <stp>BDH|17511238497642147386</stp>
        <tr r="L37" s="10"/>
        <tr r="L27" s="11"/>
        <tr r="N46" s="13"/>
      </tp>
      <tp t="e">
        <v>#N/A</v>
        <stp/>
        <stp>BDH|16080125693476803514</stp>
        <tr r="P162" s="18"/>
      </tp>
      <tp t="e">
        <v>#N/A</v>
        <stp/>
        <stp>BDH|12396295884383548637</stp>
        <tr r="E65" s="18"/>
      </tp>
      <tp t="e">
        <v>#N/A</v>
        <stp/>
        <stp>BDH|10612770470135095895</stp>
        <tr r="C22" s="21"/>
      </tp>
      <tp t="e">
        <v>#N/A</v>
        <stp/>
        <stp>BDH|18290341008890559639</stp>
        <tr r="G105" s="18"/>
      </tp>
      <tp t="e">
        <v>#N/A</v>
        <stp/>
        <stp>BDH|17448286175868517748</stp>
        <tr r="F30" s="22"/>
      </tp>
      <tp t="e">
        <v>#N/A</v>
        <stp/>
        <stp>BDH|16958068281581086263</stp>
        <tr r="G47" s="12"/>
      </tp>
      <tp t="e">
        <v>#N/A</v>
        <stp/>
        <stp>BDH|15454587997214557067</stp>
        <tr r="D9" s="28"/>
      </tp>
      <tp t="e">
        <v>#N/A</v>
        <stp/>
        <stp>BDH|12968979470484111578</stp>
        <tr r="T25" s="26"/>
      </tp>
      <tp t="e">
        <v>#N/A</v>
        <stp/>
        <stp>BDH|15961875553114210171</stp>
        <tr r="V145" s="18"/>
      </tp>
      <tp t="e">
        <v>#N/A</v>
        <stp/>
        <stp>BDH|11697997737630698660</stp>
        <tr r="P53" s="6"/>
      </tp>
      <tp t="e">
        <v>#N/A</v>
        <stp/>
        <stp>BDH|18369235189716608975</stp>
        <tr r="Z93" s="24"/>
      </tp>
      <tp t="e">
        <v>#N/A</v>
        <stp/>
        <stp>BDH|18384605108610197323</stp>
        <tr r="M128" s="18"/>
      </tp>
      <tp t="e">
        <v>#N/A</v>
        <stp/>
        <stp>BDH|17505083273658008565</stp>
        <tr r="P62" s="17"/>
      </tp>
      <tp t="e">
        <v>#N/A</v>
        <stp/>
        <stp>BDH|14189790044473294962</stp>
        <tr r="P144" s="18"/>
      </tp>
      <tp t="e">
        <v>#N/A</v>
        <stp/>
        <stp>BDH|15301163889027108654</stp>
        <tr r="R79" s="24"/>
      </tp>
      <tp t="e">
        <v>#N/A</v>
        <stp/>
        <stp>BDH|10188095782632372719</stp>
        <tr r="T66" s="21"/>
        <tr r="Q27" s="6"/>
      </tp>
      <tp t="e">
        <v>#N/A</v>
        <stp/>
        <stp>BDH|16110085464645350862</stp>
        <tr r="I32" s="25"/>
        <tr r="I18" s="27"/>
      </tp>
      <tp t="e">
        <v>#N/A</v>
        <stp/>
        <stp>BDH|14282581461173652958</stp>
        <tr r="S94" s="12"/>
      </tp>
      <tp t="e">
        <v>#N/A</v>
        <stp/>
        <stp>BDH|13646587785366275512</stp>
        <tr r="O48" s="22"/>
      </tp>
      <tp t="e">
        <v>#N/A</v>
        <stp/>
        <stp>BDH|11144897875667596408</stp>
        <tr r="W7" s="24"/>
      </tp>
      <tp t="e">
        <v>#N/A</v>
        <stp/>
        <stp>BDH|11747859170951909230</stp>
        <tr r="F28" s="21"/>
      </tp>
      <tp t="e">
        <v>#N/A</v>
        <stp/>
        <stp>BDH|11024875256743105284</stp>
        <tr r="K16" s="22"/>
      </tp>
      <tp t="e">
        <v>#N/A</v>
        <stp/>
        <stp>BDH|13754626713281968873</stp>
        <tr r="Q9" s="10"/>
      </tp>
      <tp t="e">
        <v>#N/A</v>
        <stp/>
        <stp>BDH|14073987885040197872</stp>
        <tr r="X49" s="21"/>
      </tp>
      <tp t="e">
        <v>#N/A</v>
        <stp/>
        <stp>BDH|12792442146986791990</stp>
        <tr r="I94" s="18"/>
      </tp>
      <tp t="e">
        <v>#N/A</v>
        <stp/>
        <stp>BDH|17697906746225946222</stp>
        <tr r="Y38" s="21"/>
        <tr r="Y24" s="3"/>
      </tp>
      <tp t="e">
        <v>#N/A</v>
        <stp/>
        <stp>BDH|13308926648557617448</stp>
        <tr r="G73" s="18"/>
      </tp>
      <tp t="e">
        <v>#N/A</v>
        <stp/>
        <stp>BDH|15860730618777925919</stp>
        <tr r="D33" s="13"/>
      </tp>
      <tp t="e">
        <v>#N/A</v>
        <stp/>
        <stp>BDH|12847608224958161369</stp>
        <tr r="V22" s="18"/>
      </tp>
      <tp t="e">
        <v>#N/A</v>
        <stp/>
        <stp>BDH|12306628331493873933</stp>
        <tr r="F17" s="29"/>
        <tr r="F40" s="29"/>
      </tp>
      <tp t="e">
        <v>#N/A</v>
        <stp/>
        <stp>BDH|13878473885933882198</stp>
        <tr r="L12" s="26"/>
      </tp>
      <tp t="e">
        <v>#N/A</v>
        <stp/>
        <stp>BDH|15463887388648989063</stp>
        <tr r="F139" s="18"/>
      </tp>
      <tp t="e">
        <v>#N/A</v>
        <stp/>
        <stp>BDH|11944294960600998823</stp>
        <tr r="V100" s="12"/>
      </tp>
      <tp t="e">
        <v>#N/A</v>
        <stp/>
        <stp>BDH|14786235189540230347</stp>
        <tr r="G72" s="13"/>
      </tp>
      <tp t="e">
        <v>#N/A</v>
        <stp/>
        <stp>BDH|17933933943071340617</stp>
        <tr r="O21" s="5"/>
      </tp>
      <tp t="e">
        <v>#N/A</v>
        <stp/>
        <stp>BDH|18223981136179116660</stp>
        <tr r="K28" s="25"/>
        <tr r="K14" s="27"/>
      </tp>
      <tp t="e">
        <v>#N/A</v>
        <stp/>
        <stp>BDH|14604274568265459861</stp>
        <tr r="T24" s="10"/>
      </tp>
      <tp t="e">
        <v>#N/A</v>
        <stp/>
        <stp>BDH|10564792697985083607</stp>
        <tr r="M18" s="10"/>
      </tp>
      <tp t="e">
        <v>#N/A</v>
        <stp/>
        <stp>BDH|11524388012848518611</stp>
        <tr r="U42" s="12"/>
      </tp>
      <tp t="e">
        <v>#N/A</v>
        <stp/>
        <stp>BDH|14726781683040630610</stp>
        <tr r="J21" s="4"/>
      </tp>
      <tp t="e">
        <v>#N/A</v>
        <stp/>
        <stp>BDH|13107285910439254403</stp>
        <tr r="Q185" s="18"/>
      </tp>
      <tp t="e">
        <v>#N/A</v>
        <stp/>
        <stp>BDH|16251887539080114094</stp>
        <tr r="E10" s="13"/>
      </tp>
      <tp t="e">
        <v>#N/A</v>
        <stp/>
        <stp>BDH|13127670688061124147</stp>
        <tr r="I38" s="6"/>
      </tp>
      <tp t="e">
        <v>#N/A</v>
        <stp/>
        <stp>BDH|11062806129347301115</stp>
        <tr r="N39" s="6"/>
      </tp>
      <tp t="e">
        <v>#N/A</v>
        <stp/>
        <stp>BDH|13103333226757920863</stp>
        <tr r="L22" s="14"/>
      </tp>
      <tp t="e">
        <v>#N/A</v>
        <stp/>
        <stp>BDH|13028534972558865420</stp>
        <tr r="J14" s="29"/>
        <tr r="J23" s="29"/>
        <tr r="J37" s="29"/>
      </tp>
      <tp t="e">
        <v>#N/A</v>
        <stp/>
        <stp>BDH|10771614127391979832</stp>
        <tr r="X189" s="18"/>
      </tp>
      <tp t="e">
        <v>#N/A</v>
        <stp/>
        <stp>BDH|14633108882696800678</stp>
        <tr r="Y18" s="25"/>
      </tp>
      <tp t="e">
        <v>#N/A</v>
        <stp/>
        <stp>BDH|11939270083030144673</stp>
        <tr r="Y64" s="21"/>
      </tp>
      <tp t="e">
        <v>#N/A</v>
        <stp/>
        <stp>BDH|17436999511301384345</stp>
        <tr r="M89" s="17"/>
      </tp>
      <tp t="e">
        <v>#N/A</v>
        <stp/>
        <stp>BDH|17802871896672645958</stp>
        <tr r="R9" s="3"/>
        <tr r="P51" s="10"/>
        <tr r="P41" s="11"/>
        <tr r="P14" s="7"/>
      </tp>
      <tp t="e">
        <v>#N/A</v>
        <stp/>
        <stp>BDH|10434456108891338805</stp>
        <tr r="S35" s="18"/>
      </tp>
      <tp t="e">
        <v>#N/A</v>
        <stp/>
        <stp>BDH|10606519590028500982</stp>
        <tr r="U11" s="9"/>
      </tp>
      <tp t="e">
        <v>#N/A</v>
        <stp/>
        <stp>BDH|16446965858923953497</stp>
        <tr r="J40" s="12"/>
      </tp>
      <tp t="e">
        <v>#N/A</v>
        <stp/>
        <stp>BDH|12479208593372942642</stp>
        <tr r="L18" s="17"/>
      </tp>
      <tp t="e">
        <v>#N/A</v>
        <stp/>
        <stp>BDH|17560448657002873943</stp>
        <tr r="W138" s="18"/>
      </tp>
      <tp t="e">
        <v>#N/A</v>
        <stp/>
        <stp>BDH|11221842338701085645</stp>
        <tr r="S75" s="12"/>
      </tp>
      <tp t="e">
        <v>#N/A</v>
        <stp/>
        <stp>BDH|15824326552829613747</stp>
        <tr r="AA44" s="34"/>
      </tp>
      <tp t="e">
        <v>#N/A</v>
        <stp/>
        <stp>BDH|14846389419273068830</stp>
        <tr r="C74" s="13"/>
      </tp>
      <tp t="e">
        <v>#N/A</v>
        <stp/>
        <stp>BDH|13760866778548645958</stp>
        <tr r="Q46" s="4"/>
        <tr r="Q23" s="10"/>
        <tr r="S42" s="13"/>
      </tp>
      <tp t="e">
        <v>#N/A</v>
        <stp/>
        <stp>BDH|18190998180846756255</stp>
        <tr r="Q16" s="20"/>
      </tp>
      <tp t="e">
        <v>#N/A</v>
        <stp/>
        <stp>BDH|16899055655337573970</stp>
        <tr r="M29" s="34"/>
      </tp>
      <tp t="e">
        <v>#N/A</v>
        <stp/>
        <stp>BDH|14818039076268657617</stp>
        <tr r="P7" s="17"/>
      </tp>
      <tp t="e">
        <v>#N/A</v>
        <stp/>
        <stp>BDH|11692660195410801375</stp>
        <tr r="D45" s="4"/>
        <tr r="D33" s="10"/>
        <tr r="D23" s="11"/>
        <tr r="F33" s="13"/>
      </tp>
      <tp t="e">
        <v>#N/A</v>
        <stp/>
        <stp>BDH|18392674305117959426</stp>
        <tr r="E23" s="20"/>
      </tp>
      <tp t="e">
        <v>#N/A</v>
        <stp/>
        <stp>BDH|17796928649325199274</stp>
        <tr r="G32" s="18"/>
      </tp>
      <tp t="e">
        <v>#N/A</v>
        <stp/>
        <stp>BDH|10574969323373905533</stp>
        <tr r="R22" s="34"/>
      </tp>
      <tp t="e">
        <v>#N/A</v>
        <stp/>
        <stp>BDH|10187725068335228930</stp>
        <tr r="L41" s="21"/>
      </tp>
      <tp t="e">
        <v>#N/A</v>
        <stp/>
        <stp>BDH|17475487393383697436</stp>
        <tr r="W157" s="18"/>
      </tp>
      <tp t="e">
        <v>#N/A</v>
        <stp/>
        <stp>BDH|14550875241591103489</stp>
        <tr r="V20" s="17"/>
      </tp>
      <tp t="e">
        <v>#N/A</v>
        <stp/>
        <stp>BDH|16269316628969503345</stp>
        <tr r="S53" s="13"/>
      </tp>
      <tp t="e">
        <v>#N/A</v>
        <stp/>
        <stp>BDH|17250382375396155842</stp>
        <tr r="J98" s="18"/>
      </tp>
      <tp t="e">
        <v>#N/A</v>
        <stp/>
        <stp>BDH|14523230619333554907</stp>
        <tr r="N45" s="6"/>
      </tp>
      <tp t="e">
        <v>#N/A</v>
        <stp/>
        <stp>BDH|14824061794188024802</stp>
        <tr r="R34" s="22"/>
      </tp>
      <tp t="e">
        <v>#N/A</v>
        <stp/>
        <stp>BDH|10693643495913900141</stp>
        <tr r="E44" s="34"/>
      </tp>
      <tp t="e">
        <v>#N/A</v>
        <stp/>
        <stp>BDH|17890979052891495730</stp>
        <tr r="Y8" s="27"/>
      </tp>
      <tp t="e">
        <v>#N/A</v>
        <stp/>
        <stp>BDH|16370283110029348121</stp>
        <tr r="L10" s="12"/>
      </tp>
      <tp t="e">
        <v>#N/A</v>
        <stp/>
        <stp>BDH|16112156811672930962</stp>
        <tr r="L15" s="4"/>
      </tp>
      <tp t="e">
        <v>#N/A</v>
        <stp/>
        <stp>BDH|14943117112818980193</stp>
        <tr r="O132" s="18"/>
      </tp>
      <tp t="e">
        <v>#N/A</v>
        <stp/>
        <stp>BDH|13926523175575162952</stp>
        <tr r="R62" s="24"/>
      </tp>
      <tp t="e">
        <v>#N/A</v>
        <stp/>
        <stp>BDH|14086690138784801838</stp>
        <tr r="P41" s="12"/>
      </tp>
      <tp t="e">
        <v>#N/A</v>
        <stp/>
        <stp>BDH|10756328339958448526</stp>
        <tr r="O31" s="5"/>
      </tp>
      <tp t="e">
        <v>#N/A</v>
        <stp/>
        <stp>BDH|11548241126645978942</stp>
        <tr r="G17" s="13"/>
      </tp>
      <tp t="e">
        <v>#N/A</v>
        <stp/>
        <stp>BDH|10254654189221445201</stp>
        <tr r="F78" s="34"/>
      </tp>
      <tp t="e">
        <v>#N/A</v>
        <stp/>
        <stp>BDH|10609015488742112746</stp>
        <tr r="AA24" s="14"/>
      </tp>
      <tp t="e">
        <v>#N/A</v>
        <stp/>
        <stp>BDH|16721719384642181691</stp>
        <tr r="M33" s="17"/>
      </tp>
      <tp t="e">
        <v>#N/A</v>
        <stp/>
        <stp>BDH|10201682721138206137</stp>
        <tr r="N66" s="21"/>
        <tr r="K27" s="6"/>
      </tp>
      <tp t="e">
        <v>#N/A</v>
        <stp/>
        <stp>BDH|17221502509677450857</stp>
        <tr r="T39" s="34"/>
      </tp>
      <tp t="e">
        <v>#N/A</v>
        <stp/>
        <stp>BDH|10307092185566699345</stp>
        <tr r="O62" s="18"/>
      </tp>
      <tp t="e">
        <v>#N/A</v>
        <stp/>
        <stp>BDH|14216185810401125869</stp>
        <tr r="P28" s="18"/>
      </tp>
      <tp t="e">
        <v>#N/A</v>
        <stp/>
        <stp>BDH|10893810437472444472</stp>
        <tr r="U34" s="6"/>
      </tp>
      <tp t="e">
        <v>#N/A</v>
        <stp/>
        <stp>BDH|16868879976367723335</stp>
        <tr r="C52" s="12"/>
      </tp>
      <tp t="e">
        <v>#N/A</v>
        <stp/>
        <stp>BDH|18430729516355934641</stp>
        <tr r="F50" s="24"/>
      </tp>
      <tp t="e">
        <v>#N/A</v>
        <stp/>
        <stp>BDH|10362727186773989137</stp>
        <tr r="E9" s="2"/>
        <tr r="G8" s="25"/>
        <tr r="D10" s="5"/>
      </tp>
      <tp t="e">
        <v>#N/A</v>
        <stp/>
        <stp>BDH|13390205098746570335</stp>
        <tr r="Z131" s="18"/>
      </tp>
      <tp t="e">
        <v>#N/A</v>
        <stp/>
        <stp>BDH|13443814209337922188</stp>
        <tr r="U39" s="24"/>
      </tp>
      <tp t="e">
        <v>#N/A</v>
        <stp/>
        <stp>BDH|17495853801186919442</stp>
        <tr r="Z59" s="18"/>
      </tp>
      <tp t="e">
        <v>#N/A</v>
        <stp/>
        <stp>BDH|12527342148768486007</stp>
        <tr r="AA130" s="18"/>
      </tp>
      <tp t="e">
        <v>#N/A</v>
        <stp/>
        <stp>BDH|13026998976005114535</stp>
        <tr r="V45" s="4"/>
        <tr r="V33" s="10"/>
        <tr r="V23" s="11"/>
        <tr r="X33" s="13"/>
      </tp>
      <tp t="e">
        <v>#N/A</v>
        <stp/>
        <stp>BDH|15845966339100293284</stp>
        <tr r="P13" s="18"/>
      </tp>
      <tp t="e">
        <v>#N/A</v>
        <stp/>
        <stp>BDH|11897041199775057084</stp>
        <tr r="C28" s="17"/>
      </tp>
      <tp t="e">
        <v>#N/A</v>
        <stp/>
        <stp>BDH|17953428716769034607</stp>
        <tr r="J14" s="22"/>
      </tp>
      <tp t="e">
        <v>#N/A</v>
        <stp/>
        <stp>BDH|10852961316130723529</stp>
        <tr r="N27" s="34"/>
      </tp>
      <tp t="e">
        <v>#N/A</v>
        <stp/>
        <stp>BDH|11921711432468403039</stp>
        <tr r="J56" s="24"/>
      </tp>
      <tp t="e">
        <v>#N/A</v>
        <stp/>
        <stp>BDH|17725085557657280874</stp>
        <tr r="V28" s="24"/>
      </tp>
      <tp t="e">
        <v>#N/A</v>
        <stp/>
        <stp>BDH|11115450697657822668</stp>
        <tr r="Q149" s="18"/>
      </tp>
      <tp t="e">
        <v>#N/A</v>
        <stp/>
        <stp>BDH|14677874270200943658</stp>
        <tr r="J7" s="14"/>
      </tp>
      <tp t="e">
        <v>#N/A</v>
        <stp/>
        <stp>BDH|15142595516014740848</stp>
        <tr r="F64" s="21"/>
      </tp>
      <tp t="e">
        <v>#N/A</v>
        <stp/>
        <stp>BDH|13958566537558447011</stp>
        <tr r="W15" s="29"/>
        <tr r="W38" s="29"/>
      </tp>
      <tp t="e">
        <v>#N/A</v>
        <stp/>
        <stp>BDH|12616896271081315105</stp>
        <tr r="C50" s="17"/>
      </tp>
      <tp t="e">
        <v>#N/A</v>
        <stp/>
        <stp>BDH|14965062543385261832</stp>
        <tr r="J8" s="24"/>
      </tp>
      <tp t="e">
        <v>#N/A</v>
        <stp/>
        <stp>BDH|11066190406598431563</stp>
        <tr r="P65" s="18"/>
      </tp>
      <tp t="e">
        <v>#N/A</v>
        <stp/>
        <stp>BDH|17703529198140584653</stp>
        <tr r="T9" s="30"/>
      </tp>
      <tp t="e">
        <v>#N/A</v>
        <stp/>
        <stp>BDH|13949929536856014206</stp>
        <tr r="L25" s="24"/>
      </tp>
      <tp t="e">
        <v>#N/A</v>
        <stp/>
        <stp>BDH|14002465610689355584</stp>
        <tr r="X53" s="21"/>
      </tp>
      <tp t="e">
        <v>#N/A</v>
        <stp/>
        <stp>BDH|13243933675735053597</stp>
        <tr r="G62" s="34"/>
      </tp>
      <tp t="e">
        <v>#N/A</v>
        <stp/>
        <stp>BDH|14504924165096919067</stp>
        <tr r="Z37" s="34"/>
      </tp>
      <tp t="e">
        <v>#N/A</v>
        <stp/>
        <stp>BDH|16326360608811629969</stp>
        <tr r="F73" s="34"/>
      </tp>
      <tp t="e">
        <v>#N/A</v>
        <stp/>
        <stp>BDH|12572568539379197064</stp>
        <tr r="U73" s="34"/>
      </tp>
      <tp t="e">
        <v>#N/A</v>
        <stp/>
        <stp>BDH|16747914108243719143</stp>
        <tr r="AA40" s="18"/>
      </tp>
      <tp t="e">
        <v>#N/A</v>
        <stp/>
        <stp>BDH|17642075310752952953</stp>
        <tr r="K14" s="21"/>
      </tp>
      <tp t="e">
        <v>#N/A</v>
        <stp/>
        <stp>BDH|10426666117712137890</stp>
        <tr r="N136" s="18"/>
      </tp>
      <tp t="e">
        <v>#N/A</v>
        <stp/>
        <stp>BDH|13867091106709976737</stp>
        <tr r="W17" s="22"/>
      </tp>
      <tp t="e">
        <v>#N/A</v>
        <stp/>
        <stp>BDH|14574246999162539003</stp>
        <tr r="S17" s="34"/>
      </tp>
      <tp t="e">
        <v>#N/A</v>
        <stp/>
        <stp>BDH|18207939570993520895</stp>
        <tr r="E12" s="14"/>
      </tp>
      <tp t="e">
        <v>#N/A</v>
        <stp/>
        <stp>BDH|11784929144618963956</stp>
        <tr r="O35" s="26"/>
      </tp>
      <tp t="e">
        <v>#N/A</v>
        <stp/>
        <stp>BDH|14903832067657167015</stp>
        <tr r="S23" s="30"/>
        <tr r="S25" s="23"/>
      </tp>
      <tp t="e">
        <v>#N/A</v>
        <stp/>
        <stp>BDH|10192705413069695293</stp>
        <tr r="V16" s="34"/>
      </tp>
      <tp t="e">
        <v>#N/A</v>
        <stp/>
        <stp>BDH|18061765139133655242</stp>
        <tr r="X25" s="4"/>
        <tr r="X65" s="10"/>
      </tp>
      <tp t="e">
        <v>#N/A</v>
        <stp/>
        <stp>BDH|10673257385017300084</stp>
        <tr r="L28" s="14"/>
      </tp>
      <tp t="e">
        <v>#N/A</v>
        <stp/>
        <stp>BDH|17025422582620501682</stp>
        <tr r="T201" s="18"/>
      </tp>
      <tp t="e">
        <v>#N/A</v>
        <stp/>
        <stp>BDH|11640687281334598663</stp>
        <tr r="S73" s="24"/>
      </tp>
      <tp t="e">
        <v>#N/A</v>
        <stp/>
        <stp>BDH|11902603375899880489</stp>
        <tr r="L121" s="18"/>
        <tr r="L9" s="20"/>
      </tp>
      <tp t="e">
        <v>#N/A</v>
        <stp/>
        <stp>BDH|18278313472108548988</stp>
        <tr r="J29" s="21"/>
      </tp>
      <tp t="e">
        <v>#N/A</v>
        <stp/>
        <stp>BDH|12246928019464090358</stp>
        <tr r="AA17" s="20"/>
      </tp>
      <tp t="e">
        <v>#N/A</v>
        <stp/>
        <stp>BDH|13337582641928273746</stp>
        <tr r="S14" s="22"/>
      </tp>
      <tp t="e">
        <v>#N/A</v>
        <stp/>
        <stp>BDH|18335233007860222792</stp>
        <tr r="Y11" s="3"/>
        <tr r="W50" s="10"/>
        <tr r="W40" s="11"/>
        <tr r="W8" s="7"/>
      </tp>
      <tp t="e">
        <v>#N/A</v>
        <stp/>
        <stp>BDH|11167239499382221551</stp>
        <tr r="V24" s="2"/>
      </tp>
      <tp t="e">
        <v>#N/A</v>
        <stp/>
        <stp>BDH|16894256093197683748</stp>
        <tr r="V56" s="24"/>
      </tp>
      <tp t="e">
        <v>#N/A</v>
        <stp/>
        <stp>BDH|14587800213547218782</stp>
        <tr r="Q94" s="18"/>
      </tp>
      <tp t="e">
        <v>#N/A</v>
        <stp/>
        <stp>BDH|15190907449477709237</stp>
        <tr r="Q103" s="12"/>
      </tp>
      <tp t="e">
        <v>#N/A</v>
        <stp/>
        <stp>BDH|12107533799466092573</stp>
        <tr r="H18" s="17"/>
      </tp>
      <tp t="e">
        <v>#N/A</v>
        <stp/>
        <stp>BDH|16774927802491214398</stp>
        <tr r="J13" s="25"/>
      </tp>
      <tp t="e">
        <v>#N/A</v>
        <stp/>
        <stp>BDH|16930652400419594451</stp>
        <tr r="X18" s="20"/>
      </tp>
      <tp t="e">
        <v>#N/A</v>
        <stp/>
        <stp>BDH|16199411394201929715</stp>
        <tr r="U35" s="22"/>
      </tp>
      <tp t="e">
        <v>#N/A</v>
        <stp/>
        <stp>BDH|13970940921470531553</stp>
        <tr r="V32" s="12"/>
      </tp>
      <tp t="e">
        <v>#N/A</v>
        <stp/>
        <stp>BDH|13401821819905090232</stp>
        <tr r="D55" s="17"/>
      </tp>
      <tp t="e">
        <v>#N/A</v>
        <stp/>
        <stp>BDH|10570932220410209682</stp>
        <tr r="G16" s="22"/>
      </tp>
      <tp t="e">
        <v>#N/A</v>
        <stp/>
        <stp>BDH|18172283351741378376</stp>
        <tr r="M66" s="13"/>
      </tp>
      <tp t="e">
        <v>#N/A</v>
        <stp/>
        <stp>BDH|16237602937029117782</stp>
        <tr r="U72" s="12"/>
      </tp>
      <tp t="e">
        <v>#N/A</v>
        <stp/>
        <stp>BDH|15280210258767686815</stp>
        <tr r="K16" s="11"/>
      </tp>
      <tp t="e">
        <v>#N/A</v>
        <stp/>
        <stp>BDH|13577721782484831510</stp>
        <tr r="T54" s="11"/>
      </tp>
      <tp t="e">
        <v>#N/A</v>
        <stp/>
        <stp>BDH|11381221828808132443</stp>
        <tr r="T9" s="22"/>
      </tp>
      <tp t="e">
        <v>#N/A</v>
        <stp/>
        <stp>BDH|15118918452285822168</stp>
        <tr r="V13" s="21"/>
      </tp>
      <tp t="e">
        <v>#N/A</v>
        <stp/>
        <stp>BDH|18055258949984062703</stp>
        <tr r="Y156" s="18"/>
      </tp>
      <tp t="e">
        <v>#N/A</v>
        <stp/>
        <stp>BDH|11064270509746334813</stp>
        <tr r="Q43" s="21"/>
      </tp>
      <tp t="e">
        <v>#N/A</v>
        <stp/>
        <stp>BDH|12033086856512489869</stp>
        <tr r="C19" s="12"/>
      </tp>
      <tp t="e">
        <v>#N/A</v>
        <stp/>
        <stp>BDH|12838845849534000792</stp>
        <tr r="L14" s="13"/>
      </tp>
      <tp t="e">
        <v>#N/A</v>
        <stp/>
        <stp>BDH|10377570309350718865</stp>
        <tr r="N22" s="30"/>
        <tr r="N24" s="23"/>
      </tp>
      <tp t="e">
        <v>#N/A</v>
        <stp/>
        <stp>BDH|15606256647679893709</stp>
        <tr r="P97" s="12"/>
      </tp>
      <tp t="e">
        <v>#N/A</v>
        <stp/>
        <stp>BDH|17672648229919425734</stp>
        <tr r="M23" s="5"/>
        <tr r="M23" s="9"/>
      </tp>
      <tp t="e">
        <v>#N/A</v>
        <stp/>
        <stp>BDH|12328055308668774751</stp>
        <tr r="L162" s="18"/>
      </tp>
      <tp t="e">
        <v>#N/A</v>
        <stp/>
        <stp>BDH|13495484692715442669</stp>
        <tr r="AA209" s="18"/>
      </tp>
      <tp t="e">
        <v>#N/A</v>
        <stp/>
        <stp>BDH|12469168802028898641</stp>
        <tr r="V22" s="6"/>
      </tp>
      <tp t="e">
        <v>#N/A</v>
        <stp/>
        <stp>BDH|17004532590217855173</stp>
        <tr r="H61" s="21"/>
      </tp>
      <tp t="e">
        <v>#N/A</v>
        <stp/>
        <stp>BDH|15559241797023382099</stp>
        <tr r="F60" s="18"/>
      </tp>
      <tp t="e">
        <v>#N/A</v>
        <stp/>
        <stp>BDH|11859796162415921860</stp>
        <tr r="F90" s="17"/>
        <tr r="F34" s="25"/>
      </tp>
      <tp t="e">
        <v>#N/A</v>
        <stp/>
        <stp>BDH|10633387487384324260</stp>
        <tr r="N90" s="12"/>
      </tp>
      <tp t="e">
        <v>#N/A</v>
        <stp/>
        <stp>BDH|18342902712208499599</stp>
        <tr r="X53" s="12"/>
      </tp>
      <tp t="e">
        <v>#N/A</v>
        <stp/>
        <stp>BDH|13380679087398812877</stp>
        <tr r="E9" s="17"/>
      </tp>
      <tp t="e">
        <v>#N/A</v>
        <stp/>
        <stp>BDH|15401764386502832506</stp>
        <tr r="H24" s="10"/>
      </tp>
      <tp t="e">
        <v>#N/A</v>
        <stp/>
        <stp>BDH|15078572823999957622</stp>
        <tr r="G64" s="21"/>
      </tp>
      <tp t="e">
        <v>#N/A</v>
        <stp/>
        <stp>BDH|18342596122856142465</stp>
        <tr r="F72" s="10"/>
        <tr r="F62" s="11"/>
      </tp>
      <tp t="e">
        <v>#N/A</v>
        <stp/>
        <stp>BDH|12707458297304832623</stp>
        <tr r="K59" s="17"/>
      </tp>
      <tp t="e">
        <v>#N/A</v>
        <stp/>
        <stp>BDH|10581806419764132021</stp>
        <tr r="U9" s="11"/>
      </tp>
      <tp t="e">
        <v>#N/A</v>
        <stp/>
        <stp>BDH|17858670030097469849</stp>
        <tr r="G10" s="26"/>
      </tp>
      <tp t="e">
        <v>#N/A</v>
        <stp/>
        <stp>BDH|16111669718139265525</stp>
        <tr r="M52" s="4"/>
        <tr r="O8" s="3"/>
        <tr r="M44" s="10"/>
        <tr r="M34" s="11"/>
        <tr r="O45" s="13"/>
      </tp>
      <tp t="e">
        <v>#N/A</v>
        <stp/>
        <stp>BDH|17120749617908814459</stp>
        <tr r="V184" s="18"/>
      </tp>
      <tp t="e">
        <v>#N/A</v>
        <stp/>
        <stp>BDH|12829548034471243852</stp>
        <tr r="P38" s="6"/>
      </tp>
      <tp t="e">
        <v>#N/A</v>
        <stp/>
        <stp>BDH|17103028395282175185</stp>
        <tr r="K99" s="12"/>
      </tp>
      <tp t="e">
        <v>#N/A</v>
        <stp/>
        <stp>BDH|18072215560005732499</stp>
        <tr r="N86" s="18"/>
      </tp>
      <tp t="e">
        <v>#N/A</v>
        <stp/>
        <stp>BDH|17898154155797600912</stp>
        <tr r="C21" s="24"/>
      </tp>
      <tp t="e">
        <v>#N/A</v>
        <stp/>
        <stp>BDH|13419470951759519688</stp>
        <tr r="E13" s="8"/>
      </tp>
      <tp t="e">
        <v>#N/A</v>
        <stp/>
        <stp>BDH|12731380566903146971</stp>
        <tr r="AA27" s="13"/>
      </tp>
      <tp t="e">
        <v>#N/A</v>
        <stp/>
        <stp>BDH|16484963658046014155</stp>
        <tr r="C40" s="18"/>
      </tp>
      <tp t="e">
        <v>#N/A</v>
        <stp/>
        <stp>BDH|11580310632379876512</stp>
        <tr r="I20" s="10"/>
      </tp>
      <tp t="e">
        <v>#N/A</v>
        <stp/>
        <stp>BDH|12751260412164510898</stp>
        <tr r="D103" s="18"/>
      </tp>
      <tp t="e">
        <v>#N/A</v>
        <stp/>
        <stp>BDH|12837739014489256027</stp>
        <tr r="Y25" s="22"/>
      </tp>
      <tp t="e">
        <v>#N/A</v>
        <stp/>
        <stp>BDH|17508877404811049397</stp>
        <tr r="O8" s="14"/>
      </tp>
      <tp t="e">
        <v>#N/A</v>
        <stp/>
        <stp>BDH|13973839774551977080</stp>
        <tr r="E70" s="17"/>
      </tp>
      <tp t="e">
        <v>#N/A</v>
        <stp/>
        <stp>BDH|12094477078579970590</stp>
        <tr r="R42" s="12"/>
      </tp>
      <tp t="e">
        <v>#N/A</v>
        <stp/>
        <stp>BDH|15182721093050714684</stp>
        <tr r="J34" s="9"/>
      </tp>
      <tp t="e">
        <v>#N/A</v>
        <stp/>
        <stp>BDH|18372589972873579432</stp>
        <tr r="S43" s="34"/>
      </tp>
      <tp t="e">
        <v>#N/A</v>
        <stp/>
        <stp>BDH|12478886847137202463</stp>
        <tr r="N169" s="18"/>
      </tp>
      <tp t="e">
        <v>#N/A</v>
        <stp/>
        <stp>BDH|16715686995246145243</stp>
        <tr r="N19" s="22"/>
      </tp>
      <tp t="e">
        <v>#N/A</v>
        <stp/>
        <stp>BDH|15371845148092572654</stp>
        <tr r="K96" s="18"/>
      </tp>
      <tp t="e">
        <v>#N/A</v>
        <stp/>
        <stp>BDH|12792933763899176994</stp>
        <tr r="Q78" s="34"/>
      </tp>
      <tp t="e">
        <v>#N/A</v>
        <stp/>
        <stp>BDH|10381912159825066445</stp>
        <tr r="L34" s="5"/>
        <tr r="N32" s="29"/>
      </tp>
      <tp t="e">
        <v>#N/A</v>
        <stp/>
        <stp>BDH|10577446168677028865</stp>
        <tr r="O18" s="26"/>
      </tp>
      <tp t="e">
        <v>#N/A</v>
        <stp/>
        <stp>BDH|16988723595621647479</stp>
        <tr r="D25" s="10"/>
        <tr r="F34" s="13"/>
      </tp>
      <tp t="e">
        <v>#N/A</v>
        <stp/>
        <stp>BDH|14220957679534778360</stp>
        <tr r="G9" s="13"/>
      </tp>
      <tp t="e">
        <v>#N/A</v>
        <stp/>
        <stp>BDH|17995918450785717300</stp>
        <tr r="O17" s="6"/>
      </tp>
      <tp t="e">
        <v>#N/A</v>
        <stp/>
        <stp>BDH|11244922716257922301</stp>
        <tr r="I15" s="17"/>
        <tr r="I18" s="28"/>
      </tp>
      <tp t="e">
        <v>#N/A</v>
        <stp/>
        <stp>BDH|14598398935101741813</stp>
        <tr r="X10" s="21"/>
      </tp>
      <tp t="e">
        <v>#N/A</v>
        <stp/>
        <stp>BDH|17034933562131826465</stp>
        <tr r="Q209" s="18"/>
      </tp>
      <tp t="e">
        <v>#N/A</v>
        <stp/>
        <stp>BDH|12230020088636240157</stp>
        <tr r="U18" s="5"/>
        <tr r="U37" s="6"/>
      </tp>
      <tp t="e">
        <v>#N/A</v>
        <stp/>
        <stp>BDH|12319867979167410773</stp>
        <tr r="J35" s="12"/>
      </tp>
      <tp t="e">
        <v>#N/A</v>
        <stp/>
        <stp>BDH|14578092853029976596</stp>
        <tr r="J149" s="18"/>
      </tp>
      <tp t="e">
        <v>#N/A</v>
        <stp/>
        <stp>BDH|12900575890383910083</stp>
        <tr r="S6" s="2"/>
        <tr r="R6" s="5"/>
        <tr r="R6" s="9"/>
        <tr r="T12" s="8"/>
        <tr r="T10" s="29"/>
        <tr r="T19" s="29"/>
        <tr r="T25" s="29"/>
      </tp>
      <tp t="e">
        <v>#N/A</v>
        <stp/>
        <stp>BDH|14357418049121651832</stp>
        <tr r="G11" s="24"/>
      </tp>
      <tp t="e">
        <v>#N/A</v>
        <stp/>
        <stp>BDH|15686116130292815817</stp>
        <tr r="E17" s="13"/>
      </tp>
      <tp t="e">
        <v>#N/A</v>
        <stp/>
        <stp>BDH|16411508583966084092</stp>
        <tr r="Q48" s="12"/>
      </tp>
      <tp t="e">
        <v>#N/A</v>
        <stp/>
        <stp>BDH|13945547732051228939</stp>
        <tr r="I65" s="13"/>
      </tp>
      <tp t="e">
        <v>#N/A</v>
        <stp/>
        <stp>BDH|13877371222038077739</stp>
        <tr r="G12" s="11"/>
      </tp>
      <tp t="e">
        <v>#N/A</v>
        <stp/>
        <stp>BDH|11946874447451794102</stp>
        <tr r="V167" s="18"/>
      </tp>
      <tp t="e">
        <v>#N/A</v>
        <stp/>
        <stp>BDH|18129354877803983249</stp>
        <tr r="Y205" s="18"/>
      </tp>
      <tp t="e">
        <v>#N/A</v>
        <stp/>
        <stp>BDH|16049424104059077689</stp>
        <tr r="V8" s="17"/>
      </tp>
      <tp t="e">
        <v>#N/A</v>
        <stp/>
        <stp>BDH|10445943173961894259</stp>
        <tr r="G17" s="4"/>
        <tr r="I10" s="3"/>
        <tr r="G56" s="10"/>
        <tr r="G46" s="11"/>
        <tr r="G17" s="7"/>
        <tr r="I61" s="13"/>
      </tp>
      <tp t="e">
        <v>#N/A</v>
        <stp/>
        <stp>BDH|14983418820997754812</stp>
        <tr r="M58" s="18"/>
      </tp>
      <tp t="e">
        <v>#N/A</v>
        <stp/>
        <stp>BDH|14232948171067026097</stp>
        <tr r="X73" s="12"/>
      </tp>
      <tp t="e">
        <v>#N/A</v>
        <stp/>
        <stp>BDH|16802777192945623051</stp>
        <tr r="G100" s="12"/>
      </tp>
      <tp t="e">
        <v>#N/A</v>
        <stp/>
        <stp>BDH|13366932058642290046</stp>
        <tr r="X18" s="10"/>
      </tp>
      <tp t="e">
        <v>#N/A</v>
        <stp/>
        <stp>BDH|13413746182949844847</stp>
        <tr r="U24" s="22"/>
      </tp>
      <tp t="e">
        <v>#N/A</v>
        <stp/>
        <stp>BDH|10992520353518475529</stp>
        <tr r="S149" s="18"/>
      </tp>
      <tp t="e">
        <v>#N/A</v>
        <stp/>
        <stp>BDH|13654135829698127535</stp>
        <tr r="D16" s="18"/>
      </tp>
      <tp t="e">
        <v>#N/A</v>
        <stp/>
        <stp>BDH|14791294019813812915</stp>
        <tr r="V10" s="10"/>
      </tp>
      <tp t="e">
        <v>#N/A</v>
        <stp/>
        <stp>BDH|17019939419974173650</stp>
        <tr r="P40" s="17"/>
      </tp>
      <tp t="e">
        <v>#N/A</v>
        <stp/>
        <stp>BDH|15214200954798094789</stp>
        <tr r="S23" s="5"/>
        <tr r="S23" s="9"/>
      </tp>
      <tp t="e">
        <v>#N/A</v>
        <stp/>
        <stp>BDH|15181563487480924578</stp>
        <tr r="F38" s="34"/>
      </tp>
      <tp t="e">
        <v>#N/A</v>
        <stp/>
        <stp>BDH|12056800040940886361</stp>
        <tr r="R49" s="22"/>
      </tp>
      <tp t="e">
        <v>#N/A</v>
        <stp/>
        <stp>BDH|13947973384689309675</stp>
        <tr r="M96" s="18"/>
      </tp>
      <tp t="e">
        <v>#N/A</v>
        <stp/>
        <stp>BDH|16224976455304617382</stp>
        <tr r="Q114" s="18"/>
      </tp>
      <tp t="e">
        <v>#N/A</v>
        <stp/>
        <stp>BDH|11766600639103842578</stp>
        <tr r="U10" s="22"/>
      </tp>
      <tp t="e">
        <v>#N/A</v>
        <stp/>
        <stp>BDH|16000438352015774075</stp>
        <tr r="N35" s="12"/>
      </tp>
      <tp t="e">
        <v>#N/A</v>
        <stp/>
        <stp>BDH|17386522094050373977</stp>
        <tr r="E15" s="22"/>
      </tp>
      <tp t="e">
        <v>#N/A</v>
        <stp/>
        <stp>BDH|17091249409110937758</stp>
        <tr r="V86" s="24"/>
      </tp>
      <tp t="e">
        <v>#N/A</v>
        <stp/>
        <stp>BDH|10905959164045075897</stp>
        <tr r="W24" s="4"/>
        <tr r="W55" s="11"/>
      </tp>
      <tp t="e">
        <v>#N/A</v>
        <stp/>
        <stp>BDH|13567433322361560609</stp>
        <tr r="M188" s="18"/>
      </tp>
      <tp t="e">
        <v>#N/A</v>
        <stp/>
        <stp>BDH|11181583772088837920</stp>
        <tr r="Q72" s="17"/>
      </tp>
      <tp t="e">
        <v>#N/A</v>
        <stp/>
        <stp>BDH|11704928744777561951</stp>
        <tr r="V96" s="12"/>
      </tp>
      <tp t="e">
        <v>#N/A</v>
        <stp/>
        <stp>BDH|14027615212811443063</stp>
        <tr r="O9" s="18"/>
      </tp>
      <tp t="e">
        <v>#N/A</v>
        <stp/>
        <stp>BDH|10212936071324782864</stp>
        <tr r="U153" s="18"/>
      </tp>
      <tp t="e">
        <v>#N/A</v>
        <stp/>
        <stp>BDH|17613019577772302020</stp>
        <tr r="R53" s="17"/>
      </tp>
      <tp t="e">
        <v>#N/A</v>
        <stp/>
        <stp>BDH|11072065117057299525</stp>
        <tr r="F40" s="17"/>
      </tp>
      <tp t="e">
        <v>#N/A</v>
        <stp/>
        <stp>BDH|13129019641505757075</stp>
        <tr r="L16" s="25"/>
      </tp>
      <tp t="e">
        <v>#N/A</v>
        <stp/>
        <stp>BDH|10288705606962392763</stp>
        <tr r="J79" s="18"/>
      </tp>
      <tp t="e">
        <v>#N/A</v>
        <stp/>
        <stp>BDH|16699606564900088430</stp>
        <tr r="N95" s="18"/>
      </tp>
      <tp t="e">
        <v>#N/A</v>
        <stp/>
        <stp>BDH|14653939405819330629</stp>
        <tr r="N129" s="18"/>
      </tp>
      <tp t="e">
        <v>#N/A</v>
        <stp/>
        <stp>BDH|12747658545840736219</stp>
        <tr r="G199" s="18"/>
      </tp>
      <tp t="e">
        <v>#N/A</v>
        <stp/>
        <stp>BDH|14932042533787996262</stp>
        <tr r="E87" s="24"/>
      </tp>
      <tp t="e">
        <v>#N/A</v>
        <stp/>
        <stp>BDH|14997757063042969575</stp>
        <tr r="F9" s="13"/>
      </tp>
      <tp t="e">
        <v>#N/A</v>
        <stp/>
        <stp>BDH|13264258822187233661</stp>
        <tr r="O17" s="34"/>
      </tp>
      <tp t="e">
        <v>#N/A</v>
        <stp/>
        <stp>BDH|13031697271870185089</stp>
        <tr r="I23" s="24"/>
      </tp>
      <tp t="e">
        <v>#N/A</v>
        <stp/>
        <stp>BDH|11758458249222828120</stp>
        <tr r="O51" s="34"/>
      </tp>
      <tp t="e">
        <v>#N/A</v>
        <stp/>
        <stp>BDH|14578938186785273232</stp>
        <tr r="N10" s="28"/>
      </tp>
      <tp t="e">
        <v>#N/A</v>
        <stp/>
        <stp>BDH|14997078523641924558</stp>
        <tr r="E89" s="12"/>
      </tp>
      <tp t="e">
        <v>#N/A</v>
        <stp/>
        <stp>BDH|15698252047147241672</stp>
        <tr r="K49" s="6"/>
        <tr r="M10" s="8"/>
      </tp>
      <tp t="e">
        <v>#N/A</v>
        <stp/>
        <stp>BDH|10748939888656509587</stp>
        <tr r="X39" s="18"/>
      </tp>
      <tp t="e">
        <v>#N/A</v>
        <stp/>
        <stp>BDH|12440989961409946651</stp>
        <tr r="T139" s="18"/>
      </tp>
      <tp t="e">
        <v>#N/A</v>
        <stp/>
        <stp>BDH|10555608608416533296</stp>
        <tr r="Y54" s="18"/>
      </tp>
      <tp t="e">
        <v>#N/A</v>
        <stp/>
        <stp>BDH|11165379705899505974</stp>
        <tr r="M40" s="6"/>
      </tp>
      <tp t="e">
        <v>#N/A</v>
        <stp/>
        <stp>BDH|13981311193918300393</stp>
        <tr r="O94" s="12"/>
      </tp>
      <tp t="e">
        <v>#N/A</v>
        <stp/>
        <stp>BDH|16683438703711149161</stp>
        <tr r="Q86" s="24"/>
      </tp>
      <tp t="e">
        <v>#N/A</v>
        <stp/>
        <stp>BDH|16302604609181876333</stp>
        <tr r="K26" s="21"/>
      </tp>
      <tp t="e">
        <v>#N/A</v>
        <stp/>
        <stp>BDH|12838341831721801144</stp>
        <tr r="J7" s="11"/>
      </tp>
      <tp t="e">
        <v>#N/A</v>
        <stp/>
        <stp>BDH|16050292855993897057</stp>
        <tr r="Y31" s="18"/>
      </tp>
      <tp t="e">
        <v>#N/A</v>
        <stp/>
        <stp>BDH|14723214342464635431</stp>
        <tr r="V61" s="12"/>
      </tp>
      <tp t="e">
        <v>#N/A</v>
        <stp/>
        <stp>BDH|10601614279733808074</stp>
        <tr r="N27" s="26"/>
      </tp>
      <tp t="e">
        <v>#N/A</v>
        <stp/>
        <stp>BDH|17946688066264305159</stp>
        <tr r="X55" s="17"/>
      </tp>
      <tp t="e">
        <v>#N/A</v>
        <stp/>
        <stp>BDH|14656865748063131984</stp>
        <tr r="X64" s="34"/>
      </tp>
      <tp t="e">
        <v>#N/A</v>
        <stp/>
        <stp>BDH|15098569041992470429</stp>
        <tr r="I21" s="9"/>
      </tp>
      <tp t="e">
        <v>#N/A</v>
        <stp/>
        <stp>BDH|13766732000383187549</stp>
        <tr r="R52" s="18"/>
      </tp>
      <tp t="e">
        <v>#N/A</v>
        <stp/>
        <stp>BDH|10623057813085348627</stp>
        <tr r="X169" s="18"/>
      </tp>
      <tp t="e">
        <v>#N/A</v>
        <stp/>
        <stp>BDH|16121810466362719806</stp>
        <tr r="I130" s="18"/>
      </tp>
      <tp t="e">
        <v>#N/A</v>
        <stp/>
        <stp>BDH|17141422628611873221</stp>
        <tr r="K14" s="6"/>
      </tp>
      <tp t="e">
        <v>#N/A</v>
        <stp/>
        <stp>BDH|17338121165797113542</stp>
        <tr r="R21" s="9"/>
      </tp>
      <tp t="e">
        <v>#N/A</v>
        <stp/>
        <stp>BDH|12714216756484976381</stp>
        <tr r="Q193" s="18"/>
      </tp>
      <tp t="e">
        <v>#N/A</v>
        <stp/>
        <stp>BDH|10971992750538249631</stp>
        <tr r="AA26" s="27"/>
      </tp>
      <tp t="e">
        <v>#N/A</v>
        <stp/>
        <stp>BDH|18056076374844084926</stp>
        <tr r="S9" s="24"/>
      </tp>
      <tp t="e">
        <v>#N/A</v>
        <stp/>
        <stp>BDH|10124594919372595458</stp>
        <tr r="O31" s="26"/>
        <tr r="L14" s="9"/>
      </tp>
      <tp t="e">
        <v>#N/A</v>
        <stp/>
        <stp>BDH|12303665095638908787</stp>
        <tr r="G8" s="27"/>
      </tp>
      <tp t="e">
        <v>#N/A</v>
        <stp/>
        <stp>BDH|13774730833600256540</stp>
        <tr r="V74" s="12"/>
      </tp>
      <tp t="e">
        <v>#N/A</v>
        <stp/>
        <stp>BDH|16757655673363537654</stp>
        <tr r="U19" s="17"/>
      </tp>
      <tp t="e">
        <v>#N/A</v>
        <stp/>
        <stp>BDH|12137306836295245547</stp>
        <tr r="F9" s="21"/>
      </tp>
      <tp t="e">
        <v>#N/A</v>
        <stp/>
        <stp>BDH|16451130436771608779</stp>
        <tr r="H24" s="17"/>
      </tp>
      <tp t="e">
        <v>#N/A</v>
        <stp/>
        <stp>BDH|13037094451962933616</stp>
        <tr r="V43" s="10"/>
        <tr r="V33" s="11"/>
      </tp>
      <tp t="e">
        <v>#N/A</v>
        <stp/>
        <stp>BDH|11225681749109301809</stp>
        <tr r="N19" s="24"/>
      </tp>
      <tp t="e">
        <v>#N/A</v>
        <stp/>
        <stp>BDH|10388747463744454704</stp>
        <tr r="U190" s="18"/>
      </tp>
      <tp t="e">
        <v>#N/A</v>
        <stp/>
        <stp>BDH|12460321741751288651</stp>
        <tr r="P122" s="18"/>
        <tr r="P11" s="20"/>
      </tp>
      <tp t="e">
        <v>#N/A</v>
        <stp/>
        <stp>BDH|17500104119187583294</stp>
        <tr r="Y102" s="18"/>
      </tp>
      <tp t="e">
        <v>#N/A</v>
        <stp/>
        <stp>BDH|14614737428746991541</stp>
        <tr r="H25" s="5"/>
      </tp>
      <tp t="e">
        <v>#N/A</v>
        <stp/>
        <stp>BDH|10365188337815893546</stp>
        <tr r="S30" s="18"/>
      </tp>
      <tp t="e">
        <v>#N/A</v>
        <stp/>
        <stp>BDH|13025124014269657808</stp>
        <tr r="V44" s="22"/>
      </tp>
      <tp t="e">
        <v>#N/A</v>
        <stp/>
        <stp>BDH|11695474875496487608</stp>
        <tr r="Y30" s="21"/>
      </tp>
      <tp t="e">
        <v>#N/A</v>
        <stp/>
        <stp>BDH|11103358393251748806</stp>
        <tr r="F41" s="17"/>
        <tr r="F9" s="25"/>
      </tp>
      <tp t="e">
        <v>#N/A</v>
        <stp/>
        <stp>BDH|16945398662856298705</stp>
        <tr r="Y104" s="12"/>
      </tp>
      <tp t="e">
        <v>#N/A</v>
        <stp/>
        <stp>BDH|12168923093397694767</stp>
        <tr r="L43" s="12"/>
      </tp>
      <tp t="e">
        <v>#N/A</v>
        <stp/>
        <stp>BDH|12977247616450393385</stp>
        <tr r="G74" s="12"/>
      </tp>
      <tp t="e">
        <v>#N/A</v>
        <stp/>
        <stp>BDH|16726494945843233792</stp>
        <tr r="K83" s="24"/>
      </tp>
      <tp t="e">
        <v>#N/A</v>
        <stp/>
        <stp>BDH|13153146836323282017</stp>
        <tr r="I16" s="11"/>
      </tp>
      <tp t="e">
        <v>#N/A</v>
        <stp/>
        <stp>BDH|14300904823974024900</stp>
        <tr r="X87" s="18"/>
      </tp>
      <tp t="e">
        <v>#N/A</v>
        <stp/>
        <stp>BDH|12483773978418391889</stp>
        <tr r="V20" s="34"/>
      </tp>
      <tp t="e">
        <v>#N/A</v>
        <stp/>
        <stp>BDH|16392522635650660224</stp>
        <tr r="X16" s="11"/>
      </tp>
      <tp t="e">
        <v>#N/A</v>
        <stp/>
        <stp>BDH|11345618113953032719</stp>
        <tr r="T35" s="18"/>
      </tp>
      <tp t="e">
        <v>#N/A</v>
        <stp/>
        <stp>BDH|14384061474082414356</stp>
        <tr r="N190" s="18"/>
      </tp>
      <tp t="e">
        <v>#N/A</v>
        <stp/>
        <stp>BDH|10930806201958170295</stp>
        <tr r="O13" s="18"/>
      </tp>
      <tp t="e">
        <v>#N/A</v>
        <stp/>
        <stp>BDH|18294205399962926329</stp>
        <tr r="R18" s="25"/>
      </tp>
      <tp t="e">
        <v>#N/A</v>
        <stp/>
        <stp>BDH|17816198218533937601</stp>
        <tr r="S26" s="24"/>
      </tp>
      <tp t="e">
        <v>#N/A</v>
        <stp/>
        <stp>BDH|13357727815045372279</stp>
        <tr r="W57" s="18"/>
      </tp>
      <tp t="e">
        <v>#N/A</v>
        <stp/>
        <stp>BDH|11660396942184895054</stp>
        <tr r="I15" s="14"/>
      </tp>
      <tp t="e">
        <v>#N/A</v>
        <stp/>
        <stp>BDH|16672273902655342305</stp>
        <tr r="O50" s="4"/>
      </tp>
      <tp t="e">
        <v>#N/A</v>
        <stp/>
        <stp>BDH|11730465978129844910</stp>
        <tr r="U9" s="23"/>
      </tp>
      <tp t="e">
        <v>#N/A</v>
        <stp/>
        <stp>BDH|12161947663259439623</stp>
        <tr r="H15" s="5"/>
      </tp>
      <tp t="e">
        <v>#N/A</v>
        <stp/>
        <stp>BDH|11756534463300367047</stp>
        <tr r="I14" s="23"/>
      </tp>
      <tp t="e">
        <v>#N/A</v>
        <stp/>
        <stp>BDH|13724356704003627105</stp>
        <tr r="W11" s="3"/>
        <tr r="U50" s="10"/>
        <tr r="U40" s="11"/>
        <tr r="U8" s="7"/>
      </tp>
      <tp t="e">
        <v>#N/A</v>
        <stp/>
        <stp>BDH|17680504261440321649</stp>
        <tr r="C91" s="18"/>
      </tp>
      <tp t="e">
        <v>#N/A</v>
        <stp/>
        <stp>BDH|15661254348469862833</stp>
        <tr r="J136" s="18"/>
      </tp>
      <tp t="e">
        <v>#N/A</v>
        <stp/>
        <stp>BDH|12845273136955189484</stp>
        <tr r="T33" s="14"/>
      </tp>
      <tp t="e">
        <v>#N/A</v>
        <stp/>
        <stp>BDH|13959614964231906051</stp>
        <tr r="P48" s="18"/>
      </tp>
      <tp t="e">
        <v>#N/A</v>
        <stp/>
        <stp>BDH|17013858284242838799</stp>
        <tr r="L110" s="18"/>
      </tp>
      <tp t="e">
        <v>#N/A</v>
        <stp/>
        <stp>BDH|18258813645310232646</stp>
        <tr r="H200" s="18"/>
      </tp>
      <tp t="e">
        <v>#N/A</v>
        <stp/>
        <stp>BDH|17628615036238402855</stp>
        <tr r="D50" s="13"/>
      </tp>
      <tp t="e">
        <v>#N/A</v>
        <stp/>
        <stp>BDH|14709334374423661161</stp>
        <tr r="P52" s="4"/>
        <tr r="R8" s="3"/>
        <tr r="P44" s="10"/>
        <tr r="P34" s="11"/>
        <tr r="R45" s="13"/>
      </tp>
      <tp t="e">
        <v>#N/A</v>
        <stp/>
        <stp>BDH|14772702400531631014</stp>
        <tr r="F68" s="12"/>
      </tp>
      <tp t="e">
        <v>#N/A</v>
        <stp/>
        <stp>BDH|15787058172087179710</stp>
        <tr r="F28" s="17"/>
      </tp>
      <tp t="e">
        <v>#N/A</v>
        <stp/>
        <stp>BDH|12832858280631433199</stp>
        <tr r="E42" s="24"/>
      </tp>
      <tp t="e">
        <v>#N/A</v>
        <stp/>
        <stp>BDH|17006760648863686587</stp>
        <tr r="Q138" s="18"/>
      </tp>
      <tp t="e">
        <v>#N/A</v>
        <stp/>
        <stp>BDH|16438559134434387660</stp>
        <tr r="M34" s="29"/>
      </tp>
      <tp t="e">
        <v>#N/A</v>
        <stp/>
        <stp>BDH|13691536972300091373</stp>
        <tr r="H17" s="6"/>
      </tp>
      <tp t="e">
        <v>#N/A</v>
        <stp/>
        <stp>BDH|15333014470787777751</stp>
        <tr r="O22" s="7"/>
      </tp>
      <tp t="e">
        <v>#N/A</v>
        <stp/>
        <stp>BDH|13219553926621856797</stp>
        <tr r="I34" s="29"/>
      </tp>
      <tp t="e">
        <v>#N/A</v>
        <stp/>
        <stp>BDH|12069869430933698809</stp>
        <tr r="T15" s="12"/>
      </tp>
      <tp t="e">
        <v>#N/A</v>
        <stp/>
        <stp>BDH|11690522844350486245</stp>
        <tr r="O33" s="24"/>
      </tp>
      <tp t="e">
        <v>#N/A</v>
        <stp/>
        <stp>BDH|12553050014016557715</stp>
        <tr r="W80" s="24"/>
      </tp>
      <tp t="e">
        <v>#N/A</v>
        <stp/>
        <stp>BDH|15921704334561435295</stp>
        <tr r="K41" s="17"/>
        <tr r="K9" s="25"/>
      </tp>
      <tp t="e">
        <v>#N/A</v>
        <stp/>
        <stp>BDH|12925006341045952114</stp>
        <tr r="H12" s="17"/>
      </tp>
      <tp t="e">
        <v>#N/A</v>
        <stp/>
        <stp>BDH|13571760977846520719</stp>
        <tr r="W104" s="18"/>
      </tp>
      <tp t="e">
        <v>#N/A</v>
        <stp/>
        <stp>BDH|17028221567330465112</stp>
        <tr r="T12" s="25"/>
      </tp>
      <tp t="e">
        <v>#N/A</v>
        <stp/>
        <stp>BDH|16945854798615322070</stp>
        <tr r="AA78" s="18"/>
      </tp>
      <tp t="e">
        <v>#N/A</v>
        <stp/>
        <stp>BDH|18290435572090914996</stp>
        <tr r="I103" s="18"/>
      </tp>
      <tp t="e">
        <v>#N/A</v>
        <stp/>
        <stp>BDH|13364418749424805501</stp>
        <tr r="Q86" s="17"/>
      </tp>
      <tp t="e">
        <v>#N/A</v>
        <stp/>
        <stp>BDH|11712598589739448700</stp>
        <tr r="D130" s="18"/>
      </tp>
      <tp t="e">
        <v>#N/A</v>
        <stp/>
        <stp>BDH|11566707807801030510</stp>
        <tr r="W62" s="13"/>
      </tp>
      <tp t="e">
        <v>#N/A</v>
        <stp/>
        <stp>BDH|13834408736227414192</stp>
        <tr r="S174" s="18"/>
      </tp>
      <tp t="e">
        <v>#N/A</v>
        <stp/>
        <stp>BDH|13938538966355830771</stp>
        <tr r="R46" s="12"/>
      </tp>
      <tp t="e">
        <v>#N/A</v>
        <stp/>
        <stp>BDH|11098724222241477771</stp>
        <tr r="E30" s="12"/>
      </tp>
      <tp t="e">
        <v>#N/A</v>
        <stp/>
        <stp>BDH|14155868464738776074</stp>
        <tr r="V149" s="18"/>
      </tp>
      <tp t="e">
        <v>#N/A</v>
        <stp/>
        <stp>BDH|16853836289923917782</stp>
        <tr r="M24" s="2"/>
      </tp>
      <tp t="e">
        <v>#N/A</v>
        <stp/>
        <stp>BDH|11232172140333323559</stp>
        <tr r="R93" s="12"/>
      </tp>
      <tp t="e">
        <v>#N/A</v>
        <stp/>
        <stp>BDH|11867476871756476698</stp>
        <tr r="J26" s="29"/>
      </tp>
      <tp t="e">
        <v>#N/A</v>
        <stp/>
        <stp>BDH|15704191249832213060</stp>
        <tr r="S43" s="10"/>
        <tr r="S33" s="11"/>
      </tp>
      <tp t="e">
        <v>#N/A</v>
        <stp/>
        <stp>BDH|11000047605384226708</stp>
        <tr r="I11" s="18"/>
      </tp>
      <tp t="e">
        <v>#N/A</v>
        <stp/>
        <stp>BDH|17282605532276426673</stp>
        <tr r="W124" s="18"/>
        <tr r="W13" s="20"/>
      </tp>
      <tp t="e">
        <v>#N/A</v>
        <stp/>
        <stp>BDH|12367852892647166669</stp>
        <tr r="L29" s="4"/>
      </tp>
      <tp t="e">
        <v>#N/A</v>
        <stp/>
        <stp>BDH|13200044864306730169</stp>
        <tr r="J105" s="12"/>
      </tp>
      <tp t="e">
        <v>#N/A</v>
        <stp/>
        <stp>BDH|11057117876204153159</stp>
        <tr r="F92" s="18"/>
      </tp>
      <tp t="e">
        <v>#N/A</v>
        <stp/>
        <stp>BDH|14237069239401971475</stp>
        <tr r="V15" s="29"/>
        <tr r="V38" s="29"/>
      </tp>
      <tp t="e">
        <v>#N/A</v>
        <stp/>
        <stp>BDH|10962967040377819840</stp>
        <tr r="N68" s="24"/>
      </tp>
      <tp t="e">
        <v>#N/A</v>
        <stp/>
        <stp>BDH|15089059432182755636</stp>
        <tr r="K25" s="9"/>
      </tp>
      <tp t="e">
        <v>#N/A</v>
        <stp/>
        <stp>BDH|16968797675035710112</stp>
        <tr r="U19" s="5"/>
        <tr r="U42" s="6"/>
      </tp>
      <tp t="e">
        <v>#N/A</v>
        <stp/>
        <stp>BDH|17956752314503962026</stp>
        <tr r="P61" s="21"/>
      </tp>
      <tp t="e">
        <v>#N/A</v>
        <stp/>
        <stp>BDH|15762373427590206661</stp>
        <tr r="Y24" s="12"/>
      </tp>
      <tp t="e">
        <v>#N/A</v>
        <stp/>
        <stp>BDH|13584387773602899751</stp>
        <tr r="L8" s="8"/>
      </tp>
      <tp t="e">
        <v>#N/A</v>
        <stp/>
        <stp>BDH|11609335185428415070</stp>
        <tr r="W15" s="11"/>
      </tp>
      <tp t="e">
        <v>#N/A</v>
        <stp/>
        <stp>BDH|16647585262725873276</stp>
        <tr r="R84" s="18"/>
      </tp>
      <tp t="e">
        <v>#N/A</v>
        <stp/>
        <stp>BDH|11290569230602205751</stp>
        <tr r="S104" s="12"/>
      </tp>
      <tp t="e">
        <v>#N/A</v>
        <stp/>
        <stp>BDH|12074097047273930746</stp>
        <tr r="L161" s="18"/>
      </tp>
      <tp t="e">
        <v>#N/A</v>
        <stp/>
        <stp>BDH|18095365469908929751</stp>
        <tr r="AA10" s="23"/>
      </tp>
      <tp t="e">
        <v>#N/A</v>
        <stp/>
        <stp>BDH|12540342241600107726</stp>
        <tr r="S40" s="24"/>
      </tp>
      <tp t="e">
        <v>#N/A</v>
        <stp/>
        <stp>BDH|10049202533030569356</stp>
        <tr r="U177" s="18"/>
      </tp>
      <tp t="e">
        <v>#N/A</v>
        <stp/>
        <stp>BDH|13568444893148926487</stp>
        <tr r="S67" s="12"/>
      </tp>
      <tp t="e">
        <v>#N/A</v>
        <stp/>
        <stp>BDH|14427249771665512678</stp>
        <tr r="M12" s="10"/>
      </tp>
      <tp t="e">
        <v>#N/A</v>
        <stp/>
        <stp>BDH|11562307255504117121</stp>
        <tr r="H68" s="12"/>
      </tp>
      <tp t="e">
        <v>#N/A</v>
        <stp/>
        <stp>BDH|15496120702262684417</stp>
        <tr r="L11" s="24"/>
      </tp>
      <tp t="e">
        <v>#N/A</v>
        <stp/>
        <stp>BDH|13456555262096026419</stp>
        <tr r="H63" s="17"/>
      </tp>
      <tp t="e">
        <v>#N/A</v>
        <stp/>
        <stp>BDH|11515294775505836338</stp>
        <tr r="D18" s="18"/>
      </tp>
      <tp t="e">
        <v>#N/A</v>
        <stp/>
        <stp>BDH|17464669430020845080</stp>
        <tr r="W15" s="12"/>
      </tp>
      <tp t="e">
        <v>#N/A</v>
        <stp/>
        <stp>BDH|17929758631413921266</stp>
        <tr r="M41" s="21"/>
      </tp>
      <tp t="e">
        <v>#N/A</v>
        <stp/>
        <stp>BDH|15060641415943359301</stp>
        <tr r="L77" s="12"/>
      </tp>
      <tp t="e">
        <v>#N/A</v>
        <stp/>
        <stp>BDH|13941062348936009355</stp>
        <tr r="F189" s="18"/>
      </tp>
      <tp t="e">
        <v>#N/A</v>
        <stp/>
        <stp>BDH|12281626108320808627</stp>
        <tr r="Q17" s="14"/>
      </tp>
      <tp t="e">
        <v>#N/A</v>
        <stp/>
        <stp>BDH|14613809644113463945</stp>
        <tr r="C71" s="18"/>
      </tp>
      <tp t="e">
        <v>#N/A</v>
        <stp/>
        <stp>BDH|18089211246758638437</stp>
        <tr r="G18" s="10"/>
      </tp>
      <tp t="e">
        <v>#N/A</v>
        <stp/>
        <stp>BDH|11968218558044708054</stp>
        <tr r="AA32" s="24"/>
      </tp>
      <tp t="e">
        <v>#N/A</v>
        <stp/>
        <stp>BDH|13771273877922573603</stp>
        <tr r="D12" s="25"/>
      </tp>
      <tp t="e">
        <v>#N/A</v>
        <stp/>
        <stp>BDH|15198357801094223055</stp>
        <tr r="T48" s="17"/>
      </tp>
      <tp t="e">
        <v>#N/A</v>
        <stp/>
        <stp>BDH|12448436683094090862</stp>
        <tr r="O90" s="24"/>
      </tp>
      <tp t="e">
        <v>#N/A</v>
        <stp/>
        <stp>BDH|14344236271851452276</stp>
        <tr r="F42" s="24"/>
      </tp>
      <tp t="e">
        <v>#N/A</v>
        <stp/>
        <stp>BDH|15587335764327303537</stp>
        <tr r="Z39" s="25"/>
        <tr r="Z7" s="3"/>
        <tr r="X17" s="11"/>
        <tr r="Z22" s="13"/>
        <tr r="Z7" s="13"/>
      </tp>
      <tp t="e">
        <v>#N/A</v>
        <stp/>
        <stp>BDH|15480923186741520776</stp>
        <tr r="R15" s="17"/>
        <tr r="R18" s="28"/>
      </tp>
      <tp t="e">
        <v>#N/A</v>
        <stp/>
        <stp>BDH|17277609472650492469</stp>
        <tr r="S28" s="27"/>
      </tp>
      <tp t="e">
        <v>#N/A</v>
        <stp/>
        <stp>BDH|18311933413407277539</stp>
        <tr r="T17" s="23"/>
      </tp>
      <tp t="e">
        <v>#N/A</v>
        <stp/>
        <stp>BDH|18035687196182421788</stp>
        <tr r="K169" s="18"/>
      </tp>
      <tp t="e">
        <v>#N/A</v>
        <stp/>
        <stp>BDH|15462176366038197866</stp>
        <tr r="C24" s="9"/>
      </tp>
      <tp t="e">
        <v>#N/A</v>
        <stp/>
        <stp>BDH|15782173542015313735</stp>
        <tr r="F16" s="25"/>
      </tp>
      <tp t="e">
        <v>#N/A</v>
        <stp/>
        <stp>BDH|11592325169135416383</stp>
        <tr r="H26" s="26"/>
      </tp>
      <tp t="e">
        <v>#N/A</v>
        <stp/>
        <stp>BDH|13426923363236590825</stp>
        <tr r="F183" s="18"/>
      </tp>
      <tp t="e">
        <v>#N/A</v>
        <stp/>
        <stp>BDH|16529029770501316261</stp>
        <tr r="U40" s="22"/>
      </tp>
      <tp t="e">
        <v>#N/A</v>
        <stp/>
        <stp>BDH|18209633035869370651</stp>
        <tr r="E113" s="18"/>
      </tp>
      <tp t="e">
        <v>#N/A</v>
        <stp/>
        <stp>BDH|11193848582820201374</stp>
        <tr r="K17" s="29"/>
        <tr r="K40" s="29"/>
      </tp>
      <tp t="e">
        <v>#N/A</v>
        <stp/>
        <stp>BDH|14237715346631457438</stp>
        <tr r="I17" s="13"/>
      </tp>
      <tp t="e">
        <v>#N/A</v>
        <stp/>
        <stp>BDH|15257641879805898359</stp>
        <tr r="AA103" s="18"/>
      </tp>
      <tp t="e">
        <v>#N/A</v>
        <stp/>
        <stp>BDH|10325048240991160746</stp>
        <tr r="D47" s="22"/>
      </tp>
      <tp t="e">
        <v>#N/A</v>
        <stp/>
        <stp>BDH|14077620667311418736</stp>
        <tr r="G42" s="12"/>
      </tp>
      <tp t="e">
        <v>#N/A</v>
        <stp/>
        <stp>BDH|14601423870384711112</stp>
        <tr r="C46" s="13"/>
      </tp>
      <tp t="e">
        <v>#N/A</v>
        <stp/>
        <stp>BDH|15651372951664064525</stp>
        <tr r="Y17" s="29"/>
        <tr r="Y40" s="29"/>
      </tp>
      <tp t="e">
        <v>#N/A</v>
        <stp/>
        <stp>BDH|15342672604559446865</stp>
        <tr r="R36" s="18"/>
      </tp>
      <tp t="e">
        <v>#N/A</v>
        <stp/>
        <stp>BDH|16102308104047781002</stp>
        <tr r="X90" s="24"/>
      </tp>
      <tp t="e">
        <v>#N/A</v>
        <stp/>
        <stp>BDH|12646737850283045177</stp>
        <tr r="AA35" s="21"/>
      </tp>
      <tp t="e">
        <v>#N/A</v>
        <stp/>
        <stp>BDH|13551835864058128713</stp>
        <tr r="Q69" s="24"/>
      </tp>
      <tp t="e">
        <v>#N/A</v>
        <stp/>
        <stp>BDH|17420372454847490410</stp>
        <tr r="V105" s="18"/>
      </tp>
      <tp t="e">
        <v>#N/A</v>
        <stp/>
        <stp>BDH|14220540078603469782</stp>
        <tr r="D32" s="18"/>
      </tp>
      <tp t="e">
        <v>#N/A</v>
        <stp/>
        <stp>BDH|16240423739325250691</stp>
        <tr r="Q150" s="18"/>
      </tp>
      <tp t="e">
        <v>#N/A</v>
        <stp/>
        <stp>BDH|14187439767300217453</stp>
        <tr r="U38" s="10"/>
        <tr r="U28" s="11"/>
        <tr r="W47" s="13"/>
      </tp>
      <tp t="e">
        <v>#N/A</v>
        <stp/>
        <stp>BDH|10124710234192609403</stp>
        <tr r="Y50" s="24"/>
      </tp>
      <tp t="e">
        <v>#N/A</v>
        <stp/>
        <stp>BDH|16873432308504802490</stp>
        <tr r="X45" s="22"/>
      </tp>
      <tp t="e">
        <v>#N/A</v>
        <stp/>
        <stp>BDH|16141803963348207223</stp>
        <tr r="V47" s="17"/>
      </tp>
      <tp t="e">
        <v>#N/A</v>
        <stp/>
        <stp>BDH|14235219779663182093</stp>
        <tr r="N19" s="34"/>
      </tp>
      <tp t="e">
        <v>#N/A</v>
        <stp/>
        <stp>BDH|16834030819140628567</stp>
        <tr r="I108" s="18"/>
      </tp>
      <tp t="e">
        <v>#N/A</v>
        <stp/>
        <stp>BDH|11431821700953490805</stp>
        <tr r="P11" s="13"/>
      </tp>
      <tp t="e">
        <v>#N/A</v>
        <stp/>
        <stp>BDH|17166342256617837496</stp>
        <tr r="D96" s="12"/>
      </tp>
      <tp t="e">
        <v>#N/A</v>
        <stp/>
        <stp>BDH|13719835550024661804</stp>
        <tr r="F15" s="14"/>
      </tp>
      <tp t="e">
        <v>#N/A</v>
        <stp/>
        <stp>BDH|12260679842382538009</stp>
        <tr r="E17" s="21"/>
      </tp>
      <tp t="e">
        <v>#N/A</v>
        <stp/>
        <stp>BDH|16978743619731775312</stp>
        <tr r="H28" s="12"/>
      </tp>
      <tp t="e">
        <v>#N/A</v>
        <stp/>
        <stp>BDH|18357943425042412341</stp>
        <tr r="AA8" s="13"/>
      </tp>
      <tp t="e">
        <v>#N/A</v>
        <stp/>
        <stp>BDH|13013583381019955521</stp>
        <tr r="F25" s="27"/>
      </tp>
      <tp t="e">
        <v>#N/A</v>
        <stp/>
        <stp>BDH|13720437226644712374</stp>
        <tr r="AA61" s="18"/>
      </tp>
      <tp t="e">
        <v>#N/A</v>
        <stp/>
        <stp>BDH|13038402818173205786</stp>
        <tr r="D18" s="20"/>
      </tp>
      <tp t="e">
        <v>#N/A</v>
        <stp/>
        <stp>BDH|13217628307420294772</stp>
        <tr r="T34" s="5"/>
        <tr r="V32" s="29"/>
      </tp>
      <tp t="e">
        <v>#N/A</v>
        <stp/>
        <stp>BDH|16671686200390968251</stp>
        <tr r="D126" s="18"/>
      </tp>
      <tp t="e">
        <v>#N/A</v>
        <stp/>
        <stp>BDH|14310380451784015483</stp>
        <tr r="M49" s="21"/>
      </tp>
      <tp t="e">
        <v>#N/A</v>
        <stp/>
        <stp>BDH|13922798015616501128</stp>
        <tr r="U8" s="27"/>
      </tp>
      <tp t="e">
        <v>#N/A</v>
        <stp/>
        <stp>BDH|14610533417195402738</stp>
        <tr r="W135" s="18"/>
      </tp>
      <tp t="e">
        <v>#N/A</v>
        <stp/>
        <stp>BDH|14522378841657634605</stp>
        <tr r="H9" s="6"/>
      </tp>
      <tp t="e">
        <v>#N/A</v>
        <stp/>
        <stp>BDH|10967959427630970974</stp>
        <tr r="X45" s="12"/>
      </tp>
      <tp t="e">
        <v>#N/A</v>
        <stp/>
        <stp>BDH|13629725072680018139</stp>
        <tr r="M12" s="3"/>
        <tr r="K55" s="10"/>
        <tr r="K45" s="11"/>
        <tr r="K7" s="7"/>
      </tp>
      <tp t="e">
        <v>#N/A</v>
        <stp/>
        <stp>BDH|15653709916383139245</stp>
        <tr r="J23" s="2"/>
        <tr r="L19" s="21"/>
        <tr r="L23" s="3"/>
      </tp>
      <tp t="e">
        <v>#N/A</v>
        <stp/>
        <stp>BDH|11107163424727344759</stp>
        <tr r="L20" s="6"/>
      </tp>
      <tp t="e">
        <v>#N/A</v>
        <stp/>
        <stp>BDH|12774176527901207201</stp>
        <tr r="N17" s="20"/>
      </tp>
      <tp t="e">
        <v>#N/A</v>
        <stp/>
        <stp>BDH|13675031491758312029</stp>
        <tr r="V45" s="18"/>
      </tp>
      <tp t="e">
        <v>#N/A</v>
        <stp/>
        <stp>BDH|10714005727830075053</stp>
        <tr r="O129" s="18"/>
      </tp>
      <tp t="e">
        <v>#N/A</v>
        <stp/>
        <stp>BDH|17620743131607604608</stp>
        <tr r="R14" s="2"/>
        <tr r="R11" s="10"/>
      </tp>
      <tp t="e">
        <v>#N/A</v>
        <stp/>
        <stp>BDH|11783853456439717761</stp>
        <tr r="I64" s="21"/>
      </tp>
      <tp t="e">
        <v>#N/A</v>
        <stp/>
        <stp>BDH|17043548987509073160</stp>
        <tr r="T157" s="18"/>
      </tp>
      <tp t="e">
        <v>#N/A</v>
        <stp/>
        <stp>BDH|12066623451760698306</stp>
        <tr r="K118" s="18"/>
        <tr r="K6" s="20"/>
      </tp>
      <tp t="e">
        <v>#N/A</v>
        <stp/>
        <stp>BDH|17482334455155587628</stp>
        <tr r="G9" s="6"/>
      </tp>
      <tp t="e">
        <v>#N/A</v>
        <stp/>
        <stp>BDH|17195165333794943383</stp>
        <tr r="S8" s="28"/>
      </tp>
      <tp t="e">
        <v>#N/A</v>
        <stp/>
        <stp>BDH|11498172026267766773</stp>
        <tr r="G95" s="24"/>
      </tp>
      <tp t="e">
        <v>#N/A</v>
        <stp/>
        <stp>BDH|11692532964719182957</stp>
        <tr r="C11" s="3"/>
      </tp>
      <tp t="e">
        <v>#N/A</v>
        <stp/>
        <stp>BDH|13131867448548359597</stp>
        <tr r="J20" s="12"/>
      </tp>
      <tp t="e">
        <v>#N/A</v>
        <stp/>
        <stp>BDH|12648993328608000322</stp>
        <tr r="P10" s="24"/>
      </tp>
      <tp t="e">
        <v>#N/A</v>
        <stp/>
        <stp>BDH|15584357081869114555</stp>
        <tr r="M62" s="13"/>
      </tp>
      <tp t="e">
        <v>#N/A</v>
        <stp/>
        <stp>BDH|17439521025102738013</stp>
        <tr r="K128" s="18"/>
      </tp>
      <tp t="e">
        <v>#N/A</v>
        <stp/>
        <stp>BDH|10283945604869631215</stp>
        <tr r="AA51" s="34"/>
      </tp>
      <tp t="e">
        <v>#N/A</v>
        <stp/>
        <stp>BDH|16583792866357723289</stp>
        <tr r="O31" s="21"/>
      </tp>
      <tp t="e">
        <v>#N/A</v>
        <stp/>
        <stp>BDH|17672701867470531413</stp>
        <tr r="N170" s="18"/>
      </tp>
      <tp t="e">
        <v>#N/A</v>
        <stp/>
        <stp>BDH|13613236552952554479</stp>
        <tr r="H51" s="34"/>
      </tp>
      <tp t="e">
        <v>#N/A</v>
        <stp/>
        <stp>BDH|14188649826441226345</stp>
        <tr r="V27" s="21"/>
      </tp>
      <tp t="e">
        <v>#N/A</v>
        <stp/>
        <stp>BDH|15639406427636606722</stp>
        <tr r="R34" s="12"/>
      </tp>
      <tp t="e">
        <v>#N/A</v>
        <stp/>
        <stp>BDH|13076491751632527283</stp>
        <tr r="AA70" s="17"/>
      </tp>
      <tp t="e">
        <v>#N/A</v>
        <stp/>
        <stp>BDH|15473212637821150769</stp>
        <tr r="J95" s="18"/>
      </tp>
      <tp t="e">
        <v>#N/A</v>
        <stp/>
        <stp>BDH|18273363616109314145</stp>
        <tr r="J24" s="13"/>
      </tp>
      <tp t="e">
        <v>#N/A</v>
        <stp/>
        <stp>BDH|16133949524417679829</stp>
        <tr r="I39" s="34"/>
      </tp>
      <tp t="e">
        <v>#N/A</v>
        <stp/>
        <stp>BDH|14366127731134501000</stp>
        <tr r="L31" s="29"/>
      </tp>
      <tp t="e">
        <v>#N/A</v>
        <stp/>
        <stp>BDH|12529314824626431713</stp>
        <tr r="X18" s="14"/>
      </tp>
      <tp t="e">
        <v>#N/A</v>
        <stp/>
        <stp>BDH|14109589837899332985</stp>
        <tr r="AA25" s="3"/>
      </tp>
      <tp t="e">
        <v>#N/A</v>
        <stp/>
        <stp>BDH|14073678122401343338</stp>
        <tr r="F63" s="10"/>
      </tp>
      <tp t="e">
        <v>#N/A</v>
        <stp/>
        <stp>BDH|11307329041534797022</stp>
        <tr r="G80" s="34"/>
      </tp>
      <tp t="e">
        <v>#N/A</v>
        <stp/>
        <stp>BDH|15797705160600559679</stp>
        <tr r="D143" s="18"/>
      </tp>
      <tp t="e">
        <v>#N/A</v>
        <stp/>
        <stp>BDH|15567429984422197974</stp>
        <tr r="V76" s="12"/>
      </tp>
      <tp t="e">
        <v>#N/A</v>
        <stp/>
        <stp>BDH|17501196874591442291</stp>
        <tr r="AA51" s="24"/>
      </tp>
      <tp t="e">
        <v>#N/A</v>
        <stp/>
        <stp>BDH|10441052390279602221</stp>
        <tr r="G19" s="20"/>
      </tp>
      <tp t="e">
        <v>#N/A</v>
        <stp/>
        <stp>BDH|15868740224951586383</stp>
        <tr r="AA19" s="25"/>
      </tp>
      <tp t="e">
        <v>#N/A</v>
        <stp/>
        <stp>BDH|15101672860330079732</stp>
        <tr r="Q58" s="12"/>
      </tp>
      <tp t="e">
        <v>#N/A</v>
        <stp/>
        <stp>BDH|15299867141213566841</stp>
        <tr r="Y16" s="26"/>
      </tp>
      <tp t="e">
        <v>#N/A</v>
        <stp/>
        <stp>BDH|16791993451298939020</stp>
        <tr r="Q57" s="10"/>
        <tr r="Q47" s="11"/>
        <tr r="Q18" s="7"/>
        <tr r="S64" s="13"/>
      </tp>
      <tp t="e">
        <v>#N/A</v>
        <stp/>
        <stp>BDH|12651658358243640090</stp>
        <tr r="G46" s="34"/>
      </tp>
      <tp t="e">
        <v>#N/A</v>
        <stp/>
        <stp>BDH|12601717388526312988</stp>
        <tr r="J8" s="17"/>
      </tp>
      <tp t="e">
        <v>#N/A</v>
        <stp/>
        <stp>BDH|15995993385555543341</stp>
        <tr r="L43" s="22"/>
      </tp>
      <tp t="e">
        <v>#N/A</v>
        <stp/>
        <stp>BDH|12555989032802243899</stp>
        <tr r="R90" s="18"/>
      </tp>
      <tp t="e">
        <v>#N/A</v>
        <stp/>
        <stp>BDH|18306629511244554917</stp>
        <tr r="S34" s="5"/>
        <tr r="U32" s="29"/>
      </tp>
      <tp t="e">
        <v>#N/A</v>
        <stp/>
        <stp>BDH|13539523603985211120</stp>
        <tr r="X70" s="17"/>
      </tp>
      <tp t="e">
        <v>#N/A</v>
        <stp/>
        <stp>BDH|11803672300501917429</stp>
        <tr r="I9" s="10"/>
      </tp>
      <tp t="e">
        <v>#N/A</v>
        <stp/>
        <stp>BDH|18214620700024471809</stp>
        <tr r="O13" s="2"/>
      </tp>
      <tp t="e">
        <v>#N/A</v>
        <stp/>
        <stp>BDH|10691554567616536757</stp>
        <tr r="T25" s="14"/>
      </tp>
      <tp t="e">
        <v>#N/A</v>
        <stp/>
        <stp>BDH|14038991293892970472</stp>
        <tr r="K189" s="18"/>
      </tp>
      <tp t="e">
        <v>#N/A</v>
        <stp/>
        <stp>BDH|14315026879753991257</stp>
        <tr r="E92" s="12"/>
      </tp>
      <tp t="e">
        <v>#N/A</v>
        <stp/>
        <stp>BDH|17215640252244787275</stp>
        <tr r="X26" s="7"/>
      </tp>
      <tp t="e">
        <v>#N/A</v>
        <stp/>
        <stp>BDH|14692802346298777233</stp>
        <tr r="W23" s="5"/>
        <tr r="W23" s="9"/>
      </tp>
      <tp t="e">
        <v>#N/A</v>
        <stp/>
        <stp>BDH|17969728248221072777</stp>
        <tr r="J105" s="18"/>
      </tp>
      <tp t="e">
        <v>#N/A</v>
        <stp/>
        <stp>BDH|13081721883406687836</stp>
        <tr r="Q41" s="12"/>
      </tp>
      <tp t="e">
        <v>#N/A</v>
        <stp/>
        <stp>BDH|14578335172151372337</stp>
        <tr r="M48" s="18"/>
      </tp>
      <tp t="e">
        <v>#N/A</v>
        <stp/>
        <stp>BDH|14308386348194056571</stp>
        <tr r="P109" s="18"/>
      </tp>
      <tp t="e">
        <v>#N/A</v>
        <stp/>
        <stp>BDH|10570172068730964577</stp>
        <tr r="Y7" s="23"/>
      </tp>
      <tp t="e">
        <v>#N/A</v>
        <stp/>
        <stp>BDH|11624943240038052667</stp>
        <tr r="P20" s="23"/>
      </tp>
      <tp t="e">
        <v>#N/A</v>
        <stp/>
        <stp>BDH|12958407068270518202</stp>
        <tr r="N35" s="21"/>
      </tp>
      <tp t="e">
        <v>#N/A</v>
        <stp/>
        <stp>BDH|13466253457824790257</stp>
        <tr r="P50" s="12"/>
      </tp>
      <tp t="e">
        <v>#N/A</v>
        <stp/>
        <stp>BDH|11942218173551783780</stp>
        <tr r="M29" s="14"/>
      </tp>
      <tp t="e">
        <v>#N/A</v>
        <stp/>
        <stp>BDH|10457226952266878387</stp>
        <tr r="N16" s="17"/>
        <tr r="N19" s="28"/>
      </tp>
      <tp t="e">
        <v>#N/A</v>
        <stp/>
        <stp>BDH|12137363943097574056</stp>
        <tr r="U27" s="12"/>
      </tp>
      <tp t="e">
        <v>#N/A</v>
        <stp/>
        <stp>BDH|12421048965370982681</stp>
        <tr r="AA64" s="18"/>
      </tp>
      <tp t="e">
        <v>#N/A</v>
        <stp/>
        <stp>BDH|13700109821712679049</stp>
        <tr r="Y71" s="12"/>
      </tp>
      <tp t="e">
        <v>#N/A</v>
        <stp/>
        <stp>BDH|14653525144376567115</stp>
        <tr r="S48" s="21"/>
      </tp>
      <tp t="e">
        <v>#N/A</v>
        <stp/>
        <stp>BDH|12426236086793714925</stp>
        <tr r="N211" s="18"/>
      </tp>
      <tp t="e">
        <v>#N/A</v>
        <stp/>
        <stp>BDH|15957587456525155225</stp>
        <tr r="S97" s="12"/>
      </tp>
      <tp t="e">
        <v>#N/A</v>
        <stp/>
        <stp>BDH|15036159840350071218</stp>
        <tr r="I34" s="22"/>
      </tp>
      <tp t="e">
        <v>#N/A</v>
        <stp/>
        <stp>BDH|10704119525353791205</stp>
        <tr r="D34" s="29"/>
      </tp>
      <tp t="e">
        <v>#N/A</v>
        <stp/>
        <stp>BDH|13276121020456717435</stp>
        <tr r="J48" s="13"/>
      </tp>
      <tp t="e">
        <v>#N/A</v>
        <stp/>
        <stp>BDH|15719720996470756906</stp>
        <tr r="C6" s="27"/>
      </tp>
      <tp t="e">
        <v>#N/A</v>
        <stp/>
        <stp>BDH|15843190553311044265</stp>
        <tr r="C68" s="10"/>
      </tp>
      <tp t="e">
        <v>#N/A</v>
        <stp/>
        <stp>BDH|12547076724495047727</stp>
        <tr r="E15" s="12"/>
      </tp>
      <tp t="e">
        <v>#N/A</v>
        <stp/>
        <stp>BDH|14410234731094518371</stp>
        <tr r="T27" s="21"/>
      </tp>
      <tp t="e">
        <v>#N/A</v>
        <stp/>
        <stp>BDH|16342824038648427791</stp>
        <tr r="AA13" s="34"/>
      </tp>
      <tp t="e">
        <v>#N/A</v>
        <stp/>
        <stp>BDH|17946544714575969447</stp>
        <tr r="I123" s="18"/>
        <tr r="I12" s="20"/>
      </tp>
      <tp t="e">
        <v>#N/A</v>
        <stp/>
        <stp>BDH|11636224712484608447</stp>
        <tr r="AA9" s="34"/>
      </tp>
      <tp t="e">
        <v>#N/A</v>
        <stp/>
        <stp>BDH|16342838362698117240</stp>
        <tr r="O46" s="18"/>
      </tp>
      <tp t="e">
        <v>#N/A</v>
        <stp/>
        <stp>BDH|12467276147895048337</stp>
        <tr r="W71" s="17"/>
      </tp>
      <tp t="e">
        <v>#N/A</v>
        <stp/>
        <stp>BDH|17456661717530395213</stp>
        <tr r="P47" s="22"/>
      </tp>
      <tp t="e">
        <v>#N/A</v>
        <stp/>
        <stp>BDH|10115612522965220373</stp>
        <tr r="J26" s="24"/>
      </tp>
      <tp t="e">
        <v>#N/A</v>
        <stp/>
        <stp>BDH|14291115357491426370</stp>
        <tr r="D78" s="34"/>
      </tp>
      <tp t="e">
        <v>#N/A</v>
        <stp/>
        <stp>BDH|11681031695658705205</stp>
        <tr r="C8" s="14"/>
      </tp>
      <tp t="e">
        <v>#N/A</v>
        <stp/>
        <stp>BDH|13069159185779448136</stp>
        <tr r="V15" s="25"/>
      </tp>
      <tp t="e">
        <v>#N/A</v>
        <stp/>
        <stp>BDH|12770552439312985454</stp>
        <tr r="U156" s="18"/>
      </tp>
      <tp t="e">
        <v>#N/A</v>
        <stp/>
        <stp>BDH|14908655289419594171</stp>
        <tr r="M201" s="18"/>
      </tp>
      <tp t="e">
        <v>#N/A</v>
        <stp/>
        <stp>BDH|16149499956180866513</stp>
        <tr r="D73" s="18"/>
      </tp>
      <tp t="e">
        <v>#N/A</v>
        <stp/>
        <stp>BDH|16883176839513942586</stp>
        <tr r="J58" s="34"/>
      </tp>
      <tp t="e">
        <v>#N/A</v>
        <stp/>
        <stp>BDH|17534182862897026582</stp>
        <tr r="Z13" s="24"/>
      </tp>
      <tp t="e">
        <v>#N/A</v>
        <stp/>
        <stp>BDH|16771710856736487030</stp>
        <tr r="E28" s="34"/>
      </tp>
      <tp t="e">
        <v>#N/A</v>
        <stp/>
        <stp>BDH|11879608019661630505</stp>
        <tr r="F16" s="12"/>
      </tp>
      <tp t="e">
        <v>#N/A</v>
        <stp/>
        <stp>BDH|11904549563240931007</stp>
        <tr r="S10" s="21"/>
      </tp>
      <tp t="e">
        <v>#N/A</v>
        <stp/>
        <stp>BDH|17358217294726529848</stp>
        <tr r="Z15" s="14"/>
      </tp>
      <tp t="e">
        <v>#N/A</v>
        <stp/>
        <stp>BDH|17275465895079094165</stp>
        <tr r="L12" s="3"/>
        <tr r="J55" s="10"/>
        <tr r="J45" s="11"/>
        <tr r="J7" s="7"/>
      </tp>
      <tp t="e">
        <v>#N/A</v>
        <stp/>
        <stp>BDH|14361668972753504457</stp>
        <tr r="F58" s="12"/>
      </tp>
      <tp t="e">
        <v>#N/A</v>
        <stp/>
        <stp>BDH|17175415337763395131</stp>
        <tr r="J89" s="12"/>
      </tp>
      <tp t="e">
        <v>#N/A</v>
        <stp/>
        <stp>BDH|18233335786136732779</stp>
        <tr r="Q188" s="18"/>
      </tp>
      <tp t="e">
        <v>#N/A</v>
        <stp/>
        <stp>BDH|13369952595320688122</stp>
        <tr r="S17" s="14"/>
      </tp>
      <tp t="e">
        <v>#N/A</v>
        <stp/>
        <stp>BDH|14352393208887309263</stp>
        <tr r="M104" s="18"/>
      </tp>
      <tp t="e">
        <v>#N/A</v>
        <stp/>
        <stp>BDH|17601788188232140803</stp>
        <tr r="K71" s="18"/>
      </tp>
      <tp t="e">
        <v>#N/A</v>
        <stp/>
        <stp>BDH|12001865995838487909</stp>
        <tr r="H134" s="18"/>
      </tp>
      <tp t="e">
        <v>#N/A</v>
        <stp/>
        <stp>BDH|12954611601986764097</stp>
        <tr r="J125" s="18"/>
        <tr r="J14" s="20"/>
      </tp>
      <tp t="e">
        <v>#N/A</v>
        <stp/>
        <stp>BDH|17209874682547956297</stp>
        <tr r="F21" s="3"/>
      </tp>
      <tp t="e">
        <v>#N/A</v>
        <stp/>
        <stp>BDH|11702269933070299273</stp>
        <tr r="R147" s="18"/>
      </tp>
      <tp t="e">
        <v>#N/A</v>
        <stp/>
        <stp>BDH|11042235934755769773</stp>
        <tr r="L32" s="24"/>
      </tp>
      <tp t="e">
        <v>#N/A</v>
        <stp/>
        <stp>BDH|15451957867760338825</stp>
        <tr r="U14" s="34"/>
      </tp>
      <tp t="e">
        <v>#N/A</v>
        <stp/>
        <stp>BDH|10194380554162831628</stp>
        <tr r="C26" s="26"/>
      </tp>
      <tp t="e">
        <v>#N/A</v>
        <stp/>
        <stp>BDH|14349021902500716632</stp>
        <tr r="H41" s="24"/>
      </tp>
      <tp t="e">
        <v>#N/A</v>
        <stp/>
        <stp>BDH|11046643796138573402</stp>
        <tr r="I57" s="34"/>
      </tp>
      <tp t="e">
        <v>#N/A</v>
        <stp/>
        <stp>BDH|14239627933695615621</stp>
        <tr r="X58" s="18"/>
      </tp>
      <tp t="e">
        <v>#N/A</v>
        <stp/>
        <stp>BDH|10264995379034549806</stp>
        <tr r="X112" s="18"/>
      </tp>
      <tp t="e">
        <v>#N/A</v>
        <stp/>
        <stp>BDH|10379154370144004013</stp>
        <tr r="Y14" s="11"/>
      </tp>
      <tp t="e">
        <v>#N/A</v>
        <stp/>
        <stp>BDH|15511322759338143985</stp>
        <tr r="Z52" s="34"/>
      </tp>
      <tp t="e">
        <v>#N/A</v>
        <stp/>
        <stp>BDH|16528769022980520131</stp>
        <tr r="D33" s="24"/>
      </tp>
      <tp t="e">
        <v>#N/A</v>
        <stp/>
        <stp>BDH|15831005342105911647</stp>
        <tr r="N18" s="9"/>
      </tp>
      <tp t="e">
        <v>#N/A</v>
        <stp/>
        <stp>BDH|17190274170624920488</stp>
        <tr r="V33" s="5"/>
      </tp>
      <tp t="e">
        <v>#N/A</v>
        <stp/>
        <stp>BDH|11173038111447339578</stp>
        <tr r="Q15" s="34"/>
      </tp>
      <tp t="e">
        <v>#N/A</v>
        <stp/>
        <stp>BDH|18001483099747340050</stp>
        <tr r="C21" s="4"/>
      </tp>
      <tp t="e">
        <v>#N/A</v>
        <stp/>
        <stp>BDH|12863191547284322120</stp>
        <tr r="U13" s="5"/>
      </tp>
      <tp t="e">
        <v>#N/A</v>
        <stp/>
        <stp>BDH|11610355486539340112</stp>
        <tr r="N32" s="18"/>
      </tp>
      <tp t="e">
        <v>#N/A</v>
        <stp/>
        <stp>BDH|14499586479966259204</stp>
        <tr r="Z9" s="22"/>
      </tp>
      <tp t="e">
        <v>#N/A</v>
        <stp/>
        <stp>BDH|14257521667354199118</stp>
        <tr r="W13" s="8"/>
      </tp>
      <tp t="e">
        <v>#N/A</v>
        <stp/>
        <stp>BDH|17837457215989981963</stp>
        <tr r="S32" s="18"/>
      </tp>
      <tp t="e">
        <v>#N/A</v>
        <stp/>
        <stp>BDH|13058725734777960287</stp>
        <tr r="E24" s="10"/>
      </tp>
      <tp t="e">
        <v>#N/A</v>
        <stp/>
        <stp>BDH|10008368574705418318</stp>
        <tr r="AA89" s="17"/>
      </tp>
      <tp t="e">
        <v>#N/A</v>
        <stp/>
        <stp>BDH|12370415171021732237</stp>
        <tr r="D178" s="18"/>
      </tp>
      <tp t="e">
        <v>#N/A</v>
        <stp/>
        <stp>BDH|13148076753574017023</stp>
        <tr r="W44" s="12"/>
      </tp>
      <tp t="e">
        <v>#N/A</v>
        <stp/>
        <stp>BDH|16360690708344349664</stp>
        <tr r="L86" s="17"/>
      </tp>
      <tp t="e">
        <v>#N/A</v>
        <stp/>
        <stp>BDH|13700426510540503476</stp>
        <tr r="S30" s="6"/>
      </tp>
      <tp t="e">
        <v>#N/A</v>
        <stp/>
        <stp>BDH|17587634537796491626</stp>
        <tr r="AA78" s="17"/>
      </tp>
      <tp t="e">
        <v>#N/A</v>
        <stp/>
        <stp>BDH|11147376518129961801</stp>
        <tr r="R69" s="18"/>
      </tp>
      <tp t="e">
        <v>#N/A</v>
        <stp/>
        <stp>BDH|13171462494279712532</stp>
        <tr r="W43" s="34"/>
      </tp>
      <tp t="e">
        <v>#N/A</v>
        <stp/>
        <stp>BDH|18317060632058229138</stp>
        <tr r="W10" s="22"/>
      </tp>
      <tp t="e">
        <v>#N/A</v>
        <stp/>
        <stp>BDH|10845936097801289389</stp>
        <tr r="T45" s="22"/>
      </tp>
      <tp t="e">
        <v>#N/A</v>
        <stp/>
        <stp>BDH|12264633574739118828</stp>
        <tr r="L19" s="22"/>
      </tp>
      <tp t="e">
        <v>#N/A</v>
        <stp/>
        <stp>BDH|14711887782664321289</stp>
        <tr r="Y196" s="18"/>
      </tp>
      <tp t="e">
        <v>#N/A</v>
        <stp/>
        <stp>BDH|15571861874539296130</stp>
        <tr r="M18" s="5"/>
        <tr r="M37" s="6"/>
      </tp>
      <tp t="e">
        <v>#N/A</v>
        <stp/>
        <stp>BDH|15406705159982370781</stp>
        <tr r="W198" s="18"/>
      </tp>
      <tp t="e">
        <v>#N/A</v>
        <stp/>
        <stp>BDH|15939852754848734290</stp>
        <tr r="V22" s="14"/>
      </tp>
      <tp t="e">
        <v>#N/A</v>
        <stp/>
        <stp>BDH|14920437426995848522</stp>
        <tr r="L38" s="22"/>
      </tp>
      <tp t="e">
        <v>#N/A</v>
        <stp/>
        <stp>BDH|10019379507350404122</stp>
        <tr r="X22" s="4"/>
      </tp>
      <tp t="e">
        <v>#N/A</v>
        <stp/>
        <stp>BDH|11995433815621821717</stp>
        <tr r="V41" s="12"/>
      </tp>
      <tp t="e">
        <v>#N/A</v>
        <stp/>
        <stp>BDH|12339549372937085533</stp>
        <tr r="Y12" s="18"/>
      </tp>
      <tp t="e">
        <v>#N/A</v>
        <stp/>
        <stp>BDH|14849374415743965759</stp>
        <tr r="H8" s="2"/>
      </tp>
      <tp t="e">
        <v>#N/A</v>
        <stp/>
        <stp>BDH|15200147030911774471</stp>
        <tr r="P33" s="17"/>
      </tp>
      <tp t="e">
        <v>#N/A</v>
        <stp/>
        <stp>BDH|16930520618453696336</stp>
        <tr r="O25" s="21"/>
      </tp>
      <tp t="e">
        <v>#N/A</v>
        <stp/>
        <stp>BDH|16551829662973084935</stp>
        <tr r="N95" s="24"/>
      </tp>
      <tp t="e">
        <v>#N/A</v>
        <stp/>
        <stp>BDH|12791250053236615112</stp>
        <tr r="R28" s="14"/>
      </tp>
      <tp t="e">
        <v>#N/A</v>
        <stp/>
        <stp>BDH|17728767210880473332</stp>
        <tr r="K13" s="13"/>
      </tp>
      <tp t="e">
        <v>#N/A</v>
        <stp/>
        <stp>BDH|16641778207680559357</stp>
        <tr r="N9" s="17"/>
      </tp>
      <tp t="e">
        <v>#N/A</v>
        <stp/>
        <stp>BDH|14306118521622748725</stp>
        <tr r="F80" s="12"/>
      </tp>
      <tp t="e">
        <v>#N/A</v>
        <stp/>
        <stp>BDH|16387460007957168758</stp>
        <tr r="U57" s="18"/>
      </tp>
      <tp t="e">
        <v>#N/A</v>
        <stp/>
        <stp>BDH|16420047372623480004</stp>
        <tr r="S13" s="7"/>
      </tp>
      <tp t="e">
        <v>#N/A</v>
        <stp/>
        <stp>BDH|15785557903222622011</stp>
        <tr r="C15" s="5"/>
      </tp>
      <tp t="e">
        <v>#N/A</v>
        <stp/>
        <stp>BDH|13170672762717378618</stp>
        <tr r="W16" s="26"/>
      </tp>
      <tp t="e">
        <v>#N/A</v>
        <stp/>
        <stp>BDH|15030619937857885587</stp>
        <tr r="T42" s="4"/>
      </tp>
      <tp t="e">
        <v>#N/A</v>
        <stp/>
        <stp>BDH|13945691185817410871</stp>
        <tr r="H29" s="10"/>
        <tr r="J38" s="13"/>
      </tp>
      <tp t="e">
        <v>#N/A</v>
        <stp/>
        <stp>BDH|11686415376676041673</stp>
        <tr r="G62" s="17"/>
      </tp>
      <tp t="e">
        <v>#N/A</v>
        <stp/>
        <stp>BDH|17709837741530510960</stp>
        <tr r="Z20" s="26"/>
      </tp>
      <tp t="e">
        <v>#N/A</v>
        <stp/>
        <stp>BDH|16755641524797131703</stp>
        <tr r="D46" s="12"/>
      </tp>
      <tp t="e">
        <v>#N/A</v>
        <stp/>
        <stp>BDH|17396927197352368738</stp>
        <tr r="C75" s="17"/>
      </tp>
      <tp t="e">
        <v>#N/A</v>
        <stp/>
        <stp>BDH|16525878797384787143</stp>
        <tr r="W137" s="18"/>
      </tp>
      <tp t="e">
        <v>#N/A</v>
        <stp/>
        <stp>BDH|15552204768773939027</stp>
        <tr r="I14" s="22"/>
      </tp>
      <tp t="e">
        <v>#N/A</v>
        <stp/>
        <stp>BDH|17724733325237333742</stp>
        <tr r="G35" s="22"/>
      </tp>
      <tp t="e">
        <v>#N/A</v>
        <stp/>
        <stp>BDH|12395270164646446229</stp>
        <tr r="R20" s="12"/>
      </tp>
      <tp t="e">
        <v>#N/A</v>
        <stp/>
        <stp>BDH|11884766775265564688</stp>
        <tr r="V18" s="2"/>
        <tr r="V53" s="4"/>
        <tr r="V46" s="10"/>
        <tr r="V36" s="11"/>
        <tr r="X58" s="13"/>
      </tp>
      <tp t="e">
        <v>#N/A</v>
        <stp/>
        <stp>BDH|14654001000771320733</stp>
        <tr r="V166" s="18"/>
      </tp>
      <tp t="e">
        <v>#N/A</v>
        <stp/>
        <stp>BDH|18283955660076359329</stp>
        <tr r="R9" s="13"/>
      </tp>
      <tp t="e">
        <v>#N/A</v>
        <stp/>
        <stp>BDH|11537111066090649427</stp>
        <tr r="G11" s="17"/>
      </tp>
      <tp t="e">
        <v>#N/A</v>
        <stp/>
        <stp>BDH|16353980389637179254</stp>
        <tr r="H16" s="21"/>
      </tp>
      <tp t="e">
        <v>#N/A</v>
        <stp/>
        <stp>BDH|10837109969526388347</stp>
        <tr r="E52" s="10"/>
        <tr r="E42" s="11"/>
        <tr r="E15" s="7"/>
      </tp>
      <tp t="e">
        <v>#N/A</v>
        <stp/>
        <stp>BDH|15687705415735027458</stp>
        <tr r="N90" s="24"/>
      </tp>
      <tp t="e">
        <v>#N/A</v>
        <stp/>
        <stp>BDH|15263596228343303363</stp>
        <tr r="H9" s="34"/>
      </tp>
      <tp t="e">
        <v>#N/A</v>
        <stp/>
        <stp>BDH|13673600074518461804</stp>
        <tr r="P83" s="12"/>
      </tp>
      <tp t="e">
        <v>#N/A</v>
        <stp/>
        <stp>BDH|11954006684973997823</stp>
        <tr r="W39" s="26"/>
      </tp>
      <tp t="e">
        <v>#N/A</v>
        <stp/>
        <stp>BDH|14275077000226465074</stp>
        <tr r="J56" s="17"/>
      </tp>
      <tp t="e">
        <v>#N/A</v>
        <stp/>
        <stp>BDH|11092742904381678508</stp>
        <tr r="J113" s="18"/>
      </tp>
      <tp t="e">
        <v>#N/A</v>
        <stp/>
        <stp>BDH|17664935253140409945</stp>
        <tr r="P32" s="34"/>
      </tp>
      <tp t="e">
        <v>#N/A</v>
        <stp/>
        <stp>BDH|12080033613925222447</stp>
        <tr r="R25" s="7"/>
      </tp>
      <tp t="e">
        <v>#N/A</v>
        <stp/>
        <stp>BDH|12055428558607480684</stp>
        <tr r="G19" s="25"/>
      </tp>
      <tp t="e">
        <v>#N/A</v>
        <stp/>
        <stp>BDH|15574859358912713890</stp>
        <tr r="AA191" s="18"/>
      </tp>
      <tp t="e">
        <v>#N/A</v>
        <stp/>
        <stp>BDH|16517157570365337750</stp>
        <tr r="T43" s="17"/>
      </tp>
      <tp t="e">
        <v>#N/A</v>
        <stp/>
        <stp>BDH|17653565479004928367</stp>
        <tr r="R17" s="5"/>
        <tr r="R32" s="6"/>
      </tp>
      <tp t="e">
        <v>#N/A</v>
        <stp/>
        <stp>BDH|13167364926616111660</stp>
        <tr r="T9" s="2"/>
        <tr r="V8" s="25"/>
        <tr r="S10" s="5"/>
      </tp>
      <tp t="e">
        <v>#N/A</v>
        <stp/>
        <stp>BDH|15756831291851288711</stp>
        <tr r="Q83" s="12"/>
      </tp>
      <tp t="e">
        <v>#N/A</v>
        <stp/>
        <stp>BDH|12263203745062299439</stp>
        <tr r="S63" s="10"/>
      </tp>
      <tp t="e">
        <v>#N/A</v>
        <stp/>
        <stp>BDH|15767853086755617246</stp>
        <tr r="F81" s="18"/>
      </tp>
      <tp t="e">
        <v>#N/A</v>
        <stp/>
        <stp>BDH|17922231261006504786</stp>
        <tr r="F66" s="13"/>
      </tp>
      <tp t="e">
        <v>#N/A</v>
        <stp/>
        <stp>BDH|16326448560121383726</stp>
        <tr r="Z44" s="17"/>
      </tp>
      <tp t="e">
        <v>#N/A</v>
        <stp/>
        <stp>BDH|12933762811275854302</stp>
        <tr r="I24" s="13"/>
      </tp>
      <tp t="e">
        <v>#N/A</v>
        <stp/>
        <stp>BDH|18261255064816787827</stp>
        <tr r="W8" s="21"/>
      </tp>
      <tp t="e">
        <v>#N/A</v>
        <stp/>
        <stp>BDH|12342629681799861717</stp>
        <tr r="T52" s="17"/>
        <tr r="T10" s="25"/>
      </tp>
      <tp t="e">
        <v>#N/A</v>
        <stp/>
        <stp>BDH|14123004998346278929</stp>
        <tr r="Z11" s="29"/>
      </tp>
      <tp t="e">
        <v>#N/A</v>
        <stp/>
        <stp>BDH|12978378405573089029</stp>
        <tr r="O56" s="12"/>
      </tp>
      <tp t="e">
        <v>#N/A</v>
        <stp/>
        <stp>BDH|14530691440216027259</stp>
        <tr r="N18" s="26"/>
      </tp>
      <tp t="e">
        <v>#N/A</v>
        <stp/>
        <stp>BDH|11894415865192764321</stp>
        <tr r="P46" s="12"/>
      </tp>
      <tp t="e">
        <v>#N/A</v>
        <stp/>
        <stp>BDH|14547015484907005991</stp>
        <tr r="I16" s="2"/>
        <tr r="I32" s="4"/>
        <tr r="I62" s="10"/>
        <tr r="K19" s="13"/>
      </tp>
      <tp t="e">
        <v>#N/A</v>
        <stp/>
        <stp>BDH|15949673462106377169</stp>
        <tr r="C70" s="13"/>
      </tp>
      <tp t="e">
        <v>#N/A</v>
        <stp/>
        <stp>BDH|14718090745971678347</stp>
        <tr r="R99" s="18"/>
      </tp>
      <tp t="e">
        <v>#N/A</v>
        <stp/>
        <stp>BDH|10905031324474742409</stp>
        <tr r="Y8" s="11"/>
      </tp>
      <tp t="e">
        <v>#N/A</v>
        <stp/>
        <stp>BDH|15692569057452929579</stp>
        <tr r="E17" s="12"/>
      </tp>
      <tp t="e">
        <v>#N/A</v>
        <stp/>
        <stp>BDH|14990506140056502150</stp>
        <tr r="T29" s="10"/>
        <tr r="V38" s="13"/>
      </tp>
      <tp t="e">
        <v>#N/A</v>
        <stp/>
        <stp>BDH|10776479479988989990</stp>
        <tr r="E101" s="18"/>
      </tp>
      <tp t="e">
        <v>#N/A</v>
        <stp/>
        <stp>BDH|10561269308580518074</stp>
        <tr r="Q36" s="21"/>
      </tp>
      <tp t="e">
        <v>#N/A</v>
        <stp/>
        <stp>BDH|11474190715817862497</stp>
        <tr r="V14" s="24"/>
      </tp>
      <tp t="e">
        <v>#N/A</v>
        <stp/>
        <stp>BDH|10055133663673849619</stp>
        <tr r="J41" s="10"/>
        <tr r="J31" s="11"/>
      </tp>
      <tp t="e">
        <v>#N/A</v>
        <stp/>
        <stp>BDH|15308086655202186061</stp>
        <tr r="R26" s="25"/>
        <tr r="R12" s="27"/>
      </tp>
      <tp t="e">
        <v>#N/A</v>
        <stp/>
        <stp>BDH|13746203419430086276</stp>
        <tr r="AA51" s="13"/>
      </tp>
      <tp t="e">
        <v>#N/A</v>
        <stp/>
        <stp>BDH|18313857837792955319</stp>
        <tr r="U44" s="22"/>
      </tp>
      <tp t="e">
        <v>#N/A</v>
        <stp/>
        <stp>BDH|15102708839334933784</stp>
        <tr r="T86" s="17"/>
      </tp>
      <tp t="e">
        <v>#N/A</v>
        <stp/>
        <stp>BDH|16549086575331160204</stp>
        <tr r="I8" s="21"/>
      </tp>
      <tp t="e">
        <v>#N/A</v>
        <stp/>
        <stp>BDH|15723776055683422683</stp>
        <tr r="N48" s="6"/>
        <tr r="P9" s="8"/>
      </tp>
      <tp t="e">
        <v>#N/A</v>
        <stp/>
        <stp>BDH|14314784723113452052</stp>
        <tr r="Q10" s="23"/>
      </tp>
      <tp t="e">
        <v>#N/A</v>
        <stp/>
        <stp>BDH|16768547757613550780</stp>
        <tr r="Q87" s="17"/>
      </tp>
      <tp t="e">
        <v>#N/A</v>
        <stp/>
        <stp>BDH|18329299071818756754</stp>
        <tr r="J90" s="18"/>
      </tp>
      <tp t="e">
        <v>#N/A</v>
        <stp/>
        <stp>BDH|16506024724082214484</stp>
        <tr r="X29" s="12"/>
      </tp>
      <tp t="e">
        <v>#N/A</v>
        <stp/>
        <stp>BDH|14777551176277507385</stp>
        <tr r="I43" s="12"/>
      </tp>
      <tp t="e">
        <v>#N/A</v>
        <stp/>
        <stp>BDH|16349567110699957951</stp>
        <tr r="Y63" s="13"/>
      </tp>
      <tp t="e">
        <v>#N/A</v>
        <stp/>
        <stp>BDH|18383895237464481500</stp>
        <tr r="AA187" s="18"/>
      </tp>
      <tp t="e">
        <v>#N/A</v>
        <stp/>
        <stp>BDH|11825730094509245442</stp>
        <tr r="H7" s="10"/>
      </tp>
      <tp t="e">
        <v>#N/A</v>
        <stp/>
        <stp>BDH|16679545232545079797</stp>
        <tr r="S16" s="20"/>
      </tp>
      <tp t="e">
        <v>#N/A</v>
        <stp/>
        <stp>BDH|10837777867350529342</stp>
        <tr r="C26" s="10"/>
        <tr r="E35" s="13"/>
      </tp>
      <tp t="e">
        <v>#N/A</v>
        <stp/>
        <stp>BDH|17804502630576765567</stp>
        <tr r="F22" s="30"/>
        <tr r="F24" s="23"/>
      </tp>
      <tp t="e">
        <v>#N/A</v>
        <stp/>
        <stp>BDH|10856166489083901876</stp>
        <tr r="P20" s="6"/>
      </tp>
      <tp t="e">
        <v>#N/A</v>
        <stp/>
        <stp>BDH|14886265506000484450</stp>
        <tr r="G7" s="23"/>
      </tp>
      <tp t="e">
        <v>#N/A</v>
        <stp/>
        <stp>BDH|11978203051277871395</stp>
        <tr r="L21" s="5"/>
      </tp>
      <tp t="e">
        <v>#N/A</v>
        <stp/>
        <stp>BDH|17027590065481441716</stp>
        <tr r="M13" s="24"/>
      </tp>
      <tp t="e">
        <v>#N/A</v>
        <stp/>
        <stp>BDH|16413582698699847155</stp>
        <tr r="Q10" s="24"/>
      </tp>
      <tp t="e">
        <v>#N/A</v>
        <stp/>
        <stp>BDH|15000264070945900769</stp>
        <tr r="C156" s="18"/>
      </tp>
      <tp t="e">
        <v>#N/A</v>
        <stp/>
        <stp>BDH|14860968191210705607</stp>
        <tr r="F114" s="18"/>
      </tp>
      <tp t="e">
        <v>#N/A</v>
        <stp/>
        <stp>BDH|14821329231260358606</stp>
        <tr r="R10" s="17"/>
      </tp>
      <tp t="e">
        <v>#N/A</v>
        <stp/>
        <stp>BDH|14579305349905425403</stp>
        <tr r="U45" s="12"/>
      </tp>
      <tp t="e">
        <v>#N/A</v>
        <stp/>
        <stp>BDH|10596345258405570145</stp>
        <tr r="V73" s="18"/>
      </tp>
      <tp t="e">
        <v>#N/A</v>
        <stp/>
        <stp>BDH|11397228377152895463</stp>
        <tr r="AA18" s="12"/>
      </tp>
      <tp t="e">
        <v>#N/A</v>
        <stp/>
        <stp>BDH|16337860393085808069</stp>
        <tr r="Y27" s="14"/>
      </tp>
      <tp t="e">
        <v>#N/A</v>
        <stp/>
        <stp>BDH|17213368765530055093</stp>
        <tr r="M45" s="24"/>
      </tp>
      <tp t="e">
        <v>#N/A</v>
        <stp/>
        <stp>BDH|14215443961174823078</stp>
        <tr r="G34" s="26"/>
      </tp>
      <tp t="e">
        <v>#N/A</v>
        <stp/>
        <stp>BDH|15792805391364946272</stp>
        <tr r="I41" s="24"/>
      </tp>
      <tp t="e">
        <v>#N/A</v>
        <stp/>
        <stp>BDH|17328638559777738167</stp>
        <tr r="L14" s="29"/>
        <tr r="L23" s="29"/>
        <tr r="L37" s="29"/>
      </tp>
      <tp t="e">
        <v>#N/A</v>
        <stp/>
        <stp>BDH|18097221073389151686</stp>
        <tr r="O87" s="24"/>
      </tp>
      <tp t="e">
        <v>#N/A</v>
        <stp/>
        <stp>BDH|10927167021351269048</stp>
        <tr r="J114" s="18"/>
      </tp>
      <tp t="e">
        <v>#N/A</v>
        <stp/>
        <stp>BDH|11487153938180356127</stp>
        <tr r="S22" s="7"/>
      </tp>
      <tp t="e">
        <v>#N/A</v>
        <stp/>
        <stp>BDH|17945158834642365533</stp>
        <tr r="J14" s="28"/>
      </tp>
      <tp t="e">
        <v>#N/A</v>
        <stp/>
        <stp>BDH|15159707109386167618</stp>
        <tr r="U19" s="11"/>
      </tp>
      <tp t="e">
        <v>#N/A</v>
        <stp/>
        <stp>BDH|14629961111959912705</stp>
        <tr r="L41" s="17"/>
        <tr r="L9" s="25"/>
      </tp>
      <tp t="e">
        <v>#N/A</v>
        <stp/>
        <stp>BDH|16121632170945326095</stp>
        <tr r="K56" s="12"/>
      </tp>
      <tp t="e">
        <v>#N/A</v>
        <stp/>
        <stp>BDH|11808259241316015346</stp>
        <tr r="R122" s="18"/>
        <tr r="R11" s="20"/>
      </tp>
      <tp t="e">
        <v>#N/A</v>
        <stp/>
        <stp>BDH|16349143360864736780</stp>
        <tr r="V73" s="34"/>
      </tp>
      <tp t="e">
        <v>#N/A</v>
        <stp/>
        <stp>BDH|17121786055821795639</stp>
        <tr r="Z39" s="17"/>
      </tp>
      <tp t="e">
        <v>#N/A</v>
        <stp/>
        <stp>BDH|12450169931492210095</stp>
        <tr r="R66" s="18"/>
      </tp>
      <tp t="e">
        <v>#N/A</v>
        <stp/>
        <stp>BDH|14802779720362521124</stp>
        <tr r="G9" s="14"/>
      </tp>
      <tp t="e">
        <v>#N/A</v>
        <stp/>
        <stp>BDH|13109114590318052181</stp>
        <tr r="L24" s="18"/>
      </tp>
      <tp t="e">
        <v>#N/A</v>
        <stp/>
        <stp>BDH|13416073842444034196</stp>
        <tr r="G54" s="6"/>
      </tp>
      <tp t="e">
        <v>#N/A</v>
        <stp/>
        <stp>BDH|16583241167928957876</stp>
        <tr r="I48" s="13"/>
      </tp>
      <tp t="e">
        <v>#N/A</v>
        <stp/>
        <stp>BDH|16043841499735326063</stp>
        <tr r="Q32" s="5"/>
      </tp>
      <tp t="e">
        <v>#N/A</v>
        <stp/>
        <stp>BDH|15109536253647145086</stp>
        <tr r="N96" s="18"/>
      </tp>
      <tp t="e">
        <v>#N/A</v>
        <stp/>
        <stp>BDH|11782102148544757208</stp>
        <tr r="I49" s="21"/>
      </tp>
      <tp t="e">
        <v>#N/A</v>
        <stp/>
        <stp>BDH|16281215577795424489</stp>
        <tr r="AA37" s="17"/>
      </tp>
      <tp t="e">
        <v>#N/A</v>
        <stp/>
        <stp>BDH|16531189047429067829</stp>
        <tr r="K105" s="12"/>
      </tp>
      <tp t="e">
        <v>#N/A</v>
        <stp/>
        <stp>BDH|14435158508605356229</stp>
        <tr r="F61" s="12"/>
      </tp>
      <tp t="e">
        <v>#N/A</v>
        <stp/>
        <stp>BDH|16898593289679591052</stp>
        <tr r="P16" s="2"/>
        <tr r="P32" s="4"/>
        <tr r="P62" s="10"/>
        <tr r="R19" s="13"/>
      </tp>
      <tp t="e">
        <v>#N/A</v>
        <stp/>
        <stp>BDH|10153582268541139084</stp>
        <tr r="W70" s="17"/>
      </tp>
      <tp t="e">
        <v>#N/A</v>
        <stp/>
        <stp>BDH|12239938716541816944</stp>
        <tr r="I24" s="18"/>
      </tp>
      <tp t="e">
        <v>#N/A</v>
        <stp/>
        <stp>BDH|13374398279663115693</stp>
        <tr r="C135" s="18"/>
      </tp>
      <tp t="e">
        <v>#N/A</v>
        <stp/>
        <stp>BDH|17180552327065980719</stp>
        <tr r="V22" s="7"/>
      </tp>
      <tp t="e">
        <v>#N/A</v>
        <stp/>
        <stp>BDH|14543726789841796828</stp>
        <tr r="U79" s="12"/>
      </tp>
      <tp t="e">
        <v>#N/A</v>
        <stp/>
        <stp>BDH|12105382754636581037</stp>
        <tr r="L36" s="18"/>
      </tp>
      <tp t="e">
        <v>#N/A</v>
        <stp/>
        <stp>BDH|12861529252778539861</stp>
        <tr r="N34" s="29"/>
      </tp>
      <tp t="e">
        <v>#N/A</v>
        <stp/>
        <stp>BDH|13952251563077675229</stp>
        <tr r="P190" s="18"/>
      </tp>
      <tp t="e">
        <v>#N/A</v>
        <stp/>
        <stp>BDH|14455171206003791497</stp>
        <tr r="O26" s="13"/>
      </tp>
      <tp t="e">
        <v>#N/A</v>
        <stp/>
        <stp>BDH|15777221933233999544</stp>
        <tr r="I22" s="12"/>
      </tp>
      <tp t="e">
        <v>#N/A</v>
        <stp/>
        <stp>BDH|10823746482998431516</stp>
        <tr r="T28" s="17"/>
      </tp>
      <tp t="e">
        <v>#N/A</v>
        <stp/>
        <stp>BDH|12378074256262086791</stp>
        <tr r="O8" s="8"/>
      </tp>
      <tp t="e">
        <v>#N/A</v>
        <stp/>
        <stp>BDH|13554575128875718361</stp>
        <tr r="Q67" s="18"/>
      </tp>
      <tp t="e">
        <v>#N/A</v>
        <stp/>
        <stp>BDH|16334029188635220906</stp>
        <tr r="U43" s="34"/>
      </tp>
      <tp t="e">
        <v>#N/A</v>
        <stp/>
        <stp>BDH|10976689349112314206</stp>
        <tr r="D14" s="12"/>
      </tp>
      <tp t="e">
        <v>#N/A</v>
        <stp/>
        <stp>BDH|10695744457557706790</stp>
        <tr r="AA38" s="24"/>
      </tp>
      <tp t="e">
        <v>#N/A</v>
        <stp/>
        <stp>BDH|11939013402403021019</stp>
        <tr r="AA23" s="21"/>
      </tp>
      <tp t="e">
        <v>#N/A</v>
        <stp/>
        <stp>BDH|14574197822146584306</stp>
        <tr r="Y58" s="12"/>
      </tp>
      <tp t="e">
        <v>#N/A</v>
        <stp/>
        <stp>BDH|10474559248413654040</stp>
        <tr r="L109" s="18"/>
      </tp>
      <tp t="e">
        <v>#N/A</v>
        <stp/>
        <stp>BDH|11802246546163312629</stp>
        <tr r="P17" s="14"/>
      </tp>
      <tp t="e">
        <v>#N/A</v>
        <stp/>
        <stp>BDH|11642515868605615528</stp>
        <tr r="Z28" s="26"/>
      </tp>
      <tp t="e">
        <v>#N/A</v>
        <stp/>
        <stp>BDH|11989649850717200748</stp>
        <tr r="E19" s="11"/>
      </tp>
      <tp t="e">
        <v>#N/A</v>
        <stp/>
        <stp>BDH|15227498704296509516</stp>
        <tr r="J24" s="18"/>
      </tp>
      <tp t="e">
        <v>#N/A</v>
        <stp/>
        <stp>BDH|15855151603311400719</stp>
        <tr r="Z27" s="17"/>
      </tp>
      <tp t="e">
        <v>#N/A</v>
        <stp/>
        <stp>BDH|11001198861716637251</stp>
        <tr r="U16" s="22"/>
      </tp>
      <tp t="e">
        <v>#N/A</v>
        <stp/>
        <stp>BDH|13742062844664946179</stp>
        <tr r="E75" s="24"/>
      </tp>
      <tp t="e">
        <v>#N/A</v>
        <stp/>
        <stp>BDH|16043685833243799277</stp>
        <tr r="X196" s="18"/>
      </tp>
      <tp t="e">
        <v>#N/A</v>
        <stp/>
        <stp>BDH|14291726717658953851</stp>
        <tr r="S71" s="34"/>
      </tp>
      <tp t="e">
        <v>#N/A</v>
        <stp/>
        <stp>BDH|14482652796541402882</stp>
        <tr r="J67" s="17"/>
        <tr r="J18" s="3"/>
      </tp>
      <tp t="e">
        <v>#N/A</v>
        <stp/>
        <stp>BDH|17530116048351436138</stp>
        <tr r="D33" s="6"/>
      </tp>
      <tp t="e">
        <v>#N/A</v>
        <stp/>
        <stp>BDH|16799015076657365480</stp>
        <tr r="F78" s="12"/>
      </tp>
      <tp t="e">
        <v>#N/A</v>
        <stp/>
        <stp>BDH|13435089332347503505</stp>
        <tr r="V26" s="29"/>
      </tp>
      <tp t="e">
        <v>#N/A</v>
        <stp/>
        <stp>BDH|11394154339511322079</stp>
        <tr r="F30" s="5"/>
        <tr r="F30" s="9"/>
      </tp>
      <tp t="e">
        <v>#N/A</v>
        <stp/>
        <stp>BDH|17941073570274632635</stp>
        <tr r="M16" s="12"/>
      </tp>
      <tp t="e">
        <v>#N/A</v>
        <stp/>
        <stp>BDH|16928492787448448083</stp>
        <tr r="R15" s="22"/>
      </tp>
      <tp t="e">
        <v>#N/A</v>
        <stp/>
        <stp>BDH|12587578888248326522</stp>
        <tr r="W51" s="24"/>
      </tp>
      <tp t="e">
        <v>#N/A</v>
        <stp/>
        <stp>BDH|14166726640264948114</stp>
        <tr r="O42" s="34"/>
      </tp>
      <tp t="e">
        <v>#N/A</v>
        <stp/>
        <stp>BDH|11431084456085724367</stp>
        <tr r="D138" s="18"/>
      </tp>
      <tp t="e">
        <v>#N/A</v>
        <stp/>
        <stp>BDH|11502860400078080389</stp>
        <tr r="L29" s="17"/>
      </tp>
      <tp t="e">
        <v>#N/A</v>
        <stp/>
        <stp>BDH|13503060511072197289</stp>
        <tr r="J25" s="27"/>
      </tp>
      <tp t="e">
        <v>#N/A</v>
        <stp/>
        <stp>BDH|13065328278655688077</stp>
        <tr r="Q92" s="12"/>
      </tp>
      <tp t="e">
        <v>#N/A</v>
        <stp/>
        <stp>BDH|12474779051263992102</stp>
        <tr r="X39" s="22"/>
      </tp>
      <tp t="e">
        <v>#N/A</v>
        <stp/>
        <stp>BDH|15294198137201519424</stp>
        <tr r="Y47" s="17"/>
      </tp>
      <tp t="e">
        <v>#N/A</v>
        <stp/>
        <stp>BDH|17167660649005284278</stp>
        <tr r="P52" s="24"/>
      </tp>
      <tp t="e">
        <v>#N/A</v>
        <stp/>
        <stp>BDH|11585681660976113577</stp>
        <tr r="D12" s="21"/>
      </tp>
      <tp t="e">
        <v>#N/A</v>
        <stp/>
        <stp>BDH|12414195017737069710</stp>
        <tr r="T83" s="12"/>
      </tp>
      <tp t="e">
        <v>#N/A</v>
        <stp/>
        <stp>BDH|16881673626333041329</stp>
        <tr r="Q148" s="18"/>
      </tp>
      <tp t="e">
        <v>#N/A</v>
        <stp/>
        <stp>BDH|12926457540670517027</stp>
        <tr r="Q25" s="3"/>
      </tp>
      <tp t="e">
        <v>#N/A</v>
        <stp/>
        <stp>BDH|15611441835744803443</stp>
        <tr r="O209" s="18"/>
      </tp>
      <tp t="e">
        <v>#N/A</v>
        <stp/>
        <stp>BDH|11885863666604716948</stp>
        <tr r="F41" s="24"/>
      </tp>
      <tp t="e">
        <v>#N/A</v>
        <stp/>
        <stp>BDH|11173262937344839631</stp>
        <tr r="AA69" s="18"/>
      </tp>
      <tp t="e">
        <v>#N/A</v>
        <stp/>
        <stp>BDH|17102845739077660917</stp>
        <tr r="P25" s="3"/>
      </tp>
      <tp t="e">
        <v>#N/A</v>
        <stp/>
        <stp>BDH|11114382136630673339</stp>
        <tr r="Q13" s="7"/>
      </tp>
      <tp t="e">
        <v>#N/A</v>
        <stp/>
        <stp>BDH|16439689588773619987</stp>
        <tr r="O68" s="24"/>
      </tp>
      <tp t="e">
        <v>#N/A</v>
        <stp/>
        <stp>BDH|13968929692703547266</stp>
        <tr r="F24" s="13"/>
      </tp>
      <tp t="e">
        <v>#N/A</v>
        <stp/>
        <stp>BDH|12108678503575925366</stp>
        <tr r="R73" s="18"/>
      </tp>
      <tp t="e">
        <v>#N/A</v>
        <stp/>
        <stp>BDH|15595658859955007131</stp>
        <tr r="J26" s="10"/>
        <tr r="L35" s="13"/>
      </tp>
      <tp t="e">
        <v>#N/A</v>
        <stp/>
        <stp>BDH|10100662318623395664</stp>
        <tr r="U9" s="24"/>
      </tp>
      <tp t="e">
        <v>#N/A</v>
        <stp/>
        <stp>BDH|11195485632544320022</stp>
        <tr r="P34" s="12"/>
      </tp>
      <tp t="e">
        <v>#N/A</v>
        <stp/>
        <stp>BDH|16481920888792263760</stp>
        <tr r="Q39" s="22"/>
      </tp>
      <tp t="e">
        <v>#N/A</v>
        <stp/>
        <stp>BDH|16571077857818950965</stp>
        <tr r="R50" s="4"/>
      </tp>
      <tp t="e">
        <v>#N/A</v>
        <stp/>
        <stp>BDH|15594574060686806203</stp>
        <tr r="C90" s="18"/>
      </tp>
      <tp t="e">
        <v>#N/A</v>
        <stp/>
        <stp>BDH|11805595441920852221</stp>
        <tr r="Q49" s="13"/>
      </tp>
      <tp t="e">
        <v>#N/A</v>
        <stp/>
        <stp>BDH|16454245821025985127</stp>
        <tr r="L24" s="13"/>
      </tp>
      <tp t="e">
        <v>#N/A</v>
        <stp/>
        <stp>BDH|16164583206818625930</stp>
        <tr r="P14" s="8"/>
      </tp>
      <tp t="e">
        <v>#N/A</v>
        <stp/>
        <stp>BDH|15200070100667698091</stp>
        <tr r="S64" s="18"/>
      </tp>
      <tp t="e">
        <v>#N/A</v>
        <stp/>
        <stp>BDH|17361093751180280032</stp>
        <tr r="K73" s="34"/>
      </tp>
      <tp t="e">
        <v>#N/A</v>
        <stp/>
        <stp>BDH|11611257944913940645</stp>
        <tr r="Q145" s="18"/>
      </tp>
      <tp t="e">
        <v>#N/A</v>
        <stp/>
        <stp>BDH|10323598951457941587</stp>
        <tr r="E14" s="2"/>
        <tr r="E11" s="10"/>
      </tp>
      <tp t="e">
        <v>#N/A</v>
        <stp/>
        <stp>BDH|11080346112422476380</stp>
        <tr r="M16" s="10"/>
      </tp>
      <tp t="e">
        <v>#N/A</v>
        <stp/>
        <stp>BDH|15618351860330095297</stp>
        <tr r="T38" s="18"/>
      </tp>
      <tp t="e">
        <v>#N/A</v>
        <stp/>
        <stp>BDH|12613483433251293654</stp>
        <tr r="K57" s="10"/>
        <tr r="K47" s="11"/>
        <tr r="K18" s="7"/>
        <tr r="M64" s="13"/>
      </tp>
      <tp t="e">
        <v>#N/A</v>
        <stp/>
        <stp>BDH|11960067589323479889</stp>
        <tr r="E60" s="18"/>
      </tp>
      <tp t="e">
        <v>#N/A</v>
        <stp/>
        <stp>BDH|14660335552617901749</stp>
        <tr r="J16" s="11"/>
      </tp>
      <tp t="e">
        <v>#N/A</v>
        <stp/>
        <stp>BDH|11769432259710368249</stp>
        <tr r="O42" s="17"/>
      </tp>
      <tp t="e">
        <v>#N/A</v>
        <stp/>
        <stp>BDH|15798098541613603034</stp>
        <tr r="P168" s="18"/>
      </tp>
      <tp t="e">
        <v>#N/A</v>
        <stp/>
        <stp>BDH|16074309757920529286</stp>
        <tr r="Q72" s="12"/>
      </tp>
      <tp t="e">
        <v>#N/A</v>
        <stp/>
        <stp>BDH|18049215520048209292</stp>
        <tr r="F73" s="17"/>
      </tp>
      <tp t="e">
        <v>#N/A</v>
        <stp/>
        <stp>BDH|17814373765742366231</stp>
        <tr r="C28" s="27"/>
      </tp>
      <tp t="e">
        <v>#N/A</v>
        <stp/>
        <stp>BDH|11901313751511377403</stp>
        <tr r="G6" s="15"/>
        <tr r="G12" s="2"/>
        <tr r="G11" s="4"/>
        <tr r="G6" s="10"/>
      </tp>
      <tp t="e">
        <v>#N/A</v>
        <stp/>
        <stp>BDH|11071011545066969171</stp>
        <tr r="I42" s="4"/>
      </tp>
      <tp t="e">
        <v>#N/A</v>
        <stp/>
        <stp>BDH|10157185630524759441</stp>
        <tr r="H47" s="12"/>
      </tp>
      <tp t="e">
        <v>#N/A</v>
        <stp/>
        <stp>BDH|17880335337297095266</stp>
        <tr r="C22" s="30"/>
        <tr r="C24" s="23"/>
      </tp>
      <tp t="e">
        <v>#N/A</v>
        <stp/>
        <stp>BDH|12693486961643586101</stp>
        <tr r="G26" s="27"/>
      </tp>
      <tp t="e">
        <v>#N/A</v>
        <stp/>
        <stp>BDH|15638013659121664327</stp>
        <tr r="N149" s="18"/>
      </tp>
      <tp t="e">
        <v>#N/A</v>
        <stp/>
        <stp>BDH|17408177611143842602</stp>
        <tr r="J9" s="10"/>
      </tp>
      <tp t="e">
        <v>#N/A</v>
        <stp/>
        <stp>BDH|17071605073463051793</stp>
        <tr r="C120" s="18"/>
        <tr r="C8" s="20"/>
      </tp>
      <tp t="e">
        <v>#N/A</v>
        <stp/>
        <stp>BDH|15573086702063052454</stp>
        <tr r="E46" s="34"/>
      </tp>
      <tp t="e">
        <v>#N/A</v>
        <stp/>
        <stp>BDH|11618046669140537542</stp>
        <tr r="Q58" s="18"/>
      </tp>
      <tp t="e">
        <v>#N/A</v>
        <stp/>
        <stp>BDH|16412671855603456484</stp>
        <tr r="E11" s="21"/>
      </tp>
      <tp t="e">
        <v>#N/A</v>
        <stp/>
        <stp>BDH|15062959248659471339</stp>
        <tr r="E74" s="17"/>
      </tp>
      <tp t="e">
        <v>#N/A</v>
        <stp/>
        <stp>BDH|16386333738836566272</stp>
        <tr r="J91" s="12"/>
      </tp>
      <tp t="e">
        <v>#N/A</v>
        <stp/>
        <stp>BDH|11053066459955352368</stp>
        <tr r="K88" s="17"/>
      </tp>
      <tp t="e">
        <v>#N/A</v>
        <stp/>
        <stp>BDH|15860974077080077923</stp>
        <tr r="V28" s="34"/>
      </tp>
      <tp t="e">
        <v>#N/A</v>
        <stp/>
        <stp>BDH|10430360425006511584</stp>
        <tr r="AA41" s="17"/>
        <tr r="AA9" s="25"/>
      </tp>
      <tp t="e">
        <v>#N/A</v>
        <stp/>
        <stp>BDH|16810871232567601813</stp>
        <tr r="Q59" s="11"/>
      </tp>
      <tp t="e">
        <v>#N/A</v>
        <stp/>
        <stp>BDH|17747284263537432620</stp>
        <tr r="Q7" s="21"/>
      </tp>
      <tp t="e">
        <v>#N/A</v>
        <stp/>
        <stp>BDH|12246552514012825610</stp>
        <tr r="Q22" s="4"/>
      </tp>
      <tp t="e">
        <v>#N/A</v>
        <stp/>
        <stp>BDH|14655086952675280636</stp>
        <tr r="S94" s="24"/>
      </tp>
      <tp t="e">
        <v>#N/A</v>
        <stp/>
        <stp>BDH|18245661648810308826</stp>
        <tr r="J24" s="2"/>
      </tp>
      <tp t="e">
        <v>#N/A</v>
        <stp/>
        <stp>BDH|17840538807468029811</stp>
        <tr r="C28" s="14"/>
      </tp>
      <tp t="e">
        <v>#N/A</v>
        <stp/>
        <stp>BDH|17139625470837955371</stp>
        <tr r="Z34" s="22"/>
      </tp>
      <tp t="e">
        <v>#N/A</v>
        <stp/>
        <stp>BDH|13612953584020990031</stp>
        <tr r="U20" s="26"/>
      </tp>
      <tp t="e">
        <v>#N/A</v>
        <stp/>
        <stp>BDH|17204169243618332896</stp>
        <tr r="H70" s="10"/>
        <tr r="H60" s="11"/>
        <tr r="H20" s="7"/>
      </tp>
      <tp t="e">
        <v>#N/A</v>
        <stp/>
        <stp>BDH|15718598810487355401</stp>
        <tr r="L113" s="18"/>
      </tp>
      <tp t="e">
        <v>#N/A</v>
        <stp/>
        <stp>BDH|17002393980139038748</stp>
        <tr r="G18" s="25"/>
      </tp>
      <tp t="e">
        <v>#N/A</v>
        <stp/>
        <stp>BDH|13634868090053948347</stp>
        <tr r="Z30" s="22"/>
      </tp>
      <tp t="e">
        <v>#N/A</v>
        <stp/>
        <stp>BDH|17904700225294290434</stp>
        <tr r="N51" s="17"/>
        <tr r="N17" s="3"/>
      </tp>
      <tp t="e">
        <v>#N/A</v>
        <stp/>
        <stp>BDH|12367413197669886404</stp>
        <tr r="I9" s="30"/>
      </tp>
      <tp t="e">
        <v>#N/A</v>
        <stp/>
        <stp>BDH|17070395834890222527</stp>
        <tr r="G14" s="28"/>
      </tp>
      <tp t="e">
        <v>#N/A</v>
        <stp/>
        <stp>BDH|10384200608608245844</stp>
        <tr r="Y31" s="22"/>
      </tp>
      <tp t="e">
        <v>#N/A</v>
        <stp/>
        <stp>BDH|12617996376069081741</stp>
        <tr r="I58" s="24"/>
      </tp>
      <tp t="e">
        <v>#N/A</v>
        <stp/>
        <stp>BDH|15296602188758710103</stp>
        <tr r="E25" s="25"/>
        <tr r="E10" s="27"/>
      </tp>
      <tp t="e">
        <v>#N/A</v>
        <stp/>
        <stp>BDH|10618851793901573283</stp>
        <tr r="W11" s="17"/>
      </tp>
      <tp t="e">
        <v>#N/A</v>
        <stp/>
        <stp>BDH|16095232719130312746</stp>
        <tr r="D25" s="14"/>
      </tp>
      <tp t="e">
        <v>#N/A</v>
        <stp/>
        <stp>BDH|15250088203240712732</stp>
        <tr r="X35" s="21"/>
      </tp>
      <tp t="e">
        <v>#N/A</v>
        <stp/>
        <stp>BDH|17058014349797720628</stp>
        <tr r="W52" s="13"/>
      </tp>
      <tp t="e">
        <v>#N/A</v>
        <stp/>
        <stp>BDH|12507123924756917576</stp>
        <tr r="U77" s="34"/>
      </tp>
      <tp t="e">
        <v>#N/A</v>
        <stp/>
        <stp>BDH|11731712072740010394</stp>
        <tr r="D129" s="18"/>
      </tp>
      <tp t="e">
        <v>#N/A</v>
        <stp/>
        <stp>BDH|12003477207316422295</stp>
        <tr r="Y59" s="17"/>
      </tp>
      <tp t="e">
        <v>#N/A</v>
        <stp/>
        <stp>BDH|13511311573272936733</stp>
        <tr r="Q25" s="34"/>
      </tp>
      <tp t="e">
        <v>#N/A</v>
        <stp/>
        <stp>BDH|15744427140256843107</stp>
        <tr r="J72" s="12"/>
      </tp>
      <tp t="e">
        <v>#N/A</v>
        <stp/>
        <stp>BDH|12150305218927192552</stp>
        <tr r="V162" s="18"/>
      </tp>
      <tp t="e">
        <v>#N/A</v>
        <stp/>
        <stp>BDH|15428453918703154152</stp>
        <tr r="C99" s="18"/>
      </tp>
      <tp t="e">
        <v>#N/A</v>
        <stp/>
        <stp>BDH|14909331844104073536</stp>
        <tr r="I18" s="34"/>
      </tp>
      <tp t="e">
        <v>#N/A</v>
        <stp/>
        <stp>BDH|16401064179371569231</stp>
        <tr r="T188" s="18"/>
      </tp>
      <tp t="e">
        <v>#N/A</v>
        <stp/>
        <stp>BDH|11102023836322880208</stp>
        <tr r="N38" s="18"/>
      </tp>
      <tp t="e">
        <v>#N/A</v>
        <stp/>
        <stp>BDH|10698500399167586970</stp>
        <tr r="O30" s="29"/>
        <tr r="O8" s="29"/>
      </tp>
      <tp t="e">
        <v>#N/A</v>
        <stp/>
        <stp>BDH|11685930711823910801</stp>
        <tr r="K10" s="14"/>
      </tp>
      <tp t="e">
        <v>#N/A</v>
        <stp/>
        <stp>BDH|17485312049312384021</stp>
        <tr r="L53" s="10"/>
        <tr r="L43" s="11"/>
        <tr r="L16" s="7"/>
      </tp>
      <tp t="e">
        <v>#N/A</v>
        <stp/>
        <stp>BDH|11966699962827825472</stp>
        <tr r="Z57" s="34"/>
      </tp>
      <tp t="e">
        <v>#N/A</v>
        <stp/>
        <stp>BDH|14575760888798020165</stp>
        <tr r="X19" s="18"/>
      </tp>
      <tp t="e">
        <v>#N/A</v>
        <stp/>
        <stp>BDH|10162076539925563478</stp>
        <tr r="AA22" s="12"/>
      </tp>
      <tp t="e">
        <v>#N/A</v>
        <stp/>
        <stp>BDH|16746036495464844945</stp>
        <tr r="G84" s="17"/>
      </tp>
      <tp t="e">
        <v>#N/A</v>
        <stp/>
        <stp>BDH|11153743228143807580</stp>
        <tr r="M9" s="34"/>
      </tp>
      <tp t="e">
        <v>#N/A</v>
        <stp/>
        <stp>BDH|15621028090438896611</stp>
        <tr r="P24" s="22"/>
      </tp>
      <tp t="e">
        <v>#N/A</v>
        <stp/>
        <stp>BDH|13265917494392278383</stp>
        <tr r="L70" s="34"/>
      </tp>
      <tp t="e">
        <v>#N/A</v>
        <stp/>
        <stp>BDH|11280589571280570131</stp>
        <tr r="S9" s="10"/>
      </tp>
      <tp t="e">
        <v>#N/A</v>
        <stp/>
        <stp>BDH|10947500470984287460</stp>
        <tr r="K8" s="13"/>
      </tp>
      <tp t="e">
        <v>#N/A</v>
        <stp/>
        <stp>BDH|11999208645720853596</stp>
        <tr r="D26" s="21"/>
      </tp>
      <tp t="e">
        <v>#N/A</v>
        <stp/>
        <stp>BDH|11198778399749568475</stp>
        <tr r="F12" s="12"/>
      </tp>
      <tp t="e">
        <v>#N/A</v>
        <stp/>
        <stp>BDH|14808586666070223590</stp>
        <tr r="W53" s="21"/>
      </tp>
      <tp t="e">
        <v>#N/A</v>
        <stp/>
        <stp>BDH|14315746108651736056</stp>
        <tr r="C39" s="24"/>
      </tp>
      <tp t="e">
        <v>#N/A</v>
        <stp/>
        <stp>BDH|12649948459654668808</stp>
        <tr r="S20" s="5"/>
      </tp>
      <tp t="e">
        <v>#N/A</v>
        <stp/>
        <stp>BDH|17607683029738264998</stp>
        <tr r="Q47" s="12"/>
      </tp>
      <tp t="e">
        <v>#N/A</v>
        <stp/>
        <stp>BDH|15162797854006984390</stp>
        <tr r="F20" s="23"/>
      </tp>
      <tp t="e">
        <v>#N/A</v>
        <stp/>
        <stp>BDH|16718389201612542573</stp>
        <tr r="Y40" s="12"/>
      </tp>
      <tp t="e">
        <v>#N/A</v>
        <stp/>
        <stp>BDH|13932575575796409538</stp>
        <tr r="N40" s="6"/>
      </tp>
      <tp t="e">
        <v>#N/A</v>
        <stp/>
        <stp>BDH|11888561815694254352</stp>
        <tr r="D20" s="23"/>
      </tp>
      <tp t="e">
        <v>#N/A</v>
        <stp/>
        <stp>BDH|13837760817220700729</stp>
        <tr r="K151" s="18"/>
      </tp>
      <tp t="e">
        <v>#N/A</v>
        <stp/>
        <stp>BDH|12109731857105119789</stp>
        <tr r="C201" s="18"/>
      </tp>
      <tp t="e">
        <v>#N/A</v>
        <stp/>
        <stp>BDH|11852647747417483636</stp>
        <tr r="R102" s="18"/>
      </tp>
      <tp t="e">
        <v>#N/A</v>
        <stp/>
        <stp>BDH|12463857521769572399</stp>
        <tr r="L39" s="26"/>
      </tp>
      <tp t="e">
        <v>#N/A</v>
        <stp/>
        <stp>BDH|15454631459540360418</stp>
        <tr r="Q54" s="18"/>
      </tp>
      <tp t="e">
        <v>#N/A</v>
        <stp/>
        <stp>BDH|14970469225020401021</stp>
        <tr r="D105" s="18"/>
      </tp>
      <tp t="e">
        <v>#N/A</v>
        <stp/>
        <stp>BDH|14609854631839713490</stp>
        <tr r="U60" s="18"/>
      </tp>
      <tp t="e">
        <v>#N/A</v>
        <stp/>
        <stp>BDH|11598292600041961090</stp>
        <tr r="Y17" s="20"/>
      </tp>
      <tp t="e">
        <v>#N/A</v>
        <stp/>
        <stp>BDH|10394600122637914143</stp>
        <tr r="F17" s="5"/>
        <tr r="F32" s="6"/>
      </tp>
      <tp t="e">
        <v>#N/A</v>
        <stp/>
        <stp>BDH|15223928419149738624</stp>
        <tr r="T23" s="18"/>
      </tp>
      <tp t="e">
        <v>#N/A</v>
        <stp/>
        <stp>BDH|13908547553069431868</stp>
        <tr r="K83" s="12"/>
      </tp>
      <tp t="e">
        <v>#N/A</v>
        <stp/>
        <stp>BDH|12717332128850427145</stp>
        <tr r="H93" s="17"/>
        <tr r="H13" s="28"/>
      </tp>
      <tp t="e">
        <v>#N/A</v>
        <stp/>
        <stp>BDH|13320332264303161799</stp>
        <tr r="K91" s="17"/>
      </tp>
      <tp t="e">
        <v>#N/A</v>
        <stp/>
        <stp>BDH|14951259141164824493</stp>
        <tr r="I81" s="24"/>
      </tp>
      <tp t="e">
        <v>#N/A</v>
        <stp/>
        <stp>BDH|16153876401299342586</stp>
        <tr r="E30" s="5"/>
        <tr r="E30" s="9"/>
      </tp>
      <tp t="e">
        <v>#N/A</v>
        <stp/>
        <stp>BDH|11933579203285497352</stp>
        <tr r="D95" s="17"/>
      </tp>
      <tp t="e">
        <v>#N/A</v>
        <stp/>
        <stp>BDH|13938678487866031953</stp>
        <tr r="O36" s="34"/>
      </tp>
      <tp t="e">
        <v>#N/A</v>
        <stp/>
        <stp>BDH|10696676648522087251</stp>
        <tr r="Z60" s="21"/>
        <tr r="X53" s="11"/>
      </tp>
      <tp t="e">
        <v>#N/A</v>
        <stp/>
        <stp>BDH|10463266983228822052</stp>
        <tr r="S32" s="9"/>
      </tp>
      <tp t="e">
        <v>#N/A</v>
        <stp/>
        <stp>BDH|10307370658325546155</stp>
        <tr r="S56" s="18"/>
      </tp>
      <tp t="e">
        <v>#N/A</v>
        <stp/>
        <stp>BDH|12951003863047729116</stp>
        <tr r="G13" s="26"/>
      </tp>
      <tp t="e">
        <v>#N/A</v>
        <stp/>
        <stp>BDH|15560148232933612694</stp>
        <tr r="E78" s="18"/>
      </tp>
      <tp t="e">
        <v>#N/A</v>
        <stp/>
        <stp>BDH|11301648706507885255</stp>
        <tr r="E18" s="21"/>
      </tp>
      <tp t="e">
        <v>#N/A</v>
        <stp/>
        <stp>BDH|16696090711484195133</stp>
        <tr r="J51" s="24"/>
      </tp>
      <tp t="e">
        <v>#N/A</v>
        <stp/>
        <stp>BDH|10260552028337622253</stp>
        <tr r="P172" s="18"/>
      </tp>
      <tp t="e">
        <v>#N/A</v>
        <stp/>
        <stp>BDH|15834708335427984481</stp>
        <tr r="V44" s="17"/>
      </tp>
      <tp t="e">
        <v>#N/A</v>
        <stp/>
        <stp>BDH|12560632050756245581</stp>
        <tr r="M61" s="18"/>
      </tp>
      <tp t="e">
        <v>#N/A</v>
        <stp/>
        <stp>BDH|12027549361700988301</stp>
        <tr r="L54" s="18"/>
      </tp>
      <tp t="e">
        <v>#N/A</v>
        <stp/>
        <stp>BDH|12277784406355061203</stp>
        <tr r="S7" s="4"/>
      </tp>
      <tp t="e">
        <v>#N/A</v>
        <stp/>
        <stp>BDH|17869411509520950153</stp>
        <tr r="G69" s="18"/>
      </tp>
      <tp t="e">
        <v>#N/A</v>
        <stp/>
        <stp>BDH|15936550554857658015</stp>
        <tr r="L21" s="10"/>
      </tp>
      <tp t="e">
        <v>#N/A</v>
        <stp/>
        <stp>BDH|17678311175585883451</stp>
        <tr r="C16" s="20"/>
      </tp>
      <tp t="e">
        <v>#N/A</v>
        <stp/>
        <stp>BDH|15465480778066298296</stp>
        <tr r="T171" s="18"/>
      </tp>
      <tp t="e">
        <v>#N/A</v>
        <stp/>
        <stp>BDH|16112225019922717523</stp>
        <tr r="X104" s="18"/>
      </tp>
      <tp t="e">
        <v>#N/A</v>
        <stp/>
        <stp>BDH|10894751162465750676</stp>
        <tr r="P89" s="17"/>
      </tp>
      <tp t="e">
        <v>#N/A</v>
        <stp/>
        <stp>BDH|16976998289677540232</stp>
        <tr r="L11" s="21"/>
      </tp>
      <tp t="e">
        <v>#N/A</v>
        <stp/>
        <stp>BDH|14908432252116045179</stp>
        <tr r="G45" s="17"/>
      </tp>
      <tp t="e">
        <v>#N/A</v>
        <stp/>
        <stp>BDH|18211617429766465819</stp>
        <tr r="S38" s="25"/>
      </tp>
      <tp t="e">
        <v>#N/A</v>
        <stp/>
        <stp>BDH|17151467419511414158</stp>
        <tr r="S143" s="18"/>
      </tp>
      <tp t="e">
        <v>#N/A</v>
        <stp/>
        <stp>BDH|16681745233064878467</stp>
        <tr r="R12" s="11"/>
      </tp>
      <tp t="e">
        <v>#N/A</v>
        <stp/>
        <stp>BDH|16904169658236159693</stp>
        <tr r="G30" s="21"/>
      </tp>
      <tp t="e">
        <v>#N/A</v>
        <stp/>
        <stp>BDH|10895572170001242122</stp>
        <tr r="U20" s="10"/>
      </tp>
      <tp t="e">
        <v>#N/A</v>
        <stp/>
        <stp>BDH|14539720025226459599</stp>
        <tr r="M119" s="18"/>
        <tr r="M7" s="20"/>
      </tp>
      <tp t="e">
        <v>#N/A</v>
        <stp/>
        <stp>BDH|11847468254443616135</stp>
        <tr r="N9" s="3"/>
        <tr r="L51" s="10"/>
        <tr r="L41" s="11"/>
        <tr r="L14" s="7"/>
      </tp>
      <tp t="e">
        <v>#N/A</v>
        <stp/>
        <stp>BDH|14839440773525875082</stp>
        <tr r="D10" s="4"/>
        <tr r="C6" s="16"/>
        <tr r="F6" s="3"/>
        <tr r="D6" s="11"/>
      </tp>
      <tp t="e">
        <v>#N/A</v>
        <stp/>
        <stp>BDH|17900424939253534186</stp>
        <tr r="N14" s="12"/>
      </tp>
      <tp t="e">
        <v>#N/A</v>
        <stp/>
        <stp>BDH|13608441725531136694</stp>
        <tr r="N45" s="24"/>
      </tp>
      <tp t="e">
        <v>#N/A</v>
        <stp/>
        <stp>BDH|13599434241845106497</stp>
        <tr r="X21" s="10"/>
      </tp>
      <tp t="e">
        <v>#N/A</v>
        <stp/>
        <stp>BDH|17979301813770420711</stp>
        <tr r="H39" s="18"/>
      </tp>
      <tp t="e">
        <v>#N/A</v>
        <stp/>
        <stp>BDH|11919634625580577755</stp>
        <tr r="W12" s="26"/>
      </tp>
      <tp t="e">
        <v>#N/A</v>
        <stp/>
        <stp>BDH|13645658806920202784</stp>
        <tr r="D63" s="18"/>
      </tp>
      <tp t="e">
        <v>#N/A</v>
        <stp/>
        <stp>BDH|17208203369465102456</stp>
        <tr r="U42" s="10"/>
        <tr r="U32" s="11"/>
      </tp>
      <tp t="e">
        <v>#N/A</v>
        <stp/>
        <stp>BDH|12195134083891605884</stp>
        <tr r="S18" s="25"/>
      </tp>
      <tp t="e">
        <v>#N/A</v>
        <stp/>
        <stp>BDH|11820454556250128257</stp>
        <tr r="Z22" s="34"/>
      </tp>
      <tp t="e">
        <v>#N/A</v>
        <stp/>
        <stp>BDH|17953553070701339603</stp>
        <tr r="U16" s="2"/>
        <tr r="U32" s="4"/>
        <tr r="U62" s="10"/>
        <tr r="W19" s="13"/>
      </tp>
      <tp t="e">
        <v>#N/A</v>
        <stp/>
        <stp>BDH|11382621467306136588</stp>
        <tr r="V72" s="12"/>
      </tp>
      <tp t="e">
        <v>#N/A</v>
        <stp/>
        <stp>BDH|13488775149741724328</stp>
        <tr r="C7" s="30"/>
      </tp>
      <tp t="e">
        <v>#N/A</v>
        <stp/>
        <stp>BDH|15557002580536201982</stp>
        <tr r="C148" s="18"/>
      </tp>
      <tp t="e">
        <v>#N/A</v>
        <stp/>
        <stp>BDH|11887754532436092101</stp>
        <tr r="R33" s="21"/>
      </tp>
      <tp t="e">
        <v>#N/A</v>
        <stp/>
        <stp>BDH|16438145717995919119</stp>
        <tr r="M21" s="2"/>
      </tp>
      <tp t="e">
        <v>#N/A</v>
        <stp/>
        <stp>BDH|14738397172791734347</stp>
        <tr r="D59" s="11"/>
      </tp>
      <tp t="e">
        <v>#N/A</v>
        <stp/>
        <stp>BDH|18287909233805796597</stp>
        <tr r="K12" s="14"/>
      </tp>
      <tp t="e">
        <v>#N/A</v>
        <stp/>
        <stp>BDH|13618289150481196703</stp>
        <tr r="P53" s="18"/>
      </tp>
      <tp t="e">
        <v>#N/A</v>
        <stp/>
        <stp>BDH|11975482846407860402</stp>
        <tr r="I6" s="15"/>
        <tr r="I12" s="2"/>
        <tr r="I11" s="4"/>
        <tr r="I6" s="10"/>
      </tp>
      <tp t="e">
        <v>#N/A</v>
        <stp/>
        <stp>BDH|11995558761249108936</stp>
        <tr r="F20" s="2"/>
        <tr r="F18" s="4"/>
        <tr r="F58" s="10"/>
        <tr r="F48" s="11"/>
        <tr r="F19" s="7"/>
        <tr r="H74" s="13"/>
      </tp>
      <tp t="e">
        <v>#N/A</v>
        <stp/>
        <stp>BDH|10497767141077929659</stp>
        <tr r="D25" s="18"/>
      </tp>
      <tp t="e">
        <v>#N/A</v>
        <stp/>
        <stp>BDH|16044474236592794199</stp>
        <tr r="I15" s="11"/>
      </tp>
      <tp t="e">
        <v>#N/A</v>
        <stp/>
        <stp>BDH|13990958913599087009</stp>
        <tr r="M52" s="10"/>
        <tr r="M42" s="11"/>
        <tr r="M15" s="7"/>
      </tp>
      <tp t="e">
        <v>#N/A</v>
        <stp/>
        <stp>BDH|14471015139775287018</stp>
        <tr r="Z7" s="24"/>
      </tp>
      <tp t="e">
        <v>#N/A</v>
        <stp/>
        <stp>BDH|12036004945073804723</stp>
        <tr r="G12" s="14"/>
      </tp>
      <tp t="e">
        <v>#N/A</v>
        <stp/>
        <stp>BDH|17733485013781115124</stp>
        <tr r="F57" s="34"/>
      </tp>
      <tp t="e">
        <v>#N/A</v>
        <stp/>
        <stp>BDH|10634573630221878561</stp>
        <tr r="E78" s="12"/>
      </tp>
      <tp t="e">
        <v>#N/A</v>
        <stp/>
        <stp>BDH|10475985650466210813</stp>
        <tr r="V32" s="9"/>
      </tp>
      <tp t="e">
        <v>#N/A</v>
        <stp/>
        <stp>BDH|16487079176567887428</stp>
        <tr r="L89" s="17"/>
      </tp>
      <tp t="e">
        <v>#N/A</v>
        <stp/>
        <stp>BDH|14805344808086299386</stp>
        <tr r="E70" s="13"/>
      </tp>
      <tp t="e">
        <v>#N/A</v>
        <stp/>
        <stp>BDH|17248019609502277764</stp>
        <tr r="Q31" s="34"/>
      </tp>
      <tp t="e">
        <v>#N/A</v>
        <stp/>
        <stp>BDH|11787643721956999151</stp>
        <tr r="D72" s="18"/>
      </tp>
      <tp t="e">
        <v>#N/A</v>
        <stp/>
        <stp>BDH|16561635689353928988</stp>
        <tr r="Q51" s="21"/>
      </tp>
      <tp t="e">
        <v>#N/A</v>
        <stp/>
        <stp>BDH|14438399345450571130</stp>
        <tr r="W19" s="6"/>
      </tp>
      <tp t="e">
        <v>#N/A</v>
        <stp/>
        <stp>BDH|15925048237380337473</stp>
        <tr r="E64" s="34"/>
      </tp>
      <tp t="e">
        <v>#N/A</v>
        <stp/>
        <stp>BDH|16925397225770824539</stp>
        <tr r="J15" s="12"/>
      </tp>
      <tp t="e">
        <v>#N/A</v>
        <stp/>
        <stp>BDH|15291375259272263301</stp>
        <tr r="I21" s="34"/>
      </tp>
      <tp t="e">
        <v>#N/A</v>
        <stp/>
        <stp>BDH|11153701209966516235</stp>
        <tr r="G7" s="28"/>
      </tp>
      <tp t="e">
        <v>#N/A</v>
        <stp/>
        <stp>BDH|13295643669427013616</stp>
        <tr r="M21" s="34"/>
      </tp>
      <tp t="e">
        <v>#N/A</v>
        <stp/>
        <stp>BDH|18371601069209243369</stp>
        <tr r="T6" s="28"/>
      </tp>
      <tp t="e">
        <v>#N/A</v>
        <stp/>
        <stp>BDH|18346800708246463418</stp>
        <tr r="E82" s="17"/>
        <tr r="E20" s="3"/>
        <tr r="C6" s="7"/>
      </tp>
      <tp t="e">
        <v>#N/A</v>
        <stp/>
        <stp>BDH|17465308809257059131</stp>
        <tr r="Z22" s="17"/>
      </tp>
      <tp t="e">
        <v>#N/A</v>
        <stp/>
        <stp>BDH|16684561118585037560</stp>
        <tr r="G10" s="4"/>
        <tr r="F6" s="16"/>
        <tr r="I6" s="3"/>
        <tr r="G6" s="11"/>
      </tp>
      <tp t="e">
        <v>#N/A</v>
        <stp/>
        <stp>BDH|14918723396989534167</stp>
        <tr r="N40" s="10"/>
        <tr r="N30" s="11"/>
      </tp>
      <tp t="e">
        <v>#N/A</v>
        <stp/>
        <stp>BDH|16353882825517699964</stp>
        <tr r="I55" s="13"/>
      </tp>
      <tp t="e">
        <v>#N/A</v>
        <stp/>
        <stp>BDH|15355088244176558547</stp>
        <tr r="K58" s="12"/>
      </tp>
      <tp t="e">
        <v>#N/A</v>
        <stp/>
        <stp>BDH|17387770971295246092</stp>
        <tr r="W170" s="18"/>
      </tp>
      <tp t="e">
        <v>#N/A</v>
        <stp/>
        <stp>BDH|12705276432846415783</stp>
        <tr r="M28" s="6"/>
      </tp>
      <tp t="e">
        <v>#N/A</v>
        <stp/>
        <stp>BDH|16881757498709305384</stp>
        <tr r="G28" s="18"/>
      </tp>
      <tp t="e">
        <v>#N/A</v>
        <stp/>
        <stp>BDH|13247242223920974124</stp>
        <tr r="V36" s="21"/>
      </tp>
      <tp t="e">
        <v>#N/A</v>
        <stp/>
        <stp>BDH|11162910581035648791</stp>
        <tr r="S207" s="18"/>
      </tp>
      <tp t="e">
        <v>#N/A</v>
        <stp/>
        <stp>BDH|12104178858850706473</stp>
        <tr r="P94" s="17"/>
      </tp>
      <tp t="e">
        <v>#N/A</v>
        <stp/>
        <stp>BDH|17887478002134137520</stp>
        <tr r="Z21" s="30"/>
      </tp>
      <tp t="e">
        <v>#N/A</v>
        <stp/>
        <stp>BDH|14712957228449639420</stp>
        <tr r="M203" s="18"/>
      </tp>
      <tp t="e">
        <v>#N/A</v>
        <stp/>
        <stp>BDH|18172749541851833824</stp>
        <tr r="W24" s="18"/>
      </tp>
      <tp t="e">
        <v>#N/A</v>
        <stp/>
        <stp>BDH|12499193020244482770</stp>
        <tr r="H21" s="3"/>
      </tp>
      <tp t="e">
        <v>#N/A</v>
        <stp/>
        <stp>BDH|16016803681431726584</stp>
        <tr r="Q210" s="18"/>
      </tp>
      <tp t="e">
        <v>#N/A</v>
        <stp/>
        <stp>BDH|12309259048495246329</stp>
        <tr r="Y24" s="13"/>
      </tp>
      <tp t="e">
        <v>#N/A</v>
        <stp/>
        <stp>BDH|13058425140511449081</stp>
        <tr r="T61" s="17"/>
      </tp>
      <tp t="e">
        <v>#N/A</v>
        <stp/>
        <stp>BDH|11230037444384893339</stp>
        <tr r="AA126" s="18"/>
      </tp>
      <tp t="e">
        <v>#N/A</v>
        <stp/>
        <stp>BDH|12782119933997966529</stp>
        <tr r="X13" s="18"/>
      </tp>
      <tp t="e">
        <v>#N/A</v>
        <stp/>
        <stp>BDH|18386637172268886342</stp>
        <tr r="P75" s="17"/>
      </tp>
      <tp t="e">
        <v>#N/A</v>
        <stp/>
        <stp>BDH|13117180656113431654</stp>
        <tr r="J29" s="29"/>
        <tr r="J7" s="29"/>
      </tp>
      <tp t="e">
        <v>#N/A</v>
        <stp/>
        <stp>BDH|14976141410547466173</stp>
        <tr r="L15" s="18"/>
      </tp>
      <tp t="e">
        <v>#N/A</v>
        <stp/>
        <stp>BDH|17259077879454357615</stp>
        <tr r="O86" s="18"/>
      </tp>
      <tp t="e">
        <v>#N/A</v>
        <stp/>
        <stp>BDH|13948458322016202129</stp>
        <tr r="I43" s="6"/>
      </tp>
      <tp t="e">
        <v>#N/A</v>
        <stp/>
        <stp>BDH|15576123366859990960</stp>
        <tr r="S48" s="22"/>
      </tp>
      <tp t="e">
        <v>#N/A</v>
        <stp/>
        <stp>BDH|17886386000685857369</stp>
        <tr r="C152" s="18"/>
      </tp>
      <tp t="e">
        <v>#N/A</v>
        <stp/>
        <stp>BDH|14685178109064548330</stp>
        <tr r="W118" s="18"/>
        <tr r="W6" s="20"/>
      </tp>
      <tp t="e">
        <v>#N/A</v>
        <stp/>
        <stp>BDH|11010435158506227477</stp>
        <tr r="E170" s="18"/>
      </tp>
      <tp t="e">
        <v>#N/A</v>
        <stp/>
        <stp>BDH|12235551468061354223</stp>
        <tr r="N13" s="30"/>
      </tp>
      <tp t="e">
        <v>#N/A</v>
        <stp/>
        <stp>BDH|16434343026406791206</stp>
        <tr r="V59" s="12"/>
      </tp>
      <tp t="e">
        <v>#N/A</v>
        <stp/>
        <stp>BDH|11475612440758215868</stp>
        <tr r="C72" s="34"/>
      </tp>
      <tp t="e">
        <v>#N/A</v>
        <stp/>
        <stp>BDH|12697338457480467779</stp>
        <tr r="O99" s="18"/>
      </tp>
      <tp t="e">
        <v>#N/A</v>
        <stp/>
        <stp>BDH|16649167040030512048</stp>
        <tr r="Y41" s="18"/>
      </tp>
      <tp t="e">
        <v>#N/A</v>
        <stp/>
        <stp>BDH|17274244525905759155</stp>
        <tr r="G170" s="18"/>
      </tp>
      <tp t="e">
        <v>#N/A</v>
        <stp/>
        <stp>BDH|17305171253897624701</stp>
        <tr r="V18" s="26"/>
      </tp>
      <tp t="e">
        <v>#N/A</v>
        <stp/>
        <stp>BDH|16523901835496847999</stp>
        <tr r="C7" s="10"/>
      </tp>
      <tp t="e">
        <v>#N/A</v>
        <stp/>
        <stp>BDH|11180172008696846571</stp>
        <tr r="T8" s="12"/>
      </tp>
      <tp t="e">
        <v>#N/A</v>
        <stp/>
        <stp>BDH|11344706856711455109</stp>
        <tr r="P91" s="12"/>
      </tp>
      <tp t="e">
        <v>#N/A</v>
        <stp/>
        <stp>BDH|17105015003294778059</stp>
        <tr r="P20" s="18"/>
      </tp>
      <tp t="e">
        <v>#N/A</v>
        <stp/>
        <stp>BDH|12981266120606856764</stp>
        <tr r="X8" s="13"/>
      </tp>
      <tp t="e">
        <v>#N/A</v>
        <stp/>
        <stp>BDH|15087200655192244365</stp>
        <tr r="V37" s="12"/>
      </tp>
      <tp t="e">
        <v>#N/A</v>
        <stp/>
        <stp>BDH|17860377011914828272</stp>
        <tr r="X118" s="18"/>
        <tr r="X6" s="20"/>
      </tp>
      <tp t="e">
        <v>#N/A</v>
        <stp/>
        <stp>BDH|18117704170889524257</stp>
        <tr r="E7" s="34"/>
      </tp>
      <tp t="e">
        <v>#N/A</v>
        <stp/>
        <stp>BDH|10582210251861702538</stp>
        <tr r="W66" s="18"/>
      </tp>
      <tp t="e">
        <v>#N/A</v>
        <stp/>
        <stp>BDH|11289791659139544963</stp>
        <tr r="P124" s="18"/>
        <tr r="P13" s="20"/>
      </tp>
      <tp t="e">
        <v>#N/A</v>
        <stp/>
        <stp>BDH|11679329402484246551</stp>
        <tr r="K8" s="23"/>
      </tp>
      <tp t="e">
        <v>#N/A</v>
        <stp/>
        <stp>BDH|14137334854527757609</stp>
        <tr r="T24" s="14"/>
      </tp>
      <tp t="e">
        <v>#N/A</v>
        <stp/>
        <stp>BDH|12041084924983874050</stp>
        <tr r="C56" s="17"/>
      </tp>
      <tp t="e">
        <v>#N/A</v>
        <stp/>
        <stp>BDH|10314928642177165930</stp>
        <tr r="L30" s="10"/>
        <tr r="N39" s="13"/>
      </tp>
      <tp t="e">
        <v>#N/A</v>
        <stp/>
        <stp>BDH|17759353745463387057</stp>
        <tr r="R73" s="34"/>
      </tp>
      <tp t="e">
        <v>#N/A</v>
        <stp/>
        <stp>BDH|11119742673572130068</stp>
        <tr r="O22" s="6"/>
      </tp>
      <tp t="e">
        <v>#N/A</v>
        <stp/>
        <stp>BDH|11682706717127429341</stp>
        <tr r="X19" s="25"/>
      </tp>
      <tp t="e">
        <v>#N/A</v>
        <stp/>
        <stp>BDH|15986406978577710276</stp>
        <tr r="D32" s="25"/>
        <tr r="D18" s="27"/>
      </tp>
      <tp t="e">
        <v>#N/A</v>
        <stp/>
        <stp>BDH|11684063039433130290</stp>
        <tr r="T20" s="25"/>
      </tp>
      <tp t="e">
        <v>#N/A</v>
        <stp/>
        <stp>BDH|16793613925869424863</stp>
        <tr r="Z23" s="22"/>
      </tp>
      <tp t="e">
        <v>#N/A</v>
        <stp/>
        <stp>BDH|10573809344476903999</stp>
        <tr r="X35" s="22"/>
      </tp>
      <tp t="e">
        <v>#N/A</v>
        <stp/>
        <stp>BDH|11465506833251362556</stp>
        <tr r="U66" s="13"/>
      </tp>
      <tp t="e">
        <v>#N/A</v>
        <stp/>
        <stp>BDH|17610775624445108452</stp>
        <tr r="M14" s="17"/>
        <tr r="M17" s="28"/>
      </tp>
      <tp t="e">
        <v>#N/A</v>
        <stp/>
        <stp>BDH|14646896468320511932</stp>
        <tr r="C10" s="34"/>
      </tp>
      <tp t="e">
        <v>#N/A</v>
        <stp/>
        <stp>BDH|17350045211751267453</stp>
        <tr r="L56" s="18"/>
      </tp>
      <tp t="e">
        <v>#N/A</v>
        <stp/>
        <stp>BDH|14140435680199623253</stp>
        <tr r="Q47" s="17"/>
      </tp>
      <tp t="e">
        <v>#N/A</v>
        <stp/>
        <stp>BDH|12133113079302059587</stp>
        <tr r="O62" s="13"/>
      </tp>
      <tp t="e">
        <v>#N/A</v>
        <stp/>
        <stp>BDH|17384174029556414189</stp>
        <tr r="L158" s="18"/>
      </tp>
      <tp t="e">
        <v>#N/A</v>
        <stp/>
        <stp>BDH|10718041100197226402</stp>
        <tr r="Z19" s="25"/>
      </tp>
      <tp t="e">
        <v>#N/A</v>
        <stp/>
        <stp>BDH|15077915051878196202</stp>
        <tr r="Q38" s="26"/>
      </tp>
      <tp t="e">
        <v>#N/A</v>
        <stp/>
        <stp>BDH|15752956647752139957</stp>
        <tr r="Y13" s="17"/>
        <tr r="Y16" s="28"/>
      </tp>
      <tp t="e">
        <v>#N/A</v>
        <stp/>
        <stp>BDH|10837420549095651646</stp>
        <tr r="P166" s="18"/>
      </tp>
      <tp t="e">
        <v>#N/A</v>
        <stp/>
        <stp>BDH|15064784298699275133</stp>
        <tr r="Y96" s="12"/>
      </tp>
      <tp t="e">
        <v>#N/A</v>
        <stp/>
        <stp>BDH|17117275505417363116</stp>
        <tr r="M73" s="18"/>
      </tp>
      <tp t="e">
        <v>#N/A</v>
        <stp/>
        <stp>BDH|13233291305537713581</stp>
        <tr r="K57" s="13"/>
      </tp>
      <tp t="e">
        <v>#N/A</v>
        <stp/>
        <stp>BDH|16515973140591011930</stp>
        <tr r="T78" s="34"/>
      </tp>
      <tp t="e">
        <v>#N/A</v>
        <stp/>
        <stp>BDH|10370647544193263201</stp>
        <tr r="I53" s="18"/>
      </tp>
      <tp t="e">
        <v>#N/A</v>
        <stp/>
        <stp>BDH|14431247141248011901</stp>
        <tr r="C8" s="28"/>
      </tp>
      <tp t="e">
        <v>#N/A</v>
        <stp/>
        <stp>BDH|10772005247057462052</stp>
        <tr r="F8" s="11"/>
      </tp>
      <tp t="e">
        <v>#N/A</v>
        <stp/>
        <stp>BDH|16164043072383431120</stp>
        <tr r="Q20" s="22"/>
      </tp>
      <tp t="e">
        <v>#N/A</v>
        <stp/>
        <stp>BDH|13648562841002139310</stp>
        <tr r="S40" s="17"/>
      </tp>
      <tp t="e">
        <v>#N/A</v>
        <stp/>
        <stp>BDH|11376433886156653815</stp>
        <tr r="H28" s="26"/>
      </tp>
      <tp t="e">
        <v>#N/A</v>
        <stp/>
        <stp>BDH|11179591678877292732</stp>
        <tr r="U59" s="11"/>
      </tp>
      <tp t="e">
        <v>#N/A</v>
        <stp/>
        <stp>BDH|14508004755424008615</stp>
        <tr r="L71" s="24"/>
      </tp>
      <tp t="e">
        <v>#N/A</v>
        <stp/>
        <stp>BDH|12314928765278686636</stp>
        <tr r="N94" s="18"/>
      </tp>
      <tp t="e">
        <v>#N/A</v>
        <stp/>
        <stp>BDH|16540355849533951115</stp>
        <tr r="AA29" s="22"/>
      </tp>
      <tp t="e">
        <v>#N/A</v>
        <stp/>
        <stp>BDH|15046280228664165200</stp>
        <tr r="X52" s="34"/>
      </tp>
      <tp t="e">
        <v>#N/A</v>
        <stp/>
        <stp>BDH|14479573963225802192</stp>
        <tr r="S45" s="24"/>
      </tp>
      <tp t="e">
        <v>#N/A</v>
        <stp/>
        <stp>BDH|13344131104172260376</stp>
        <tr r="V28" s="14"/>
      </tp>
      <tp t="e">
        <v>#N/A</v>
        <stp/>
        <stp>BDH|11111965585396055529</stp>
        <tr r="T68" s="13"/>
      </tp>
      <tp t="e">
        <v>#N/A</v>
        <stp/>
        <stp>BDH|16124464476801236736</stp>
        <tr r="J51" s="13"/>
      </tp>
      <tp t="e">
        <v>#N/A</v>
        <stp/>
        <stp>BDH|16017167234950702754</stp>
        <tr r="C84" s="24"/>
      </tp>
      <tp t="e">
        <v>#N/A</v>
        <stp/>
        <stp>BDH|16695388927326111289</stp>
        <tr r="Z57" s="13"/>
      </tp>
      <tp t="e">
        <v>#N/A</v>
        <stp/>
        <stp>BDH|16970206274055522589</stp>
        <tr r="H72" s="17"/>
      </tp>
      <tp t="e">
        <v>#N/A</v>
        <stp/>
        <stp>BDH|17651300236864808084</stp>
        <tr r="AA97" s="12"/>
      </tp>
      <tp t="e">
        <v>#N/A</v>
        <stp/>
        <stp>BDH|10548471751832036037</stp>
        <tr r="T17" s="5"/>
        <tr r="T32" s="6"/>
      </tp>
      <tp t="e">
        <v>#N/A</v>
        <stp/>
        <stp>BDH|13478993883622794392</stp>
        <tr r="H163" s="18"/>
      </tp>
      <tp t="e">
        <v>#N/A</v>
        <stp/>
        <stp>BDH|15870134122065993002</stp>
        <tr r="W19" s="24"/>
      </tp>
      <tp t="e">
        <v>#N/A</v>
        <stp/>
        <stp>BDH|14721042953871859385</stp>
        <tr r="X73" s="17"/>
      </tp>
      <tp t="e">
        <v>#N/A</v>
        <stp/>
        <stp>BDH|10013614444108696935</stp>
        <tr r="F24" s="10"/>
      </tp>
      <tp t="e">
        <v>#N/A</v>
        <stp/>
        <stp>BDH|10765766574886759525</stp>
        <tr r="Q21" s="4"/>
      </tp>
      <tp t="e">
        <v>#N/A</v>
        <stp/>
        <stp>BDH|13333443239772977578</stp>
        <tr r="L21" s="17"/>
        <tr r="L15" s="3"/>
      </tp>
      <tp t="e">
        <v>#N/A</v>
        <stp/>
        <stp>BDH|10767329117150684149</stp>
        <tr r="C35" s="13"/>
      </tp>
      <tp t="e">
        <v>#N/A</v>
        <stp/>
        <stp>BDH|14797467942165385209</stp>
        <tr r="L180" s="18"/>
      </tp>
      <tp t="e">
        <v>#N/A</v>
        <stp/>
        <stp>BDH|15989767329541623206</stp>
        <tr r="V179" s="18"/>
      </tp>
      <tp t="e">
        <v>#N/A</v>
        <stp/>
        <stp>BDH|14508377650859235802</stp>
        <tr r="E73" s="24"/>
      </tp>
      <tp t="e">
        <v>#N/A</v>
        <stp/>
        <stp>BDH|15595182212251946760</stp>
        <tr r="L16" s="21"/>
      </tp>
      <tp t="e">
        <v>#N/A</v>
        <stp/>
        <stp>BDH|17680187261031966264</stp>
        <tr r="L18" s="5"/>
        <tr r="L37" s="6"/>
      </tp>
      <tp t="e">
        <v>#N/A</v>
        <stp/>
        <stp>BDH|17030285420637198395</stp>
        <tr r="V125" s="18"/>
        <tr r="V14" s="20"/>
      </tp>
      <tp t="e">
        <v>#N/A</v>
        <stp/>
        <stp>BDH|15629625638476891546</stp>
        <tr r="E8" s="26"/>
      </tp>
      <tp t="e">
        <v>#N/A</v>
        <stp/>
        <stp>BDH|13845057597710817929</stp>
        <tr r="N14" s="10"/>
      </tp>
      <tp t="e">
        <v>#N/A</v>
        <stp/>
        <stp>BDH|12465486852090845068</stp>
        <tr r="H138" s="18"/>
      </tp>
      <tp t="e">
        <v>#N/A</v>
        <stp/>
        <stp>BDH|13879482111927479257</stp>
        <tr r="M7" s="4"/>
      </tp>
      <tp t="e">
        <v>#N/A</v>
        <stp/>
        <stp>BDH|16213443126175639663</stp>
        <tr r="L95" s="12"/>
      </tp>
      <tp t="e">
        <v>#N/A</v>
        <stp/>
        <stp>BDH|16007733343571139716</stp>
        <tr r="R70" s="12"/>
      </tp>
      <tp t="e">
        <v>#N/A</v>
        <stp/>
        <stp>BDH|12447696321600931554</stp>
        <tr r="I33" s="22"/>
      </tp>
      <tp t="e">
        <v>#N/A</v>
        <stp/>
        <stp>BDH|10324395531254904726</stp>
        <tr r="F16" s="24"/>
      </tp>
      <tp t="e">
        <v>#N/A</v>
        <stp/>
        <stp>BDH|17530131995639721544</stp>
        <tr r="L76" s="34"/>
      </tp>
      <tp t="e">
        <v>#N/A</v>
        <stp/>
        <stp>BDH|15673531044355251232</stp>
        <tr r="F10" s="26"/>
      </tp>
      <tp t="e">
        <v>#N/A</v>
        <stp/>
        <stp>BDH|17504456348532882609</stp>
        <tr r="J38" s="6"/>
      </tp>
      <tp t="e">
        <v>#N/A</v>
        <stp/>
        <stp>BDH|14874525658744045323</stp>
        <tr r="C52" s="18"/>
      </tp>
      <tp t="e">
        <v>#N/A</v>
        <stp/>
        <stp>BDH|11614519061896132773</stp>
        <tr r="M26" s="24"/>
      </tp>
      <tp t="e">
        <v>#N/A</v>
        <stp/>
        <stp>BDH|17718905392040500404</stp>
        <tr r="E175" s="18"/>
      </tp>
      <tp t="e">
        <v>#N/A</v>
        <stp/>
        <stp>BDH|12779875035858132249</stp>
        <tr r="F86" s="12"/>
      </tp>
      <tp t="e">
        <v>#N/A</v>
        <stp/>
        <stp>BDH|12859645800762509597</stp>
        <tr r="AA17" s="34"/>
      </tp>
      <tp t="e">
        <v>#N/A</v>
        <stp/>
        <stp>BDH|15209409600651061329</stp>
        <tr r="V134" s="18"/>
      </tp>
      <tp t="e">
        <v>#N/A</v>
        <stp/>
        <stp>BDH|12732565870650495359</stp>
        <tr r="E32" s="26"/>
      </tp>
      <tp t="e">
        <v>#N/A</v>
        <stp/>
        <stp>BDH|14308678907655372409</stp>
        <tr r="K53" s="10"/>
        <tr r="K43" s="11"/>
        <tr r="K16" s="7"/>
      </tp>
      <tp t="e">
        <v>#N/A</v>
        <stp/>
        <stp>BDH|13635482258076011760</stp>
        <tr r="F61" s="17"/>
      </tp>
      <tp t="e">
        <v>#N/A</v>
        <stp/>
        <stp>BDH|12788545013062586752</stp>
        <tr r="U23" s="21"/>
      </tp>
      <tp t="e">
        <v>#N/A</v>
        <stp/>
        <stp>BDH|15960377717481145586</stp>
        <tr r="H34" s="21"/>
      </tp>
      <tp t="e">
        <v>#N/A</v>
        <stp/>
        <stp>BDH|15277959556308097213</stp>
        <tr r="K180" s="18"/>
      </tp>
      <tp t="e">
        <v>#N/A</v>
        <stp/>
        <stp>BDH|15771450702406707475</stp>
        <tr r="P203" s="18"/>
      </tp>
      <tp t="e">
        <v>#N/A</v>
        <stp/>
        <stp>BDH|14658694461465766296</stp>
        <tr r="M24" s="9"/>
      </tp>
      <tp t="e">
        <v>#N/A</v>
        <stp/>
        <stp>BDH|16552261775129013961</stp>
        <tr r="X91" s="17"/>
      </tp>
      <tp t="e">
        <v>#N/A</v>
        <stp/>
        <stp>BDH|13743665978485995409</stp>
        <tr r="O86" s="17"/>
      </tp>
      <tp t="e">
        <v>#N/A</v>
        <stp/>
        <stp>BDH|15771357036520395679</stp>
        <tr r="T71" s="13"/>
      </tp>
      <tp t="e">
        <v>#N/A</v>
        <stp/>
        <stp>BDH|11516137258254658285</stp>
        <tr r="H39" s="22"/>
      </tp>
      <tp t="e">
        <v>#N/A</v>
        <stp/>
        <stp>BDH|10350454320745632001</stp>
        <tr r="T18" s="12"/>
      </tp>
      <tp t="e">
        <v>#N/A</v>
        <stp/>
        <stp>BDH|16120937240058420063</stp>
        <tr r="L30" s="21"/>
      </tp>
      <tp t="e">
        <v>#N/A</v>
        <stp/>
        <stp>BDH|16101082975214459681</stp>
        <tr r="I12" s="17"/>
      </tp>
      <tp t="e">
        <v>#N/A</v>
        <stp/>
        <stp>BDH|13689415567066708479</stp>
        <tr r="P95" s="12"/>
      </tp>
      <tp t="e">
        <v>#N/A</v>
        <stp/>
        <stp>BDH|18161084592440088285</stp>
        <tr r="I26" s="10"/>
        <tr r="K35" s="13"/>
      </tp>
      <tp t="e">
        <v>#N/A</v>
        <stp/>
        <stp>BDH|13559275400323304128</stp>
        <tr r="H49" s="12"/>
      </tp>
      <tp t="e">
        <v>#N/A</v>
        <stp/>
        <stp>BDH|17622627721659584930</stp>
        <tr r="U58" s="18"/>
      </tp>
      <tp t="e">
        <v>#N/A</v>
        <stp/>
        <stp>BDH|14839016831930820435</stp>
        <tr r="N31" s="5"/>
      </tp>
      <tp t="e">
        <v>#N/A</v>
        <stp/>
        <stp>BDH|15922164268234788536</stp>
        <tr r="F45" s="21"/>
      </tp>
      <tp t="e">
        <v>#N/A</v>
        <stp/>
        <stp>BDH|16303546012100340159</stp>
        <tr r="X24" s="12"/>
      </tp>
      <tp t="e">
        <v>#N/A</v>
        <stp/>
        <stp>BDH|18109378213519331056</stp>
        <tr r="U25" s="7"/>
      </tp>
      <tp t="e">
        <v>#N/A</v>
        <stp/>
        <stp>BDH|10040658142070059146</stp>
        <tr r="J47" s="34"/>
      </tp>
      <tp t="e">
        <v>#N/A</v>
        <stp/>
        <stp>BDH|17323222076306486704</stp>
        <tr r="E13" s="11"/>
      </tp>
      <tp t="e">
        <v>#N/A</v>
        <stp/>
        <stp>BDH|10771264714719193972</stp>
        <tr r="K26" s="27"/>
      </tp>
      <tp t="e">
        <v>#N/A</v>
        <stp/>
        <stp>BDH|14463576209937904506</stp>
        <tr r="E10" s="18"/>
      </tp>
      <tp t="e">
        <v>#N/A</v>
        <stp/>
        <stp>BDH|11795372689120901935</stp>
        <tr r="V42" s="18"/>
      </tp>
      <tp t="e">
        <v>#N/A</v>
        <stp/>
        <stp>BDH|17997407408197244705</stp>
        <tr r="M8" s="28"/>
      </tp>
      <tp t="e">
        <v>#N/A</v>
        <stp/>
        <stp>BDH|18061169375569853481</stp>
        <tr r="E43" s="34"/>
      </tp>
      <tp t="e">
        <v>#N/A</v>
        <stp/>
        <stp>BDH|13745713243234694702</stp>
        <tr r="P8" s="13"/>
      </tp>
      <tp t="e">
        <v>#N/A</v>
        <stp/>
        <stp>BDH|13970422958642689366</stp>
        <tr r="T51" s="34"/>
      </tp>
      <tp t="e">
        <v>#N/A</v>
        <stp/>
        <stp>BDH|16763617639202571299</stp>
        <tr r="N7" s="34"/>
      </tp>
      <tp t="e">
        <v>#N/A</v>
        <stp/>
        <stp>BDH|17304356930636797225</stp>
        <tr r="X29" s="10"/>
        <tr r="Z38" s="13"/>
      </tp>
      <tp t="e">
        <v>#N/A</v>
        <stp/>
        <stp>BDH|11387727679723346180</stp>
        <tr r="D175" s="18"/>
      </tp>
      <tp t="e">
        <v>#N/A</v>
        <stp/>
        <stp>BDH|14152783747667482394</stp>
        <tr r="I9" s="22"/>
      </tp>
      <tp t="e">
        <v>#N/A</v>
        <stp/>
        <stp>BDH|15432116396056679861</stp>
        <tr r="N38" s="6"/>
      </tp>
      <tp t="e">
        <v>#N/A</v>
        <stp/>
        <stp>BDH|14408636916487357714</stp>
        <tr r="AA94" s="24"/>
      </tp>
      <tp t="e">
        <v>#N/A</v>
        <stp/>
        <stp>BDH|13135042571725117264</stp>
        <tr r="Y52" s="34"/>
      </tp>
      <tp t="e">
        <v>#N/A</v>
        <stp/>
        <stp>BDH|16474017071964195663</stp>
        <tr r="E37" s="12"/>
      </tp>
      <tp t="e">
        <v>#N/A</v>
        <stp/>
        <stp>BDH|17225499448813846784</stp>
        <tr r="X77" s="24"/>
      </tp>
      <tp t="e">
        <v>#N/A</v>
        <stp/>
        <stp>BDH|12506046104240763111</stp>
        <tr r="Z61" s="18"/>
      </tp>
      <tp t="e">
        <v>#N/A</v>
        <stp/>
        <stp>BDH|11864246708878788802</stp>
        <tr r="M37" s="34"/>
      </tp>
      <tp t="e">
        <v>#N/A</v>
        <stp/>
        <stp>BDH|15025817585586049076</stp>
        <tr r="H65" s="18"/>
      </tp>
      <tp t="e">
        <v>#N/A</v>
        <stp/>
        <stp>BDH|17480741401592590174</stp>
        <tr r="W17" s="4"/>
        <tr r="Y10" s="3"/>
        <tr r="W56" s="10"/>
        <tr r="W46" s="11"/>
        <tr r="W17" s="7"/>
        <tr r="Y61" s="13"/>
      </tp>
      <tp t="e">
        <v>#N/A</v>
        <stp/>
        <stp>BDH|13116403205995292152</stp>
        <tr r="J59" s="18"/>
      </tp>
      <tp t="e">
        <v>#N/A</v>
        <stp/>
        <stp>BDH|10278339590200746958</stp>
        <tr r="L104" s="12"/>
      </tp>
      <tp t="e">
        <v>#N/A</v>
        <stp/>
        <stp>BDH|12718627743827699437</stp>
        <tr r="Z37" s="21"/>
      </tp>
      <tp t="e">
        <v>#N/A</v>
        <stp/>
        <stp>BDH|11213431777231404012</stp>
        <tr r="U27" s="34"/>
      </tp>
      <tp t="e">
        <v>#N/A</v>
        <stp/>
        <stp>BDH|14957324460764137695</stp>
        <tr r="I25" s="13"/>
      </tp>
      <tp t="e">
        <v>#N/A</v>
        <stp/>
        <stp>BDH|15859090760063252307</stp>
        <tr r="I58" s="34"/>
      </tp>
      <tp t="e">
        <v>#N/A</v>
        <stp/>
        <stp>BDH|11906607348782049223</stp>
        <tr r="M35" s="21"/>
      </tp>
      <tp t="e">
        <v>#N/A</v>
        <stp/>
        <stp>BDH|14385270141428620909</stp>
        <tr r="Y35" s="34"/>
      </tp>
      <tp t="e">
        <v>#N/A</v>
        <stp/>
        <stp>BDH|10310604377964584623</stp>
        <tr r="N18" s="17"/>
      </tp>
      <tp t="e">
        <v>#N/A</v>
        <stp/>
        <stp>BDH|13602247479816907318</stp>
        <tr r="F85" s="18"/>
      </tp>
      <tp t="e">
        <v>#N/A</v>
        <stp/>
        <stp>BDH|15131894894305862274</stp>
        <tr r="J102" s="18"/>
      </tp>
      <tp t="e">
        <v>#N/A</v>
        <stp/>
        <stp>BDH|12577706015631427673</stp>
        <tr r="E24" s="9"/>
      </tp>
      <tp t="e">
        <v>#N/A</v>
        <stp/>
        <stp>BDH|17052473057552074732</stp>
        <tr r="H54" s="18"/>
      </tp>
      <tp t="e">
        <v>#N/A</v>
        <stp/>
        <stp>BDH|15133494957512407587</stp>
        <tr r="L27" s="14"/>
      </tp>
      <tp t="e">
        <v>#N/A</v>
        <stp/>
        <stp>BDH|14431441027369041840</stp>
        <tr r="AA35" s="12"/>
      </tp>
      <tp t="e">
        <v>#N/A</v>
        <stp/>
        <stp>BDH|14417790889311461930</stp>
        <tr r="H45" s="21"/>
      </tp>
      <tp t="e">
        <v>#N/A</v>
        <stp/>
        <stp>BDH|12256787968761887199</stp>
        <tr r="N19" s="26"/>
      </tp>
      <tp t="e">
        <v>#N/A</v>
        <stp/>
        <stp>BDH|15905187928025316092</stp>
        <tr r="L52" s="6"/>
      </tp>
      <tp t="e">
        <v>#N/A</v>
        <stp/>
        <stp>BDH|17988634007202733099</stp>
        <tr r="AA74" s="12"/>
      </tp>
      <tp t="e">
        <v>#N/A</v>
        <stp/>
        <stp>BDH|14625286463827894461</stp>
        <tr r="C45" s="12"/>
      </tp>
      <tp t="e">
        <v>#N/A</v>
        <stp/>
        <stp>BDH|15795531224046553769</stp>
        <tr r="R36" s="34"/>
      </tp>
      <tp t="e">
        <v>#N/A</v>
        <stp/>
        <stp>BDH|14125828689905941203</stp>
        <tr r="Q23" s="2"/>
        <tr r="S19" s="21"/>
        <tr r="S23" s="3"/>
      </tp>
      <tp t="e">
        <v>#N/A</v>
        <stp/>
        <stp>BDH|17214053912692606700</stp>
        <tr r="S54" s="17"/>
      </tp>
      <tp t="e">
        <v>#N/A</v>
        <stp/>
        <stp>BDH|11099505557663407111</stp>
        <tr r="Z59" s="12"/>
      </tp>
      <tp t="e">
        <v>#N/A</v>
        <stp/>
        <stp>BDH|11235484015016842158</stp>
        <tr r="C37" s="34"/>
      </tp>
      <tp t="e">
        <v>#N/A</v>
        <stp/>
        <stp>BDH|18283866635457431772</stp>
        <tr r="K27" s="7"/>
      </tp>
      <tp t="e">
        <v>#N/A</v>
        <stp/>
        <stp>BDH|17764314672409391954</stp>
        <tr r="C23" s="25"/>
      </tp>
      <tp t="e">
        <v>#N/A</v>
        <stp/>
        <stp>BDH|13086705376205138556</stp>
        <tr r="V84" s="12"/>
      </tp>
      <tp t="e">
        <v>#N/A</v>
        <stp/>
        <stp>BDH|16082172156795377400</stp>
        <tr r="Q53" s="17"/>
      </tp>
      <tp t="e">
        <v>#N/A</v>
        <stp/>
        <stp>BDH|13369066269870622680</stp>
        <tr r="L15" s="14"/>
      </tp>
      <tp t="e">
        <v>#N/A</v>
        <stp/>
        <stp>BDH|13015513985518545539</stp>
        <tr r="Z68" s="13"/>
      </tp>
      <tp t="e">
        <v>#N/A</v>
        <stp/>
        <stp>BDH|10680701611660616534</stp>
        <tr r="U22" s="22"/>
      </tp>
      <tp t="e">
        <v>#N/A</v>
        <stp/>
        <stp>BDH|16889334561050947011</stp>
        <tr r="O40" s="6"/>
      </tp>
      <tp t="e">
        <v>#N/A</v>
        <stp/>
        <stp>BDH|16832125922930930635</stp>
        <tr r="Q95" s="24"/>
      </tp>
      <tp t="e">
        <v>#N/A</v>
        <stp/>
        <stp>BDH|11248169801637429430</stp>
        <tr r="AA207" s="18"/>
      </tp>
      <tp t="e">
        <v>#N/A</v>
        <stp/>
        <stp>BDH|12549591800075951179</stp>
        <tr r="Y70" s="34"/>
      </tp>
      <tp t="e">
        <v>#N/A</v>
        <stp/>
        <stp>BDH|18417543520749780554</stp>
        <tr r="R58" s="18"/>
      </tp>
      <tp t="e">
        <v>#N/A</v>
        <stp/>
        <stp>BDH|14424963850993047805</stp>
        <tr r="V92" s="12"/>
      </tp>
      <tp t="e">
        <v>#N/A</v>
        <stp/>
        <stp>BDH|15070865786341196730</stp>
        <tr r="Q28" s="34"/>
      </tp>
      <tp t="e">
        <v>#N/A</v>
        <stp/>
        <stp>BDH|14811068468828483901</stp>
        <tr r="V15" s="34"/>
      </tp>
      <tp t="e">
        <v>#N/A</v>
        <stp/>
        <stp>BDH|12106599537555975243</stp>
        <tr r="AA71" s="17"/>
      </tp>
      <tp t="e">
        <v>#N/A</v>
        <stp/>
        <stp>BDH|14768931285117688156</stp>
        <tr r="C35" s="18"/>
      </tp>
      <tp t="e">
        <v>#N/A</v>
        <stp/>
        <stp>BDH|17982844526718025691</stp>
        <tr r="Z11" s="24"/>
      </tp>
      <tp t="e">
        <v>#N/A</v>
        <stp/>
        <stp>BDH|15405057255734306758</stp>
        <tr r="P128" s="18"/>
      </tp>
      <tp t="e">
        <v>#N/A</v>
        <stp/>
        <stp>BDH|14584041505480368754</stp>
        <tr r="X15" s="21"/>
      </tp>
      <tp t="e">
        <v>#N/A</v>
        <stp/>
        <stp>BDH|11580873790171113214</stp>
        <tr r="L13" s="7"/>
      </tp>
      <tp t="e">
        <v>#N/A</v>
        <stp/>
        <stp>BDH|17384231251462723140</stp>
        <tr r="H184" s="18"/>
      </tp>
      <tp t="e">
        <v>#N/A</v>
        <stp/>
        <stp>BDH|12079222018240880201</stp>
        <tr r="M8" s="14"/>
      </tp>
      <tp t="e">
        <v>#N/A</v>
        <stp/>
        <stp>BDH|17603159501844673168</stp>
        <tr r="T96" s="12"/>
      </tp>
      <tp t="e">
        <v>#N/A</v>
        <stp/>
        <stp>BDH|10237169906783608160</stp>
        <tr r="P18" s="11"/>
      </tp>
      <tp t="e">
        <v>#N/A</v>
        <stp/>
        <stp>BDH|16361518107927096773</stp>
        <tr r="R113" s="18"/>
      </tp>
      <tp t="e">
        <v>#N/A</v>
        <stp/>
        <stp>BDH|15117659366937754179</stp>
        <tr r="U9" s="22"/>
      </tp>
      <tp t="e">
        <v>#N/A</v>
        <stp/>
        <stp>BDH|16587354240887210509</stp>
        <tr r="R186" s="18"/>
      </tp>
      <tp t="e">
        <v>#N/A</v>
        <stp/>
        <stp>BDH|16147542500182306244</stp>
        <tr r="C20" s="12"/>
      </tp>
      <tp t="e">
        <v>#N/A</v>
        <stp/>
        <stp>BDH|11770192471635573187</stp>
        <tr r="S90" s="18"/>
      </tp>
      <tp t="e">
        <v>#N/A</v>
        <stp/>
        <stp>BDH|13365162232363757121</stp>
        <tr r="AA18" s="24"/>
      </tp>
      <tp t="e">
        <v>#N/A</v>
        <stp/>
        <stp>BDH|15996375594209050588</stp>
        <tr r="R20" s="27"/>
      </tp>
      <tp t="e">
        <v>#N/A</v>
        <stp/>
        <stp>BDH|13642957038128829212</stp>
        <tr r="L84" s="12"/>
      </tp>
      <tp t="e">
        <v>#N/A</v>
        <stp/>
        <stp>BDH|13285945874926114817</stp>
        <tr r="Q43" s="29"/>
      </tp>
      <tp t="e">
        <v>#N/A</v>
        <stp/>
        <stp>BDH|11860310944355856072</stp>
        <tr r="G20" s="26"/>
      </tp>
      <tp t="e">
        <v>#N/A</v>
        <stp/>
        <stp>BDH|17063576255412277621</stp>
        <tr r="W41" s="22"/>
      </tp>
      <tp t="e">
        <v>#N/A</v>
        <stp/>
        <stp>BDH|10788600593814735812</stp>
        <tr r="Y105" s="18"/>
      </tp>
      <tp t="e">
        <v>#N/A</v>
        <stp/>
        <stp>BDH|13908192207892527309</stp>
        <tr r="U85" s="24"/>
      </tp>
      <tp t="e">
        <v>#N/A</v>
        <stp/>
        <stp>BDH|14979118767897842753</stp>
        <tr r="U7" s="10"/>
      </tp>
      <tp t="e">
        <v>#N/A</v>
        <stp/>
        <stp>BDH|15607837487125915397</stp>
        <tr r="S62" s="24"/>
      </tp>
      <tp t="e">
        <v>#N/A</v>
        <stp/>
        <stp>BDH|18057603387404426110</stp>
        <tr r="M16" s="11"/>
      </tp>
      <tp t="e">
        <v>#N/A</v>
        <stp/>
        <stp>BDH|16602414006392096339</stp>
        <tr r="G18" s="23"/>
      </tp>
      <tp t="e">
        <v>#N/A</v>
        <stp/>
        <stp>BDH|10933182731424428560</stp>
        <tr r="U17" s="34"/>
      </tp>
      <tp t="e">
        <v>#N/A</v>
        <stp/>
        <stp>BDH|16473465447714553127</stp>
        <tr r="H23" s="18"/>
      </tp>
      <tp t="e">
        <v>#N/A</v>
        <stp/>
        <stp>BDH|13613532457644771475</stp>
        <tr r="X179" s="18"/>
      </tp>
      <tp t="e">
        <v>#N/A</v>
        <stp/>
        <stp>BDH|16409797803152549094</stp>
        <tr r="O74" s="24"/>
      </tp>
      <tp t="e">
        <v>#N/A</v>
        <stp/>
        <stp>BDH|17766435138980957379</stp>
        <tr r="R27" s="17"/>
      </tp>
      <tp t="e">
        <v>#N/A</v>
        <stp/>
        <stp>BDH|11466732225772345531</stp>
        <tr r="L14" s="22"/>
      </tp>
      <tp t="e">
        <v>#N/A</v>
        <stp/>
        <stp>BDH|14523032536153341713</stp>
        <tr r="U77" s="24"/>
      </tp>
      <tp t="e">
        <v>#N/A</v>
        <stp/>
        <stp>BDH|16338998543869227194</stp>
        <tr r="O205" s="18"/>
      </tp>
      <tp t="e">
        <v>#N/A</v>
        <stp/>
        <stp>BDH|15497933410127575909</stp>
        <tr r="I56" s="13"/>
      </tp>
      <tp t="e">
        <v>#N/A</v>
        <stp/>
        <stp>BDH|17815554560831614699</stp>
        <tr r="L70" s="13"/>
      </tp>
      <tp t="e">
        <v>#N/A</v>
        <stp/>
        <stp>BDH|15716917498700850641</stp>
        <tr r="M39" s="17"/>
      </tp>
      <tp t="e">
        <v>#N/A</v>
        <stp/>
        <stp>BDH|12809765159943512009</stp>
        <tr r="M148" s="18"/>
      </tp>
      <tp t="e">
        <v>#N/A</v>
        <stp/>
        <stp>BDH|18177821133779778952</stp>
        <tr r="Z41" s="17"/>
        <tr r="Z9" s="25"/>
      </tp>
      <tp t="e">
        <v>#N/A</v>
        <stp/>
        <stp>BDH|11301652110566603323</stp>
        <tr r="W19" s="20"/>
      </tp>
      <tp t="e">
        <v>#N/A</v>
        <stp/>
        <stp>BDH|13966356009553357044</stp>
        <tr r="P15" s="21"/>
      </tp>
      <tp t="e">
        <v>#N/A</v>
        <stp/>
        <stp>BDH|16695300950306597568</stp>
        <tr r="V62" s="12"/>
      </tp>
      <tp t="e">
        <v>#N/A</v>
        <stp/>
        <stp>BDH|11080235371862367548</stp>
        <tr r="G179" s="18"/>
      </tp>
      <tp t="e">
        <v>#N/A</v>
        <stp/>
        <stp>BDH|17632341744465084634</stp>
        <tr r="L29" s="29"/>
        <tr r="L7" s="29"/>
      </tp>
      <tp t="e">
        <v>#N/A</v>
        <stp/>
        <stp>BDH|15390103421165407032</stp>
        <tr r="AA208" s="18"/>
      </tp>
      <tp t="e">
        <v>#N/A</v>
        <stp/>
        <stp>BDH|15144796822204698790</stp>
        <tr r="C193" s="18"/>
      </tp>
      <tp t="e">
        <v>#N/A</v>
        <stp/>
        <stp>BDH|10026962792261390222</stp>
        <tr r="J28" s="18"/>
      </tp>
      <tp t="e">
        <v>#N/A</v>
        <stp/>
        <stp>BDH|15715256985755785957</stp>
        <tr r="C31" s="17"/>
      </tp>
      <tp t="e">
        <v>#N/A</v>
        <stp/>
        <stp>BDH|10957653242828223993</stp>
        <tr r="O102" s="18"/>
      </tp>
      <tp t="e">
        <v>#N/A</v>
        <stp/>
        <stp>BDH|12448864501298552139</stp>
        <tr r="J14" s="10"/>
      </tp>
      <tp t="e">
        <v>#N/A</v>
        <stp/>
        <stp>BDH|12867884107090691946</stp>
        <tr r="W23" s="20"/>
      </tp>
      <tp t="e">
        <v>#N/A</v>
        <stp/>
        <stp>BDH|15509526450857666145</stp>
        <tr r="L19" s="9"/>
      </tp>
      <tp t="e">
        <v>#N/A</v>
        <stp/>
        <stp>BDH|15114021671656622719</stp>
        <tr r="D16" s="17"/>
        <tr r="D19" s="28"/>
      </tp>
      <tp t="e">
        <v>#N/A</v>
        <stp/>
        <stp>BDH|15792855587646076000</stp>
        <tr r="Y45" s="4"/>
        <tr r="Y33" s="10"/>
        <tr r="Y23" s="11"/>
        <tr r="AA33" s="13"/>
      </tp>
      <tp t="e">
        <v>#N/A</v>
        <stp/>
        <stp>BDH|10609966655886701973</stp>
        <tr r="H23" s="13"/>
      </tp>
      <tp t="e">
        <v>#N/A</v>
        <stp/>
        <stp>BDH|16753477613347052769</stp>
        <tr r="C186" s="18"/>
      </tp>
      <tp t="e">
        <v>#N/A</v>
        <stp/>
        <stp>BDH|15546135605081140676</stp>
        <tr r="X19" s="6"/>
      </tp>
      <tp t="e">
        <v>#N/A</v>
        <stp/>
        <stp>BDH|11789284260804241283</stp>
        <tr r="R25" s="14"/>
      </tp>
      <tp t="e">
        <v>#N/A</v>
        <stp/>
        <stp>BDH|13409224402146875490</stp>
        <tr r="P74" s="17"/>
      </tp>
      <tp t="e">
        <v>#N/A</v>
        <stp/>
        <stp>BDH|10213275137071762300</stp>
        <tr r="L119" s="18"/>
        <tr r="L7" s="20"/>
      </tp>
      <tp t="e">
        <v>#N/A</v>
        <stp/>
        <stp>BDH|10242232563072757501</stp>
        <tr r="K46" s="18"/>
      </tp>
      <tp t="e">
        <v>#N/A</v>
        <stp/>
        <stp>BDH|15996789215675978580</stp>
        <tr r="S21" s="34"/>
      </tp>
      <tp t="e">
        <v>#N/A</v>
        <stp/>
        <stp>BDH|12442074111935417539</stp>
        <tr r="T31" s="9"/>
      </tp>
      <tp t="e">
        <v>#N/A</v>
        <stp/>
        <stp>BDH|16474678058372751498</stp>
        <tr r="O100" s="12"/>
      </tp>
      <tp t="e">
        <v>#N/A</v>
        <stp/>
        <stp>BDH|12229136537295452673</stp>
        <tr r="T16" s="11"/>
      </tp>
      <tp t="e">
        <v>#N/A</v>
        <stp/>
        <stp>BDH|13672607382699607771</stp>
        <tr r="E97" s="12"/>
      </tp>
      <tp t="e">
        <v>#N/A</v>
        <stp/>
        <stp>BDH|11912770176222558081</stp>
        <tr r="N72" s="10"/>
        <tr r="N62" s="11"/>
      </tp>
      <tp t="e">
        <v>#N/A</v>
        <stp/>
        <stp>BDH|11680781959989245903</stp>
        <tr r="D17" s="14"/>
      </tp>
      <tp t="e">
        <v>#N/A</v>
        <stp/>
        <stp>BDH|13916075203165050587</stp>
        <tr r="C88" s="12"/>
      </tp>
      <tp t="e">
        <v>#N/A</v>
        <stp/>
        <stp>BDH|14636475303064587728</stp>
        <tr r="S196" s="18"/>
      </tp>
      <tp t="e">
        <v>#N/A</v>
        <stp/>
        <stp>BDH|16513673823957048649</stp>
        <tr r="H78" s="12"/>
      </tp>
      <tp t="e">
        <v>#N/A</v>
        <stp/>
        <stp>BDH|11471673953088041956</stp>
        <tr r="K44" s="34"/>
      </tp>
      <tp t="e">
        <v>#N/A</v>
        <stp/>
        <stp>BDH|10407370587758129000</stp>
        <tr r="O7" s="14"/>
      </tp>
      <tp t="e">
        <v>#N/A</v>
        <stp/>
        <stp>BDH|13010142747041128474</stp>
        <tr r="U30" s="24"/>
      </tp>
      <tp t="e">
        <v>#N/A</v>
        <stp/>
        <stp>BDH|16150581594949081080</stp>
        <tr r="U102" s="18"/>
      </tp>
      <tp t="e">
        <v>#N/A</v>
        <stp/>
        <stp>BDH|18262676862203337815</stp>
        <tr r="F9" s="34"/>
      </tp>
      <tp t="e">
        <v>#N/A</v>
        <stp/>
        <stp>BDH|15489566827487877689</stp>
        <tr r="H14" s="12"/>
      </tp>
      <tp t="e">
        <v>#N/A</v>
        <stp/>
        <stp>BDH|11211636354634706575</stp>
        <tr r="Y30" s="34"/>
      </tp>
      <tp t="e">
        <v>#N/A</v>
        <stp/>
        <stp>BDH|11659739421255100215</stp>
        <tr r="R108" s="18"/>
      </tp>
      <tp t="e">
        <v>#N/A</v>
        <stp/>
        <stp>BDH|17177979533707547946</stp>
        <tr r="O22" s="27"/>
      </tp>
      <tp t="e">
        <v>#N/A</v>
        <stp/>
        <stp>BDH|15471298475531577296</stp>
        <tr r="V24" s="4"/>
        <tr r="V55" s="11"/>
      </tp>
      <tp t="e">
        <v>#N/A</v>
        <stp/>
        <stp>BDH|10433218611113897388</stp>
        <tr r="N46" s="4"/>
        <tr r="N23" s="10"/>
        <tr r="P42" s="13"/>
      </tp>
      <tp t="e">
        <v>#N/A</v>
        <stp/>
        <stp>BDH|11461339643365939095</stp>
        <tr r="F84" s="12"/>
      </tp>
      <tp t="e">
        <v>#N/A</v>
        <stp/>
        <stp>BDH|17557709389468026383</stp>
        <tr r="X11" s="13"/>
      </tp>
      <tp t="e">
        <v>#N/A</v>
        <stp/>
        <stp>BDH|18324992216117196491</stp>
        <tr r="AA32" s="18"/>
      </tp>
      <tp t="e">
        <v>#N/A</v>
        <stp/>
        <stp>BDH|11777163485879269222</stp>
        <tr r="O87" s="18"/>
      </tp>
      <tp t="e">
        <v>#N/A</v>
        <stp/>
        <stp>BDH|10953618649605239470</stp>
        <tr r="T15" s="18"/>
      </tp>
      <tp t="e">
        <v>#N/A</v>
        <stp/>
        <stp>BDH|13519365436974965483</stp>
        <tr r="J34" s="5"/>
        <tr r="L32" s="29"/>
      </tp>
      <tp t="e">
        <v>#N/A</v>
        <stp/>
        <stp>BDH|12603322832226180730</stp>
        <tr r="E34" s="6"/>
      </tp>
      <tp t="e">
        <v>#N/A</v>
        <stp/>
        <stp>BDH|10598034106346139555</stp>
        <tr r="G52" s="18"/>
      </tp>
      <tp t="e">
        <v>#N/A</v>
        <stp/>
        <stp>BDH|15632422705842673036</stp>
        <tr r="P12" s="22"/>
      </tp>
      <tp t="e">
        <v>#N/A</v>
        <stp/>
        <stp>BDH|16792956482166532215</stp>
        <tr r="C9" s="28"/>
      </tp>
      <tp t="e">
        <v>#N/A</v>
        <stp/>
        <stp>BDH|16806095004712591745</stp>
        <tr r="J54" s="18"/>
      </tp>
      <tp t="e">
        <v>#N/A</v>
        <stp/>
        <stp>BDH|11178671873977746465</stp>
        <tr r="K31" s="9"/>
      </tp>
      <tp t="e">
        <v>#N/A</v>
        <stp/>
        <stp>BDH|16435619567053328655</stp>
        <tr r="J7" s="23"/>
      </tp>
      <tp t="e">
        <v>#N/A</v>
        <stp/>
        <stp>BDH|15566020862014291432</stp>
        <tr r="Y44" s="24"/>
      </tp>
      <tp t="e">
        <v>#N/A</v>
        <stp/>
        <stp>BDH|11960547679685484542</stp>
        <tr r="D102" s="12"/>
      </tp>
      <tp t="e">
        <v>#N/A</v>
        <stp/>
        <stp>BDH|17672689031533246292</stp>
        <tr r="G37" s="34"/>
      </tp>
      <tp t="e">
        <v>#N/A</v>
        <stp/>
        <stp>BDH|15224284100845737190</stp>
        <tr r="R105" s="18"/>
      </tp>
      <tp t="e">
        <v>#N/A</v>
        <stp/>
        <stp>BDH|16393162957541613003</stp>
        <tr r="C196" s="18"/>
      </tp>
      <tp t="e">
        <v>#N/A</v>
        <stp/>
        <stp>BDH|15077746842905343010</stp>
        <tr r="P58" s="12"/>
      </tp>
      <tp t="e">
        <v>#N/A</v>
        <stp/>
        <stp>BDH|17713209823504833082</stp>
        <tr r="N9" s="23"/>
      </tp>
      <tp t="e">
        <v>#N/A</v>
        <stp/>
        <stp>BDH|16529703434482568300</stp>
        <tr r="P31" s="24"/>
      </tp>
      <tp t="e">
        <v>#N/A</v>
        <stp/>
        <stp>BDH|17532059254089310838</stp>
        <tr r="Q99" s="12"/>
      </tp>
      <tp t="e">
        <v>#N/A</v>
        <stp/>
        <stp>BDH|13079863170609212600</stp>
        <tr r="C104" s="12"/>
      </tp>
      <tp t="e">
        <v>#N/A</v>
        <stp/>
        <stp>BDH|16657679084979556243</stp>
        <tr r="J31" s="25"/>
        <tr r="G14" s="5"/>
        <tr r="J17" s="27"/>
      </tp>
      <tp t="e">
        <v>#N/A</v>
        <stp/>
        <stp>BDH|10585585599859135615</stp>
        <tr r="Z196" s="18"/>
      </tp>
      <tp t="e">
        <v>#N/A</v>
        <stp/>
        <stp>BDH|11618172965424511155</stp>
        <tr r="U24" s="17"/>
      </tp>
      <tp t="e">
        <v>#N/A</v>
        <stp/>
        <stp>BDH|13579387417514660681</stp>
        <tr r="S57" s="18"/>
      </tp>
      <tp t="e">
        <v>#N/A</v>
        <stp/>
        <stp>BDH|12120190927126948425</stp>
        <tr r="W41" s="18"/>
      </tp>
      <tp t="e">
        <v>#N/A</v>
        <stp/>
        <stp>BDH|15999990798565495384</stp>
        <tr r="D67" s="17"/>
        <tr r="D18" s="3"/>
      </tp>
      <tp t="e">
        <v>#N/A</v>
        <stp/>
        <stp>BDH|11460696482198266496</stp>
        <tr r="K49" s="24"/>
      </tp>
      <tp t="e">
        <v>#N/A</v>
        <stp/>
        <stp>BDH|17358769272473791741</stp>
        <tr r="E42" s="22"/>
      </tp>
      <tp t="e">
        <v>#N/A</v>
        <stp/>
        <stp>BDH|15689689347320823450</stp>
        <tr r="W58" s="11"/>
        <tr r="Y19" s="23"/>
      </tp>
      <tp t="e">
        <v>#N/A</v>
        <stp/>
        <stp>BDH|14905684344172427757</stp>
        <tr r="Q94" s="12"/>
      </tp>
      <tp t="e">
        <v>#N/A</v>
        <stp/>
        <stp>BDH|17013676231672076326</stp>
        <tr r="C95" s="18"/>
      </tp>
      <tp t="e">
        <v>#N/A</v>
        <stp/>
        <stp>BDH|11628771646692104325</stp>
        <tr r="S211" s="18"/>
      </tp>
      <tp t="e">
        <v>#N/A</v>
        <stp/>
        <stp>BDH|10115287159053509711</stp>
        <tr r="P131" s="18"/>
      </tp>
      <tp t="e">
        <v>#N/A</v>
        <stp/>
        <stp>BDH|11156761449487801627</stp>
        <tr r="D25" s="7"/>
      </tp>
      <tp t="e">
        <v>#N/A</v>
        <stp/>
        <stp>BDH|12640601649203221092</stp>
        <tr r="S87" s="12"/>
      </tp>
      <tp t="e">
        <v>#N/A</v>
        <stp/>
        <stp>BDH|10262671528506077192</stp>
        <tr r="K94" s="12"/>
      </tp>
      <tp t="e">
        <v>#N/A</v>
        <stp/>
        <stp>BDH|17315755444475766211</stp>
        <tr r="D69" s="24"/>
      </tp>
      <tp t="e">
        <v>#N/A</v>
        <stp/>
        <stp>BDH|11713330045883088656</stp>
        <tr r="M50" s="4"/>
      </tp>
      <tp t="e">
        <v>#N/A</v>
        <stp/>
        <stp>BDH|12163156622244243601</stp>
        <tr r="Q25" s="21"/>
      </tp>
      <tp t="e">
        <v>#N/A</v>
        <stp/>
        <stp>BDH|10304845262208308521</stp>
        <tr r="AA20" s="34"/>
      </tp>
      <tp t="e">
        <v>#N/A</v>
        <stp/>
        <stp>BDH|16490076336984432253</stp>
        <tr r="U32" s="10"/>
        <tr r="W41" s="13"/>
      </tp>
      <tp t="e">
        <v>#N/A</v>
        <stp/>
        <stp>BDH|17031917891645305174</stp>
        <tr r="V76" s="18"/>
      </tp>
      <tp t="e">
        <v>#N/A</v>
        <stp/>
        <stp>BDH|17232070255508606920</stp>
        <tr r="K13" s="6"/>
      </tp>
      <tp t="e">
        <v>#N/A</v>
        <stp/>
        <stp>BDH|12215644159265923723</stp>
        <tr r="O14" s="17"/>
        <tr r="O17" s="28"/>
      </tp>
      <tp t="e">
        <v>#N/A</v>
        <stp/>
        <stp>BDH|14240060820214649164</stp>
        <tr r="Q73" s="12"/>
      </tp>
      <tp t="e">
        <v>#N/A</v>
        <stp/>
        <stp>BDH|10942060531696941633</stp>
        <tr r="L41" s="24"/>
      </tp>
      <tp t="e">
        <v>#N/A</v>
        <stp/>
        <stp>BDH|12837626107707912006</stp>
        <tr r="E9" s="14"/>
      </tp>
      <tp t="e">
        <v>#N/A</v>
        <stp/>
        <stp>BDH|12867144625152510087</stp>
        <tr r="X65" s="24"/>
      </tp>
      <tp t="e">
        <v>#N/A</v>
        <stp/>
        <stp>BDH|16006106355611810094</stp>
        <tr r="N8" s="27"/>
      </tp>
      <tp t="e">
        <v>#N/A</v>
        <stp/>
        <stp>BDH|13093145576307286142</stp>
        <tr r="J19" s="25"/>
      </tp>
      <tp t="e">
        <v>#N/A</v>
        <stp/>
        <stp>BDH|15224365601145105003</stp>
        <tr r="Y89" s="18"/>
      </tp>
      <tp t="e">
        <v>#N/A</v>
        <stp/>
        <stp>BDH|17976240776706843771</stp>
        <tr r="W8" s="26"/>
        <tr r="T10" s="9"/>
      </tp>
      <tp t="e">
        <v>#N/A</v>
        <stp/>
        <stp>BDH|15944397993365453931</stp>
        <tr r="S8" s="12"/>
      </tp>
      <tp t="e">
        <v>#N/A</v>
        <stp/>
        <stp>BDH|17922654426311612180</stp>
        <tr r="L47" s="10"/>
        <tr r="L37" s="11"/>
      </tp>
      <tp t="e">
        <v>#N/A</v>
        <stp/>
        <stp>BDH|17654409055597749209</stp>
        <tr r="G59" s="34"/>
      </tp>
      <tp t="e">
        <v>#N/A</v>
        <stp/>
        <stp>BDH|11744435017170060772</stp>
        <tr r="O16" s="20"/>
      </tp>
      <tp t="e">
        <v>#N/A</v>
        <stp/>
        <stp>BDH|13956470139276022131</stp>
        <tr r="Y27" s="17"/>
      </tp>
      <tp t="e">
        <v>#N/A</v>
        <stp/>
        <stp>BDH|10114078487398235342</stp>
        <tr r="Z90" s="12"/>
      </tp>
      <tp t="e">
        <v>#N/A</v>
        <stp/>
        <stp>BDH|13654519240285250420</stp>
        <tr r="F10" s="2"/>
        <tr r="E11" s="5"/>
        <tr r="E51" s="6"/>
        <tr r="G33" s="29"/>
        <tr r="G42" s="29"/>
      </tp>
      <tp t="e">
        <v>#N/A</v>
        <stp/>
        <stp>BDH|16924257227814904156</stp>
        <tr r="Y110" s="18"/>
      </tp>
      <tp t="e">
        <v>#N/A</v>
        <stp/>
        <stp>BDH|17043670479502939708</stp>
        <tr r="W58" s="34"/>
      </tp>
      <tp t="e">
        <v>#N/A</v>
        <stp/>
        <stp>BDH|14486020295177115952</stp>
        <tr r="T32" s="21"/>
      </tp>
      <tp t="e">
        <v>#N/A</v>
        <stp/>
        <stp>BDH|17736596426752701188</stp>
        <tr r="Z55" s="17"/>
      </tp>
      <tp t="e">
        <v>#N/A</v>
        <stp/>
        <stp>BDH|11157755837120316679</stp>
        <tr r="M19" s="30"/>
      </tp>
      <tp t="e">
        <v>#N/A</v>
        <stp/>
        <stp>BDH|14745699601546000781</stp>
        <tr r="I17" s="34"/>
      </tp>
      <tp t="e">
        <v>#N/A</v>
        <stp/>
        <stp>BDH|15411421373956036323</stp>
        <tr r="E13" s="17"/>
        <tr r="E16" s="28"/>
      </tp>
      <tp t="e">
        <v>#N/A</v>
        <stp/>
        <stp>BDH|15461455416930305333</stp>
        <tr r="K16" s="17"/>
        <tr r="K19" s="28"/>
      </tp>
      <tp t="e">
        <v>#N/A</v>
        <stp/>
        <stp>BDH|16318131232310287773</stp>
        <tr r="E77" s="18"/>
      </tp>
      <tp t="e">
        <v>#N/A</v>
        <stp/>
        <stp>BDH|17811346113444998212</stp>
        <tr r="S27" s="7"/>
      </tp>
      <tp t="e">
        <v>#N/A</v>
        <stp/>
        <stp>BDH|10874333277937960023</stp>
        <tr r="T164" s="18"/>
      </tp>
      <tp t="e">
        <v>#N/A</v>
        <stp/>
        <stp>BDH|15331635931583137078</stp>
        <tr r="U28" s="22"/>
      </tp>
      <tp t="e">
        <v>#N/A</v>
        <stp/>
        <stp>BDH|17176732829869548891</stp>
        <tr r="L13" s="12"/>
      </tp>
      <tp t="e">
        <v>#N/A</v>
        <stp/>
        <stp>BDH|12810985395654340519</stp>
        <tr r="X33" s="18"/>
      </tp>
      <tp t="e">
        <v>#N/A</v>
        <stp/>
        <stp>BDH|18137934776936392308</stp>
        <tr r="N36" s="21"/>
      </tp>
      <tp t="e">
        <v>#N/A</v>
        <stp/>
        <stp>BDH|18272245059704981813</stp>
        <tr r="AA15" s="26"/>
      </tp>
      <tp t="e">
        <v>#N/A</v>
        <stp/>
        <stp>BDH|14598368943141589125</stp>
        <tr r="C30" s="26"/>
      </tp>
      <tp t="e">
        <v>#N/A</v>
        <stp/>
        <stp>BDH|11768176775574512079</stp>
        <tr r="AA47" s="17"/>
      </tp>
      <tp t="e">
        <v>#N/A</v>
        <stp/>
        <stp>BDH|16385073211155268101</stp>
        <tr r="H27" s="10"/>
        <tr r="J36" s="13"/>
      </tp>
      <tp t="e">
        <v>#N/A</v>
        <stp/>
        <stp>BDH|18351091758857384969</stp>
        <tr r="P41" s="22"/>
      </tp>
      <tp t="e">
        <v>#N/A</v>
        <stp/>
        <stp>BDH|13031532864492691161</stp>
        <tr r="N115" s="18"/>
      </tp>
      <tp t="e">
        <v>#N/A</v>
        <stp/>
        <stp>BDH|14230657599069119189</stp>
        <tr r="I57" s="11"/>
        <tr r="K15" s="23"/>
      </tp>
      <tp t="e">
        <v>#N/A</v>
        <stp/>
        <stp>BDH|11123601092875174850</stp>
        <tr r="M34" s="5"/>
        <tr r="O32" s="29"/>
      </tp>
      <tp t="e">
        <v>#N/A</v>
        <stp/>
        <stp>BDH|12559461601612300761</stp>
        <tr r="X16" s="25"/>
      </tp>
      <tp t="e">
        <v>#N/A</v>
        <stp/>
        <stp>BDH|12908708071252714388</stp>
        <tr r="T19" s="34"/>
      </tp>
      <tp t="e">
        <v>#N/A</v>
        <stp/>
        <stp>BDH|14010368103481473569</stp>
        <tr r="N64" s="17"/>
      </tp>
      <tp t="e">
        <v>#N/A</v>
        <stp/>
        <stp>BDH|14048469500931714266</stp>
        <tr r="U24" s="24"/>
      </tp>
      <tp t="e">
        <v>#N/A</v>
        <stp/>
        <stp>BDH|14121451701510562372</stp>
        <tr r="S95" s="24"/>
      </tp>
      <tp t="e">
        <v>#N/A</v>
        <stp/>
        <stp>BDH|13930508769913254055</stp>
        <tr r="D22" s="21"/>
      </tp>
      <tp t="e">
        <v>#N/A</v>
        <stp/>
        <stp>BDH|13602133801342281319</stp>
        <tr r="O198" s="18"/>
      </tp>
      <tp t="e">
        <v>#N/A</v>
        <stp/>
        <stp>BDH|16569701813494959787</stp>
        <tr r="I30" s="6"/>
      </tp>
      <tp t="e">
        <v>#N/A</v>
        <stp/>
        <stp>BDH|15143472982249621356</stp>
        <tr r="V75" s="18"/>
      </tp>
      <tp t="e">
        <v>#N/A</v>
        <stp/>
        <stp>BDH|14969616609872789310</stp>
        <tr r="L62" s="12"/>
      </tp>
      <tp t="e">
        <v>#N/A</v>
        <stp/>
        <stp>BDH|15616199209057381020</stp>
        <tr r="M14" s="21"/>
      </tp>
      <tp t="e">
        <v>#N/A</v>
        <stp/>
        <stp>BDH|16446156365202128025</stp>
        <tr r="AA83" s="12"/>
      </tp>
      <tp t="e">
        <v>#N/A</v>
        <stp/>
        <stp>BDH|17525412298021320885</stp>
        <tr r="J30" s="24"/>
      </tp>
      <tp t="e">
        <v>#N/A</v>
        <stp/>
        <stp>BDH|16984220728826266361</stp>
        <tr r="X61" s="24"/>
      </tp>
      <tp t="e">
        <v>#N/A</v>
        <stp/>
        <stp>BDH|17952222125926196281</stp>
        <tr r="E59" s="11"/>
      </tp>
      <tp t="e">
        <v>#N/A</v>
        <stp/>
        <stp>BDH|13927184014689304915</stp>
        <tr r="U164" s="18"/>
      </tp>
      <tp t="e">
        <v>#N/A</v>
        <stp/>
        <stp>BDH|10613514011257152007</stp>
        <tr r="T38" s="4"/>
        <tr r="T56" s="11"/>
        <tr r="V13" s="23"/>
      </tp>
      <tp t="e">
        <v>#N/A</v>
        <stp/>
        <stp>BDH|10890255166936476187</stp>
        <tr r="T92" s="18"/>
      </tp>
      <tp t="e">
        <v>#N/A</v>
        <stp/>
        <stp>BDH|12282207585212405948</stp>
        <tr r="E55" s="24"/>
      </tp>
      <tp t="e">
        <v>#N/A</v>
        <stp/>
        <stp>BDH|12528603165116222756</stp>
        <tr r="O166" s="18"/>
      </tp>
      <tp t="e">
        <v>#N/A</v>
        <stp/>
        <stp>BDH|13046583706962032799</stp>
        <tr r="M24" s="12"/>
      </tp>
      <tp t="e">
        <v>#N/A</v>
        <stp/>
        <stp>BDH|15932794343214244165</stp>
        <tr r="X17" s="18"/>
      </tp>
      <tp t="e">
        <v>#N/A</v>
        <stp/>
        <stp>BDH|14415520552463787449</stp>
        <tr r="AA169" s="18"/>
      </tp>
      <tp t="e">
        <v>#N/A</v>
        <stp/>
        <stp>BDH|12665227995748118273</stp>
        <tr r="C66" s="12"/>
      </tp>
      <tp t="e">
        <v>#N/A</v>
        <stp/>
        <stp>BDH|18033223952309784510</stp>
        <tr r="U35" s="6"/>
      </tp>
      <tp t="e">
        <v>#N/A</v>
        <stp/>
        <stp>BDH|14208081633916826271</stp>
        <tr r="O40" s="10"/>
        <tr r="O30" s="11"/>
      </tp>
      <tp t="e">
        <v>#N/A</v>
        <stp/>
        <stp>BDH|11301455043150163229</stp>
        <tr r="O35" s="25"/>
      </tp>
      <tp t="e">
        <v>#N/A</v>
        <stp/>
        <stp>BDH|13786765477052277221</stp>
        <tr r="Z87" s="24"/>
      </tp>
      <tp t="e">
        <v>#N/A</v>
        <stp/>
        <stp>BDH|11282212385370145816</stp>
        <tr r="R21" s="11"/>
      </tp>
      <tp t="e">
        <v>#N/A</v>
        <stp/>
        <stp>BDH|10615388399681375822</stp>
        <tr r="F37" s="12"/>
      </tp>
      <tp t="e">
        <v>#N/A</v>
        <stp/>
        <stp>BDH|12484554726000435655</stp>
        <tr r="S135" s="18"/>
      </tp>
      <tp t="e">
        <v>#N/A</v>
        <stp/>
        <stp>BDH|11317881891502551198</stp>
        <tr r="H42" s="34"/>
      </tp>
      <tp t="e">
        <v>#N/A</v>
        <stp/>
        <stp>BDH|11278176419376332499</stp>
        <tr r="N70" s="12"/>
      </tp>
      <tp t="e">
        <v>#N/A</v>
        <stp/>
        <stp>BDH|16013579807745437524</stp>
        <tr r="R10" s="10"/>
      </tp>
      <tp t="e">
        <v>#N/A</v>
        <stp/>
        <stp>BDH|14117148130983793646</stp>
        <tr r="E103" s="12"/>
      </tp>
      <tp t="e">
        <v>#N/A</v>
        <stp/>
        <stp>BDH|17550822961603395937</stp>
        <tr r="V168" s="18"/>
      </tp>
      <tp t="e">
        <v>#N/A</v>
        <stp/>
        <stp>BDH|13491041220114379651</stp>
        <tr r="J21" s="17"/>
        <tr r="J15" s="3"/>
      </tp>
      <tp t="e">
        <v>#N/A</v>
        <stp/>
        <stp>BDH|14631330234993445430</stp>
        <tr r="K19" s="30"/>
      </tp>
      <tp t="e">
        <v>#N/A</v>
        <stp/>
        <stp>BDH|15780335505980495533</stp>
        <tr r="H45" s="34"/>
      </tp>
      <tp t="e">
        <v>#N/A</v>
        <stp/>
        <stp>BDH|11911183636150143009</stp>
        <tr r="AA47" s="21"/>
      </tp>
      <tp t="e">
        <v>#N/A</v>
        <stp/>
        <stp>BDH|16363727405262683045</stp>
        <tr r="N105" s="12"/>
      </tp>
      <tp t="e">
        <v>#N/A</v>
        <stp/>
        <stp>BDH|13272473060885577766</stp>
        <tr r="Y33" s="17"/>
      </tp>
      <tp t="e">
        <v>#N/A</v>
        <stp/>
        <stp>BDH|11626234144991547526</stp>
        <tr r="K7" s="24"/>
      </tp>
      <tp t="e">
        <v>#N/A</v>
        <stp/>
        <stp>BDH|11198858570004757959</stp>
        <tr r="G45" s="4"/>
        <tr r="G33" s="10"/>
        <tr r="G23" s="11"/>
        <tr r="I33" s="13"/>
      </tp>
      <tp t="e">
        <v>#N/A</v>
        <stp/>
        <stp>BDH|11788735959077841734</stp>
        <tr r="Z20" s="27"/>
      </tp>
      <tp t="e">
        <v>#N/A</v>
        <stp/>
        <stp>BDH|10799493461831960008</stp>
        <tr r="W156" s="18"/>
      </tp>
      <tp t="e">
        <v>#N/A</v>
        <stp/>
        <stp>BDH|10533650474837360511</stp>
        <tr r="F26" s="24"/>
      </tp>
      <tp t="e">
        <v>#N/A</v>
        <stp/>
        <stp>BDH|16739997108228466443</stp>
        <tr r="Z16" s="18"/>
      </tp>
      <tp t="e">
        <v>#N/A</v>
        <stp/>
        <stp>BDH|14592227818303972709</stp>
        <tr r="D34" s="12"/>
      </tp>
      <tp t="e">
        <v>#N/A</v>
        <stp/>
        <stp>BDH|15748628033461125219</stp>
        <tr r="V66" s="18"/>
      </tp>
      <tp t="e">
        <v>#N/A</v>
        <stp/>
        <stp>BDH|16538305505801396754</stp>
        <tr r="AA173" s="18"/>
      </tp>
      <tp t="e">
        <v>#N/A</v>
        <stp/>
        <stp>BDH|17664383073413364384</stp>
        <tr r="I69" s="24"/>
      </tp>
      <tp t="e">
        <v>#N/A</v>
        <stp/>
        <stp>BDH|15087356747946674723</stp>
        <tr r="D36" s="4"/>
      </tp>
      <tp t="e">
        <v>#N/A</v>
        <stp/>
        <stp>BDH|17491255802960256672</stp>
        <tr r="G148" s="18"/>
      </tp>
      <tp t="e">
        <v>#N/A</v>
        <stp/>
        <stp>BDH|17354668674973552623</stp>
        <tr r="J18" s="10"/>
      </tp>
      <tp t="e">
        <v>#N/A</v>
        <stp/>
        <stp>BDH|13464193979796272007</stp>
        <tr r="U89" s="18"/>
      </tp>
      <tp t="e">
        <v>#N/A</v>
        <stp/>
        <stp>BDH|12929150579643004435</stp>
        <tr r="N137" s="18"/>
      </tp>
      <tp t="e">
        <v>#N/A</v>
        <stp/>
        <stp>BDH|12234598949035591513</stp>
        <tr r="M81" s="18"/>
      </tp>
      <tp t="e">
        <v>#N/A</v>
        <stp/>
        <stp>BDH|13241337281289794219</stp>
        <tr r="W82" s="18"/>
      </tp>
      <tp t="e">
        <v>#N/A</v>
        <stp/>
        <stp>BDH|16594332402241110739</stp>
        <tr r="E85" s="17"/>
      </tp>
      <tp t="e">
        <v>#N/A</v>
        <stp/>
        <stp>BDH|12338967136013649831</stp>
        <tr r="S55" s="24"/>
      </tp>
      <tp t="e">
        <v>#N/A</v>
        <stp/>
        <stp>BDH|13319216947290458671</stp>
        <tr r="Y42" s="17"/>
      </tp>
      <tp t="e">
        <v>#N/A</v>
        <stp/>
        <stp>BDH|11630600247575626515</stp>
        <tr r="D116" s="18"/>
      </tp>
      <tp t="e">
        <v>#N/A</v>
        <stp/>
        <stp>BDH|16312412458446431285</stp>
        <tr r="U27" s="21"/>
      </tp>
      <tp t="e">
        <v>#N/A</v>
        <stp/>
        <stp>BDH|11420500922737875282</stp>
        <tr r="I17" s="17"/>
        <tr r="I20" s="28"/>
      </tp>
      <tp t="e">
        <v>#N/A</v>
        <stp/>
        <stp>BDH|10577766949623824345</stp>
        <tr r="E91" s="12"/>
      </tp>
      <tp t="e">
        <v>#N/A</v>
        <stp/>
        <stp>BDH|15982789226864003719</stp>
        <tr r="E19" s="9"/>
      </tp>
      <tp t="e">
        <v>#N/A</v>
        <stp/>
        <stp>BDH|17509495817530872157</stp>
        <tr r="G9" s="12"/>
      </tp>
      <tp t="e">
        <v>#N/A</v>
        <stp/>
        <stp>BDH|14721457131903093355</stp>
        <tr r="W39" s="10"/>
        <tr r="W29" s="11"/>
      </tp>
      <tp t="e">
        <v>#N/A</v>
        <stp/>
        <stp>BDH|15696185005756886154</stp>
        <tr r="Q68" s="10"/>
      </tp>
      <tp t="e">
        <v>#N/A</v>
        <stp/>
        <stp>BDH|10813426050612866040</stp>
        <tr r="Z62" s="17"/>
      </tp>
      <tp t="e">
        <v>#N/A</v>
        <stp/>
        <stp>BDH|14976697162114032345</stp>
        <tr r="Q65" s="13"/>
      </tp>
      <tp t="e">
        <v>#N/A</v>
        <stp/>
        <stp>BDH|17253187032441953774</stp>
        <tr r="O13" s="29"/>
        <tr r="O22" s="29"/>
        <tr r="O36" s="29"/>
      </tp>
      <tp t="e">
        <v>#N/A</v>
        <stp/>
        <stp>BDH|10607111455071136655</stp>
        <tr r="J50" s="18"/>
      </tp>
      <tp t="e">
        <v>#N/A</v>
        <stp/>
        <stp>BDH|15053114250342118065</stp>
        <tr r="O9" s="14"/>
      </tp>
      <tp t="e">
        <v>#N/A</v>
        <stp/>
        <stp>BDH|15442241263580432215</stp>
        <tr r="U51" s="12"/>
      </tp>
      <tp t="e">
        <v>#N/A</v>
        <stp/>
        <stp>BDH|15516800650448522361</stp>
        <tr r="G174" s="18"/>
      </tp>
      <tp t="e">
        <v>#N/A</v>
        <stp/>
        <stp>BDH|16768551407988202818</stp>
        <tr r="X32" s="22"/>
      </tp>
      <tp t="e">
        <v>#N/A</v>
        <stp/>
        <stp>BDH|14059040543555139605</stp>
        <tr r="X27" s="13"/>
      </tp>
      <tp t="e">
        <v>#N/A</v>
        <stp/>
        <stp>BDH|16957674929285336426</stp>
        <tr r="C21" s="30"/>
      </tp>
      <tp t="e">
        <v>#N/A</v>
        <stp/>
        <stp>BDH|13068418323254403209</stp>
        <tr r="G21" s="9"/>
      </tp>
      <tp t="e">
        <v>#N/A</v>
        <stp/>
        <stp>BDH|11941100392252906843</stp>
        <tr r="L63" s="10"/>
      </tp>
      <tp t="e">
        <v>#N/A</v>
        <stp/>
        <stp>BDH|17369191182975892863</stp>
        <tr r="X9" s="21"/>
      </tp>
      <tp t="e">
        <v>#N/A</v>
        <stp/>
        <stp>BDH|16780221689116258989</stp>
        <tr r="AA50" s="17"/>
      </tp>
      <tp t="e">
        <v>#N/A</v>
        <stp/>
        <stp>BDH|10621002733941241119</stp>
        <tr r="O13" s="26"/>
      </tp>
      <tp t="e">
        <v>#N/A</v>
        <stp/>
        <stp>BDH|13151644169405902531</stp>
        <tr r="W16" s="10"/>
      </tp>
      <tp t="e">
        <v>#N/A</v>
        <stp/>
        <stp>BDH|13185976011811756967</stp>
        <tr r="K9" s="22"/>
      </tp>
      <tp t="e">
        <v>#N/A</v>
        <stp/>
        <stp>BDH|16981097985019560492</stp>
        <tr r="Q22" s="17"/>
      </tp>
      <tp t="e">
        <v>#N/A</v>
        <stp/>
        <stp>BDH|10797786557607468654</stp>
        <tr r="H92" s="24"/>
      </tp>
      <tp t="e">
        <v>#N/A</v>
        <stp/>
        <stp>BDH|11595647008230550452</stp>
        <tr r="L18" s="13"/>
      </tp>
      <tp t="e">
        <v>#N/A</v>
        <stp/>
        <stp>BDH|14868727736966009553</stp>
        <tr r="W77" s="18"/>
      </tp>
      <tp t="e">
        <v>#N/A</v>
        <stp/>
        <stp>BDH|14896918819647198885</stp>
        <tr r="W50" s="4"/>
      </tp>
      <tp t="e">
        <v>#N/A</v>
        <stp/>
        <stp>BDH|16430468834035626790</stp>
        <tr r="W7" s="6"/>
      </tp>
      <tp t="e">
        <v>#N/A</v>
        <stp/>
        <stp>BDH|17920689938267440644</stp>
        <tr r="L8" s="26"/>
        <tr r="I10" s="9"/>
      </tp>
      <tp t="e">
        <v>#N/A</v>
        <stp/>
        <stp>BDH|11950941723798236159</stp>
        <tr r="W176" s="18"/>
      </tp>
      <tp t="e">
        <v>#N/A</v>
        <stp/>
        <stp>BDH|14742239256508930822</stp>
        <tr r="H30" s="10"/>
        <tr r="J39" s="13"/>
      </tp>
      <tp t="e">
        <v>#N/A</v>
        <stp/>
        <stp>BDH|17108180916232595633</stp>
        <tr r="P88" s="17"/>
      </tp>
      <tp t="e">
        <v>#N/A</v>
        <stp/>
        <stp>BDH|13899905091227083709</stp>
        <tr r="Y87" s="17"/>
      </tp>
      <tp t="e">
        <v>#N/A</v>
        <stp/>
        <stp>BDH|17217015021435370388</stp>
        <tr r="S31" s="17"/>
      </tp>
      <tp t="e">
        <v>#N/A</v>
        <stp/>
        <stp>BDH|14869008230550569442</stp>
        <tr r="V18" s="23"/>
      </tp>
      <tp t="e">
        <v>#N/A</v>
        <stp/>
        <stp>BDH|15290481701572646046</stp>
        <tr r="E157" s="18"/>
      </tp>
      <tp t="e">
        <v>#N/A</v>
        <stp/>
        <stp>BDH|17947111230306310029</stp>
        <tr r="G74" s="34"/>
      </tp>
      <tp t="e">
        <v>#N/A</v>
        <stp/>
        <stp>BDH|18369393593379588850</stp>
        <tr r="R167" s="18"/>
      </tp>
      <tp t="e">
        <v>#N/A</v>
        <stp/>
        <stp>BDH|11792561461513100280</stp>
        <tr r="T27" s="7"/>
      </tp>
      <tp t="e">
        <v>#N/A</v>
        <stp/>
        <stp>BDH|17702988197624571044</stp>
        <tr r="C40" s="22"/>
      </tp>
      <tp t="e">
        <v>#N/A</v>
        <stp/>
        <stp>BDH|14994912836474250956</stp>
        <tr r="C93" s="12"/>
      </tp>
      <tp t="e">
        <v>#N/A</v>
        <stp/>
        <stp>BDH|15821883532015380885</stp>
        <tr r="E188" s="18"/>
      </tp>
      <tp t="e">
        <v>#N/A</v>
        <stp/>
        <stp>BDH|15284091946383551113</stp>
        <tr r="R28" s="18"/>
      </tp>
      <tp t="e">
        <v>#N/A</v>
        <stp/>
        <stp>BDH|12841425561810363313</stp>
        <tr r="Y98" s="12"/>
      </tp>
      <tp t="e">
        <v>#N/A</v>
        <stp/>
        <stp>BDH|11841379814011785156</stp>
        <tr r="P14" s="24"/>
      </tp>
      <tp t="e">
        <v>#N/A</v>
        <stp/>
        <stp>BDH|12660778750994020786</stp>
        <tr r="Q93" s="17"/>
        <tr r="Q13" s="28"/>
      </tp>
      <tp t="e">
        <v>#N/A</v>
        <stp/>
        <stp>BDH|11795274466770790680</stp>
        <tr r="R126" s="18"/>
      </tp>
      <tp t="e">
        <v>#N/A</v>
        <stp/>
        <stp>BDH|14235314962556967416</stp>
        <tr r="M52" s="18"/>
      </tp>
      <tp t="e">
        <v>#N/A</v>
        <stp/>
        <stp>BDH|17907594943497201282</stp>
        <tr r="O80" s="24"/>
      </tp>
      <tp t="e">
        <v>#N/A</v>
        <stp/>
        <stp>BDH|15151193675444545417</stp>
        <tr r="Y34" s="26"/>
      </tp>
      <tp t="e">
        <v>#N/A</v>
        <stp/>
        <stp>BDH|11508012344582870410</stp>
        <tr r="R53" s="12"/>
      </tp>
      <tp t="e">
        <v>#N/A</v>
        <stp/>
        <stp>BDH|17182836788004596067</stp>
        <tr r="U8" s="18"/>
      </tp>
      <tp t="e">
        <v>#N/A</v>
        <stp/>
        <stp>BDH|14718996777408823186</stp>
        <tr r="U39" s="22"/>
      </tp>
      <tp t="e">
        <v>#N/A</v>
        <stp/>
        <stp>BDH|11555270900968323889</stp>
        <tr r="P9" s="3"/>
        <tr r="N51" s="10"/>
        <tr r="N41" s="11"/>
        <tr r="N14" s="7"/>
      </tp>
      <tp t="e">
        <v>#N/A</v>
        <stp/>
        <stp>BDH|14346709517635544488</stp>
        <tr r="E8" s="34"/>
      </tp>
      <tp t="e">
        <v>#N/A</v>
        <stp/>
        <stp>BDH|12909616333472571673</stp>
        <tr r="S10" s="23"/>
      </tp>
      <tp t="e">
        <v>#N/A</v>
        <stp/>
        <stp>BDH|15293266789389129558</stp>
        <tr r="V24" s="21"/>
      </tp>
      <tp t="e">
        <v>#N/A</v>
        <stp/>
        <stp>BDH|13831444154074317520</stp>
        <tr r="U9" s="2"/>
        <tr r="W8" s="25"/>
        <tr r="T10" s="5"/>
      </tp>
      <tp t="e">
        <v>#N/A</v>
        <stp/>
        <stp>BDH|16608580717192815386</stp>
        <tr r="C12" s="26"/>
      </tp>
      <tp t="e">
        <v>#N/A</v>
        <stp/>
        <stp>BDH|16780281633792523609</stp>
        <tr r="M31" s="18"/>
      </tp>
      <tp t="e">
        <v>#N/A</v>
        <stp/>
        <stp>BDH|15573997989377566090</stp>
        <tr r="K70" s="34"/>
      </tp>
      <tp t="e">
        <v>#N/A</v>
        <stp/>
        <stp>BDH|12777524942788891868</stp>
        <tr r="O9" s="30"/>
      </tp>
      <tp t="e">
        <v>#N/A</v>
        <stp/>
        <stp>BDH|14002656625655871612</stp>
        <tr r="C35" s="22"/>
      </tp>
      <tp t="e">
        <v>#N/A</v>
        <stp/>
        <stp>BDH|13195940098159343979</stp>
        <tr r="M65" s="18"/>
      </tp>
      <tp t="e">
        <v>#N/A</v>
        <stp/>
        <stp>BDH|14215344223216945056</stp>
        <tr r="E156" s="18"/>
      </tp>
      <tp t="e">
        <v>#N/A</v>
        <stp/>
        <stp>BDH|17008600751347073080</stp>
        <tr r="H63" s="10"/>
      </tp>
      <tp t="e">
        <v>#N/A</v>
        <stp/>
        <stp>BDH|14427367151045953434</stp>
        <tr r="N210" s="18"/>
      </tp>
      <tp t="e">
        <v>#N/A</v>
        <stp/>
        <stp>BDH|15194475038780459125</stp>
        <tr r="T25" s="5"/>
      </tp>
      <tp t="e">
        <v>#N/A</v>
        <stp/>
        <stp>BDH|11443802980040899244</stp>
        <tr r="AA8" s="34"/>
      </tp>
      <tp t="e">
        <v>#N/A</v>
        <stp/>
        <stp>BDH|11346479424416878204</stp>
        <tr r="Y14" s="8"/>
      </tp>
      <tp t="e">
        <v>#N/A</v>
        <stp/>
        <stp>BDH|12930234553983207534</stp>
        <tr r="O103" s="18"/>
      </tp>
      <tp t="e">
        <v>#N/A</v>
        <stp/>
        <stp>BDH|14360388075146460523</stp>
        <tr r="X24" s="9"/>
      </tp>
      <tp t="e">
        <v>#N/A</v>
        <stp/>
        <stp>BDH|13056505328845533251</stp>
        <tr r="T158" s="18"/>
      </tp>
      <tp t="e">
        <v>#N/A</v>
        <stp/>
        <stp>BDH|11088899533949704051</stp>
        <tr r="G8" s="17"/>
      </tp>
      <tp t="e">
        <v>#N/A</v>
        <stp/>
        <stp>BDH|11500327116491921108</stp>
        <tr r="U47" s="12"/>
      </tp>
      <tp t="e">
        <v>#N/A</v>
        <stp/>
        <stp>BDH|18303180503409549358</stp>
        <tr r="T113" s="18"/>
      </tp>
      <tp t="e">
        <v>#N/A</v>
        <stp/>
        <stp>BDH|17963513662092357518</stp>
        <tr r="R209" s="18"/>
      </tp>
      <tp t="e">
        <v>#N/A</v>
        <stp/>
        <stp>BDH|15642107320885923071</stp>
        <tr r="E28" s="24"/>
      </tp>
      <tp t="e">
        <v>#N/A</v>
        <stp/>
        <stp>BDH|18425370689826744656</stp>
        <tr r="S123" s="18"/>
        <tr r="S12" s="20"/>
      </tp>
      <tp t="e">
        <v>#N/A</v>
        <stp/>
        <stp>BDH|17145496040903633767</stp>
        <tr r="K59" s="34"/>
      </tp>
      <tp t="e">
        <v>#N/A</v>
        <stp/>
        <stp>BDH|15934057633713342649</stp>
        <tr r="P101" s="18"/>
      </tp>
      <tp t="e">
        <v>#N/A</v>
        <stp/>
        <stp>BDH|16912741560831045552</stp>
        <tr r="F9" s="6"/>
      </tp>
      <tp t="e">
        <v>#N/A</v>
        <stp/>
        <stp>BDH|10913241310730380061</stp>
        <tr r="T63" s="24"/>
      </tp>
      <tp t="e">
        <v>#N/A</v>
        <stp/>
        <stp>BDH|17074137941853227287</stp>
        <tr r="I20" s="23"/>
      </tp>
      <tp t="e">
        <v>#N/A</v>
        <stp/>
        <stp>BDH|14495464754292771495</stp>
        <tr r="G81" s="24"/>
      </tp>
      <tp t="e">
        <v>#N/A</v>
        <stp/>
        <stp>BDH|14859629456897290360</stp>
        <tr r="P13" s="9"/>
      </tp>
      <tp t="e">
        <v>#N/A</v>
        <stp/>
        <stp>BDH|12880200568414181198</stp>
        <tr r="O53" s="10"/>
        <tr r="O43" s="11"/>
        <tr r="O16" s="7"/>
      </tp>
      <tp t="e">
        <v>#N/A</v>
        <stp/>
        <stp>BDH|15617784501871693018</stp>
        <tr r="T61" s="21"/>
      </tp>
      <tp t="e">
        <v>#N/A</v>
        <stp/>
        <stp>BDH|14082684880928335135</stp>
        <tr r="Q17" s="30"/>
      </tp>
      <tp t="e">
        <v>#N/A</v>
        <stp/>
        <stp>BDH|16071497314713347360</stp>
        <tr r="O60" s="12"/>
      </tp>
      <tp t="e">
        <v>#N/A</v>
        <stp/>
        <stp>BDH|13133479123191887752</stp>
        <tr r="J47" s="12"/>
      </tp>
      <tp t="e">
        <v>#N/A</v>
        <stp/>
        <stp>BDH|16953132261766128423</stp>
        <tr r="T14" s="17"/>
        <tr r="T17" s="28"/>
      </tp>
      <tp t="e">
        <v>#N/A</v>
        <stp/>
        <stp>BDH|10370141908877365549</stp>
        <tr r="E49" s="24"/>
      </tp>
      <tp t="e">
        <v>#N/A</v>
        <stp/>
        <stp>BDH|13661192017467442745</stp>
        <tr r="W79" s="24"/>
      </tp>
      <tp t="e">
        <v>#N/A</v>
        <stp/>
        <stp>BDH|16822077231815183374</stp>
        <tr r="O18" s="29"/>
        <tr r="O41" s="29"/>
      </tp>
      <tp t="e">
        <v>#N/A</v>
        <stp/>
        <stp>BDH|12453112742715879177</stp>
        <tr r="G79" s="24"/>
      </tp>
      <tp t="e">
        <v>#N/A</v>
        <stp/>
        <stp>BDH|10411632401482953775</stp>
        <tr r="R10" s="28"/>
      </tp>
      <tp t="e">
        <v>#N/A</v>
        <stp/>
        <stp>BDH|13280072020134884654</stp>
        <tr r="U61" s="34"/>
      </tp>
      <tp t="e">
        <v>#N/A</v>
        <stp/>
        <stp>BDH|14509350005487551386</stp>
        <tr r="K51" s="18"/>
      </tp>
      <tp t="e">
        <v>#N/A</v>
        <stp/>
        <stp>BDH|10685811997730887200</stp>
        <tr r="Q78" s="17"/>
      </tp>
      <tp t="e">
        <v>#N/A</v>
        <stp/>
        <stp>BDH|10022310669333831584</stp>
        <tr r="P74" s="18"/>
      </tp>
      <tp t="e">
        <v>#N/A</v>
        <stp/>
        <stp>BDH|13435182661700603730</stp>
        <tr r="X20" s="6"/>
      </tp>
      <tp t="e">
        <v>#N/A</v>
        <stp/>
        <stp>BDH|13779291072674235167</stp>
        <tr r="J59" s="34"/>
      </tp>
      <tp t="e">
        <v>#N/A</v>
        <stp/>
        <stp>BDH|17716623290118552382</stp>
        <tr r="T47" s="6"/>
        <tr r="V6" s="8"/>
      </tp>
      <tp t="e">
        <v>#N/A</v>
        <stp/>
        <stp>BDH|15458182682876110945</stp>
        <tr r="N10" s="4"/>
        <tr r="M6" s="16"/>
        <tr r="P6" s="3"/>
        <tr r="N6" s="11"/>
      </tp>
      <tp t="e">
        <v>#N/A</v>
        <stp/>
        <stp>BDH|16052811697645891151</stp>
        <tr r="T24" s="5"/>
      </tp>
      <tp t="e">
        <v>#N/A</v>
        <stp/>
        <stp>BDH|18054985614790548329</stp>
        <tr r="N79" s="12"/>
      </tp>
      <tp t="e">
        <v>#N/A</v>
        <stp/>
        <stp>BDH|10731319934273846015</stp>
        <tr r="U184" s="18"/>
      </tp>
      <tp t="e">
        <v>#N/A</v>
        <stp/>
        <stp>BDH|11257483556890331344</stp>
        <tr r="R26" s="18"/>
      </tp>
      <tp t="e">
        <v>#N/A</v>
        <stp/>
        <stp>BDH|10546688943226178740</stp>
        <tr r="G36" s="10"/>
        <tr r="G48" s="10"/>
        <tr r="G26" s="11"/>
        <tr r="G38" s="11"/>
      </tp>
      <tp t="e">
        <v>#N/A</v>
        <stp/>
        <stp>BDH|16004371278591489005</stp>
        <tr r="J43" s="22"/>
      </tp>
      <tp t="e">
        <v>#N/A</v>
        <stp/>
        <stp>BDH|17215589128540126386</stp>
        <tr r="U50" s="13"/>
      </tp>
      <tp t="e">
        <v>#N/A</v>
        <stp/>
        <stp>BDH|14005535928810675062</stp>
        <tr r="I15" s="29"/>
        <tr r="I38" s="29"/>
      </tp>
      <tp t="e">
        <v>#N/A</v>
        <stp/>
        <stp>BDH|12698115402312830263</stp>
        <tr r="P12" s="21"/>
      </tp>
      <tp t="e">
        <v>#N/A</v>
        <stp/>
        <stp>BDH|15357387826210193776</stp>
        <tr r="H62" s="18"/>
      </tp>
      <tp t="e">
        <v>#N/A</v>
        <stp/>
        <stp>BDH|13545308878311747514</stp>
        <tr r="T23" s="30"/>
        <tr r="T25" s="23"/>
      </tp>
      <tp t="e">
        <v>#N/A</v>
        <stp/>
        <stp>BDH|14510021513771918769</stp>
        <tr r="D28" s="6"/>
      </tp>
      <tp t="e">
        <v>#N/A</v>
        <stp/>
        <stp>BDH|11905388662203856401</stp>
        <tr r="D190" s="18"/>
      </tp>
      <tp t="e">
        <v>#N/A</v>
        <stp/>
        <stp>BDH|14374963752713956858</stp>
        <tr r="I33" s="18"/>
      </tp>
      <tp t="e">
        <v>#N/A</v>
        <stp/>
        <stp>BDH|18321956438113205278</stp>
        <tr r="M21" s="22"/>
      </tp>
      <tp t="e">
        <v>#N/A</v>
        <stp/>
        <stp>BDH|16593369535887908244</stp>
        <tr r="X151" s="18"/>
      </tp>
      <tp t="e">
        <v>#N/A</v>
        <stp/>
        <stp>BDH|13418423248034376466</stp>
        <tr r="Z94" s="12"/>
      </tp>
      <tp t="e">
        <v>#N/A</v>
        <stp/>
        <stp>BDH|11447517253292842056</stp>
        <tr r="S78" s="18"/>
      </tp>
      <tp t="e">
        <v>#N/A</v>
        <stp/>
        <stp>BDH|18391585653249744249</stp>
        <tr r="K23" s="13"/>
      </tp>
      <tp t="e">
        <v>#N/A</v>
        <stp/>
        <stp>BDH|12363003153006350283</stp>
        <tr r="D45" s="21"/>
      </tp>
      <tp t="e">
        <v>#N/A</v>
        <stp/>
        <stp>BDH|13409215817047067490</stp>
        <tr r="J70" s="13"/>
      </tp>
      <tp t="e">
        <v>#N/A</v>
        <stp/>
        <stp>BDH|13522441644554878463</stp>
        <tr r="X9" s="26"/>
      </tp>
      <tp t="e">
        <v>#N/A</v>
        <stp/>
        <stp>BDH|12950821095427666734</stp>
        <tr r="C104" s="18"/>
      </tp>
      <tp t="e">
        <v>#N/A</v>
        <stp/>
        <stp>BDH|11978234815309177855</stp>
        <tr r="Q20" s="17"/>
      </tp>
      <tp t="e">
        <v>#N/A</v>
        <stp/>
        <stp>BDH|14551842227015574882</stp>
        <tr r="N29" s="14"/>
      </tp>
      <tp t="e">
        <v>#N/A</v>
        <stp/>
        <stp>BDH|12910913782223679376</stp>
        <tr r="X38" s="18"/>
      </tp>
      <tp t="e">
        <v>#N/A</v>
        <stp/>
        <stp>BDH|10788759756709908867</stp>
        <tr r="G15" s="12"/>
      </tp>
      <tp t="e">
        <v>#N/A</v>
        <stp/>
        <stp>BDH|11732074128455252516</stp>
        <tr r="D68" s="13"/>
      </tp>
      <tp t="e">
        <v>#N/A</v>
        <stp/>
        <stp>BDH|17013104553329862900</stp>
        <tr r="V78" s="18"/>
      </tp>
      <tp t="e">
        <v>#N/A</v>
        <stp/>
        <stp>BDH|14029999096831327676</stp>
        <tr r="W38" s="21"/>
        <tr r="W24" s="3"/>
      </tp>
      <tp t="e">
        <v>#N/A</v>
        <stp/>
        <stp>BDH|12147926730479914210</stp>
        <tr r="T50" s="21"/>
      </tp>
      <tp t="e">
        <v>#N/A</v>
        <stp/>
        <stp>BDH|17677817872433638881</stp>
        <tr r="S76" s="18"/>
      </tp>
      <tp t="e">
        <v>#N/A</v>
        <stp/>
        <stp>BDH|14833085986617542881</stp>
        <tr r="E12" s="11"/>
      </tp>
      <tp t="e">
        <v>#N/A</v>
        <stp/>
        <stp>BDH|13046775830564903051</stp>
        <tr r="P84" s="18"/>
      </tp>
      <tp t="e">
        <v>#N/A</v>
        <stp/>
        <stp>BDH|17650315624415963017</stp>
        <tr r="P12" s="14"/>
      </tp>
      <tp t="e">
        <v>#N/A</v>
        <stp/>
        <stp>BDH|17633842248408740064</stp>
        <tr r="W114" s="18"/>
      </tp>
      <tp t="e">
        <v>#N/A</v>
        <stp/>
        <stp>BDH|16057866698732371666</stp>
        <tr r="H76" s="17"/>
        <tr r="E9" s="5"/>
        <tr r="E9" s="9"/>
      </tp>
      <tp t="e">
        <v>#N/A</v>
        <stp/>
        <stp>BDH|12702404544211941016</stp>
        <tr r="P34" s="22"/>
      </tp>
      <tp t="e">
        <v>#N/A</v>
        <stp/>
        <stp>BDH|12384928219739573064</stp>
        <tr r="Y73" s="13"/>
      </tp>
      <tp t="e">
        <v>#N/A</v>
        <stp/>
        <stp>BDH|16172871975199041387</stp>
        <tr r="K202" s="18"/>
      </tp>
      <tp t="e">
        <v>#N/A</v>
        <stp/>
        <stp>BDH|12198422424243952447</stp>
        <tr r="T15" s="4"/>
      </tp>
      <tp t="e">
        <v>#N/A</v>
        <stp/>
        <stp>BDH|17473525825334926709</stp>
        <tr r="F80" s="34"/>
      </tp>
      <tp t="e">
        <v>#N/A</v>
        <stp/>
        <stp>BDH|15862963337705509968</stp>
        <tr r="K18" s="20"/>
      </tp>
      <tp t="e">
        <v>#N/A</v>
        <stp/>
        <stp>BDH|10854707830383322419</stp>
        <tr r="N55" s="17"/>
      </tp>
      <tp t="e">
        <v>#N/A</v>
        <stp/>
        <stp>BDH|13140280230069249819</stp>
        <tr r="K102" s="12"/>
      </tp>
      <tp t="e">
        <v>#N/A</v>
        <stp/>
        <stp>BDH|17878732441952554550</stp>
        <tr r="V75" s="17"/>
      </tp>
      <tp t="e">
        <v>#N/A</v>
        <stp/>
        <stp>BDH|11158694714037786210</stp>
        <tr r="O128" s="18"/>
      </tp>
      <tp t="e">
        <v>#N/A</v>
        <stp/>
        <stp>BDH|12736266304116952568</stp>
        <tr r="H70" s="13"/>
      </tp>
      <tp t="e">
        <v>#N/A</v>
        <stp/>
        <stp>BDH|17403744560095840028</stp>
        <tr r="Z46" s="34"/>
      </tp>
      <tp t="e">
        <v>#N/A</v>
        <stp/>
        <stp>BDH|14069238622010367780</stp>
        <tr r="Y55" s="12"/>
      </tp>
      <tp t="e">
        <v>#N/A</v>
        <stp/>
        <stp>BDH|17370444634494196786</stp>
        <tr r="O54" s="17"/>
      </tp>
      <tp t="e">
        <v>#N/A</v>
        <stp/>
        <stp>BDH|17061324809760948789</stp>
        <tr r="W72" s="24"/>
      </tp>
      <tp t="e">
        <v>#N/A</v>
        <stp/>
        <stp>BDH|11879229249630104487</stp>
        <tr r="T34" s="12"/>
      </tp>
      <tp t="e">
        <v>#N/A</v>
        <stp/>
        <stp>BDH|16966467456653599761</stp>
        <tr r="G40" s="18"/>
      </tp>
      <tp t="e">
        <v>#N/A</v>
        <stp/>
        <stp>BDH|15970994833314990807</stp>
        <tr r="Z90" s="18"/>
      </tp>
      <tp t="e">
        <v>#N/A</v>
        <stp/>
        <stp>BDH|10396424655962926078</stp>
        <tr r="N11" s="18"/>
      </tp>
      <tp t="e">
        <v>#N/A</v>
        <stp/>
        <stp>BDH|13274490640897816793</stp>
        <tr r="K201" s="18"/>
      </tp>
      <tp t="e">
        <v>#N/A</v>
        <stp/>
        <stp>BDH|10727378926527536591</stp>
        <tr r="N31" s="34"/>
      </tp>
      <tp t="e">
        <v>#N/A</v>
        <stp/>
        <stp>BDH|15802069177047472673</stp>
        <tr r="L35" s="22"/>
      </tp>
      <tp t="e">
        <v>#N/A</v>
        <stp/>
        <stp>BDH|13374763605583388494</stp>
        <tr r="J29" s="10"/>
        <tr r="L38" s="13"/>
      </tp>
      <tp t="e">
        <v>#N/A</v>
        <stp/>
        <stp>BDH|12484349675895874072</stp>
        <tr r="N27" s="25"/>
        <tr r="N13" s="27"/>
      </tp>
      <tp t="e">
        <v>#N/A</v>
        <stp/>
        <stp>BDH|13888600530100259500</stp>
        <tr r="O8" s="34"/>
      </tp>
      <tp t="e">
        <v>#N/A</v>
        <stp/>
        <stp>BDH|18289644672512890863</stp>
        <tr r="N59" s="24"/>
      </tp>
      <tp t="e">
        <v>#N/A</v>
        <stp/>
        <stp>BDH|14599049386747505886</stp>
        <tr r="U73" s="18"/>
      </tp>
      <tp t="e">
        <v>#N/A</v>
        <stp/>
        <stp>BDH|17668137563325924651</stp>
        <tr r="U97" s="12"/>
      </tp>
      <tp t="e">
        <v>#N/A</v>
        <stp/>
        <stp>BDH|12088142611269818878</stp>
        <tr r="K39" s="22"/>
      </tp>
      <tp t="e">
        <v>#N/A</v>
        <stp/>
        <stp>BDH|16841674971557772332</stp>
        <tr r="H38" s="34"/>
      </tp>
      <tp t="e">
        <v>#N/A</v>
        <stp/>
        <stp>BDH|15692562268531076429</stp>
        <tr r="K19" s="24"/>
      </tp>
      <tp t="e">
        <v>#N/A</v>
        <stp/>
        <stp>BDH|16031149942907948757</stp>
        <tr r="Y74" s="24"/>
      </tp>
      <tp t="e">
        <v>#N/A</v>
        <stp/>
        <stp>BDH|10780061794843917967</stp>
        <tr r="AA56" s="13"/>
      </tp>
      <tp t="e">
        <v>#N/A</v>
        <stp/>
        <stp>BDH|14348398947353700308</stp>
        <tr r="X30" s="10"/>
        <tr r="Z39" s="13"/>
      </tp>
      <tp t="e">
        <v>#N/A</v>
        <stp/>
        <stp>BDH|15876627363136642052</stp>
        <tr r="P179" s="18"/>
      </tp>
      <tp t="e">
        <v>#N/A</v>
        <stp/>
        <stp>BDH|15852186225922985765</stp>
        <tr r="K52" s="10"/>
        <tr r="K42" s="11"/>
        <tr r="K15" s="7"/>
      </tp>
      <tp t="e">
        <v>#N/A</v>
        <stp/>
        <stp>BDH|16787461318897733744</stp>
        <tr r="T7" s="6"/>
      </tp>
      <tp t="e">
        <v>#N/A</v>
        <stp/>
        <stp>BDH|11754686000221343563</stp>
        <tr r="N47" s="6"/>
        <tr r="P6" s="8"/>
      </tp>
      <tp t="e">
        <v>#N/A</v>
        <stp/>
        <stp>BDH|15536286307654437046</stp>
        <tr r="Z25" s="25"/>
        <tr r="Z10" s="27"/>
      </tp>
      <tp t="e">
        <v>#N/A</v>
        <stp/>
        <stp>BDH|11861695030877840039</stp>
        <tr r="V24" s="9"/>
      </tp>
      <tp t="e">
        <v>#N/A</v>
        <stp/>
        <stp>BDH|16044300950462248182</stp>
        <tr r="V11" s="28"/>
      </tp>
      <tp t="e">
        <v>#N/A</v>
        <stp/>
        <stp>BDH|12940296447503839451</stp>
        <tr r="R101" s="18"/>
      </tp>
      <tp t="e">
        <v>#N/A</v>
        <stp/>
        <stp>BDH|11558173970796057281</stp>
        <tr r="N63" s="18"/>
      </tp>
      <tp t="e">
        <v>#N/A</v>
        <stp/>
        <stp>BDH|11569297546591532552</stp>
        <tr r="Q50" s="18"/>
      </tp>
      <tp t="e">
        <v>#N/A</v>
        <stp/>
        <stp>BDH|15217289125524511208</stp>
        <tr r="T80" s="12"/>
      </tp>
      <tp t="e">
        <v>#N/A</v>
        <stp/>
        <stp>BDH|17299877458528747175</stp>
        <tr r="H11" s="29"/>
      </tp>
      <tp t="e">
        <v>#N/A</v>
        <stp/>
        <stp>BDH|17339587152453094740</stp>
        <tr r="L28" s="18"/>
      </tp>
      <tp t="e">
        <v>#N/A</v>
        <stp/>
        <stp>BDH|10747218016348928844</stp>
        <tr r="D23" s="12"/>
      </tp>
      <tp t="e">
        <v>#N/A</v>
        <stp/>
        <stp>BDH|15758317570840206295</stp>
        <tr r="AA116" s="18"/>
      </tp>
      <tp t="e">
        <v>#N/A</v>
        <stp/>
        <stp>BDH|17688235328407764371</stp>
        <tr r="I89" s="12"/>
      </tp>
      <tp t="e">
        <v>#N/A</v>
        <stp/>
        <stp>BDH|10353959149399476765</stp>
        <tr r="U15" s="4"/>
      </tp>
      <tp t="e">
        <v>#N/A</v>
        <stp/>
        <stp>BDH|10104016723190932179</stp>
        <tr r="M11" s="24"/>
      </tp>
      <tp t="e">
        <v>#N/A</v>
        <stp/>
        <stp>BDH|12227732028956559211</stp>
        <tr r="T49" s="18"/>
      </tp>
      <tp t="e">
        <v>#N/A</v>
        <stp/>
        <stp>BDH|14683083981047538875</stp>
        <tr r="P171" s="18"/>
      </tp>
      <tp t="e">
        <v>#N/A</v>
        <stp/>
        <stp>BDH|18239003020830933967</stp>
        <tr r="P7" s="21"/>
      </tp>
      <tp t="e">
        <v>#N/A</v>
        <stp/>
        <stp>BDH|11666093600936648444</stp>
        <tr r="I141" s="18"/>
      </tp>
      <tp t="e">
        <v>#N/A</v>
        <stp/>
        <stp>BDH|14490591977987180265</stp>
        <tr r="Q9" s="17"/>
      </tp>
      <tp t="e">
        <v>#N/A</v>
        <stp/>
        <stp>BDH|15531686290941887888</stp>
        <tr r="J13" s="11"/>
      </tp>
      <tp t="e">
        <v>#N/A</v>
        <stp/>
        <stp>BDH|16579188855578555903</stp>
        <tr r="H18" s="25"/>
      </tp>
      <tp t="e">
        <v>#N/A</v>
        <stp/>
        <stp>BDH|12883992821808436292</stp>
        <tr r="Q83" s="24"/>
      </tp>
      <tp t="e">
        <v>#N/A</v>
        <stp/>
        <stp>BDH|12322459256603479399</stp>
        <tr r="Z89" s="17"/>
      </tp>
      <tp t="e">
        <v>#N/A</v>
        <stp/>
        <stp>BDH|12216042522874017799</stp>
        <tr r="L43" s="34"/>
      </tp>
      <tp t="e">
        <v>#N/A</v>
        <stp/>
        <stp>BDH|11437631273062046194</stp>
        <tr r="N65" s="12"/>
      </tp>
      <tp t="e">
        <v>#N/A</v>
        <stp/>
        <stp>BDH|10513214857790702490</stp>
        <tr r="J178" s="18"/>
      </tp>
      <tp t="e">
        <v>#N/A</v>
        <stp/>
        <stp>BDH|14738261900171496488</stp>
        <tr r="Y59" s="21"/>
        <tr r="Y37" s="25"/>
        <tr r="W31" s="4"/>
        <tr r="W52" s="11"/>
      </tp>
      <tp t="e">
        <v>#N/A</v>
        <stp/>
        <stp>BDH|15958834493175068244</stp>
        <tr r="F33" s="18"/>
      </tp>
      <tp t="e">
        <v>#N/A</v>
        <stp/>
        <stp>BDH|12311660528852291721</stp>
        <tr r="S13" s="18"/>
      </tp>
      <tp t="e">
        <v>#N/A</v>
        <stp/>
        <stp>BDH|16200363759971232228</stp>
        <tr r="V31" s="17"/>
      </tp>
      <tp t="e">
        <v>#N/A</v>
        <stp/>
        <stp>BDH|16368141714946869369</stp>
        <tr r="C41" s="10"/>
        <tr r="C31" s="11"/>
      </tp>
      <tp t="e">
        <v>#N/A</v>
        <stp/>
        <stp>BDH|10864086838925381561</stp>
        <tr r="Z7" s="14"/>
      </tp>
      <tp t="e">
        <v>#N/A</v>
        <stp/>
        <stp>BDH|15833513972701139574</stp>
        <tr r="Q68" s="12"/>
      </tp>
      <tp t="e">
        <v>#N/A</v>
        <stp/>
        <stp>BDH|17278964987227958273</stp>
        <tr r="U16" s="21"/>
      </tp>
      <tp t="e">
        <v>#N/A</v>
        <stp/>
        <stp>BDH|10069225571655823360</stp>
        <tr r="O22" s="12"/>
      </tp>
      <tp t="e">
        <v>#N/A</v>
        <stp/>
        <stp>BDH|13259640077010972155</stp>
        <tr r="Y53" s="21"/>
      </tp>
      <tp t="e">
        <v>#N/A</v>
        <stp/>
        <stp>BDH|13832628049726797492</stp>
        <tr r="F26" s="34"/>
      </tp>
      <tp t="e">
        <v>#N/A</v>
        <stp/>
        <stp>BDH|15254768704754557588</stp>
        <tr r="K37" s="21"/>
      </tp>
      <tp t="e">
        <v>#N/A</v>
        <stp/>
        <stp>BDH|16212344182449829715</stp>
        <tr r="L30" s="5"/>
        <tr r="L30" s="9"/>
      </tp>
      <tp t="e">
        <v>#N/A</v>
        <stp/>
        <stp>BDH|16288289223631230462</stp>
        <tr r="K13" s="8"/>
      </tp>
      <tp t="e">
        <v>#N/A</v>
        <stp/>
        <stp>BDH|10317527376958915938</stp>
        <tr r="L18" s="10"/>
      </tp>
      <tp t="e">
        <v>#N/A</v>
        <stp/>
        <stp>BDH|10820255695871206979</stp>
        <tr r="S172" s="18"/>
      </tp>
      <tp t="e">
        <v>#N/A</v>
        <stp/>
        <stp>BDH|10231187497222277927</stp>
        <tr r="Z48" s="22"/>
      </tp>
      <tp t="e">
        <v>#N/A</v>
        <stp/>
        <stp>BDH|11847410155362350124</stp>
        <tr r="N35" s="25"/>
      </tp>
      <tp t="e">
        <v>#N/A</v>
        <stp/>
        <stp>BDH|11681511569860371103</stp>
        <tr r="J31" s="5"/>
      </tp>
      <tp t="e">
        <v>#N/A</v>
        <stp/>
        <stp>BDH|14477574407750085299</stp>
        <tr r="K37" s="22"/>
      </tp>
      <tp t="e">
        <v>#N/A</v>
        <stp/>
        <stp>BDH|13535122445533933663</stp>
        <tr r="Y54" s="24"/>
      </tp>
      <tp t="e">
        <v>#N/A</v>
        <stp/>
        <stp>BDH|16199010109487281261</stp>
        <tr r="F14" s="12"/>
      </tp>
      <tp t="e">
        <v>#N/A</v>
        <stp/>
        <stp>BDH|10083997364319511559</stp>
        <tr r="AA89" s="18"/>
      </tp>
      <tp t="e">
        <v>#N/A</v>
        <stp/>
        <stp>BDH|12307500047855008583</stp>
        <tr r="V32" s="5"/>
      </tp>
      <tp t="e">
        <v>#N/A</v>
        <stp/>
        <stp>BDH|12481142248263244766</stp>
        <tr r="Q47" s="24"/>
      </tp>
      <tp t="e">
        <v>#N/A</v>
        <stp/>
        <stp>BDH|13845750232875543162</stp>
        <tr r="D68" s="24"/>
      </tp>
      <tp t="e">
        <v>#N/A</v>
        <stp/>
        <stp>BDH|12287192544611177522</stp>
        <tr r="E60" s="34"/>
      </tp>
      <tp t="e">
        <v>#N/A</v>
        <stp/>
        <stp>BDH|11638751728741485635</stp>
        <tr r="U49" s="24"/>
      </tp>
      <tp t="e">
        <v>#N/A</v>
        <stp/>
        <stp>BDH|16422274908232046578</stp>
        <tr r="T22" s="4"/>
      </tp>
      <tp t="e">
        <v>#N/A</v>
        <stp/>
        <stp>BDH|17275435288079298173</stp>
        <tr r="R24" s="21"/>
      </tp>
      <tp t="e">
        <v>#N/A</v>
        <stp/>
        <stp>BDH|16610699051611375711</stp>
        <tr r="Q37" s="18"/>
      </tp>
      <tp t="e">
        <v>#N/A</v>
        <stp/>
        <stp>BDH|16977642003655544678</stp>
        <tr r="K39" s="10"/>
        <tr r="K29" s="11"/>
      </tp>
      <tp t="e">
        <v>#N/A</v>
        <stp/>
        <stp>BDH|13011562639745580363</stp>
        <tr r="H16" s="18"/>
      </tp>
      <tp t="e">
        <v>#N/A</v>
        <stp/>
        <stp>BDH|12965024701404010568</stp>
        <tr r="O31" s="24"/>
      </tp>
      <tp t="e">
        <v>#N/A</v>
        <stp/>
        <stp>BDH|14652125331666004398</stp>
        <tr r="T9" s="12"/>
      </tp>
      <tp t="e">
        <v>#N/A</v>
        <stp/>
        <stp>BDH|16888145415753547603</stp>
        <tr r="Q54" s="11"/>
      </tp>
      <tp t="e">
        <v>#N/A</v>
        <stp/>
        <stp>BDH|18355152560394811828</stp>
        <tr r="R32" s="26"/>
      </tp>
      <tp t="e">
        <v>#N/A</v>
        <stp/>
        <stp>BDH|13449473624347291190</stp>
        <tr r="D30" s="10"/>
        <tr r="F39" s="13"/>
      </tp>
      <tp t="e">
        <v>#N/A</v>
        <stp/>
        <stp>BDH|15888455970455701064</stp>
        <tr r="X29" s="22"/>
      </tp>
      <tp t="e">
        <v>#N/A</v>
        <stp/>
        <stp>BDH|18291134498326562505</stp>
        <tr r="C76" s="17"/>
      </tp>
      <tp t="e">
        <v>#N/A</v>
        <stp/>
        <stp>BDH|17680621299099968282</stp>
        <tr r="M40" s="17"/>
      </tp>
      <tp t="e">
        <v>#N/A</v>
        <stp/>
        <stp>BDH|15981918536909600545</stp>
        <tr r="E28" s="27"/>
      </tp>
      <tp t="e">
        <v>#N/A</v>
        <stp/>
        <stp>BDH|16656834898421267530</stp>
        <tr r="Y9" s="13"/>
      </tp>
      <tp t="e">
        <v>#N/A</v>
        <stp/>
        <stp>BDH|14980815470011360979</stp>
        <tr r="Q72" s="10"/>
        <tr r="Q62" s="11"/>
      </tp>
      <tp t="e">
        <v>#N/A</v>
        <stp/>
        <stp>BDH|18220856013587065586</stp>
        <tr r="I78" s="12"/>
      </tp>
      <tp t="e">
        <v>#N/A</v>
        <stp/>
        <stp>BDH|16949952259519902002</stp>
        <tr r="D11" s="21"/>
      </tp>
      <tp t="e">
        <v>#N/A</v>
        <stp/>
        <stp>BDH|14663105153514923705</stp>
        <tr r="C25" s="22"/>
      </tp>
      <tp t="e">
        <v>#N/A</v>
        <stp/>
        <stp>BDH|10755206160040328781</stp>
        <tr r="X33" s="14"/>
      </tp>
      <tp t="e">
        <v>#N/A</v>
        <stp/>
        <stp>BDH|17669878824109887717</stp>
        <tr r="G6" s="28"/>
      </tp>
      <tp t="e">
        <v>#N/A</v>
        <stp/>
        <stp>BDH|13313355629216261717</stp>
        <tr r="V8" s="22"/>
      </tp>
      <tp t="e">
        <v>#N/A</v>
        <stp/>
        <stp>BDH|16400581616168761911</stp>
        <tr r="J15" s="5"/>
      </tp>
      <tp t="e">
        <v>#N/A</v>
        <stp/>
        <stp>BDH|11995260023686410448</stp>
        <tr r="L74" s="17"/>
      </tp>
      <tp t="e">
        <v>#N/A</v>
        <stp/>
        <stp>BDH|16300826790004809050</stp>
        <tr r="AA62" s="13"/>
      </tp>
      <tp t="e">
        <v>#N/A</v>
        <stp/>
        <stp>BDH|16686461143285896074</stp>
        <tr r="I91" s="18"/>
      </tp>
      <tp t="e">
        <v>#N/A</v>
        <stp/>
        <stp>BDH|11331093927724042416</stp>
        <tr r="T70" s="34"/>
      </tp>
      <tp t="e">
        <v>#N/A</v>
        <stp/>
        <stp>BDH|12399624015136828035</stp>
        <tr r="D84" s="18"/>
      </tp>
      <tp t="e">
        <v>#N/A</v>
        <stp/>
        <stp>BDH|12754878233793857945</stp>
        <tr r="V97" s="12"/>
      </tp>
      <tp t="e">
        <v>#N/A</v>
        <stp/>
        <stp>BDH|14490276463393638095</stp>
        <tr r="C8" s="13"/>
      </tp>
      <tp t="e">
        <v>#N/A</v>
        <stp/>
        <stp>BDH|16644103808065048119</stp>
        <tr r="AA72" s="17"/>
      </tp>
      <tp t="e">
        <v>#N/A</v>
        <stp/>
        <stp>BDH|10573189833646390729</stp>
        <tr r="I11" s="24"/>
      </tp>
      <tp t="e">
        <v>#N/A</v>
        <stp/>
        <stp>BDH|14209171778446550778</stp>
        <tr r="F39" s="4"/>
        <tr r="F66" s="10"/>
      </tp>
      <tp t="e">
        <v>#N/A</v>
        <stp/>
        <stp>BDH|16824409130195231756</stp>
        <tr r="Z15" s="18"/>
      </tp>
      <tp t="e">
        <v>#N/A</v>
        <stp/>
        <stp>BDH|17515935508798697575</stp>
        <tr r="H42" s="10"/>
        <tr r="H32" s="11"/>
      </tp>
      <tp t="e">
        <v>#N/A</v>
        <stp/>
        <stp>BDH|10794606208200211523</stp>
        <tr r="R28" s="21"/>
      </tp>
      <tp t="e">
        <v>#N/A</v>
        <stp/>
        <stp>BDH|12681332359323571461</stp>
        <tr r="I38" s="26"/>
      </tp>
      <tp t="e">
        <v>#N/A</v>
        <stp/>
        <stp>BDH|10886170274583003643</stp>
        <tr r="Z55" s="21"/>
      </tp>
      <tp t="e">
        <v>#N/A</v>
        <stp/>
        <stp>BDH|10470741656931933002</stp>
        <tr r="W64" s="12"/>
      </tp>
      <tp t="e">
        <v>#N/A</v>
        <stp/>
        <stp>BDH|14524518788349131324</stp>
        <tr r="Y7" s="2"/>
        <tr r="X7" s="5"/>
        <tr r="X7" s="9"/>
        <tr r="AA14" s="3"/>
      </tp>
      <tp t="e">
        <v>#N/A</v>
        <stp/>
        <stp>BDH|13215675618314192330</stp>
        <tr r="M54" s="17"/>
      </tp>
      <tp t="e">
        <v>#N/A</v>
        <stp/>
        <stp>BDH|14758952791855967254</stp>
        <tr r="O26" s="21"/>
      </tp>
      <tp t="e">
        <v>#N/A</v>
        <stp/>
        <stp>BDH|13784007738374929792</stp>
        <tr r="Z11" s="14"/>
      </tp>
      <tp t="e">
        <v>#N/A</v>
        <stp/>
        <stp>BDH|16538100469845234714</stp>
        <tr r="H38" s="17"/>
      </tp>
      <tp t="e">
        <v>#N/A</v>
        <stp/>
        <stp>BDH|16038894094982109632</stp>
        <tr r="R24" s="9"/>
      </tp>
      <tp t="e">
        <v>#N/A</v>
        <stp/>
        <stp>BDH|16323789600296275462</stp>
        <tr r="O18" s="34"/>
      </tp>
      <tp t="e">
        <v>#N/A</v>
        <stp/>
        <stp>BDH|15972224936880167731</stp>
        <tr r="Y70" s="12"/>
      </tp>
      <tp t="e">
        <v>#N/A</v>
        <stp/>
        <stp>BDH|11397692610901497417</stp>
        <tr r="H120" s="18"/>
        <tr r="H8" s="20"/>
      </tp>
      <tp t="e">
        <v>#N/A</v>
        <stp/>
        <stp>BDH|16732115748318284831</stp>
        <tr r="X45" s="17"/>
      </tp>
      <tp t="e">
        <v>#N/A</v>
        <stp/>
        <stp>BDH|18326986077896067339</stp>
        <tr r="C67" s="18"/>
      </tp>
      <tp t="e">
        <v>#N/A</v>
        <stp/>
        <stp>BDH|12929163714241610021</stp>
        <tr r="J70" s="34"/>
      </tp>
      <tp t="e">
        <v>#N/A</v>
        <stp/>
        <stp>BDH|11900926615673036910</stp>
        <tr r="E166" s="18"/>
      </tp>
      <tp t="e">
        <v>#N/A</v>
        <stp/>
        <stp>BDH|13870200626271607176</stp>
        <tr r="M17" s="5"/>
        <tr r="M32" s="6"/>
      </tp>
      <tp t="e">
        <v>#N/A</v>
        <stp/>
        <stp>BDH|10853304732753727026</stp>
        <tr r="L53" s="24"/>
      </tp>
      <tp t="e">
        <v>#N/A</v>
        <stp/>
        <stp>BDH|15846702430467184568</stp>
        <tr r="Q48" s="18"/>
      </tp>
      <tp t="e">
        <v>#N/A</v>
        <stp/>
        <stp>BDH|12672430019451168524</stp>
        <tr r="S39" s="25"/>
        <tr r="S7" s="3"/>
        <tr r="Q17" s="11"/>
        <tr r="S22" s="13"/>
        <tr r="S7" s="13"/>
      </tp>
      <tp t="e">
        <v>#N/A</v>
        <stp/>
        <stp>BDH|12138010722133474094</stp>
        <tr r="T14" s="13"/>
      </tp>
      <tp t="e">
        <v>#N/A</v>
        <stp/>
        <stp>BDH|11229546079042530257</stp>
        <tr r="U93" s="24"/>
      </tp>
      <tp t="e">
        <v>#N/A</v>
        <stp/>
        <stp>BDH|11138690425515551373</stp>
        <tr r="J200" s="18"/>
      </tp>
      <tp t="e">
        <v>#N/A</v>
        <stp/>
        <stp>BDH|11973661112595313012</stp>
        <tr r="W83" s="24"/>
      </tp>
      <tp t="e">
        <v>#N/A</v>
        <stp/>
        <stp>BDH|14339933786172063497</stp>
        <tr r="P25" s="21"/>
      </tp>
      <tp t="e">
        <v>#N/A</v>
        <stp/>
        <stp>BDH|10668012688499079200</stp>
        <tr r="R142" s="18"/>
      </tp>
      <tp t="e">
        <v>#N/A</v>
        <stp/>
        <stp>BDH|18368845828035275423</stp>
        <tr r="I30" s="17"/>
      </tp>
      <tp t="e">
        <v>#N/A</v>
        <stp/>
        <stp>BDH|13977359003733881084</stp>
        <tr r="L26" s="17"/>
      </tp>
      <tp t="e">
        <v>#N/A</v>
        <stp/>
        <stp>BDH|11065520119007543117</stp>
        <tr r="U24" s="29"/>
      </tp>
      <tp t="e">
        <v>#N/A</v>
        <stp/>
        <stp>BDH|10730152008250413217</stp>
        <tr r="O24" s="21"/>
      </tp>
      <tp t="e">
        <v>#N/A</v>
        <stp/>
        <stp>BDH|14960073702535431277</stp>
        <tr r="R181" s="18"/>
      </tp>
      <tp t="e">
        <v>#N/A</v>
        <stp/>
        <stp>BDH|17264245905291456780</stp>
        <tr r="AA91" s="12"/>
      </tp>
      <tp t="e">
        <v>#N/A</v>
        <stp/>
        <stp>BDH|10290384006365334516</stp>
        <tr r="C14" s="22"/>
      </tp>
      <tp t="e">
        <v>#N/A</v>
        <stp/>
        <stp>BDH|12578393370930166531</stp>
        <tr r="D33" s="21"/>
      </tp>
      <tp t="e">
        <v>#N/A</v>
        <stp/>
        <stp>BDH|12067231978433487711</stp>
        <tr r="V27" s="24"/>
      </tp>
      <tp t="e">
        <v>#N/A</v>
        <stp/>
        <stp>BDH|13045560301805836015</stp>
        <tr r="V20" s="23"/>
      </tp>
      <tp t="e">
        <v>#N/A</v>
        <stp/>
        <stp>BDH|13049530511872529694</stp>
        <tr r="V27" s="34"/>
      </tp>
      <tp t="e">
        <v>#N/A</v>
        <stp/>
        <stp>BDH|13161662131974101194</stp>
        <tr r="X25" s="22"/>
      </tp>
      <tp t="e">
        <v>#N/A</v>
        <stp/>
        <stp>BDH|14834090505917243087</stp>
        <tr r="P20" s="10"/>
      </tp>
      <tp t="e">
        <v>#N/A</v>
        <stp/>
        <stp>BDH|11005581963811339062</stp>
        <tr r="N199" s="18"/>
      </tp>
      <tp t="e">
        <v>#N/A</v>
        <stp/>
        <stp>BDH|10521444161854889569</stp>
        <tr r="N134" s="18"/>
      </tp>
      <tp t="e">
        <v>#N/A</v>
        <stp/>
        <stp>BDH|15015248547695520582</stp>
        <tr r="V83" s="17"/>
      </tp>
      <tp t="e">
        <v>#N/A</v>
        <stp/>
        <stp>BDH|16846152282699595546</stp>
        <tr r="T74" s="34"/>
      </tp>
      <tp t="e">
        <v>#N/A</v>
        <stp/>
        <stp>BDH|14075394974517219418</stp>
        <tr r="P56" s="13"/>
      </tp>
      <tp t="e">
        <v>#N/A</v>
        <stp/>
        <stp>BDH|14267793578606852158</stp>
        <tr r="U26" s="25"/>
        <tr r="U12" s="27"/>
      </tp>
      <tp t="e">
        <v>#N/A</v>
        <stp/>
        <stp>BDH|11723989493407384519</stp>
        <tr r="O104" s="18"/>
      </tp>
      <tp t="e">
        <v>#N/A</v>
        <stp/>
        <stp>BDH|16358587258362845758</stp>
        <tr r="I25" s="10"/>
        <tr r="K34" s="13"/>
      </tp>
      <tp t="e">
        <v>#N/A</v>
        <stp/>
        <stp>BDH|16699475602189531883</stp>
        <tr r="N30" s="25"/>
        <tr r="N16" s="27"/>
      </tp>
      <tp t="e">
        <v>#N/A</v>
        <stp/>
        <stp>BDH|16295667723277910601</stp>
        <tr r="S210" s="18"/>
      </tp>
      <tp t="e">
        <v>#N/A</v>
        <stp/>
        <stp>BDH|12212544564077814547</stp>
        <tr r="J20" s="29"/>
      </tp>
      <tp t="e">
        <v>#N/A</v>
        <stp/>
        <stp>BDH|11692157023952607384</stp>
        <tr r="I37" s="21"/>
      </tp>
      <tp t="e">
        <v>#N/A</v>
        <stp/>
        <stp>BDH|13915800096020649177</stp>
        <tr r="J15" s="10"/>
      </tp>
      <tp t="e">
        <v>#N/A</v>
        <stp/>
        <stp>BDH|13610235284099738385</stp>
        <tr r="I30" s="12"/>
      </tp>
      <tp t="e">
        <v>#N/A</v>
        <stp/>
        <stp>BDH|14038084445511409273</stp>
        <tr r="Q87" s="12"/>
      </tp>
      <tp t="e">
        <v>#N/A</v>
        <stp/>
        <stp>BDH|14865019547076193517</stp>
        <tr r="H43" s="6"/>
      </tp>
      <tp t="e">
        <v>#N/A</v>
        <stp/>
        <stp>BDH|11566714479150137221</stp>
        <tr r="U15" s="29"/>
        <tr r="U38" s="29"/>
      </tp>
      <tp t="e">
        <v>#N/A</v>
        <stp/>
        <stp>BDH|12467587134365152276</stp>
        <tr r="Z61" s="17"/>
      </tp>
      <tp t="e">
        <v>#N/A</v>
        <stp/>
        <stp>BDH|10850562762390049027</stp>
        <tr r="W15" s="30"/>
      </tp>
      <tp t="e">
        <v>#N/A</v>
        <stp/>
        <stp>BDH|12426256359405333354</stp>
        <tr r="G31" s="25"/>
        <tr r="D14" s="5"/>
        <tr r="G17" s="27"/>
      </tp>
      <tp t="e">
        <v>#N/A</v>
        <stp/>
        <stp>BDH|15672667763602873456</stp>
        <tr r="L98" s="18"/>
      </tp>
      <tp t="e">
        <v>#N/A</v>
        <stp/>
        <stp>BDH|13964844952728733560</stp>
        <tr r="P27" s="14"/>
      </tp>
      <tp t="e">
        <v>#N/A</v>
        <stp/>
        <stp>BDH|14236403624719129893</stp>
        <tr r="F136" s="18"/>
      </tp>
      <tp t="e">
        <v>#N/A</v>
        <stp/>
        <stp>BDH|15118490335213332206</stp>
        <tr r="I69" s="17"/>
      </tp>
      <tp t="e">
        <v>#N/A</v>
        <stp/>
        <stp>BDH|16827453246775449017</stp>
        <tr r="N67" s="18"/>
      </tp>
      <tp t="e">
        <v>#N/A</v>
        <stp/>
        <stp>BDH|11065656249110212005</stp>
        <tr r="T101" s="12"/>
      </tp>
      <tp t="e">
        <v>#N/A</v>
        <stp/>
        <stp>BDH|15024817511007800860</stp>
        <tr r="E18" s="34"/>
      </tp>
      <tp t="e">
        <v>#N/A</v>
        <stp/>
        <stp>BDH|11745458733600771588</stp>
        <tr r="C14" s="4"/>
      </tp>
      <tp t="e">
        <v>#N/A</v>
        <stp/>
        <stp>BDH|12189930184386162698</stp>
        <tr r="G144" s="18"/>
      </tp>
      <tp t="e">
        <v>#N/A</v>
        <stp/>
        <stp>BDH|11305601046332369280</stp>
        <tr r="U11" s="3"/>
        <tr r="S50" s="10"/>
        <tr r="S40" s="11"/>
        <tr r="S8" s="7"/>
      </tp>
      <tp t="e">
        <v>#N/A</v>
        <stp/>
        <stp>BDH|17116741418673031131</stp>
        <tr r="X12" s="3"/>
        <tr r="V55" s="10"/>
        <tr r="V45" s="11"/>
        <tr r="V7" s="7"/>
      </tp>
      <tp t="e">
        <v>#N/A</v>
        <stp/>
        <stp>BDH|11938750413393613775</stp>
        <tr r="S22" s="4"/>
      </tp>
      <tp t="e">
        <v>#N/A</v>
        <stp/>
        <stp>BDH|14807264441620300126</stp>
        <tr r="E30" s="34"/>
      </tp>
      <tp t="e">
        <v>#N/A</v>
        <stp/>
        <stp>BDH|16619321780675594804</stp>
        <tr r="N23" s="18"/>
      </tp>
      <tp t="e">
        <v>#N/A</v>
        <stp/>
        <stp>BDH|16499028218817840076</stp>
        <tr r="Z28" s="17"/>
      </tp>
      <tp t="e">
        <v>#N/A</v>
        <stp/>
        <stp>BDH|18155238642049342722</stp>
        <tr r="R19" s="34"/>
      </tp>
      <tp t="e">
        <v>#N/A</v>
        <stp/>
        <stp>BDH|13019313544541658529</stp>
        <tr r="V11" s="17"/>
      </tp>
      <tp t="e">
        <v>#N/A</v>
        <stp/>
        <stp>BDH|16548222210666794313</stp>
        <tr r="P78" s="18"/>
      </tp>
      <tp t="e">
        <v>#N/A</v>
        <stp/>
        <stp>BDH|10976859891342541393</stp>
        <tr r="U57" s="24"/>
      </tp>
      <tp t="e">
        <v>#N/A</v>
        <stp/>
        <stp>BDH|13344361716417587673</stp>
        <tr r="V153" s="18"/>
      </tp>
      <tp t="e">
        <v>#N/A</v>
        <stp/>
        <stp>BDH|12290772441531410015</stp>
        <tr r="V29" s="21"/>
      </tp>
      <tp t="e">
        <v>#N/A</v>
        <stp/>
        <stp>BDH|12656990937620181882</stp>
        <tr r="G31" s="18"/>
      </tp>
      <tp t="e">
        <v>#N/A</v>
        <stp/>
        <stp>BDH|17626138644437762571</stp>
        <tr r="M39" s="25"/>
        <tr r="M7" s="3"/>
        <tr r="K17" s="11"/>
        <tr r="M22" s="13"/>
        <tr r="M7" s="13"/>
      </tp>
      <tp t="e">
        <v>#N/A</v>
        <stp/>
        <stp>BDH|18154426455828466135</stp>
        <tr r="H17" s="23"/>
      </tp>
      <tp t="e">
        <v>#N/A</v>
        <stp/>
        <stp>BDH|14583451712517427676</stp>
        <tr r="AA11" s="18"/>
      </tp>
      <tp t="e">
        <v>#N/A</v>
        <stp/>
        <stp>BDH|12020232014979110877</stp>
        <tr r="P105" s="12"/>
      </tp>
      <tp t="e">
        <v>#N/A</v>
        <stp/>
        <stp>BDH|10680804295823530278</stp>
        <tr r="M11" s="13"/>
      </tp>
      <tp t="e">
        <v>#N/A</v>
        <stp/>
        <stp>BDH|15660112539962861575</stp>
        <tr r="U21" s="4"/>
      </tp>
      <tp t="e">
        <v>#N/A</v>
        <stp/>
        <stp>BDH|11183293378646419251</stp>
        <tr r="C12" s="22"/>
      </tp>
      <tp t="e">
        <v>#N/A</v>
        <stp/>
        <stp>BDH|14798361917382444432</stp>
        <tr r="G50" s="18"/>
      </tp>
      <tp t="e">
        <v>#N/A</v>
        <stp/>
        <stp>BDH|16223231394885324874</stp>
        <tr r="Y66" s="18"/>
      </tp>
      <tp t="e">
        <v>#N/A</v>
        <stp/>
        <stp>BDH|14021384218911139701</stp>
        <tr r="I60" s="17"/>
      </tp>
      <tp t="e">
        <v>#N/A</v>
        <stp/>
        <stp>BDH|16338074852252400138</stp>
        <tr r="C25" s="24"/>
      </tp>
      <tp t="e">
        <v>#N/A</v>
        <stp/>
        <stp>BDH|16917787911930970084</stp>
        <tr r="U52" s="24"/>
      </tp>
      <tp t="e">
        <v>#N/A</v>
        <stp/>
        <stp>BDH|14273203600717077138</stp>
        <tr r="I49" s="22"/>
      </tp>
      <tp t="e">
        <v>#N/A</v>
        <stp/>
        <stp>BDH|15013570138484976771</stp>
        <tr r="M87" s="17"/>
      </tp>
      <tp t="e">
        <v>#N/A</v>
        <stp/>
        <stp>BDH|12748204227756204434</stp>
        <tr r="X61" s="18"/>
      </tp>
      <tp t="e">
        <v>#N/A</v>
        <stp/>
        <stp>BDH|18045953660994780335</stp>
        <tr r="V103" s="12"/>
      </tp>
      <tp t="e">
        <v>#N/A</v>
        <stp/>
        <stp>BDH|18040448031679793630</stp>
        <tr r="G159" s="18"/>
      </tp>
      <tp t="e">
        <v>#N/A</v>
        <stp/>
        <stp>BDH|13588570884809576724</stp>
        <tr r="C78" s="12"/>
      </tp>
      <tp t="e">
        <v>#N/A</v>
        <stp/>
        <stp>BDH|13133381058405933096</stp>
        <tr r="G39" s="25"/>
        <tr r="G7" s="3"/>
        <tr r="E17" s="11"/>
        <tr r="G22" s="13"/>
        <tr r="G7" s="13"/>
      </tp>
      <tp t="e">
        <v>#N/A</v>
        <stp/>
        <stp>BDH|16904531833858129898</stp>
        <tr r="L33" s="6"/>
      </tp>
      <tp t="e">
        <v>#N/A</v>
        <stp/>
        <stp>BDH|11756857999334217482</stp>
        <tr r="O67" s="17"/>
        <tr r="O18" s="3"/>
      </tp>
      <tp t="e">
        <v>#N/A</v>
        <stp/>
        <stp>BDH|12408956039471834913</stp>
        <tr r="U74" s="34"/>
      </tp>
      <tp t="e">
        <v>#N/A</v>
        <stp/>
        <stp>BDH|17040480190222072893</stp>
        <tr r="I35" s="24"/>
      </tp>
      <tp t="e">
        <v>#N/A</v>
        <stp/>
        <stp>BDH|15711459691279003128</stp>
        <tr r="U8" s="4"/>
      </tp>
      <tp t="e">
        <v>#N/A</v>
        <stp/>
        <stp>BDH|16092310768517041489</stp>
        <tr r="Y44" s="17"/>
      </tp>
      <tp t="e">
        <v>#N/A</v>
        <stp/>
        <stp>BDH|12506658083189719559</stp>
        <tr r="Y162" s="18"/>
      </tp>
      <tp t="e">
        <v>#N/A</v>
        <stp/>
        <stp>BDH|14729216542581320363</stp>
        <tr r="G104" s="12"/>
      </tp>
      <tp t="e">
        <v>#N/A</v>
        <stp/>
        <stp>BDH|11196008718176046684</stp>
        <tr r="G125" s="18"/>
        <tr r="G14" s="20"/>
      </tp>
      <tp t="e">
        <v>#N/A</v>
        <stp/>
        <stp>BDH|12293247043011090547</stp>
        <tr r="Y8" s="17"/>
      </tp>
      <tp t="e">
        <v>#N/A</v>
        <stp/>
        <stp>BDH|13780907913868036353</stp>
        <tr r="N79" s="18"/>
      </tp>
      <tp t="e">
        <v>#N/A</v>
        <stp/>
        <stp>BDH|16431430873253329664</stp>
        <tr r="AA23" s="18"/>
      </tp>
      <tp t="e">
        <v>#N/A</v>
        <stp/>
        <stp>BDH|10747072537532656101</stp>
        <tr r="X91" s="18"/>
      </tp>
      <tp t="e">
        <v>#N/A</v>
        <stp/>
        <stp>BDH|16987584312455794757</stp>
        <tr r="H8" s="6"/>
      </tp>
      <tp t="e">
        <v>#N/A</v>
        <stp/>
        <stp>BDH|14322999813489094583</stp>
        <tr r="H30" s="24"/>
      </tp>
      <tp t="e">
        <v>#N/A</v>
        <stp/>
        <stp>BDH|11775495647727101690</stp>
        <tr r="Z58" s="17"/>
      </tp>
      <tp t="e">
        <v>#N/A</v>
        <stp/>
        <stp>BDH|16182068543762241076</stp>
        <tr r="O49" s="18"/>
      </tp>
      <tp t="e">
        <v>#N/A</v>
        <stp/>
        <stp>BDH|12924138975117885367</stp>
        <tr r="D87" s="17"/>
      </tp>
      <tp t="e">
        <v>#N/A</v>
        <stp/>
        <stp>BDH|13661372879417912005</stp>
        <tr r="L16" s="11"/>
      </tp>
      <tp t="e">
        <v>#N/A</v>
        <stp/>
        <stp>BDH|12389654323450649628</stp>
        <tr r="E53" s="13"/>
      </tp>
      <tp t="e">
        <v>#N/A</v>
        <stp/>
        <stp>BDH|12041278823876171458</stp>
        <tr r="H107" s="18"/>
      </tp>
      <tp t="e">
        <v>#N/A</v>
        <stp/>
        <stp>BDH|16789635335303504045</stp>
        <tr r="L28" s="26"/>
      </tp>
      <tp t="e">
        <v>#N/A</v>
        <stp/>
        <stp>BDH|14798973946239569035</stp>
        <tr r="W36" s="21"/>
      </tp>
      <tp t="e">
        <v>#N/A</v>
        <stp/>
        <stp>BDH|10269283934742686381</stp>
        <tr r="U180" s="18"/>
      </tp>
      <tp t="e">
        <v>#N/A</v>
        <stp/>
        <stp>BDH|13651204733724399665</stp>
        <tr r="E18" s="17"/>
      </tp>
      <tp t="e">
        <v>#N/A</v>
        <stp/>
        <stp>BDH|17183511701380490259</stp>
        <tr r="Z77" s="17"/>
        <tr r="Z19" s="3"/>
      </tp>
      <tp t="e">
        <v>#N/A</v>
        <stp/>
        <stp>BDH|15716779362201620542</stp>
        <tr r="P198" s="18"/>
      </tp>
      <tp t="e">
        <v>#N/A</v>
        <stp/>
        <stp>BDH|10629482280385980972</stp>
        <tr r="X17" s="29"/>
        <tr r="X40" s="29"/>
      </tp>
      <tp t="e">
        <v>#N/A</v>
        <stp/>
        <stp>BDH|17977592360081389532</stp>
        <tr r="W44" s="24"/>
      </tp>
      <tp t="e">
        <v>#N/A</v>
        <stp/>
        <stp>BDH|16158118742074624741</stp>
        <tr r="C71" s="24"/>
      </tp>
      <tp t="e">
        <v>#N/A</v>
        <stp/>
        <stp>BDH|14958745178645797121</stp>
        <tr r="C77" s="12"/>
      </tp>
      <tp t="e">
        <v>#N/A</v>
        <stp/>
        <stp>BDH|10054910785818164955</stp>
        <tr r="Z51" s="34"/>
      </tp>
      <tp t="e">
        <v>#N/A</v>
        <stp/>
        <stp>BDH|10090001848080166490</stp>
        <tr r="Z28" s="14"/>
      </tp>
      <tp t="e">
        <v>#N/A</v>
        <stp/>
        <stp>BDH|12191449158826530585</stp>
        <tr r="Y61" s="12"/>
      </tp>
      <tp t="e">
        <v>#N/A</v>
        <stp/>
        <stp>BDH|11420102034290465349</stp>
        <tr r="X11" s="9"/>
      </tp>
      <tp t="e">
        <v>#N/A</v>
        <stp/>
        <stp>BDH|18002524025469744609</stp>
        <tr r="Z64" s="34"/>
      </tp>
      <tp t="e">
        <v>#N/A</v>
        <stp/>
        <stp>BDH|17698366943571169120</stp>
        <tr r="W71" s="34"/>
      </tp>
      <tp t="e">
        <v>#N/A</v>
        <stp/>
        <stp>BDH|18015080516928625186</stp>
        <tr r="F19" s="34"/>
      </tp>
      <tp t="e">
        <v>#N/A</v>
        <stp/>
        <stp>BDH|13011745407523496774</stp>
        <tr r="I190" s="18"/>
      </tp>
      <tp t="e">
        <v>#N/A</v>
        <stp/>
        <stp>BDH|15084690251477851105</stp>
        <tr r="G84" s="18"/>
      </tp>
      <tp t="e">
        <v>#N/A</v>
        <stp/>
        <stp>BDH|15185628445911103675</stp>
        <tr r="L93" s="17"/>
        <tr r="L13" s="28"/>
      </tp>
      <tp t="e">
        <v>#N/A</v>
        <stp/>
        <stp>BDH|17952593475950099555</stp>
        <tr r="R58" s="17"/>
      </tp>
      <tp t="e">
        <v>#N/A</v>
        <stp/>
        <stp>BDH|11962882790402460255</stp>
        <tr r="W70" s="10"/>
        <tr r="W60" s="11"/>
        <tr r="W20" s="7"/>
      </tp>
      <tp t="e">
        <v>#N/A</v>
        <stp/>
        <stp>BDH|11127213416563164171</stp>
        <tr r="S65" s="21"/>
        <tr r="Q23" s="7"/>
      </tp>
      <tp t="e">
        <v>#N/A</v>
        <stp/>
        <stp>BDH|15842210072282938226</stp>
        <tr r="Y14" s="29"/>
        <tr r="Y23" s="29"/>
        <tr r="Y37" s="29"/>
      </tp>
      <tp t="e">
        <v>#N/A</v>
        <stp/>
        <stp>BDH|12575271730080172333</stp>
        <tr r="Z16" s="25"/>
      </tp>
      <tp t="e">
        <v>#N/A</v>
        <stp/>
        <stp>BDH|14505219221332711629</stp>
        <tr r="F186" s="18"/>
      </tp>
      <tp t="e">
        <v>#N/A</v>
        <stp/>
        <stp>BDH|16442083106973292585</stp>
        <tr r="D210" s="18"/>
      </tp>
      <tp t="e">
        <v>#N/A</v>
        <stp/>
        <stp>BDH|18209450632386145945</stp>
        <tr r="O88" s="12"/>
      </tp>
      <tp t="e">
        <v>#N/A</v>
        <stp/>
        <stp>BDH|14074111918330850411</stp>
        <tr r="F14" s="11"/>
      </tp>
      <tp t="e">
        <v>#N/A</v>
        <stp/>
        <stp>BDH|12070971745448668745</stp>
        <tr r="C38" s="4"/>
        <tr r="C56" s="11"/>
        <tr r="E13" s="23"/>
      </tp>
      <tp t="e">
        <v>#N/A</v>
        <stp/>
        <stp>BDH|14382299119106629153</stp>
        <tr r="C48" s="18"/>
      </tp>
      <tp t="e">
        <v>#N/A</v>
        <stp/>
        <stp>BDH|15546448817667492722</stp>
        <tr r="L25" s="21"/>
      </tp>
      <tp t="e">
        <v>#N/A</v>
        <stp/>
        <stp>BDH|16953115705065993248</stp>
        <tr r="N50" s="18"/>
      </tp>
      <tp t="e">
        <v>#N/A</v>
        <stp/>
        <stp>BDH|12732294745914974028</stp>
        <tr r="W171" s="18"/>
      </tp>
      <tp t="e">
        <v>#N/A</v>
        <stp/>
        <stp>BDH|15180969834708508767</stp>
        <tr r="R29" s="34"/>
      </tp>
      <tp t="e">
        <v>#N/A</v>
        <stp/>
        <stp>BDH|17957002116785732383</stp>
        <tr r="E9" s="3"/>
        <tr r="C51" s="10"/>
        <tr r="C41" s="11"/>
        <tr r="C14" s="7"/>
      </tp>
      <tp t="e">
        <v>#N/A</v>
        <stp/>
        <stp>BDH|18271800970693518470</stp>
        <tr r="K101" s="12"/>
      </tp>
      <tp t="e">
        <v>#N/A</v>
        <stp/>
        <stp>BDH|16128318557719054978</stp>
        <tr r="Q30" s="12"/>
      </tp>
      <tp t="e">
        <v>#N/A</v>
        <stp/>
        <stp>BDH|16686410121388088863</stp>
        <tr r="J108" s="18"/>
      </tp>
      <tp t="e">
        <v>#N/A</v>
        <stp/>
        <stp>BDH|11928301098529560247</stp>
        <tr r="S24" s="22"/>
      </tp>
      <tp t="e">
        <v>#N/A</v>
        <stp/>
        <stp>BDH|13768199941382893473</stp>
        <tr r="N58" s="24"/>
      </tp>
      <tp t="e">
        <v>#N/A</v>
        <stp/>
        <stp>BDH|10280648442235774733</stp>
        <tr r="G49" s="17"/>
      </tp>
      <tp t="e">
        <v>#N/A</v>
        <stp/>
        <stp>BDH|14123585195621862941</stp>
        <tr r="J37" s="18"/>
      </tp>
      <tp t="e">
        <v>#N/A</v>
        <stp/>
        <stp>BDH|13499554671842581358</stp>
        <tr r="F22" s="18"/>
      </tp>
      <tp t="e">
        <v>#N/A</v>
        <stp/>
        <stp>BDH|17298948372888492105</stp>
        <tr r="L18" s="6"/>
      </tp>
      <tp t="e">
        <v>#N/A</v>
        <stp/>
        <stp>BDH|12837046534073838202</stp>
        <tr r="I62" s="18"/>
      </tp>
      <tp t="e">
        <v>#N/A</v>
        <stp/>
        <stp>BDH|12846006549515132300</stp>
        <tr r="G85" s="18"/>
      </tp>
      <tp t="e">
        <v>#N/A</v>
        <stp/>
        <stp>BDH|13750108229446846669</stp>
        <tr r="E73" s="13"/>
      </tp>
      <tp t="e">
        <v>#N/A</v>
        <stp/>
        <stp>BDH|16661337851776756608</stp>
        <tr r="N38" s="21"/>
        <tr r="N24" s="3"/>
      </tp>
      <tp t="e">
        <v>#N/A</v>
        <stp/>
        <stp>BDH|12088234727595103762</stp>
        <tr r="D199" s="18"/>
      </tp>
      <tp t="e">
        <v>#N/A</v>
        <stp/>
        <stp>BDH|16238463185029598372</stp>
        <tr r="O9" s="2"/>
        <tr r="Q8" s="25"/>
        <tr r="N10" s="5"/>
      </tp>
      <tp t="e">
        <v>#N/A</v>
        <stp/>
        <stp>BDH|13201677337871447750</stp>
        <tr r="O45" s="24"/>
      </tp>
      <tp t="e">
        <v>#N/A</v>
        <stp/>
        <stp>BDH|17382036050927052539</stp>
        <tr r="U8" s="2"/>
      </tp>
      <tp t="e">
        <v>#N/A</v>
        <stp/>
        <stp>BDH|11734115676983636456</stp>
        <tr r="U13" s="11"/>
      </tp>
      <tp t="e">
        <v>#N/A</v>
        <stp/>
        <stp>BDH|12611790003832855776</stp>
        <tr r="W17" s="30"/>
      </tp>
      <tp t="e">
        <v>#N/A</v>
        <stp/>
        <stp>BDH|15840320372956258791</stp>
        <tr r="Y21" s="27"/>
      </tp>
      <tp t="e">
        <v>#N/A</v>
        <stp/>
        <stp>BDH|10080079053847471237</stp>
        <tr r="F17" s="21"/>
      </tp>
      <tp t="e">
        <v>#N/A</v>
        <stp/>
        <stp>BDH|12064344130107399542</stp>
        <tr r="P165" s="18"/>
      </tp>
      <tp t="e">
        <v>#N/A</v>
        <stp/>
        <stp>BDH|10381597259157708776</stp>
        <tr r="H38" s="10"/>
        <tr r="H28" s="11"/>
        <tr r="J47" s="13"/>
      </tp>
      <tp t="e">
        <v>#N/A</v>
        <stp/>
        <stp>BDH|15062156502731690526</stp>
        <tr r="V40" s="6"/>
      </tp>
      <tp t="e">
        <v>#N/A</v>
        <stp/>
        <stp>BDH|11236958801700567805</stp>
        <tr r="O11" s="24"/>
      </tp>
      <tp t="e">
        <v>#N/A</v>
        <stp/>
        <stp>BDH|15788273993629839781</stp>
        <tr r="L48" s="13"/>
      </tp>
      <tp t="e">
        <v>#N/A</v>
        <stp/>
        <stp>BDH|17239764911543395254</stp>
        <tr r="H9" s="17"/>
      </tp>
      <tp t="e">
        <v>#N/A</v>
        <stp/>
        <stp>BDH|13524090416743087192</stp>
        <tr r="O71" s="34"/>
      </tp>
      <tp t="e">
        <v>#N/A</v>
        <stp/>
        <stp>BDH|15590209806661906698</stp>
        <tr r="P69" s="34"/>
      </tp>
      <tp t="e">
        <v>#N/A</v>
        <stp/>
        <stp>BDH|14100582758943566773</stp>
        <tr r="X25" s="9"/>
      </tp>
      <tp t="e">
        <v>#N/A</v>
        <stp/>
        <stp>BDH|17374258727346576175</stp>
        <tr r="R9" s="12"/>
      </tp>
      <tp t="e">
        <v>#N/A</v>
        <stp/>
        <stp>BDH|17281615386328763116</stp>
        <tr r="C7" s="24"/>
      </tp>
      <tp t="e">
        <v>#N/A</v>
        <stp/>
        <stp>BDH|11641586021881405787</stp>
        <tr r="E145" s="18"/>
      </tp>
      <tp t="e">
        <v>#N/A</v>
        <stp/>
        <stp>BDH|10301127609780380185</stp>
        <tr r="AA42" s="18"/>
      </tp>
      <tp t="e">
        <v>#N/A</v>
        <stp/>
        <stp>BDH|15915180753396085717</stp>
        <tr r="D165" s="18"/>
      </tp>
      <tp t="e">
        <v>#N/A</v>
        <stp/>
        <stp>BDH|15647708084109280338</stp>
        <tr r="C21" s="9"/>
      </tp>
      <tp t="e">
        <v>#N/A</v>
        <stp/>
        <stp>BDH|17599012036295667172</stp>
        <tr r="K181" s="18"/>
      </tp>
      <tp t="e">
        <v>#N/A</v>
        <stp/>
        <stp>BDH|17808647079895573335</stp>
        <tr r="U117" s="18"/>
      </tp>
      <tp t="e">
        <v>#N/A</v>
        <stp/>
        <stp>BDH|16036795106627949658</stp>
        <tr r="C77" s="17"/>
        <tr r="C19" s="3"/>
      </tp>
      <tp t="e">
        <v>#N/A</v>
        <stp/>
        <stp>BDH|10258937671818221614</stp>
        <tr r="X14" s="8"/>
      </tp>
      <tp t="e">
        <v>#N/A</v>
        <stp/>
        <stp>BDH|18091394887304949746</stp>
        <tr r="O174" s="18"/>
      </tp>
      <tp t="e">
        <v>#N/A</v>
        <stp/>
        <stp>BDH|16947063754884947718</stp>
        <tr r="C45" s="34"/>
      </tp>
      <tp t="e">
        <v>#N/A</v>
        <stp/>
        <stp>BDH|10009041194430743942</stp>
        <tr r="M68" s="34"/>
      </tp>
      <tp t="e">
        <v>#N/A</v>
        <stp/>
        <stp>BDH|10155139883530326918</stp>
        <tr r="N28" s="12"/>
      </tp>
      <tp t="e">
        <v>#N/A</v>
        <stp/>
        <stp>BDH|13079119474016483324</stp>
        <tr r="F23" s="30"/>
        <tr r="F25" s="23"/>
      </tp>
      <tp t="e">
        <v>#N/A</v>
        <stp/>
        <stp>BDH|15643591779592214573</stp>
        <tr r="N124" s="18"/>
        <tr r="N13" s="20"/>
      </tp>
      <tp t="e">
        <v>#N/A</v>
        <stp/>
        <stp>BDH|14343486243007999329</stp>
        <tr r="V9" s="11"/>
      </tp>
      <tp t="e">
        <v>#N/A</v>
        <stp/>
        <stp>BDH|18196733311076781870</stp>
        <tr r="P35" s="10"/>
        <tr r="P25" s="11"/>
      </tp>
      <tp t="e">
        <v>#N/A</v>
        <stp/>
        <stp>BDH|11216713734345758035</stp>
        <tr r="R27" s="12"/>
      </tp>
      <tp t="e">
        <v>#N/A</v>
        <stp/>
        <stp>BDH|18117153183195624420</stp>
        <tr r="Y194" s="18"/>
      </tp>
      <tp t="e">
        <v>#N/A</v>
        <stp/>
        <stp>BDH|13837581376723270273</stp>
        <tr r="G57" s="12"/>
      </tp>
      <tp t="e">
        <v>#N/A</v>
        <stp/>
        <stp>BDH|15930248146475875609</stp>
        <tr r="F151" s="18"/>
      </tp>
      <tp t="e">
        <v>#N/A</v>
        <stp/>
        <stp>BDH|16305620426535310775</stp>
        <tr r="V7" s="23"/>
      </tp>
      <tp t="e">
        <v>#N/A</v>
        <stp/>
        <stp>BDH|12355674816275253036</stp>
        <tr r="O38" s="25"/>
      </tp>
      <tp t="e">
        <v>#N/A</v>
        <stp/>
        <stp>BDH|10471201913143077040</stp>
        <tr r="U18" s="6"/>
      </tp>
      <tp t="e">
        <v>#N/A</v>
        <stp/>
        <stp>BDH|14427488502277511789</stp>
        <tr r="V188" s="18"/>
      </tp>
      <tp t="e">
        <v>#N/A</v>
        <stp/>
        <stp>BDH|18129864288480902852</stp>
        <tr r="W37" s="10"/>
        <tr r="W27" s="11"/>
        <tr r="Y46" s="13"/>
      </tp>
      <tp t="e">
        <v>#N/A</v>
        <stp/>
        <stp>BDH|11277527179283300095</stp>
        <tr r="J20" s="25"/>
      </tp>
      <tp t="e">
        <v>#N/A</v>
        <stp/>
        <stp>BDH|13530244912276054607</stp>
        <tr r="N71" s="24"/>
      </tp>
      <tp t="e">
        <v>#N/A</v>
        <stp/>
        <stp>BDH|12509512842077078453</stp>
        <tr r="M22" s="30"/>
        <tr r="M24" s="23"/>
      </tp>
      <tp t="e">
        <v>#N/A</v>
        <stp/>
        <stp>BDH|12307330065052033565</stp>
        <tr r="Z63" s="21"/>
      </tp>
      <tp t="e">
        <v>#N/A</v>
        <stp/>
        <stp>BDH|13328605317570714406</stp>
        <tr r="P28" s="13"/>
      </tp>
      <tp t="e">
        <v>#N/A</v>
        <stp/>
        <stp>BDH|10149066153153609616</stp>
        <tr r="S28" s="6"/>
      </tp>
      <tp t="e">
        <v>#N/A</v>
        <stp/>
        <stp>BDH|14810894538569835626</stp>
        <tr r="T41" s="22"/>
      </tp>
      <tp t="e">
        <v>#N/A</v>
        <stp/>
        <stp>BDH|17395675232916168447</stp>
        <tr r="C33" s="12"/>
      </tp>
      <tp t="e">
        <v>#N/A</v>
        <stp/>
        <stp>BDH|12899605447332436297</stp>
        <tr r="W45" s="22"/>
      </tp>
      <tp t="e">
        <v>#N/A</v>
        <stp/>
        <stp>BDH|12791464397378178753</stp>
        <tr r="O11" s="29"/>
      </tp>
      <tp t="e">
        <v>#N/A</v>
        <stp/>
        <stp>BDH|12562915827610892996</stp>
        <tr r="R10" s="23"/>
      </tp>
      <tp t="e">
        <v>#N/A</v>
        <stp/>
        <stp>BDH|17609828161649024076</stp>
        <tr r="D13" s="10"/>
      </tp>
      <tp t="e">
        <v>#N/A</v>
        <stp/>
        <stp>BDH|10293786148540841384</stp>
        <tr r="Y20" s="25"/>
      </tp>
      <tp t="e">
        <v>#N/A</v>
        <stp/>
        <stp>BDH|18241324404673044868</stp>
        <tr r="J40" s="17"/>
      </tp>
      <tp t="e">
        <v>#N/A</v>
        <stp/>
        <stp>BDH|14483386118336123075</stp>
        <tr r="Q26" s="13"/>
      </tp>
      <tp t="e">
        <v>#N/A</v>
        <stp/>
        <stp>BDH|17311645525091948299</stp>
        <tr r="AA150" s="18"/>
      </tp>
      <tp t="e">
        <v>#N/A</v>
        <stp/>
        <stp>BDH|16823537013464881621</stp>
        <tr r="D102" s="18"/>
      </tp>
      <tp t="e">
        <v>#N/A</v>
        <stp/>
        <stp>BDH|13038561473274260559</stp>
        <tr r="G106" s="18"/>
      </tp>
      <tp t="e">
        <v>#N/A</v>
        <stp/>
        <stp>BDH|15354307661704839489</stp>
        <tr r="C79" s="12"/>
      </tp>
      <tp t="e">
        <v>#N/A</v>
        <stp/>
        <stp>BDH|17356982196866883178</stp>
        <tr r="L43" s="24"/>
      </tp>
      <tp t="e">
        <v>#N/A</v>
        <stp/>
        <stp>BDH|11234412020630881791</stp>
        <tr r="S81" s="12"/>
      </tp>
      <tp t="e">
        <v>#N/A</v>
        <stp/>
        <stp>BDH|17640374637805535215</stp>
        <tr r="I11" s="30"/>
      </tp>
      <tp t="e">
        <v>#N/A</v>
        <stp/>
        <stp>BDH|17140568891073170856</stp>
        <tr r="F22" s="12"/>
      </tp>
      <tp t="e">
        <v>#N/A</v>
        <stp/>
        <stp>BDH|12193050674362126735</stp>
        <tr r="S49" s="18"/>
      </tp>
      <tp t="e">
        <v>#N/A</v>
        <stp/>
        <stp>BDH|13892460141344812756</stp>
        <tr r="S8" s="22"/>
      </tp>
      <tp t="e">
        <v>#N/A</v>
        <stp/>
        <stp>BDH|15615759867797538330</stp>
        <tr r="C73" s="34"/>
      </tp>
      <tp t="e">
        <v>#N/A</v>
        <stp/>
        <stp>BDH|11402655847902745134</stp>
        <tr r="E50" s="18"/>
      </tp>
      <tp t="e">
        <v>#N/A</v>
        <stp/>
        <stp>BDH|13816634744829546885</stp>
        <tr r="Z9" s="34"/>
      </tp>
      <tp t="e">
        <v>#N/A</v>
        <stp/>
        <stp>BDH|12576311376701554758</stp>
        <tr r="P57" s="11"/>
        <tr r="R15" s="23"/>
      </tp>
      <tp t="e">
        <v>#N/A</v>
        <stp/>
        <stp>BDH|14986352184008276781</stp>
        <tr r="O64" s="17"/>
      </tp>
      <tp t="e">
        <v>#N/A</v>
        <stp/>
        <stp>BDH|16766438560157696305</stp>
        <tr r="C75" s="34"/>
      </tp>
      <tp t="e">
        <v>#N/A</v>
        <stp/>
        <stp>BDH|12694920979445963969</stp>
        <tr r="M57" s="17"/>
      </tp>
      <tp t="e">
        <v>#N/A</v>
        <stp/>
        <stp>BDH|13373602752827497776</stp>
        <tr r="Q16" s="26"/>
      </tp>
      <tp t="e">
        <v>#N/A</v>
        <stp/>
        <stp>BDH|16926692611078414973</stp>
        <tr r="Q42" s="21"/>
      </tp>
      <tp t="e">
        <v>#N/A</v>
        <stp/>
        <stp>BDH|12653661761463060134</stp>
        <tr r="F39" s="17"/>
      </tp>
      <tp t="e">
        <v>#N/A</v>
        <stp/>
        <stp>BDH|11181326118156898517</stp>
        <tr r="O31" s="29"/>
      </tp>
      <tp t="e">
        <v>#N/A</v>
        <stp/>
        <stp>BDH|13534928501092184852</stp>
        <tr r="M63" s="18"/>
      </tp>
      <tp t="e">
        <v>#N/A</v>
        <stp/>
        <stp>BDH|15225186217013821677</stp>
        <tr r="P49" s="13"/>
      </tp>
      <tp t="e">
        <v>#N/A</v>
        <stp/>
        <stp>BDH|15137147113701636421</stp>
        <tr r="U9" s="30"/>
      </tp>
      <tp t="e">
        <v>#N/A</v>
        <stp/>
        <stp>BDH|12221581932701907534</stp>
        <tr r="U12" s="3"/>
        <tr r="S55" s="10"/>
        <tr r="S45" s="11"/>
        <tr r="S7" s="7"/>
      </tp>
      <tp t="e">
        <v>#N/A</v>
        <stp/>
        <stp>BDH|12973807888705744743</stp>
        <tr r="Z48" s="13"/>
      </tp>
      <tp t="e">
        <v>#N/A</v>
        <stp/>
        <stp>BDH|11623970383365338532</stp>
        <tr r="C33" s="22"/>
      </tp>
      <tp t="e">
        <v>#N/A</v>
        <stp/>
        <stp>BDH|14254010200612479654</stp>
        <tr r="G25" s="7"/>
      </tp>
      <tp t="e">
        <v>#N/A</v>
        <stp/>
        <stp>BDH|16859891665411115971</stp>
        <tr r="N16" s="18"/>
      </tp>
      <tp t="e">
        <v>#N/A</v>
        <stp/>
        <stp>BDH|17520740013949291822</stp>
        <tr r="H25" s="34"/>
      </tp>
      <tp t="e">
        <v>#N/A</v>
        <stp/>
        <stp>BDH|17581747141241054528</stp>
        <tr r="P53" s="10"/>
        <tr r="P43" s="11"/>
        <tr r="P16" s="7"/>
      </tp>
      <tp t="e">
        <v>#N/A</v>
        <stp/>
        <stp>BDH|17104942099201860661</stp>
        <tr r="R9" s="24"/>
      </tp>
      <tp t="e">
        <v>#N/A</v>
        <stp/>
        <stp>BDH|15402496200100937162</stp>
        <tr r="N130" s="18"/>
      </tp>
      <tp t="e">
        <v>#N/A</v>
        <stp/>
        <stp>BDH|17744137366001401145</stp>
        <tr r="J27" s="34"/>
      </tp>
      <tp t="e">
        <v>#N/A</v>
        <stp/>
        <stp>BDH|16338821324589510520</stp>
        <tr r="G47" s="6"/>
        <tr r="I6" s="8"/>
      </tp>
      <tp t="e">
        <v>#N/A</v>
        <stp/>
        <stp>BDH|17096909749689254396</stp>
        <tr r="P46" s="17"/>
      </tp>
      <tp t="e">
        <v>#N/A</v>
        <stp/>
        <stp>BDH|13473200975057616153</stp>
        <tr r="V29" s="4"/>
      </tp>
      <tp t="e">
        <v>#N/A</v>
        <stp/>
        <stp>BDH|12775858098370119398</stp>
        <tr r="K10" s="17"/>
      </tp>
      <tp t="e">
        <v>#N/A</v>
        <stp/>
        <stp>BDH|14958277450603439082</stp>
        <tr r="X24" s="4"/>
        <tr r="X55" s="11"/>
      </tp>
      <tp t="e">
        <v>#N/A</v>
        <stp/>
        <stp>BDH|13868210703723076282</stp>
        <tr r="Q58" s="11"/>
        <tr r="S19" s="23"/>
      </tp>
      <tp t="e">
        <v>#N/A</v>
        <stp/>
        <stp>BDH|14784029736543830493</stp>
        <tr r="T24" s="12"/>
      </tp>
      <tp t="e">
        <v>#N/A</v>
        <stp/>
        <stp>BDH|14664504015738224833</stp>
        <tr r="Y24" s="2"/>
      </tp>
      <tp t="e">
        <v>#N/A</v>
        <stp/>
        <stp>BDH|11956629778233373352</stp>
        <tr r="R42" s="18"/>
      </tp>
      <tp t="e">
        <v>#N/A</v>
        <stp/>
        <stp>BDH|16107703510022596210</stp>
        <tr r="K37" s="34"/>
      </tp>
      <tp t="e">
        <v>#N/A</v>
        <stp/>
        <stp>BDH|13988539992989508682</stp>
        <tr r="R32" s="5"/>
      </tp>
      <tp t="e">
        <v>#N/A</v>
        <stp/>
        <stp>BDH|14253659578765271086</stp>
        <tr r="C9" s="14"/>
      </tp>
      <tp t="e">
        <v>#N/A</v>
        <stp/>
        <stp>BDH|10123755997437586932</stp>
        <tr r="F73" s="10"/>
        <tr r="F63" s="11"/>
      </tp>
      <tp t="e">
        <v>#N/A</v>
        <stp/>
        <stp>BDH|13825668604373625693</stp>
        <tr r="E33" s="14"/>
      </tp>
      <tp t="e">
        <v>#N/A</v>
        <stp/>
        <stp>BDH|15739743271524322148</stp>
        <tr r="U24" s="14"/>
      </tp>
      <tp t="e">
        <v>#N/A</v>
        <stp/>
        <stp>BDH|15780947646049785178</stp>
        <tr r="O31" s="17"/>
      </tp>
      <tp t="e">
        <v>#N/A</v>
        <stp/>
        <stp>BDH|12552619665825426709</stp>
        <tr r="G78" s="18"/>
      </tp>
      <tp t="e">
        <v>#N/A</v>
        <stp/>
        <stp>BDH|11523462838391681784</stp>
        <tr r="S10" s="4"/>
        <tr r="R6" s="16"/>
        <tr r="U6" s="3"/>
        <tr r="S6" s="11"/>
      </tp>
      <tp t="e">
        <v>#N/A</v>
        <stp/>
        <stp>BDH|14981916196250958427</stp>
        <tr r="F124" s="18"/>
        <tr r="F13" s="20"/>
      </tp>
      <tp t="e">
        <v>#N/A</v>
        <stp/>
        <stp>BDH|10573768141366171565</stp>
        <tr r="S153" s="18"/>
      </tp>
      <tp t="e">
        <v>#N/A</v>
        <stp/>
        <stp>BDH|13812608605364916115</stp>
        <tr r="G24" s="9"/>
      </tp>
      <tp t="e">
        <v>#N/A</v>
        <stp/>
        <stp>BDH|11846986581835054542</stp>
        <tr r="P25" s="7"/>
      </tp>
      <tp t="e">
        <v>#N/A</v>
        <stp/>
        <stp>BDH|13667657442924315574</stp>
        <tr r="Y184" s="18"/>
      </tp>
      <tp t="e">
        <v>#N/A</v>
        <stp/>
        <stp>BDH|17455475761347195267</stp>
        <tr r="H47" s="10"/>
        <tr r="H37" s="11"/>
      </tp>
      <tp t="e">
        <v>#N/A</v>
        <stp/>
        <stp>BDH|17892183185499468745</stp>
        <tr r="Y42" s="34"/>
      </tp>
      <tp t="e">
        <v>#N/A</v>
        <stp/>
        <stp>BDH|18337778658778165286</stp>
        <tr r="S93" s="12"/>
      </tp>
      <tp t="e">
        <v>#N/A</v>
        <stp/>
        <stp>BDH|18244707619499745790</stp>
        <tr r="S161" s="18"/>
      </tp>
      <tp t="e">
        <v>#N/A</v>
        <stp/>
        <stp>BDH|16464966317666549851</stp>
        <tr r="L153" s="18"/>
      </tp>
      <tp t="e">
        <v>#N/A</v>
        <stp/>
        <stp>BDH|18353748011209157729</stp>
        <tr r="U62" s="34"/>
      </tp>
      <tp t="e">
        <v>#N/A</v>
        <stp/>
        <stp>BDH|18413947620674575704</stp>
        <tr r="D32" s="26"/>
      </tp>
      <tp t="e">
        <v>#N/A</v>
        <stp/>
        <stp>BDH|15342413751124764013</stp>
        <tr r="V165" s="18"/>
      </tp>
      <tp t="e">
        <v>#N/A</v>
        <stp/>
        <stp>BDH|10961766359857495572</stp>
        <tr r="F50" s="18"/>
      </tp>
      <tp t="e">
        <v>#N/A</v>
        <stp/>
        <stp>BDH|10567944902488309154</stp>
        <tr r="V51" s="17"/>
        <tr r="V17" s="3"/>
      </tp>
      <tp t="e">
        <v>#N/A</v>
        <stp/>
        <stp>BDH|15962998782290451438</stp>
        <tr r="W16" s="23"/>
      </tp>
      <tp t="e">
        <v>#N/A</v>
        <stp/>
        <stp>BDH|10728847186429737973</stp>
        <tr r="H57" s="13"/>
      </tp>
      <tp t="e">
        <v>#N/A</v>
        <stp/>
        <stp>BDH|11371340252660001700</stp>
        <tr r="AA81" s="18"/>
      </tp>
      <tp t="e">
        <v>#N/A</v>
        <stp/>
        <stp>BDH|11592610266077500628</stp>
        <tr r="L159" s="18"/>
      </tp>
      <tp t="e">
        <v>#N/A</v>
        <stp/>
        <stp>BDH|14014345660253951282</stp>
        <tr r="I37" s="17"/>
      </tp>
      <tp t="e">
        <v>#N/A</v>
        <stp/>
        <stp>BDH|17361522373476414330</stp>
        <tr r="Y41" s="21"/>
      </tp>
      <tp t="e">
        <v>#N/A</v>
        <stp/>
        <stp>BDH|16817589080958561306</stp>
        <tr r="L31" s="21"/>
      </tp>
      <tp t="e">
        <v>#N/A</v>
        <stp/>
        <stp>BDH|10269428204212758668</stp>
        <tr r="AA181" s="18"/>
      </tp>
      <tp t="e">
        <v>#N/A</v>
        <stp/>
        <stp>BDH|12677273036317034425</stp>
        <tr r="K55" s="21"/>
      </tp>
      <tp t="e">
        <v>#N/A</v>
        <stp/>
        <stp>BDH|13950673700665243095</stp>
        <tr r="H11" s="30"/>
      </tp>
      <tp t="e">
        <v>#N/A</v>
        <stp/>
        <stp>BDH|12589197089853338834</stp>
        <tr r="AA101" s="18"/>
      </tp>
      <tp t="e">
        <v>#N/A</v>
        <stp/>
        <stp>BDH|13815691776754316616</stp>
        <tr r="Y16" s="12"/>
      </tp>
      <tp t="e">
        <v>#N/A</v>
        <stp/>
        <stp>BDH|12641903312903182906</stp>
        <tr r="O88" s="18"/>
      </tp>
      <tp t="e">
        <v>#N/A</v>
        <stp/>
        <stp>BDH|17131888284746132198</stp>
        <tr r="V52" s="6"/>
      </tp>
      <tp t="e">
        <v>#N/A</v>
        <stp/>
        <stp>BDH|10014167354131077577</stp>
        <tr r="O43" s="21"/>
      </tp>
      <tp t="e">
        <v>#N/A</v>
        <stp/>
        <stp>BDH|16977636116218118984</stp>
        <tr r="AA18" s="23"/>
      </tp>
      <tp t="e">
        <v>#N/A</v>
        <stp/>
        <stp>BDH|17117590732300703184</stp>
        <tr r="N63" s="13"/>
      </tp>
      <tp t="e">
        <v>#N/A</v>
        <stp/>
        <stp>BDH|12461232312845089401</stp>
        <tr r="N33" s="14"/>
      </tp>
      <tp t="e">
        <v>#N/A</v>
        <stp/>
        <stp>BDH|13204117095269570267</stp>
        <tr r="H9" s="30"/>
      </tp>
      <tp t="e">
        <v>#N/A</v>
        <stp/>
        <stp>BDH|13233133977632033731</stp>
        <tr r="Y31" s="34"/>
      </tp>
      <tp t="e">
        <v>#N/A</v>
        <stp/>
        <stp>BDH|10294194006905101490</stp>
        <tr r="G43" s="22"/>
      </tp>
      <tp t="e">
        <v>#N/A</v>
        <stp/>
        <stp>BDH|10251616599159717687</stp>
        <tr r="I70" s="10"/>
        <tr r="I60" s="11"/>
        <tr r="I20" s="7"/>
      </tp>
      <tp t="e">
        <v>#N/A</v>
        <stp/>
        <stp>BDH|13938406954705899711</stp>
        <tr r="L54" s="13"/>
      </tp>
      <tp t="e">
        <v>#N/A</v>
        <stp/>
        <stp>BDH|16094576315870654208</stp>
        <tr r="V55" s="17"/>
      </tp>
      <tp t="e">
        <v>#N/A</v>
        <stp/>
        <stp>BDH|16848410930246945748</stp>
        <tr r="J31" s="26"/>
        <tr r="G14" s="9"/>
      </tp>
      <tp t="e">
        <v>#N/A</v>
        <stp/>
        <stp>BDH|11095986065138875613</stp>
        <tr r="P9" s="14"/>
      </tp>
      <tp t="e">
        <v>#N/A</v>
        <stp/>
        <stp>BDH|11307496281328849579</stp>
        <tr r="F33" s="5"/>
      </tp>
      <tp t="e">
        <v>#N/A</v>
        <stp/>
        <stp>BDH|12399123893279166376</stp>
        <tr r="Q49" s="12"/>
      </tp>
      <tp t="e">
        <v>#N/A</v>
        <stp/>
        <stp>BDH|10770318170443758751</stp>
        <tr r="S25" s="25"/>
        <tr r="S10" s="27"/>
      </tp>
      <tp t="e">
        <v>#N/A</v>
        <stp/>
        <stp>BDH|15724208867650704133</stp>
        <tr r="F20" s="29"/>
      </tp>
      <tp t="e">
        <v>#N/A</v>
        <stp/>
        <stp>BDH|12440694133986256182</stp>
        <tr r="L76" s="17"/>
        <tr r="I9" s="5"/>
        <tr r="I9" s="9"/>
      </tp>
      <tp t="e">
        <v>#N/A</v>
        <stp/>
        <stp>BDH|11585622110331738747</stp>
        <tr r="P82" s="18"/>
      </tp>
      <tp t="e">
        <v>#N/A</v>
        <stp/>
        <stp>BDH|15419113090425224839</stp>
        <tr r="G7" s="6"/>
      </tp>
      <tp t="e">
        <v>#N/A</v>
        <stp/>
        <stp>BDH|12624668875321334227</stp>
        <tr r="I8" s="17"/>
      </tp>
      <tp t="e">
        <v>#N/A</v>
        <stp/>
        <stp>BDH|13040379310800090131</stp>
        <tr r="R18" s="23"/>
      </tp>
      <tp t="e">
        <v>#N/A</v>
        <stp/>
        <stp>BDH|17922699434603752174</stp>
        <tr r="K34" s="12"/>
      </tp>
      <tp t="e">
        <v>#N/A</v>
        <stp/>
        <stp>BDH|14806028808490730413</stp>
        <tr r="N10" s="21"/>
      </tp>
      <tp t="e">
        <v>#N/A</v>
        <stp/>
        <stp>BDH|13278905552386257967</stp>
        <tr r="N112" s="18"/>
      </tp>
      <tp t="e">
        <v>#N/A</v>
        <stp/>
        <stp>BDH|17349962609048849601</stp>
        <tr r="D59" s="34"/>
      </tp>
      <tp t="e">
        <v>#N/A</v>
        <stp/>
        <stp>BDH|16674859582187651138</stp>
        <tr r="T47" s="21"/>
      </tp>
      <tp t="e">
        <v>#N/A</v>
        <stp/>
        <stp>BDH|16007030133607502214</stp>
        <tr r="Q142" s="18"/>
      </tp>
      <tp t="e">
        <v>#N/A</v>
        <stp/>
        <stp>BDH|11813294004911595247</stp>
        <tr r="V45" s="17"/>
      </tp>
      <tp t="e">
        <v>#N/A</v>
        <stp/>
        <stp>BDH|18247572840180231936</stp>
        <tr r="C22" s="34"/>
      </tp>
      <tp t="e">
        <v>#N/A</v>
        <stp/>
        <stp>BDH|17553984294601428694</stp>
        <tr r="C11" s="9"/>
      </tp>
      <tp t="e">
        <v>#N/A</v>
        <stp/>
        <stp>BDH|12296687163511437399</stp>
        <tr r="P137" s="18"/>
      </tp>
      <tp t="e">
        <v>#N/A</v>
        <stp/>
        <stp>BDH|12529938996817601523</stp>
        <tr r="J69" s="13"/>
      </tp>
      <tp t="e">
        <v>#N/A</v>
        <stp/>
        <stp>BDH|17058645506018772917</stp>
        <tr r="H50" s="4"/>
      </tp>
      <tp t="e">
        <v>#N/A</v>
        <stp/>
        <stp>BDH|15128885680932886756</stp>
        <tr r="H48" s="12"/>
      </tp>
      <tp t="e">
        <v>#N/A</v>
        <stp/>
        <stp>BDH|15320573221017855594</stp>
        <tr r="R63" s="18"/>
      </tp>
      <tp t="e">
        <v>#N/A</v>
        <stp/>
        <stp>BDH|15462752700112404015</stp>
        <tr r="U103" s="18"/>
      </tp>
      <tp t="e">
        <v>#N/A</v>
        <stp/>
        <stp>BDH|10110018747344597064</stp>
        <tr r="Z60" s="18"/>
      </tp>
      <tp t="e">
        <v>#N/A</v>
        <stp/>
        <stp>BDH|15043910086722237617</stp>
        <tr r="F24" s="6"/>
      </tp>
      <tp t="e">
        <v>#N/A</v>
        <stp/>
        <stp>BDH|11290968174627543814</stp>
        <tr r="J11" s="30"/>
      </tp>
      <tp t="e">
        <v>#N/A</v>
        <stp/>
        <stp>BDH|17714022718570098699</stp>
        <tr r="C38" s="6"/>
      </tp>
      <tp t="e">
        <v>#N/A</v>
        <stp/>
        <stp>BDH|12426495423781911537</stp>
        <tr r="O23" s="6"/>
      </tp>
      <tp t="e">
        <v>#N/A</v>
        <stp/>
        <stp>BDH|12270880959196597929</stp>
        <tr r="G175" s="18"/>
      </tp>
      <tp t="e">
        <v>#N/A</v>
        <stp/>
        <stp>BDH|16332830983280563621</stp>
        <tr r="V18" s="34"/>
      </tp>
      <tp t="e">
        <v>#N/A</v>
        <stp/>
        <stp>BDH|16268590714272921023</stp>
        <tr r="C16" s="18"/>
      </tp>
      <tp t="e">
        <v>#N/A</v>
        <stp/>
        <stp>BDH|15888564560957066198</stp>
        <tr r="Y122" s="18"/>
        <tr r="Y11" s="20"/>
      </tp>
      <tp t="e">
        <v>#N/A</v>
        <stp/>
        <stp>BDH|13551718150104744543</stp>
        <tr r="AA32" s="34"/>
      </tp>
      <tp t="e">
        <v>#N/A</v>
        <stp/>
        <stp>BDH|11654324079737380295</stp>
        <tr r="K10" s="12"/>
      </tp>
      <tp t="e">
        <v>#N/A</v>
        <stp/>
        <stp>BDH|11697468873257115558</stp>
        <tr r="S150" s="18"/>
      </tp>
      <tp t="e">
        <v>#N/A</v>
        <stp/>
        <stp>BDH|14796710911791948390</stp>
        <tr r="C82" s="24"/>
      </tp>
      <tp t="e">
        <v>#N/A</v>
        <stp/>
        <stp>BDH|17575952390767793001</stp>
        <tr r="D19" s="6"/>
      </tp>
      <tp t="e">
        <v>#N/A</v>
        <stp/>
        <stp>BDH|16650749776167072133</stp>
        <tr r="Q66" s="18"/>
      </tp>
      <tp t="e">
        <v>#N/A</v>
        <stp/>
        <stp>BDH|11319743610033837489</stp>
        <tr r="V29" s="12"/>
      </tp>
      <tp t="e">
        <v>#N/A</v>
        <stp/>
        <stp>BDH|14939789946501271620</stp>
        <tr r="K90" s="17"/>
        <tr r="K34" s="25"/>
      </tp>
      <tp t="e">
        <v>#N/A</v>
        <stp/>
        <stp>BDH|16797705295898381063</stp>
        <tr r="N9" s="6"/>
      </tp>
      <tp t="e">
        <v>#N/A</v>
        <stp/>
        <stp>BDH|12181130933423713312</stp>
        <tr r="P11" s="11"/>
      </tp>
      <tp t="e">
        <v>#N/A</v>
        <stp/>
        <stp>BDH|10730527673723950189</stp>
        <tr r="U162" s="18"/>
      </tp>
      <tp t="e">
        <v>#N/A</v>
        <stp/>
        <stp>BDH|10448919486701672023</stp>
        <tr r="R17" s="10"/>
        <tr r="T16" s="13"/>
        <tr r="T30" s="13"/>
      </tp>
      <tp t="e">
        <v>#N/A</v>
        <stp/>
        <stp>BDH|12096872081607428551</stp>
        <tr r="Z15" s="21"/>
      </tp>
      <tp t="e">
        <v>#N/A</v>
        <stp/>
        <stp>BDH|15359402610312685222</stp>
        <tr r="Y55" s="18"/>
      </tp>
      <tp t="e">
        <v>#N/A</v>
        <stp/>
        <stp>BDH|11724469607703703662</stp>
        <tr r="H37" s="12"/>
      </tp>
      <tp t="e">
        <v>#N/A</v>
        <stp/>
        <stp>BDH|17458040540353699011</stp>
        <tr r="R50" s="21"/>
      </tp>
      <tp t="e">
        <v>#N/A</v>
        <stp/>
        <stp>BDH|11576078302631206057</stp>
        <tr r="H121" s="18"/>
        <tr r="H9" s="20"/>
      </tp>
      <tp t="e">
        <v>#N/A</v>
        <stp/>
        <stp>BDH|18034160687468596930</stp>
        <tr r="N10" s="12"/>
      </tp>
      <tp t="e">
        <v>#N/A</v>
        <stp/>
        <stp>BDH|16608531425034457539</stp>
        <tr r="F35" s="4"/>
      </tp>
      <tp t="e">
        <v>#N/A</v>
        <stp/>
        <stp>BDH|16317131100557318049</stp>
        <tr r="W42" s="24"/>
      </tp>
      <tp t="e">
        <v>#N/A</v>
        <stp/>
        <stp>BDH|15783018681825672862</stp>
        <tr r="AA52" s="12"/>
      </tp>
      <tp t="e">
        <v>#N/A</v>
        <stp/>
        <stp>BDH|10696967522203040855</stp>
        <tr r="Q49" s="22"/>
      </tp>
      <tp t="e">
        <v>#N/A</v>
        <stp/>
        <stp>BDH|10953171428416888594</stp>
        <tr r="Z14" s="17"/>
        <tr r="Z17" s="28"/>
      </tp>
      <tp t="e">
        <v>#N/A</v>
        <stp/>
        <stp>BDH|14952124373927718585</stp>
        <tr r="Q70" s="34"/>
      </tp>
      <tp t="e">
        <v>#N/A</v>
        <stp/>
        <stp>BDH|16826610139473420038</stp>
        <tr r="R57" s="18"/>
      </tp>
      <tp t="e">
        <v>#N/A</v>
        <stp/>
        <stp>BDH|14662222464062739204</stp>
        <tr r="O17" s="18"/>
      </tp>
      <tp t="e">
        <v>#N/A</v>
        <stp/>
        <stp>BDH|12871023108775767726</stp>
        <tr r="D13" s="17"/>
        <tr r="D16" s="28"/>
      </tp>
      <tp t="e">
        <v>#N/A</v>
        <stp/>
        <stp>BDH|13836711753139962846</stp>
        <tr r="J22" s="21"/>
      </tp>
      <tp t="e">
        <v>#N/A</v>
        <stp/>
        <stp>BDH|12937063356636718195</stp>
        <tr r="M93" s="24"/>
      </tp>
      <tp t="e">
        <v>#N/A</v>
        <stp/>
        <stp>BDH|12557366979795869350</stp>
        <tr r="J16" s="34"/>
      </tp>
      <tp t="e">
        <v>#N/A</v>
        <stp/>
        <stp>BDH|16155845484584768211</stp>
        <tr r="Q9" s="6"/>
      </tp>
      <tp t="e">
        <v>#N/A</v>
        <stp/>
        <stp>BDH|14079020820011062753</stp>
        <tr r="T31" s="24"/>
      </tp>
      <tp t="e">
        <v>#N/A</v>
        <stp/>
        <stp>BDH|10565458836971113607</stp>
        <tr r="Z51" s="24"/>
      </tp>
      <tp t="e">
        <v>#N/A</v>
        <stp/>
        <stp>BDH|12022110136494910496</stp>
        <tr r="S60" s="12"/>
      </tp>
      <tp t="e">
        <v>#N/A</v>
        <stp/>
        <stp>BDH|12206554244693269065</stp>
        <tr r="E120" s="18"/>
        <tr r="E8" s="20"/>
      </tp>
      <tp t="e">
        <v>#N/A</v>
        <stp/>
        <stp>BDH|12608880495740504397</stp>
        <tr r="I19" s="17"/>
      </tp>
      <tp t="e">
        <v>#N/A</v>
        <stp/>
        <stp>BDH|16981031686037890930</stp>
        <tr r="C64" s="12"/>
      </tp>
      <tp t="e">
        <v>#N/A</v>
        <stp/>
        <stp>BDH|15375500632282139171</stp>
        <tr r="N68" s="17"/>
        <tr r="K8" s="5"/>
        <tr r="K8" s="9"/>
      </tp>
      <tp t="e">
        <v>#N/A</v>
        <stp/>
        <stp>BDH|13630535063586845691</stp>
        <tr r="W18" s="2"/>
        <tr r="W53" s="4"/>
        <tr r="W46" s="10"/>
        <tr r="W36" s="11"/>
        <tr r="Y58" s="13"/>
      </tp>
      <tp t="e">
        <v>#N/A</v>
        <stp/>
        <stp>BDH|13426425597167049964</stp>
        <tr r="E98" s="18"/>
      </tp>
      <tp t="e">
        <v>#N/A</v>
        <stp/>
        <stp>BDH|18424624980423043513</stp>
        <tr r="Y37" s="26"/>
      </tp>
      <tp t="e">
        <v>#N/A</v>
        <stp/>
        <stp>BDH|15530943887617831391</stp>
        <tr r="I26" s="18"/>
      </tp>
      <tp t="e">
        <v>#N/A</v>
        <stp/>
        <stp>BDH|12898585953994522613</stp>
        <tr r="V13" s="25"/>
      </tp>
      <tp t="e">
        <v>#N/A</v>
        <stp/>
        <stp>BDH|16940231476714999730</stp>
        <tr r="N72" s="12"/>
      </tp>
      <tp t="e">
        <v>#N/A</v>
        <stp/>
        <stp>BDH|16632506604883642022</stp>
        <tr r="T75" s="17"/>
      </tp>
      <tp t="e">
        <v>#N/A</v>
        <stp/>
        <stp>BDH|13312481489819602623</stp>
        <tr r="V17" s="9"/>
      </tp>
      <tp t="e">
        <v>#N/A</v>
        <stp/>
        <stp>BDH|11602377262717385363</stp>
        <tr r="Z26" s="34"/>
      </tp>
      <tp t="e">
        <v>#N/A</v>
        <stp/>
        <stp>BDH|17129428934459665973</stp>
        <tr r="AA30" s="26"/>
      </tp>
      <tp t="e">
        <v>#N/A</v>
        <stp/>
        <stp>BDH|15339666866305393064</stp>
        <tr r="Y13" s="8"/>
      </tp>
      <tp t="e">
        <v>#N/A</v>
        <stp/>
        <stp>BDH|10489331577223596738</stp>
        <tr r="O35" s="21"/>
      </tp>
      <tp t="e">
        <v>#N/A</v>
        <stp/>
        <stp>BDH|14299353440071481258</stp>
        <tr r="I76" s="17"/>
        <tr r="F9" s="5"/>
        <tr r="F9" s="9"/>
      </tp>
      <tp t="e">
        <v>#N/A</v>
        <stp/>
        <stp>BDH|16502213562296925499</stp>
        <tr r="E36" s="34"/>
      </tp>
      <tp t="e">
        <v>#N/A</v>
        <stp/>
        <stp>BDH|10414228242800082623</stp>
        <tr r="L24" s="17"/>
      </tp>
      <tp t="e">
        <v>#N/A</v>
        <stp/>
        <stp>BDH|12916895191814253750</stp>
        <tr r="K36" s="18"/>
      </tp>
      <tp t="e">
        <v>#N/A</v>
        <stp/>
        <stp>BDH|11715613558222816008</stp>
        <tr r="O82" s="17"/>
        <tr r="O20" s="3"/>
        <tr r="M6" s="7"/>
      </tp>
      <tp t="e">
        <v>#N/A</v>
        <stp/>
        <stp>BDH|10583064140751010553</stp>
        <tr r="D13" s="12"/>
      </tp>
      <tp t="e">
        <v>#N/A</v>
        <stp/>
        <stp>BDH|13907171120431884104</stp>
        <tr r="C13" s="2"/>
      </tp>
      <tp t="e">
        <v>#N/A</v>
        <stp/>
        <stp>BDH|15586320092219714642</stp>
        <tr r="AA69" s="13"/>
      </tp>
      <tp t="e">
        <v>#N/A</v>
        <stp/>
        <stp>BDH|15976186146999940984</stp>
        <tr r="P69" s="17"/>
      </tp>
      <tp t="e">
        <v>#N/A</v>
        <stp/>
        <stp>BDH|12313704131201569719</stp>
        <tr r="Y66" s="17"/>
      </tp>
      <tp t="e">
        <v>#N/A</v>
        <stp/>
        <stp>BDH|12331508046207277416</stp>
        <tr r="O39" s="4"/>
        <tr r="O66" s="10"/>
      </tp>
      <tp t="e">
        <v>#N/A</v>
        <stp/>
        <stp>BDH|15475094115085945178</stp>
        <tr r="U43" s="10"/>
        <tr r="U33" s="11"/>
      </tp>
      <tp t="e">
        <v>#N/A</v>
        <stp/>
        <stp>BDH|14069372630723558749</stp>
        <tr r="AA10" s="18"/>
      </tp>
      <tp t="e">
        <v>#N/A</v>
        <stp/>
        <stp>BDH|17272179198607276890</stp>
        <tr r="E36" s="18"/>
      </tp>
      <tp t="e">
        <v>#N/A</v>
        <stp/>
        <stp>BDH|12371346825320088344</stp>
        <tr r="S18" s="26"/>
      </tp>
      <tp t="e">
        <v>#N/A</v>
        <stp/>
        <stp>BDH|15498372131521307473</stp>
        <tr r="U33" s="9"/>
      </tp>
      <tp t="e">
        <v>#N/A</v>
        <stp/>
        <stp>BDH|16772680699538272128</stp>
        <tr r="O12" s="21"/>
      </tp>
      <tp t="e">
        <v>#N/A</v>
        <stp/>
        <stp>BDH|14356730745947457074</stp>
        <tr r="X13" s="25"/>
      </tp>
      <tp t="e">
        <v>#N/A</v>
        <stp/>
        <stp>BDH|11251951575798366779</stp>
        <tr r="Z71" s="24"/>
      </tp>
      <tp t="e">
        <v>#N/A</v>
        <stp/>
        <stp>BDH|10700719567199026876</stp>
        <tr r="D22" s="18"/>
      </tp>
      <tp t="e">
        <v>#N/A</v>
        <stp/>
        <stp>BDH|11415591041938942831</stp>
        <tr r="P19" s="30"/>
      </tp>
      <tp t="e">
        <v>#N/A</v>
        <stp/>
        <stp>BDH|10155549720214653357</stp>
        <tr r="F88" s="17"/>
      </tp>
      <tp t="e">
        <v>#N/A</v>
        <stp/>
        <stp>BDH|17983909664271982927</stp>
        <tr r="T30" s="12"/>
      </tp>
      <tp t="e">
        <v>#N/A</v>
        <stp/>
        <stp>BDH|18437569157131325905</stp>
        <tr r="P17" s="20"/>
      </tp>
      <tp t="e">
        <v>#N/A</v>
        <stp/>
        <stp>BDH|16244500773565347149</stp>
        <tr r="M170" s="18"/>
      </tp>
      <tp t="e">
        <v>#N/A</v>
        <stp/>
        <stp>BDH|12098855482600482251</stp>
        <tr r="G22" s="20"/>
      </tp>
      <tp t="e">
        <v>#N/A</v>
        <stp/>
        <stp>BDH|12042318770283047579</stp>
        <tr r="G7" s="11"/>
      </tp>
      <tp t="e">
        <v>#N/A</v>
        <stp/>
        <stp>BDH|12756913552649055726</stp>
        <tr r="U145" s="18"/>
      </tp>
      <tp t="e">
        <v>#N/A</v>
        <stp/>
        <stp>BDH|15482689852206967017</stp>
        <tr r="R185" s="18"/>
      </tp>
      <tp t="e">
        <v>#N/A</v>
        <stp/>
        <stp>BDH|14527367810336257071</stp>
        <tr r="F126" s="18"/>
      </tp>
      <tp t="e">
        <v>#N/A</v>
        <stp/>
        <stp>BDH|10520410804253634702</stp>
        <tr r="W30" s="17"/>
      </tp>
      <tp t="e">
        <v>#N/A</v>
        <stp/>
        <stp>BDH|12284368672410954690</stp>
        <tr r="H154" s="18"/>
      </tp>
      <tp t="e">
        <v>#N/A</v>
        <stp/>
        <stp>BDH|13542140151153007465</stp>
        <tr r="F59" s="34"/>
      </tp>
      <tp t="e">
        <v>#N/A</v>
        <stp/>
        <stp>BDH|16183339163175728605</stp>
        <tr r="AA33" s="24"/>
      </tp>
      <tp t="e">
        <v>#N/A</v>
        <stp/>
        <stp>BDH|16235378370997275512</stp>
        <tr r="AA9" s="26"/>
      </tp>
      <tp t="e">
        <v>#N/A</v>
        <stp/>
        <stp>BDH|10083659060004625454</stp>
        <tr r="H51" s="13"/>
      </tp>
      <tp t="e">
        <v>#N/A</v>
        <stp/>
        <stp>BDH|11301931112469754037</stp>
        <tr r="M8" s="27"/>
      </tp>
      <tp t="e">
        <v>#N/A</v>
        <stp/>
        <stp>BDH|16152127916520004631</stp>
        <tr r="T32" s="26"/>
      </tp>
      <tp t="e">
        <v>#N/A</v>
        <stp/>
        <stp>BDH|16464451726733919387</stp>
        <tr r="Q125" s="18"/>
        <tr r="Q14" s="20"/>
      </tp>
      <tp t="e">
        <v>#N/A</v>
        <stp/>
        <stp>BDH|15198763576895734007</stp>
        <tr r="R30" s="29"/>
        <tr r="R8" s="29"/>
      </tp>
      <tp t="e">
        <v>#N/A</v>
        <stp/>
        <stp>BDH|18387377485927631413</stp>
        <tr r="U38" s="24"/>
      </tp>
      <tp t="e">
        <v>#N/A</v>
        <stp/>
        <stp>BDH|15935969224777583983</stp>
        <tr r="M56" s="12"/>
      </tp>
      <tp t="e">
        <v>#N/A</v>
        <stp/>
        <stp>BDH|10749461361246763414</stp>
        <tr r="X95" s="24"/>
      </tp>
      <tp t="e">
        <v>#N/A</v>
        <stp/>
        <stp>BDH|15328677720238721950</stp>
        <tr r="P40" s="10"/>
        <tr r="P30" s="11"/>
      </tp>
      <tp t="e">
        <v>#N/A</v>
        <stp/>
        <stp>BDH|12100261882559773146</stp>
        <tr r="C23" s="2"/>
        <tr r="E19" s="21"/>
        <tr r="E23" s="3"/>
      </tp>
      <tp t="e">
        <v>#N/A</v>
        <stp/>
        <stp>BDH|14330320930324201055</stp>
        <tr r="E10" s="10"/>
      </tp>
      <tp t="e">
        <v>#N/A</v>
        <stp/>
        <stp>BDH|14666713917020719211</stp>
        <tr r="G120" s="18"/>
        <tr r="G8" s="20"/>
      </tp>
      <tp t="e">
        <v>#N/A</v>
        <stp/>
        <stp>BDH|13159188320605663599</stp>
        <tr r="I30" s="29"/>
        <tr r="I8" s="29"/>
      </tp>
      <tp t="e">
        <v>#N/A</v>
        <stp/>
        <stp>BDH|13814233679041374771</stp>
        <tr r="S152" s="18"/>
      </tp>
      <tp t="e">
        <v>#N/A</v>
        <stp/>
        <stp>BDH|16710369750598961810</stp>
        <tr r="N33" s="6"/>
      </tp>
      <tp t="e">
        <v>#N/A</v>
        <stp/>
        <stp>BDH|10869434156839359874</stp>
        <tr r="U20" s="5"/>
      </tp>
      <tp t="e">
        <v>#N/A</v>
        <stp/>
        <stp>BDH|13589635459518201842</stp>
        <tr r="S99" s="18"/>
      </tp>
      <tp t="e">
        <v>#N/A</v>
        <stp/>
        <stp>BDH|13376198330597592669</stp>
        <tr r="AA19" s="34"/>
      </tp>
      <tp t="e">
        <v>#N/A</v>
        <stp/>
        <stp>BDH|16163633307464582490</stp>
        <tr r="C7" s="28"/>
      </tp>
      <tp t="e">
        <v>#N/A</v>
        <stp/>
        <stp>BDH|16661530332438992872</stp>
        <tr r="X25" s="34"/>
      </tp>
      <tp t="e">
        <v>#N/A</v>
        <stp/>
        <stp>BDH|16968141275446192602</stp>
        <tr r="R104" s="18"/>
      </tp>
      <tp t="e">
        <v>#N/A</v>
        <stp/>
        <stp>BDH|10987204064267508316</stp>
        <tr r="W31" s="12"/>
      </tp>
      <tp t="e">
        <v>#N/A</v>
        <stp/>
        <stp>BDH|13682259457790599487</stp>
        <tr r="I12" s="24"/>
      </tp>
      <tp t="e">
        <v>#N/A</v>
        <stp/>
        <stp>BDH|10661501055805943533</stp>
        <tr r="K58" s="17"/>
      </tp>
      <tp t="e">
        <v>#N/A</v>
        <stp/>
        <stp>BDH|10751674421014163098</stp>
        <tr r="M22" s="34"/>
      </tp>
      <tp t="e">
        <v>#N/A</v>
        <stp/>
        <stp>BDH|15449533615474357588</stp>
        <tr r="G15" s="17"/>
        <tr r="G18" s="28"/>
      </tp>
      <tp t="e">
        <v>#N/A</v>
        <stp/>
        <stp>BDH|18303044175217815839</stp>
        <tr r="G40" s="12"/>
      </tp>
      <tp t="e">
        <v>#N/A</v>
        <stp/>
        <stp>BDH|15855863986132533749</stp>
        <tr r="I7" s="30"/>
      </tp>
      <tp t="e">
        <v>#N/A</v>
        <stp/>
        <stp>BDH|11437874262997029881</stp>
        <tr r="T34" s="22"/>
      </tp>
      <tp t="e">
        <v>#N/A</v>
        <stp/>
        <stp>BDH|14474034061143965169</stp>
        <tr r="V57" s="18"/>
      </tp>
      <tp t="e">
        <v>#N/A</v>
        <stp/>
        <stp>BDH|16015557014193881103</stp>
        <tr r="N156" s="18"/>
      </tp>
      <tp t="e">
        <v>#N/A</v>
        <stp/>
        <stp>BDH|13176204508987535655</stp>
        <tr r="O47" s="6"/>
        <tr r="Q6" s="8"/>
      </tp>
      <tp t="e">
        <v>#N/A</v>
        <stp/>
        <stp>BDH|11944413857454461429</stp>
        <tr r="J25" s="9"/>
      </tp>
      <tp t="e">
        <v>#N/A</v>
        <stp/>
        <stp>BDH|14436369758004159623</stp>
        <tr r="I101" s="18"/>
      </tp>
      <tp t="e">
        <v>#N/A</v>
        <stp/>
        <stp>BDH|13172114199102490947</stp>
        <tr r="T18" s="18"/>
      </tp>
      <tp t="e">
        <v>#N/A</v>
        <stp/>
        <stp>BDH|11971853415400247828</stp>
        <tr r="H51" s="12"/>
      </tp>
      <tp t="e">
        <v>#N/A</v>
        <stp/>
        <stp>BDH|14429336300856992176</stp>
        <tr r="K9" s="34"/>
      </tp>
      <tp t="e">
        <v>#N/A</v>
        <stp/>
        <stp>BDH|16144027349995412778</stp>
        <tr r="H9" s="29"/>
      </tp>
      <tp t="e">
        <v>#N/A</v>
        <stp/>
        <stp>BDH|10124201163563339786</stp>
        <tr r="L112" s="18"/>
      </tp>
      <tp t="e">
        <v>#N/A</v>
        <stp/>
        <stp>BDH|16320396958682320283</stp>
        <tr r="M9" s="17"/>
      </tp>
      <tp t="e">
        <v>#N/A</v>
        <stp/>
        <stp>BDH|14593229016597879001</stp>
        <tr r="K13" s="26"/>
      </tp>
      <tp t="e">
        <v>#N/A</v>
        <stp/>
        <stp>BDH|17139587821800482057</stp>
        <tr r="S92" s="24"/>
      </tp>
      <tp t="e">
        <v>#N/A</v>
        <stp/>
        <stp>BDH|14710706439316569620</stp>
        <tr r="Q8" s="18"/>
      </tp>
      <tp t="e">
        <v>#N/A</v>
        <stp/>
        <stp>BDH|10695334563924669190</stp>
        <tr r="V14" s="2"/>
        <tr r="V11" s="10"/>
      </tp>
      <tp t="e">
        <v>#N/A</v>
        <stp/>
        <stp>BDH|14709457712395936405</stp>
        <tr r="V50" s="17"/>
      </tp>
      <tp t="e">
        <v>#N/A</v>
        <stp/>
        <stp>BDH|11142615763023965235</stp>
        <tr r="Y21" s="24"/>
      </tp>
      <tp t="e">
        <v>#N/A</v>
        <stp/>
        <stp>BDH|13100942990310585398</stp>
        <tr r="K94" s="18"/>
      </tp>
      <tp t="e">
        <v>#N/A</v>
        <stp/>
        <stp>BDH|10863494030064821301</stp>
        <tr r="G71" s="17"/>
      </tp>
      <tp t="e">
        <v>#N/A</v>
        <stp/>
        <stp>BDH|14413288711826224162</stp>
        <tr r="I83" s="17"/>
      </tp>
      <tp t="e">
        <v>#N/A</v>
        <stp/>
        <stp>BDH|16646191753644178644</stp>
        <tr r="Y115" s="18"/>
      </tp>
      <tp t="e">
        <v>#N/A</v>
        <stp/>
        <stp>BDH|16576078019196791157</stp>
        <tr r="E39" s="26"/>
      </tp>
      <tp t="e">
        <v>#N/A</v>
        <stp/>
        <stp>BDH|15169375339000500533</stp>
        <tr r="J68" s="17"/>
        <tr r="G8" s="5"/>
        <tr r="G8" s="9"/>
      </tp>
      <tp t="e">
        <v>#N/A</v>
        <stp/>
        <stp>BDH|15511019287725267889</stp>
        <tr r="S73" s="10"/>
        <tr r="S63" s="11"/>
      </tp>
      <tp t="e">
        <v>#N/A</v>
        <stp/>
        <stp>BDH|15333660746770220786</stp>
        <tr r="P24" s="29"/>
      </tp>
      <tp t="e">
        <v>#N/A</v>
        <stp/>
        <stp>BDH|17741757709503155333</stp>
        <tr r="O19" s="22"/>
      </tp>
      <tp t="e">
        <v>#N/A</v>
        <stp/>
        <stp>BDH|14026400622895288795</stp>
        <tr r="P69" s="18"/>
      </tp>
      <tp t="e">
        <v>#N/A</v>
        <stp/>
        <stp>BDH|12439614368673234164</stp>
        <tr r="L147" s="18"/>
      </tp>
      <tp t="e">
        <v>#N/A</v>
        <stp/>
        <stp>BDH|17389129288157808986</stp>
        <tr r="R74" s="17"/>
      </tp>
      <tp t="e">
        <v>#N/A</v>
        <stp/>
        <stp>BDH|17362032063687258681</stp>
        <tr r="M34" s="12"/>
      </tp>
      <tp t="e">
        <v>#N/A</v>
        <stp/>
        <stp>BDH|11440428367313898003</stp>
        <tr r="Y90" s="18"/>
      </tp>
      <tp t="e">
        <v>#N/A</v>
        <stp/>
        <stp>BDH|11030547450586814754</stp>
        <tr r="AA121" s="18"/>
        <tr r="AA9" s="20"/>
      </tp>
      <tp t="e">
        <v>#N/A</v>
        <stp/>
        <stp>BDH|13318828858117157919</stp>
        <tr r="J12" s="22"/>
      </tp>
      <tp t="e">
        <v>#N/A</v>
        <stp/>
        <stp>BDH|11268791704802056471</stp>
        <tr r="K137" s="18"/>
      </tp>
      <tp t="e">
        <v>#N/A</v>
        <stp/>
        <stp>BDH|12669868239980356929</stp>
        <tr r="D59" s="21"/>
        <tr r="D37" s="25"/>
      </tp>
      <tp t="e">
        <v>#N/A</v>
        <stp/>
        <stp>BDH|17174167635991249487</stp>
        <tr r="H49" s="24"/>
      </tp>
      <tp t="e">
        <v>#N/A</v>
        <stp/>
        <stp>BDH|18433754843588927339</stp>
        <tr r="H34" s="26"/>
      </tp>
      <tp t="e">
        <v>#N/A</v>
        <stp/>
        <stp>BDH|13892354196800494975</stp>
        <tr r="X58" s="34"/>
      </tp>
      <tp t="e">
        <v>#N/A</v>
        <stp/>
        <stp>BDH|10731128708301646035</stp>
        <tr r="F24" s="4"/>
        <tr r="F55" s="11"/>
      </tp>
      <tp t="e">
        <v>#N/A</v>
        <stp/>
        <stp>BDH|15561206879045113559</stp>
        <tr r="C28" s="21"/>
      </tp>
      <tp t="e">
        <v>#N/A</v>
        <stp/>
        <stp>BDH|13322678189519757422</stp>
        <tr r="C70" s="18"/>
      </tp>
      <tp t="e">
        <v>#N/A</v>
        <stp/>
        <stp>BDH|12674731516271290595</stp>
        <tr r="C12" s="18"/>
      </tp>
      <tp t="e">
        <v>#N/A</v>
        <stp/>
        <stp>BDH|10468964690846907635</stp>
        <tr r="G209" s="18"/>
      </tp>
      <tp t="e">
        <v>#N/A</v>
        <stp/>
        <stp>BDH|12508578549646044535</stp>
        <tr r="D17" s="6"/>
      </tp>
      <tp t="e">
        <v>#N/A</v>
        <stp/>
        <stp>BDH|17432700578396462109</stp>
        <tr r="AA164" s="18"/>
      </tp>
      <tp t="e">
        <v>#N/A</v>
        <stp/>
        <stp>BDH|15142474535291991324</stp>
        <tr r="J43" s="6"/>
      </tp>
      <tp t="e">
        <v>#N/A</v>
        <stp/>
        <stp>BDH|16628468739381969080</stp>
        <tr r="E18" s="5"/>
        <tr r="E37" s="6"/>
      </tp>
      <tp t="e">
        <v>#N/A</v>
        <stp/>
        <stp>BDH|15597066704397835271</stp>
        <tr r="Y55" s="24"/>
      </tp>
      <tp t="e">
        <v>#N/A</v>
        <stp/>
        <stp>BDH|16544905921524493983</stp>
        <tr r="P90" s="18"/>
      </tp>
      <tp t="e">
        <v>#N/A</v>
        <stp/>
        <stp>BDH|11094983967069121766</stp>
        <tr r="M126" s="18"/>
      </tp>
      <tp t="e">
        <v>#N/A</v>
        <stp/>
        <stp>BDH|17197317802295231181</stp>
        <tr r="N110" s="18"/>
      </tp>
      <tp t="e">
        <v>#N/A</v>
        <stp/>
        <stp>BDH|16459282346978745857</stp>
        <tr r="E125" s="18"/>
        <tr r="E14" s="20"/>
      </tp>
      <tp t="e">
        <v>#N/A</v>
        <stp/>
        <stp>BDH|11111182117369199875</stp>
        <tr r="R118" s="18"/>
        <tr r="R6" s="20"/>
      </tp>
      <tp t="e">
        <v>#N/A</v>
        <stp/>
        <stp>BDH|12964496498478384730</stp>
        <tr r="J91" s="24"/>
      </tp>
      <tp t="e">
        <v>#N/A</v>
        <stp/>
        <stp>BDH|10972976157678668472</stp>
        <tr r="R22" s="30"/>
        <tr r="R24" s="23"/>
      </tp>
      <tp t="e">
        <v>#N/A</v>
        <stp/>
        <stp>BDH|17117856985450071797</stp>
        <tr r="F15" s="10"/>
      </tp>
      <tp t="e">
        <v>#N/A</v>
        <stp/>
        <stp>BDH|12425115117941984335</stp>
        <tr r="Q37" s="22"/>
      </tp>
      <tp t="e">
        <v>#N/A</v>
        <stp/>
        <stp>BDH|10726023561766472082</stp>
        <tr r="R20" s="6"/>
      </tp>
      <tp t="e">
        <v>#N/A</v>
        <stp/>
        <stp>BDH|12848492345982845048</stp>
        <tr r="Z8" s="17"/>
      </tp>
      <tp t="e">
        <v>#N/A</v>
        <stp/>
        <stp>BDH|10964764737422531657</stp>
        <tr r="D12" s="6"/>
      </tp>
      <tp t="e">
        <v>#N/A</v>
        <stp/>
        <stp>BDH|10341089575674324358</stp>
        <tr r="D15" s="21"/>
      </tp>
      <tp t="e">
        <v>#N/A</v>
        <stp/>
        <stp>BDH|13213086200531273204</stp>
        <tr r="S68" s="13"/>
      </tp>
      <tp t="e">
        <v>#N/A</v>
        <stp/>
        <stp>BDH|15803041167036363506</stp>
        <tr r="U7" s="14"/>
      </tp>
      <tp t="e">
        <v>#N/A</v>
        <stp/>
        <stp>BDH|15575424424796314585</stp>
        <tr r="Q16" s="12"/>
      </tp>
      <tp t="e">
        <v>#N/A</v>
        <stp/>
        <stp>BDH|15761297081326068974</stp>
        <tr r="Y53" s="13"/>
      </tp>
      <tp t="e">
        <v>#N/A</v>
        <stp/>
        <stp>BDH|14179400108058520842</stp>
        <tr r="T25" s="25"/>
        <tr r="T10" s="27"/>
      </tp>
      <tp t="e">
        <v>#N/A</v>
        <stp/>
        <stp>BDH|18264772808138246776</stp>
        <tr r="F59" s="11"/>
      </tp>
      <tp t="e">
        <v>#N/A</v>
        <stp/>
        <stp>BDH|11743994935769204210</stp>
        <tr r="Z73" s="13"/>
      </tp>
      <tp t="e">
        <v>#N/A</v>
        <stp/>
        <stp>BDH|12696444836730486585</stp>
        <tr r="V49" s="4"/>
      </tp>
      <tp t="e">
        <v>#N/A</v>
        <stp/>
        <stp>BDH|14034095886139344544</stp>
        <tr r="G72" s="18"/>
      </tp>
      <tp t="e">
        <v>#N/A</v>
        <stp/>
        <stp>BDH|17496857450209193383</stp>
        <tr r="V12" s="18"/>
      </tp>
      <tp t="e">
        <v>#N/A</v>
        <stp/>
        <stp>BDH|15307102754347828676</stp>
        <tr r="S11" s="22"/>
      </tp>
      <tp t="e">
        <v>#N/A</v>
        <stp/>
        <stp>BDH|12959528984869099679</stp>
        <tr r="D30" s="25"/>
        <tr r="D16" s="27"/>
      </tp>
      <tp t="e">
        <v>#N/A</v>
        <stp/>
        <stp>BDH|16902875600897602908</stp>
        <tr r="M88" s="18"/>
      </tp>
      <tp t="e">
        <v>#N/A</v>
        <stp/>
        <stp>BDH|10519898923788483233</stp>
        <tr r="R68" s="24"/>
      </tp>
      <tp t="e">
        <v>#N/A</v>
        <stp/>
        <stp>BDH|10843192217363813361</stp>
        <tr r="V61" s="34"/>
      </tp>
      <tp t="e">
        <v>#N/A</v>
        <stp/>
        <stp>BDH|17410746116058940976</stp>
        <tr r="F64" s="12"/>
      </tp>
      <tp t="e">
        <v>#N/A</v>
        <stp/>
        <stp>BDH|17322202808416529363</stp>
        <tr r="E34" s="12"/>
      </tp>
      <tp t="e">
        <v>#N/A</v>
        <stp/>
        <stp>BDH|14791981806359768469</stp>
        <tr r="X43" s="21"/>
      </tp>
      <tp t="e">
        <v>#N/A</v>
        <stp/>
        <stp>BDH|14553408116616295796</stp>
        <tr r="Y53" s="24"/>
      </tp>
      <tp t="e">
        <v>#N/A</v>
        <stp/>
        <stp>BDH|17884063414917407166</stp>
        <tr r="J112" s="18"/>
      </tp>
      <tp t="e">
        <v>#N/A</v>
        <stp/>
        <stp>BDH|11882028630155185702</stp>
        <tr r="Q8" s="14"/>
      </tp>
      <tp t="e">
        <v>#N/A</v>
        <stp/>
        <stp>BDH|10675925088780565129</stp>
        <tr r="AA16" s="18"/>
      </tp>
      <tp t="e">
        <v>#N/A</v>
        <stp/>
        <stp>BDH|14047144986598871518</stp>
        <tr r="Y78" s="34"/>
      </tp>
      <tp t="e">
        <v>#N/A</v>
        <stp/>
        <stp>BDH|13308561731153629698</stp>
        <tr r="S87" s="18"/>
      </tp>
      <tp t="e">
        <v>#N/A</v>
        <stp/>
        <stp>BDH|14818801375419380255</stp>
        <tr r="L13" s="13"/>
      </tp>
      <tp t="e">
        <v>#N/A</v>
        <stp/>
        <stp>BDH|17697230914804284080</stp>
        <tr r="F7" s="8"/>
      </tp>
      <tp t="e">
        <v>#N/A</v>
        <stp/>
        <stp>BDH|13935054360833326644</stp>
        <tr r="M60" s="21"/>
        <tr r="K53" s="11"/>
      </tp>
      <tp t="e">
        <v>#N/A</v>
        <stp/>
        <stp>BDH|17622726624457385580</stp>
        <tr r="U84" s="18"/>
      </tp>
      <tp t="e">
        <v>#N/A</v>
        <stp/>
        <stp>BDH|13451529963258699888</stp>
        <tr r="I74" s="12"/>
      </tp>
      <tp t="e">
        <v>#N/A</v>
        <stp/>
        <stp>BDH|17810822785880756730</stp>
        <tr r="O94" s="18"/>
      </tp>
      <tp t="e">
        <v>#N/A</v>
        <stp/>
        <stp>BDH|10715749850084151693</stp>
        <tr r="U22" s="6"/>
      </tp>
      <tp t="e">
        <v>#N/A</v>
        <stp/>
        <stp>BDH|12671173369616192325</stp>
        <tr r="O80" s="34"/>
      </tp>
      <tp t="e">
        <v>#N/A</v>
        <stp/>
        <stp>BDH|18069727515997964950</stp>
        <tr r="K95" s="12"/>
      </tp>
      <tp t="e">
        <v>#N/A</v>
        <stp/>
        <stp>BDH|16980877594233542444</stp>
        <tr r="G70" s="18"/>
      </tp>
      <tp t="e">
        <v>#N/A</v>
        <stp/>
        <stp>BDH|16747587160364196154</stp>
        <tr r="U75" s="18"/>
      </tp>
      <tp t="e">
        <v>#N/A</v>
        <stp/>
        <stp>BDH|10560308309227310440</stp>
        <tr r="R191" s="18"/>
      </tp>
      <tp t="e">
        <v>#N/A</v>
        <stp/>
        <stp>BDH|10989935492253522361</stp>
        <tr r="P65" s="24"/>
      </tp>
      <tp t="e">
        <v>#N/A</v>
        <stp/>
        <stp>BDH|18307403048160618860</stp>
        <tr r="I28" s="13"/>
      </tp>
      <tp t="e">
        <v>#N/A</v>
        <stp/>
        <stp>BDH|16273295535053255474</stp>
        <tr r="T46" s="4"/>
        <tr r="T23" s="10"/>
        <tr r="V42" s="13"/>
      </tp>
      <tp t="e">
        <v>#N/A</v>
        <stp/>
        <stp>BDH|12870985298302112023</stp>
        <tr r="X56" s="12"/>
      </tp>
      <tp t="e">
        <v>#N/A</v>
        <stp/>
        <stp>BDH|14632211452691770291</stp>
        <tr r="AA63" s="18"/>
      </tp>
      <tp t="e">
        <v>#N/A</v>
        <stp/>
        <stp>BDH|14476782216125919784</stp>
        <tr r="O44" s="17"/>
      </tp>
      <tp t="e">
        <v>#N/A</v>
        <stp/>
        <stp>BDH|17048503589748747255</stp>
        <tr r="X7" s="24"/>
      </tp>
      <tp t="e">
        <v>#N/A</v>
        <stp/>
        <stp>BDH|17748400508594420702</stp>
        <tr r="S21" s="10"/>
      </tp>
      <tp t="e">
        <v>#N/A</v>
        <stp/>
        <stp>BDH|15554742227396558680</stp>
        <tr r="M158" s="18"/>
      </tp>
      <tp t="e">
        <v>#N/A</v>
        <stp/>
        <stp>BDH|16587282161800309242</stp>
        <tr r="R44" s="34"/>
      </tp>
      <tp t="e">
        <v>#N/A</v>
        <stp/>
        <stp>BDH|14416712238785237547</stp>
        <tr r="C26" s="29"/>
      </tp>
      <tp t="e">
        <v>#N/A</v>
        <stp/>
        <stp>BDH|16243318872086249488</stp>
        <tr r="L62" s="17"/>
      </tp>
      <tp t="e">
        <v>#N/A</v>
        <stp/>
        <stp>BDH|10344059743184948078</stp>
        <tr r="Y79" s="34"/>
      </tp>
      <tp t="e">
        <v>#N/A</v>
        <stp/>
        <stp>BDH|11939510245834681404</stp>
        <tr r="R28" s="34"/>
      </tp>
      <tp t="e">
        <v>#N/A</v>
        <stp/>
        <stp>BDH|10041618112885960215</stp>
        <tr r="E8" s="8"/>
      </tp>
      <tp t="e">
        <v>#N/A</v>
        <stp/>
        <stp>BDH|15023540156351042492</stp>
        <tr r="E32" s="9"/>
      </tp>
      <tp t="e">
        <v>#N/A</v>
        <stp/>
        <stp>BDH|15982829160722562957</stp>
        <tr r="S19" s="26"/>
      </tp>
      <tp t="e">
        <v>#N/A</v>
        <stp/>
        <stp>BDH|10447298571354719108</stp>
        <tr r="W62" s="24"/>
      </tp>
      <tp t="e">
        <v>#N/A</v>
        <stp/>
        <stp>BDH|18173182497041238170</stp>
        <tr r="W22" s="24"/>
      </tp>
      <tp t="e">
        <v>#N/A</v>
        <stp/>
        <stp>BDH|12598362308119140818</stp>
        <tr r="X85" s="12"/>
      </tp>
      <tp t="e">
        <v>#N/A</v>
        <stp/>
        <stp>BDH|11558459647680993155</stp>
        <tr r="K122" s="18"/>
        <tr r="K11" s="20"/>
      </tp>
      <tp t="e">
        <v>#N/A</v>
        <stp/>
        <stp>BDH|11489620678012051258</stp>
        <tr r="N19" s="6"/>
      </tp>
      <tp t="e">
        <v>#N/A</v>
        <stp/>
        <stp>BDH|10887299299538273316</stp>
        <tr r="D181" s="18"/>
      </tp>
      <tp t="e">
        <v>#N/A</v>
        <stp/>
        <stp>BDH|16830024158572806117</stp>
        <tr r="I32" s="9"/>
      </tp>
      <tp t="e">
        <v>#N/A</v>
        <stp/>
        <stp>BDH|13177704839082528565</stp>
        <tr r="D12" s="10"/>
      </tp>
      <tp t="e">
        <v>#N/A</v>
        <stp/>
        <stp>BDH|11228774281437622994</stp>
        <tr r="E43" s="18"/>
      </tp>
      <tp t="e">
        <v>#N/A</v>
        <stp/>
        <stp>BDH|11094617643016886512</stp>
        <tr r="K28" s="18"/>
      </tp>
      <tp t="e">
        <v>#N/A</v>
        <stp/>
        <stp>BDH|16027527596349855377</stp>
        <tr r="E33" s="21"/>
      </tp>
      <tp t="e">
        <v>#N/A</v>
        <stp/>
        <stp>BDH|16247870496846168181</stp>
        <tr r="P38" s="34"/>
      </tp>
      <tp t="e">
        <v>#N/A</v>
        <stp/>
        <stp>BDH|11849136624176082450</stp>
        <tr r="P145" s="18"/>
      </tp>
      <tp t="e">
        <v>#N/A</v>
        <stp/>
        <stp>BDH|11722286649246985155</stp>
        <tr r="O21" s="9"/>
      </tp>
      <tp t="e">
        <v>#N/A</v>
        <stp/>
        <stp>BDH|12315642999789378479</stp>
        <tr r="N24" s="5"/>
      </tp>
      <tp t="e">
        <v>#N/A</v>
        <stp/>
        <stp>BDH|17318719208513907397</stp>
        <tr r="O95" s="18"/>
      </tp>
      <tp t="e">
        <v>#N/A</v>
        <stp/>
        <stp>BDH|15095582273483831496</stp>
        <tr r="Q20" s="34"/>
      </tp>
      <tp t="e">
        <v>#N/A</v>
        <stp/>
        <stp>BDH|16152719354583977774</stp>
        <tr r="Y90" s="17"/>
        <tr r="Y34" s="25"/>
      </tp>
      <tp t="e">
        <v>#N/A</v>
        <stp/>
        <stp>BDH|14418628518123524013</stp>
        <tr r="J62" s="18"/>
      </tp>
      <tp t="e">
        <v>#N/A</v>
        <stp/>
        <stp>BDH|11314033494660680885</stp>
        <tr r="K31" s="18"/>
      </tp>
      <tp t="e">
        <v>#N/A</v>
        <stp/>
        <stp>BDH|15193290132603443742</stp>
        <tr r="Y9" s="30"/>
      </tp>
      <tp t="e">
        <v>#N/A</v>
        <stp/>
        <stp>BDH|10688162545103906663</stp>
        <tr r="V44" s="12"/>
      </tp>
      <tp t="e">
        <v>#N/A</v>
        <stp/>
        <stp>BDH|17471392324900439677</stp>
        <tr r="G211" s="18"/>
      </tp>
      <tp t="e">
        <v>#N/A</v>
        <stp/>
        <stp>BDH|16148613277603587486</stp>
        <tr r="L13" s="5"/>
      </tp>
      <tp t="e">
        <v>#N/A</v>
        <stp/>
        <stp>BDH|14103676950964922352</stp>
        <tr r="Y25" s="27"/>
      </tp>
      <tp t="e">
        <v>#N/A</v>
        <stp/>
        <stp>BDH|17093206404316952376</stp>
        <tr r="J25" s="14"/>
      </tp>
      <tp t="e">
        <v>#N/A</v>
        <stp/>
        <stp>BDH|15969374155997132407</stp>
        <tr r="E31" s="24"/>
      </tp>
      <tp t="e">
        <v>#N/A</v>
        <stp/>
        <stp>BDH|11351562539980179774</stp>
        <tr r="O31" s="34"/>
      </tp>
      <tp t="e">
        <v>#N/A</v>
        <stp/>
        <stp>BDH|12780352215881967148</stp>
        <tr r="I84" s="17"/>
      </tp>
      <tp t="e">
        <v>#N/A</v>
        <stp/>
        <stp>BDH|17626787772197796011</stp>
        <tr r="N75" s="18"/>
      </tp>
      <tp t="e">
        <v>#N/A</v>
        <stp/>
        <stp>BDH|10376396023080756148</stp>
        <tr r="H25" s="26"/>
      </tp>
      <tp t="e">
        <v>#N/A</v>
        <stp/>
        <stp>BDH|16651840994865558294</stp>
        <tr r="K45" s="4"/>
        <tr r="K33" s="10"/>
        <tr r="K23" s="11"/>
        <tr r="M33" s="13"/>
      </tp>
      <tp t="e">
        <v>#N/A</v>
        <stp/>
        <stp>BDH|18112858818015169473</stp>
        <tr r="T132" s="18"/>
      </tp>
      <tp t="e">
        <v>#N/A</v>
        <stp/>
        <stp>BDH|11943867402081468836</stp>
        <tr r="I36" s="21"/>
      </tp>
      <tp t="e">
        <v>#N/A</v>
        <stp/>
        <stp>BDH|12617460178876597773</stp>
        <tr r="X30" s="6"/>
      </tp>
      <tp t="e">
        <v>#N/A</v>
        <stp/>
        <stp>BDH|13163174171316851356</stp>
        <tr r="H80" s="34"/>
      </tp>
      <tp t="e">
        <v>#N/A</v>
        <stp/>
        <stp>BDH|15630292470532022257</stp>
        <tr r="E61" s="21"/>
      </tp>
      <tp t="e">
        <v>#N/A</v>
        <stp/>
        <stp>BDH|15325624830192243292</stp>
        <tr r="Q19" s="6"/>
      </tp>
      <tp t="e">
        <v>#N/A</v>
        <stp/>
        <stp>BDH|17579340550330200194</stp>
        <tr r="M9" s="14"/>
      </tp>
      <tp t="e">
        <v>#N/A</v>
        <stp/>
        <stp>BDH|11224802039242421850</stp>
        <tr r="N119" s="18"/>
        <tr r="N7" s="20"/>
      </tp>
      <tp t="e">
        <v>#N/A</v>
        <stp/>
        <stp>BDH|16926732845307430217</stp>
        <tr r="D31" s="18"/>
      </tp>
      <tp t="e">
        <v>#N/A</v>
        <stp/>
        <stp>BDH|13953351683751619935</stp>
        <tr r="Y50" s="21"/>
      </tp>
      <tp t="e">
        <v>#N/A</v>
        <stp/>
        <stp>BDH|10734856830913896802</stp>
        <tr r="O50" s="21"/>
      </tp>
      <tp t="e">
        <v>#N/A</v>
        <stp/>
        <stp>BDH|10292081987819250152</stp>
        <tr r="J100" s="12"/>
      </tp>
      <tp t="e">
        <v>#N/A</v>
        <stp/>
        <stp>BDH|16459361441475047492</stp>
        <tr r="U54" s="11"/>
      </tp>
      <tp t="e">
        <v>#N/A</v>
        <stp/>
        <stp>BDH|17911580124506938661</stp>
        <tr r="AA197" s="18"/>
      </tp>
      <tp t="e">
        <v>#N/A</v>
        <stp/>
        <stp>BDH|12710495991746746921</stp>
        <tr r="X52" s="13"/>
      </tp>
      <tp t="e">
        <v>#N/A</v>
        <stp/>
        <stp>BDH|17977549536792780367</stp>
        <tr r="H69" s="17"/>
      </tp>
      <tp t="e">
        <v>#N/A</v>
        <stp/>
        <stp>BDH|17530317544521941133</stp>
        <tr r="C26" s="24"/>
      </tp>
      <tp t="e">
        <v>#N/A</v>
        <stp/>
        <stp>BDH|13250421233161915502</stp>
        <tr r="J35" s="26"/>
      </tp>
      <tp t="e">
        <v>#N/A</v>
        <stp/>
        <stp>BDH|10134456606701047583</stp>
        <tr r="C13" s="24"/>
      </tp>
      <tp t="e">
        <v>#N/A</v>
        <stp/>
        <stp>BDH|16894705293869763167</stp>
        <tr r="W18" s="5"/>
        <tr r="W37" s="6"/>
      </tp>
      <tp t="e">
        <v>#N/A</v>
        <stp/>
        <stp>BDH|14873241010184355356</stp>
        <tr r="E20" s="29"/>
      </tp>
      <tp t="e">
        <v>#N/A</v>
        <stp/>
        <stp>BDH|15912209673323577358</stp>
        <tr r="P90" s="24"/>
      </tp>
      <tp t="e">
        <v>#N/A</v>
        <stp/>
        <stp>BDH|10890728380139523656</stp>
        <tr r="S73" s="12"/>
      </tp>
      <tp t="e">
        <v>#N/A</v>
        <stp/>
        <stp>BDH|13549024056486912021</stp>
        <tr r="O45" s="21"/>
      </tp>
      <tp t="e">
        <v>#N/A</v>
        <stp/>
        <stp>BDH|17316192206473741517</stp>
        <tr r="D95" s="24"/>
      </tp>
      <tp t="e">
        <v>#N/A</v>
        <stp/>
        <stp>BDH|17498093296876311858</stp>
        <tr r="Y9" s="26"/>
      </tp>
      <tp t="e">
        <v>#N/A</v>
        <stp/>
        <stp>BDH|18405302640446899914</stp>
        <tr r="F64" s="24"/>
      </tp>
      <tp t="e">
        <v>#N/A</v>
        <stp/>
        <stp>BDH|10769881595259493836</stp>
        <tr r="T15" s="25"/>
      </tp>
      <tp t="e">
        <v>#N/A</v>
        <stp/>
        <stp>BDH|14291083845636750653</stp>
        <tr r="P70" s="24"/>
      </tp>
      <tp t="e">
        <v>#N/A</v>
        <stp/>
        <stp>BDH|15996614157633505572</stp>
        <tr r="E89" s="18"/>
      </tp>
      <tp t="e">
        <v>#N/A</v>
        <stp/>
        <stp>BDH|17884392995594955903</stp>
        <tr r="C7" s="6"/>
      </tp>
      <tp t="e">
        <v>#N/A</v>
        <stp/>
        <stp>BDH|13626138967915693192</stp>
        <tr r="F31" s="34"/>
      </tp>
      <tp t="e">
        <v>#N/A</v>
        <stp/>
        <stp>BDH|15673149046163036393</stp>
        <tr r="F34" s="10"/>
        <tr r="F24" s="11"/>
      </tp>
      <tp t="e">
        <v>#N/A</v>
        <stp/>
        <stp>BDH|15623496809270913129</stp>
        <tr r="Y39" s="26"/>
      </tp>
      <tp t="e">
        <v>#N/A</v>
        <stp/>
        <stp>BDH|15357637443362966579</stp>
        <tr r="Z13" s="26"/>
      </tp>
      <tp t="e">
        <v>#N/A</v>
        <stp/>
        <stp>BDH|16630165061620596194</stp>
        <tr r="O204" s="18"/>
      </tp>
      <tp t="e">
        <v>#N/A</v>
        <stp/>
        <stp>BDH|13564715948946436655</stp>
        <tr r="C39" s="13"/>
      </tp>
      <tp t="e">
        <v>#N/A</v>
        <stp/>
        <stp>BDH|12736128896528642286</stp>
        <tr r="K52" s="17"/>
        <tr r="K10" s="25"/>
      </tp>
      <tp t="e">
        <v>#N/A</v>
        <stp/>
        <stp>BDH|15796655760355763085</stp>
        <tr r="H51" s="24"/>
      </tp>
      <tp t="e">
        <v>#N/A</v>
        <stp/>
        <stp>BDH|11334142200686946630</stp>
        <tr r="Q17" s="6"/>
      </tp>
      <tp t="e">
        <v>#N/A</v>
        <stp/>
        <stp>BDH|17801211352218796819</stp>
        <tr r="Y58" s="18"/>
      </tp>
      <tp t="e">
        <v>#N/A</v>
        <stp/>
        <stp>BDH|16027466528179362900</stp>
        <tr r="E38" s="6"/>
      </tp>
      <tp t="e">
        <v>#N/A</v>
        <stp/>
        <stp>BDH|10340464252986327799</stp>
        <tr r="Z49" s="24"/>
      </tp>
      <tp t="e">
        <v>#N/A</v>
        <stp/>
        <stp>BDH|12093664349305389514</stp>
        <tr r="E32" s="25"/>
        <tr r="E18" s="27"/>
      </tp>
      <tp t="e">
        <v>#N/A</v>
        <stp/>
        <stp>BDH|14540952999603471705</stp>
        <tr r="H64" s="18"/>
      </tp>
      <tp t="e">
        <v>#N/A</v>
        <stp/>
        <stp>BDH|15547316521035109190</stp>
        <tr r="E30" s="10"/>
        <tr r="G39" s="13"/>
      </tp>
      <tp t="e">
        <v>#N/A</v>
        <stp/>
        <stp>BDH|14539429416944839541</stp>
        <tr r="F86" s="17"/>
      </tp>
      <tp t="e">
        <v>#N/A</v>
        <stp/>
        <stp>BDH|16935537170725255157</stp>
        <tr r="E39" s="18"/>
      </tp>
      <tp t="e">
        <v>#N/A</v>
        <stp/>
        <stp>BDH|16834761649753363693</stp>
        <tr r="P34" s="10"/>
        <tr r="P24" s="11"/>
      </tp>
      <tp t="e">
        <v>#N/A</v>
        <stp/>
        <stp>BDH|10880004525613758178</stp>
        <tr r="P81" s="24"/>
      </tp>
      <tp t="e">
        <v>#N/A</v>
        <stp/>
        <stp>BDH|14549297391586619960</stp>
        <tr r="I22" s="10"/>
      </tp>
      <tp t="e">
        <v>#N/A</v>
        <stp/>
        <stp>BDH|16906496860477922347</stp>
        <tr r="AA52" s="13"/>
      </tp>
      <tp t="e">
        <v>#N/A</v>
        <stp/>
        <stp>BDH|10015349299529730379</stp>
        <tr r="Y59" s="11"/>
      </tp>
      <tp t="e">
        <v>#N/A</v>
        <stp/>
        <stp>BDH|12904787022232639580</stp>
        <tr r="C18" s="13"/>
      </tp>
      <tp t="e">
        <v>#N/A</v>
        <stp/>
        <stp>BDH|11643988030818675355</stp>
        <tr r="V32" s="18"/>
      </tp>
      <tp t="e">
        <v>#N/A</v>
        <stp/>
        <stp>BDH|10252342458825436379</stp>
        <tr r="W9" s="3"/>
        <tr r="U51" s="10"/>
        <tr r="U41" s="11"/>
        <tr r="U14" s="7"/>
      </tp>
      <tp t="e">
        <v>#N/A</v>
        <stp/>
        <stp>BDH|11291611500787925079</stp>
        <tr r="V17" s="13"/>
      </tp>
      <tp t="e">
        <v>#N/A</v>
        <stp/>
        <stp>BDH|12066036798259642202</stp>
        <tr r="V71" s="10"/>
        <tr r="V61" s="11"/>
      </tp>
      <tp t="e">
        <v>#N/A</v>
        <stp/>
        <stp>BDH|12492708861730141389</stp>
        <tr r="G17" s="23"/>
      </tp>
      <tp t="e">
        <v>#N/A</v>
        <stp/>
        <stp>BDH|15956737401582091074</stp>
        <tr r="V80" s="12"/>
      </tp>
      <tp t="e">
        <v>#N/A</v>
        <stp/>
        <stp>BDH|17982752381168913080</stp>
        <tr r="M171" s="18"/>
      </tp>
      <tp t="e">
        <v>#N/A</v>
        <stp/>
        <stp>BDH|11699953908271070975</stp>
        <tr r="Q69" s="10"/>
      </tp>
      <tp t="e">
        <v>#N/A</v>
        <stp/>
        <stp>BDH|11830651877846230640</stp>
        <tr r="X13" s="30"/>
      </tp>
      <tp t="e">
        <v>#N/A</v>
        <stp/>
        <stp>BDH|16083031819462471523</stp>
        <tr r="V35" s="22"/>
      </tp>
      <tp t="e">
        <v>#N/A</v>
        <stp/>
        <stp>BDH|12685441209160525623</stp>
        <tr r="O84" s="17"/>
      </tp>
      <tp t="e">
        <v>#N/A</v>
        <stp/>
        <stp>BDH|11813556416136163369</stp>
        <tr r="F56" s="13"/>
      </tp>
      <tp t="e">
        <v>#N/A</v>
        <stp/>
        <stp>BDH|12898717738354438297</stp>
        <tr r="S17" s="21"/>
      </tp>
      <tp t="e">
        <v>#N/A</v>
        <stp/>
        <stp>BDH|12421028879123155626</stp>
        <tr r="C9" s="26"/>
      </tp>
      <tp t="e">
        <v>#N/A</v>
        <stp/>
        <stp>BDH|15942322378803948262</stp>
        <tr r="W68" s="17"/>
        <tr r="T8" s="5"/>
        <tr r="T8" s="9"/>
      </tp>
      <tp t="e">
        <v>#N/A</v>
        <stp/>
        <stp>BDH|17437043231456580284</stp>
        <tr r="V9" s="23"/>
      </tp>
      <tp t="e">
        <v>#N/A</v>
        <stp/>
        <stp>BDH|10469686258034172799</stp>
        <tr r="U29" s="17"/>
      </tp>
      <tp t="e">
        <v>#N/A</v>
        <stp/>
        <stp>BDH|11548594513134655159</stp>
        <tr r="R25" s="12"/>
      </tp>
      <tp t="e">
        <v>#N/A</v>
        <stp/>
        <stp>BDH|10082352738441952186</stp>
        <tr r="D189" s="18"/>
      </tp>
      <tp t="e">
        <v>#N/A</v>
        <stp/>
        <stp>BDH|14535087974002400118</stp>
        <tr r="C29" s="22"/>
      </tp>
      <tp t="e">
        <v>#N/A</v>
        <stp/>
        <stp>BDH|11025156432163859033</stp>
        <tr r="F29" s="13"/>
      </tp>
      <tp t="e">
        <v>#N/A</v>
        <stp/>
        <stp>BDH|15883772832895727463</stp>
        <tr r="P70" s="34"/>
      </tp>
      <tp t="e">
        <v>#N/A</v>
        <stp/>
        <stp>BDH|15819223846317161414</stp>
        <tr r="AA85" s="18"/>
      </tp>
      <tp t="e">
        <v>#N/A</v>
        <stp/>
        <stp>BDH|14612433219385001403</stp>
        <tr r="Y35" s="22"/>
      </tp>
      <tp t="e">
        <v>#N/A</v>
        <stp/>
        <stp>BDH|16489599273750736457</stp>
        <tr r="R22" s="21"/>
      </tp>
      <tp t="e">
        <v>#N/A</v>
        <stp/>
        <stp>BDH|10904745457735616701</stp>
        <tr r="P15" s="18"/>
      </tp>
      <tp t="e">
        <v>#N/A</v>
        <stp/>
        <stp>BDH|11729786203657678167</stp>
        <tr r="Z39" s="22"/>
      </tp>
      <tp t="e">
        <v>#N/A</v>
        <stp/>
        <stp>BDH|17923664714245339546</stp>
        <tr r="AA168" s="18"/>
      </tp>
      <tp t="e">
        <v>#N/A</v>
        <stp/>
        <stp>BDH|13840333043927076348</stp>
        <tr r="M22" s="22"/>
      </tp>
      <tp t="e">
        <v>#N/A</v>
        <stp/>
        <stp>BDH|10636773795298139690</stp>
        <tr r="V35" s="34"/>
      </tp>
      <tp t="e">
        <v>#N/A</v>
        <stp/>
        <stp>BDH|10763020282158869031</stp>
        <tr r="H33" s="18"/>
      </tp>
      <tp t="e">
        <v>#N/A</v>
        <stp/>
        <stp>BDH|10853501912152116674</stp>
        <tr r="D20" s="27"/>
      </tp>
      <tp t="e">
        <v>#N/A</v>
        <stp/>
        <stp>BDH|15508176776000936315</stp>
        <tr r="L24" s="4"/>
        <tr r="L55" s="11"/>
      </tp>
      <tp t="e">
        <v>#N/A</v>
        <stp/>
        <stp>BDH|13063721040722719291</stp>
        <tr r="S42" s="34"/>
      </tp>
      <tp t="e">
        <v>#N/A</v>
        <stp/>
        <stp>BDH|10673929524409420288</stp>
        <tr r="X51" s="13"/>
      </tp>
      <tp t="e">
        <v>#N/A</v>
        <stp/>
        <stp>BDH|14668018515382724798</stp>
        <tr r="T68" s="24"/>
      </tp>
      <tp t="e">
        <v>#N/A</v>
        <stp/>
        <stp>BDH|11928123522610541206</stp>
        <tr r="V21" s="3"/>
      </tp>
      <tp t="e">
        <v>#N/A</v>
        <stp/>
        <stp>BDH|18308321782764761785</stp>
        <tr r="S55" s="17"/>
      </tp>
      <tp t="e">
        <v>#N/A</v>
        <stp/>
        <stp>BDH|10833041543052015609</stp>
        <tr r="R51" s="24"/>
      </tp>
      <tp t="e">
        <v>#N/A</v>
        <stp/>
        <stp>BDH|15504667398209599315</stp>
        <tr r="X20" s="23"/>
      </tp>
      <tp t="e">
        <v>#N/A</v>
        <stp/>
        <stp>BDH|18151112252368891454</stp>
        <tr r="S165" s="18"/>
      </tp>
      <tp t="e">
        <v>#N/A</v>
        <stp/>
        <stp>BDH|10107927413501833978</stp>
        <tr r="F19" s="30"/>
      </tp>
      <tp t="e">
        <v>#N/A</v>
        <stp/>
        <stp>BDH|16322408608717418504</stp>
        <tr r="I12" s="13"/>
      </tp>
      <tp t="e">
        <v>#N/A</v>
        <stp/>
        <stp>BDH|17444383993249548459</stp>
        <tr r="W90" s="12"/>
      </tp>
      <tp t="e">
        <v>#N/A</v>
        <stp/>
        <stp>BDH|16912337702923739603</stp>
        <tr r="M10" s="34"/>
      </tp>
      <tp t="e">
        <v>#N/A</v>
        <stp/>
        <stp>BDH|15201983997643589672</stp>
        <tr r="T54" s="6"/>
      </tp>
      <tp t="e">
        <v>#N/A</v>
        <stp/>
        <stp>BDH|11549555009583295742</stp>
        <tr r="S114" s="18"/>
      </tp>
      <tp t="e">
        <v>#N/A</v>
        <stp/>
        <stp>BDH|16480121449687348434</stp>
        <tr r="F29" s="17"/>
      </tp>
      <tp t="e">
        <v>#N/A</v>
        <stp/>
        <stp>BDH|10055495560142092067</stp>
        <tr r="Y57" s="12"/>
      </tp>
      <tp t="e">
        <v>#N/A</v>
        <stp/>
        <stp>BDH|15315794041142294463</stp>
        <tr r="V62" s="24"/>
      </tp>
      <tp t="e">
        <v>#N/A</v>
        <stp/>
        <stp>BDH|17976459241162497568</stp>
        <tr r="AA22" s="20"/>
      </tp>
      <tp t="e">
        <v>#N/A</v>
        <stp/>
        <stp>BDH|14230883668058493297</stp>
        <tr r="X8" s="14"/>
      </tp>
      <tp t="e">
        <v>#N/A</v>
        <stp/>
        <stp>BDH|14442225172716280793</stp>
        <tr r="L56" s="17"/>
      </tp>
      <tp t="e">
        <v>#N/A</v>
        <stp/>
        <stp>BDH|10906328544272665560</stp>
        <tr r="I17" s="10"/>
        <tr r="K16" s="13"/>
        <tr r="K30" s="13"/>
      </tp>
      <tp t="e">
        <v>#N/A</v>
        <stp/>
        <stp>BDH|16597352178703186167</stp>
        <tr r="E14" s="8"/>
      </tp>
      <tp t="e">
        <v>#N/A</v>
        <stp/>
        <stp>BDH|15597746902426504499</stp>
        <tr r="Z47" s="21"/>
      </tp>
      <tp t="e">
        <v>#N/A</v>
        <stp/>
        <stp>BDH|11842129909137863748</stp>
        <tr r="T210" s="18"/>
      </tp>
      <tp t="e">
        <v>#N/A</v>
        <stp/>
        <stp>BDH|14190692842231621739</stp>
        <tr r="T7" s="11"/>
      </tp>
      <tp t="e">
        <v>#N/A</v>
        <stp/>
        <stp>BDH|15950373564732738223</stp>
        <tr r="U110" s="18"/>
      </tp>
      <tp t="e">
        <v>#N/A</v>
        <stp/>
        <stp>BDH|10519034028135863793</stp>
        <tr r="AA73" s="24"/>
      </tp>
      <tp t="e">
        <v>#N/A</v>
        <stp/>
        <stp>BDH|13268805670228883459</stp>
        <tr r="K54" s="24"/>
      </tp>
      <tp t="e">
        <v>#N/A</v>
        <stp/>
        <stp>BDH|13073499560337140679</stp>
        <tr r="J7" s="34"/>
      </tp>
      <tp t="e">
        <v>#N/A</v>
        <stp/>
        <stp>BDH|11511020468403834486</stp>
        <tr r="E27" s="22"/>
      </tp>
      <tp t="e">
        <v>#N/A</v>
        <stp/>
        <stp>BDH|12932576612565770347</stp>
        <tr r="K35" s="6"/>
      </tp>
      <tp t="e">
        <v>#N/A</v>
        <stp/>
        <stp>BDH|12105714317337063386</stp>
        <tr r="U25" s="4"/>
        <tr r="U65" s="10"/>
      </tp>
      <tp t="e">
        <v>#N/A</v>
        <stp/>
        <stp>BDH|11680994107700099874</stp>
        <tr r="AA46" s="21"/>
      </tp>
      <tp t="e">
        <v>#N/A</v>
        <stp/>
        <stp>BDH|10590692246563014159</stp>
        <tr r="O27" s="7"/>
      </tp>
      <tp t="e">
        <v>#N/A</v>
        <stp/>
        <stp>BDH|17107473625011502095</stp>
        <tr r="V31" s="10"/>
        <tr r="X40" s="13"/>
      </tp>
      <tp t="e">
        <v>#N/A</v>
        <stp/>
        <stp>BDH|14938362037462000670</stp>
        <tr r="H7" s="24"/>
      </tp>
      <tp t="e">
        <v>#N/A</v>
        <stp/>
        <stp>BDH|17863453764561552431</stp>
        <tr r="K61" s="24"/>
      </tp>
      <tp t="e">
        <v>#N/A</v>
        <stp/>
        <stp>BDH|10225093373824362354</stp>
        <tr r="X190" s="18"/>
      </tp>
      <tp t="e">
        <v>#N/A</v>
        <stp/>
        <stp>BDH|12395068530582382385</stp>
        <tr r="AA12" s="17"/>
      </tp>
      <tp t="e">
        <v>#N/A</v>
        <stp/>
        <stp>BDH|10601562537160833619</stp>
        <tr r="R84" s="24"/>
      </tp>
      <tp t="e">
        <v>#N/A</v>
        <stp/>
        <stp>BDH|11386150616470646181</stp>
        <tr r="Z144" s="18"/>
      </tp>
      <tp t="e">
        <v>#N/A</v>
        <stp/>
        <stp>BDH|11934638154610737277</stp>
        <tr r="AA102" s="18"/>
      </tp>
      <tp t="e">
        <v>#N/A</v>
        <stp/>
        <stp>BDH|14281991596833419778</stp>
        <tr r="Z82" s="17"/>
        <tr r="Z20" s="3"/>
        <tr r="X6" s="7"/>
      </tp>
      <tp t="e">
        <v>#N/A</v>
        <stp/>
        <stp>BDH|16887031048181887358</stp>
        <tr r="I63" s="13"/>
      </tp>
      <tp t="e">
        <v>#N/A</v>
        <stp/>
        <stp>BDH|10101179468295608263</stp>
        <tr r="M6" s="27"/>
      </tp>
      <tp t="e">
        <v>#N/A</v>
        <stp/>
        <stp>BDH|15177741732847828613</stp>
        <tr r="Y96" s="18"/>
      </tp>
      <tp t="e">
        <v>#N/A</v>
        <stp/>
        <stp>BDH|17473520335868920942</stp>
        <tr r="F8" s="4"/>
      </tp>
      <tp t="e">
        <v>#N/A</v>
        <stp/>
        <stp>BDH|12695920376568901453</stp>
        <tr r="W194" s="18"/>
      </tp>
      <tp t="e">
        <v>#N/A</v>
        <stp/>
        <stp>BDH|12060489177638112907</stp>
        <tr r="D13" s="21"/>
      </tp>
      <tp t="e">
        <v>#N/A</v>
        <stp/>
        <stp>BDH|12862369004175065447</stp>
        <tr r="M31" s="25"/>
        <tr r="J14" s="5"/>
        <tr r="M17" s="27"/>
      </tp>
      <tp t="e">
        <v>#N/A</v>
        <stp/>
        <stp>BDH|14438298277913057249</stp>
        <tr r="I196" s="18"/>
      </tp>
      <tp t="e">
        <v>#N/A</v>
        <stp/>
        <stp>BDH|13319653529545210238</stp>
        <tr r="X35" s="25"/>
      </tp>
      <tp t="e">
        <v>#N/A</v>
        <stp/>
        <stp>BDH|10458065670892801546</stp>
        <tr r="L28" s="10"/>
        <tr r="N37" s="13"/>
      </tp>
      <tp t="e">
        <v>#N/A</v>
        <stp/>
        <stp>BDH|12173161569266209329</stp>
        <tr r="Z41" s="22"/>
      </tp>
      <tp t="e">
        <v>#N/A</v>
        <stp/>
        <stp>BDH|16450339789728144512</stp>
        <tr r="V14" s="11"/>
      </tp>
      <tp t="e">
        <v>#N/A</v>
        <stp/>
        <stp>BDH|15343366407386490084</stp>
        <tr r="L38" s="25"/>
      </tp>
      <tp t="e">
        <v>#N/A</v>
        <stp/>
        <stp>BDH|16228076855117908479</stp>
        <tr r="X11" s="7"/>
      </tp>
      <tp t="e">
        <v>#N/A</v>
        <stp/>
        <stp>BDH|11087642842077903416</stp>
        <tr r="E14" s="6"/>
      </tp>
      <tp t="e">
        <v>#N/A</v>
        <stp/>
        <stp>BDH|11932953486116385675</stp>
        <tr r="W18" s="6"/>
      </tp>
      <tp t="e">
        <v>#N/A</v>
        <stp/>
        <stp>BDH|14091433218086312768</stp>
        <tr r="X42" s="34"/>
      </tp>
      <tp t="e">
        <v>#N/A</v>
        <stp/>
        <stp>BDH|10297214911967520495</stp>
        <tr r="D55" s="24"/>
      </tp>
      <tp t="e">
        <v>#N/A</v>
        <stp/>
        <stp>BDH|13711305178305235237</stp>
        <tr r="T154" s="18"/>
      </tp>
      <tp t="e">
        <v>#N/A</v>
        <stp/>
        <stp>BDH|17192463253272886423</stp>
        <tr r="I43" s="22"/>
      </tp>
      <tp t="e">
        <v>#N/A</v>
        <stp/>
        <stp>BDH|14126615078401593438</stp>
        <tr r="C63" s="18"/>
      </tp>
      <tp t="e">
        <v>#N/A</v>
        <stp/>
        <stp>BDH|14202499615360605168</stp>
        <tr r="N68" s="12"/>
      </tp>
      <tp t="e">
        <v>#N/A</v>
        <stp/>
        <stp>BDH|15164136438073100452</stp>
        <tr r="N121" s="18"/>
        <tr r="N9" s="20"/>
      </tp>
      <tp t="e">
        <v>#N/A</v>
        <stp/>
        <stp>BDH|17025447927476509783</stp>
        <tr r="T59" s="12"/>
      </tp>
      <tp t="e">
        <v>#N/A</v>
        <stp/>
        <stp>BDH|17562062076610951025</stp>
        <tr r="X13" s="21"/>
      </tp>
      <tp t="e">
        <v>#N/A</v>
        <stp/>
        <stp>BDH|11044465749700918186</stp>
        <tr r="I45" s="18"/>
      </tp>
      <tp t="e">
        <v>#N/A</v>
        <stp/>
        <stp>BDH|15852104664980218208</stp>
        <tr r="X42" s="4"/>
      </tp>
      <tp t="e">
        <v>#N/A</v>
        <stp/>
        <stp>BDH|10167876797742824374</stp>
        <tr r="U116" s="18"/>
      </tp>
      <tp t="e">
        <v>#N/A</v>
        <stp/>
        <stp>BDH|14950373961214506544</stp>
        <tr r="L14" s="34"/>
      </tp>
      <tp t="e">
        <v>#N/A</v>
        <stp/>
        <stp>BDH|16305467157493456486</stp>
        <tr r="C26" s="7"/>
      </tp>
      <tp t="e">
        <v>#N/A</v>
        <stp/>
        <stp>BDH|10033905296419902912</stp>
        <tr r="R33" s="22"/>
      </tp>
      <tp t="e">
        <v>#N/A</v>
        <stp/>
        <stp>BDH|15660196235556555110</stp>
        <tr r="R24" s="24"/>
      </tp>
      <tp t="e">
        <v>#N/A</v>
        <stp/>
        <stp>BDH|15853462444280362574</stp>
        <tr r="W31" s="25"/>
        <tr r="T14" s="5"/>
        <tr r="W17" s="27"/>
      </tp>
      <tp t="e">
        <v>#N/A</v>
        <stp/>
        <stp>BDH|18041663973841992821</stp>
        <tr r="W67" s="34"/>
      </tp>
      <tp t="e">
        <v>#N/A</v>
        <stp/>
        <stp>BDH|11510519841882869231</stp>
        <tr r="L49" s="21"/>
      </tp>
      <tp t="e">
        <v>#N/A</v>
        <stp/>
        <stp>BDH|10408012470772809532</stp>
        <tr r="W47" s="22"/>
      </tp>
      <tp t="e">
        <v>#N/A</v>
        <stp/>
        <stp>BDH|10421350419424032663</stp>
        <tr r="AA40" s="24"/>
      </tp>
      <tp t="e">
        <v>#N/A</v>
        <stp/>
        <stp>BDH|12696739618800765448</stp>
        <tr r="E23" s="5"/>
        <tr r="E23" s="9"/>
      </tp>
      <tp t="e">
        <v>#N/A</v>
        <stp/>
        <stp>BDH|18056309744976260985</stp>
        <tr r="P20" s="24"/>
      </tp>
      <tp t="e">
        <v>#N/A</v>
        <stp/>
        <stp>BDH|13867642084055398858</stp>
        <tr r="O41" s="17"/>
        <tr r="O9" s="25"/>
      </tp>
      <tp t="e">
        <v>#N/A</v>
        <stp/>
        <stp>BDH|17291489355042652470</stp>
        <tr r="P18" s="29"/>
        <tr r="P41" s="29"/>
      </tp>
      <tp t="e">
        <v>#N/A</v>
        <stp/>
        <stp>BDH|12331286106127098739</stp>
        <tr r="D83" s="18"/>
      </tp>
      <tp t="e">
        <v>#N/A</v>
        <stp/>
        <stp>BDH|13241467769035400477</stp>
        <tr r="H19" s="10"/>
      </tp>
      <tp t="e">
        <v>#N/A</v>
        <stp/>
        <stp>BDH|15901339244526876570</stp>
        <tr r="W141" s="18"/>
      </tp>
      <tp t="e">
        <v>#N/A</v>
        <stp/>
        <stp>BDH|12815358013697661693</stp>
        <tr r="Z70" s="24"/>
      </tp>
      <tp t="e">
        <v>#N/A</v>
        <stp/>
        <stp>BDH|15458946900545643878</stp>
        <tr r="E49" s="17"/>
      </tp>
      <tp t="e">
        <v>#N/A</v>
        <stp/>
        <stp>BDH|12888976418389546233</stp>
        <tr r="E20" s="22"/>
      </tp>
      <tp t="e">
        <v>#N/A</v>
        <stp/>
        <stp>BDH|17047385598375307928</stp>
        <tr r="G16" s="29"/>
        <tr r="G39" s="29"/>
      </tp>
      <tp t="e">
        <v>#N/A</v>
        <stp/>
        <stp>BDH|16363415549476277189</stp>
        <tr r="R32" s="17"/>
      </tp>
      <tp t="e">
        <v>#N/A</v>
        <stp/>
        <stp>BDH|13696282153742862743</stp>
        <tr r="V52" s="12"/>
      </tp>
      <tp t="e">
        <v>#N/A</v>
        <stp/>
        <stp>BDH|15815174794919226586</stp>
        <tr r="J123" s="18"/>
        <tr r="J12" s="20"/>
      </tp>
      <tp t="e">
        <v>#N/A</v>
        <stp/>
        <stp>BDH|16677796169957717101</stp>
        <tr r="O19" s="26"/>
      </tp>
      <tp t="e">
        <v>#N/A</v>
        <stp/>
        <stp>BDH|15383568275333995582</stp>
        <tr r="X40" s="17"/>
      </tp>
      <tp t="e">
        <v>#N/A</v>
        <stp/>
        <stp>BDH|10871805181271987010</stp>
        <tr r="U21" s="10"/>
      </tp>
      <tp t="e">
        <v>#N/A</v>
        <stp/>
        <stp>BDH|15795760126157381658</stp>
        <tr r="V57" s="13"/>
      </tp>
      <tp t="e">
        <v>#N/A</v>
        <stp/>
        <stp>BDH|12617550042433757178</stp>
        <tr r="G20" s="34"/>
      </tp>
      <tp t="e">
        <v>#N/A</v>
        <stp/>
        <stp>BDH|15316921868342038988</stp>
        <tr r="W199" s="18"/>
      </tp>
      <tp t="e">
        <v>#N/A</v>
        <stp/>
        <stp>BDH|17396278397408192533</stp>
        <tr r="S61" s="21"/>
      </tp>
      <tp t="e">
        <v>#N/A</v>
        <stp/>
        <stp>BDH|15953432383801816901</stp>
        <tr r="K32" s="10"/>
        <tr r="M41" s="13"/>
      </tp>
      <tp t="e">
        <v>#N/A</v>
        <stp/>
        <stp>BDH|13780227043682565621</stp>
        <tr r="M67" s="18"/>
      </tp>
      <tp t="e">
        <v>#N/A</v>
        <stp/>
        <stp>BDH|15461597407242856338</stp>
        <tr r="R59" s="34"/>
      </tp>
      <tp t="e">
        <v>#N/A</v>
        <stp/>
        <stp>BDH|11698669119093889405</stp>
        <tr r="C53" s="17"/>
      </tp>
      <tp t="e">
        <v>#N/A</v>
        <stp/>
        <stp>BDH|11231514885245512828</stp>
        <tr r="Y32" s="24"/>
      </tp>
      <tp t="e">
        <v>#N/A</v>
        <stp/>
        <stp>BDH|14223205021091494462</stp>
        <tr r="G71" s="18"/>
      </tp>
      <tp t="e">
        <v>#N/A</v>
        <stp/>
        <stp>BDH|17217237457181537027</stp>
        <tr r="P49" s="18"/>
      </tp>
      <tp t="e">
        <v>#N/A</v>
        <stp/>
        <stp>BDH|14984744319061376268</stp>
        <tr r="G12" s="13"/>
      </tp>
      <tp t="e">
        <v>#N/A</v>
        <stp/>
        <stp>BDH|15228193575685662792</stp>
        <tr r="Q45" s="34"/>
      </tp>
      <tp t="e">
        <v>#N/A</v>
        <stp/>
        <stp>BDH|15552044977241548224</stp>
        <tr r="U70" s="24"/>
      </tp>
      <tp t="e">
        <v>#N/A</v>
        <stp/>
        <stp>BDH|12763658730410784641</stp>
        <tr r="D92" s="12"/>
      </tp>
      <tp t="e">
        <v>#N/A</v>
        <stp/>
        <stp>BDH|15384179697085315912</stp>
        <tr r="C7" s="2"/>
        <tr r="E14" s="3"/>
      </tp>
      <tp t="e">
        <v>#N/A</v>
        <stp/>
        <stp>BDH|15047764941753462423</stp>
        <tr r="F9" s="27"/>
      </tp>
      <tp t="e">
        <v>#N/A</v>
        <stp/>
        <stp>BDH|14219202929906396391</stp>
        <tr r="AA9" s="30"/>
      </tp>
      <tp t="e">
        <v>#N/A</v>
        <stp/>
        <stp>BDH|14878922328709663755</stp>
        <tr r="V114" s="18"/>
      </tp>
      <tp t="e">
        <v>#N/A</v>
        <stp/>
        <stp>BDH|11688907817771619969</stp>
        <tr r="F17" s="17"/>
        <tr r="F20" s="28"/>
      </tp>
      <tp t="e">
        <v>#N/A</v>
        <stp/>
        <stp>BDH|16358007919610315685</stp>
        <tr r="C53" s="6"/>
      </tp>
      <tp t="e">
        <v>#N/A</v>
        <stp/>
        <stp>BDH|12938044144282127597</stp>
        <tr r="J77" s="24"/>
      </tp>
      <tp t="e">
        <v>#N/A</v>
        <stp/>
        <stp>BDH|10843221613926185494</stp>
        <tr r="C7" s="11"/>
      </tp>
      <tp t="e">
        <v>#N/A</v>
        <stp/>
        <stp>BDH|18249940436044543747</stp>
        <tr r="L139" s="18"/>
      </tp>
      <tp t="e">
        <v>#N/A</v>
        <stp/>
        <stp>BDH|16442552021279740966</stp>
        <tr r="H60" s="18"/>
      </tp>
      <tp t="e">
        <v>#N/A</v>
        <stp/>
        <stp>BDH|17669214167165879792</stp>
        <tr r="C43" s="21"/>
      </tp>
      <tp t="e">
        <v>#N/A</v>
        <stp/>
        <stp>BDH|16945384227740732602</stp>
        <tr r="Z17" s="24"/>
      </tp>
      <tp t="e">
        <v>#N/A</v>
        <stp/>
        <stp>BDH|16348146047003831194</stp>
        <tr r="X9" s="27"/>
      </tp>
      <tp t="e">
        <v>#N/A</v>
        <stp/>
        <stp>BDH|12900604169205365625</stp>
        <tr r="P38" s="10"/>
        <tr r="P28" s="11"/>
        <tr r="R47" s="13"/>
      </tp>
      <tp t="e">
        <v>#N/A</v>
        <stp/>
        <stp>BDH|14599962530799601649</stp>
        <tr r="O16" s="14"/>
      </tp>
      <tp t="e">
        <v>#N/A</v>
        <stp/>
        <stp>BDH|14603646027478412906</stp>
        <tr r="P149" s="18"/>
      </tp>
      <tp t="e">
        <v>#N/A</v>
        <stp/>
        <stp>BDH|17724104655042013033</stp>
        <tr r="E17" s="20"/>
      </tp>
      <tp t="e">
        <v>#N/A</v>
        <stp/>
        <stp>BDH|12954412648174752767</stp>
        <tr r="N17" s="12"/>
      </tp>
      <tp t="e">
        <v>#N/A</v>
        <stp/>
        <stp>BDH|14504575471407020027</stp>
        <tr r="C34" s="24"/>
      </tp>
      <tp t="e">
        <v>#N/A</v>
        <stp/>
        <stp>BDH|12697565456094377750</stp>
        <tr r="N48" s="13"/>
      </tp>
      <tp t="e">
        <v>#N/A</v>
        <stp/>
        <stp>BDH|14831671340961859675</stp>
        <tr r="C24" s="22"/>
      </tp>
      <tp t="e">
        <v>#N/A</v>
        <stp/>
        <stp>BDH|14691610496363904981</stp>
        <tr r="X79" s="18"/>
      </tp>
      <tp t="e">
        <v>#N/A</v>
        <stp/>
        <stp>BDH|15779132820771000649</stp>
        <tr r="P66" s="12"/>
      </tp>
      <tp t="e">
        <v>#N/A</v>
        <stp/>
        <stp>BDH|13038268553653278671</stp>
        <tr r="V50" s="4"/>
      </tp>
      <tp t="e">
        <v>#N/A</v>
        <stp/>
        <stp>BDH|13402028807624337627</stp>
        <tr r="G63" s="10"/>
      </tp>
      <tp t="e">
        <v>#N/A</v>
        <stp/>
        <stp>BDH|16376945375918664147</stp>
        <tr r="P52" s="12"/>
      </tp>
      <tp t="e">
        <v>#N/A</v>
        <stp/>
        <stp>BDH|14374514004940473024</stp>
        <tr r="X172" s="18"/>
      </tp>
      <tp t="e">
        <v>#N/A</v>
        <stp/>
        <stp>BDH|13632616542143281375</stp>
        <tr r="W106" s="12"/>
      </tp>
      <tp t="e">
        <v>#N/A</v>
        <stp/>
        <stp>BDH|14906790667882516626</stp>
        <tr r="F18" s="11"/>
      </tp>
      <tp t="e">
        <v>#N/A</v>
        <stp/>
        <stp>BDH|13362080325920828062</stp>
        <tr r="U55" s="21"/>
      </tp>
      <tp t="e">
        <v>#N/A</v>
        <stp/>
        <stp>BDH|17765725197660096823</stp>
        <tr r="X23" s="12"/>
      </tp>
      <tp t="e">
        <v>#N/A</v>
        <stp/>
        <stp>BDH|10449252687633791817</stp>
        <tr r="Q33" s="5"/>
      </tp>
      <tp t="e">
        <v>#N/A</v>
        <stp/>
        <stp>BDH|15408258000676492059</stp>
        <tr r="O72" s="12"/>
      </tp>
      <tp t="e">
        <v>#N/A</v>
        <stp/>
        <stp>BDH|15909231618956126134</stp>
        <tr r="J56" s="18"/>
      </tp>
      <tp t="e">
        <v>#N/A</v>
        <stp/>
        <stp>BDH|16846608084171568895</stp>
        <tr r="P38" s="22"/>
      </tp>
      <tp t="e">
        <v>#N/A</v>
        <stp/>
        <stp>BDH|11011525812887045306</stp>
        <tr r="Q19" s="34"/>
      </tp>
      <tp t="e">
        <v>#N/A</v>
        <stp/>
        <stp>BDH|13453781298948362475</stp>
        <tr r="X27" s="25"/>
        <tr r="X13" s="27"/>
      </tp>
      <tp t="e">
        <v>#N/A</v>
        <stp/>
        <stp>BDH|10700604442666393567</stp>
        <tr r="U21" s="2"/>
      </tp>
      <tp t="e">
        <v>#N/A</v>
        <stp/>
        <stp>BDH|14504515103030439035</stp>
        <tr r="R119" s="18"/>
        <tr r="R7" s="20"/>
      </tp>
      <tp t="e">
        <v>#N/A</v>
        <stp/>
        <stp>BDH|15396998984735625087</stp>
        <tr r="L35" s="4"/>
      </tp>
      <tp t="e">
        <v>#N/A</v>
        <stp/>
        <stp>BDH|10987487835474410209</stp>
        <tr r="M57" s="34"/>
      </tp>
      <tp t="e">
        <v>#N/A</v>
        <stp/>
        <stp>BDH|14028587180909881107</stp>
        <tr r="W22" s="14"/>
      </tp>
      <tp t="e">
        <v>#N/A</v>
        <stp/>
        <stp>BDH|14548487155647815307</stp>
        <tr r="X11" s="22"/>
      </tp>
      <tp t="e">
        <v>#N/A</v>
        <stp/>
        <stp>BDH|10551142507867146778</stp>
        <tr r="L23" s="23"/>
      </tp>
      <tp t="e">
        <v>#N/A</v>
        <stp/>
        <stp>BDH|10346959269137871979</stp>
        <tr r="J19" s="34"/>
      </tp>
      <tp t="e">
        <v>#N/A</v>
        <stp/>
        <stp>BDH|13299847882164547619</stp>
        <tr r="Z22" s="12"/>
      </tp>
      <tp t="e">
        <v>#N/A</v>
        <stp/>
        <stp>BDH|11740262176196561320</stp>
        <tr r="Z88" s="17"/>
      </tp>
      <tp t="e">
        <v>#N/A</v>
        <stp/>
        <stp>BDH|11166450346640234002</stp>
        <tr r="O36" s="21"/>
      </tp>
      <tp t="e">
        <v>#N/A</v>
        <stp/>
        <stp>BDH|17376352692349573510</stp>
        <tr r="J19" s="9"/>
      </tp>
      <tp t="e">
        <v>#N/A</v>
        <stp/>
        <stp>BDH|10115354701786215473</stp>
        <tr r="C59" s="21"/>
        <tr r="C37" s="25"/>
      </tp>
      <tp t="e">
        <v>#N/A</v>
        <stp/>
        <stp>BDH|11184844797895264402</stp>
        <tr r="R11" s="9"/>
      </tp>
      <tp t="e">
        <v>#N/A</v>
        <stp/>
        <stp>BDH|11528520212161504503</stp>
        <tr r="AA12" s="26"/>
      </tp>
      <tp t="e">
        <v>#N/A</v>
        <stp/>
        <stp>BDH|13166222410521765047</stp>
        <tr r="O39" s="25"/>
        <tr r="O7" s="3"/>
        <tr r="M17" s="11"/>
        <tr r="O22" s="13"/>
        <tr r="O7" s="13"/>
      </tp>
      <tp t="e">
        <v>#N/A</v>
        <stp/>
        <stp>BDH|12235377326500312200</stp>
        <tr r="D36" s="10"/>
        <tr r="D48" s="10"/>
        <tr r="D26" s="11"/>
        <tr r="D38" s="11"/>
      </tp>
      <tp t="e">
        <v>#N/A</v>
        <stp/>
        <stp>BDH|17160830168518201083</stp>
        <tr r="E29" s="14"/>
      </tp>
      <tp t="e">
        <v>#N/A</v>
        <stp/>
        <stp>BDH|18053776221458048464</stp>
        <tr r="N88" s="12"/>
      </tp>
      <tp t="e">
        <v>#N/A</v>
        <stp/>
        <stp>BDH|10398501697798198551</stp>
        <tr r="X12" s="12"/>
      </tp>
      <tp t="e">
        <v>#N/A</v>
        <stp/>
        <stp>BDH|16377214458286314697</stp>
        <tr r="T7" s="34"/>
      </tp>
      <tp t="e">
        <v>#N/A</v>
        <stp/>
        <stp>BDH|16598995324744091885</stp>
        <tr r="V71" s="17"/>
      </tp>
      <tp t="e">
        <v>#N/A</v>
        <stp/>
        <stp>BDH|11065114971317658163</stp>
        <tr r="K32" s="17"/>
      </tp>
      <tp t="e">
        <v>#N/A</v>
        <stp/>
        <stp>BDH|12217014643657950091</stp>
        <tr r="J73" s="12"/>
      </tp>
      <tp t="e">
        <v>#N/A</v>
        <stp/>
        <stp>BDH|17463413352440175761</stp>
        <tr r="P170" s="18"/>
      </tp>
      <tp t="e">
        <v>#N/A</v>
        <stp/>
        <stp>BDH|16399036365869793828</stp>
        <tr r="D7" s="11"/>
      </tp>
      <tp t="e">
        <v>#N/A</v>
        <stp/>
        <stp>BDH|16338466182043723801</stp>
        <tr r="R72" s="10"/>
        <tr r="R62" s="11"/>
      </tp>
      <tp t="e">
        <v>#N/A</v>
        <stp/>
        <stp>BDH|10199410041134960588</stp>
        <tr r="C36" s="10"/>
        <tr r="C48" s="10"/>
        <tr r="C26" s="11"/>
        <tr r="C38" s="11"/>
      </tp>
      <tp t="e">
        <v>#N/A</v>
        <stp/>
        <stp>BDH|16803285231447231134</stp>
        <tr r="Y51" s="18"/>
      </tp>
      <tp t="e">
        <v>#N/A</v>
        <stp/>
        <stp>BDH|10240735129037115396</stp>
        <tr r="K38" s="25"/>
      </tp>
      <tp t="e">
        <v>#N/A</v>
        <stp/>
        <stp>BDH|16695853920495596861</stp>
        <tr r="N17" s="10"/>
        <tr r="P16" s="13"/>
        <tr r="P30" s="13"/>
      </tp>
      <tp t="e">
        <v>#N/A</v>
        <stp/>
        <stp>BDH|16942258542822698388</stp>
        <tr r="C195" s="18"/>
      </tp>
      <tp t="e">
        <v>#N/A</v>
        <stp/>
        <stp>BDH|17511665410002578366</stp>
        <tr r="N26" s="7"/>
      </tp>
      <tp t="e">
        <v>#N/A</v>
        <stp/>
        <stp>BDH|16233866997011787748</stp>
        <tr r="R11" s="24"/>
      </tp>
      <tp t="e">
        <v>#N/A</v>
        <stp/>
        <stp>BDH|17008648753941264452</stp>
        <tr r="L44" s="12"/>
      </tp>
      <tp t="e">
        <v>#N/A</v>
        <stp/>
        <stp>BDH|15980633730091273088</stp>
        <tr r="D16" s="24"/>
      </tp>
      <tp t="e">
        <v>#N/A</v>
        <stp/>
        <stp>BDH|12938352648780309472</stp>
        <tr r="I8" s="26"/>
        <tr r="F10" s="9"/>
      </tp>
      <tp t="e">
        <v>#N/A</v>
        <stp/>
        <stp>BDH|15790684903995834743</stp>
        <tr r="G41" s="10"/>
        <tr r="G31" s="11"/>
      </tp>
      <tp t="e">
        <v>#N/A</v>
        <stp/>
        <stp>BDH|11450065040172101635</stp>
        <tr r="V91" s="12"/>
      </tp>
      <tp t="e">
        <v>#N/A</v>
        <stp/>
        <stp>BDH|11094956596840646057</stp>
        <tr r="R18" s="13"/>
      </tp>
      <tp t="e">
        <v>#N/A</v>
        <stp/>
        <stp>BDH|11912288912513804087</stp>
        <tr r="X26" s="24"/>
      </tp>
      <tp t="e">
        <v>#N/A</v>
        <stp/>
        <stp>BDH|15505616351661791612</stp>
        <tr r="L66" s="17"/>
      </tp>
      <tp t="e">
        <v>#N/A</v>
        <stp/>
        <stp>BDH|12180594377773476287</stp>
        <tr r="S12" s="22"/>
      </tp>
      <tp t="e">
        <v>#N/A</v>
        <stp/>
        <stp>BDH|13125139870187999389</stp>
        <tr r="F33" s="14"/>
      </tp>
      <tp t="e">
        <v>#N/A</v>
        <stp/>
        <stp>BDH|11219509957592337254</stp>
        <tr r="F29" s="21"/>
      </tp>
      <tp t="e">
        <v>#N/A</v>
        <stp/>
        <stp>BDH|16909094768032377389</stp>
        <tr r="J84" s="12"/>
      </tp>
      <tp t="e">
        <v>#N/A</v>
        <stp/>
        <stp>BDH|15013649272311425413</stp>
        <tr r="V108" s="18"/>
      </tp>
      <tp t="e">
        <v>#N/A</v>
        <stp/>
        <stp>BDH|15323571152644290076</stp>
        <tr r="H103" s="18"/>
      </tp>
      <tp t="e">
        <v>#N/A</v>
        <stp/>
        <stp>BDH|17687063071208438963</stp>
        <tr r="X27" s="14"/>
      </tp>
      <tp t="e">
        <v>#N/A</v>
        <stp/>
        <stp>BDH|10769543137121140669</stp>
        <tr r="F9" s="28"/>
      </tp>
      <tp t="e">
        <v>#N/A</v>
        <stp/>
        <stp>BDH|10563510307412898683</stp>
        <tr r="P147" s="18"/>
      </tp>
      <tp t="e">
        <v>#N/A</v>
        <stp/>
        <stp>BDH|12328441061872609333</stp>
        <tr r="H25" s="7"/>
      </tp>
      <tp t="e">
        <v>#N/A</v>
        <stp/>
        <stp>BDH|16203235010913035720</stp>
        <tr r="W52" s="6"/>
      </tp>
      <tp t="e">
        <v>#N/A</v>
        <stp/>
        <stp>BDH|15011659860157048363</stp>
        <tr r="E29" s="6"/>
      </tp>
      <tp t="e">
        <v>#N/A</v>
        <stp/>
        <stp>BDH|17370568215233540164</stp>
        <tr r="O27" s="21"/>
      </tp>
      <tp t="e">
        <v>#N/A</v>
        <stp/>
        <stp>BDH|14952311107875957354</stp>
        <tr r="C38" s="17"/>
      </tp>
      <tp t="e">
        <v>#N/A</v>
        <stp/>
        <stp>BDH|14509388119484052374</stp>
        <tr r="O40" s="18"/>
      </tp>
      <tp t="e">
        <v>#N/A</v>
        <stp/>
        <stp>BDH|14534703919517989461</stp>
        <tr r="R19" s="18"/>
      </tp>
      <tp t="e">
        <v>#N/A</v>
        <stp/>
        <stp>BDH|10150619217400064642</stp>
        <tr r="Y107" s="18"/>
      </tp>
      <tp t="e">
        <v>#N/A</v>
        <stp/>
        <stp>BDH|11237233800051042327</stp>
        <tr r="K94" s="24"/>
      </tp>
      <tp t="e">
        <v>#N/A</v>
        <stp/>
        <stp>BDH|14349460141757593228</stp>
        <tr r="T39" s="4"/>
        <tr r="T66" s="10"/>
      </tp>
      <tp t="e">
        <v>#N/A</v>
        <stp/>
        <stp>BDH|14907628767044692193</stp>
        <tr r="J38" s="24"/>
      </tp>
      <tp t="e">
        <v>#N/A</v>
        <stp/>
        <stp>BDH|18338755489264516294</stp>
        <tr r="Z93" s="18"/>
      </tp>
      <tp t="e">
        <v>#N/A</v>
        <stp/>
        <stp>BDH|11956536979183640167</stp>
        <tr r="L28" s="13"/>
      </tp>
      <tp t="e">
        <v>#N/A</v>
        <stp/>
        <stp>BDH|15108703646161430601</stp>
        <tr r="K24" s="27"/>
      </tp>
      <tp t="e">
        <v>#N/A</v>
        <stp/>
        <stp>BDH|10325571607345755175</stp>
        <tr r="M56" s="18"/>
      </tp>
      <tp t="e">
        <v>#N/A</v>
        <stp/>
        <stp>BDH|14461733504546713476</stp>
        <tr r="E13" s="5"/>
      </tp>
      <tp t="e">
        <v>#N/A</v>
        <stp/>
        <stp>BDH|13760301734025047704</stp>
        <tr r="V43" s="21"/>
      </tp>
      <tp t="e">
        <v>#N/A</v>
        <stp/>
        <stp>BDH|15715625433240157144</stp>
        <tr r="F67" s="13"/>
      </tp>
      <tp t="e">
        <v>#N/A</v>
        <stp/>
        <stp>BDH|16032734160456328037</stp>
        <tr r="J8" s="18"/>
      </tp>
      <tp t="e">
        <v>#N/A</v>
        <stp/>
        <stp>BDH|16714436121687543633</stp>
        <tr r="E16" s="2"/>
        <tr r="E32" s="4"/>
        <tr r="E62" s="10"/>
        <tr r="G19" s="13"/>
      </tp>
      <tp t="e">
        <v>#N/A</v>
        <stp/>
        <stp>BDH|10811234498493104917</stp>
        <tr r="H29" s="22"/>
      </tp>
      <tp t="e">
        <v>#N/A</v>
        <stp/>
        <stp>BDH|17689432643807777120</stp>
        <tr r="G10" s="13"/>
      </tp>
      <tp t="e">
        <v>#N/A</v>
        <stp/>
        <stp>BDH|17936107138652426665</stp>
        <tr r="Z141" s="18"/>
      </tp>
      <tp t="e">
        <v>#N/A</v>
        <stp/>
        <stp>BDH|13940708339642670458</stp>
        <tr r="D40" s="12"/>
      </tp>
      <tp t="e">
        <v>#N/A</v>
        <stp/>
        <stp>BDH|17511266695145325861</stp>
        <tr r="S30" s="25"/>
        <tr r="S16" s="27"/>
      </tp>
      <tp t="e">
        <v>#N/A</v>
        <stp/>
        <stp>BDH|15062302513426847081</stp>
        <tr r="Q74" s="24"/>
      </tp>
      <tp t="e">
        <v>#N/A</v>
        <stp/>
        <stp>BDH|14225478877212599445</stp>
        <tr r="AA49" s="21"/>
      </tp>
      <tp t="e">
        <v>#N/A</v>
        <stp/>
        <stp>BDH|12010615822897310039</stp>
        <tr r="D21" s="10"/>
      </tp>
      <tp t="e">
        <v>#N/A</v>
        <stp/>
        <stp>BDH|12253457964232369332</stp>
        <tr r="I87" s="24"/>
      </tp>
      <tp t="e">
        <v>#N/A</v>
        <stp/>
        <stp>BDH|17484792418128571838</stp>
        <tr r="T95" s="12"/>
      </tp>
      <tp t="e">
        <v>#N/A</v>
        <stp/>
        <stp>BDH|12184139051895634271</stp>
        <tr r="C15" s="12"/>
      </tp>
      <tp t="e">
        <v>#N/A</v>
        <stp/>
        <stp>BDH|13852682549986206695</stp>
        <tr r="R50" s="12"/>
      </tp>
      <tp t="e">
        <v>#N/A</v>
        <stp/>
        <stp>BDH|10789135291028451132</stp>
        <tr r="D57" s="18"/>
      </tp>
      <tp t="e">
        <v>#N/A</v>
        <stp/>
        <stp>BDH|12077140835475613458</stp>
        <tr r="P9" s="10"/>
      </tp>
      <tp t="e">
        <v>#N/A</v>
        <stp/>
        <stp>BDH|17575637145996719262</stp>
        <tr r="Y136" s="18"/>
      </tp>
      <tp t="e">
        <v>#N/A</v>
        <stp/>
        <stp>BDH|16168448892859486314</stp>
        <tr r="C36" s="21"/>
      </tp>
      <tp t="e">
        <v>#N/A</v>
        <stp/>
        <stp>BDH|16439885647323082894</stp>
        <tr r="L20" s="27"/>
      </tp>
      <tp t="e">
        <v>#N/A</v>
        <stp/>
        <stp>BDH|10704464330434186221</stp>
        <tr r="AA147" s="18"/>
      </tp>
      <tp t="e">
        <v>#N/A</v>
        <stp/>
        <stp>BDH|11866882077536087950</stp>
        <tr r="J32" s="12"/>
      </tp>
      <tp t="e">
        <v>#N/A</v>
        <stp/>
        <stp>BDH|16530913518599697684</stp>
        <tr r="W121" s="18"/>
        <tr r="W9" s="20"/>
      </tp>
      <tp t="e">
        <v>#N/A</v>
        <stp/>
        <stp>BDH|12979346396258895115</stp>
        <tr r="P160" s="18"/>
      </tp>
      <tp t="e">
        <v>#N/A</v>
        <stp/>
        <stp>BDH|16792371012446613362</stp>
        <tr r="G20" s="18"/>
      </tp>
      <tp t="e">
        <v>#N/A</v>
        <stp/>
        <stp>BDH|12711101356912327504</stp>
        <tr r="R86" s="12"/>
      </tp>
      <tp t="e">
        <v>#N/A</v>
        <stp/>
        <stp>BDH|10695623530147514335</stp>
        <tr r="G70" s="24"/>
      </tp>
      <tp t="e">
        <v>#N/A</v>
        <stp/>
        <stp>BDH|16429760261412689471</stp>
        <tr r="U88" s="24"/>
      </tp>
      <tp t="e">
        <v>#N/A</v>
        <stp/>
        <stp>BDH|17484051767417501713</stp>
        <tr r="N196" s="18"/>
      </tp>
      <tp t="e">
        <v>#N/A</v>
        <stp/>
        <stp>BDH|16641704532797290443</stp>
        <tr r="Y30" s="18"/>
      </tp>
      <tp t="e">
        <v>#N/A</v>
        <stp/>
        <stp>BDH|17067350146570388126</stp>
        <tr r="L30" s="29"/>
        <tr r="L8" s="29"/>
      </tp>
      <tp t="e">
        <v>#N/A</v>
        <stp/>
        <stp>BDH|13004061154764399332</stp>
        <tr r="V59" s="17"/>
      </tp>
      <tp t="e">
        <v>#N/A</v>
        <stp/>
        <stp>BDH|16058031774493085354</stp>
        <tr r="Q39" s="24"/>
      </tp>
      <tp t="e">
        <v>#N/A</v>
        <stp/>
        <stp>BDH|11243319029603198291</stp>
        <tr r="C52" s="34"/>
      </tp>
      <tp t="e">
        <v>#N/A</v>
        <stp/>
        <stp>BDH|17951059382917468980</stp>
        <tr r="K29" s="12"/>
      </tp>
      <tp t="e">
        <v>#N/A</v>
        <stp/>
        <stp>BDH|14864076519350681428</stp>
        <tr r="M29" s="4"/>
      </tp>
      <tp t="e">
        <v>#N/A</v>
        <stp/>
        <stp>BDH|10915347788038246251</stp>
        <tr r="T124" s="18"/>
        <tr r="T13" s="20"/>
      </tp>
      <tp t="e">
        <v>#N/A</v>
        <stp/>
        <stp>BDH|12643254565102705532</stp>
        <tr r="O54" s="6"/>
      </tp>
      <tp t="e">
        <v>#N/A</v>
        <stp/>
        <stp>BDH|17799416271441611438</stp>
        <tr r="R14" s="24"/>
      </tp>
      <tp t="e">
        <v>#N/A</v>
        <stp/>
        <stp>BDH|10171144432450619334</stp>
        <tr r="J34" s="21"/>
      </tp>
      <tp t="e">
        <v>#N/A</v>
        <stp/>
        <stp>BDH|15746616539028900940</stp>
        <tr r="C57" s="24"/>
      </tp>
      <tp t="e">
        <v>#N/A</v>
        <stp/>
        <stp>BDH|10990778028183451704</stp>
        <tr r="Y13" s="12"/>
      </tp>
      <tp t="e">
        <v>#N/A</v>
        <stp/>
        <stp>BDH|18072983840372877621</stp>
        <tr r="G76" s="12"/>
      </tp>
      <tp t="e">
        <v>#N/A</v>
        <stp/>
        <stp>BDH|12416412433544443003</stp>
        <tr r="N7" s="2"/>
        <tr r="M7" s="5"/>
        <tr r="M7" s="9"/>
        <tr r="P14" s="3"/>
      </tp>
      <tp t="e">
        <v>#N/A</v>
        <stp/>
        <stp>BDH|14107185943583951314</stp>
        <tr r="L36" s="21"/>
      </tp>
      <tp t="e">
        <v>#N/A</v>
        <stp/>
        <stp>BDH|10265414059206024683</stp>
        <tr r="Y16" s="2"/>
        <tr r="Y32" s="4"/>
        <tr r="Y62" s="10"/>
        <tr r="AA19" s="13"/>
      </tp>
      <tp t="e">
        <v>#N/A</v>
        <stp/>
        <stp>BDH|17604543796508122275</stp>
        <tr r="D52" s="17"/>
        <tr r="D10" s="25"/>
      </tp>
      <tp t="e">
        <v>#N/A</v>
        <stp/>
        <stp>BDH|15079318282467190802</stp>
        <tr r="I20" s="29"/>
      </tp>
      <tp t="e">
        <v>#N/A</v>
        <stp/>
        <stp>BDH|14042734813072552175</stp>
        <tr r="Z8" s="23"/>
      </tp>
      <tp t="e">
        <v>#N/A</v>
        <stp/>
        <stp>BDH|15623049742233218308</stp>
        <tr r="O69" s="24"/>
      </tp>
      <tp t="e">
        <v>#N/A</v>
        <stp/>
        <stp>BDH|13005222900656060602</stp>
        <tr r="U34" s="10"/>
        <tr r="U24" s="11"/>
      </tp>
      <tp t="e">
        <v>#N/A</v>
        <stp/>
        <stp>BDH|15109123230636672072</stp>
        <tr r="X27" s="12"/>
      </tp>
      <tp t="e">
        <v>#N/A</v>
        <stp/>
        <stp>BDH|17349035454210739310</stp>
        <tr r="L11" s="22"/>
      </tp>
      <tp t="e">
        <v>#N/A</v>
        <stp/>
        <stp>BDH|11825277461563494789</stp>
        <tr r="D13" s="7"/>
      </tp>
      <tp t="e">
        <v>#N/A</v>
        <stp/>
        <stp>BDH|10089021476770798617</stp>
        <tr r="N47" s="17"/>
      </tp>
      <tp t="e">
        <v>#N/A</v>
        <stp/>
        <stp>BDH|16578850226755749833</stp>
        <tr r="N57" s="34"/>
      </tp>
      <tp t="e">
        <v>#N/A</v>
        <stp/>
        <stp>BDH|17113704382228864196</stp>
        <tr r="T10" s="21"/>
      </tp>
      <tp t="e">
        <v>#N/A</v>
        <stp/>
        <stp>BDH|16943799608909356996</stp>
        <tr r="N85" s="17"/>
      </tp>
      <tp t="e">
        <v>#N/A</v>
        <stp/>
        <stp>BDH|11456033789288814043</stp>
        <tr r="Y49" s="13"/>
      </tp>
      <tp t="e">
        <v>#N/A</v>
        <stp/>
        <stp>BDH|17205044714273348437</stp>
        <tr r="V182" s="18"/>
      </tp>
      <tp t="e">
        <v>#N/A</v>
        <stp/>
        <stp>BDH|10744838163186590900</stp>
        <tr r="Z14" s="13"/>
      </tp>
      <tp t="e">
        <v>#N/A</v>
        <stp/>
        <stp>BDH|18278210451149851787</stp>
        <tr r="Y69" s="13"/>
      </tp>
      <tp t="e">
        <v>#N/A</v>
        <stp/>
        <stp>BDH|12062975794351337227</stp>
        <tr r="J26" s="34"/>
      </tp>
      <tp t="e">
        <v>#N/A</v>
        <stp/>
        <stp>BDH|10096344326860311030</stp>
        <tr r="C17" s="17"/>
        <tr r="C20" s="28"/>
      </tp>
      <tp t="e">
        <v>#N/A</v>
        <stp/>
        <stp>BDH|14979517737840874324</stp>
        <tr r="X7" s="21"/>
      </tp>
      <tp t="e">
        <v>#N/A</v>
        <stp/>
        <stp>BDH|11482675343754584609</stp>
        <tr r="N141" s="18"/>
      </tp>
      <tp t="e">
        <v>#N/A</v>
        <stp/>
        <stp>BDH|15174832936529933689</stp>
        <tr r="S23" s="21"/>
      </tp>
      <tp t="e">
        <v>#N/A</v>
        <stp/>
        <stp>BDH|12140664160021396213</stp>
        <tr r="R56" s="24"/>
      </tp>
      <tp t="e">
        <v>#N/A</v>
        <stp/>
        <stp>BDH|11900446328761834788</stp>
        <tr r="T55" s="21"/>
      </tp>
      <tp t="e">
        <v>#N/A</v>
        <stp/>
        <stp>BDH|14564627114904404622</stp>
        <tr r="M13" s="26"/>
      </tp>
      <tp t="e">
        <v>#N/A</v>
        <stp/>
        <stp>BDH|13446983492933943120</stp>
        <tr r="N9" s="22"/>
      </tp>
      <tp t="e">
        <v>#N/A</v>
        <stp/>
        <stp>BDH|18184863197308627030</stp>
        <tr r="N51" s="21"/>
      </tp>
      <tp t="e">
        <v>#N/A</v>
        <stp/>
        <stp>BDH|15398505194228443063</stp>
        <tr r="F38" s="25"/>
      </tp>
      <tp t="e">
        <v>#N/A</v>
        <stp/>
        <stp>BDH|18189300587823095130</stp>
        <tr r="V45" s="34"/>
      </tp>
      <tp t="e">
        <v>#N/A</v>
        <stp/>
        <stp>BDH|12472745412035139069</stp>
        <tr r="R52" s="4"/>
        <tr r="T8" s="3"/>
        <tr r="R44" s="10"/>
        <tr r="R34" s="11"/>
        <tr r="T45" s="13"/>
      </tp>
      <tp t="e">
        <v>#N/A</v>
        <stp/>
        <stp>BDH|15381262504374320273</stp>
        <tr r="W35" s="18"/>
      </tp>
      <tp t="e">
        <v>#N/A</v>
        <stp/>
        <stp>BDH|13912139326980067198</stp>
        <tr r="W67" s="10"/>
      </tp>
      <tp t="e">
        <v>#N/A</v>
        <stp/>
        <stp>BDH|10877244175405580190</stp>
        <tr r="M55" s="24"/>
      </tp>
      <tp t="e">
        <v>#N/A</v>
        <stp/>
        <stp>BDH|17729652312617108649</stp>
        <tr r="O28" s="21"/>
      </tp>
      <tp t="e">
        <v>#N/A</v>
        <stp/>
        <stp>BDH|11904668255057979461</stp>
        <tr r="J11" s="6"/>
      </tp>
      <tp t="e">
        <v>#N/A</v>
        <stp/>
        <stp>BDH|12685923517968180374</stp>
        <tr r="D146" s="18"/>
      </tp>
      <tp t="e">
        <v>#N/A</v>
        <stp/>
        <stp>BDH|14210848267122233965</stp>
        <tr r="G48" s="18"/>
      </tp>
      <tp t="e">
        <v>#N/A</v>
        <stp/>
        <stp>BDH|10202102852637217278</stp>
        <tr r="G50" s="13"/>
      </tp>
      <tp t="e">
        <v>#N/A</v>
        <stp/>
        <stp>BDH|15292042558798324982</stp>
        <tr r="G29" s="18"/>
      </tp>
      <tp t="e">
        <v>#N/A</v>
        <stp/>
        <stp>BDH|12471643935126535055</stp>
        <tr r="E82" s="24"/>
      </tp>
      <tp t="e">
        <v>#N/A</v>
        <stp/>
        <stp>BDH|13165865900648207206</stp>
        <tr r="C61" s="12"/>
      </tp>
      <tp t="e">
        <v>#N/A</v>
        <stp/>
        <stp>BDH|12290658407532309767</stp>
        <tr r="R189" s="18"/>
      </tp>
      <tp t="e">
        <v>#N/A</v>
        <stp/>
        <stp>BDH|10494372164812567676</stp>
        <tr r="I50" s="13"/>
      </tp>
      <tp t="e">
        <v>#N/A</v>
        <stp/>
        <stp>BDH|17000674902728969896</stp>
        <tr r="X38" s="34"/>
      </tp>
      <tp t="e">
        <v>#N/A</v>
        <stp/>
        <stp>BDH|11967671824311752583</stp>
        <tr r="P155" s="18"/>
      </tp>
      <tp t="e">
        <v>#N/A</v>
        <stp/>
        <stp>BDH|14274633156454625240</stp>
        <tr r="Q15" s="14"/>
      </tp>
      <tp t="e">
        <v>#N/A</v>
        <stp/>
        <stp>BDH|11713302223218354926</stp>
        <tr r="V16" s="14"/>
      </tp>
      <tp t="e">
        <v>#N/A</v>
        <stp/>
        <stp>BDH|13282130110127286563</stp>
        <tr r="T182" s="18"/>
      </tp>
      <tp t="e">
        <v>#N/A</v>
        <stp/>
        <stp>BDH|13177574406391708622</stp>
        <tr r="J150" s="18"/>
      </tp>
      <tp t="e">
        <v>#N/A</v>
        <stp/>
        <stp>BDH|14527734980363450971</stp>
        <tr r="O10" s="24"/>
      </tp>
      <tp t="e">
        <v>#N/A</v>
        <stp/>
        <stp>BDH|14448356135342037713</stp>
        <tr r="J93" s="24"/>
      </tp>
      <tp t="e">
        <v>#N/A</v>
        <stp/>
        <stp>BDH|15663876442020610800</stp>
        <tr r="D14" s="3"/>
      </tp>
      <tp t="e">
        <v>#N/A</v>
        <stp/>
        <stp>BDH|16066469382753315828</stp>
        <tr r="U7" s="21"/>
      </tp>
      <tp t="e">
        <v>#N/A</v>
        <stp/>
        <stp>BDH|10574302658357000087</stp>
        <tr r="U14" s="17"/>
        <tr r="U17" s="28"/>
      </tp>
      <tp t="e">
        <v>#N/A</v>
        <stp/>
        <stp>BDH|14335148252582278328</stp>
        <tr r="D51" s="12"/>
      </tp>
      <tp t="e">
        <v>#N/A</v>
        <stp/>
        <stp>BDH|18379511664989098336</stp>
        <tr r="L88" s="12"/>
      </tp>
      <tp t="e">
        <v>#N/A</v>
        <stp/>
        <stp>BDH|10489538903994090010</stp>
        <tr r="V199" s="18"/>
      </tp>
      <tp t="e">
        <v>#N/A</v>
        <stp/>
        <stp>BDH|15649619644814455220</stp>
        <tr r="S43" s="17"/>
      </tp>
      <tp t="e">
        <v>#N/A</v>
        <stp/>
        <stp>BDH|17527863732309634421</stp>
        <tr r="G72" s="12"/>
      </tp>
      <tp t="e">
        <v>#N/A</v>
        <stp/>
        <stp>BDH|16011823764468111127</stp>
        <tr r="Y16" s="29"/>
        <tr r="Y39" s="29"/>
      </tp>
      <tp t="e">
        <v>#N/A</v>
        <stp/>
        <stp>BDH|10733737919412150592</stp>
        <tr r="J79" s="34"/>
      </tp>
      <tp t="e">
        <v>#N/A</v>
        <stp/>
        <stp>BDH|13361633911885480002</stp>
        <tr r="P58" s="11"/>
        <tr r="R19" s="23"/>
      </tp>
      <tp t="e">
        <v>#N/A</v>
        <stp/>
        <stp>BDH|15736446762200061646</stp>
        <tr r="X13" s="13"/>
      </tp>
      <tp t="e">
        <v>#N/A</v>
        <stp/>
        <stp>BDH|16289298654953879329</stp>
        <tr r="I46" s="21"/>
      </tp>
      <tp t="e">
        <v>#N/A</v>
        <stp/>
        <stp>BDH|13651627016922596724</stp>
        <tr r="F25" s="5"/>
      </tp>
      <tp t="e">
        <v>#N/A</v>
        <stp/>
        <stp>BDH|15966327963262809355</stp>
        <tr r="T28" s="21"/>
      </tp>
      <tp t="e">
        <v>#N/A</v>
        <stp/>
        <stp>BDH|11565786502461982639</stp>
        <tr r="V66" s="13"/>
      </tp>
      <tp t="e">
        <v>#N/A</v>
        <stp/>
        <stp>BDH|17570196628152108704</stp>
        <tr r="H119" s="18"/>
        <tr r="H7" s="20"/>
      </tp>
      <tp t="e">
        <v>#N/A</v>
        <stp/>
        <stp>BDH|12465865627611385839</stp>
        <tr r="Y12" s="17"/>
      </tp>
      <tp t="e">
        <v>#N/A</v>
        <stp/>
        <stp>BDH|13641140561712077760</stp>
        <tr r="O28" s="22"/>
      </tp>
      <tp t="e">
        <v>#N/A</v>
        <stp/>
        <stp>BDH|15868082174237786475</stp>
        <tr r="C159" s="18"/>
      </tp>
      <tp t="e">
        <v>#N/A</v>
        <stp/>
        <stp>BDH|17575871362711197953</stp>
        <tr r="G36" s="4"/>
      </tp>
      <tp t="e">
        <v>#N/A</v>
        <stp/>
        <stp>BDH|15958338204707917031</stp>
        <tr r="D54" s="11"/>
      </tp>
      <tp t="e">
        <v>#N/A</v>
        <stp/>
        <stp>BDH|14193037467981091214</stp>
        <tr r="X24" s="29"/>
      </tp>
      <tp t="e">
        <v>#N/A</v>
        <stp/>
        <stp>BDH|15849362738625032129</stp>
        <tr r="AA93" s="24"/>
      </tp>
      <tp t="e">
        <v>#N/A</v>
        <stp/>
        <stp>BDH|15146792472993821767</stp>
        <tr r="D63" s="10"/>
      </tp>
      <tp t="e">
        <v>#N/A</v>
        <stp/>
        <stp>BDH|10458462222942669522</stp>
        <tr r="N22" s="12"/>
      </tp>
      <tp t="e">
        <v>#N/A</v>
        <stp/>
        <stp>BDH|14161606374476097217</stp>
        <tr r="P63" s="10"/>
      </tp>
      <tp t="e">
        <v>#N/A</v>
        <stp/>
        <stp>BDH|13186210832775773611</stp>
        <tr r="N120" s="18"/>
        <tr r="N8" s="20"/>
      </tp>
      <tp t="e">
        <v>#N/A</v>
        <stp/>
        <stp>BDH|13339124619527420588</stp>
        <tr r="Y10" s="13"/>
      </tp>
      <tp t="e">
        <v>#N/A</v>
        <stp/>
        <stp>BDH|13105558369246162784</stp>
        <tr r="W31" s="24"/>
      </tp>
      <tp t="e">
        <v>#N/A</v>
        <stp/>
        <stp>BDH|13916526813720889647</stp>
        <tr r="J41" s="24"/>
      </tp>
      <tp t="e">
        <v>#N/A</v>
        <stp/>
        <stp>BDH|12563524246672230078</stp>
        <tr r="S181" s="18"/>
      </tp>
      <tp t="e">
        <v>#N/A</v>
        <stp/>
        <stp>BDH|10475205157164082274</stp>
        <tr r="H13" s="10"/>
      </tp>
      <tp t="e">
        <v>#N/A</v>
        <stp/>
        <stp>BDH|11122617764146939699</stp>
        <tr r="W28" s="34"/>
      </tp>
      <tp t="e">
        <v>#N/A</v>
        <stp/>
        <stp>BDH|18072984533695835678</stp>
        <tr r="AA37" s="12"/>
      </tp>
      <tp t="e">
        <v>#N/A</v>
        <stp/>
        <stp>BDH|10799815082081215023</stp>
        <tr r="I51" s="17"/>
        <tr r="I17" s="3"/>
      </tp>
      <tp t="e">
        <v>#N/A</v>
        <stp/>
        <stp>BDH|14914257076860986078</stp>
        <tr r="X82" s="12"/>
      </tp>
      <tp t="e">
        <v>#N/A</v>
        <stp/>
        <stp>BDH|12224924515119038219</stp>
        <tr r="U26" s="27"/>
      </tp>
      <tp t="e">
        <v>#N/A</v>
        <stp/>
        <stp>BDH|10471538883895391933</stp>
        <tr r="P9" s="24"/>
      </tp>
      <tp t="e">
        <v>#N/A</v>
        <stp/>
        <stp>BDH|16322101943521294363</stp>
        <tr r="S20" s="24"/>
      </tp>
      <tp t="e">
        <v>#N/A</v>
        <stp/>
        <stp>BDH|14305584816983081299</stp>
        <tr r="T14" s="22"/>
      </tp>
      <tp t="e">
        <v>#N/A</v>
        <stp/>
        <stp>BDH|16986283209682890747</stp>
        <tr r="E59" s="12"/>
      </tp>
      <tp t="e">
        <v>#N/A</v>
        <stp/>
        <stp>BDH|16860378825210760699</stp>
        <tr r="L88" s="24"/>
      </tp>
      <tp t="e">
        <v>#N/A</v>
        <stp/>
        <stp>BDH|12570330566400222662</stp>
        <tr r="C38" s="25"/>
      </tp>
      <tp t="e">
        <v>#N/A</v>
        <stp/>
        <stp>BDH|14373914303045412911</stp>
        <tr r="Z23" s="30"/>
        <tr r="Z25" s="23"/>
      </tp>
      <tp t="e">
        <v>#N/A</v>
        <stp/>
        <stp>BDH|16599449317270290209</stp>
        <tr r="H42" s="21"/>
      </tp>
      <tp t="e">
        <v>#N/A</v>
        <stp/>
        <stp>BDH|12390514420852455622</stp>
        <tr r="G29" s="4"/>
      </tp>
      <tp t="e">
        <v>#N/A</v>
        <stp/>
        <stp>BDH|12350720584618215430</stp>
        <tr r="L49" s="13"/>
      </tp>
      <tp t="e">
        <v>#N/A</v>
        <stp/>
        <stp>BDH|16249885782386407180</stp>
        <tr r="Y15" s="21"/>
      </tp>
      <tp t="e">
        <v>#N/A</v>
        <stp/>
        <stp>BDH|15172128716685894191</stp>
        <tr r="M36" s="18"/>
      </tp>
      <tp t="e">
        <v>#N/A</v>
        <stp/>
        <stp>BDH|10515010608512147391</stp>
        <tr r="D66" s="12"/>
      </tp>
      <tp t="e">
        <v>#N/A</v>
        <stp/>
        <stp>BDH|14327364860174919487</stp>
        <tr r="Q30" s="18"/>
      </tp>
      <tp t="e">
        <v>#N/A</v>
        <stp/>
        <stp>BDH|15524730666091440401</stp>
        <tr r="AA70" s="12"/>
      </tp>
      <tp t="e">
        <v>#N/A</v>
        <stp/>
        <stp>BDH|17989577738919498968</stp>
        <tr r="Y55" s="13"/>
      </tp>
      <tp t="e">
        <v>#N/A</v>
        <stp/>
        <stp>BDH|10910490754078436845</stp>
        <tr r="D44" s="6"/>
      </tp>
      <tp t="e">
        <v>#N/A</v>
        <stp/>
        <stp>BDH|17526551688578537392</stp>
        <tr r="H100" s="18"/>
      </tp>
      <tp t="e">
        <v>#N/A</v>
        <stp/>
        <stp>BDH|15496265437487599246</stp>
        <tr r="W16" s="2"/>
        <tr r="W32" s="4"/>
        <tr r="W62" s="10"/>
        <tr r="Y19" s="13"/>
      </tp>
      <tp t="e">
        <v>#N/A</v>
        <stp/>
        <stp>BDH|10907310453252809574</stp>
        <tr r="X32" s="12"/>
      </tp>
      <tp t="e">
        <v>#N/A</v>
        <stp/>
        <stp>BDH|11137374421532620356</stp>
        <tr r="E22" s="22"/>
      </tp>
      <tp t="e">
        <v>#N/A</v>
        <stp/>
        <stp>BDH|11759871655658335524</stp>
        <tr r="Y31" s="24"/>
      </tp>
      <tp t="e">
        <v>#N/A</v>
        <stp/>
        <stp>BDH|16461102666916388650</stp>
        <tr r="H33" s="6"/>
      </tp>
      <tp t="e">
        <v>#N/A</v>
        <stp/>
        <stp>BDH|10066865496015728534</stp>
        <tr r="C40" s="6"/>
      </tp>
      <tp t="e">
        <v>#N/A</v>
        <stp/>
        <stp>BDH|11121806695092675366</stp>
        <tr r="Y87" s="24"/>
      </tp>
      <tp t="e">
        <v>#N/A</v>
        <stp/>
        <stp>BDH|16355222018346905241</stp>
        <tr r="N28" s="6"/>
      </tp>
      <tp t="e">
        <v>#N/A</v>
        <stp/>
        <stp>BDH|11509247726048679855</stp>
        <tr r="H14" s="10"/>
      </tp>
      <tp t="e">
        <v>#N/A</v>
        <stp/>
        <stp>BDH|15047218733684490127</stp>
        <tr r="T31" s="22"/>
      </tp>
      <tp t="e">
        <v>#N/A</v>
        <stp/>
        <stp>BDH|17142201824173656575</stp>
        <tr r="AA23" s="20"/>
      </tp>
      <tp t="e">
        <v>#N/A</v>
        <stp/>
        <stp>BDH|17836714068393424412</stp>
        <tr r="G114" s="18"/>
      </tp>
      <tp t="e">
        <v>#N/A</v>
        <stp/>
        <stp>BDH|12005271655614064065</stp>
        <tr r="P189" s="18"/>
      </tp>
      <tp t="e">
        <v>#N/A</v>
        <stp/>
        <stp>BDH|15918799543785279263</stp>
        <tr r="E18" s="26"/>
      </tp>
      <tp t="e">
        <v>#N/A</v>
        <stp/>
        <stp>BDH|11427289238702755342</stp>
        <tr r="Q53" s="6"/>
      </tp>
      <tp t="e">
        <v>#N/A</v>
        <stp/>
        <stp>BDH|13784400240184541657</stp>
        <tr r="X184" s="18"/>
      </tp>
      <tp t="e">
        <v>#N/A</v>
        <stp/>
        <stp>BDH|11181404684989267509</stp>
        <tr r="O10" s="26"/>
      </tp>
      <tp t="e">
        <v>#N/A</v>
        <stp/>
        <stp>BDH|17756803898284892307</stp>
        <tr r="M11" s="9"/>
      </tp>
      <tp t="e">
        <v>#N/A</v>
        <stp/>
        <stp>BDH|14388937096666719362</stp>
        <tr r="G133" s="18"/>
      </tp>
      <tp t="e">
        <v>#N/A</v>
        <stp/>
        <stp>BDH|15371421552814063142</stp>
        <tr r="Y19" s="26"/>
      </tp>
      <tp t="e">
        <v>#N/A</v>
        <stp/>
        <stp>BDH|11328734663072188354</stp>
        <tr r="V61" s="17"/>
      </tp>
      <tp t="e">
        <v>#N/A</v>
        <stp/>
        <stp>BDH|12082861194136152447</stp>
        <tr r="Z78" s="17"/>
      </tp>
      <tp t="e">
        <v>#N/A</v>
        <stp/>
        <stp>BDH|15772114739453199597</stp>
        <tr r="I11" s="13"/>
      </tp>
      <tp t="e">
        <v>#N/A</v>
        <stp/>
        <stp>BDH|16879659868183459463</stp>
        <tr r="E37" s="17"/>
      </tp>
      <tp t="e">
        <v>#N/A</v>
        <stp/>
        <stp>BDH|11892461456251951066</stp>
        <tr r="C55" s="21"/>
      </tp>
      <tp t="e">
        <v>#N/A</v>
        <stp/>
        <stp>BDH|14179594529056481423</stp>
        <tr r="I121" s="18"/>
        <tr r="I9" s="20"/>
      </tp>
      <tp t="e">
        <v>#N/A</v>
        <stp/>
        <stp>BDH|16868205708210190567</stp>
        <tr r="W110" s="18"/>
      </tp>
      <tp t="e">
        <v>#N/A</v>
        <stp/>
        <stp>BDH|12210962890073696054</stp>
        <tr r="C25" s="5"/>
      </tp>
      <tp t="e">
        <v>#N/A</v>
        <stp/>
        <stp>BDH|14487402965742249547</stp>
        <tr r="F30" s="6"/>
      </tp>
      <tp t="e">
        <v>#N/A</v>
        <stp/>
        <stp>BDH|14514475318834817450</stp>
        <tr r="P43" s="18"/>
      </tp>
      <tp t="e">
        <v>#N/A</v>
        <stp/>
        <stp>BDH|11725472061181483325</stp>
        <tr r="Q51" s="12"/>
      </tp>
      <tp t="e">
        <v>#N/A</v>
        <stp/>
        <stp>BDH|15925582023395268679</stp>
        <tr r="E50" s="13"/>
      </tp>
      <tp t="e">
        <v>#N/A</v>
        <stp/>
        <stp>BDH|13121153261027006222</stp>
        <tr r="L13" s="17"/>
        <tr r="L16" s="28"/>
      </tp>
      <tp t="e">
        <v>#N/A</v>
        <stp/>
        <stp>BDH|17432457410333253041</stp>
        <tr r="K79" s="12"/>
      </tp>
      <tp t="e">
        <v>#N/A</v>
        <stp/>
        <stp>BDH|11518156555537754355</stp>
        <tr r="X61" s="21"/>
      </tp>
      <tp t="e">
        <v>#N/A</v>
        <stp/>
        <stp>BDH|12544177353597237044</stp>
        <tr r="N22" s="6"/>
      </tp>
      <tp t="e">
        <v>#N/A</v>
        <stp/>
        <stp>BDH|13670265308791773183</stp>
        <tr r="D28" s="25"/>
        <tr r="D14" s="27"/>
      </tp>
      <tp t="e">
        <v>#N/A</v>
        <stp/>
        <stp>BDH|16976179642424937628</stp>
        <tr r="L40" s="12"/>
      </tp>
      <tp t="e">
        <v>#N/A</v>
        <stp/>
        <stp>BDH|14146176138305880218</stp>
        <tr r="M32" s="12"/>
      </tp>
      <tp t="e">
        <v>#N/A</v>
        <stp/>
        <stp>BDH|17457375123017610010</stp>
        <tr r="G18" s="11"/>
      </tp>
      <tp t="e">
        <v>#N/A</v>
        <stp/>
        <stp>BDH|12904616438261474732</stp>
        <tr r="T8" s="14"/>
      </tp>
      <tp t="e">
        <v>#N/A</v>
        <stp/>
        <stp>BDH|16831694417842363228</stp>
        <tr r="H13" s="21"/>
      </tp>
      <tp t="e">
        <v>#N/A</v>
        <stp/>
        <stp>BDH|18096599294100886529</stp>
        <tr r="C62" s="12"/>
      </tp>
      <tp t="e">
        <v>#N/A</v>
        <stp/>
        <stp>BDH|10059449853179326938</stp>
        <tr r="U30" s="10"/>
        <tr r="W39" s="13"/>
      </tp>
      <tp t="e">
        <v>#N/A</v>
        <stp/>
        <stp>BDH|11764358233355130579</stp>
        <tr r="J143" s="18"/>
      </tp>
      <tp t="e">
        <v>#N/A</v>
        <stp/>
        <stp>BDH|15312635902511515306</stp>
        <tr r="O50" s="18"/>
      </tp>
      <tp t="e">
        <v>#N/A</v>
        <stp/>
        <stp>BDH|18119115104770551860</stp>
        <tr r="U63" s="18"/>
      </tp>
      <tp t="e">
        <v>#N/A</v>
        <stp/>
        <stp>BDH|13645915561404129901</stp>
        <tr r="T32" s="14"/>
      </tp>
      <tp t="e">
        <v>#N/A</v>
        <stp/>
        <stp>BDH|16299592524695199591</stp>
        <tr r="N9" s="11"/>
      </tp>
      <tp t="e">
        <v>#N/A</v>
        <stp/>
        <stp>BDH|13903644833647910006</stp>
        <tr r="P32" s="18"/>
      </tp>
      <tp t="e">
        <v>#N/A</v>
        <stp/>
        <stp>BDH|14549326864378140851</stp>
        <tr r="E14" s="10"/>
      </tp>
      <tp t="e">
        <v>#N/A</v>
        <stp/>
        <stp>BDH|18421331698093196081</stp>
        <tr r="I22" s="6"/>
      </tp>
      <tp t="e">
        <v>#N/A</v>
        <stp/>
        <stp>BDH|10659357244637284136</stp>
        <tr r="Q19" s="25"/>
      </tp>
      <tp t="e">
        <v>#N/A</v>
        <stp/>
        <stp>BDH|10709948781272562216</stp>
        <tr r="Y19" s="17"/>
      </tp>
      <tp t="e">
        <v>#N/A</v>
        <stp/>
        <stp>BDH|12136146107716798432</stp>
        <tr r="C22" s="7"/>
      </tp>
      <tp t="e">
        <v>#N/A</v>
        <stp/>
        <stp>BDH|18241485701904403991</stp>
        <tr r="W103" s="12"/>
      </tp>
      <tp t="e">
        <v>#N/A</v>
        <stp/>
        <stp>BDH|17607136393197761979</stp>
        <tr r="W31" s="26"/>
        <tr r="T14" s="9"/>
      </tp>
      <tp t="e">
        <v>#N/A</v>
        <stp/>
        <stp>BDH|10884539858879165847</stp>
        <tr r="I13" s="2"/>
      </tp>
      <tp t="e">
        <v>#N/A</v>
        <stp/>
        <stp>BDH|15784176579483931161</stp>
        <tr r="N9" s="14"/>
      </tp>
      <tp t="e">
        <v>#N/A</v>
        <stp/>
        <stp>BDH|10790256423767629612</stp>
        <tr r="I21" s="11"/>
      </tp>
      <tp t="e">
        <v>#N/A</v>
        <stp/>
        <stp>BDH|10232071291260417869</stp>
        <tr r="N13" s="29"/>
        <tr r="N22" s="29"/>
        <tr r="N36" s="29"/>
      </tp>
      <tp t="e">
        <v>#N/A</v>
        <stp/>
        <stp>BDH|12126032256934635245</stp>
        <tr r="U9" s="18"/>
      </tp>
      <tp t="e">
        <v>#N/A</v>
        <stp/>
        <stp>BDH|16675753003880124070</stp>
        <tr r="G17" s="22"/>
      </tp>
      <tp t="e">
        <v>#N/A</v>
        <stp/>
        <stp>BDH|10615422141616622759</stp>
        <tr r="J35" s="4"/>
      </tp>
      <tp t="e">
        <v>#N/A</v>
        <stp/>
        <stp>BDH|13479113301822179135</stp>
        <tr r="U31" s="12"/>
      </tp>
      <tp t="e">
        <v>#N/A</v>
        <stp/>
        <stp>BDH|17746764675845504375</stp>
        <tr r="M64" s="34"/>
      </tp>
      <tp t="e">
        <v>#N/A</v>
        <stp/>
        <stp>BDH|14626007313863386709</stp>
        <tr r="M58" s="12"/>
      </tp>
      <tp t="e">
        <v>#N/A</v>
        <stp/>
        <stp>BDH|12878968915568898350</stp>
        <tr r="X211" s="18"/>
      </tp>
      <tp t="e">
        <v>#N/A</v>
        <stp/>
        <stp>BDH|15660647353936089173</stp>
        <tr r="K114" s="18"/>
      </tp>
      <tp t="e">
        <v>#N/A</v>
        <stp/>
        <stp>BDH|16003258757888574814</stp>
        <tr r="O155" s="18"/>
      </tp>
      <tp t="e">
        <v>#N/A</v>
        <stp/>
        <stp>BDH|12153291524333925036</stp>
        <tr r="L18" s="22"/>
      </tp>
      <tp t="e">
        <v>#N/A</v>
        <stp/>
        <stp>BDH|13848780348508807963</stp>
        <tr r="T64" s="24"/>
      </tp>
      <tp t="e">
        <v>#N/A</v>
        <stp/>
        <stp>BDH|11624095919624500553</stp>
        <tr r="E65" s="17"/>
      </tp>
      <tp t="e">
        <v>#N/A</v>
        <stp/>
        <stp>BDH|10933675710552904411</stp>
        <tr r="H33" s="17"/>
      </tp>
      <tp t="e">
        <v>#N/A</v>
        <stp/>
        <stp>BDH|11462616209304327293</stp>
        <tr r="U24" s="21"/>
      </tp>
      <tp t="e">
        <v>#N/A</v>
        <stp/>
        <stp>BDH|17842083493139413615</stp>
        <tr r="P208" s="18"/>
      </tp>
      <tp t="e">
        <v>#N/A</v>
        <stp/>
        <stp>BDH|15097118012277655337</stp>
        <tr r="G10" s="14"/>
      </tp>
      <tp t="e">
        <v>#N/A</v>
        <stp/>
        <stp>BDH|15435997198332110627</stp>
        <tr r="J32" s="24"/>
      </tp>
      <tp t="e">
        <v>#N/A</v>
        <stp/>
        <stp>BDH|16072164335421545402</stp>
        <tr r="L26" s="21"/>
      </tp>
      <tp t="e">
        <v>#N/A</v>
        <stp/>
        <stp>BDH|17652931691714764254</stp>
        <tr r="F155" s="18"/>
      </tp>
      <tp t="e">
        <v>#N/A</v>
        <stp/>
        <stp>BDH|15971375719402169400</stp>
        <tr r="C183" s="18"/>
      </tp>
      <tp t="e">
        <v>#N/A</v>
        <stp/>
        <stp>BDH|14745305057131583238</stp>
        <tr r="AA111" s="18"/>
      </tp>
      <tp t="e">
        <v>#N/A</v>
        <stp/>
        <stp>BDH|11751382239614620463</stp>
        <tr r="K52" s="18"/>
      </tp>
      <tp t="e">
        <v>#N/A</v>
        <stp/>
        <stp>BDH|14816653271031235581</stp>
        <tr r="N30" s="29"/>
        <tr r="N8" s="29"/>
      </tp>
      <tp t="e">
        <v>#N/A</v>
        <stp/>
        <stp>BDH|11719005181720877883</stp>
        <tr r="R179" s="18"/>
      </tp>
      <tp t="e">
        <v>#N/A</v>
        <stp/>
        <stp>BDH|14133491816472821203</stp>
        <tr r="H73" s="34"/>
      </tp>
      <tp t="e">
        <v>#N/A</v>
        <stp/>
        <stp>BDH|17552420095398337372</stp>
        <tr r="Y192" s="18"/>
      </tp>
      <tp t="e">
        <v>#N/A</v>
        <stp/>
        <stp>BDH|14316195559085234470</stp>
        <tr r="H76" s="18"/>
      </tp>
      <tp t="e">
        <v>#N/A</v>
        <stp/>
        <stp>BDH|14498743601851200355</stp>
        <tr r="L18" s="9"/>
      </tp>
      <tp t="e">
        <v>#N/A</v>
        <stp/>
        <stp>BDH|13335583825725145094</stp>
        <tr r="M12" s="25"/>
      </tp>
      <tp t="e">
        <v>#N/A</v>
        <stp/>
        <stp>BDH|12213434186028112703</stp>
        <tr r="J61" s="21"/>
      </tp>
      <tp t="e">
        <v>#N/A</v>
        <stp/>
        <stp>BDH|10888063965997417095</stp>
        <tr r="H10" s="17"/>
      </tp>
      <tp t="e">
        <v>#N/A</v>
        <stp/>
        <stp>BDH|12445752063653355173</stp>
        <tr r="K37" s="12"/>
      </tp>
      <tp t="e">
        <v>#N/A</v>
        <stp/>
        <stp>BDH|11631377305463037025</stp>
        <tr r="H64" s="12"/>
      </tp>
      <tp t="e">
        <v>#N/A</v>
        <stp/>
        <stp>BDH|17748506719323942110</stp>
        <tr r="U22" s="18"/>
      </tp>
      <tp t="e">
        <v>#N/A</v>
        <stp/>
        <stp>BDH|18136941177310449700</stp>
        <tr r="M97" s="18"/>
      </tp>
      <tp t="e">
        <v>#N/A</v>
        <stp/>
        <stp>BDH|16106436234020828081</stp>
        <tr r="E87" s="18"/>
      </tp>
      <tp t="e">
        <v>#N/A</v>
        <stp/>
        <stp>BDH|10456492479971332318</stp>
        <tr r="O45" s="12"/>
      </tp>
      <tp t="e">
        <v>#N/A</v>
        <stp/>
        <stp>BDH|12564637701472382728</stp>
        <tr r="J44" s="17"/>
      </tp>
      <tp t="e">
        <v>#N/A</v>
        <stp/>
        <stp>BDH|16233359942254349409</stp>
        <tr r="P64" s="18"/>
      </tp>
      <tp t="e">
        <v>#N/A</v>
        <stp/>
        <stp>BDH|13739470631760766506</stp>
        <tr r="E46" s="12"/>
      </tp>
      <tp t="e">
        <v>#N/A</v>
        <stp/>
        <stp>BDH|10167252055263234551</stp>
        <tr r="S86" s="18"/>
      </tp>
      <tp t="e">
        <v>#N/A</v>
        <stp/>
        <stp>BDH|17885096155653640048</stp>
        <tr r="Q43" s="17"/>
      </tp>
      <tp t="e">
        <v>#N/A</v>
        <stp/>
        <stp>BDH|11131632003192568422</stp>
        <tr r="N12" s="22"/>
      </tp>
      <tp t="e">
        <v>#N/A</v>
        <stp/>
        <stp>BDH|12209478065027950607</stp>
        <tr r="F7" s="10"/>
      </tp>
      <tp t="e">
        <v>#N/A</v>
        <stp/>
        <stp>BDH|12872555591426293975</stp>
        <tr r="V65" s="13"/>
      </tp>
      <tp t="e">
        <v>#N/A</v>
        <stp/>
        <stp>BDH|10557153368001479758</stp>
        <tr r="AA27" s="24"/>
      </tp>
      <tp t="e">
        <v>#N/A</v>
        <stp/>
        <stp>BDH|17402383428146599182</stp>
        <tr r="W35" s="6"/>
      </tp>
      <tp t="e">
        <v>#N/A</v>
        <stp/>
        <stp>BDH|17740009612144909355</stp>
        <tr r="O15" s="9"/>
      </tp>
      <tp t="e">
        <v>#N/A</v>
        <stp/>
        <stp>BDH|12598214380081906844</stp>
        <tr r="T8" s="4"/>
      </tp>
      <tp t="e">
        <v>#N/A</v>
        <stp/>
        <stp>BDH|17683212645159905922</stp>
        <tr r="T207" s="18"/>
      </tp>
      <tp t="e">
        <v>#N/A</v>
        <stp/>
        <stp>BDH|18423266442768824718</stp>
        <tr r="J70" s="17"/>
      </tp>
      <tp t="e">
        <v>#N/A</v>
        <stp/>
        <stp>BDH|16133231053465991516</stp>
        <tr r="P79" s="12"/>
      </tp>
      <tp t="e">
        <v>#N/A</v>
        <stp/>
        <stp>BDH|11087782230150847496</stp>
        <tr r="H62" s="13"/>
      </tp>
      <tp t="e">
        <v>#N/A</v>
        <stp/>
        <stp>BDH|13521198607066251506</stp>
        <tr r="Y26" s="27"/>
      </tp>
      <tp t="e">
        <v>#N/A</v>
        <stp/>
        <stp>BDH|12547597278993855257</stp>
        <tr r="O38" s="4"/>
        <tr r="O56" s="11"/>
        <tr r="Q13" s="23"/>
      </tp>
      <tp t="e">
        <v>#N/A</v>
        <stp/>
        <stp>BDH|13832225374745106269</stp>
        <tr r="E138" s="18"/>
      </tp>
      <tp t="e">
        <v>#N/A</v>
        <stp/>
        <stp>BDH|16220911578900426960</stp>
        <tr r="W30" s="10"/>
        <tr r="Y39" s="13"/>
      </tp>
      <tp t="e">
        <v>#N/A</v>
        <stp/>
        <stp>BDH|17498588742636391141</stp>
        <tr r="C19" s="6"/>
      </tp>
      <tp t="e">
        <v>#N/A</v>
        <stp/>
        <stp>BDH|12190850159196462801</stp>
        <tr r="D22" s="22"/>
      </tp>
      <tp t="e">
        <v>#N/A</v>
        <stp/>
        <stp>BDH|15478426919603184270</stp>
        <tr r="I23" s="18"/>
      </tp>
      <tp t="e">
        <v>#N/A</v>
        <stp/>
        <stp>BDH|10344872109521150859</stp>
        <tr r="C66" s="21"/>
      </tp>
      <tp t="e">
        <v>#N/A</v>
        <stp/>
        <stp>BDH|13594060009283651150</stp>
        <tr r="H31" s="29"/>
      </tp>
      <tp t="e">
        <v>#N/A</v>
        <stp/>
        <stp>BDH|12013291151867861390</stp>
        <tr r="J34" s="12"/>
      </tp>
      <tp t="e">
        <v>#N/A</v>
        <stp/>
        <stp>BDH|15969650306994326603</stp>
        <tr r="Y60" s="18"/>
      </tp>
      <tp t="e">
        <v>#N/A</v>
        <stp/>
        <stp>BDH|13972008941293373524</stp>
        <tr r="I54" s="18"/>
      </tp>
      <tp t="e">
        <v>#N/A</v>
        <stp/>
        <stp>BDH|10836229386863390865</stp>
        <tr r="C163" s="18"/>
      </tp>
      <tp t="e">
        <v>#N/A</v>
        <stp/>
        <stp>BDH|15384085957603053253</stp>
        <tr r="E46" s="21"/>
      </tp>
      <tp t="e">
        <v>#N/A</v>
        <stp/>
        <stp>BDH|14538195004790054418</stp>
        <tr r="X53" s="17"/>
      </tp>
      <tp t="e">
        <v>#N/A</v>
        <stp/>
        <stp>BDH|13020037653760866718</stp>
        <tr r="K82" s="18"/>
      </tp>
      <tp t="e">
        <v>#N/A</v>
        <stp/>
        <stp>BDH|11742947807179985049</stp>
        <tr r="L53" s="17"/>
      </tp>
      <tp t="e">
        <v>#N/A</v>
        <stp/>
        <stp>BDH|11677719049206086577</stp>
        <tr r="G46" s="12"/>
      </tp>
      <tp t="e">
        <v>#N/A</v>
        <stp/>
        <stp>BDH|18133286413768443275</stp>
        <tr r="G92" s="12"/>
      </tp>
      <tp t="e">
        <v>#N/A</v>
        <stp/>
        <stp>BDH|14602397466599993999</stp>
        <tr r="V12" s="24"/>
      </tp>
      <tp t="e">
        <v>#N/A</v>
        <stp/>
        <stp>BDH|13448610829396338066</stp>
        <tr r="S29" s="12"/>
      </tp>
      <tp t="e">
        <v>#N/A</v>
        <stp/>
        <stp>BDH|11963366704743379011</stp>
        <tr r="AA145" s="18"/>
      </tp>
      <tp t="e">
        <v>#N/A</v>
        <stp/>
        <stp>BDH|10398394930229588866</stp>
        <tr r="U21" s="22"/>
      </tp>
      <tp t="e">
        <v>#N/A</v>
        <stp/>
        <stp>BDH|10846148153446496320</stp>
        <tr r="H10" s="14"/>
      </tp>
      <tp t="e">
        <v>#N/A</v>
        <stp/>
        <stp>BDH|17815796632677241584</stp>
        <tr r="G73" s="12"/>
      </tp>
      <tp t="e">
        <v>#N/A</v>
        <stp/>
        <stp>BDH|10174161023380568282</stp>
        <tr r="Y38" s="18"/>
      </tp>
      <tp t="e">
        <v>#N/A</v>
        <stp/>
        <stp>BDH|11942557312511224554</stp>
        <tr r="H18" s="24"/>
      </tp>
      <tp t="e">
        <v>#N/A</v>
        <stp/>
        <stp>BDH|14260437057747802376</stp>
        <tr r="D58" s="34"/>
      </tp>
      <tp t="e">
        <v>#N/A</v>
        <stp/>
        <stp>BDH|12564906780670802241</stp>
        <tr r="E33" s="5"/>
      </tp>
      <tp t="e">
        <v>#N/A</v>
        <stp/>
        <stp>BDH|13650246981280247882</stp>
        <tr r="W14" s="12"/>
      </tp>
      <tp t="e">
        <v>#N/A</v>
        <stp/>
        <stp>BDH|15445016440350405086</stp>
        <tr r="F24" s="24"/>
      </tp>
      <tp t="e">
        <v>#N/A</v>
        <stp/>
        <stp>BDH|12194821269795680851</stp>
        <tr r="W99" s="12"/>
      </tp>
      <tp t="e">
        <v>#N/A</v>
        <stp/>
        <stp>BDH|15441662849305456366</stp>
        <tr r="Q16" s="2"/>
        <tr r="Q32" s="4"/>
        <tr r="Q62" s="10"/>
        <tr r="S19" s="13"/>
      </tp>
      <tp t="e">
        <v>#N/A</v>
        <stp/>
        <stp>BDH|15546439728893077174</stp>
        <tr r="U48" s="21"/>
      </tp>
      <tp t="e">
        <v>#N/A</v>
        <stp/>
        <stp>BDH|17112590381728837383</stp>
        <tr r="W12" s="7"/>
      </tp>
      <tp t="e">
        <v>#N/A</v>
        <stp/>
        <stp>BDH|17382459961987961378</stp>
        <tr r="Z149" s="18"/>
      </tp>
      <tp t="e">
        <v>#N/A</v>
        <stp/>
        <stp>BDH|12645081168296951367</stp>
        <tr r="H20" s="25"/>
      </tp>
      <tp t="e">
        <v>#N/A</v>
        <stp/>
        <stp>BDH|11742073463846326098</stp>
        <tr r="P45" s="21"/>
      </tp>
      <tp t="e">
        <v>#N/A</v>
        <stp/>
        <stp>BDH|15908822892540028501</stp>
        <tr r="P40" s="6"/>
      </tp>
      <tp t="e">
        <v>#N/A</v>
        <stp/>
        <stp>BDH|15470995136148503677</stp>
        <tr r="H71" s="17"/>
      </tp>
      <tp t="e">
        <v>#N/A</v>
        <stp/>
        <stp>BDH|17276686914783547226</stp>
        <tr r="D25" s="22"/>
      </tp>
      <tp t="e">
        <v>#N/A</v>
        <stp/>
        <stp>BDH|12444229504257222686</stp>
        <tr r="J21" s="22"/>
      </tp>
      <tp t="e">
        <v>#N/A</v>
        <stp/>
        <stp>BDH|15417183919053404798</stp>
        <tr r="M20" s="26"/>
      </tp>
      <tp t="e">
        <v>#N/A</v>
        <stp/>
        <stp>BDH|14342749811286768593</stp>
        <tr r="N15" s="26"/>
      </tp>
      <tp t="e">
        <v>#N/A</v>
        <stp/>
        <stp>BDH|15105079433071956646</stp>
        <tr r="K40" s="10"/>
        <tr r="K30" s="11"/>
      </tp>
      <tp t="e">
        <v>#N/A</v>
        <stp/>
        <stp>BDH|16683680065700301705</stp>
        <tr r="C18" s="17"/>
      </tp>
      <tp t="e">
        <v>#N/A</v>
        <stp/>
        <stp>BDH|10059725768199006928</stp>
        <tr r="K62" s="17"/>
      </tp>
      <tp t="e">
        <v>#N/A</v>
        <stp/>
        <stp>BDH|13714441761662986237</stp>
        <tr r="U64" s="12"/>
      </tp>
      <tp t="e">
        <v>#N/A</v>
        <stp/>
        <stp>BDH|10429202660833571697</stp>
        <tr r="R14" s="11"/>
      </tp>
      <tp t="e">
        <v>#N/A</v>
        <stp/>
        <stp>BDH|13927266836770934388</stp>
        <tr r="U14" s="8"/>
      </tp>
      <tp t="e">
        <v>#N/A</v>
        <stp/>
        <stp>BDH|11988162019745747591</stp>
        <tr r="D20" s="10"/>
      </tp>
      <tp t="e">
        <v>#N/A</v>
        <stp/>
        <stp>BDH|10313536034870929753</stp>
        <tr r="V71" s="13"/>
      </tp>
      <tp t="e">
        <v>#N/A</v>
        <stp/>
        <stp>BDH|14238443259941520525</stp>
        <tr r="D49" s="17"/>
      </tp>
      <tp t="e">
        <v>#N/A</v>
        <stp/>
        <stp>BDH|11180808798585327429</stp>
        <tr r="P143" s="18"/>
      </tp>
      <tp t="e">
        <v>#N/A</v>
        <stp/>
        <stp>BDH|11273033595009936059</stp>
        <tr r="U31" s="17"/>
      </tp>
      <tp t="e">
        <v>#N/A</v>
        <stp/>
        <stp>BDH|13593628407801004587</stp>
        <tr r="U30" s="6"/>
      </tp>
      <tp t="e">
        <v>#N/A</v>
        <stp/>
        <stp>BDH|18258670312577996964</stp>
        <tr r="I9" s="2"/>
        <tr r="K8" s="25"/>
        <tr r="H10" s="5"/>
      </tp>
      <tp t="e">
        <v>#N/A</v>
        <stp/>
        <stp>BDH|17522708263424865365</stp>
        <tr r="AA105" s="12"/>
      </tp>
      <tp t="e">
        <v>#N/A</v>
        <stp/>
        <stp>BDH|16781722496231920827</stp>
        <tr r="W25" s="5"/>
      </tp>
      <tp t="e">
        <v>#N/A</v>
        <stp/>
        <stp>BDH|15838339217005778330</stp>
        <tr r="M18" s="22"/>
      </tp>
      <tp t="e">
        <v>#N/A</v>
        <stp/>
        <stp>BDH|14289801264313927874</stp>
        <tr r="D93" s="24"/>
      </tp>
      <tp t="e">
        <v>#N/A</v>
        <stp/>
        <stp>BDH|11879508507404052172</stp>
        <tr r="J63" s="10"/>
      </tp>
      <tp t="e">
        <v>#N/A</v>
        <stp/>
        <stp>BDH|16455347756800615187</stp>
        <tr r="O96" s="12"/>
      </tp>
      <tp t="e">
        <v>#N/A</v>
        <stp/>
        <stp>BDH|18231059428173702807</stp>
        <tr r="N20" s="2"/>
        <tr r="N18" s="4"/>
        <tr r="N58" s="10"/>
        <tr r="N48" s="11"/>
        <tr r="N19" s="7"/>
        <tr r="P74" s="13"/>
      </tp>
      <tp t="e">
        <v>#N/A</v>
        <stp/>
        <stp>BDH|16793592145993688556</stp>
        <tr r="R19" s="12"/>
      </tp>
      <tp t="e">
        <v>#N/A</v>
        <stp/>
        <stp>BDH|10028672974498801837</stp>
        <tr r="I43" s="24"/>
      </tp>
      <tp t="e">
        <v>#N/A</v>
        <stp/>
        <stp>BDH|15823625262261520554</stp>
        <tr r="G28" s="26"/>
      </tp>
      <tp t="e">
        <v>#N/A</v>
        <stp/>
        <stp>BDH|16391739371811135688</stp>
        <tr r="N17" s="17"/>
        <tr r="N20" s="28"/>
      </tp>
      <tp t="e">
        <v>#N/A</v>
        <stp/>
        <stp>BDH|13925458893257428839</stp>
        <tr r="Z14" s="29"/>
        <tr r="Z23" s="29"/>
        <tr r="Z37" s="29"/>
      </tp>
      <tp t="e">
        <v>#N/A</v>
        <stp/>
        <stp>BDH|16471130045445388799</stp>
        <tr r="V52" s="18"/>
      </tp>
      <tp t="e">
        <v>#N/A</v>
        <stp/>
        <stp>BDH|16544885654133254937</stp>
        <tr r="J28" s="27"/>
      </tp>
      <tp t="e">
        <v>#N/A</v>
        <stp/>
        <stp>BDH|16931779713623071259</stp>
        <tr r="X24" s="20"/>
      </tp>
      <tp t="e">
        <v>#N/A</v>
        <stp/>
        <stp>BDH|16907600865102616521</stp>
        <tr r="N94" s="12"/>
      </tp>
      <tp t="e">
        <v>#N/A</v>
        <stp/>
        <stp>BDH|14911725691192455961</stp>
        <tr r="Z102" s="18"/>
      </tp>
      <tp t="e">
        <v>#N/A</v>
        <stp/>
        <stp>BDH|10215804223362905907</stp>
        <tr r="H46" s="21"/>
      </tp>
      <tp t="e">
        <v>#N/A</v>
        <stp/>
        <stp>BDH|11321019829416093436</stp>
        <tr r="Y64" s="34"/>
      </tp>
      <tp t="e">
        <v>#N/A</v>
        <stp/>
        <stp>BDH|12209254875794313292</stp>
        <tr r="P33" s="22"/>
      </tp>
      <tp t="e">
        <v>#N/A</v>
        <stp/>
        <stp>BDH|11016415323105971332</stp>
        <tr r="D147" s="18"/>
      </tp>
      <tp t="e">
        <v>#N/A</v>
        <stp/>
        <stp>BDH|12517708647196399691</stp>
        <tr r="U10" s="24"/>
      </tp>
      <tp t="e">
        <v>#N/A</v>
        <stp/>
        <stp>BDH|15116582604027403613</stp>
        <tr r="Q28" s="18"/>
      </tp>
      <tp t="e">
        <v>#N/A</v>
        <stp/>
        <stp>BDH|10211591057016640724</stp>
        <tr r="K172" s="18"/>
      </tp>
      <tp t="e">
        <v>#N/A</v>
        <stp/>
        <stp>BDH|11132309123654854529</stp>
        <tr r="K18" s="21"/>
      </tp>
      <tp t="e">
        <v>#N/A</v>
        <stp/>
        <stp>BDH|10849176517553916291</stp>
        <tr r="T39" s="6"/>
      </tp>
      <tp t="e">
        <v>#N/A</v>
        <stp/>
        <stp>BDH|13229758776774021698</stp>
        <tr r="R145" s="18"/>
      </tp>
      <tp t="e">
        <v>#N/A</v>
        <stp/>
        <stp>BDH|16036715514989500888</stp>
        <tr r="G86" s="12"/>
      </tp>
      <tp t="e">
        <v>#N/A</v>
        <stp/>
        <stp>BDH|14985195659979818893</stp>
        <tr r="W37" s="18"/>
      </tp>
      <tp t="e">
        <v>#N/A</v>
        <stp/>
        <stp>BDH|11457022673797516084</stp>
        <tr r="L9" s="6"/>
      </tp>
      <tp t="e">
        <v>#N/A</v>
        <stp/>
        <stp>BDH|14715962039549469645</stp>
        <tr r="Q22" s="34"/>
      </tp>
      <tp t="e">
        <v>#N/A</v>
        <stp/>
        <stp>BDH|12132045632109822970</stp>
        <tr r="Y41" s="10"/>
        <tr r="Y31" s="11"/>
      </tp>
      <tp t="e">
        <v>#N/A</v>
        <stp/>
        <stp>BDH|13805173556651555745</stp>
        <tr r="K193" s="18"/>
      </tp>
      <tp t="e">
        <v>#N/A</v>
        <stp/>
        <stp>BDH|18368362884083058194</stp>
        <tr r="E12" s="22"/>
      </tp>
      <tp t="e">
        <v>#N/A</v>
        <stp/>
        <stp>BDH|11304025269104018201</stp>
        <tr r="I70" s="18"/>
      </tp>
      <tp t="e">
        <v>#N/A</v>
        <stp/>
        <stp>BDH|12183249094861920930</stp>
        <tr r="K43" s="21"/>
      </tp>
      <tp t="e">
        <v>#N/A</v>
        <stp/>
        <stp>BDH|14375120578046492565</stp>
        <tr r="O63" s="34"/>
      </tp>
      <tp t="e">
        <v>#N/A</v>
        <stp/>
        <stp>BDH|16054596571847024232</stp>
        <tr r="K51" s="12"/>
      </tp>
      <tp t="e">
        <v>#N/A</v>
        <stp/>
        <stp>BDH|14235085835962353470</stp>
        <tr r="V30" s="25"/>
        <tr r="V16" s="27"/>
      </tp>
      <tp t="e">
        <v>#N/A</v>
        <stp/>
        <stp>BDH|16633600470424581285</stp>
        <tr r="E21" s="10"/>
      </tp>
      <tp t="e">
        <v>#N/A</v>
        <stp/>
        <stp>BDH|14809556796890528955</stp>
        <tr r="C78" s="24"/>
      </tp>
      <tp t="e">
        <v>#N/A</v>
        <stp/>
        <stp>BDH|10522350425172784292</stp>
        <tr r="R8" s="28"/>
      </tp>
      <tp t="e">
        <v>#N/A</v>
        <stp/>
        <stp>BDH|11522187481021645818</stp>
        <tr r="Z10" s="12"/>
      </tp>
      <tp t="e">
        <v>#N/A</v>
        <stp/>
        <stp>BDH|14039938120758961615</stp>
        <tr r="H19" s="25"/>
      </tp>
      <tp t="e">
        <v>#N/A</v>
        <stp/>
        <stp>BDH|17290597633501742140</stp>
        <tr r="E20" s="23"/>
      </tp>
      <tp t="e">
        <v>#N/A</v>
        <stp/>
        <stp>BDH|14136107058741495065</stp>
        <tr r="Q162" s="18"/>
      </tp>
      <tp t="e">
        <v>#N/A</v>
        <stp/>
        <stp>BDH|10885751956106418547</stp>
        <tr r="E70" s="24"/>
      </tp>
      <tp t="e">
        <v>#N/A</v>
        <stp/>
        <stp>BDH|15655031796054997913</stp>
        <tr r="Y46" s="17"/>
      </tp>
      <tp t="e">
        <v>#N/A</v>
        <stp/>
        <stp>BDH|11984872328109468390</stp>
        <tr r="Y91" s="17"/>
      </tp>
      <tp t="e">
        <v>#N/A</v>
        <stp/>
        <stp>BDH|10278577058855409425</stp>
        <tr r="K69" s="12"/>
      </tp>
      <tp t="e">
        <v>#N/A</v>
        <stp/>
        <stp>BDH|15676904318025094957</stp>
        <tr r="P7" s="30"/>
      </tp>
      <tp t="e">
        <v>#N/A</v>
        <stp/>
        <stp>BDH|14699239356597981510</stp>
        <tr r="T13" s="8"/>
      </tp>
      <tp t="e">
        <v>#N/A</v>
        <stp/>
        <stp>BDH|14992146719811939468</stp>
        <tr r="Q6" s="2"/>
        <tr r="P6" s="5"/>
        <tr r="P6" s="9"/>
        <tr r="R12" s="8"/>
        <tr r="R10" s="29"/>
        <tr r="R19" s="29"/>
        <tr r="R25" s="29"/>
      </tp>
      <tp t="e">
        <v>#N/A</v>
        <stp/>
        <stp>BDH|13819386537965983755</stp>
        <tr r="U24" s="6"/>
      </tp>
      <tp t="e">
        <v>#N/A</v>
        <stp/>
        <stp>BDH|12607037062162945751</stp>
        <tr r="T20" s="5"/>
      </tp>
      <tp t="e">
        <v>#N/A</v>
        <stp/>
        <stp>BDH|13797696151860109155</stp>
        <tr r="U55" s="13"/>
      </tp>
      <tp t="e">
        <v>#N/A</v>
        <stp/>
        <stp>BDH|14937177765010115217</stp>
        <tr r="V47" s="18"/>
      </tp>
      <tp t="e">
        <v>#N/A</v>
        <stp/>
        <stp>BDH|10002993512201866885</stp>
        <tr r="S55" s="21"/>
      </tp>
      <tp t="e">
        <v>#N/A</v>
        <stp/>
        <stp>BDH|11250465572765832656</stp>
        <tr r="P59" s="18"/>
      </tp>
      <tp t="e">
        <v>#N/A</v>
        <stp/>
        <stp>BDH|12763526404545918335</stp>
        <tr r="C21" s="2"/>
      </tp>
      <tp t="e">
        <v>#N/A</v>
        <stp/>
        <stp>BDH|10480852599143095333</stp>
        <tr r="M38" s="26"/>
      </tp>
      <tp t="e">
        <v>#N/A</v>
        <stp/>
        <stp>BDH|10726413958179389969</stp>
        <tr r="J71" s="34"/>
      </tp>
      <tp t="e">
        <v>#N/A</v>
        <stp/>
        <stp>BDH|17400576340771165696</stp>
        <tr r="H59" s="11"/>
      </tp>
      <tp t="e">
        <v>#N/A</v>
        <stp/>
        <stp>BDH|10987550417991549454</stp>
        <tr r="E8" s="12"/>
      </tp>
      <tp t="e">
        <v>#N/A</v>
        <stp/>
        <stp>BDH|13843666534635419255</stp>
        <tr r="T63" s="18"/>
      </tp>
      <tp t="e">
        <v>#N/A</v>
        <stp/>
        <stp>BDH|17253052982747892969</stp>
        <tr r="M69" s="10"/>
      </tp>
      <tp t="e">
        <v>#N/A</v>
        <stp/>
        <stp>BDH|15028597452473285729</stp>
        <tr r="Z84" s="17"/>
      </tp>
      <tp t="e">
        <v>#N/A</v>
        <stp/>
        <stp>BDH|16905105631416718340</stp>
        <tr r="Q75" s="17"/>
      </tp>
      <tp t="e">
        <v>#N/A</v>
        <stp/>
        <stp>BDH|16480886147578183313</stp>
        <tr r="E50" s="17"/>
      </tp>
      <tp t="e">
        <v>#N/A</v>
        <stp/>
        <stp>BDH|13206025197759929257</stp>
        <tr r="L57" s="18"/>
      </tp>
      <tp t="e">
        <v>#N/A</v>
        <stp/>
        <stp>BDH|13338066837661017095</stp>
        <tr r="Q20" s="23"/>
      </tp>
      <tp t="e">
        <v>#N/A</v>
        <stp/>
        <stp>BDH|15009723448151069613</stp>
        <tr r="L93" s="18"/>
      </tp>
      <tp t="e">
        <v>#N/A</v>
        <stp/>
        <stp>BDH|13896529135597351376</stp>
        <tr r="L174" s="18"/>
      </tp>
      <tp t="e">
        <v>#N/A</v>
        <stp/>
        <stp>BDH|17229634455313767685</stp>
        <tr r="K22" s="10"/>
      </tp>
      <tp t="e">
        <v>#N/A</v>
        <stp/>
        <stp>BDH|15392034162342006098</stp>
        <tr r="Y82" s="24"/>
      </tp>
      <tp t="e">
        <v>#N/A</v>
        <stp/>
        <stp>BDH|17271991943659061233</stp>
        <tr r="S26" s="25"/>
        <tr r="S12" s="27"/>
      </tp>
      <tp t="e">
        <v>#N/A</v>
        <stp/>
        <stp>BDH|11010331861382029794</stp>
        <tr r="Z73" s="18"/>
      </tp>
      <tp t="e">
        <v>#N/A</v>
        <stp/>
        <stp>BDH|15090192232616899081</stp>
        <tr r="H91" s="24"/>
      </tp>
      <tp t="e">
        <v>#N/A</v>
        <stp/>
        <stp>BDH|15716976614205943964</stp>
        <tr r="AA79" s="12"/>
      </tp>
      <tp t="e">
        <v>#N/A</v>
        <stp/>
        <stp>BDH|12129512365765644587</stp>
        <tr r="W25" s="27"/>
      </tp>
      <tp t="e">
        <v>#N/A</v>
        <stp/>
        <stp>BDH|11510074768455327327</stp>
        <tr r="Y6" s="2"/>
        <tr r="X6" s="5"/>
        <tr r="X6" s="9"/>
        <tr r="Z12" s="8"/>
        <tr r="Z10" s="29"/>
        <tr r="Z19" s="29"/>
        <tr r="Z25" s="29"/>
      </tp>
      <tp t="e">
        <v>#N/A</v>
        <stp/>
        <stp>BDH|14213198261752421058</stp>
        <tr r="V185" s="18"/>
      </tp>
      <tp t="e">
        <v>#N/A</v>
        <stp/>
        <stp>BDH|14998570552403505636</stp>
        <tr r="K67" s="21"/>
      </tp>
      <tp t="e">
        <v>#N/A</v>
        <stp/>
        <stp>BDH|10075741947623934108</stp>
        <tr r="V21" s="17"/>
        <tr r="V15" s="3"/>
      </tp>
      <tp t="e">
        <v>#N/A</v>
        <stp/>
        <stp>BDH|17674396778126828458</stp>
        <tr r="Z10" s="24"/>
      </tp>
      <tp t="e">
        <v>#N/A</v>
        <stp/>
        <stp>BDH|14325556308807637726</stp>
        <tr r="O85" s="24"/>
      </tp>
      <tp t="e">
        <v>#N/A</v>
        <stp/>
        <stp>BDH|15970026877092301158</stp>
        <tr r="D48" s="18"/>
      </tp>
      <tp t="e">
        <v>#N/A</v>
        <stp/>
        <stp>BDH|12631131664973338780</stp>
        <tr r="J37" s="34"/>
      </tp>
      <tp t="e">
        <v>#N/A</v>
        <stp/>
        <stp>BDH|10166383220862314204</stp>
        <tr r="N10" s="34"/>
      </tp>
      <tp t="e">
        <v>#N/A</v>
        <stp/>
        <stp>BDH|14664532002327564789</stp>
        <tr r="T95" s="24"/>
      </tp>
      <tp t="e">
        <v>#N/A</v>
        <stp/>
        <stp>BDH|14965310650961117236</stp>
        <tr r="D112" s="18"/>
      </tp>
      <tp t="e">
        <v>#N/A</v>
        <stp/>
        <stp>BDH|16383965391553969471</stp>
        <tr r="Z50" s="18"/>
      </tp>
      <tp t="e">
        <v>#N/A</v>
        <stp/>
        <stp>BDH|15204237071923982239</stp>
        <tr r="K55" s="24"/>
      </tp>
      <tp t="e">
        <v>#N/A</v>
        <stp/>
        <stp>BDH|11079140948920288548</stp>
        <tr r="D207" s="18"/>
      </tp>
      <tp t="e">
        <v>#N/A</v>
        <stp/>
        <stp>BDH|15607308429173019655</stp>
        <tr r="X64" s="21"/>
      </tp>
      <tp t="e">
        <v>#N/A</v>
        <stp/>
        <stp>BDH|12338329359137207206</stp>
        <tr r="O79" s="12"/>
      </tp>
      <tp t="e">
        <v>#N/A</v>
        <stp/>
        <stp>BDH|14534079418784876087</stp>
        <tr r="W13" s="11"/>
      </tp>
      <tp t="e">
        <v>#N/A</v>
        <stp/>
        <stp>BDH|15407397902472371569</stp>
        <tr r="T32" s="34"/>
      </tp>
      <tp t="e">
        <v>#N/A</v>
        <stp/>
        <stp>BDH|17542268069172080008</stp>
        <tr r="Z59" s="17"/>
      </tp>
      <tp t="e">
        <v>#N/A</v>
        <stp/>
        <stp>BDH|12313536463225812519</stp>
        <tr r="R13" s="5"/>
      </tp>
      <tp t="e">
        <v>#N/A</v>
        <stp/>
        <stp>BDH|12177460879380111058</stp>
        <tr r="N34" s="6"/>
      </tp>
      <tp t="e">
        <v>#N/A</v>
        <stp/>
        <stp>BDH|14433646029452085334</stp>
        <tr r="C33" s="29"/>
        <tr r="C42" s="29"/>
      </tp>
      <tp t="e">
        <v>#N/A</v>
        <stp/>
        <stp>BDH|17050700845281891472</stp>
        <tr r="N15" s="12"/>
      </tp>
      <tp t="e">
        <v>#N/A</v>
        <stp/>
        <stp>BDH|17258917519207255926</stp>
        <tr r="I25" s="26"/>
      </tp>
      <tp t="e">
        <v>#N/A</v>
        <stp/>
        <stp>BDH|12134109959933321413</stp>
        <tr r="R25" s="4"/>
        <tr r="R65" s="10"/>
      </tp>
      <tp t="e">
        <v>#N/A</v>
        <stp/>
        <stp>BDH|10143096172656616067</stp>
        <tr r="P53" s="12"/>
      </tp>
      <tp t="e">
        <v>#N/A</v>
        <stp/>
        <stp>BDH|11567335419036790428</stp>
        <tr r="S44" s="17"/>
      </tp>
      <tp t="e">
        <v>#N/A</v>
        <stp/>
        <stp>BDH|16154256848243587238</stp>
        <tr r="H90" s="24"/>
      </tp>
      <tp t="e">
        <v>#N/A</v>
        <stp/>
        <stp>BDH|18344637221795935826</stp>
        <tr r="X29" s="18"/>
      </tp>
      <tp t="e">
        <v>#N/A</v>
        <stp/>
        <stp>BDH|15006972004219886419</stp>
        <tr r="Q46" s="17"/>
      </tp>
      <tp t="e">
        <v>#N/A</v>
        <stp/>
        <stp>BDH|14710996797686631352</stp>
        <tr r="V40" s="18"/>
      </tp>
      <tp t="e">
        <v>#N/A</v>
        <stp/>
        <stp>BDH|14340981271489960297</stp>
        <tr r="Y53" s="12"/>
      </tp>
      <tp t="e">
        <v>#N/A</v>
        <stp/>
        <stp>BDH|15087708113463860112</stp>
        <tr r="K53" s="18"/>
      </tp>
      <tp t="e">
        <v>#N/A</v>
        <stp/>
        <stp>BDH|12859571512083171464</stp>
        <tr r="T31" s="17"/>
      </tp>
      <tp t="e">
        <v>#N/A</v>
        <stp/>
        <stp>BDH|13082079158763655434</stp>
        <tr r="Q29" s="22"/>
      </tp>
      <tp t="e">
        <v>#N/A</v>
        <stp/>
        <stp>BDH|14861426660977798075</stp>
        <tr r="D194" s="18"/>
      </tp>
      <tp t="e">
        <v>#N/A</v>
        <stp/>
        <stp>BDH|14610437784698275192</stp>
        <tr r="T103" s="18"/>
      </tp>
      <tp t="e">
        <v>#N/A</v>
        <stp/>
        <stp>BDH|14731044722902223599</stp>
        <tr r="N42" s="4"/>
      </tp>
      <tp t="e">
        <v>#N/A</v>
        <stp/>
        <stp>BDH|16374370053327460697</stp>
        <tr r="N25" s="9"/>
      </tp>
      <tp t="e">
        <v>#N/A</v>
        <stp/>
        <stp>BDH|17562144122055175080</stp>
        <tr r="T179" s="18"/>
      </tp>
      <tp t="e">
        <v>#N/A</v>
        <stp/>
        <stp>BDH|18029460554740084889</stp>
        <tr r="N104" s="12"/>
      </tp>
      <tp t="e">
        <v>#N/A</v>
        <stp/>
        <stp>BDH|11180761869754634529</stp>
        <tr r="Z19" s="12"/>
      </tp>
      <tp t="e">
        <v>#N/A</v>
        <stp/>
        <stp>BDH|14352658246800370796</stp>
        <tr r="T7" s="24"/>
      </tp>
      <tp t="e">
        <v>#N/A</v>
        <stp/>
        <stp>BDH|14928811758980878856</stp>
        <tr r="N46" s="18"/>
      </tp>
      <tp t="e">
        <v>#N/A</v>
        <stp/>
        <stp>BDH|13963259325051373373</stp>
        <tr r="Q26" s="27"/>
      </tp>
      <tp t="e">
        <v>#N/A</v>
        <stp/>
        <stp>BDH|11009999686295103432</stp>
        <tr r="X152" s="18"/>
      </tp>
      <tp t="e">
        <v>#N/A</v>
        <stp/>
        <stp>BDH|18151379039559472067</stp>
        <tr r="W39" s="22"/>
      </tp>
      <tp t="e">
        <v>#N/A</v>
        <stp/>
        <stp>BDH|10602788636013211671</stp>
        <tr r="G101" s="12"/>
      </tp>
      <tp t="e">
        <v>#N/A</v>
        <stp/>
        <stp>BDH|13664388118724376486</stp>
        <tr r="Y164" s="18"/>
      </tp>
      <tp t="e">
        <v>#N/A</v>
        <stp/>
        <stp>BDH|17446019139544820194</stp>
        <tr r="W38" s="18"/>
      </tp>
      <tp t="e">
        <v>#N/A</v>
        <stp/>
        <stp>BDH|10808118899030451993</stp>
        <tr r="I47" s="12"/>
      </tp>
      <tp t="e">
        <v>#N/A</v>
        <stp/>
        <stp>BDH|10642585343760194012</stp>
        <tr r="T89" s="12"/>
      </tp>
      <tp t="e">
        <v>#N/A</v>
        <stp/>
        <stp>BDH|12927902833259178068</stp>
        <tr r="E19" s="22"/>
      </tp>
      <tp t="e">
        <v>#N/A</v>
        <stp/>
        <stp>BDH|14175497009906874742</stp>
        <tr r="R21" s="27"/>
      </tp>
      <tp t="e">
        <v>#N/A</v>
        <stp/>
        <stp>BDH|14884750136059521836</stp>
        <tr r="P10" s="17"/>
      </tp>
      <tp t="e">
        <v>#N/A</v>
        <stp/>
        <stp>BDH|15005445828124600677</stp>
        <tr r="E25" s="22"/>
      </tp>
      <tp t="e">
        <v>#N/A</v>
        <stp/>
        <stp>BDH|15724861815705909806</stp>
        <tr r="M29" s="18"/>
      </tp>
      <tp t="e">
        <v>#N/A</v>
        <stp/>
        <stp>BDH|12512121117790854353</stp>
        <tr r="X34" s="6"/>
      </tp>
      <tp t="e">
        <v>#N/A</v>
        <stp/>
        <stp>BDH|16881665107170649129</stp>
        <tr r="R27" s="25"/>
        <tr r="R13" s="27"/>
      </tp>
      <tp t="e">
        <v>#N/A</v>
        <stp/>
        <stp>BDH|12835399968833175554</stp>
        <tr r="J72" s="34"/>
      </tp>
      <tp t="e">
        <v>#N/A</v>
        <stp/>
        <stp>BDH|16007637639130540223</stp>
        <tr r="T19" s="6"/>
      </tp>
      <tp t="e">
        <v>#N/A</v>
        <stp/>
        <stp>BDH|13370583097087725966</stp>
        <tr r="J73" s="17"/>
      </tp>
      <tp t="e">
        <v>#N/A</v>
        <stp/>
        <stp>BDH|10651438086948849560</stp>
        <tr r="S9" s="30"/>
      </tp>
      <tp t="e">
        <v>#N/A</v>
        <stp/>
        <stp>BDH|17424993650772926894</stp>
        <tr r="S72" s="10"/>
        <tr r="S62" s="11"/>
      </tp>
      <tp t="e">
        <v>#N/A</v>
        <stp/>
        <stp>BDH|15443045180535543980</stp>
        <tr r="Y25" s="4"/>
        <tr r="Y65" s="10"/>
      </tp>
      <tp t="e">
        <v>#N/A</v>
        <stp/>
        <stp>BDH|11778743073128506882</stp>
        <tr r="M51" s="34"/>
      </tp>
      <tp t="e">
        <v>#N/A</v>
        <stp/>
        <stp>BDH|10029850992298357890</stp>
        <tr r="P31" s="25"/>
        <tr r="M14" s="5"/>
        <tr r="P17" s="27"/>
      </tp>
      <tp t="e">
        <v>#N/A</v>
        <stp/>
        <stp>BDH|14236579451784890111</stp>
        <tr r="K86" s="24"/>
      </tp>
      <tp t="e">
        <v>#N/A</v>
        <stp/>
        <stp>BDH|14903467811842029238</stp>
        <tr r="U20" s="12"/>
      </tp>
      <tp t="e">
        <v>#N/A</v>
        <stp/>
        <stp>BDH|11953019864214284232</stp>
        <tr r="G32" s="22"/>
      </tp>
      <tp t="e">
        <v>#N/A</v>
        <stp/>
        <stp>BDH|14886124170845714601</stp>
        <tr r="G16" s="10"/>
      </tp>
      <tp t="e">
        <v>#N/A</v>
        <stp/>
        <stp>BDH|10389178848750726461</stp>
        <tr r="L73" s="12"/>
      </tp>
      <tp t="e">
        <v>#N/A</v>
        <stp/>
        <stp>BDH|10952256427594040579</stp>
        <tr r="Q182" s="18"/>
      </tp>
      <tp t="e">
        <v>#N/A</v>
        <stp/>
        <stp>BDH|11924025003447109758</stp>
        <tr r="M30" s="6"/>
      </tp>
      <tp t="e">
        <v>#N/A</v>
        <stp/>
        <stp>BDH|14747227446317797482</stp>
        <tr r="R178" s="18"/>
      </tp>
      <tp t="e">
        <v>#N/A</v>
        <stp/>
        <stp>BDH|12767052253473492592</stp>
        <tr r="R38" s="34"/>
      </tp>
      <tp t="e">
        <v>#N/A</v>
        <stp/>
        <stp>BDH|10747194556880006541</stp>
        <tr r="K26" s="24"/>
      </tp>
      <tp t="e">
        <v>#N/A</v>
        <stp/>
        <stp>BDH|11199574372776152496</stp>
        <tr r="H16" s="26"/>
      </tp>
      <tp t="e">
        <v>#N/A</v>
        <stp/>
        <stp>BDH|15666291829751995530</stp>
        <tr r="I27" s="17"/>
      </tp>
      <tp t="e">
        <v>#N/A</v>
        <stp/>
        <stp>BDH|13043439303700411682</stp>
        <tr r="K27" s="13"/>
      </tp>
      <tp t="e">
        <v>#N/A</v>
        <stp/>
        <stp>BDH|17758299541679659956</stp>
        <tr r="J72" s="24"/>
      </tp>
      <tp t="e">
        <v>#N/A</v>
        <stp/>
        <stp>BDH|10062721346660908219</stp>
        <tr r="AA48" s="13"/>
      </tp>
      <tp t="e">
        <v>#N/A</v>
        <stp/>
        <stp>BDH|16965416922753596236</stp>
        <tr r="P152" s="18"/>
      </tp>
      <tp t="e">
        <v>#N/A</v>
        <stp/>
        <stp>BDH|15194705682292602991</stp>
        <tr r="D43" s="29"/>
      </tp>
      <tp t="e">
        <v>#N/A</v>
        <stp/>
        <stp>BDH|16080150466557829770</stp>
        <tr r="F17" s="13"/>
      </tp>
      <tp t="e">
        <v>#N/A</v>
        <stp/>
        <stp>BDH|12948648180508854592</stp>
        <tr r="V11" s="11"/>
      </tp>
      <tp t="e">
        <v>#N/A</v>
        <stp/>
        <stp>BDH|16464244237874305284</stp>
        <tr r="C198" s="18"/>
      </tp>
      <tp t="e">
        <v>#N/A</v>
        <stp/>
        <stp>BDH|11037309168424296169</stp>
        <tr r="V32" s="34"/>
      </tp>
      <tp t="e">
        <v>#N/A</v>
        <stp/>
        <stp>BDH|18201390387610488243</stp>
        <tr r="L138" s="18"/>
      </tp>
      <tp t="e">
        <v>#N/A</v>
        <stp/>
        <stp>BDH|15080070643806083685</stp>
        <tr r="J33" s="21"/>
      </tp>
      <tp t="e">
        <v>#N/A</v>
        <stp/>
        <stp>BDH|13476472278507042679</stp>
        <tr r="E54" s="12"/>
      </tp>
      <tp t="e">
        <v>#N/A</v>
        <stp/>
        <stp>BDH|15005605648297195152</stp>
        <tr r="S201" s="18"/>
      </tp>
      <tp t="e">
        <v>#N/A</v>
        <stp/>
        <stp>BDH|11363358038490431065</stp>
        <tr r="L35" s="21"/>
      </tp>
      <tp t="e">
        <v>#N/A</v>
        <stp/>
        <stp>BDH|18240929719157435613</stp>
        <tr r="Q30" s="26"/>
      </tp>
      <tp t="e">
        <v>#N/A</v>
        <stp/>
        <stp>BDH|10189351005292906047</stp>
        <tr r="AA39" s="17"/>
      </tp>
      <tp t="e">
        <v>#N/A</v>
        <stp/>
        <stp>BDH|18174409085205162096</stp>
        <tr r="Z32" s="25"/>
        <tr r="Z18" s="27"/>
      </tp>
      <tp t="e">
        <v>#N/A</v>
        <stp/>
        <stp>BDH|16902809714488161608</stp>
        <tr r="S7" s="28"/>
      </tp>
      <tp t="e">
        <v>#N/A</v>
        <stp/>
        <stp>BDH|12575070818503546135</stp>
        <tr r="D25" s="21"/>
      </tp>
      <tp t="e">
        <v>#N/A</v>
        <stp/>
        <stp>BDH|11382896584350393017</stp>
        <tr r="H38" s="4"/>
        <tr r="H56" s="11"/>
        <tr r="J13" s="23"/>
      </tp>
      <tp t="e">
        <v>#N/A</v>
        <stp/>
        <stp>BDH|11467092200316025616</stp>
        <tr r="P68" s="24"/>
      </tp>
      <tp t="e">
        <v>#N/A</v>
        <stp/>
        <stp>BDH|16174393215301305424</stp>
        <tr r="S67" s="34"/>
      </tp>
      <tp t="e">
        <v>#N/A</v>
        <stp/>
        <stp>BDH|13306787244744458574</stp>
        <tr r="X25" s="10"/>
        <tr r="Z34" s="13"/>
      </tp>
      <tp t="e">
        <v>#N/A</v>
        <stp/>
        <stp>BDH|15284019444671352183</stp>
        <tr r="J28" s="13"/>
      </tp>
      <tp t="e">
        <v>#N/A</v>
        <stp/>
        <stp>BDH|15957799860804868143</stp>
        <tr r="D38" s="26"/>
      </tp>
      <tp t="e">
        <v>#N/A</v>
        <stp/>
        <stp>BDH|15190805509179643528</stp>
        <tr r="R30" s="10"/>
        <tr r="T39" s="13"/>
      </tp>
      <tp t="e">
        <v>#N/A</v>
        <stp/>
        <stp>BDH|15355217584456345893</stp>
        <tr r="U72" s="34"/>
      </tp>
      <tp t="e">
        <v>#N/A</v>
        <stp/>
        <stp>BDH|12135407935266946212</stp>
        <tr r="J22" s="6"/>
      </tp>
      <tp t="e">
        <v>#N/A</v>
        <stp/>
        <stp>BDH|15192436304974235482</stp>
        <tr r="Q8" s="21"/>
      </tp>
      <tp t="e">
        <v>#N/A</v>
        <stp/>
        <stp>BDH|10051714824472900603</stp>
        <tr r="M23" s="18"/>
      </tp>
      <tp t="e">
        <v>#N/A</v>
        <stp/>
        <stp>BDH|16506224367703941051</stp>
        <tr r="Z53" s="24"/>
      </tp>
      <tp t="e">
        <v>#N/A</v>
        <stp/>
        <stp>BDH|15680983126938254761</stp>
        <tr r="M11" s="17"/>
      </tp>
      <tp t="e">
        <v>#N/A</v>
        <stp/>
        <stp>BDH|13573976769218167563</stp>
        <tr r="AA11" s="13"/>
      </tp>
      <tp t="e">
        <v>#N/A</v>
        <stp/>
        <stp>BDH|14807928256729390033</stp>
        <tr r="W43" s="21"/>
      </tp>
      <tp t="e">
        <v>#N/A</v>
        <stp/>
        <stp>BDH|12884969541358172620</stp>
        <tr r="X69" s="17"/>
      </tp>
      <tp t="e">
        <v>#N/A</v>
        <stp/>
        <stp>BDH|16935276424714276340</stp>
        <tr r="U178" s="18"/>
      </tp>
      <tp t="e">
        <v>#N/A</v>
        <stp/>
        <stp>BDH|13406137540664270392</stp>
        <tr r="N26" s="34"/>
      </tp>
      <tp t="e">
        <v>#N/A</v>
        <stp/>
        <stp>BDH|17531178743802813156</stp>
        <tr r="K14" s="2"/>
        <tr r="K11" s="10"/>
      </tp>
      <tp t="e">
        <v>#N/A</v>
        <stp/>
        <stp>BDH|17954508157387722167</stp>
        <tr r="R72" s="13"/>
      </tp>
      <tp t="e">
        <v>#N/A</v>
        <stp/>
        <stp>BDH|14798114527725706391</stp>
        <tr r="W21" s="17"/>
        <tr r="W15" s="3"/>
      </tp>
      <tp t="e">
        <v>#N/A</v>
        <stp/>
        <stp>BDH|12805919111489376241</stp>
        <tr r="R25" s="10"/>
        <tr r="T34" s="13"/>
      </tp>
      <tp t="e">
        <v>#N/A</v>
        <stp/>
        <stp>BDH|15708599620386003511</stp>
        <tr r="C58" s="18"/>
      </tp>
      <tp t="e">
        <v>#N/A</v>
        <stp/>
        <stp>BDH|12665259218529516910</stp>
        <tr r="T37" s="17"/>
      </tp>
      <tp t="e">
        <v>#N/A</v>
        <stp/>
        <stp>BDH|15078670418760329339</stp>
        <tr r="N48" s="22"/>
      </tp>
      <tp t="e">
        <v>#N/A</v>
        <stp/>
        <stp>BDH|17058383800551486430</stp>
        <tr r="D42" s="24"/>
      </tp>
      <tp t="e">
        <v>#N/A</v>
        <stp/>
        <stp>BDH|16112040815437886177</stp>
        <tr r="E24" s="2"/>
      </tp>
      <tp t="e">
        <v>#N/A</v>
        <stp/>
        <stp>BDH|16999013449071723292</stp>
        <tr r="M30" s="12"/>
      </tp>
      <tp t="e">
        <v>#N/A</v>
        <stp/>
        <stp>BDH|16443163127634987033</stp>
        <tr r="O35" s="10"/>
        <tr r="O25" s="11"/>
      </tp>
      <tp t="e">
        <v>#N/A</v>
        <stp/>
        <stp>BDH|11657598151486345624</stp>
        <tr r="AA84" s="12"/>
      </tp>
      <tp t="e">
        <v>#N/A</v>
        <stp/>
        <stp>BDH|17305293784949936580</stp>
        <tr r="J9" s="18"/>
      </tp>
      <tp t="e">
        <v>#N/A</v>
        <stp/>
        <stp>BDH|14602394121230398420</stp>
        <tr r="C8" s="18"/>
      </tp>
      <tp t="e">
        <v>#N/A</v>
        <stp/>
        <stp>BDH|10417744179870474125</stp>
        <tr r="M91" s="18"/>
      </tp>
      <tp t="e">
        <v>#N/A</v>
        <stp/>
        <stp>BDH|13430608342558035892</stp>
        <tr r="F18" s="23"/>
      </tp>
      <tp t="e">
        <v>#N/A</v>
        <stp/>
        <stp>BDH|18268058768219316633</stp>
        <tr r="W25" s="9"/>
      </tp>
      <tp t="e">
        <v>#N/A</v>
        <stp/>
        <stp>BDH|16051330032670991774</stp>
        <tr r="S34" s="29"/>
      </tp>
      <tp t="e">
        <v>#N/A</v>
        <stp/>
        <stp>BDH|14011487860291497630</stp>
        <tr r="F7" s="24"/>
      </tp>
      <tp t="e">
        <v>#N/A</v>
        <stp/>
        <stp>BDH|14263067381359963439</stp>
        <tr r="G60" s="17"/>
      </tp>
      <tp t="e">
        <v>#N/A</v>
        <stp/>
        <stp>BDH|12187708011871760483</stp>
        <tr r="O15" s="26"/>
      </tp>
      <tp t="e">
        <v>#N/A</v>
        <stp/>
        <stp>BDH|10807267806935224650</stp>
        <tr r="Q17" s="20"/>
      </tp>
      <tp t="e">
        <v>#N/A</v>
        <stp/>
        <stp>BDH|17286414423884705487</stp>
        <tr r="W89" s="12"/>
      </tp>
      <tp t="e">
        <v>#N/A</v>
        <stp/>
        <stp>BDH|14774263064057329695</stp>
        <tr r="C160" s="18"/>
      </tp>
      <tp t="e">
        <v>#N/A</v>
        <stp/>
        <stp>BDH|15692058608307238363</stp>
        <tr r="L82" s="18"/>
      </tp>
      <tp t="e">
        <v>#N/A</v>
        <stp/>
        <stp>BDH|16569586982219418341</stp>
        <tr r="R23" s="17"/>
      </tp>
      <tp t="e">
        <v>#N/A</v>
        <stp/>
        <stp>BDH|16238482212653019174</stp>
        <tr r="X9" s="12"/>
      </tp>
      <tp t="e">
        <v>#N/A</v>
        <stp/>
        <stp>BDH|14570094158509331987</stp>
        <tr r="V200" s="18"/>
      </tp>
      <tp t="e">
        <v>#N/A</v>
        <stp/>
        <stp>BDH|13832743655110636000</stp>
        <tr r="P80" s="18"/>
      </tp>
      <tp t="e">
        <v>#N/A</v>
        <stp/>
        <stp>BDH|12064629046234885537</stp>
        <tr r="N18" s="29"/>
        <tr r="N41" s="29"/>
      </tp>
      <tp t="e">
        <v>#N/A</v>
        <stp/>
        <stp>BDH|14000390077449749861</stp>
        <tr r="H34" s="12"/>
      </tp>
      <tp t="e">
        <v>#N/A</v>
        <stp/>
        <stp>BDH|10116387105055054732</stp>
        <tr r="C18" s="34"/>
      </tp>
      <tp t="e">
        <v>#N/A</v>
        <stp/>
        <stp>BDH|13853514032361565515</stp>
        <tr r="V206" s="18"/>
      </tp>
      <tp t="e">
        <v>#N/A</v>
        <stp/>
        <stp>BDH|11543472219567024240</stp>
        <tr r="C24" s="14"/>
      </tp>
      <tp t="e">
        <v>#N/A</v>
        <stp/>
        <stp>BDH|12827323675610560751</stp>
        <tr r="I25" s="6"/>
      </tp>
      <tp t="e">
        <v>#N/A</v>
        <stp/>
        <stp>BDH|11609772697387045995</stp>
        <tr r="F9" s="22"/>
      </tp>
      <tp t="e">
        <v>#N/A</v>
        <stp/>
        <stp>BDH|18197933378426009159</stp>
        <tr r="K26" s="34"/>
      </tp>
      <tp t="e">
        <v>#N/A</v>
        <stp/>
        <stp>BDH|12637815033660965821</stp>
        <tr r="Z28" s="24"/>
      </tp>
      <tp t="e">
        <v>#N/A</v>
        <stp/>
        <stp>BDH|17983372414560399460</stp>
        <tr r="W16" s="11"/>
      </tp>
      <tp t="e">
        <v>#N/A</v>
        <stp/>
        <stp>BDH|12916212625555562676</stp>
        <tr r="P50" s="21"/>
      </tp>
      <tp t="e">
        <v>#N/A</v>
        <stp/>
        <stp>BDH|18420350639969286055</stp>
        <tr r="I27" s="12"/>
      </tp>
      <tp t="e">
        <v>#N/A</v>
        <stp/>
        <stp>BDH|10996976092135194421</stp>
        <tr r="H25" s="12"/>
      </tp>
      <tp t="e">
        <v>#N/A</v>
        <stp/>
        <stp>BDH|12516357703668806846</stp>
        <tr r="S66" s="12"/>
      </tp>
      <tp t="e">
        <v>#N/A</v>
        <stp/>
        <stp>BDH|14870955764622124870</stp>
        <tr r="M28" s="25"/>
        <tr r="M14" s="27"/>
      </tp>
      <tp t="e">
        <v>#N/A</v>
        <stp/>
        <stp>BDH|12850333540821798532</stp>
        <tr r="P12" s="18"/>
      </tp>
      <tp t="e">
        <v>#N/A</v>
        <stp/>
        <stp>BDH|17868109433064425008</stp>
        <tr r="P12" s="24"/>
      </tp>
      <tp t="e">
        <v>#N/A</v>
        <stp/>
        <stp>BDH|15959550831904304619</stp>
        <tr r="X27" s="34"/>
      </tp>
      <tp t="e">
        <v>#N/A</v>
        <stp/>
        <stp>BDH|11565040983198928041</stp>
        <tr r="V10" s="11"/>
      </tp>
      <tp t="e">
        <v>#N/A</v>
        <stp/>
        <stp>BDH|10116497573570371270</stp>
        <tr r="N9" s="18"/>
      </tp>
      <tp t="e">
        <v>#N/A</v>
        <stp/>
        <stp>BDH|17108231991869841449</stp>
        <tr r="O38" s="24"/>
      </tp>
      <tp t="e">
        <v>#N/A</v>
        <stp/>
        <stp>BDH|10561949522683472995</stp>
        <tr r="D42" s="13"/>
      </tp>
      <tp t="e">
        <v>#N/A</v>
        <stp/>
        <stp>BDH|15541225758203698073</stp>
        <tr r="F35" s="14"/>
      </tp>
      <tp t="e">
        <v>#N/A</v>
        <stp/>
        <stp>BDH|11160249008186433474</stp>
        <tr r="I14" s="34"/>
      </tp>
      <tp t="e">
        <v>#N/A</v>
        <stp/>
        <stp>BDH|16883530235640456142</stp>
        <tr r="O47" s="24"/>
      </tp>
      <tp t="e">
        <v>#N/A</v>
        <stp/>
        <stp>BDH|12398534045432974020</stp>
        <tr r="E63" s="10"/>
      </tp>
      <tp t="e">
        <v>#N/A</v>
        <stp/>
        <stp>BDH|12546117523412984201</stp>
        <tr r="K100" s="18"/>
      </tp>
      <tp t="e">
        <v>#N/A</v>
        <stp/>
        <stp>BDH|16952408715043591179</stp>
        <tr r="I24" s="17"/>
      </tp>
      <tp t="e">
        <v>#N/A</v>
        <stp/>
        <stp>BDH|13806817262808229471</stp>
        <tr r="G56" s="24"/>
      </tp>
      <tp t="e">
        <v>#N/A</v>
        <stp/>
        <stp>BDH|12428661660917510498</stp>
        <tr r="K62" s="18"/>
      </tp>
      <tp t="e">
        <v>#N/A</v>
        <stp/>
        <stp>BDH|16276594736209514863</stp>
        <tr r="Q159" s="18"/>
      </tp>
      <tp t="e">
        <v>#N/A</v>
        <stp/>
        <stp>BDH|16277189942305678709</stp>
        <tr r="E38" s="34"/>
      </tp>
      <tp t="e">
        <v>#N/A</v>
        <stp/>
        <stp>BDH|13076260519241077011</stp>
        <tr r="AA54" s="24"/>
      </tp>
      <tp t="e">
        <v>#N/A</v>
        <stp/>
        <stp>BDH|16972155202976385030</stp>
        <tr r="V39" s="22"/>
      </tp>
      <tp t="e">
        <v>#N/A</v>
        <stp/>
        <stp>BDH|11361920118499524122</stp>
        <tr r="T65" s="17"/>
      </tp>
      <tp t="e">
        <v>#N/A</v>
        <stp/>
        <stp>BDH|14946737802742246042</stp>
        <tr r="T42" s="22"/>
      </tp>
      <tp t="e">
        <v>#N/A</v>
        <stp/>
        <stp>BDH|15147251178706779757</stp>
        <tr r="Q10" s="22"/>
      </tp>
      <tp t="e">
        <v>#N/A</v>
        <stp/>
        <stp>BDH|11687984693916369601</stp>
        <tr r="S37" s="34"/>
      </tp>
      <tp t="e">
        <v>#N/A</v>
        <stp/>
        <stp>BDH|17966875151879214238</stp>
        <tr r="T34" s="21"/>
      </tp>
      <tp t="e">
        <v>#N/A</v>
        <stp/>
        <stp>BDH|12826766760864058608</stp>
        <tr r="P50" s="24"/>
      </tp>
      <tp t="e">
        <v>#N/A</v>
        <stp/>
        <stp>BDH|17629193835295032141</stp>
        <tr r="W59" s="11"/>
      </tp>
      <tp t="e">
        <v>#N/A</v>
        <stp/>
        <stp>BDH|11600292269961096583</stp>
        <tr r="S25" s="4"/>
        <tr r="S65" s="10"/>
      </tp>
      <tp t="e">
        <v>#N/A</v>
        <stp/>
        <stp>BDH|13951917858049970775</stp>
        <tr r="M9" s="12"/>
      </tp>
      <tp t="e">
        <v>#N/A</v>
        <stp/>
        <stp>BDH|15134365801675157295</stp>
        <tr r="R48" s="13"/>
      </tp>
      <tp t="e">
        <v>#N/A</v>
        <stp/>
        <stp>BDH|10660878666969068691</stp>
        <tr r="Z9" s="27"/>
      </tp>
      <tp t="e">
        <v>#N/A</v>
        <stp/>
        <stp>BDH|11858141036173764133</stp>
        <tr r="N99" s="18"/>
      </tp>
      <tp t="e">
        <v>#N/A</v>
        <stp/>
        <stp>BDH|13179343985440877967</stp>
        <tr r="S12" s="17"/>
      </tp>
      <tp t="e">
        <v>#N/A</v>
        <stp/>
        <stp>BDH|14731030718965243109</stp>
        <tr r="M25" s="9"/>
      </tp>
      <tp t="e">
        <v>#N/A</v>
        <stp/>
        <stp>BDH|18227393943089615707</stp>
        <tr r="U37" s="21"/>
      </tp>
      <tp t="e">
        <v>#N/A</v>
        <stp/>
        <stp>BDH|11416051845116907237</stp>
        <tr r="L22" s="6"/>
      </tp>
      <tp t="e">
        <v>#N/A</v>
        <stp/>
        <stp>BDH|12519513078385074420</stp>
        <tr r="M92" s="12"/>
      </tp>
      <tp t="e">
        <v>#N/A</v>
        <stp/>
        <stp>BDH|13748485772679435871</stp>
        <tr r="P77" s="18"/>
      </tp>
      <tp t="e">
        <v>#N/A</v>
        <stp/>
        <stp>BDH|10792866569636255949</stp>
        <tr r="R6" s="19"/>
        <tr r="R34" s="17"/>
        <tr r="R16" s="3"/>
      </tp>
      <tp t="e">
        <v>#N/A</v>
        <stp/>
        <stp>BDH|15676059488654299875</stp>
        <tr r="J30" s="18"/>
      </tp>
      <tp t="e">
        <v>#N/A</v>
        <stp/>
        <stp>BDH|10941174578043024486</stp>
        <tr r="S36" s="34"/>
      </tp>
      <tp t="e">
        <v>#N/A</v>
        <stp/>
        <stp>BDH|15571157223037298702</stp>
        <tr r="R16" s="18"/>
      </tp>
      <tp t="e">
        <v>#N/A</v>
        <stp/>
        <stp>BDH|10580769056260207468</stp>
        <tr r="L25" s="3"/>
      </tp>
      <tp t="e">
        <v>#N/A</v>
        <stp/>
        <stp>BDH|12838911929466196904</stp>
        <tr r="S200" s="18"/>
      </tp>
      <tp t="e">
        <v>#N/A</v>
        <stp/>
        <stp>BDH|16741625541273082150</stp>
        <tr r="Y14" s="22"/>
      </tp>
      <tp t="e">
        <v>#N/A</v>
        <stp/>
        <stp>BDH|16315370641883039441</stp>
        <tr r="S205" s="18"/>
      </tp>
      <tp t="e">
        <v>#N/A</v>
        <stp/>
        <stp>BDH|12088237049234245693</stp>
        <tr r="N37" s="12"/>
      </tp>
      <tp t="e">
        <v>#N/A</v>
        <stp/>
        <stp>BDH|17725242368952308793</stp>
        <tr r="V27" s="13"/>
      </tp>
      <tp t="e">
        <v>#N/A</v>
        <stp/>
        <stp>BDH|13290034170096162412</stp>
        <tr r="M125" s="18"/>
        <tr r="M14" s="20"/>
      </tp>
      <tp t="e">
        <v>#N/A</v>
        <stp/>
        <stp>BDH|16497005523510114271</stp>
        <tr r="T22" s="30"/>
        <tr r="T24" s="23"/>
      </tp>
      <tp t="e">
        <v>#N/A</v>
        <stp/>
        <stp>BDH|10740921095382180406</stp>
        <tr r="M41" s="17"/>
        <tr r="M9" s="25"/>
      </tp>
      <tp t="e">
        <v>#N/A</v>
        <stp/>
        <stp>BDH|10382562770170669425</stp>
        <tr r="I199" s="18"/>
      </tp>
      <tp t="e">
        <v>#N/A</v>
        <stp/>
        <stp>BDH|17532174308459380983</stp>
        <tr r="Z44" s="34"/>
      </tp>
      <tp t="e">
        <v>#N/A</v>
        <stp/>
        <stp>BDH|12509354460832876394</stp>
        <tr r="U25" s="26"/>
      </tp>
      <tp t="e">
        <v>#N/A</v>
        <stp/>
        <stp>BDH|13874380057200033369</stp>
        <tr r="K56" s="24"/>
      </tp>
      <tp t="e">
        <v>#N/A</v>
        <stp/>
        <stp>BDH|18393531158519002792</stp>
        <tr r="X8" s="24"/>
      </tp>
      <tp t="e">
        <v>#N/A</v>
        <stp/>
        <stp>BDH|13572200236312626648</stp>
        <tr r="T33" s="12"/>
      </tp>
      <tp t="e">
        <v>#N/A</v>
        <stp/>
        <stp>BDH|14039252046463784750</stp>
        <tr r="F16" s="11"/>
      </tp>
      <tp t="e">
        <v>#N/A</v>
        <stp/>
        <stp>BDH|10585762976272621427</stp>
        <tr r="M33" s="21"/>
      </tp>
      <tp t="e">
        <v>#N/A</v>
        <stp/>
        <stp>BDH|14797089351173959469</stp>
        <tr r="E22" s="17"/>
      </tp>
      <tp t="e">
        <v>#N/A</v>
        <stp/>
        <stp>BDH|11081686687621916874</stp>
        <tr r="D25" s="34"/>
      </tp>
      <tp t="e">
        <v>#N/A</v>
        <stp/>
        <stp>BDH|14033926634010493830</stp>
        <tr r="H95" s="24"/>
      </tp>
      <tp t="e">
        <v>#N/A</v>
        <stp/>
        <stp>BDH|17182369571601434438</stp>
        <tr r="T12" s="7"/>
      </tp>
      <tp t="e">
        <v>#N/A</v>
        <stp/>
        <stp>BDH|12468050355118774923</stp>
        <tr r="F156" s="18"/>
      </tp>
      <tp t="e">
        <v>#N/A</v>
        <stp/>
        <stp>BDH|12728715156453865596</stp>
        <tr r="AA62" s="24"/>
      </tp>
      <tp t="e">
        <v>#N/A</v>
        <stp/>
        <stp>BDH|12489387775985833506</stp>
        <tr r="J64" s="34"/>
      </tp>
      <tp t="e">
        <v>#N/A</v>
        <stp/>
        <stp>BDH|16660841610240565960</stp>
        <tr r="AA113" s="18"/>
      </tp>
      <tp t="e">
        <v>#N/A</v>
        <stp/>
        <stp>BDH|12333453129444847663</stp>
        <tr r="I28" s="14"/>
      </tp>
      <tp t="e">
        <v>#N/A</v>
        <stp/>
        <stp>BDH|10661619152175454009</stp>
        <tr r="U22" s="20"/>
      </tp>
      <tp t="e">
        <v>#N/A</v>
        <stp/>
        <stp>BDH|15109158606856717440</stp>
        <tr r="U59" s="12"/>
      </tp>
      <tp t="e">
        <v>#N/A</v>
        <stp/>
        <stp>BDH|14764806486426219424</stp>
        <tr r="M19" s="18"/>
      </tp>
      <tp t="e">
        <v>#N/A</v>
        <stp/>
        <stp>BDH|11282438016214747617</stp>
        <tr r="X117" s="18"/>
      </tp>
      <tp t="e">
        <v>#N/A</v>
        <stp/>
        <stp>BDH|13120559016158091932</stp>
        <tr r="J30" s="17"/>
      </tp>
      <tp t="e">
        <v>#N/A</v>
        <stp/>
        <stp>BDH|12555929710925546930</stp>
        <tr r="N14" s="13"/>
      </tp>
      <tp t="e">
        <v>#N/A</v>
        <stp/>
        <stp>BDH|12634555732386656460</stp>
        <tr r="S195" s="18"/>
      </tp>
      <tp t="e">
        <v>#N/A</v>
        <stp/>
        <stp>BDH|16893427337084963358</stp>
        <tr r="O20" s="9"/>
      </tp>
      <tp t="e">
        <v>#N/A</v>
        <stp/>
        <stp>BDH|11747687953502993648</stp>
        <tr r="D36" s="13"/>
      </tp>
      <tp t="e">
        <v>#N/A</v>
        <stp/>
        <stp>BDH|17830542518994576108</stp>
        <tr r="G138" s="18"/>
      </tp>
      <tp t="e">
        <v>#N/A</v>
        <stp/>
        <stp>BDH|14653218700756695604</stp>
        <tr r="U6" s="27"/>
      </tp>
      <tp t="e">
        <v>#N/A</v>
        <stp/>
        <stp>BDH|12107107594384619822</stp>
        <tr r="Z22" s="21"/>
      </tp>
      <tp t="e">
        <v>#N/A</v>
        <stp/>
        <stp>BDH|14775274310442690379</stp>
        <tr r="W28" s="17"/>
      </tp>
      <tp t="e">
        <v>#N/A</v>
        <stp/>
        <stp>BDH|16117368124643780250</stp>
        <tr r="T57" s="12"/>
      </tp>
      <tp t="e">
        <v>#N/A</v>
        <stp/>
        <stp>BDH|11980778835570812322</stp>
        <tr r="Q70" s="18"/>
      </tp>
      <tp t="e">
        <v>#N/A</v>
        <stp/>
        <stp>BDH|11185223426783681422</stp>
        <tr r="I19" s="10"/>
      </tp>
      <tp t="e">
        <v>#N/A</v>
        <stp/>
        <stp>BDH|14470441670010786168</stp>
        <tr r="E185" s="18"/>
      </tp>
      <tp t="e">
        <v>#N/A</v>
        <stp/>
        <stp>BDH|12270755507027354421</stp>
        <tr r="M30" s="17"/>
      </tp>
      <tp t="e">
        <v>#N/A</v>
        <stp/>
        <stp>BDH|18201522966615216850</stp>
        <tr r="D25" s="3"/>
      </tp>
      <tp t="e">
        <v>#N/A</v>
        <stp/>
        <stp>BDH|16703716908690957760</stp>
        <tr r="E71" s="12"/>
      </tp>
      <tp t="e">
        <v>#N/A</v>
        <stp/>
        <stp>BDH|16367374020766291779</stp>
        <tr r="V64" s="12"/>
      </tp>
      <tp t="e">
        <v>#N/A</v>
        <stp/>
        <stp>BDH|15368797228072518464</stp>
        <tr r="N8" s="17"/>
      </tp>
      <tp t="e">
        <v>#N/A</v>
        <stp/>
        <stp>BDH|10544275042823957388</stp>
        <tr r="K16" s="29"/>
        <tr r="K39" s="29"/>
      </tp>
      <tp t="e">
        <v>#N/A</v>
        <stp/>
        <stp>BDH|12318626825014748438</stp>
        <tr r="S80" s="34"/>
      </tp>
      <tp t="e">
        <v>#N/A</v>
        <stp/>
        <stp>BDH|15519818974115328931</stp>
        <tr r="N41" s="12"/>
      </tp>
      <tp t="e">
        <v>#N/A</v>
        <stp/>
        <stp>BDH|16085295072981284497</stp>
        <tr r="O105" s="12"/>
      </tp>
      <tp t="e">
        <v>#N/A</v>
        <stp/>
        <stp>BDH|16536772060913617243</stp>
        <tr r="T40" s="24"/>
      </tp>
      <tp t="e">
        <v>#N/A</v>
        <stp/>
        <stp>BDH|17239617135781583531</stp>
        <tr r="O79" s="34"/>
      </tp>
      <tp t="e">
        <v>#N/A</v>
        <stp/>
        <stp>BDH|14570976880487462469</stp>
        <tr r="M45" s="34"/>
      </tp>
      <tp t="e">
        <v>#N/A</v>
        <stp/>
        <stp>BDH|11449952312027576868</stp>
        <tr r="X120" s="18"/>
        <tr r="X8" s="20"/>
      </tp>
      <tp t="e">
        <v>#N/A</v>
        <stp/>
        <stp>BDH|12989699904462146059</stp>
        <tr r="S71" s="10"/>
        <tr r="S61" s="11"/>
      </tp>
      <tp t="e">
        <v>#N/A</v>
        <stp/>
        <stp>BDH|15794776771864776768</stp>
        <tr r="J67" s="21"/>
      </tp>
      <tp t="e">
        <v>#N/A</v>
        <stp/>
        <stp>BDH|13748838982052739710</stp>
        <tr r="I53" s="17"/>
      </tp>
      <tp t="e">
        <v>#N/A</v>
        <stp/>
        <stp>BDH|16723196854052986633</stp>
        <tr r="K8" s="24"/>
      </tp>
      <tp t="e">
        <v>#N/A</v>
        <stp/>
        <stp>BDH|16728637776861771055</stp>
        <tr r="S14" s="29"/>
        <tr r="S23" s="29"/>
        <tr r="S37" s="29"/>
      </tp>
      <tp t="e">
        <v>#N/A</v>
        <stp/>
        <stp>BDH|17675641365911720002</stp>
        <tr r="K65" s="24"/>
      </tp>
      <tp t="e">
        <v>#N/A</v>
        <stp/>
        <stp>BDH|10870787773277246119</stp>
        <tr r="Z45" s="12"/>
      </tp>
      <tp t="e">
        <v>#N/A</v>
        <stp/>
        <stp>BDH|12346815285812575621</stp>
        <tr r="D28" s="17"/>
      </tp>
      <tp t="e">
        <v>#N/A</v>
        <stp/>
        <stp>BDH|10062444050803250461</stp>
        <tr r="Y199" s="18"/>
      </tp>
      <tp t="e">
        <v>#N/A</v>
        <stp/>
        <stp>BDH|15368205262015474259</stp>
        <tr r="Z179" s="18"/>
      </tp>
      <tp t="e">
        <v>#N/A</v>
        <stp/>
        <stp>BDH|12066318173494027425</stp>
        <tr r="L20" s="12"/>
      </tp>
      <tp t="e">
        <v>#N/A</v>
        <stp/>
        <stp>BDH|11973683629962989118</stp>
        <tr r="Y170" s="18"/>
      </tp>
      <tp t="e">
        <v>#N/A</v>
        <stp/>
        <stp>BDH|15333538530502010702</stp>
        <tr r="X26" s="27"/>
      </tp>
      <tp t="e">
        <v>#N/A</v>
        <stp/>
        <stp>BDH|13592048321172697565</stp>
        <tr r="M66" s="18"/>
      </tp>
      <tp t="e">
        <v>#N/A</v>
        <stp/>
        <stp>BDH|16111797049055339626</stp>
        <tr r="H58" s="18"/>
      </tp>
      <tp t="e">
        <v>#N/A</v>
        <stp/>
        <stp>BDH|14551007524455050510</stp>
        <tr r="O9" s="26"/>
      </tp>
      <tp t="e">
        <v>#N/A</v>
        <stp/>
        <stp>BDH|18042753123498169376</stp>
        <tr r="Y80" s="18"/>
      </tp>
      <tp t="e">
        <v>#N/A</v>
        <stp/>
        <stp>BDH|12718244509524822220</stp>
        <tr r="L25" s="22"/>
      </tp>
      <tp t="e">
        <v>#N/A</v>
        <stp/>
        <stp>BDH|16493138696819722169</stp>
        <tr r="J16" s="26"/>
      </tp>
      <tp t="e">
        <v>#N/A</v>
        <stp/>
        <stp>BDH|14880563507256181183</stp>
        <tr r="J98" s="12"/>
      </tp>
      <tp t="e">
        <v>#N/A</v>
        <stp/>
        <stp>BDH|10766411909940676298</stp>
        <tr r="W38" s="4"/>
        <tr r="W56" s="11"/>
        <tr r="Y13" s="23"/>
      </tp>
      <tp t="e">
        <v>#N/A</v>
        <stp/>
        <stp>BDH|14559038125744683453</stp>
        <tr r="U41" s="10"/>
        <tr r="U31" s="11"/>
      </tp>
      <tp t="e">
        <v>#N/A</v>
        <stp/>
        <stp>BDH|12816483624955722738</stp>
        <tr r="Q26" s="25"/>
        <tr r="Q12" s="27"/>
      </tp>
      <tp t="e">
        <v>#N/A</v>
        <stp/>
        <stp>BDH|15109436898619966737</stp>
        <tr r="W87" s="18"/>
      </tp>
      <tp t="e">
        <v>#N/A</v>
        <stp/>
        <stp>BDH|15651131529844453488</stp>
        <tr r="W99" s="18"/>
      </tp>
      <tp t="e">
        <v>#N/A</v>
        <stp/>
        <stp>BDH|16482221002001391371</stp>
        <tr r="C12" s="10"/>
      </tp>
      <tp t="e">
        <v>#N/A</v>
        <stp/>
        <stp>BDH|15973337057752448793</stp>
        <tr r="T17" s="29"/>
        <tr r="T40" s="29"/>
      </tp>
      <tp t="e">
        <v>#N/A</v>
        <stp/>
        <stp>BDH|16967206535732564391</stp>
        <tr r="L16" s="24"/>
      </tp>
      <tp t="e">
        <v>#N/A</v>
        <stp/>
        <stp>BDH|18086106027318381545</stp>
        <tr r="E26" s="21"/>
      </tp>
      <tp t="e">
        <v>#N/A</v>
        <stp/>
        <stp>BDH|12967674854126271183</stp>
        <tr r="W37" s="17"/>
      </tp>
      <tp t="e">
        <v>#N/A</v>
        <stp/>
        <stp>BDH|15446445124815099047</stp>
        <tr r="Z10" s="21"/>
      </tp>
      <tp t="e">
        <v>#N/A</v>
        <stp/>
        <stp>BDH|15065410965403537216</stp>
        <tr r="C23" s="12"/>
      </tp>
      <tp t="e">
        <v>#N/A</v>
        <stp/>
        <stp>BDH|13817498855503185752</stp>
        <tr r="R48" s="12"/>
      </tp>
      <tp t="e">
        <v>#N/A</v>
        <stp/>
        <stp>BDH|14202377241337426200</stp>
        <tr r="O29" s="21"/>
      </tp>
      <tp t="e">
        <v>#N/A</v>
        <stp/>
        <stp>BDH|14231712370467420571</stp>
        <tr r="S19" s="10"/>
      </tp>
      <tp t="e">
        <v>#N/A</v>
        <stp/>
        <stp>BDH|17080529750087359612</stp>
        <tr r="U53" s="18"/>
      </tp>
      <tp t="e">
        <v>#N/A</v>
        <stp/>
        <stp>BDH|14492567452725685767</stp>
        <tr r="X25" s="26"/>
      </tp>
      <tp t="e">
        <v>#N/A</v>
        <stp/>
        <stp>BDH|16338865067209341715</stp>
        <tr r="M91" s="24"/>
      </tp>
      <tp t="e">
        <v>#N/A</v>
        <stp/>
        <stp>BDH|10465750320162611173</stp>
        <tr r="G22" s="11"/>
      </tp>
      <tp t="e">
        <v>#N/A</v>
        <stp/>
        <stp>BDH|11603616115561478160</stp>
        <tr r="H28" s="6"/>
      </tp>
      <tp t="e">
        <v>#N/A</v>
        <stp/>
        <stp>BDH|13922990985582129641</stp>
        <tr r="E26" s="24"/>
      </tp>
      <tp t="e">
        <v>#N/A</v>
        <stp/>
        <stp>BDH|17618637320973539608</stp>
        <tr r="Z169" s="18"/>
      </tp>
      <tp t="e">
        <v>#N/A</v>
        <stp/>
        <stp>BDH|11547477618005307797</stp>
        <tr r="E200" s="18"/>
      </tp>
      <tp t="e">
        <v>#N/A</v>
        <stp/>
        <stp>BDH|17981296350481096738</stp>
        <tr r="Q15" s="25"/>
      </tp>
      <tp t="e">
        <v>#N/A</v>
        <stp/>
        <stp>BDH|11923204871985822736</stp>
        <tr r="F56" s="24"/>
      </tp>
      <tp t="e">
        <v>#N/A</v>
        <stp/>
        <stp>BDH|16845784679379284980</stp>
        <tr r="U93" s="17"/>
        <tr r="U13" s="28"/>
      </tp>
      <tp t="e">
        <v>#N/A</v>
        <stp/>
        <stp>BDH|10735148710415440340</stp>
        <tr r="E19" s="30"/>
      </tp>
      <tp t="e">
        <v>#N/A</v>
        <stp/>
        <stp>BDH|13565979282727077334</stp>
        <tr r="H108" s="18"/>
      </tp>
      <tp t="e">
        <v>#N/A</v>
        <stp/>
        <stp>BDH|18021678879558561783</stp>
        <tr r="J64" s="10"/>
      </tp>
      <tp t="e">
        <v>#N/A</v>
        <stp/>
        <stp>BDH|13897276931566580288</stp>
        <tr r="H83" s="12"/>
      </tp>
      <tp t="e">
        <v>#N/A</v>
        <stp/>
        <stp>BDH|13489107733823559418</stp>
        <tr r="L35" s="18"/>
      </tp>
      <tp t="e">
        <v>#N/A</v>
        <stp/>
        <stp>BDH|14088181428132323303</stp>
        <tr r="U15" s="10"/>
      </tp>
      <tp t="e">
        <v>#N/A</v>
        <stp/>
        <stp>BDH|13241609457781254746</stp>
        <tr r="S12" s="14"/>
      </tp>
      <tp t="e">
        <v>#N/A</v>
        <stp/>
        <stp>BDH|14856807755989608682</stp>
        <tr r="S28" s="14"/>
      </tp>
      <tp t="e">
        <v>#N/A</v>
        <stp/>
        <stp>BDH|13603770740675599377</stp>
        <tr r="R109" s="18"/>
      </tp>
      <tp t="e">
        <v>#N/A</v>
        <stp/>
        <stp>BDH|17463238873475226150</stp>
        <tr r="E110" s="18"/>
      </tp>
      <tp t="e">
        <v>#N/A</v>
        <stp/>
        <stp>BDH|15618817649907933843</stp>
        <tr r="R44" s="12"/>
      </tp>
      <tp t="e">
        <v>#N/A</v>
        <stp/>
        <stp>BDH|15464532191896178944</stp>
        <tr r="Z138" s="18"/>
      </tp>
      <tp t="e">
        <v>#N/A</v>
        <stp/>
        <stp>BDH|10752583185493099894</stp>
        <tr r="F82" s="12"/>
      </tp>
      <tp t="e">
        <v>#N/A</v>
        <stp/>
        <stp>BDH|13965657236019899916</stp>
        <tr r="T51" s="24"/>
      </tp>
      <tp t="e">
        <v>#N/A</v>
        <stp/>
        <stp>BDH|14278790206534756199</stp>
        <tr r="O19" s="20"/>
      </tp>
      <tp t="e">
        <v>#N/A</v>
        <stp/>
        <stp>BDH|17781713486098673652</stp>
        <tr r="O73" s="24"/>
      </tp>
      <tp t="e">
        <v>#N/A</v>
        <stp/>
        <stp>BDH|15086549238031790486</stp>
        <tr r="M88" s="24"/>
      </tp>
      <tp t="e">
        <v>#N/A</v>
        <stp/>
        <stp>BDH|15566597950531889270</stp>
        <tr r="F30" s="21"/>
      </tp>
      <tp t="e">
        <v>#N/A</v>
        <stp/>
        <stp>BDH|12219625636410626131</stp>
        <tr r="O44" s="21"/>
      </tp>
      <tp t="e">
        <v>#N/A</v>
        <stp/>
        <stp>BDH|11673221201066562333</stp>
        <tr r="J142" s="18"/>
      </tp>
      <tp t="e">
        <v>#N/A</v>
        <stp/>
        <stp>BDH|12813742702145974646</stp>
        <tr r="Q69" s="17"/>
      </tp>
      <tp t="e">
        <v>#N/A</v>
        <stp/>
        <stp>BDH|10325580608456870582</stp>
        <tr r="N53" s="6"/>
      </tp>
      <tp t="e">
        <v>#N/A</v>
        <stp/>
        <stp>BDH|18384538924750258951</stp>
        <tr r="H9" s="11"/>
      </tp>
      <tp t="e">
        <v>#N/A</v>
        <stp/>
        <stp>BDH|17029678923495441038</stp>
        <tr r="Q31" s="9"/>
      </tp>
      <tp t="e">
        <v>#N/A</v>
        <stp/>
        <stp>BDH|16136102021061531260</stp>
        <tr r="G112" s="18"/>
      </tp>
      <tp t="e">
        <v>#N/A</v>
        <stp/>
        <stp>BDH|18275218963503092932</stp>
        <tr r="J23" s="20"/>
      </tp>
      <tp t="e">
        <v>#N/A</v>
        <stp/>
        <stp>BDH|14884523802270900728</stp>
        <tr r="P196" s="18"/>
      </tp>
      <tp t="e">
        <v>#N/A</v>
        <stp/>
        <stp>BDH|11732651534783665132</stp>
        <tr r="P70" s="18"/>
      </tp>
      <tp t="e">
        <v>#N/A</v>
        <stp/>
        <stp>BDH|11693369182708466450</stp>
        <tr r="T21" s="9"/>
      </tp>
      <tp t="e">
        <v>#N/A</v>
        <stp/>
        <stp>BDH|14365706306975792011</stp>
        <tr r="C45" s="17"/>
      </tp>
      <tp t="e">
        <v>#N/A</v>
        <stp/>
        <stp>BDH|16078293551761919623</stp>
        <tr r="R34" s="21"/>
      </tp>
      <tp t="e">
        <v>#N/A</v>
        <stp/>
        <stp>BDH|12165930840618567146</stp>
        <tr r="D80" s="12"/>
      </tp>
      <tp t="e">
        <v>#N/A</v>
        <stp/>
        <stp>BDH|16635976794899150978</stp>
        <tr r="Z34" s="29"/>
      </tp>
      <tp t="e">
        <v>#N/A</v>
        <stp/>
        <stp>BDH|10041717170655078324</stp>
        <tr r="E104" s="12"/>
      </tp>
      <tp t="e">
        <v>#N/A</v>
        <stp/>
        <stp>BDH|12473833939616407994</stp>
        <tr r="R63" s="24"/>
      </tp>
      <tp t="e">
        <v>#N/A</v>
        <stp/>
        <stp>BDH|12904436824021949344</stp>
        <tr r="O42" s="12"/>
      </tp>
      <tp t="e">
        <v>#N/A</v>
        <stp/>
        <stp>BDH|14356134874143107765</stp>
        <tr r="E37" s="10"/>
        <tr r="E27" s="11"/>
        <tr r="G46" s="13"/>
      </tp>
      <tp t="e">
        <v>#N/A</v>
        <stp/>
        <stp>BDH|16558577474754424613</stp>
        <tr r="V26" s="17"/>
      </tp>
      <tp t="e">
        <v>#N/A</v>
        <stp/>
        <stp>BDH|15059404030307583371</stp>
        <tr r="R20" s="17"/>
      </tp>
      <tp t="e">
        <v>#N/A</v>
        <stp/>
        <stp>BDH|14082568552815446727</stp>
        <tr r="M39" s="4"/>
        <tr r="M66" s="10"/>
      </tp>
      <tp t="e">
        <v>#N/A</v>
        <stp/>
        <stp>BDH|13388517674730350777</stp>
        <tr r="V69" s="34"/>
      </tp>
      <tp t="e">
        <v>#N/A</v>
        <stp/>
        <stp>BDH|12352488900713995309</stp>
        <tr r="T79" s="12"/>
      </tp>
      <tp t="e">
        <v>#N/A</v>
        <stp/>
        <stp>BDH|14488617626982393425</stp>
        <tr r="U29" s="12"/>
      </tp>
      <tp t="e">
        <v>#N/A</v>
        <stp/>
        <stp>BDH|12560279659763020090</stp>
        <tr r="V24" s="29"/>
      </tp>
      <tp t="e">
        <v>#N/A</v>
        <stp/>
        <stp>BDH|16399921740548413575</stp>
        <tr r="Z175" s="18"/>
      </tp>
      <tp t="e">
        <v>#N/A</v>
        <stp/>
        <stp>BDH|13344052321115482216</stp>
        <tr r="AA53" s="24"/>
      </tp>
      <tp t="e">
        <v>#N/A</v>
        <stp/>
        <stp>BDH|14876052520440899070</stp>
        <tr r="M101" s="12"/>
      </tp>
      <tp t="e">
        <v>#N/A</v>
        <stp/>
        <stp>BDH|10542849760501400970</stp>
        <tr r="E36" s="10"/>
        <tr r="E48" s="10"/>
        <tr r="E26" s="11"/>
        <tr r="E38" s="11"/>
      </tp>
      <tp t="e">
        <v>#N/A</v>
        <stp/>
        <stp>BDH|10298751760631738625</stp>
        <tr r="M168" s="18"/>
      </tp>
      <tp t="e">
        <v>#N/A</v>
        <stp/>
        <stp>BDH|14792404706793751540</stp>
        <tr r="J24" s="29"/>
      </tp>
      <tp t="e">
        <v>#N/A</v>
        <stp/>
        <stp>BDH|11998710391290907924</stp>
        <tr r="L34" s="9"/>
      </tp>
      <tp t="e">
        <v>#N/A</v>
        <stp/>
        <stp>BDH|14480917807198762377</stp>
        <tr r="N102" s="12"/>
      </tp>
      <tp t="e">
        <v>#N/A</v>
        <stp/>
        <stp>BDH|14591242585550533832</stp>
        <tr r="O88" s="17"/>
      </tp>
      <tp t="e">
        <v>#N/A</v>
        <stp/>
        <stp>BDH|14975600266902559085</stp>
        <tr r="C15" s="18"/>
      </tp>
      <tp t="e">
        <v>#N/A</v>
        <stp/>
        <stp>BDH|12492883884152942632</stp>
        <tr r="Q9" s="28"/>
      </tp>
      <tp t="e">
        <v>#N/A</v>
        <stp/>
        <stp>BDH|10184441744522278416</stp>
        <tr r="U33" s="14"/>
      </tp>
      <tp t="e">
        <v>#N/A</v>
        <stp/>
        <stp>BDH|12205063961117766509</stp>
        <tr r="R58" s="34"/>
      </tp>
      <tp t="e">
        <v>#N/A</v>
        <stp/>
        <stp>BDH|11646274353270586057</stp>
        <tr r="O7" s="23"/>
      </tp>
      <tp t="e">
        <v>#N/A</v>
        <stp/>
        <stp>BDH|12600921559078884074</stp>
        <tr r="X28" s="24"/>
      </tp>
      <tp t="e">
        <v>#N/A</v>
        <stp/>
        <stp>BDH|12385493880160026884</stp>
        <tr r="Z86" s="17"/>
      </tp>
      <tp t="e">
        <v>#N/A</v>
        <stp/>
        <stp>BDH|10327626332803831093</stp>
        <tr r="I26" s="13"/>
      </tp>
      <tp t="e">
        <v>#N/A</v>
        <stp/>
        <stp>BDH|17417263828268112992</stp>
        <tr r="H165" s="18"/>
      </tp>
      <tp t="e">
        <v>#N/A</v>
        <stp/>
        <stp>BDH|12391246448976844451</stp>
        <tr r="W36" s="4"/>
      </tp>
      <tp t="e">
        <v>#N/A</v>
        <stp/>
        <stp>BDH|12197690990968945336</stp>
        <tr r="T53" s="10"/>
        <tr r="T43" s="11"/>
        <tr r="T16" s="7"/>
      </tp>
      <tp t="e">
        <v>#N/A</v>
        <stp/>
        <stp>BDH|10505847637545469806</stp>
        <tr r="J38" s="10"/>
        <tr r="J28" s="11"/>
        <tr r="L47" s="13"/>
      </tp>
      <tp t="e">
        <v>#N/A</v>
        <stp/>
        <stp>BDH|15851080293752230833</stp>
        <tr r="O34" s="24"/>
      </tp>
      <tp t="e">
        <v>#N/A</v>
        <stp/>
        <stp>BDH|17459787977148874916</stp>
        <tr r="Y21" s="30"/>
      </tp>
      <tp t="e">
        <v>#N/A</v>
        <stp/>
        <stp>BDH|13491159464573371140</stp>
        <tr r="F39" s="26"/>
      </tp>
      <tp t="e">
        <v>#N/A</v>
        <stp/>
        <stp>BDH|17553046704212706303</stp>
        <tr r="N49" s="22"/>
      </tp>
      <tp t="e">
        <v>#N/A</v>
        <stp/>
        <stp>BDH|16873590731916587074</stp>
        <tr r="K158" s="18"/>
      </tp>
      <tp t="e">
        <v>#N/A</v>
        <stp/>
        <stp>BDH|11798370263920401251</stp>
        <tr r="D50" s="34"/>
      </tp>
      <tp t="e">
        <v>#N/A</v>
        <stp/>
        <stp>BDH|16881039151437108294</stp>
        <tr r="N192" s="18"/>
      </tp>
      <tp t="e">
        <v>#N/A</v>
        <stp/>
        <stp>BDH|12330660587543615966</stp>
        <tr r="J58" s="11"/>
        <tr r="L19" s="23"/>
      </tp>
      <tp t="e">
        <v>#N/A</v>
        <stp/>
        <stp>BDH|15362156720378364874</stp>
        <tr r="H103" s="12"/>
      </tp>
      <tp t="e">
        <v>#N/A</v>
        <stp/>
        <stp>BDH|11220453206324331700</stp>
        <tr r="V20" s="2"/>
        <tr r="V18" s="4"/>
        <tr r="V58" s="10"/>
        <tr r="V48" s="11"/>
        <tr r="V19" s="7"/>
        <tr r="X74" s="13"/>
      </tp>
      <tp t="e">
        <v>#N/A</v>
        <stp/>
        <stp>BDH|11131748964906138020</stp>
        <tr r="W71" s="13"/>
      </tp>
      <tp t="e">
        <v>#N/A</v>
        <stp/>
        <stp>BDH|12515358106105696220</stp>
        <tr r="V34" s="9"/>
      </tp>
      <tp t="e">
        <v>#N/A</v>
        <stp/>
        <stp>BDH|11458175228306133280</stp>
        <tr r="V13" s="13"/>
      </tp>
      <tp t="e">
        <v>#N/A</v>
        <stp/>
        <stp>BDH|16563717176709424944</stp>
        <tr r="F90" s="18"/>
      </tp>
      <tp t="e">
        <v>#N/A</v>
        <stp/>
        <stp>BDH|17804773655047137490</stp>
        <tr r="Q30" s="22"/>
      </tp>
      <tp t="e">
        <v>#N/A</v>
        <stp/>
        <stp>BDH|15911806289045027625</stp>
        <tr r="D80" s="18"/>
      </tp>
      <tp t="e">
        <v>#N/A</v>
        <stp/>
        <stp>BDH|16158141243313278660</stp>
        <tr r="C20" s="9"/>
      </tp>
      <tp t="e">
        <v>#N/A</v>
        <stp/>
        <stp>BDH|14648726673571154345</stp>
        <tr r="G35" s="10"/>
        <tr r="G25" s="11"/>
      </tp>
      <tp t="e">
        <v>#N/A</v>
        <stp/>
        <stp>BDH|14653743836497126177</stp>
        <tr r="S77" s="18"/>
      </tp>
      <tp t="e">
        <v>#N/A</v>
        <stp/>
        <stp>BDH|16117159013417399763</stp>
        <tr r="P17" s="5"/>
        <tr r="P32" s="6"/>
      </tp>
      <tp t="e">
        <v>#N/A</v>
        <stp/>
        <stp>BDH|11308244841514779530</stp>
        <tr r="W35" s="4"/>
      </tp>
      <tp t="e">
        <v>#N/A</v>
        <stp/>
        <stp>BDH|16614198839120288266</stp>
        <tr r="L101" s="18"/>
      </tp>
      <tp t="e">
        <v>#N/A</v>
        <stp/>
        <stp>BDH|17659281568294478104</stp>
        <tr r="H60" s="12"/>
      </tp>
      <tp t="e">
        <v>#N/A</v>
        <stp/>
        <stp>BDH|12104820112648022531</stp>
        <tr r="Q46" s="34"/>
      </tp>
      <tp t="e">
        <v>#N/A</v>
        <stp/>
        <stp>BDH|13006442730283636107</stp>
        <tr r="E30" s="18"/>
      </tp>
      <tp t="e">
        <v>#N/A</v>
        <stp/>
        <stp>BDH|10626722206666937791</stp>
        <tr r="Z79" s="18"/>
      </tp>
      <tp t="e">
        <v>#N/A</v>
        <stp/>
        <stp>BDH|17321117025271453316</stp>
        <tr r="D40" s="17"/>
      </tp>
      <tp t="e">
        <v>#N/A</v>
        <stp/>
        <stp>BDH|13717904284737564340</stp>
        <tr r="G132" s="18"/>
      </tp>
      <tp t="e">
        <v>#N/A</v>
        <stp/>
        <stp>BDH|17692233849957007098</stp>
        <tr r="N66" s="12"/>
      </tp>
      <tp t="e">
        <v>#N/A</v>
        <stp/>
        <stp>BDH|11001521530463467238</stp>
        <tr r="S14" s="11"/>
      </tp>
      <tp t="e">
        <v>#N/A</v>
        <stp/>
        <stp>BDH|17779164713397431638</stp>
        <tr r="H49" s="4"/>
      </tp>
      <tp t="e">
        <v>#N/A</v>
        <stp/>
        <stp>BDH|17838343558812453557</stp>
        <tr r="C47" s="6"/>
        <tr r="E6" s="8"/>
      </tp>
      <tp t="e">
        <v>#N/A</v>
        <stp/>
        <stp>BDH|16406698019076123100</stp>
        <tr r="L8" s="34"/>
      </tp>
      <tp t="e">
        <v>#N/A</v>
        <stp/>
        <stp>BDH|11773152922635685132</stp>
        <tr r="Y85" s="18"/>
      </tp>
      <tp t="e">
        <v>#N/A</v>
        <stp/>
        <stp>BDH|12162085514074824108</stp>
        <tr r="I17" s="30"/>
      </tp>
      <tp t="e">
        <v>#N/A</v>
        <stp/>
        <stp>BDH|11089198839320734529</stp>
        <tr r="H40" s="24"/>
      </tp>
      <tp t="e">
        <v>#N/A</v>
        <stp/>
        <stp>BDH|17785542849486954662</stp>
        <tr r="O58" s="34"/>
      </tp>
      <tp t="e">
        <v>#N/A</v>
        <stp/>
        <stp>BDH|10756948343608445316</stp>
        <tr r="D149" s="18"/>
      </tp>
      <tp t="e">
        <v>#N/A</v>
        <stp/>
        <stp>BDH|12867507860024511388</stp>
        <tr r="R8" s="2"/>
      </tp>
      <tp t="e">
        <v>#N/A</v>
        <stp/>
        <stp>BDH|13663240232037688336</stp>
        <tr r="X92" s="24"/>
      </tp>
      <tp t="e">
        <v>#N/A</v>
        <stp/>
        <stp>BDH|10480977719766882878</stp>
        <tr r="Z80" s="18"/>
      </tp>
      <tp t="e">
        <v>#N/A</v>
        <stp/>
        <stp>BDH|16925121794978861023</stp>
        <tr r="Y112" s="18"/>
      </tp>
      <tp t="e">
        <v>#N/A</v>
        <stp/>
        <stp>BDH|14923279871242237584</stp>
        <tr r="C19" s="24"/>
      </tp>
      <tp t="e">
        <v>#N/A</v>
        <stp/>
        <stp>BDH|12141315014926236035</stp>
        <tr r="V147" s="18"/>
      </tp>
      <tp t="e">
        <v>#N/A</v>
        <stp/>
        <stp>BDH|16971350759841414740</stp>
        <tr r="I25" s="34"/>
      </tp>
      <tp t="e">
        <v>#N/A</v>
        <stp/>
        <stp>BDH|11292195814165215281</stp>
        <tr r="D19" s="20"/>
      </tp>
      <tp t="e">
        <v>#N/A</v>
        <stp/>
        <stp>BDH|17634353729524787480</stp>
        <tr r="R36" s="10"/>
        <tr r="R48" s="10"/>
        <tr r="R26" s="11"/>
        <tr r="R38" s="11"/>
      </tp>
      <tp t="e">
        <v>#N/A</v>
        <stp/>
        <stp>BDH|11208968161728706073</stp>
        <tr r="V143" s="18"/>
      </tp>
      <tp t="e">
        <v>#N/A</v>
        <stp/>
        <stp>BDH|17186690908295027254</stp>
        <tr r="X78" s="12"/>
      </tp>
      <tp t="e">
        <v>#N/A</v>
        <stp/>
        <stp>BDH|16636653307531795760</stp>
        <tr r="R29" s="29"/>
        <tr r="R7" s="29"/>
      </tp>
      <tp t="e">
        <v>#N/A</v>
        <stp/>
        <stp>BDH|18085088206046916822</stp>
        <tr r="Q8" s="10"/>
      </tp>
      <tp t="e">
        <v>#N/A</v>
        <stp/>
        <stp>BDH|17064119547911070532</stp>
        <tr r="X37" s="21"/>
      </tp>
      <tp t="e">
        <v>#N/A</v>
        <stp/>
        <stp>BDH|16383226962557202349</stp>
        <tr r="Y52" s="24"/>
      </tp>
      <tp t="e">
        <v>#N/A</v>
        <stp/>
        <stp>BDH|11454327933466273123</stp>
        <tr r="M72" s="13"/>
      </tp>
      <tp t="e">
        <v>#N/A</v>
        <stp/>
        <stp>BDH|16877853754459913453</stp>
        <tr r="G18" s="9"/>
      </tp>
      <tp t="e">
        <v>#N/A</v>
        <stp/>
        <stp>BDH|16006394470181506594</stp>
        <tr r="E22" s="18"/>
      </tp>
      <tp t="e">
        <v>#N/A</v>
        <stp/>
        <stp>BDH|13616337502425351316</stp>
        <tr r="T13" s="24"/>
      </tp>
      <tp t="e">
        <v>#N/A</v>
        <stp/>
        <stp>BDH|13002117554120918197</stp>
        <tr r="Q45" s="18"/>
      </tp>
      <tp t="e">
        <v>#N/A</v>
        <stp/>
        <stp>BDH|11440112539586145387</stp>
        <tr r="I14" s="11"/>
      </tp>
      <tp t="e">
        <v>#N/A</v>
        <stp/>
        <stp>BDH|16091849999166084789</stp>
        <tr r="U36" s="34"/>
      </tp>
      <tp t="e">
        <v>#N/A</v>
        <stp/>
        <stp>BDH|10327636378664856357</stp>
        <tr r="N38" s="24"/>
      </tp>
      <tp t="e">
        <v>#N/A</v>
        <stp/>
        <stp>BDH|15155548374106381774</stp>
        <tr r="Q14" s="29"/>
        <tr r="Q23" s="29"/>
        <tr r="Q37" s="29"/>
      </tp>
      <tp t="e">
        <v>#N/A</v>
        <stp/>
        <stp>BDH|15732596438332056734</stp>
        <tr r="J186" s="18"/>
      </tp>
      <tp t="e">
        <v>#N/A</v>
        <stp/>
        <stp>BDH|12703652545261446762</stp>
        <tr r="R86" s="17"/>
      </tp>
      <tp t="e">
        <v>#N/A</v>
        <stp/>
        <stp>BDH|12229357012246143016</stp>
        <tr r="AA57" s="13"/>
      </tp>
      <tp t="e">
        <v>#N/A</v>
        <stp/>
        <stp>BDH|16150406987008542462</stp>
        <tr r="P48" s="21"/>
      </tp>
      <tp t="e">
        <v>#N/A</v>
        <stp/>
        <stp>BDH|13225250860910269108</stp>
        <tr r="V37" s="22"/>
      </tp>
      <tp t="e">
        <v>#N/A</v>
        <stp/>
        <stp>BDH|16110016770254565306</stp>
        <tr r="R32" s="10"/>
        <tr r="T41" s="13"/>
      </tp>
      <tp t="e">
        <v>#N/A</v>
        <stp/>
        <stp>BDH|15617913657378437717</stp>
        <tr r="I67" s="18"/>
      </tp>
      <tp t="e">
        <v>#N/A</v>
        <stp/>
        <stp>BDH|11420540010481304262</stp>
        <tr r="I58" s="18"/>
      </tp>
      <tp t="e">
        <v>#N/A</v>
        <stp/>
        <stp>BDH|14339708466377653469</stp>
        <tr r="V68" s="18"/>
      </tp>
      <tp t="e">
        <v>#N/A</v>
        <stp/>
        <stp>BDH|18023766900191759844</stp>
        <tr r="AA37" s="34"/>
      </tp>
      <tp t="e">
        <v>#N/A</v>
        <stp/>
        <stp>BDH|17612272459363446590</stp>
        <tr r="H32" s="10"/>
        <tr r="J41" s="13"/>
      </tp>
      <tp t="e">
        <v>#N/A</v>
        <stp/>
        <stp>BDH|12154151478772045093</stp>
        <tr r="G18" s="6"/>
      </tp>
      <tp t="e">
        <v>#N/A</v>
        <stp/>
        <stp>BDH|12740183398959002535</stp>
        <tr r="H65" s="12"/>
      </tp>
      <tp t="e">
        <v>#N/A</v>
        <stp/>
        <stp>BDH|14127374145312676719</stp>
        <tr r="Y12" s="7"/>
      </tp>
      <tp t="e">
        <v>#N/A</v>
        <stp/>
        <stp>BDH|13349108385855393917</stp>
        <tr r="N33" s="9"/>
      </tp>
      <tp t="e">
        <v>#N/A</v>
        <stp/>
        <stp>BDH|16184744359133111196</stp>
        <tr r="M20" s="5"/>
      </tp>
      <tp t="e">
        <v>#N/A</v>
        <stp/>
        <stp>BDH|10109646022193344109</stp>
        <tr r="L60" s="21"/>
        <tr r="J53" s="11"/>
      </tp>
      <tp t="e">
        <v>#N/A</v>
        <stp/>
        <stp>BDH|12877298470549151845</stp>
        <tr r="J20" s="26"/>
      </tp>
      <tp t="e">
        <v>#N/A</v>
        <stp/>
        <stp>BDH|15762879026421123833</stp>
        <tr r="W94" s="24"/>
      </tp>
      <tp t="e">
        <v>#N/A</v>
        <stp/>
        <stp>BDH|18067729737152059812</stp>
        <tr r="S72" s="34"/>
      </tp>
      <tp t="e">
        <v>#N/A</v>
        <stp/>
        <stp>BDH|15721385922133972108</stp>
        <tr r="P57" s="10"/>
        <tr r="P47" s="11"/>
        <tr r="P18" s="7"/>
        <tr r="R64" s="13"/>
      </tp>
      <tp t="e">
        <v>#N/A</v>
        <stp/>
        <stp>BDH|10431539827205103451</stp>
        <tr r="Z85" s="17"/>
      </tp>
      <tp t="e">
        <v>#N/A</v>
        <stp/>
        <stp>BDH|11907617316323344399</stp>
        <tr r="G18" s="34"/>
      </tp>
      <tp t="e">
        <v>#N/A</v>
        <stp/>
        <stp>BDH|12645052375675190631</stp>
        <tr r="Y27" s="34"/>
      </tp>
      <tp t="e">
        <v>#N/A</v>
        <stp/>
        <stp>BDH|17544359502905782714</stp>
        <tr r="J96" s="12"/>
      </tp>
      <tp t="e">
        <v>#N/A</v>
        <stp/>
        <stp>BDH|15011391309638463808</stp>
        <tr r="X75" s="18"/>
      </tp>
      <tp t="e">
        <v>#N/A</v>
        <stp/>
        <stp>BDH|11069342300381400548</stp>
        <tr r="T17" s="30"/>
      </tp>
      <tp t="e">
        <v>#N/A</v>
        <stp/>
        <stp>BDH|16164743877917260744</stp>
        <tr r="N31" s="21"/>
      </tp>
      <tp t="e">
        <v>#N/A</v>
        <stp/>
        <stp>BDH|16609251186952723864</stp>
        <tr r="X29" s="34"/>
      </tp>
      <tp t="e">
        <v>#N/A</v>
        <stp/>
        <stp>BDH|14047411505931375735</stp>
        <tr r="G18" s="18"/>
      </tp>
      <tp t="e">
        <v>#N/A</v>
        <stp/>
        <stp>BDH|14773920290930166206</stp>
        <tr r="W16" s="24"/>
      </tp>
      <tp t="e">
        <v>#N/A</v>
        <stp/>
        <stp>BDH|16832095001891418101</stp>
        <tr r="X93" s="12"/>
      </tp>
      <tp t="e">
        <v>#N/A</v>
        <stp/>
        <stp>BDH|10538567873904352076</stp>
        <tr r="W35" s="21"/>
      </tp>
      <tp t="e">
        <v>#N/A</v>
        <stp/>
        <stp>BDH|15847029709710753301</stp>
        <tr r="P14" s="29"/>
        <tr r="P23" s="29"/>
        <tr r="P37" s="29"/>
      </tp>
      <tp t="e">
        <v>#N/A</v>
        <stp/>
        <stp>BDH|10125997990870955655</stp>
        <tr r="V65" s="17"/>
      </tp>
      <tp t="e">
        <v>#N/A</v>
        <stp/>
        <stp>BDH|15241582125685283195</stp>
        <tr r="X15" s="29"/>
        <tr r="X38" s="29"/>
      </tp>
      <tp t="e">
        <v>#N/A</v>
        <stp/>
        <stp>BDH|15408700872794737758</stp>
        <tr r="E204" s="18"/>
      </tp>
      <tp t="e">
        <v>#N/A</v>
        <stp/>
        <stp>BDH|12018068195744576925</stp>
        <tr r="F13" s="25"/>
      </tp>
      <tp t="e">
        <v>#N/A</v>
        <stp/>
        <stp>BDH|10625570304654914786</stp>
        <tr r="K27" s="24"/>
      </tp>
      <tp t="e">
        <v>#N/A</v>
        <stp/>
        <stp>BDH|16324405396284328924</stp>
        <tr r="W12" s="10"/>
      </tp>
      <tp t="e">
        <v>#N/A</v>
        <stp/>
        <stp>BDH|11677663703749488839</stp>
        <tr r="T16" s="10"/>
      </tp>
      <tp t="e">
        <v>#N/A</v>
        <stp/>
        <stp>BDH|14126222971104421322</stp>
        <tr r="V10" s="18"/>
      </tp>
      <tp t="e">
        <v>#N/A</v>
        <stp/>
        <stp>BDH|16434805792807284607</stp>
        <tr r="X34" s="5"/>
        <tr r="Z32" s="29"/>
      </tp>
      <tp t="e">
        <v>#N/A</v>
        <stp/>
        <stp>BDH|15916594486749260705</stp>
        <tr r="P58" s="34"/>
      </tp>
      <tp t="e">
        <v>#N/A</v>
        <stp/>
        <stp>BDH|10457447334900597153</stp>
        <tr r="J57" s="17"/>
      </tp>
      <tp t="e">
        <v>#N/A</v>
        <stp/>
        <stp>BDH|14580770655569684955</stp>
        <tr r="N28" s="25"/>
        <tr r="N14" s="27"/>
      </tp>
      <tp t="e">
        <v>#N/A</v>
        <stp/>
        <stp>BDH|15591858704179636263</stp>
        <tr r="H23" s="12"/>
      </tp>
      <tp t="e">
        <v>#N/A</v>
        <stp/>
        <stp>BDH|10602653162275552304</stp>
        <tr r="F40" s="24"/>
      </tp>
      <tp t="e">
        <v>#N/A</v>
        <stp/>
        <stp>BDH|15587609034023063557</stp>
        <tr r="T29" s="6"/>
      </tp>
      <tp t="e">
        <v>#N/A</v>
        <stp/>
        <stp>BDH|12450666749032858471</stp>
        <tr r="H59" s="21"/>
        <tr r="H37" s="25"/>
        <tr r="F31" s="4"/>
        <tr r="F52" s="11"/>
      </tp>
      <tp t="e">
        <v>#N/A</v>
        <stp/>
        <stp>BDH|16527920884396246752</stp>
        <tr r="E79" s="34"/>
      </tp>
      <tp t="e">
        <v>#N/A</v>
        <stp/>
        <stp>BDH|16317375274184055046</stp>
        <tr r="Q92" s="18"/>
      </tp>
      <tp t="e">
        <v>#N/A</v>
        <stp/>
        <stp>BDH|17332123638733933042</stp>
        <tr r="Z160" s="18"/>
      </tp>
      <tp t="e">
        <v>#N/A</v>
        <stp/>
        <stp>BDH|16778382081629309295</stp>
        <tr r="E40" s="6"/>
      </tp>
      <tp t="e">
        <v>#N/A</v>
        <stp/>
        <stp>BDH|16993517554710848008</stp>
        <tr r="Y70" s="24"/>
      </tp>
      <tp t="e">
        <v>#N/A</v>
        <stp/>
        <stp>BDH|15522913091364035714</stp>
        <tr r="O122" s="18"/>
        <tr r="O11" s="20"/>
      </tp>
      <tp t="e">
        <v>#N/A</v>
        <stp/>
        <stp>BDH|12742575174417606161</stp>
        <tr r="Q7" s="24"/>
      </tp>
      <tp t="e">
        <v>#N/A</v>
        <stp/>
        <stp>BDH|17263516716705513042</stp>
        <tr r="O25" s="24"/>
      </tp>
      <tp t="e">
        <v>#N/A</v>
        <stp/>
        <stp>BDH|10694306233596222003</stp>
        <tr r="E24" s="18"/>
      </tp>
      <tp t="e">
        <v>#N/A</v>
        <stp/>
        <stp>BDH|11093785119191204046</stp>
        <tr r="P8" s="14"/>
      </tp>
      <tp t="e">
        <v>#N/A</v>
        <stp/>
        <stp>BDH|10859399604621663447</stp>
        <tr r="AA84" s="17"/>
      </tp>
      <tp t="e">
        <v>#N/A</v>
        <stp/>
        <stp>BDH|12655822712538818598</stp>
        <tr r="U69" s="13"/>
      </tp>
      <tp t="e">
        <v>#N/A</v>
        <stp/>
        <stp>BDH|17029247740875303206</stp>
        <tr r="L104" s="18"/>
      </tp>
      <tp t="e">
        <v>#N/A</v>
        <stp/>
        <stp>BDH|16207700468858402993</stp>
        <tr r="F24" s="29"/>
      </tp>
      <tp t="e">
        <v>#N/A</v>
        <stp/>
        <stp>BDH|14001999729200520922</stp>
        <tr r="C45" s="6"/>
      </tp>
      <tp t="e">
        <v>#N/A</v>
        <stp/>
        <stp>BDH|15734403667996758707</stp>
        <tr r="P23" s="12"/>
      </tp>
      <tp t="e">
        <v>#N/A</v>
        <stp/>
        <stp>BDH|14368708367493195029</stp>
        <tr r="Z79" s="24"/>
      </tp>
      <tp t="e">
        <v>#N/A</v>
        <stp/>
        <stp>BDH|12166062301654302028</stp>
        <tr r="K47" s="17"/>
      </tp>
      <tp t="e">
        <v>#N/A</v>
        <stp/>
        <stp>BDH|11572214236584691236</stp>
        <tr r="T8" s="22"/>
      </tp>
      <tp t="e">
        <v>#N/A</v>
        <stp/>
        <stp>BDH|17582743791189655616</stp>
        <tr r="T27" s="13"/>
      </tp>
      <tp t="e">
        <v>#N/A</v>
        <stp/>
        <stp>BDH|14129038283273286949</stp>
        <tr r="X76" s="17"/>
        <tr r="U9" s="5"/>
        <tr r="U9" s="9"/>
      </tp>
      <tp t="e">
        <v>#N/A</v>
        <stp/>
        <stp>BDH|14577606793245080812</stp>
        <tr r="X38" s="21"/>
        <tr r="X24" s="3"/>
      </tp>
      <tp t="e">
        <v>#N/A</v>
        <stp/>
        <stp>BDH|10984231158471455011</stp>
        <tr r="J23" s="18"/>
      </tp>
      <tp t="e">
        <v>#N/A</v>
        <stp/>
        <stp>BDH|17669279214323669143</stp>
        <tr r="Y10" s="2"/>
        <tr r="X11" s="5"/>
        <tr r="X51" s="6"/>
        <tr r="Z33" s="29"/>
        <tr r="Z42" s="29"/>
      </tp>
      <tp t="e">
        <v>#N/A</v>
        <stp/>
        <stp>BDH|12797178816333693773</stp>
        <tr r="I69" s="18"/>
      </tp>
      <tp t="e">
        <v>#N/A</v>
        <stp/>
        <stp>BDH|11368738064257706144</stp>
        <tr r="AA60" s="12"/>
      </tp>
      <tp t="e">
        <v>#N/A</v>
        <stp/>
        <stp>BDH|13682246422164064171</stp>
        <tr r="I6" s="19"/>
        <tr r="I34" s="17"/>
        <tr r="I16" s="3"/>
      </tp>
      <tp t="e">
        <v>#N/A</v>
        <stp/>
        <stp>BDH|13800193133910304762</stp>
        <tr r="E53" s="6"/>
      </tp>
      <tp t="e">
        <v>#N/A</v>
        <stp/>
        <stp>BDH|13598276579677837745</stp>
        <tr r="E35" s="14"/>
      </tp>
      <tp t="e">
        <v>#N/A</v>
        <stp/>
        <stp>BDH|16621556577994130620</stp>
        <tr r="P29" s="29"/>
        <tr r="P7" s="29"/>
      </tp>
      <tp t="e">
        <v>#N/A</v>
        <stp/>
        <stp>BDH|18093382652301859953</stp>
        <tr r="I24" s="14"/>
      </tp>
      <tp t="e">
        <v>#N/A</v>
        <stp/>
        <stp>BDH|14927821344958148690</stp>
        <tr r="Z73" s="12"/>
      </tp>
      <tp t="e">
        <v>#N/A</v>
        <stp/>
        <stp>BDH|12177318138572776683</stp>
        <tr r="W40" s="18"/>
      </tp>
      <tp t="e">
        <v>#N/A</v>
        <stp/>
        <stp>BDH|16145112606381310029</stp>
        <tr r="AA53" s="12"/>
      </tp>
      <tp t="e">
        <v>#N/A</v>
        <stp/>
        <stp>BDH|16397949411509185100</stp>
        <tr r="N80" s="12"/>
      </tp>
      <tp t="e">
        <v>#N/A</v>
        <stp/>
        <stp>BDH|14405265146333425779</stp>
        <tr r="H25" s="4"/>
        <tr r="H65" s="10"/>
      </tp>
      <tp t="e">
        <v>#N/A</v>
        <stp/>
        <stp>BDH|10889145515640930674</stp>
        <tr r="T18" s="22"/>
      </tp>
      <tp t="e">
        <v>#N/A</v>
        <stp/>
        <stp>BDH|11727518011666944594</stp>
        <tr r="T148" s="18"/>
      </tp>
      <tp t="e">
        <v>#N/A</v>
        <stp/>
        <stp>BDH|14481888417819475283</stp>
        <tr r="U49" s="4"/>
      </tp>
      <tp t="e">
        <v>#N/A</v>
        <stp/>
        <stp>BDH|15430790841818378880</stp>
        <tr r="C14" s="11"/>
      </tp>
      <tp t="e">
        <v>#N/A</v>
        <stp/>
        <stp>BDH|13676227253946050400</stp>
        <tr r="R17" s="13"/>
      </tp>
      <tp t="e">
        <v>#N/A</v>
        <stp/>
        <stp>BDH|16309147115397202778</stp>
        <tr r="V16" s="26"/>
      </tp>
      <tp t="e">
        <v>#N/A</v>
        <stp/>
        <stp>BDH|15713320166762245461</stp>
        <tr r="F23" s="5"/>
        <tr r="F23" s="9"/>
      </tp>
      <tp t="e">
        <v>#N/A</v>
        <stp/>
        <stp>BDH|16095405259630688180</stp>
        <tr r="X30" s="34"/>
      </tp>
      <tp t="e">
        <v>#N/A</v>
        <stp/>
        <stp>BDH|16848406626121049795</stp>
        <tr r="O200" s="18"/>
      </tp>
      <tp t="e">
        <v>#N/A</v>
        <stp/>
        <stp>BDH|17712571199744762993</stp>
        <tr r="J33" s="6"/>
      </tp>
      <tp t="e">
        <v>#N/A</v>
        <stp/>
        <stp>BDH|16388122065996762147</stp>
        <tr r="D46" s="17"/>
      </tp>
      <tp t="e">
        <v>#N/A</v>
        <stp/>
        <stp>BDH|13839627713342708095</stp>
        <tr r="I42" s="10"/>
        <tr r="I32" s="11"/>
      </tp>
      <tp t="e">
        <v>#N/A</v>
        <stp/>
        <stp>BDH|14531503611714724247</stp>
        <tr r="R21" s="10"/>
      </tp>
      <tp t="e">
        <v>#N/A</v>
        <stp/>
        <stp>BDH|11763358775304041708</stp>
        <tr r="N23" s="14"/>
      </tp>
      <tp t="e">
        <v>#N/A</v>
        <stp/>
        <stp>BDH|12183115352931245171</stp>
        <tr r="K26" s="17"/>
      </tp>
      <tp t="e">
        <v>#N/A</v>
        <stp/>
        <stp>BDH|13076019742305694424</stp>
        <tr r="D9" s="27"/>
      </tp>
      <tp t="e">
        <v>#N/A</v>
        <stp/>
        <stp>BDH|14507367476131124734</stp>
        <tr r="R69" s="13"/>
      </tp>
      <tp t="e">
        <v>#N/A</v>
        <stp/>
        <stp>BDH|13973197949820884067</stp>
        <tr r="Q8" s="4"/>
      </tp>
      <tp t="e">
        <v>#N/A</v>
        <stp/>
        <stp>BDH|10304458766155463138</stp>
        <tr r="AA74" s="17"/>
      </tp>
      <tp t="e">
        <v>#N/A</v>
        <stp/>
        <stp>BDH|17487422942161345009</stp>
        <tr r="X23" s="30"/>
        <tr r="X25" s="23"/>
      </tp>
      <tp t="e">
        <v>#N/A</v>
        <stp/>
        <stp>BDH|11506757058040798588</stp>
        <tr r="H37" s="18"/>
      </tp>
      <tp t="e">
        <v>#N/A</v>
        <stp/>
        <stp>BDH|12039107309142708793</stp>
        <tr r="H20" s="5"/>
      </tp>
      <tp t="e">
        <v>#N/A</v>
        <stp/>
        <stp>BDH|13429543090540377946</stp>
        <tr r="T21" s="4"/>
      </tp>
      <tp t="e">
        <v>#N/A</v>
        <stp/>
        <stp>BDH|16452339826501180074</stp>
        <tr r="F25" s="9"/>
      </tp>
      <tp t="e">
        <v>#N/A</v>
        <stp/>
        <stp>BDH|17779539000140087432</stp>
        <tr r="K13" s="11"/>
      </tp>
      <tp t="e">
        <v>#N/A</v>
        <stp/>
        <stp>BDH|12345253179613073283</stp>
        <tr r="P31" s="9"/>
      </tp>
      <tp t="e">
        <v>#N/A</v>
        <stp/>
        <stp>BDH|16816161444574404191</stp>
        <tr r="W62" s="12"/>
      </tp>
      <tp t="e">
        <v>#N/A</v>
        <stp/>
        <stp>BDH|14679158451405465306</stp>
        <tr r="P91" s="18"/>
      </tp>
      <tp t="e">
        <v>#N/A</v>
        <stp/>
        <stp>BDH|15775667298699846579</stp>
        <tr r="R20" s="34"/>
      </tp>
      <tp t="e">
        <v>#N/A</v>
        <stp/>
        <stp>BDH|13866208331065707185</stp>
        <tr r="E68" s="34"/>
      </tp>
      <tp t="e">
        <v>#N/A</v>
        <stp/>
        <stp>BDH|13901010699324710808</stp>
        <tr r="D82" s="24"/>
      </tp>
      <tp t="e">
        <v>#N/A</v>
        <stp/>
        <stp>BDH|12406176227425712259</stp>
        <tr r="Q53" s="24"/>
      </tp>
      <tp t="e">
        <v>#N/A</v>
        <stp/>
        <stp>BDH|10394107429512591798</stp>
        <tr r="S70" s="18"/>
      </tp>
      <tp t="e">
        <v>#N/A</v>
        <stp/>
        <stp>BDH|17517355847805912384</stp>
        <tr r="V17" s="5"/>
        <tr r="V32" s="6"/>
      </tp>
      <tp t="e">
        <v>#N/A</v>
        <stp/>
        <stp>BDH|16711813944838632420</stp>
        <tr r="I18" s="29"/>
        <tr r="I41" s="29"/>
      </tp>
      <tp t="e">
        <v>#N/A</v>
        <stp/>
        <stp>BDH|17725305209831054383</stp>
        <tr r="O67" s="18"/>
      </tp>
      <tp t="e">
        <v>#N/A</v>
        <stp/>
        <stp>BDH|14991722513585816167</stp>
        <tr r="K78" s="34"/>
      </tp>
      <tp t="e">
        <v>#N/A</v>
        <stp/>
        <stp>BDH|11001676473345386315</stp>
        <tr r="F118" s="18"/>
        <tr r="F6" s="20"/>
      </tp>
      <tp t="e">
        <v>#N/A</v>
        <stp/>
        <stp>BDH|16802563088388289520</stp>
        <tr r="Q56" s="24"/>
      </tp>
      <tp t="e">
        <v>#N/A</v>
        <stp/>
        <stp>BDH|14150841185992021060</stp>
        <tr r="AA48" s="22"/>
      </tp>
      <tp t="e">
        <v>#N/A</v>
        <stp/>
        <stp>BDH|17720750075867860693</stp>
        <tr r="T81" s="24"/>
      </tp>
      <tp t="e">
        <v>#N/A</v>
        <stp/>
        <stp>BDH|10018283864910812225</stp>
        <tr r="K36" s="4"/>
      </tp>
      <tp t="e">
        <v>#N/A</v>
        <stp/>
        <stp>BDH|15810529318465762234</stp>
        <tr r="F82" s="17"/>
        <tr r="F20" s="3"/>
        <tr r="D6" s="7"/>
      </tp>
      <tp t="e">
        <v>#N/A</v>
        <stp/>
        <stp>BDH|11549725437212665108</stp>
        <tr r="D11" s="18"/>
      </tp>
      <tp t="e">
        <v>#N/A</v>
        <stp/>
        <stp>BDH|15018125077901140424</stp>
        <tr r="V31" s="26"/>
        <tr r="S14" s="9"/>
      </tp>
      <tp t="e">
        <v>#N/A</v>
        <stp/>
        <stp>BDH|10524158164052534374</stp>
        <tr r="I125" s="18"/>
        <tr r="I14" s="20"/>
      </tp>
      <tp t="e">
        <v>#N/A</v>
        <stp/>
        <stp>BDH|10521112992769407744</stp>
        <tr r="M86" s="12"/>
      </tp>
      <tp t="e">
        <v>#N/A</v>
        <stp/>
        <stp>BDH|15409251500433660211</stp>
        <tr r="W81" s="24"/>
      </tp>
      <tp t="e">
        <v>#N/A</v>
        <stp/>
        <stp>BDH|12888652753300886703</stp>
        <tr r="L10" s="14"/>
      </tp>
      <tp t="e">
        <v>#N/A</v>
        <stp/>
        <stp>BDH|16064123404226578752</stp>
        <tr r="F24" s="27"/>
      </tp>
      <tp t="e">
        <v>#N/A</v>
        <stp/>
        <stp>BDH|12963529539594727639</stp>
        <tr r="W32" s="26"/>
      </tp>
      <tp t="e">
        <v>#N/A</v>
        <stp/>
        <stp>BDH|16046418233286296166</stp>
        <tr r="V122" s="18"/>
        <tr r="V11" s="20"/>
      </tp>
      <tp t="e">
        <v>#N/A</v>
        <stp/>
        <stp>BDH|12447958375012657848</stp>
        <tr r="V45" s="24"/>
      </tp>
      <tp t="e">
        <v>#N/A</v>
        <stp/>
        <stp>BDH|15406333353017001223</stp>
        <tr r="T46" s="34"/>
      </tp>
      <tp t="e">
        <v>#N/A</v>
        <stp/>
        <stp>BDH|11720934690244334317</stp>
        <tr r="S10" s="10"/>
      </tp>
      <tp t="e">
        <v>#N/A</v>
        <stp/>
        <stp>BDH|16505246666200235437</stp>
        <tr r="Y33" s="24"/>
      </tp>
      <tp t="e">
        <v>#N/A</v>
        <stp/>
        <stp>BDH|15278312564007664174</stp>
        <tr r="D20" s="22"/>
      </tp>
      <tp t="e">
        <v>#N/A</v>
        <stp/>
        <stp>BDH|17065370219270845307</stp>
        <tr r="H97" s="12"/>
      </tp>
      <tp t="e">
        <v>#N/A</v>
        <stp/>
        <stp>BDH|15408140670477309253</stp>
        <tr r="J18" s="24"/>
      </tp>
      <tp t="e">
        <v>#N/A</v>
        <stp/>
        <stp>BDH|12392363458416384481</stp>
        <tr r="G29" s="29"/>
        <tr r="G7" s="29"/>
      </tp>
      <tp t="e">
        <v>#N/A</v>
        <stp/>
        <stp>BDH|18328932357811078318</stp>
        <tr r="M28" s="27"/>
      </tp>
      <tp t="e">
        <v>#N/A</v>
        <stp/>
        <stp>BDH|12157521942874527128</stp>
        <tr r="D24" s="12"/>
      </tp>
      <tp t="e">
        <v>#N/A</v>
        <stp/>
        <stp>BDH|12669490684869593181</stp>
        <tr r="E62" s="34"/>
      </tp>
      <tp t="e">
        <v>#N/A</v>
        <stp/>
        <stp>BDH|18232974500740052733</stp>
        <tr r="D75" s="34"/>
      </tp>
      <tp t="e">
        <v>#N/A</v>
        <stp/>
        <stp>BDH|14768149987962569975</stp>
        <tr r="O104" s="12"/>
      </tp>
      <tp t="e">
        <v>#N/A</v>
        <stp/>
        <stp>BDH|10721015066208236843</stp>
        <tr r="Z23" s="13"/>
      </tp>
      <tp t="e">
        <v>#N/A</v>
        <stp/>
        <stp>BDH|16247596141546420780</stp>
        <tr r="R28" s="13"/>
      </tp>
      <tp t="e">
        <v>#N/A</v>
        <stp/>
        <stp>BDH|12643970490540546421</stp>
        <tr r="X49" s="12"/>
      </tp>
      <tp t="e">
        <v>#N/A</v>
        <stp/>
        <stp>BDH|11385900295271397637</stp>
        <tr r="P83" s="24"/>
      </tp>
      <tp t="e">
        <v>#N/A</v>
        <stp/>
        <stp>BDH|12715770836382263220</stp>
        <tr r="V88" s="18"/>
      </tp>
      <tp t="e">
        <v>#N/A</v>
        <stp/>
        <stp>BDH|11812694704268957959</stp>
        <tr r="R77" s="34"/>
      </tp>
      <tp t="e">
        <v>#N/A</v>
        <stp/>
        <stp>BDH|13646480674521395703</stp>
        <tr r="N29" s="21"/>
      </tp>
      <tp t="e">
        <v>#N/A</v>
        <stp/>
        <stp>BDH|15986977582953391164</stp>
        <tr r="Y43" s="12"/>
      </tp>
      <tp t="e">
        <v>#N/A</v>
        <stp/>
        <stp>BDH|14224787916887573301</stp>
        <tr r="V24" s="27"/>
      </tp>
      <tp t="e">
        <v>#N/A</v>
        <stp/>
        <stp>BDH|10475491427256186627</stp>
        <tr r="H70" s="12"/>
      </tp>
      <tp t="e">
        <v>#N/A</v>
        <stp/>
        <stp>BDH|12962547929914464794</stp>
        <tr r="E15" s="34"/>
      </tp>
      <tp t="e">
        <v>#N/A</v>
        <stp/>
        <stp>BDH|13829118332451177633</stp>
        <tr r="W94" s="12"/>
      </tp>
      <tp t="e">
        <v>#N/A</v>
        <stp/>
        <stp>BDH|14863757302976225340</stp>
        <tr r="I91" s="17"/>
      </tp>
      <tp t="e">
        <v>#N/A</v>
        <stp/>
        <stp>BDH|17754216835453266388</stp>
        <tr r="P15" s="34"/>
      </tp>
      <tp t="e">
        <v>#N/A</v>
        <stp/>
        <stp>BDH|13180424094170630887</stp>
        <tr r="D168" s="18"/>
      </tp>
      <tp t="e">
        <v>#N/A</v>
        <stp/>
        <stp>BDH|15666168742133264590</stp>
        <tr r="N65" s="18"/>
      </tp>
      <tp t="e">
        <v>#N/A</v>
        <stp/>
        <stp>BDH|15836229114842183263</stp>
        <tr r="X54" s="11"/>
      </tp>
      <tp t="e">
        <v>#N/A</v>
        <stp/>
        <stp>BDH|16121707528663220628</stp>
        <tr r="T90" s="18"/>
      </tp>
      <tp t="e">
        <v>#N/A</v>
        <stp/>
        <stp>BDH|10472921785982371590</stp>
        <tr r="U171" s="18"/>
      </tp>
      <tp t="e">
        <v>#N/A</v>
        <stp/>
        <stp>BDH|17221349469913298743</stp>
        <tr r="L77" s="24"/>
      </tp>
      <tp t="e">
        <v>#N/A</v>
        <stp/>
        <stp>BDH|15855518878503153295</stp>
        <tr r="F149" s="18"/>
      </tp>
      <tp t="e">
        <v>#N/A</v>
        <stp/>
        <stp>BDH|17176876082015909449</stp>
        <tr r="J109" s="18"/>
      </tp>
      <tp t="e">
        <v>#N/A</v>
        <stp/>
        <stp>BDH|11813548987022407867</stp>
        <tr r="H82" s="12"/>
      </tp>
      <tp t="e">
        <v>#N/A</v>
        <stp/>
        <stp>BDH|10110909882517934033</stp>
        <tr r="D154" s="18"/>
      </tp>
      <tp t="e">
        <v>#N/A</v>
        <stp/>
        <stp>BDH|11436731332343885045</stp>
        <tr r="F21" s="24"/>
      </tp>
      <tp t="e">
        <v>#N/A</v>
        <stp/>
        <stp>BDH|16332007726737919551</stp>
        <tr r="G69" s="10"/>
      </tp>
      <tp t="e">
        <v>#N/A</v>
        <stp/>
        <stp>BDH|18356035448093122901</stp>
        <tr r="R20" s="10"/>
      </tp>
      <tp t="e">
        <v>#N/A</v>
        <stp/>
        <stp>BDH|14205570677535815537</stp>
        <tr r="M90" s="17"/>
        <tr r="M34" s="25"/>
      </tp>
      <tp t="e">
        <v>#N/A</v>
        <stp/>
        <stp>BDH|15935144755173732466</stp>
        <tr r="P35" s="22"/>
      </tp>
      <tp t="e">
        <v>#N/A</v>
        <stp/>
        <stp>BDH|16976740164240413147</stp>
        <tr r="I66" s="13"/>
      </tp>
      <tp t="e">
        <v>#N/A</v>
        <stp/>
        <stp>BDH|14658355110033254387</stp>
        <tr r="Z171" s="18"/>
      </tp>
      <tp t="e">
        <v>#N/A</v>
        <stp/>
        <stp>BDH|14003518528934030103</stp>
        <tr r="L105" s="18"/>
      </tp>
      <tp t="e">
        <v>#N/A</v>
        <stp/>
        <stp>BDH|13827275521507727200</stp>
        <tr r="C74" s="18"/>
      </tp>
      <tp t="e">
        <v>#N/A</v>
        <stp/>
        <stp>BDH|16700207952570819743</stp>
        <tr r="U40" s="24"/>
      </tp>
      <tp t="e">
        <v>#N/A</v>
        <stp/>
        <stp>BDH|10044417642220358693</stp>
        <tr r="D40" s="18"/>
      </tp>
      <tp t="e">
        <v>#N/A</v>
        <stp/>
        <stp>BDH|15899988098673673076</stp>
        <tr r="Z103" s="18"/>
      </tp>
      <tp t="e">
        <v>#N/A</v>
        <stp/>
        <stp>BDH|13150683417316374444</stp>
        <tr r="S10" s="28"/>
      </tp>
      <tp t="e">
        <v>#N/A</v>
        <stp/>
        <stp>BDH|17876114347564672017</stp>
        <tr r="K6" s="6"/>
      </tp>
      <tp t="e">
        <v>#N/A</v>
        <stp/>
        <stp>BDH|10507842078249501056</stp>
        <tr r="Y7" s="17"/>
      </tp>
      <tp t="e">
        <v>#N/A</v>
        <stp/>
        <stp>BDH|15044826570689885539</stp>
        <tr r="L65" s="12"/>
      </tp>
      <tp t="e">
        <v>#N/A</v>
        <stp/>
        <stp>BDH|16692416548832148276</stp>
        <tr r="Z80" s="12"/>
      </tp>
      <tp t="e">
        <v>#N/A</v>
        <stp/>
        <stp>BDH|10830647845946615269</stp>
        <tr r="J58" s="18"/>
      </tp>
      <tp t="e">
        <v>#N/A</v>
        <stp/>
        <stp>BDH|16595408924621166794</stp>
        <tr r="K85" s="24"/>
      </tp>
      <tp t="e">
        <v>#N/A</v>
        <stp/>
        <stp>BDH|11540515818063444010</stp>
        <tr r="H27" s="21"/>
      </tp>
      <tp t="e">
        <v>#N/A</v>
        <stp/>
        <stp>BDH|14318484147746060450</stp>
        <tr r="U23" s="17"/>
      </tp>
      <tp t="e">
        <v>#N/A</v>
        <stp/>
        <stp>BDH|17344387890973074829</stp>
        <tr r="Z61" s="34"/>
      </tp>
      <tp t="e">
        <v>#N/A</v>
        <stp/>
        <stp>BDH|18088848230206854353</stp>
        <tr r="F48" s="22"/>
      </tp>
      <tp t="e">
        <v>#N/A</v>
        <stp/>
        <stp>BDH|15429455119242366427</stp>
        <tr r="D31" s="22"/>
      </tp>
      <tp t="e">
        <v>#N/A</v>
        <stp/>
        <stp>BDH|10931640146351220518</stp>
        <tr r="C29" s="4"/>
      </tp>
      <tp t="e">
        <v>#N/A</v>
        <stp/>
        <stp>BDH|12470698566446559267</stp>
        <tr r="P141" s="18"/>
      </tp>
      <tp t="e">
        <v>#N/A</v>
        <stp/>
        <stp>BDH|11838964822944202867</stp>
        <tr r="Y21" s="17"/>
        <tr r="Y15" s="3"/>
      </tp>
      <tp t="e">
        <v>#N/A</v>
        <stp/>
        <stp>BDH|13189570792678569191</stp>
        <tr r="F8" s="18"/>
      </tp>
      <tp t="e">
        <v>#N/A</v>
        <stp/>
        <stp>BDH|16950308254753433511</stp>
        <tr r="T47" s="24"/>
      </tp>
      <tp t="e">
        <v>#N/A</v>
        <stp/>
        <stp>BDH|16685328494832867801</stp>
        <tr r="O8" s="22"/>
      </tp>
      <tp t="e">
        <v>#N/A</v>
        <stp/>
        <stp>BDH|12711142436850817655</stp>
        <tr r="K12" s="17"/>
      </tp>
      <tp t="e">
        <v>#N/A</v>
        <stp/>
        <stp>BDH|14788242962553093599</stp>
        <tr r="F123" s="18"/>
        <tr r="F12" s="20"/>
      </tp>
      <tp t="e">
        <v>#N/A</v>
        <stp/>
        <stp>BDH|10701251903063898717</stp>
        <tr r="Y16" s="11"/>
      </tp>
      <tp t="e">
        <v>#N/A</v>
        <stp/>
        <stp>BDH|16315796777408744828</stp>
        <tr r="G25" s="26"/>
      </tp>
      <tp t="e">
        <v>#N/A</v>
        <stp/>
        <stp>BDH|13177777908874103676</stp>
        <tr r="S185" s="18"/>
      </tp>
      <tp t="e">
        <v>#N/A</v>
        <stp/>
        <stp>BDH|11314667503737966679</stp>
        <tr r="G65" s="21"/>
        <tr r="E23" s="7"/>
      </tp>
      <tp t="e">
        <v>#N/A</v>
        <stp/>
        <stp>BDH|14286113311851940339</stp>
        <tr r="O12" s="18"/>
      </tp>
      <tp t="e">
        <v>#N/A</v>
        <stp/>
        <stp>BDH|14101949364004841913</stp>
        <tr r="T58" s="12"/>
      </tp>
      <tp t="e">
        <v>#N/A</v>
        <stp/>
        <stp>BDH|16652627607670299690</stp>
        <tr r="L28" s="21"/>
      </tp>
      <tp t="e">
        <v>#N/A</v>
        <stp/>
        <stp>BDH|13081261362935844449</stp>
        <tr r="J7" s="2"/>
        <tr r="I7" s="5"/>
        <tr r="I7" s="9"/>
        <tr r="L14" s="3"/>
      </tp>
      <tp t="e">
        <v>#N/A</v>
        <stp/>
        <stp>BDH|12827679743246479002</stp>
        <tr r="J55" s="13"/>
      </tp>
      <tp t="e">
        <v>#N/A</v>
        <stp/>
        <stp>BDH|18046834828055256116</stp>
        <tr r="F187" s="18"/>
      </tp>
      <tp t="e">
        <v>#N/A</v>
        <stp/>
        <stp>BDH|11848575496119362225</stp>
        <tr r="M73" s="34"/>
      </tp>
      <tp t="e">
        <v>#N/A</v>
        <stp/>
        <stp>BDH|10656392526520540745</stp>
        <tr r="D8" s="26"/>
      </tp>
      <tp t="e">
        <v>#N/A</v>
        <stp/>
        <stp>BDH|17531926402540552886</stp>
        <tr r="U144" s="18"/>
      </tp>
      <tp t="e">
        <v>#N/A</v>
        <stp/>
        <stp>BDH|12703550237756946440</stp>
        <tr r="M105" s="18"/>
      </tp>
      <tp t="e">
        <v>#N/A</v>
        <stp/>
        <stp>BDH|12198083349122087281</stp>
        <tr r="R30" s="21"/>
      </tp>
      <tp t="e">
        <v>#N/A</v>
        <stp/>
        <stp>BDH|15061222799351545961</stp>
        <tr r="G60" s="34"/>
      </tp>
      <tp t="e">
        <v>#N/A</v>
        <stp/>
        <stp>BDH|15914420916890232678</stp>
        <tr r="O67" s="12"/>
      </tp>
      <tp t="e">
        <v>#N/A</v>
        <stp/>
        <stp>BDH|16728220430656545781</stp>
        <tr r="H206" s="18"/>
      </tp>
      <tp t="e">
        <v>#N/A</v>
        <stp/>
        <stp>BDH|16487458249188293829</stp>
        <tr r="F10" s="18"/>
      </tp>
      <tp t="e">
        <v>#N/A</v>
        <stp/>
        <stp>BDH|13997384052393964029</stp>
        <tr r="X150" s="18"/>
      </tp>
      <tp t="e">
        <v>#N/A</v>
        <stp/>
        <stp>BDH|10401677258271534467</stp>
        <tr r="M38" s="4"/>
        <tr r="M56" s="11"/>
        <tr r="O13" s="23"/>
      </tp>
      <tp t="e">
        <v>#N/A</v>
        <stp/>
        <stp>BDH|17921222523910586150</stp>
        <tr r="N39" s="10"/>
        <tr r="N29" s="11"/>
      </tp>
      <tp t="e">
        <v>#N/A</v>
        <stp/>
        <stp>BDH|12607221838706045342</stp>
        <tr r="D9" s="14"/>
      </tp>
      <tp t="e">
        <v>#N/A</v>
        <stp/>
        <stp>BDH|12807649095452897994</stp>
        <tr r="R65" s="12"/>
      </tp>
      <tp t="e">
        <v>#N/A</v>
        <stp/>
        <stp>BDH|15816910492122201110</stp>
        <tr r="Q25" s="13"/>
      </tp>
      <tp t="e">
        <v>#N/A</v>
        <stp/>
        <stp>BDH|10338026522376271296</stp>
        <tr r="Q24" s="6"/>
      </tp>
      <tp t="e">
        <v>#N/A</v>
        <stp/>
        <stp>BDH|15981212909046897714</stp>
        <tr r="T18" s="29"/>
        <tr r="T41" s="29"/>
      </tp>
      <tp t="e">
        <v>#N/A</v>
        <stp/>
        <stp>BDH|10973204237241705616</stp>
        <tr r="S58" s="12"/>
      </tp>
      <tp t="e">
        <v>#N/A</v>
        <stp/>
        <stp>BDH|11603243489118063532</stp>
        <tr r="AA17" s="17"/>
        <tr r="AA20" s="28"/>
      </tp>
      <tp t="e">
        <v>#N/A</v>
        <stp/>
        <stp>BDH|14984050465154783067</stp>
        <tr r="H35" s="21"/>
      </tp>
      <tp t="e">
        <v>#N/A</v>
        <stp/>
        <stp>BDH|13135423361711339691</stp>
        <tr r="X10" s="10"/>
      </tp>
      <tp t="e">
        <v>#N/A</v>
        <stp/>
        <stp>BDH|12393586808991278094</stp>
        <tr r="S10" s="11"/>
      </tp>
      <tp t="e">
        <v>#N/A</v>
        <stp/>
        <stp>BDH|16557964281268317997</stp>
        <tr r="K7" s="30"/>
      </tp>
      <tp t="e">
        <v>#N/A</v>
        <stp/>
        <stp>BDH|16922960262579666634</stp>
        <tr r="P35" s="25"/>
      </tp>
      <tp t="e">
        <v>#N/A</v>
        <stp/>
        <stp>BDH|15555736717911893416</stp>
        <tr r="K17" s="4"/>
        <tr r="M10" s="3"/>
        <tr r="K56" s="10"/>
        <tr r="K46" s="11"/>
        <tr r="K17" s="7"/>
        <tr r="M61" s="13"/>
      </tp>
      <tp t="e">
        <v>#N/A</v>
        <stp/>
        <stp>BDH|12036847290186900351</stp>
        <tr r="H21" s="17"/>
        <tr r="H15" s="3"/>
      </tp>
      <tp t="e">
        <v>#N/A</v>
        <stp/>
        <stp>BDH|10848171350514755601</stp>
        <tr r="J18" s="13"/>
      </tp>
      <tp t="e">
        <v>#N/A</v>
        <stp/>
        <stp>BDH|16759089297728381137</stp>
        <tr r="L10" s="17"/>
      </tp>
      <tp t="e">
        <v>#N/A</v>
        <stp/>
        <stp>BDH|10678038939231211468</stp>
        <tr r="Z55" s="12"/>
      </tp>
      <tp t="e">
        <v>#N/A</v>
        <stp/>
        <stp>BDH|12667893289471834559</stp>
        <tr r="S115" s="18"/>
      </tp>
      <tp t="e">
        <v>#N/A</v>
        <stp/>
        <stp>BDH|17415745474115860478</stp>
        <tr r="R60" s="17"/>
      </tp>
      <tp t="e">
        <v>#N/A</v>
        <stp/>
        <stp>BDH|16562011522483984141</stp>
        <tr r="L96" s="18"/>
      </tp>
      <tp t="e">
        <v>#N/A</v>
        <stp/>
        <stp>BDH|10983803388241863725</stp>
        <tr r="J39" s="22"/>
      </tp>
      <tp t="e">
        <v>#N/A</v>
        <stp/>
        <stp>BDH|13191798717815029642</stp>
        <tr r="T21" s="3"/>
      </tp>
      <tp t="e">
        <v>#N/A</v>
        <stp/>
        <stp>BDH|12941339965685408402</stp>
        <tr r="P96" s="18"/>
      </tp>
      <tp t="e">
        <v>#N/A</v>
        <stp/>
        <stp>BDH|15657784256729286817</stp>
        <tr r="E9" s="22"/>
      </tp>
      <tp t="e">
        <v>#N/A</v>
        <stp/>
        <stp>BDH|14202286740645801198</stp>
        <tr r="I107" s="18"/>
      </tp>
      <tp t="e">
        <v>#N/A</v>
        <stp/>
        <stp>BDH|10568948603816007999</stp>
        <tr r="T105" s="12"/>
      </tp>
      <tp t="e">
        <v>#N/A</v>
        <stp/>
        <stp>BDH|14941076121673434308</stp>
        <tr r="F50" s="21"/>
      </tp>
      <tp t="e">
        <v>#N/A</v>
        <stp/>
        <stp>BDH|11964483357971515783</stp>
        <tr r="J24" s="6"/>
      </tp>
      <tp t="e">
        <v>#N/A</v>
        <stp/>
        <stp>BDH|14837518071561256115</stp>
        <tr r="O19" s="25"/>
      </tp>
      <tp t="e">
        <v>#N/A</v>
        <stp/>
        <stp>BDH|16430266218177599440</stp>
        <tr r="D8" s="13"/>
      </tp>
      <tp t="e">
        <v>#N/A</v>
        <stp/>
        <stp>BDH|16517859588713638351</stp>
        <tr r="AA57" s="34"/>
      </tp>
      <tp t="e">
        <v>#N/A</v>
        <stp/>
        <stp>BDH|11563077406964804375</stp>
        <tr r="C22" s="24"/>
      </tp>
      <tp t="e">
        <v>#N/A</v>
        <stp/>
        <stp>BDH|14716100229358364969</stp>
        <tr r="D141" s="18"/>
      </tp>
      <tp t="e">
        <v>#N/A</v>
        <stp/>
        <stp>BDH|12929706344426799114</stp>
        <tr r="S30" s="17"/>
      </tp>
      <tp t="e">
        <v>#N/A</v>
        <stp/>
        <stp>BDH|14694957584036417583</stp>
        <tr r="X32" s="26"/>
      </tp>
      <tp t="e">
        <v>#N/A</v>
        <stp/>
        <stp>BDH|14191095778394838130</stp>
        <tr r="G33" s="17"/>
      </tp>
      <tp t="e">
        <v>#N/A</v>
        <stp/>
        <stp>BDH|10351406145490909644</stp>
        <tr r="X26" s="17"/>
      </tp>
      <tp t="e">
        <v>#N/A</v>
        <stp/>
        <stp>BDH|15673352166645732392</stp>
        <tr r="V25" s="24"/>
      </tp>
      <tp t="e">
        <v>#N/A</v>
        <stp/>
        <stp>BDH|11286579140472822465</stp>
        <tr r="I10" s="4"/>
        <tr r="H6" s="16"/>
        <tr r="K6" s="3"/>
        <tr r="I6" s="11"/>
      </tp>
      <tp t="e">
        <v>#N/A</v>
        <stp/>
        <stp>BDH|17966582599174449970</stp>
        <tr r="D14" s="17"/>
        <tr r="D17" s="28"/>
      </tp>
      <tp t="e">
        <v>#N/A</v>
        <stp/>
        <stp>BDH|12039203678495452470</stp>
        <tr r="D35" s="13"/>
      </tp>
      <tp t="e">
        <v>#N/A</v>
        <stp/>
        <stp>BDH|15071408904846643193</stp>
        <tr r="D47" s="6"/>
        <tr r="F6" s="8"/>
      </tp>
      <tp t="e">
        <v>#N/A</v>
        <stp/>
        <stp>BDH|10835547876213025714</stp>
        <tr r="J72" s="10"/>
        <tr r="J62" s="11"/>
      </tp>
      <tp t="e">
        <v>#N/A</v>
        <stp/>
        <stp>BDH|15767535251201693288</stp>
        <tr r="H49" s="18"/>
      </tp>
      <tp t="e">
        <v>#N/A</v>
        <stp/>
        <stp>BDH|10207409428313582345</stp>
        <tr r="E25" s="5"/>
      </tp>
      <tp t="e">
        <v>#N/A</v>
        <stp/>
        <stp>BDH|11058894737968689437</stp>
        <tr r="G50" s="21"/>
      </tp>
      <tp t="e">
        <v>#N/A</v>
        <stp/>
        <stp>BDH|16600687112172474536</stp>
        <tr r="G129" s="18"/>
      </tp>
      <tp t="e">
        <v>#N/A</v>
        <stp/>
        <stp>BDH|12595148238704506270</stp>
        <tr r="C149" s="18"/>
      </tp>
      <tp t="e">
        <v>#N/A</v>
        <stp/>
        <stp>BDH|17044494380318744552</stp>
        <tr r="V121" s="18"/>
        <tr r="V9" s="20"/>
      </tp>
      <tp t="e">
        <v>#N/A</v>
        <stp/>
        <stp>BDH|16183037666576763088</stp>
        <tr r="M13" s="12"/>
      </tp>
      <tp t="e">
        <v>#N/A</v>
        <stp/>
        <stp>BDH|10949429714291169242</stp>
        <tr r="D26" s="27"/>
      </tp>
      <tp t="e">
        <v>#N/A</v>
        <stp/>
        <stp>BDH|17547869031598037280</stp>
        <tr r="Z32" s="12"/>
      </tp>
      <tp t="e">
        <v>#N/A</v>
        <stp/>
        <stp>BDH|18315661127949869304</stp>
        <tr r="Z65" s="18"/>
      </tp>
      <tp t="e">
        <v>#N/A</v>
        <stp/>
        <stp>BDH|18119734268426281922</stp>
        <tr r="T82" s="12"/>
      </tp>
      <tp t="e">
        <v>#N/A</v>
        <stp/>
        <stp>BDH|10767205408605589106</stp>
        <tr r="P10" s="22"/>
      </tp>
      <tp t="e">
        <v>#N/A</v>
        <stp/>
        <stp>BDH|17965168154526891399</stp>
        <tr r="Z33" s="18"/>
      </tp>
      <tp t="e">
        <v>#N/A</v>
        <stp/>
        <stp>BDH|15086141536302915310</stp>
        <tr r="T25" s="3"/>
      </tp>
      <tp t="e">
        <v>#N/A</v>
        <stp/>
        <stp>BDH|14430811545757390996</stp>
        <tr r="Y60" s="21"/>
        <tr r="W53" s="11"/>
      </tp>
      <tp t="e">
        <v>#N/A</v>
        <stp/>
        <stp>BDH|11759529633638452986</stp>
        <tr r="J17" s="4"/>
        <tr r="L10" s="3"/>
        <tr r="J56" s="10"/>
        <tr r="J46" s="11"/>
        <tr r="J17" s="7"/>
        <tr r="L61" s="13"/>
      </tp>
      <tp t="e">
        <v>#N/A</v>
        <stp/>
        <stp>BDH|17933512263217494553</stp>
        <tr r="R22" s="18"/>
      </tp>
      <tp t="e">
        <v>#N/A</v>
        <stp/>
        <stp>BDH|16562194625502182126</stp>
        <tr r="O15" s="12"/>
      </tp>
      <tp t="e">
        <v>#N/A</v>
        <stp/>
        <stp>BDH|18079583405778222359</stp>
        <tr r="E29" s="22"/>
      </tp>
      <tp t="e">
        <v>#N/A</v>
        <stp/>
        <stp>BDH|16941519956003103355</stp>
        <tr r="S13" s="17"/>
        <tr r="S16" s="28"/>
      </tp>
      <tp t="e">
        <v>#N/A</v>
        <stp/>
        <stp>BDH|13555205440476893572</stp>
        <tr r="I55" s="18"/>
      </tp>
      <tp t="e">
        <v>#N/A</v>
        <stp/>
        <stp>BDH|13405074999289980591</stp>
        <tr r="W56" s="18"/>
      </tp>
      <tp t="e">
        <v>#N/A</v>
        <stp/>
        <stp>BDH|12537215646363085182</stp>
        <tr r="D43" s="34"/>
      </tp>
      <tp t="e">
        <v>#N/A</v>
        <stp/>
        <stp>BDH|16031388901592329102</stp>
        <tr r="F194" s="18"/>
      </tp>
      <tp t="e">
        <v>#N/A</v>
        <stp/>
        <stp>BDH|17503165544912953647</stp>
        <tr r="X49" s="4"/>
      </tp>
      <tp t="e">
        <v>#N/A</v>
        <stp/>
        <stp>BDH|11427326228731779739</stp>
        <tr r="S79" s="18"/>
      </tp>
      <tp t="e">
        <v>#N/A</v>
        <stp/>
        <stp>BDH|16472773382579941628</stp>
        <tr r="C34" s="9"/>
      </tp>
      <tp t="e">
        <v>#N/A</v>
        <stp/>
        <stp>BDH|11853317264367791505</stp>
        <tr r="AA31" s="34"/>
      </tp>
      <tp t="e">
        <v>#N/A</v>
        <stp/>
        <stp>BDH|15801483712607914119</stp>
        <tr r="V34" s="26"/>
      </tp>
      <tp t="e">
        <v>#N/A</v>
        <stp/>
        <stp>BDH|17339092702039041829</stp>
        <tr r="X19" s="5"/>
        <tr r="X42" s="6"/>
      </tp>
      <tp t="e">
        <v>#N/A</v>
        <stp/>
        <stp>BDH|15270157580868960242</stp>
        <tr r="J81" s="24"/>
      </tp>
      <tp t="e">
        <v>#N/A</v>
        <stp/>
        <stp>BDH|13950634360026824380</stp>
        <tr r="T12" s="21"/>
      </tp>
      <tp t="e">
        <v>#N/A</v>
        <stp/>
        <stp>BDH|15237911828309209132</stp>
        <tr r="U55" s="18"/>
      </tp>
      <tp t="e">
        <v>#N/A</v>
        <stp/>
        <stp>BDH|17539597057715859495</stp>
        <tr r="E12" s="12"/>
      </tp>
      <tp t="e">
        <v>#N/A</v>
        <stp/>
        <stp>BDH|12010264160619469987</stp>
        <tr r="P53" s="17"/>
      </tp>
      <tp t="e">
        <v>#N/A</v>
        <stp/>
        <stp>BDH|14522726491194947853</stp>
        <tr r="H25" s="21"/>
      </tp>
      <tp t="e">
        <v>#N/A</v>
        <stp/>
        <stp>BDH|16915532335636445013</stp>
        <tr r="C40" s="10"/>
        <tr r="C30" s="11"/>
      </tp>
      <tp t="e">
        <v>#N/A</v>
        <stp/>
        <stp>BDH|13696658359180006601</stp>
        <tr r="O33" s="17"/>
      </tp>
      <tp t="e">
        <v>#N/A</v>
        <stp/>
        <stp>BDH|17038782315287658017</stp>
        <tr r="V73" s="12"/>
      </tp>
      <tp t="e">
        <v>#N/A</v>
        <stp/>
        <stp>BDH|10451017645066355497</stp>
        <tr r="O42" s="21"/>
      </tp>
      <tp t="e">
        <v>#N/A</v>
        <stp/>
        <stp>BDH|15802044540254646302</stp>
        <tr r="Y33" s="22"/>
      </tp>
      <tp t="e">
        <v>#N/A</v>
        <stp/>
        <stp>BDH|16851510062446894598</stp>
        <tr r="I15" s="9"/>
      </tp>
      <tp t="e">
        <v>#N/A</v>
        <stp/>
        <stp>BDH|12718541949296558357</stp>
        <tr r="H25" s="3"/>
      </tp>
      <tp t="e">
        <v>#N/A</v>
        <stp/>
        <stp>BDH|14200318938093293131</stp>
        <tr r="H28" s="4"/>
      </tp>
      <tp t="e">
        <v>#N/A</v>
        <stp/>
        <stp>BDH|15472687031857578128</stp>
        <tr r="J47" s="10"/>
        <tr r="J37" s="11"/>
      </tp>
      <tp t="e">
        <v>#N/A</v>
        <stp/>
        <stp>BDH|17906788238452634758</stp>
        <tr r="M60" s="12"/>
      </tp>
      <tp t="e">
        <v>#N/A</v>
        <stp/>
        <stp>BDH|12129864774669969201</stp>
        <tr r="N68" s="18"/>
      </tp>
      <tp t="e">
        <v>#N/A</v>
        <stp/>
        <stp>BDH|11922971583684343247</stp>
        <tr r="N209" s="18"/>
      </tp>
      <tp t="e">
        <v>#N/A</v>
        <stp/>
        <stp>BDH|12542995194392175633</stp>
        <tr r="N45" s="21"/>
      </tp>
      <tp t="e">
        <v>#N/A</v>
        <stp/>
        <stp>BDH|15890775490924661935</stp>
        <tr r="H12" s="18"/>
      </tp>
      <tp t="e">
        <v>#N/A</v>
        <stp/>
        <stp>BDH|16956004324823648118</stp>
        <tr r="P110" s="18"/>
      </tp>
      <tp t="e">
        <v>#N/A</v>
        <stp/>
        <stp>BDH|18143176992663994578</stp>
        <tr r="T43" s="4"/>
      </tp>
      <tp t="e">
        <v>#N/A</v>
        <stp/>
        <stp>BDH|11411082427175456052</stp>
        <tr r="I64" s="24"/>
      </tp>
      <tp t="e">
        <v>#N/A</v>
        <stp/>
        <stp>BDH|14624345449592478751</stp>
        <tr r="N17" s="29"/>
        <tr r="N40" s="29"/>
      </tp>
      <tp t="e">
        <v>#N/A</v>
        <stp/>
        <stp>BDH|14618688526110319662</stp>
        <tr r="C24" s="10"/>
      </tp>
      <tp t="e">
        <v>#N/A</v>
        <stp/>
        <stp>BDH|11520981737624594926</stp>
        <tr r="I22" s="18"/>
      </tp>
      <tp t="e">
        <v>#N/A</v>
        <stp/>
        <stp>BDH|14481316469452769565</stp>
        <tr r="F31" s="17"/>
      </tp>
      <tp t="e">
        <v>#N/A</v>
        <stp/>
        <stp>BDH|10751311343048994914</stp>
        <tr r="M16" s="29"/>
        <tr r="M39" s="29"/>
      </tp>
      <tp t="e">
        <v>#N/A</v>
        <stp/>
        <stp>BDH|11733291174473669118</stp>
        <tr r="O50" s="13"/>
      </tp>
      <tp t="e">
        <v>#N/A</v>
        <stp/>
        <stp>BDH|17931596925674031288</stp>
        <tr r="P127" s="18"/>
      </tp>
      <tp t="e">
        <v>#N/A</v>
        <stp/>
        <stp>BDH|10382713548694048171</stp>
        <tr r="L120" s="18"/>
        <tr r="L8" s="20"/>
      </tp>
      <tp t="e">
        <v>#N/A</v>
        <stp/>
        <stp>BDH|14295366617472772294</stp>
        <tr r="G24" s="14"/>
      </tp>
      <tp t="e">
        <v>#N/A</v>
        <stp/>
        <stp>BDH|10503914430309984507</stp>
        <tr r="Q84" s="12"/>
      </tp>
      <tp t="e">
        <v>#N/A</v>
        <stp/>
        <stp>BDH|11260470928133289227</stp>
        <tr r="I20" s="27"/>
      </tp>
      <tp t="e">
        <v>#N/A</v>
        <stp/>
        <stp>BDH|16755598604774316143</stp>
        <tr r="K9" s="6"/>
      </tp>
      <tp t="e">
        <v>#N/A</v>
        <stp/>
        <stp>BDH|13090462178627122120</stp>
        <tr r="D53" s="12"/>
      </tp>
      <tp t="e">
        <v>#N/A</v>
        <stp/>
        <stp>BDH|10051418537122944327</stp>
        <tr r="T41" s="12"/>
      </tp>
      <tp t="e">
        <v>#N/A</v>
        <stp/>
        <stp>BDH|15642235722811308297</stp>
        <tr r="T82" s="18"/>
      </tp>
      <tp t="e">
        <v>#N/A</v>
        <stp/>
        <stp>BDH|18184417833550715995</stp>
        <tr r="T50" s="17"/>
      </tp>
      <tp t="e">
        <v>#N/A</v>
        <stp/>
        <stp>BDH|13815451966042277549</stp>
        <tr r="K71" s="13"/>
      </tp>
      <tp t="e">
        <v>#N/A</v>
        <stp/>
        <stp>BDH|16805399539015275570</stp>
        <tr r="U62" s="13"/>
      </tp>
      <tp t="e">
        <v>#N/A</v>
        <stp/>
        <stp>BDH|13227419621567755486</stp>
        <tr r="W15" s="21"/>
      </tp>
      <tp t="e">
        <v>#N/A</v>
        <stp/>
        <stp>BDH|11900489178694220061</stp>
        <tr r="Q97" s="12"/>
      </tp>
      <tp t="e">
        <v>#N/A</v>
        <stp/>
        <stp>BDH|17954035017229372939</stp>
        <tr r="S15" s="22"/>
      </tp>
      <tp t="e">
        <v>#N/A</v>
        <stp/>
        <stp>BDH|11885622632744701621</stp>
        <tr r="R103" s="12"/>
      </tp>
      <tp t="e">
        <v>#N/A</v>
        <stp/>
        <stp>BDH|14898465972154044515</stp>
        <tr r="K10" s="22"/>
      </tp>
      <tp t="e">
        <v>#N/A</v>
        <stp/>
        <stp>BDH|16895792059671540305</stp>
        <tr r="Z64" s="24"/>
      </tp>
      <tp t="e">
        <v>#N/A</v>
        <stp/>
        <stp>BDH|14324204649742273655</stp>
        <tr r="C113" s="18"/>
      </tp>
      <tp t="e">
        <v>#N/A</v>
        <stp/>
        <stp>BDH|12669094125167790108</stp>
        <tr r="V71" s="12"/>
      </tp>
      <tp t="e">
        <v>#N/A</v>
        <stp/>
        <stp>BDH|16031629721872848664</stp>
        <tr r="Y16" s="17"/>
        <tr r="Y19" s="28"/>
      </tp>
      <tp t="e">
        <v>#N/A</v>
        <stp/>
        <stp>BDH|17732021128722158112</stp>
        <tr r="Q46" s="18"/>
      </tp>
      <tp t="e">
        <v>#N/A</v>
        <stp/>
        <stp>BDH|13036781615935919698</stp>
        <tr r="Q97" s="18"/>
      </tp>
      <tp t="e">
        <v>#N/A</v>
        <stp/>
        <stp>BDH|11104878409898433762</stp>
        <tr r="Q18" s="5"/>
        <tr r="Q37" s="6"/>
      </tp>
      <tp t="e">
        <v>#N/A</v>
        <stp/>
        <stp>BDH|16509115649486441344</stp>
        <tr r="W7" s="2"/>
        <tr r="V7" s="5"/>
        <tr r="V7" s="9"/>
        <tr r="Y14" s="3"/>
      </tp>
      <tp t="e">
        <v>#N/A</v>
        <stp/>
        <stp>BDH|14464874181881724388</stp>
        <tr r="O69" s="17"/>
      </tp>
      <tp t="e">
        <v>#N/A</v>
        <stp/>
        <stp>BDH|17497876211910721884</stp>
        <tr r="F43" s="24"/>
      </tp>
      <tp t="e">
        <v>#N/A</v>
        <stp/>
        <stp>BDH|12105257917982890567</stp>
        <tr r="E63" s="12"/>
      </tp>
      <tp t="e">
        <v>#N/A</v>
        <stp/>
        <stp>BDH|15372526571745413497</stp>
        <tr r="W49" s="21"/>
      </tp>
      <tp t="e">
        <v>#N/A</v>
        <stp/>
        <stp>BDH|16931640202960695643</stp>
        <tr r="W46" s="34"/>
      </tp>
      <tp t="e">
        <v>#N/A</v>
        <stp/>
        <stp>BDH|12635261513467618080</stp>
        <tr r="X9" s="22"/>
      </tp>
      <tp t="e">
        <v>#N/A</v>
        <stp/>
        <stp>BDH|16357255039193318217</stp>
        <tr r="N36" s="4"/>
      </tp>
      <tp t="e">
        <v>#N/A</v>
        <stp/>
        <stp>BDH|12303219449941410326</stp>
        <tr r="O14" s="23"/>
      </tp>
      <tp t="e">
        <v>#N/A</v>
        <stp/>
        <stp>BDH|12916560742454467144</stp>
        <tr r="Z210" s="18"/>
      </tp>
      <tp t="e">
        <v>#N/A</v>
        <stp/>
        <stp>BDH|17611216618141462366</stp>
        <tr r="N32" s="9"/>
      </tp>
      <tp t="e">
        <v>#N/A</v>
        <stp/>
        <stp>BDH|10415190345285703626</stp>
        <tr r="S68" s="12"/>
      </tp>
      <tp t="e">
        <v>#N/A</v>
        <stp/>
        <stp>BDH|16112528806371090486</stp>
        <tr r="Q16" s="29"/>
        <tr r="Q39" s="29"/>
      </tp>
      <tp t="e">
        <v>#N/A</v>
        <stp/>
        <stp>BDH|16271873199750868190</stp>
        <tr r="R69" s="24"/>
      </tp>
      <tp t="e">
        <v>#N/A</v>
        <stp/>
        <stp>BDH|12554921985301912463</stp>
        <tr r="X20" s="34"/>
      </tp>
      <tp t="e">
        <v>#N/A</v>
        <stp/>
        <stp>BDH|18057922561251718091</stp>
        <tr r="I72" s="10"/>
        <tr r="I62" s="11"/>
      </tp>
      <tp t="e">
        <v>#N/A</v>
        <stp/>
        <stp>BDH|16650790850853097121</stp>
        <tr r="Z111" s="18"/>
      </tp>
      <tp t="e">
        <v>#N/A</v>
        <stp/>
        <stp>BDH|17877604266172658352</stp>
        <tr r="R20" s="29"/>
      </tp>
      <tp t="e">
        <v>#N/A</v>
        <stp/>
        <stp>BDH|10360752158767623354</stp>
        <tr r="S16" s="25"/>
      </tp>
      <tp t="e">
        <v>#N/A</v>
        <stp/>
        <stp>BDH|16257428214873826612</stp>
        <tr r="T27" s="12"/>
      </tp>
      <tp t="e">
        <v>#N/A</v>
        <stp/>
        <stp>BDH|10806346311137226321</stp>
        <tr r="G109" s="18"/>
      </tp>
      <tp t="e">
        <v>#N/A</v>
        <stp/>
        <stp>BDH|16290964407680788988</stp>
        <tr r="H52" s="10"/>
        <tr r="H42" s="11"/>
        <tr r="H15" s="7"/>
      </tp>
      <tp t="e">
        <v>#N/A</v>
        <stp/>
        <stp>BDH|12023919202438653591</stp>
        <tr r="F41" s="21"/>
      </tp>
      <tp t="e">
        <v>#N/A</v>
        <stp/>
        <stp>BDH|10362215533385907249</stp>
        <tr r="W208" s="18"/>
      </tp>
      <tp t="e">
        <v>#N/A</v>
        <stp/>
        <stp>BDH|11848066254351513338</stp>
        <tr r="E131" s="18"/>
      </tp>
      <tp t="e">
        <v>#N/A</v>
        <stp/>
        <stp>BDH|16383791423645034054</stp>
        <tr r="S11" s="3"/>
        <tr r="Q50" s="10"/>
        <tr r="Q40" s="11"/>
        <tr r="Q8" s="7"/>
      </tp>
      <tp t="e">
        <v>#N/A</v>
        <stp/>
        <stp>BDH|10372069682267823931</stp>
        <tr r="N43" s="24"/>
      </tp>
      <tp t="e">
        <v>#N/A</v>
        <stp/>
        <stp>BDH|14156699103212678617</stp>
        <tr r="V60" s="34"/>
      </tp>
      <tp t="e">
        <v>#N/A</v>
        <stp/>
        <stp>BDH|15430608979040733265</stp>
        <tr r="F46" s="4"/>
        <tr r="F23" s="10"/>
        <tr r="H42" s="13"/>
      </tp>
      <tp t="e">
        <v>#N/A</v>
        <stp/>
        <stp>BDH|16411820639723521869</stp>
        <tr r="P53" s="21"/>
      </tp>
      <tp t="e">
        <v>#N/A</v>
        <stp/>
        <stp>BDH|14198988747847027827</stp>
        <tr r="C66" s="13"/>
      </tp>
      <tp t="e">
        <v>#N/A</v>
        <stp/>
        <stp>BDH|10389545169044623143</stp>
        <tr r="Y64" s="17"/>
      </tp>
      <tp t="e">
        <v>#N/A</v>
        <stp/>
        <stp>BDH|14927848395767614420</stp>
        <tr r="T24" s="18"/>
      </tp>
      <tp t="e">
        <v>#N/A</v>
        <stp/>
        <stp>BDH|18128386753089410126</stp>
        <tr r="F54" s="18"/>
      </tp>
      <tp t="e">
        <v>#N/A</v>
        <stp/>
        <stp>BDH|10870226556728754970</stp>
        <tr r="N13" s="10"/>
      </tp>
      <tp t="e">
        <v>#N/A</v>
        <stp/>
        <stp>BDH|16107190244524714177</stp>
        <tr r="D9" s="11"/>
      </tp>
      <tp t="e">
        <v>#N/A</v>
        <stp/>
        <stp>BDH|13881482522064910778</stp>
        <tr r="M154" s="18"/>
      </tp>
      <tp t="e">
        <v>#N/A</v>
        <stp/>
        <stp>BDH|13640039173664299680</stp>
        <tr r="W9" s="29"/>
      </tp>
      <tp t="e">
        <v>#N/A</v>
        <stp/>
        <stp>BDH|14406104539205967582</stp>
        <tr r="W18" s="26"/>
      </tp>
      <tp t="e">
        <v>#N/A</v>
        <stp/>
        <stp>BDH|17396691720817672205</stp>
        <tr r="X87" s="24"/>
      </tp>
      <tp t="e">
        <v>#N/A</v>
        <stp/>
        <stp>BDH|18442168444693222889</stp>
        <tr r="R86" s="18"/>
      </tp>
      <tp t="e">
        <v>#N/A</v>
        <stp/>
        <stp>BDH|15134979349869019732</stp>
        <tr r="AA16" s="26"/>
      </tp>
      <tp t="e">
        <v>#N/A</v>
        <stp/>
        <stp>BDH|16723559739853709502</stp>
        <tr r="D19" s="18"/>
      </tp>
      <tp t="e">
        <v>#N/A</v>
        <stp/>
        <stp>BDH|17613365113531767286</stp>
        <tr r="L50" s="13"/>
      </tp>
      <tp t="e">
        <v>#N/A</v>
        <stp/>
        <stp>BDH|10920221233492678521</stp>
        <tr r="G41" s="24"/>
      </tp>
      <tp t="e">
        <v>#N/A</v>
        <stp/>
        <stp>BDH|18104420237131117891</stp>
        <tr r="Q20" s="25"/>
      </tp>
      <tp t="e">
        <v>#N/A</v>
        <stp/>
        <stp>BDH|10343435492278870364</stp>
        <tr r="X68" s="34"/>
      </tp>
      <tp t="e">
        <v>#N/A</v>
        <stp/>
        <stp>BDH|15519382811231871086</stp>
        <tr r="M14" s="6"/>
      </tp>
      <tp t="e">
        <v>#N/A</v>
        <stp/>
        <stp>BDH|10379591461776040372</stp>
        <tr r="V14" s="29"/>
        <tr r="V23" s="29"/>
        <tr r="V37" s="29"/>
      </tp>
      <tp t="e">
        <v>#N/A</v>
        <stp/>
        <stp>BDH|15962568683387729978</stp>
        <tr r="G56" s="12"/>
      </tp>
      <tp t="e">
        <v>#N/A</v>
        <stp/>
        <stp>BDH|15671237909983797277</stp>
        <tr r="J44" s="24"/>
      </tp>
      <tp t="e">
        <v>#N/A</v>
        <stp/>
        <stp>BDH|15706126202102905020</stp>
        <tr r="O185" s="18"/>
      </tp>
      <tp t="e">
        <v>#N/A</v>
        <stp/>
        <stp>BDH|10219098639951848463</stp>
        <tr r="F15" s="29"/>
        <tr r="F38" s="29"/>
      </tp>
      <tp t="e">
        <v>#N/A</v>
        <stp/>
        <stp>BDH|10671442943507828154</stp>
        <tr r="AA80" s="24"/>
      </tp>
      <tp t="e">
        <v>#N/A</v>
        <stp/>
        <stp>BDH|12454251209937337178</stp>
        <tr r="G12" s="22"/>
      </tp>
      <tp t="e">
        <v>#N/A</v>
        <stp/>
        <stp>BDH|17144257619460318223</stp>
        <tr r="F31" s="25"/>
        <tr r="C14" s="5"/>
        <tr r="F17" s="27"/>
      </tp>
      <tp t="e">
        <v>#N/A</v>
        <stp/>
        <stp>BDH|10607440163770444496</stp>
        <tr r="R89" s="17"/>
      </tp>
      <tp t="e">
        <v>#N/A</v>
        <stp/>
        <stp>BDH|15054403418222124453</stp>
        <tr r="V47" s="22"/>
      </tp>
      <tp t="e">
        <v>#N/A</v>
        <stp/>
        <stp>BDH|10021015098718061753</stp>
        <tr r="V17" s="34"/>
      </tp>
      <tp t="e">
        <v>#N/A</v>
        <stp/>
        <stp>BDH|14635424838987284223</stp>
        <tr r="D31" s="34"/>
      </tp>
      <tp t="e">
        <v>#N/A</v>
        <stp/>
        <stp>BDH|17161622203703562490</stp>
        <tr r="G48" s="6"/>
        <tr r="I9" s="8"/>
      </tp>
      <tp t="e">
        <v>#N/A</v>
        <stp/>
        <stp>BDH|17302517241945884573</stp>
        <tr r="V77" s="12"/>
      </tp>
      <tp t="e">
        <v>#N/A</v>
        <stp/>
        <stp>BDH|14646745907840227580</stp>
        <tr r="O52" s="24"/>
      </tp>
      <tp t="e">
        <v>#N/A</v>
        <stp/>
        <stp>BDH|15295311100744575493</stp>
        <tr r="S65" s="13"/>
      </tp>
      <tp t="e">
        <v>#N/A</v>
        <stp/>
        <stp>BDH|16984523978020589298</stp>
        <tr r="J50" s="17"/>
      </tp>
      <tp t="e">
        <v>#N/A</v>
        <stp/>
        <stp>BDH|15737875698087055579</stp>
        <tr r="U69" s="10"/>
      </tp>
      <tp t="e">
        <v>#N/A</v>
        <stp/>
        <stp>BDH|17218968812459924005</stp>
        <tr r="AA30" s="18"/>
      </tp>
      <tp t="e">
        <v>#N/A</v>
        <stp/>
        <stp>BDH|13221711944650844608</stp>
        <tr r="Z26" s="21"/>
      </tp>
      <tp t="e">
        <v>#N/A</v>
        <stp/>
        <stp>BDH|10755569953171563782</stp>
        <tr r="V8" s="34"/>
      </tp>
      <tp t="e">
        <v>#N/A</v>
        <stp/>
        <stp>BDH|11857139460198042840</stp>
        <tr r="N38" s="34"/>
      </tp>
      <tp t="e">
        <v>#N/A</v>
        <stp/>
        <stp>BDH|12249797572123433729</stp>
        <tr r="Z30" s="25"/>
        <tr r="Z16" s="27"/>
      </tp>
      <tp t="e">
        <v>#N/A</v>
        <stp/>
        <stp>BDH|11887403133585116557</stp>
        <tr r="C82" s="18"/>
      </tp>
      <tp t="e">
        <v>#N/A</v>
        <stp/>
        <stp>BDH|15051138858796565114</stp>
        <tr r="W27" s="26"/>
      </tp>
      <tp t="e">
        <v>#N/A</v>
        <stp/>
        <stp>BDH|10186238928425399365</stp>
        <tr r="U23" s="12"/>
      </tp>
      <tp t="e">
        <v>#N/A</v>
        <stp/>
        <stp>BDH|11956407394048196233</stp>
        <tr r="F133" s="18"/>
      </tp>
      <tp t="e">
        <v>#N/A</v>
        <stp/>
        <stp>BDH|17668289826022574320</stp>
        <tr r="AA66" s="21"/>
        <tr r="X27" s="6"/>
      </tp>
      <tp t="e">
        <v>#N/A</v>
        <stp/>
        <stp>BDH|12347394723605415028</stp>
        <tr r="M90" s="12"/>
      </tp>
      <tp t="e">
        <v>#N/A</v>
        <stp/>
        <stp>BDH|10140209272327844445</stp>
        <tr r="E56" s="12"/>
      </tp>
      <tp t="e">
        <v>#N/A</v>
        <stp/>
        <stp>BDH|17299296550557606124</stp>
        <tr r="M80" s="18"/>
      </tp>
      <tp t="e">
        <v>#N/A</v>
        <stp/>
        <stp>BDH|10784098012963313406</stp>
        <tr r="V56" s="17"/>
      </tp>
      <tp t="e">
        <v>#N/A</v>
        <stp/>
        <stp>BDH|16838560781209848488</stp>
        <tr r="T53" s="6"/>
      </tp>
      <tp t="e">
        <v>#N/A</v>
        <stp/>
        <stp>BDH|16548497281968463460</stp>
        <tr r="F25" s="26"/>
      </tp>
      <tp t="e">
        <v>#N/A</v>
        <stp/>
        <stp>BDH|15460580550956269515</stp>
        <tr r="Q25" s="7"/>
      </tp>
      <tp t="e">
        <v>#N/A</v>
        <stp/>
        <stp>BDH|16516475303395637187</stp>
        <tr r="R16" s="34"/>
      </tp>
      <tp t="e">
        <v>#N/A</v>
        <stp/>
        <stp>BDH|11753292254079343960</stp>
        <tr r="Q51" s="34"/>
      </tp>
      <tp t="e">
        <v>#N/A</v>
        <stp/>
        <stp>BDH|10903676430582788168</stp>
        <tr r="U34" s="21"/>
      </tp>
      <tp t="e">
        <v>#N/A</v>
        <stp/>
        <stp>BDH|12502269049034210679</stp>
        <tr r="M12" s="12"/>
      </tp>
      <tp t="e">
        <v>#N/A</v>
        <stp/>
        <stp>BDH|16382185464694487343</stp>
        <tr r="H9" s="26"/>
      </tp>
      <tp t="e">
        <v>#N/A</v>
        <stp/>
        <stp>BDH|16111540018936798251</stp>
        <tr r="I8" s="14"/>
      </tp>
      <tp t="e">
        <v>#N/A</v>
        <stp/>
        <stp>BDH|14962261466630411620</stp>
        <tr r="F43" s="34"/>
      </tp>
      <tp t="e">
        <v>#N/A</v>
        <stp/>
        <stp>BDH|12125363490026042885</stp>
        <tr r="Q7" s="2"/>
        <tr r="P7" s="5"/>
        <tr r="P7" s="9"/>
        <tr r="S14" s="3"/>
      </tp>
      <tp t="e">
        <v>#N/A</v>
        <stp/>
        <stp>BDH|15985656110936492279</stp>
        <tr r="E45" s="21"/>
      </tp>
      <tp t="e">
        <v>#N/A</v>
        <stp/>
        <stp>BDH|16215495719065539081</stp>
        <tr r="K52" s="13"/>
      </tp>
      <tp t="e">
        <v>#N/A</v>
        <stp/>
        <stp>BDH|15507071735212948211</stp>
        <tr r="N8" s="23"/>
      </tp>
      <tp t="e">
        <v>#N/A</v>
        <stp/>
        <stp>BDH|10169864562189261183</stp>
        <tr r="S159" s="18"/>
      </tp>
      <tp t="e">
        <v>#N/A</v>
        <stp/>
        <stp>BDH|17289211600242488185</stp>
        <tr r="V50" s="13"/>
      </tp>
      <tp t="e">
        <v>#N/A</v>
        <stp/>
        <stp>BDH|11883034345806932581</stp>
        <tr r="P34" s="29"/>
      </tp>
      <tp t="e">
        <v>#N/A</v>
        <stp/>
        <stp>BDH|17555364210941588295</stp>
        <tr r="G16" s="18"/>
      </tp>
      <tp t="e">
        <v>#N/A</v>
        <stp/>
        <stp>BDH|17487795475815138463</stp>
        <tr r="V59" s="18"/>
      </tp>
      <tp t="e">
        <v>#N/A</v>
        <stp/>
        <stp>BDH|18233489073875559833</stp>
        <tr r="E9" s="29"/>
      </tp>
      <tp t="e">
        <v>#N/A</v>
        <stp/>
        <stp>BDH|16017289831729486823</stp>
        <tr r="Q127" s="18"/>
      </tp>
      <tp t="e">
        <v>#N/A</v>
        <stp/>
        <stp>BDH|18443664619619040046</stp>
        <tr r="Z89" s="12"/>
      </tp>
      <tp t="e">
        <v>#N/A</v>
        <stp/>
        <stp>BDH|15890666419343038794</stp>
        <tr r="U194" s="18"/>
      </tp>
      <tp t="e">
        <v>#N/A</v>
        <stp/>
        <stp>BDH|11315139272465820445</stp>
        <tr r="I73" s="10"/>
        <tr r="I63" s="11"/>
      </tp>
      <tp t="e">
        <v>#N/A</v>
        <stp/>
        <stp>BDH|14946812337589199000</stp>
        <tr r="W43" s="17"/>
      </tp>
      <tp t="e">
        <v>#N/A</v>
        <stp/>
        <stp>BDH|17260796045547284527</stp>
        <tr r="C72" s="10"/>
        <tr r="C62" s="11"/>
      </tp>
      <tp t="e">
        <v>#N/A</v>
        <stp/>
        <stp>BDH|13795841209199027442</stp>
        <tr r="W26" s="13"/>
      </tp>
      <tp t="e">
        <v>#N/A</v>
        <stp/>
        <stp>BDH|15254250157026786294</stp>
        <tr r="O51" s="18"/>
      </tp>
      <tp t="e">
        <v>#N/A</v>
        <stp/>
        <stp>BDH|15307427836962138684</stp>
        <tr r="K61" s="17"/>
      </tp>
      <tp t="e">
        <v>#N/A</v>
        <stp/>
        <stp>BDH|17275934496946124781</stp>
        <tr r="G20" s="29"/>
      </tp>
      <tp t="e">
        <v>#N/A</v>
        <stp/>
        <stp>BDH|10292330165554233787</stp>
        <tr r="I160" s="18"/>
      </tp>
      <tp t="e">
        <v>#N/A</v>
        <stp/>
        <stp>BDH|15305802644939029696</stp>
        <tr r="Z14" s="21"/>
      </tp>
      <tp t="e">
        <v>#N/A</v>
        <stp/>
        <stp>BDH|10687634820207284599</stp>
        <tr r="F13" s="9"/>
      </tp>
      <tp t="e">
        <v>#N/A</v>
        <stp/>
        <stp>BDH|10111282556874933585</stp>
        <tr r="H38" s="25"/>
      </tp>
      <tp t="e">
        <v>#N/A</v>
        <stp/>
        <stp>BDH|10062338425375870206</stp>
        <tr r="Y24" s="14"/>
      </tp>
      <tp t="e">
        <v>#N/A</v>
        <stp/>
        <stp>BDH|10740567968903280651</stp>
        <tr r="S12" s="26"/>
      </tp>
      <tp t="e">
        <v>#N/A</v>
        <stp/>
        <stp>BDH|12025799277383327739</stp>
        <tr r="D45" s="18"/>
      </tp>
      <tp t="e">
        <v>#N/A</v>
        <stp/>
        <stp>BDH|14291731418850028471</stp>
        <tr r="O51" s="13"/>
      </tp>
      <tp t="e">
        <v>#N/A</v>
        <stp/>
        <stp>BDH|13549293084197764813</stp>
        <tr r="K50" s="24"/>
      </tp>
      <tp t="e">
        <v>#N/A</v>
        <stp/>
        <stp>BDH|10172658061537900129</stp>
        <tr r="X101" s="12"/>
      </tp>
      <tp t="e">
        <v>#N/A</v>
        <stp/>
        <stp>BDH|13393384209182966458</stp>
        <tr r="V10" s="28"/>
      </tp>
      <tp t="e">
        <v>#N/A</v>
        <stp/>
        <stp>BDH|14489102537945880559</stp>
        <tr r="P18" s="2"/>
        <tr r="P53" s="4"/>
        <tr r="P46" s="10"/>
        <tr r="P36" s="11"/>
        <tr r="R58" s="13"/>
      </tp>
      <tp t="e">
        <v>#N/A</v>
        <stp/>
        <stp>BDH|11450185963129306920</stp>
        <tr r="Z25" s="14"/>
      </tp>
      <tp t="e">
        <v>#N/A</v>
        <stp/>
        <stp>BDH|11513393054990527138</stp>
        <tr r="L56" s="12"/>
      </tp>
      <tp t="e">
        <v>#N/A</v>
        <stp/>
        <stp>BDH|16748252204460825201</stp>
        <tr r="V23" s="23"/>
      </tp>
      <tp t="e">
        <v>#N/A</v>
        <stp/>
        <stp>BDH|11212006458667557515</stp>
        <tr r="V12" s="10"/>
      </tp>
      <tp t="e">
        <v>#N/A</v>
        <stp/>
        <stp>BDH|13941425779551828746</stp>
        <tr r="S72" s="13"/>
      </tp>
      <tp t="e">
        <v>#N/A</v>
        <stp/>
        <stp>BDH|18400393742590287939</stp>
        <tr r="W26" s="10"/>
        <tr r="Y35" s="13"/>
      </tp>
      <tp t="e">
        <v>#N/A</v>
        <stp/>
        <stp>BDH|15128163639418004902</stp>
        <tr r="G24" s="13"/>
      </tp>
      <tp t="e">
        <v>#N/A</v>
        <stp/>
        <stp>BDH|16784849989213705335</stp>
        <tr r="AA62" s="17"/>
      </tp>
      <tp t="e">
        <v>#N/A</v>
        <stp/>
        <stp>BDH|13909064430762350420</stp>
        <tr r="M71" s="12"/>
      </tp>
      <tp t="e">
        <v>#N/A</v>
        <stp/>
        <stp>BDH|14514670466292222087</stp>
        <tr r="P38" s="25"/>
      </tp>
      <tp t="e">
        <v>#N/A</v>
        <stp/>
        <stp>BDH|15950624511067739334</stp>
        <tr r="AA86" s="24"/>
      </tp>
      <tp t="e">
        <v>#N/A</v>
        <stp/>
        <stp>BDH|14476927015412448895</stp>
        <tr r="J151" s="18"/>
      </tp>
      <tp t="e">
        <v>#N/A</v>
        <stp/>
        <stp>BDH|10639706449477113205</stp>
        <tr r="W64" s="10"/>
      </tp>
      <tp t="e">
        <v>#N/A</v>
        <stp/>
        <stp>BDH|13591349870698668995</stp>
        <tr r="U65" s="12"/>
      </tp>
      <tp t="e">
        <v>#N/A</v>
        <stp/>
        <stp>BDH|10460747722771436280</stp>
        <tr r="AA11" s="22"/>
      </tp>
      <tp t="e">
        <v>#N/A</v>
        <stp/>
        <stp>BDH|12473084630720151734</stp>
        <tr r="S10" s="2"/>
        <tr r="R11" s="5"/>
        <tr r="R51" s="6"/>
        <tr r="T33" s="29"/>
        <tr r="T42" s="29"/>
      </tp>
      <tp t="e">
        <v>#N/A</v>
        <stp/>
        <stp>BDH|11245737679751273647</stp>
        <tr r="H28" s="10"/>
        <tr r="J37" s="13"/>
      </tp>
      <tp t="e">
        <v>#N/A</v>
        <stp/>
        <stp>BDH|15356964068369020534</stp>
        <tr r="O74" s="34"/>
      </tp>
      <tp t="e">
        <v>#N/A</v>
        <stp/>
        <stp>BDH|12206881734358246722</stp>
        <tr r="I14" s="2"/>
        <tr r="I11" s="10"/>
      </tp>
      <tp t="e">
        <v>#N/A</v>
        <stp/>
        <stp>BDH|14159642223630136769</stp>
        <tr r="R62" s="34"/>
      </tp>
      <tp t="e">
        <v>#N/A</v>
        <stp/>
        <stp>BDH|13815263161310791093</stp>
        <tr r="O39" s="17"/>
      </tp>
      <tp t="e">
        <v>#N/A</v>
        <stp/>
        <stp>BDH|17791153921990015329</stp>
        <tr r="U14" s="24"/>
      </tp>
      <tp t="e">
        <v>#N/A</v>
        <stp/>
        <stp>BDH|12515279184107677815</stp>
        <tr r="D158" s="18"/>
      </tp>
      <tp t="e">
        <v>#N/A</v>
        <stp/>
        <stp>BDH|14123068097482717865</stp>
        <tr r="G30" s="34"/>
      </tp>
      <tp t="e">
        <v>#N/A</v>
        <stp/>
        <stp>BDH|11559138982957375869</stp>
        <tr r="N37" s="26"/>
      </tp>
      <tp t="e">
        <v>#N/A</v>
        <stp/>
        <stp>BDH|16008200044861474616</stp>
        <tr r="C57" s="11"/>
        <tr r="E15" s="23"/>
      </tp>
      <tp t="e">
        <v>#N/A</v>
        <stp/>
        <stp>BDH|16522444554257088745</stp>
        <tr r="S94" s="17"/>
      </tp>
      <tp t="e">
        <v>#N/A</v>
        <stp/>
        <stp>BDH|13652774414906260467</stp>
        <tr r="AA27" s="26"/>
      </tp>
      <tp t="e">
        <v>#N/A</v>
        <stp/>
        <stp>BDH|13497880798587079252</stp>
        <tr r="V59" s="34"/>
      </tp>
      <tp t="e">
        <v>#N/A</v>
        <stp/>
        <stp>BDH|14100948490152177156</stp>
        <tr r="M18" s="17"/>
      </tp>
      <tp t="e">
        <v>#N/A</v>
        <stp/>
        <stp>BDH|16475269540675145224</stp>
        <tr r="Y21" s="11"/>
      </tp>
      <tp t="e">
        <v>#N/A</v>
        <stp/>
        <stp>BDH|13938195900403089615</stp>
        <tr r="U11" s="28"/>
      </tp>
      <tp t="e">
        <v>#N/A</v>
        <stp/>
        <stp>BDH|13064016620207648168</stp>
        <tr r="X42" s="17"/>
      </tp>
      <tp t="e">
        <v>#N/A</v>
        <stp/>
        <stp>BDH|11963338315826992271</stp>
        <tr r="U13" s="18"/>
      </tp>
      <tp t="e">
        <v>#N/A</v>
        <stp/>
        <stp>BDH|10483213150643099349</stp>
        <tr r="G52" s="10"/>
        <tr r="G42" s="11"/>
        <tr r="G15" s="7"/>
      </tp>
      <tp t="e">
        <v>#N/A</v>
        <stp/>
        <stp>BDH|13671771745886370164</stp>
        <tr r="T50" s="4"/>
      </tp>
      <tp t="e">
        <v>#N/A</v>
        <stp/>
        <stp>BDH|17144619169440136097</stp>
        <tr r="P23" s="30"/>
        <tr r="P25" s="23"/>
      </tp>
      <tp t="e">
        <v>#N/A</v>
        <stp/>
        <stp>BDH|13816398836423239742</stp>
        <tr r="P75" s="12"/>
      </tp>
      <tp t="e">
        <v>#N/A</v>
        <stp/>
        <stp>BDH|12340088308147071226</stp>
        <tr r="W72" s="10"/>
        <tr r="W62" s="11"/>
      </tp>
      <tp t="e">
        <v>#N/A</v>
        <stp/>
        <stp>BDH|10325891632948927404</stp>
        <tr r="C54" s="17"/>
      </tp>
      <tp t="e">
        <v>#N/A</v>
        <stp/>
        <stp>BDH|13289322982139213616</stp>
        <tr r="H102" s="18"/>
      </tp>
      <tp t="e">
        <v>#N/A</v>
        <stp/>
        <stp>BDH|16481874597106527603</stp>
        <tr r="N161" s="18"/>
      </tp>
      <tp t="e">
        <v>#N/A</v>
        <stp/>
        <stp>BDH|13465805616618748542</stp>
        <tr r="S88" s="12"/>
      </tp>
      <tp t="e">
        <v>#N/A</v>
        <stp/>
        <stp>BDH|11626380972433859150</stp>
        <tr r="X48" s="21"/>
      </tp>
      <tp t="e">
        <v>#N/A</v>
        <stp/>
        <stp>BDH|12672426770442641432</stp>
        <tr r="S8" s="17"/>
      </tp>
      <tp t="e">
        <v>#N/A</v>
        <stp/>
        <stp>BDH|11447565571221732553</stp>
        <tr r="W15" s="25"/>
      </tp>
      <tp t="e">
        <v>#N/A</v>
        <stp/>
        <stp>BDH|13757845984760214444</stp>
        <tr r="D6" s="3"/>
      </tp>
      <tp t="e">
        <v>#N/A</v>
        <stp/>
        <stp>BDH|15412177085903398844</stp>
        <tr r="M90" s="24"/>
      </tp>
      <tp t="e">
        <v>#N/A</v>
        <stp/>
        <stp>BDH|17399724754906008446</stp>
        <tr r="AA17" s="14"/>
      </tp>
      <tp t="e">
        <v>#N/A</v>
        <stp/>
        <stp>BDH|10443738440334446029</stp>
        <tr r="Z41" s="24"/>
      </tp>
      <tp t="e">
        <v>#N/A</v>
        <stp/>
        <stp>BDH|15828222850155829032</stp>
        <tr r="I24" s="5"/>
      </tp>
      <tp t="e">
        <v>#N/A</v>
        <stp/>
        <stp>BDH|11577157123691771450</stp>
        <tr r="L14" s="28"/>
      </tp>
      <tp t="e">
        <v>#N/A</v>
        <stp/>
        <stp>BDH|17382688988029292708</stp>
        <tr r="Z25" s="34"/>
      </tp>
      <tp t="e">
        <v>#N/A</v>
        <stp/>
        <stp>BDH|14567924147076520841</stp>
        <tr r="L146" s="18"/>
      </tp>
      <tp t="e">
        <v>#N/A</v>
        <stp/>
        <stp>BDH|12579593557626313393</stp>
        <tr r="N24" s="18"/>
      </tp>
      <tp t="e">
        <v>#N/A</v>
        <stp/>
        <stp>BDH|14792962210929859287</stp>
        <tr r="D62" s="21"/>
      </tp>
      <tp t="e">
        <v>#N/A</v>
        <stp/>
        <stp>BDH|10972718434553434099</stp>
        <tr r="I72" s="18"/>
      </tp>
      <tp t="e">
        <v>#N/A</v>
        <stp/>
        <stp>BDH|10849872579099123164</stp>
        <tr r="Y71" s="34"/>
      </tp>
      <tp t="e">
        <v>#N/A</v>
        <stp/>
        <stp>BDH|12280860492223426738</stp>
        <tr r="Q71" s="17"/>
      </tp>
      <tp t="e">
        <v>#N/A</v>
        <stp/>
        <stp>BDH|10569372637581285669</stp>
        <tr r="T8" s="28"/>
      </tp>
      <tp t="e">
        <v>#N/A</v>
        <stp/>
        <stp>BDH|12207491014902698287</stp>
        <tr r="E44" s="24"/>
      </tp>
      <tp t="e">
        <v>#N/A</v>
        <stp/>
        <stp>BDH|11550165903811186606</stp>
        <tr r="P44" s="12"/>
      </tp>
      <tp t="e">
        <v>#N/A</v>
        <stp/>
        <stp>BDH|10887915906607949979</stp>
        <tr r="P129" s="18"/>
      </tp>
      <tp t="e">
        <v>#N/A</v>
        <stp/>
        <stp>BDH|17757150467430127755</stp>
        <tr r="Q65" s="17"/>
      </tp>
      <tp t="e">
        <v>#N/A</v>
        <stp/>
        <stp>BDH|17523974324778266351</stp>
        <tr r="O26" s="17"/>
      </tp>
      <tp t="e">
        <v>#N/A</v>
        <stp/>
        <stp>BDH|17677531421434512305</stp>
        <tr r="G74" s="24"/>
      </tp>
      <tp t="e">
        <v>#N/A</v>
        <stp/>
        <stp>BDH|12528901290543701633</stp>
        <tr r="K50" s="18"/>
      </tp>
      <tp t="e">
        <v>#N/A</v>
        <stp/>
        <stp>BDH|14287583563596025689</stp>
        <tr r="Y18" s="11"/>
      </tp>
      <tp t="e">
        <v>#N/A</v>
        <stp/>
        <stp>BDH|17462007547564250005</stp>
        <tr r="Z58" s="18"/>
      </tp>
      <tp t="e">
        <v>#N/A</v>
        <stp/>
        <stp>BDH|12826009059738339824</stp>
        <tr r="Q57" s="13"/>
      </tp>
      <tp t="e">
        <v>#N/A</v>
        <stp/>
        <stp>BDH|13870597640777856299</stp>
        <tr r="AA87" s="18"/>
      </tp>
      <tp t="e">
        <v>#N/A</v>
        <stp/>
        <stp>BDH|13408321218716657089</stp>
        <tr r="H25" s="10"/>
        <tr r="J34" s="13"/>
      </tp>
      <tp t="e">
        <v>#N/A</v>
        <stp/>
        <stp>BDH|12184069923982263564</stp>
        <tr r="X15" s="9"/>
      </tp>
      <tp t="e">
        <v>#N/A</v>
        <stp/>
        <stp>BDH|16172873085919022835</stp>
        <tr r="N19" s="9"/>
      </tp>
      <tp t="e">
        <v>#N/A</v>
        <stp/>
        <stp>BDH|13137456466953365510</stp>
        <tr r="N14" s="23"/>
      </tp>
      <tp t="e">
        <v>#N/A</v>
        <stp/>
        <stp>BDH|13457318173678692808</stp>
        <tr r="F43" s="12"/>
      </tp>
      <tp t="e">
        <v>#N/A</v>
        <stp/>
        <stp>BDH|17084079135851043227</stp>
        <tr r="U32" s="21"/>
      </tp>
      <tp t="e">
        <v>#N/A</v>
        <stp/>
        <stp>BDH|18006956645795684760</stp>
        <tr r="K11" s="18"/>
      </tp>
      <tp t="e">
        <v>#N/A</v>
        <stp/>
        <stp>BDH|13632404209824650493</stp>
        <tr r="D6" s="27"/>
      </tp>
      <tp t="e">
        <v>#N/A</v>
        <stp/>
        <stp>BDH|18376711812908560151</stp>
        <tr r="S119" s="18"/>
        <tr r="S7" s="20"/>
      </tp>
      <tp t="e">
        <v>#N/A</v>
        <stp/>
        <stp>BDH|13867175469162686102</stp>
        <tr r="C103" s="12"/>
      </tp>
      <tp t="e">
        <v>#N/A</v>
        <stp/>
        <stp>BDH|16566504601170384473</stp>
        <tr r="R95" s="18"/>
      </tp>
      <tp t="e">
        <v>#N/A</v>
        <stp/>
        <stp>BDH|12028717509333187191</stp>
        <tr r="T85" s="12"/>
      </tp>
      <tp t="e">
        <v>#N/A</v>
        <stp/>
        <stp>BDH|11442688958075758036</stp>
        <tr r="Y172" s="18"/>
      </tp>
      <tp t="e">
        <v>#N/A</v>
        <stp/>
        <stp>BDH|18052173566948540044</stp>
        <tr r="K77" s="12"/>
      </tp>
      <tp t="e">
        <v>#N/A</v>
        <stp/>
        <stp>BDH|13782308051016260448</stp>
        <tr r="Q68" s="13"/>
      </tp>
      <tp t="e">
        <v>#N/A</v>
        <stp/>
        <stp>BDH|14285531576235621417</stp>
        <tr r="T126" s="18"/>
      </tp>
      <tp t="e">
        <v>#N/A</v>
        <stp/>
        <stp>BDH|11084254992675213856</stp>
        <tr r="Y206" s="18"/>
      </tp>
      <tp t="e">
        <v>#N/A</v>
        <stp/>
        <stp>BDH|13663313160894700500</stp>
        <tr r="T70" s="13"/>
      </tp>
      <tp t="e">
        <v>#N/A</v>
        <stp/>
        <stp>BDH|13694664701143483159</stp>
        <tr r="Q33" s="6"/>
      </tp>
      <tp t="e">
        <v>#N/A</v>
        <stp/>
        <stp>BDH|13701064692144797941</stp>
        <tr r="J25" s="18"/>
      </tp>
      <tp t="e">
        <v>#N/A</v>
        <stp/>
        <stp>BDH|12637329787279110724</stp>
        <tr r="D25" s="24"/>
      </tp>
      <tp t="e">
        <v>#N/A</v>
        <stp/>
        <stp>BDH|12758066856750702009</stp>
        <tr r="O53" s="6"/>
      </tp>
      <tp t="e">
        <v>#N/A</v>
        <stp/>
        <stp>BDH|13602277443241294301</stp>
        <tr r="G42" s="10"/>
        <tr r="G32" s="11"/>
      </tp>
      <tp t="e">
        <v>#N/A</v>
        <stp/>
        <stp>BDH|11761040823786689265</stp>
        <tr r="AA46" s="34"/>
      </tp>
      <tp t="e">
        <v>#N/A</v>
        <stp/>
        <stp>BDH|11528533256667486143</stp>
        <tr r="I22" s="24"/>
      </tp>
      <tp t="e">
        <v>#N/A</v>
        <stp/>
        <stp>BDH|10112010255703436119</stp>
        <tr r="W26" s="21"/>
      </tp>
      <tp t="e">
        <v>#N/A</v>
        <stp/>
        <stp>BDH|18228992044982951060</stp>
        <tr r="K64" s="10"/>
      </tp>
      <tp t="e">
        <v>#N/A</v>
        <stp/>
        <stp>BDH|14372009855227370158</stp>
        <tr r="U26" s="17"/>
      </tp>
      <tp t="e">
        <v>#N/A</v>
        <stp/>
        <stp>BDH|17336741000580306744</stp>
        <tr r="AA86" s="12"/>
      </tp>
      <tp t="e">
        <v>#N/A</v>
        <stp/>
        <stp>BDH|17040213847914743219</stp>
        <tr r="W12" s="12"/>
      </tp>
      <tp t="e">
        <v>#N/A</v>
        <stp/>
        <stp>BDH|17247032980101409954</stp>
        <tr r="Q24" s="22"/>
      </tp>
      <tp t="e">
        <v>#N/A</v>
        <stp/>
        <stp>BDH|13181162536447856198</stp>
        <tr r="L22" s="20"/>
      </tp>
      <tp t="e">
        <v>#N/A</v>
        <stp/>
        <stp>BDH|16613200737170845097</stp>
        <tr r="R54" s="18"/>
      </tp>
      <tp t="e">
        <v>#N/A</v>
        <stp/>
        <stp>BDH|10428679195489243148</stp>
        <tr r="Q29" s="12"/>
      </tp>
      <tp t="e">
        <v>#N/A</v>
        <stp/>
        <stp>BDH|15640232470394230374</stp>
        <tr r="E29" s="4"/>
      </tp>
      <tp t="e">
        <v>#N/A</v>
        <stp/>
        <stp>BDH|16134698510446888005</stp>
        <tr r="T33" s="6"/>
      </tp>
      <tp t="e">
        <v>#N/A</v>
        <stp/>
        <stp>BDH|12259975801629649520</stp>
        <tr r="D86" s="17"/>
      </tp>
      <tp t="e">
        <v>#N/A</v>
        <stp/>
        <stp>BDH|13317776893622677814</stp>
        <tr r="G87" s="24"/>
      </tp>
      <tp t="e">
        <v>#N/A</v>
        <stp/>
        <stp>BDH|16361143720767636513</stp>
        <tr r="D16" s="12"/>
      </tp>
      <tp t="e">
        <v>#N/A</v>
        <stp/>
        <stp>BDH|10963148802801666791</stp>
        <tr r="P23" s="5"/>
        <tr r="P23" s="9"/>
      </tp>
      <tp t="e">
        <v>#N/A</v>
        <stp/>
        <stp>BDH|16861398975712486700</stp>
        <tr r="X9" s="28"/>
      </tp>
      <tp t="e">
        <v>#N/A</v>
        <stp/>
        <stp>BDH|18206389103205089992</stp>
        <tr r="P16" s="20"/>
      </tp>
      <tp t="e">
        <v>#N/A</v>
        <stp/>
        <stp>BDH|11641973196741201751</stp>
        <tr r="S93" s="24"/>
      </tp>
      <tp t="e">
        <v>#N/A</v>
        <stp/>
        <stp>BDH|14733574204135417306</stp>
        <tr r="K10" s="18"/>
      </tp>
      <tp t="e">
        <v>#N/A</v>
        <stp/>
        <stp>BDH|14177372014522273306</stp>
        <tr r="I57" s="12"/>
      </tp>
      <tp t="e">
        <v>#N/A</v>
        <stp/>
        <stp>BDH|13976045663555745792</stp>
        <tr r="F22" s="34"/>
      </tp>
      <tp t="e">
        <v>#N/A</v>
        <stp/>
        <stp>BDH|10559254268164986718</stp>
        <tr r="H22" s="21"/>
      </tp>
      <tp t="e">
        <v>#N/A</v>
        <stp/>
        <stp>BDH|11492131539763774798</stp>
        <tr r="W200" s="18"/>
      </tp>
      <tp t="e">
        <v>#N/A</v>
        <stp/>
        <stp>BDH|18098743807248111029</stp>
        <tr r="Z10" s="18"/>
      </tp>
      <tp t="e">
        <v>#N/A</v>
        <stp/>
        <stp>BDH|10730187702813592585</stp>
        <tr r="R25" s="34"/>
      </tp>
      <tp t="e">
        <v>#N/A</v>
        <stp/>
        <stp>BDH|13731899320917855966</stp>
        <tr r="L57" s="24"/>
      </tp>
      <tp t="e">
        <v>#N/A</v>
        <stp/>
        <stp>BDH|10423505437197582669</stp>
        <tr r="N57" s="13"/>
      </tp>
      <tp t="e">
        <v>#N/A</v>
        <stp/>
        <stp>BDH|15962094528655849507</stp>
        <tr r="I9" s="34"/>
      </tp>
      <tp t="e">
        <v>#N/A</v>
        <stp/>
        <stp>BDH|16021097563210267786</stp>
        <tr r="AA85" s="12"/>
      </tp>
      <tp t="e">
        <v>#N/A</v>
        <stp/>
        <stp>BDH|15743153142084832382</stp>
        <tr r="N25" s="24"/>
      </tp>
      <tp t="e">
        <v>#N/A</v>
        <stp/>
        <stp>BDH|12323245246640214336</stp>
        <tr r="G71" s="13"/>
      </tp>
      <tp t="e">
        <v>#N/A</v>
        <stp/>
        <stp>BDH|15885676975952824120</stp>
        <tr r="J46" s="34"/>
      </tp>
      <tp t="e">
        <v>#N/A</v>
        <stp/>
        <stp>BDH|15742361074743309567</stp>
        <tr r="X68" s="12"/>
      </tp>
      <tp t="e">
        <v>#N/A</v>
        <stp/>
        <stp>BDH|11159338206954414100</stp>
        <tr r="Z43" s="18"/>
      </tp>
      <tp t="e">
        <v>#N/A</v>
        <stp/>
        <stp>BDH|11129703903712415362</stp>
        <tr r="F79" s="18"/>
      </tp>
      <tp t="e">
        <v>#N/A</v>
        <stp/>
        <stp>BDH|17146016702533576375</stp>
        <tr r="P31" s="34"/>
      </tp>
      <tp t="e">
        <v>#N/A</v>
        <stp/>
        <stp>BDH|17536583329457614020</stp>
        <tr r="U50" s="24"/>
      </tp>
      <tp t="e">
        <v>#N/A</v>
        <stp/>
        <stp>BDH|16957041471243800543</stp>
        <tr r="W93" s="17"/>
        <tr r="W13" s="28"/>
      </tp>
      <tp t="e">
        <v>#N/A</v>
        <stp/>
        <stp>BDH|13705017837747139006</stp>
        <tr r="Q57" s="11"/>
        <tr r="S15" s="23"/>
      </tp>
      <tp t="e">
        <v>#N/A</v>
        <stp/>
        <stp>BDH|13759261626323220751</stp>
        <tr r="H13" s="11"/>
      </tp>
      <tp t="e">
        <v>#N/A</v>
        <stp/>
        <stp>BDH|14520224639797820567</stp>
        <tr r="V15" s="13"/>
      </tp>
      <tp t="e">
        <v>#N/A</v>
        <stp/>
        <stp>BDH|12992518799098726167</stp>
        <tr r="J94" s="12"/>
      </tp>
      <tp t="e">
        <v>#N/A</v>
        <stp/>
        <stp>BDH|16824198292259255019</stp>
        <tr r="V50" s="24"/>
      </tp>
      <tp t="e">
        <v>#N/A</v>
        <stp/>
        <stp>BDH|15850036419602535172</stp>
        <tr r="L9" s="17"/>
      </tp>
      <tp t="e">
        <v>#N/A</v>
        <stp/>
        <stp>BDH|16370420973693102135</stp>
        <tr r="N39" s="26"/>
      </tp>
      <tp t="e">
        <v>#N/A</v>
        <stp/>
        <stp>BDH|17217784173335967504</stp>
        <tr r="T48" s="13"/>
      </tp>
      <tp t="e">
        <v>#N/A</v>
        <stp/>
        <stp>BDH|18201335404425205975</stp>
        <tr r="K69" s="24"/>
      </tp>
      <tp t="e">
        <v>#N/A</v>
        <stp/>
        <stp>BDH|12372098069471661266</stp>
        <tr r="M32" s="10"/>
        <tr r="O41" s="13"/>
      </tp>
      <tp t="e">
        <v>#N/A</v>
        <stp/>
        <stp>BDH|11760137415730750658</stp>
        <tr r="S18" s="18"/>
      </tp>
      <tp t="e">
        <v>#N/A</v>
        <stp/>
        <stp>BDH|12753817036857090938</stp>
        <tr r="R29" s="22"/>
      </tp>
      <tp t="e">
        <v>#N/A</v>
        <stp/>
        <stp>BDH|11322148965593831297</stp>
        <tr r="J28" s="22"/>
      </tp>
      <tp t="e">
        <v>#N/A</v>
        <stp/>
        <stp>BDH|14677897800803500892</stp>
        <tr r="E24" s="22"/>
      </tp>
      <tp t="e">
        <v>#N/A</v>
        <stp/>
        <stp>BDH|12652172151897643651</stp>
        <tr r="I51" s="13"/>
      </tp>
      <tp t="e">
        <v>#N/A</v>
        <stp/>
        <stp>BDH|18049285501829927431</stp>
        <tr r="K80" s="24"/>
      </tp>
      <tp t="e">
        <v>#N/A</v>
        <stp/>
        <stp>BDH|14406741809627272389</stp>
        <tr r="M40" s="18"/>
      </tp>
      <tp t="e">
        <v>#N/A</v>
        <stp/>
        <stp>BDH|16002346024428239818</stp>
        <tr r="O210" s="18"/>
      </tp>
      <tp t="e">
        <v>#N/A</v>
        <stp/>
        <stp>BDH|17237911485554780526</stp>
        <tr r="J11" s="18"/>
      </tp>
      <tp t="e">
        <v>#N/A</v>
        <stp/>
        <stp>BDH|17385274028400979067</stp>
        <tr r="L77" s="18"/>
      </tp>
      <tp t="e">
        <v>#N/A</v>
        <stp/>
        <stp>BDH|13896780675163578737</stp>
        <tr r="X54" s="17"/>
      </tp>
      <tp t="e">
        <v>#N/A</v>
        <stp/>
        <stp>BDH|12723711274321797466</stp>
        <tr r="O46" s="4"/>
        <tr r="O23" s="10"/>
        <tr r="Q42" s="13"/>
      </tp>
      <tp t="e">
        <v>#N/A</v>
        <stp/>
        <stp>BDH|14124428187329643612</stp>
        <tr r="L81" s="12"/>
      </tp>
      <tp t="e">
        <v>#N/A</v>
        <stp/>
        <stp>BDH|14057265102837663611</stp>
        <tr r="O19" s="30"/>
      </tp>
      <tp t="e">
        <v>#N/A</v>
        <stp/>
        <stp>BDH|17676476907760710429</stp>
        <tr r="R120" s="18"/>
        <tr r="R8" s="20"/>
      </tp>
      <tp t="e">
        <v>#N/A</v>
        <stp/>
        <stp>BDH|14106047361767085276</stp>
        <tr r="M20" s="29"/>
      </tp>
      <tp t="e">
        <v>#N/A</v>
        <stp/>
        <stp>BDH|15912660009590596400</stp>
        <tr r="Q11" s="21"/>
      </tp>
      <tp t="e">
        <v>#N/A</v>
        <stp/>
        <stp>BDH|11849456661236983265</stp>
        <tr r="D156" s="18"/>
      </tp>
      <tp t="e">
        <v>#N/A</v>
        <stp/>
        <stp>BDH|15340934494753535129</stp>
        <tr r="Q35" s="4"/>
      </tp>
      <tp t="e">
        <v>#N/A</v>
        <stp/>
        <stp>BDH|15357138191402537877</stp>
        <tr r="L16" s="14"/>
      </tp>
      <tp t="e">
        <v>#N/A</v>
        <stp/>
        <stp>BDH|10204973693026378168</stp>
        <tr r="P31" s="21"/>
      </tp>
      <tp t="e">
        <v>#N/A</v>
        <stp/>
        <stp>BDH|13794606163442339644</stp>
        <tr r="G14" s="8"/>
      </tp>
      <tp t="e">
        <v>#N/A</v>
        <stp/>
        <stp>BDH|15376868503478661231</stp>
        <tr r="Y76" s="18"/>
      </tp>
      <tp t="e">
        <v>#N/A</v>
        <stp/>
        <stp>BDH|18402554805968049275</stp>
        <tr r="X35" s="18"/>
      </tp>
      <tp t="e">
        <v>#N/A</v>
        <stp/>
        <stp>BDH|13290760400152767102</stp>
        <tr r="V16" s="25"/>
      </tp>
      <tp t="e">
        <v>#N/A</v>
        <stp/>
        <stp>BDH|13326018756391525028</stp>
        <tr r="N10" s="22"/>
      </tp>
      <tp t="e">
        <v>#N/A</v>
        <stp/>
        <stp>BDH|15670045966533704704</stp>
        <tr r="C20" s="18"/>
      </tp>
      <tp t="e">
        <v>#N/A</v>
        <stp/>
        <stp>BDH|11067133257252237057</stp>
        <tr r="M140" s="18"/>
      </tp>
      <tp t="e">
        <v>#N/A</v>
        <stp/>
        <stp>BDH|16500085182648915151</stp>
        <tr r="L59" s="34"/>
      </tp>
      <tp t="e">
        <v>#N/A</v>
        <stp/>
        <stp>BDH|13624035302823197755</stp>
        <tr r="W83" s="17"/>
      </tp>
      <tp t="e">
        <v>#N/A</v>
        <stp/>
        <stp>BDH|14669575993827310829</stp>
        <tr r="U8" s="6"/>
      </tp>
      <tp t="e">
        <v>#N/A</v>
        <stp/>
        <stp>BDH|13306414401311908195</stp>
        <tr r="G18" s="21"/>
      </tp>
      <tp t="e">
        <v>#N/A</v>
        <stp/>
        <stp>BDH|11094820269831074984</stp>
        <tr r="W17" s="6"/>
      </tp>
      <tp t="e">
        <v>#N/A</v>
        <stp/>
        <stp>BDH|12881630401557989404</stp>
        <tr r="G82" s="24"/>
      </tp>
      <tp t="e">
        <v>#N/A</v>
        <stp/>
        <stp>BDH|12499789474767243292</stp>
        <tr r="T22" s="17"/>
      </tp>
      <tp t="e">
        <v>#N/A</v>
        <stp/>
        <stp>BDH|15379591860864987507</stp>
        <tr r="S31" s="29"/>
      </tp>
      <tp t="e">
        <v>#N/A</v>
        <stp/>
        <stp>BDH|16589092077343012588</stp>
        <tr r="W190" s="18"/>
      </tp>
      <tp t="e">
        <v>#N/A</v>
        <stp/>
        <stp>BDH|10686793759971422410</stp>
        <tr r="E37" s="22"/>
      </tp>
      <tp t="e">
        <v>#N/A</v>
        <stp/>
        <stp>BDH|11027326736141334746</stp>
        <tr r="M167" s="18"/>
      </tp>
      <tp t="e">
        <v>#N/A</v>
        <stp/>
        <stp>BDH|11700322431693460535</stp>
        <tr r="G19" s="6"/>
      </tp>
      <tp t="e">
        <v>#N/A</v>
        <stp/>
        <stp>BDH|16059662273926717618</stp>
        <tr r="R193" s="18"/>
      </tp>
      <tp t="e">
        <v>#N/A</v>
        <stp/>
        <stp>BDH|12389456005032299320</stp>
        <tr r="D23" s="13"/>
      </tp>
      <tp t="e">
        <v>#N/A</v>
        <stp/>
        <stp>BDH|17064525471763938191</stp>
        <tr r="Q6" s="19"/>
        <tr r="Q34" s="17"/>
        <tr r="Q16" s="3"/>
      </tp>
      <tp t="e">
        <v>#N/A</v>
        <stp/>
        <stp>BDH|11297522133435799573</stp>
        <tr r="J205" s="18"/>
      </tp>
      <tp t="e">
        <v>#N/A</v>
        <stp/>
        <stp>BDH|16257597251690080199</stp>
        <tr r="H10" s="22"/>
      </tp>
      <tp t="e">
        <v>#N/A</v>
        <stp/>
        <stp>BDH|12828124458454340523</stp>
        <tr r="T44" s="21"/>
      </tp>
      <tp t="e">
        <v>#N/A</v>
        <stp/>
        <stp>BDH|11425726633304526630</stp>
        <tr r="S26" s="17"/>
      </tp>
      <tp t="e">
        <v>#N/A</v>
        <stp/>
        <stp>BDH|17215424466167622533</stp>
        <tr r="E18" s="23"/>
      </tp>
      <tp t="e">
        <v>#N/A</v>
        <stp/>
        <stp>BDH|13255478197978602171</stp>
        <tr r="X176" s="18"/>
      </tp>
      <tp t="e">
        <v>#N/A</v>
        <stp/>
        <stp>BDH|14921615758711607155</stp>
        <tr r="J91" s="17"/>
      </tp>
      <tp t="e">
        <v>#N/A</v>
        <stp/>
        <stp>BDH|13057111704162254745</stp>
        <tr r="G38" s="21"/>
        <tr r="G24" s="3"/>
      </tp>
      <tp t="e">
        <v>#N/A</v>
        <stp/>
        <stp>BDH|12479340733814884183</stp>
        <tr r="P17" s="10"/>
        <tr r="R16" s="13"/>
        <tr r="R30" s="13"/>
      </tp>
      <tp t="e">
        <v>#N/A</v>
        <stp/>
        <stp>BDH|13314623421034169420</stp>
        <tr r="AA26" s="21"/>
      </tp>
      <tp t="e">
        <v>#N/A</v>
        <stp/>
        <stp>BDH|15503143631044221415</stp>
        <tr r="M57" s="13"/>
      </tp>
      <tp t="e">
        <v>#N/A</v>
        <stp/>
        <stp>BDH|18092102499783223495</stp>
        <tr r="S13" s="6"/>
      </tp>
      <tp t="e">
        <v>#N/A</v>
        <stp/>
        <stp>BDH|14629418214956902088</stp>
        <tr r="S93" s="17"/>
        <tr r="S13" s="28"/>
      </tp>
      <tp t="e">
        <v>#N/A</v>
        <stp/>
        <stp>BDH|17268335075876189278</stp>
        <tr r="D20" s="26"/>
      </tp>
      <tp t="e">
        <v>#N/A</v>
        <stp/>
        <stp>BDH|17564066047911317553</stp>
        <tr r="O142" s="18"/>
      </tp>
      <tp t="e">
        <v>#N/A</v>
        <stp/>
        <stp>BDH|12732670924053382251</stp>
        <tr r="X51" s="18"/>
      </tp>
      <tp t="e">
        <v>#N/A</v>
        <stp/>
        <stp>BDH|15778071065705027179</stp>
        <tr r="AA19" s="12"/>
      </tp>
      <tp t="e">
        <v>#N/A</v>
        <stp/>
        <stp>BDH|17547066960802290439</stp>
        <tr r="R84" s="17"/>
      </tp>
      <tp t="e">
        <v>#N/A</v>
        <stp/>
        <stp>BDH|11385534256153329575</stp>
        <tr r="G43" s="6"/>
      </tp>
      <tp t="e">
        <v>#N/A</v>
        <stp/>
        <stp>BDH|16799733918291858667</stp>
        <tr r="R40" s="6"/>
      </tp>
      <tp t="e">
        <v>#N/A</v>
        <stp/>
        <stp>BDH|11162483167860949450</stp>
        <tr r="R63" s="34"/>
      </tp>
      <tp t="e">
        <v>#N/A</v>
        <stp/>
        <stp>BDH|14712503338813979645</stp>
        <tr r="D9" s="2"/>
        <tr r="F8" s="25"/>
        <tr r="C10" s="5"/>
      </tp>
      <tp t="e">
        <v>#N/A</v>
        <stp/>
        <stp>BDH|11709264250445384400</stp>
        <tr r="M37" s="18"/>
      </tp>
      <tp t="e">
        <v>#N/A</v>
        <stp/>
        <stp>BDH|12255772543794182250</stp>
        <tr r="L57" s="13"/>
      </tp>
      <tp t="e">
        <v>#N/A</v>
        <stp/>
        <stp>BDH|12612802697573489776</stp>
        <tr r="AA34" s="14"/>
      </tp>
      <tp t="e">
        <v>#N/A</v>
        <stp/>
        <stp>BDH|11477243941685348509</stp>
        <tr r="P67" s="12"/>
      </tp>
      <tp t="e">
        <v>#N/A</v>
        <stp/>
        <stp>BDH|14241110684033034958</stp>
        <tr r="G12" s="12"/>
      </tp>
      <tp t="e">
        <v>#N/A</v>
        <stp/>
        <stp>BDH|17138690328120181434</stp>
        <tr r="Q17" s="9"/>
      </tp>
      <tp t="e">
        <v>#N/A</v>
        <stp/>
        <stp>BDH|12102536704308688820</stp>
        <tr r="V22" s="27"/>
      </tp>
      <tp t="e">
        <v>#N/A</v>
        <stp/>
        <stp>BDH|18338945614224880391</stp>
        <tr r="O75" s="18"/>
      </tp>
      <tp t="e">
        <v>#N/A</v>
        <stp/>
        <stp>BDH|17226222043846309025</stp>
        <tr r="P38" s="24"/>
      </tp>
      <tp t="e">
        <v>#N/A</v>
        <stp/>
        <stp>BDH|14468036789658439388</stp>
        <tr r="AA38" s="18"/>
      </tp>
      <tp t="e">
        <v>#N/A</v>
        <stp/>
        <stp>BDH|10784490141637528080</stp>
        <tr r="X29" s="13"/>
      </tp>
      <tp t="e">
        <v>#N/A</v>
        <stp/>
        <stp>BDH|13023362420255313070</stp>
        <tr r="P68" s="12"/>
      </tp>
      <tp t="e">
        <v>#N/A</v>
        <stp/>
        <stp>BDH|13602595188019232075</stp>
        <tr r="G137" s="18"/>
      </tp>
      <tp t="e">
        <v>#N/A</v>
        <stp/>
        <stp>BDH|17157434141481051112</stp>
        <tr r="I19" s="20"/>
      </tp>
      <tp t="e">
        <v>#N/A</v>
        <stp/>
        <stp>BDH|17868597554373344344</stp>
        <tr r="X44" s="34"/>
      </tp>
      <tp t="e">
        <v>#N/A</v>
        <stp/>
        <stp>BDH|17831566997469336580</stp>
        <tr r="R27" s="13"/>
      </tp>
      <tp t="e">
        <v>#N/A</v>
        <stp/>
        <stp>BDH|14734441021411736477</stp>
        <tr r="C91" s="12"/>
      </tp>
      <tp t="e">
        <v>#N/A</v>
        <stp/>
        <stp>BDH|16847383440341606745</stp>
        <tr r="C18" s="5"/>
        <tr r="C37" s="6"/>
      </tp>
      <tp t="e">
        <v>#N/A</v>
        <stp/>
        <stp>BDH|13145537668771817604</stp>
        <tr r="R34" s="26"/>
      </tp>
      <tp t="e">
        <v>#N/A</v>
        <stp/>
        <stp>BDH|17303932985578472930</stp>
        <tr r="Z6" s="27"/>
      </tp>
      <tp t="e">
        <v>#N/A</v>
        <stp/>
        <stp>BDH|10209041207571732647</stp>
        <tr r="Z37" s="12"/>
      </tp>
      <tp t="e">
        <v>#N/A</v>
        <stp/>
        <stp>BDH|11828595624640390148</stp>
        <tr r="E39" s="4"/>
        <tr r="E66" s="10"/>
      </tp>
      <tp t="e">
        <v>#N/A</v>
        <stp/>
        <stp>BDH|10043145670049384859</stp>
        <tr r="F41" s="18"/>
      </tp>
      <tp t="e">
        <v>#N/A</v>
        <stp/>
        <stp>BDH|12902838827358993765</stp>
        <tr r="W9" s="10"/>
      </tp>
      <tp t="e">
        <v>#N/A</v>
        <stp/>
        <stp>BDH|13574379055896433412</stp>
        <tr r="X24" s="10"/>
      </tp>
      <tp t="e">
        <v>#N/A</v>
        <stp/>
        <stp>BDH|14410700875113067031</stp>
        <tr r="J173" s="18"/>
      </tp>
      <tp t="e">
        <v>#N/A</v>
        <stp/>
        <stp>BDH|12948260388117333861</stp>
        <tr r="P55" s="13"/>
      </tp>
      <tp t="e">
        <v>#N/A</v>
        <stp/>
        <stp>BDH|15817279710813808257</stp>
        <tr r="N38" s="22"/>
      </tp>
      <tp t="e">
        <v>#N/A</v>
        <stp/>
        <stp>BDH|17520484939311230641</stp>
        <tr r="H43" s="12"/>
      </tp>
      <tp t="e">
        <v>#N/A</v>
        <stp/>
        <stp>BDH|17397076671472042578</stp>
        <tr r="S38" s="4"/>
        <tr r="S56" s="11"/>
        <tr r="U13" s="23"/>
      </tp>
      <tp t="e">
        <v>#N/A</v>
        <stp/>
        <stp>BDH|18100371756878778158</stp>
        <tr r="N28" s="4"/>
      </tp>
      <tp t="e">
        <v>#N/A</v>
        <stp/>
        <stp>BDH|12794769517427457404</stp>
        <tr r="D15" s="25"/>
      </tp>
      <tp t="e">
        <v>#N/A</v>
        <stp/>
        <stp>BDH|18143823820647306225</stp>
        <tr r="U149" s="18"/>
      </tp>
      <tp t="e">
        <v>#N/A</v>
        <stp/>
        <stp>BDH|10701894793693804576</stp>
        <tr r="E67" s="18"/>
      </tp>
      <tp t="e">
        <v>#N/A</v>
        <stp/>
        <stp>BDH|17641563397329560506</stp>
        <tr r="Q110" s="18"/>
      </tp>
      <tp t="e">
        <v>#N/A</v>
        <stp/>
        <stp>BDH|11119978474259194169</stp>
        <tr r="G12" s="24"/>
      </tp>
      <tp t="e">
        <v>#N/A</v>
        <stp/>
        <stp>BDH|13186264240046054422</stp>
        <tr r="U155" s="18"/>
      </tp>
      <tp t="e">
        <v>#N/A</v>
        <stp/>
        <stp>BDH|13020506548213984645</stp>
        <tr r="H101" s="18"/>
      </tp>
      <tp t="e">
        <v>#N/A</v>
        <stp/>
        <stp>BDH|13230141232155504348</stp>
        <tr r="L39" s="4"/>
        <tr r="L66" s="10"/>
      </tp>
      <tp t="e">
        <v>#N/A</v>
        <stp/>
        <stp>BDH|15198465760809380916</stp>
        <tr r="Y9" s="22"/>
      </tp>
      <tp t="e">
        <v>#N/A</v>
        <stp/>
        <stp>BDH|14041246535942408001</stp>
        <tr r="M48" s="22"/>
      </tp>
      <tp t="e">
        <v>#N/A</v>
        <stp/>
        <stp>BDH|10090018901804213372</stp>
        <tr r="C25" s="26"/>
      </tp>
      <tp t="e">
        <v>#N/A</v>
        <stp/>
        <stp>BDH|10576970381077186175</stp>
        <tr r="U66" s="18"/>
      </tp>
      <tp t="e">
        <v>#N/A</v>
        <stp/>
        <stp>BDH|15449727856846634632</stp>
        <tr r="K37" s="10"/>
        <tr r="K27" s="11"/>
        <tr r="M46" s="13"/>
      </tp>
      <tp t="e">
        <v>#N/A</v>
        <stp/>
        <stp>BDH|16295867280535205431</stp>
        <tr r="V57" s="34"/>
      </tp>
      <tp t="e">
        <v>#N/A</v>
        <stp/>
        <stp>BDH|11750253562436596401</stp>
        <tr r="S45" s="22"/>
      </tp>
      <tp t="e">
        <v>#N/A</v>
        <stp/>
        <stp>BDH|13385454550085568060</stp>
        <tr r="K81" s="12"/>
      </tp>
      <tp t="e">
        <v>#N/A</v>
        <stp/>
        <stp>BDH|14181070769576962331</stp>
        <tr r="O124" s="18"/>
        <tr r="O13" s="20"/>
      </tp>
      <tp t="e">
        <v>#N/A</v>
        <stp/>
        <stp>BDH|14338855196754513609</stp>
        <tr r="K106" s="18"/>
      </tp>
      <tp t="e">
        <v>#N/A</v>
        <stp/>
        <stp>BDH|13111019627147753155</stp>
        <tr r="P13" s="24"/>
      </tp>
      <tp t="e">
        <v>#N/A</v>
        <stp/>
        <stp>BDH|12104152121541064709</stp>
        <tr r="O43" s="17"/>
      </tp>
      <tp t="e">
        <v>#N/A</v>
        <stp/>
        <stp>BDH|10094355372174004725</stp>
        <tr r="Y6" s="28"/>
      </tp>
      <tp t="e">
        <v>#N/A</v>
        <stp/>
        <stp>BDH|16343212425452195333</stp>
        <tr r="C44" s="34"/>
      </tp>
      <tp t="e">
        <v>#N/A</v>
        <stp/>
        <stp>BDH|14862350030950083388</stp>
        <tr r="T73" s="24"/>
      </tp>
      <tp t="e">
        <v>#N/A</v>
        <stp/>
        <stp>BDH|10947353029242424448</stp>
        <tr r="Q38" s="17"/>
      </tp>
      <tp t="e">
        <v>#N/A</v>
        <stp/>
        <stp>BDH|15213198330669621982</stp>
        <tr r="E181" s="18"/>
      </tp>
      <tp t="e">
        <v>#N/A</v>
        <stp/>
        <stp>BDH|14646000417662587015</stp>
        <tr r="Y93" s="24"/>
      </tp>
      <tp t="e">
        <v>#N/A</v>
        <stp/>
        <stp>BDH|17122711565954309534</stp>
        <tr r="S25" s="3"/>
      </tp>
      <tp t="e">
        <v>#N/A</v>
        <stp/>
        <stp>BDH|12880721648760257655</stp>
        <tr r="F14" s="34"/>
      </tp>
      <tp t="e">
        <v>#N/A</v>
        <stp/>
        <stp>BDH|12488448875656239028</stp>
        <tr r="M68" s="18"/>
      </tp>
      <tp t="e">
        <v>#N/A</v>
        <stp/>
        <stp>BDH|16313238676386766241</stp>
        <tr r="J86" s="17"/>
      </tp>
      <tp t="e">
        <v>#N/A</v>
        <stp/>
        <stp>BDH|12432071956271446149</stp>
        <tr r="V11" s="24"/>
      </tp>
      <tp t="e">
        <v>#N/A</v>
        <stp/>
        <stp>BDH|16002849800390457952</stp>
        <tr r="D88" s="17"/>
      </tp>
      <tp t="e">
        <v>#N/A</v>
        <stp/>
        <stp>BDH|11453532317957327561</stp>
        <tr r="S121" s="18"/>
        <tr r="S9" s="20"/>
      </tp>
      <tp t="e">
        <v>#N/A</v>
        <stp/>
        <stp>BDH|12701397826466997246</stp>
        <tr r="Y161" s="18"/>
      </tp>
      <tp t="e">
        <v>#N/A</v>
        <stp/>
        <stp>BDH|17595155204548259930</stp>
        <tr r="E17" s="29"/>
        <tr r="E40" s="29"/>
      </tp>
      <tp t="e">
        <v>#N/A</v>
        <stp/>
        <stp>BDH|18415798155178579583</stp>
        <tr r="E35" s="6"/>
      </tp>
      <tp t="e">
        <v>#N/A</v>
        <stp/>
        <stp>BDH|13911156675824963655</stp>
        <tr r="D65" s="18"/>
      </tp>
      <tp t="e">
        <v>#N/A</v>
        <stp/>
        <stp>BDH|17041209922302253258</stp>
        <tr r="W178" s="18"/>
      </tp>
      <tp t="e">
        <v>#N/A</v>
        <stp/>
        <stp>BDH|13063558589921175883</stp>
        <tr r="T7" s="2"/>
        <tr r="S7" s="5"/>
        <tr r="S7" s="9"/>
        <tr r="V14" s="3"/>
      </tp>
      <tp t="e">
        <v>#N/A</v>
        <stp/>
        <stp>BDH|17653535198605822907</stp>
        <tr r="U32" s="17"/>
      </tp>
      <tp t="e">
        <v>#N/A</v>
        <stp/>
        <stp>BDH|10617733820353603163</stp>
        <tr r="V7" s="17"/>
      </tp>
      <tp t="e">
        <v>#N/A</v>
        <stp/>
        <stp>BDH|12470452955252546641</stp>
        <tr r="S79" s="24"/>
      </tp>
      <tp t="e">
        <v>#N/A</v>
        <stp/>
        <stp>BDH|16864000344997144289</stp>
        <tr r="P42" s="34"/>
      </tp>
      <tp t="e">
        <v>#N/A</v>
        <stp/>
        <stp>BDH|17015742714555074353</stp>
        <tr r="D68" s="17"/>
      </tp>
      <tp t="e">
        <v>#N/A</v>
        <stp/>
        <stp>BDH|11608512584733457821</stp>
        <tr r="W31" s="34"/>
      </tp>
      <tp t="e">
        <v>#N/A</v>
        <stp/>
        <stp>BDH|11977544034008408883</stp>
        <tr r="J30" s="26"/>
      </tp>
      <tp t="e">
        <v>#N/A</v>
        <stp/>
        <stp>BDH|16265374842236657045</stp>
        <tr r="I68" s="12"/>
      </tp>
      <tp t="e">
        <v>#N/A</v>
        <stp/>
        <stp>BDH|14425422651561501375</stp>
        <tr r="L35" s="34"/>
      </tp>
      <tp t="e">
        <v>#N/A</v>
        <stp/>
        <stp>BDH|17555522150028230804</stp>
        <tr r="V17" s="21"/>
      </tp>
      <tp t="e">
        <v>#N/A</v>
        <stp/>
        <stp>BDH|10272610625745400670</stp>
        <tr r="M68" s="10"/>
      </tp>
      <tp t="e">
        <v>#N/A</v>
        <stp/>
        <stp>BDH|15369953525190020961</stp>
        <tr r="U67" s="21"/>
      </tp>
      <tp t="e">
        <v>#N/A</v>
        <stp/>
        <stp>BDH|12535192112442816733</stp>
        <tr r="F30" s="12"/>
      </tp>
      <tp t="e">
        <v>#N/A</v>
        <stp/>
        <stp>BDH|12097238056646813480</stp>
        <tr r="Z31" s="21"/>
      </tp>
      <tp t="e">
        <v>#N/A</v>
        <stp/>
        <stp>BDH|17758326456333279542</stp>
        <tr r="N16" s="11"/>
      </tp>
      <tp t="e">
        <v>#N/A</v>
        <stp/>
        <stp>BDH|13479542936335750746</stp>
        <tr r="AA85" s="17"/>
      </tp>
      <tp t="e">
        <v>#N/A</v>
        <stp/>
        <stp>BDH|12541574367157928197</stp>
        <tr r="S104" s="18"/>
      </tp>
      <tp t="e">
        <v>#N/A</v>
        <stp/>
        <stp>BDH|18429903259453871006</stp>
        <tr r="K18" s="17"/>
      </tp>
      <tp t="e">
        <v>#N/A</v>
        <stp/>
        <stp>BDH|12620841362503729820</stp>
        <tr r="Q29" s="18"/>
      </tp>
      <tp t="e">
        <v>#N/A</v>
        <stp/>
        <stp>BDH|14641479792909072767</stp>
        <tr r="R34" s="5"/>
        <tr r="T32" s="29"/>
      </tp>
      <tp t="e">
        <v>#N/A</v>
        <stp/>
        <stp>BDH|14115760712454124113</stp>
        <tr r="U11" s="17"/>
      </tp>
      <tp t="e">
        <v>#N/A</v>
        <stp/>
        <stp>BDH|12684176374523278037</stp>
        <tr r="K160" s="18"/>
      </tp>
      <tp t="e">
        <v>#N/A</v>
        <stp/>
        <stp>BDH|14690155551982785516</stp>
        <tr r="L15" s="10"/>
      </tp>
      <tp t="e">
        <v>#N/A</v>
        <stp/>
        <stp>BDH|11813478135122638381</stp>
        <tr r="R8" s="11"/>
      </tp>
      <tp t="e">
        <v>#N/A</v>
        <stp/>
        <stp>BDH|13784773957162129422</stp>
        <tr r="I24" s="24"/>
      </tp>
      <tp t="e">
        <v>#N/A</v>
        <stp/>
        <stp>BDH|14523545809491810748</stp>
        <tr r="N16" s="22"/>
      </tp>
      <tp t="e">
        <v>#N/A</v>
        <stp/>
        <stp>BDH|16923142519192080301</stp>
        <tr r="C21" s="27"/>
      </tp>
      <tp t="e">
        <v>#N/A</v>
        <stp/>
        <stp>BDH|18366196628924058864</stp>
        <tr r="R33" s="9"/>
      </tp>
      <tp t="e">
        <v>#N/A</v>
        <stp/>
        <stp>BDH|11859014628670691431</stp>
        <tr r="I17" s="29"/>
        <tr r="I40" s="29"/>
      </tp>
      <tp t="e">
        <v>#N/A</v>
        <stp/>
        <stp>BDH|11671074814105693274</stp>
        <tr r="W18" s="24"/>
      </tp>
      <tp t="e">
        <v>#N/A</v>
        <stp/>
        <stp>BDH|13914286465044683460</stp>
        <tr r="E18" s="14"/>
      </tp>
      <tp t="e">
        <v>#N/A</v>
        <stp/>
        <stp>BDH|11219932173880176873</stp>
        <tr r="M79" s="18"/>
      </tp>
      <tp t="e">
        <v>#N/A</v>
        <stp/>
        <stp>BDH|14097703307527025332</stp>
        <tr r="W30" s="25"/>
        <tr r="W16" s="27"/>
      </tp>
      <tp t="e">
        <v>#N/A</v>
        <stp/>
        <stp>BDH|12258455916748680831</stp>
        <tr r="U35" s="18"/>
      </tp>
      <tp t="e">
        <v>#N/A</v>
        <stp/>
        <stp>BDH|16890065708686106737</stp>
        <tr r="X59" s="34"/>
      </tp>
      <tp t="e">
        <v>#N/A</v>
        <stp/>
        <stp>BDH|14699410022676748366</stp>
        <tr r="V11" s="29"/>
      </tp>
      <tp t="e">
        <v>#N/A</v>
        <stp/>
        <stp>BDH|16082726147375320723</stp>
        <tr r="AA78" s="34"/>
      </tp>
      <tp t="e">
        <v>#N/A</v>
        <stp/>
        <stp>BDH|12527483669616639167</stp>
        <tr r="P14" s="28"/>
      </tp>
      <tp t="e">
        <v>#N/A</v>
        <stp/>
        <stp>BDH|11100207474614927780</stp>
        <tr r="J17" s="30"/>
      </tp>
      <tp t="e">
        <v>#N/A</v>
        <stp/>
        <stp>BDH|10175505944511361723</stp>
        <tr r="P19" s="17"/>
      </tp>
      <tp t="e">
        <v>#N/A</v>
        <stp/>
        <stp>BDH|16604593818124531161</stp>
        <tr r="C23" s="17"/>
      </tp>
      <tp t="e">
        <v>#N/A</v>
        <stp/>
        <stp>BDH|17969638237053866618</stp>
        <tr r="G59" s="24"/>
      </tp>
      <tp t="e">
        <v>#N/A</v>
        <stp/>
        <stp>BDH|15954333634585312795</stp>
        <tr r="Y22" s="17"/>
      </tp>
      <tp t="e">
        <v>#N/A</v>
        <stp/>
        <stp>BDH|18271586831249775083</stp>
        <tr r="K13" s="24"/>
      </tp>
      <tp t="e">
        <v>#N/A</v>
        <stp/>
        <stp>BDH|16264237006817791447</stp>
        <tr r="G90" s="17"/>
        <tr r="G34" s="25"/>
      </tp>
      <tp t="e">
        <v>#N/A</v>
        <stp/>
        <stp>BDH|15133072026397234767</stp>
        <tr r="I24" s="12"/>
      </tp>
      <tp t="e">
        <v>#N/A</v>
        <stp/>
        <stp>BDH|16996156375592987544</stp>
        <tr r="R33" s="12"/>
      </tp>
      <tp t="e">
        <v>#N/A</v>
        <stp/>
        <stp>BDH|16117045341184356136</stp>
        <tr r="E6" s="19"/>
        <tr r="E34" s="17"/>
        <tr r="E16" s="3"/>
      </tp>
      <tp t="e">
        <v>#N/A</v>
        <stp/>
        <stp>BDH|16563290741020176787</stp>
        <tr r="R7" s="30"/>
      </tp>
      <tp t="e">
        <v>#N/A</v>
        <stp/>
        <stp>BDH|12105759735895703424</stp>
        <tr r="G24" s="2"/>
      </tp>
      <tp t="e">
        <v>#N/A</v>
        <stp/>
        <stp>BDH|15349854126908453009</stp>
        <tr r="N23" s="22"/>
      </tp>
      <tp t="e">
        <v>#N/A</v>
        <stp/>
        <stp>BDH|17724632327184364042</stp>
        <tr r="D9" s="26"/>
      </tp>
      <tp t="e">
        <v>#N/A</v>
        <stp/>
        <stp>BDH|15725255637215766666</stp>
        <tr r="L170" s="18"/>
      </tp>
      <tp t="e">
        <v>#N/A</v>
        <stp/>
        <stp>BDH|16780322425352755238</stp>
        <tr r="H17" s="34"/>
      </tp>
      <tp t="e">
        <v>#N/A</v>
        <stp/>
        <stp>BDH|10307449336096551637</stp>
        <tr r="R24" s="14"/>
      </tp>
      <tp t="e">
        <v>#N/A</v>
        <stp/>
        <stp>BDH|14623738818063385698</stp>
        <tr r="Y68" s="17"/>
        <tr r="V8" s="5"/>
        <tr r="V8" s="9"/>
      </tp>
      <tp t="e">
        <v>#N/A</v>
        <stp/>
        <stp>BDH|15187797803573433683</stp>
        <tr r="Q57" s="12"/>
      </tp>
      <tp t="e">
        <v>#N/A</v>
        <stp/>
        <stp>BDH|15877660247160750099</stp>
        <tr r="R46" s="4"/>
        <tr r="R23" s="10"/>
        <tr r="T42" s="13"/>
      </tp>
      <tp t="e">
        <v>#N/A</v>
        <stp/>
        <stp>BDH|11465752493441587902</stp>
        <tr r="Z46" s="17"/>
      </tp>
      <tp t="e">
        <v>#N/A</v>
        <stp/>
        <stp>BDH|15738189619741236337</stp>
        <tr r="I84" s="24"/>
      </tp>
      <tp t="e">
        <v>#N/A</v>
        <stp/>
        <stp>BDH|13546812244120275859</stp>
        <tr r="AA15" s="17"/>
        <tr r="AA18" s="28"/>
      </tp>
      <tp t="e">
        <v>#N/A</v>
        <stp/>
        <stp>BDH|14798504250962958199</stp>
        <tr r="F167" s="18"/>
      </tp>
      <tp t="e">
        <v>#N/A</v>
        <stp/>
        <stp>BDH|14653731412815171013</stp>
        <tr r="Z82" s="18"/>
      </tp>
      <tp t="e">
        <v>#N/A</v>
        <stp/>
        <stp>BDH|17612022796941470815</stp>
        <tr r="F88" s="18"/>
      </tp>
      <tp t="e">
        <v>#N/A</v>
        <stp/>
        <stp>BDH|14063628143852097367</stp>
        <tr r="J18" s="11"/>
      </tp>
      <tp t="e">
        <v>#N/A</v>
        <stp/>
        <stp>BDH|15286788034062090491</stp>
        <tr r="G8" s="34"/>
      </tp>
      <tp t="e">
        <v>#N/A</v>
        <stp/>
        <stp>BDH|17565027795348535109</stp>
        <tr r="U49" s="12"/>
      </tp>
      <tp t="e">
        <v>#N/A</v>
        <stp/>
        <stp>BDH|18268224794785245119</stp>
        <tr r="K33" s="9"/>
      </tp>
      <tp t="e">
        <v>#N/A</v>
        <stp/>
        <stp>BDH|16336178889740274884</stp>
        <tr r="L127" s="18"/>
      </tp>
      <tp t="e">
        <v>#N/A</v>
        <stp/>
        <stp>BDH|10426472364490024509</stp>
        <tr r="V46" s="12"/>
      </tp>
      <tp t="e">
        <v>#N/A</v>
        <stp/>
        <stp>BDH|11040788208352001370</stp>
        <tr r="F27" s="25"/>
        <tr r="F13" s="27"/>
      </tp>
      <tp t="e">
        <v>#N/A</v>
        <stp/>
        <stp>BDH|15452204903815325535</stp>
        <tr r="C20" s="29"/>
      </tp>
      <tp t="e">
        <v>#N/A</v>
        <stp/>
        <stp>BDH|12580432070996542049</stp>
        <tr r="AA79" s="24"/>
      </tp>
      <tp t="e">
        <v>#N/A</v>
        <stp/>
        <stp>BDH|13024755834413046369</stp>
        <tr r="J139" s="18"/>
      </tp>
      <tp t="e">
        <v>#N/A</v>
        <stp/>
        <stp>BDH|10176103133552589704</stp>
        <tr r="I41" s="17"/>
        <tr r="I9" s="25"/>
      </tp>
      <tp t="e">
        <v>#N/A</v>
        <stp/>
        <stp>BDH|17495572029522870554</stp>
        <tr r="G60" s="21"/>
        <tr r="E53" s="11"/>
      </tp>
      <tp t="e">
        <v>#N/A</v>
        <stp/>
        <stp>BDH|17081790412084871243</stp>
        <tr r="T53" s="13"/>
      </tp>
      <tp t="e">
        <v>#N/A</v>
        <stp/>
        <stp>BDH|12356151876894097779</stp>
        <tr r="S77" s="34"/>
      </tp>
      <tp t="e">
        <v>#N/A</v>
        <stp/>
        <stp>BDH|16318111761304275267</stp>
        <tr r="P132" s="18"/>
      </tp>
      <tp t="e">
        <v>#N/A</v>
        <stp/>
        <stp>BDH|12691909788434002097</stp>
        <tr r="D160" s="18"/>
      </tp>
      <tp t="e">
        <v>#N/A</v>
        <stp/>
        <stp>BDH|17096077453924511165</stp>
        <tr r="J10" s="23"/>
      </tp>
      <tp t="e">
        <v>#N/A</v>
        <stp/>
        <stp>BDH|18059141345272321856</stp>
        <tr r="L19" s="26"/>
      </tp>
      <tp t="e">
        <v>#N/A</v>
        <stp/>
        <stp>BDH|18259665666098678735</stp>
        <tr r="T41" s="24"/>
      </tp>
      <tp t="e">
        <v>#N/A</v>
        <stp/>
        <stp>BDH|11097392532532888444</stp>
        <tr r="O39" s="10"/>
        <tr r="O29" s="11"/>
      </tp>
      <tp t="e">
        <v>#N/A</v>
        <stp/>
        <stp>BDH|16890778492059819622</stp>
        <tr r="F65" s="13"/>
      </tp>
      <tp t="e">
        <v>#N/A</v>
        <stp/>
        <stp>BDH|11546546265665173021</stp>
        <tr r="T27" s="34"/>
      </tp>
      <tp t="e">
        <v>#N/A</v>
        <stp/>
        <stp>BDH|16977697331971331558</stp>
        <tr r="C32" s="9"/>
      </tp>
      <tp t="e">
        <v>#N/A</v>
        <stp/>
        <stp>BDH|10469081399247270903</stp>
        <tr r="U86" s="12"/>
      </tp>
      <tp t="e">
        <v>#N/A</v>
        <stp/>
        <stp>BDH|10567718389371849928</stp>
        <tr r="F153" s="18"/>
      </tp>
      <tp t="e">
        <v>#N/A</v>
        <stp/>
        <stp>BDH|16094867796967552723</stp>
        <tr r="U17" s="17"/>
        <tr r="U20" s="28"/>
      </tp>
      <tp t="e">
        <v>#N/A</v>
        <stp/>
        <stp>BDH|17223802166497376903</stp>
        <tr r="G94" s="24"/>
      </tp>
      <tp t="e">
        <v>#N/A</v>
        <stp/>
        <stp>BDH|16490301944271486732</stp>
        <tr r="F160" s="18"/>
      </tp>
      <tp t="e">
        <v>#N/A</v>
        <stp/>
        <stp>BDH|10609107911263975492</stp>
        <tr r="T69" s="17"/>
      </tp>
      <tp t="e">
        <v>#N/A</v>
        <stp/>
        <stp>BDH|11533461687339694358</stp>
        <tr r="I77" s="17"/>
        <tr r="I19" s="3"/>
      </tp>
      <tp t="e">
        <v>#N/A</v>
        <stp/>
        <stp>BDH|14462140547424508255</stp>
        <tr r="G20" s="17"/>
      </tp>
      <tp t="e">
        <v>#N/A</v>
        <stp/>
        <stp>BDH|13864440911195831423</stp>
        <tr r="Q34" s="9"/>
      </tp>
      <tp t="e">
        <v>#N/A</v>
        <stp/>
        <stp>BDH|15977684440744000463</stp>
        <tr r="C62" s="13"/>
      </tp>
      <tp t="e">
        <v>#N/A</v>
        <stp/>
        <stp>BDH|13266092075086153587</stp>
        <tr r="N23" s="21"/>
      </tp>
      <tp t="e">
        <v>#N/A</v>
        <stp/>
        <stp>BDH|14918577047401832367</stp>
        <tr r="G62" s="12"/>
      </tp>
      <tp t="e">
        <v>#N/A</v>
        <stp/>
        <stp>BDH|18114704592138665924</stp>
        <tr r="AA203" s="18"/>
      </tp>
      <tp t="e">
        <v>#N/A</v>
        <stp/>
        <stp>BDH|16655434791875397906</stp>
        <tr r="N13" s="17"/>
        <tr r="N16" s="28"/>
      </tp>
      <tp t="e">
        <v>#N/A</v>
        <stp/>
        <stp>BDH|13231358627997017276</stp>
        <tr r="S17" s="22"/>
      </tp>
      <tp t="e">
        <v>#N/A</v>
        <stp/>
        <stp>BDH|11313106327320069537</stp>
        <tr r="P73" s="24"/>
      </tp>
      <tp t="e">
        <v>#N/A</v>
        <stp/>
        <stp>BDH|16380678561573250204</stp>
        <tr r="Y72" s="34"/>
      </tp>
      <tp t="e">
        <v>#N/A</v>
        <stp/>
        <stp>BDH|17520022357835182064</stp>
        <tr r="O146" s="18"/>
      </tp>
      <tp t="e">
        <v>#N/A</v>
        <stp/>
        <stp>BDH|10459743347201963589</stp>
        <tr r="U105" s="12"/>
      </tp>
      <tp t="e">
        <v>#N/A</v>
        <stp/>
        <stp>BDH|10252176853757477448</stp>
        <tr r="E26" s="26"/>
      </tp>
      <tp t="e">
        <v>#N/A</v>
        <stp/>
        <stp>BDH|14100052030810716050</stp>
        <tr r="V211" s="18"/>
      </tp>
      <tp t="e">
        <v>#N/A</v>
        <stp/>
        <stp>BDH|12545379309453802552</stp>
        <tr r="X67" s="18"/>
      </tp>
      <tp t="e">
        <v>#N/A</v>
        <stp/>
        <stp>BDH|11173329736725034331</stp>
        <tr r="D30" s="22"/>
      </tp>
      <tp t="e">
        <v>#N/A</v>
        <stp/>
        <stp>BDH|13584018004931015563</stp>
        <tr r="J21" s="5"/>
      </tp>
      <tp t="e">
        <v>#N/A</v>
        <stp/>
        <stp>BDH|15417816701293195936</stp>
        <tr r="P7" s="4"/>
      </tp>
      <tp t="e">
        <v>#N/A</v>
        <stp/>
        <stp>BDH|16309620253810025240</stp>
        <tr r="N12" s="12"/>
      </tp>
      <tp t="e">
        <v>#N/A</v>
        <stp/>
        <stp>BDH|10412110836790257579</stp>
        <tr r="N47" s="10"/>
        <tr r="N37" s="11"/>
      </tp>
      <tp t="e">
        <v>#N/A</v>
        <stp/>
        <stp>BDH|10601634132025086716</stp>
        <tr r="Z35" s="14"/>
      </tp>
      <tp t="e">
        <v>#N/A</v>
        <stp/>
        <stp>BDH|12498384148690037222</stp>
        <tr r="X24" s="22"/>
      </tp>
      <tp t="e">
        <v>#N/A</v>
        <stp/>
        <stp>BDH|14183413972518547812</stp>
        <tr r="H174" s="18"/>
      </tp>
      <tp t="e">
        <v>#N/A</v>
        <stp/>
        <stp>BDH|12420009896554343872</stp>
        <tr r="K50" s="17"/>
      </tp>
      <tp t="e">
        <v>#N/A</v>
        <stp/>
        <stp>BDH|14067325819368593986</stp>
        <tr r="H78" s="18"/>
      </tp>
      <tp t="e">
        <v>#N/A</v>
        <stp/>
        <stp>BDH|12792964785244481068</stp>
        <tr r="G14" s="12"/>
      </tp>
      <tp t="e">
        <v>#N/A</v>
        <stp/>
        <stp>BDH|10576519362631829587</stp>
        <tr r="N66" s="17"/>
      </tp>
      <tp t="e">
        <v>#N/A</v>
        <stp/>
        <stp>BDH|11828112419411798710</stp>
        <tr r="T14" s="6"/>
      </tp>
      <tp t="e">
        <v>#N/A</v>
        <stp/>
        <stp>BDH|14613544756984158734</stp>
        <tr r="N54" s="18"/>
      </tp>
      <tp t="e">
        <v>#N/A</v>
        <stp/>
        <stp>BDH|12066963590341280423</stp>
        <tr r="T40" s="10"/>
        <tr r="T30" s="11"/>
      </tp>
      <tp t="e">
        <v>#N/A</v>
        <stp/>
        <stp>BDH|18265818850612647030</stp>
        <tr r="E32" s="24"/>
      </tp>
      <tp t="e">
        <v>#N/A</v>
        <stp/>
        <stp>BDH|16663481314174493083</stp>
        <tr r="E48" s="24"/>
      </tp>
      <tp t="e">
        <v>#N/A</v>
        <stp/>
        <stp>BDH|13786968076458095211</stp>
        <tr r="Z16" s="26"/>
      </tp>
      <tp t="e">
        <v>#N/A</v>
        <stp/>
        <stp>BDH|17405683255935937665</stp>
        <tr r="Z202" s="18"/>
      </tp>
      <tp t="e">
        <v>#N/A</v>
        <stp/>
        <stp>BDH|12921761639848431944</stp>
        <tr r="C32" s="22"/>
      </tp>
      <tp t="e">
        <v>#N/A</v>
        <stp/>
        <stp>BDH|11799469678460865571</stp>
        <tr r="L34" s="21"/>
      </tp>
      <tp t="e">
        <v>#N/A</v>
        <stp/>
        <stp>BDH|11835419959730077769</stp>
        <tr r="P25" s="13"/>
      </tp>
      <tp t="e">
        <v>#N/A</v>
        <stp/>
        <stp>BDH|10972912127299031597</stp>
        <tr r="E38" s="24"/>
      </tp>
      <tp t="e">
        <v>#N/A</v>
        <stp/>
        <stp>BDH|11243874357348621322</stp>
        <tr r="P45" s="18"/>
      </tp>
      <tp t="e">
        <v>#N/A</v>
        <stp/>
        <stp>BDH|14563281339225346712</stp>
        <tr r="V67" s="13"/>
      </tp>
      <tp t="e">
        <v>#N/A</v>
        <stp/>
        <stp>BDH|14720833299694309684</stp>
        <tr r="H32" s="18"/>
      </tp>
      <tp t="e">
        <v>#N/A</v>
        <stp/>
        <stp>BDH|13663627924382149274</stp>
        <tr r="T48" s="24"/>
      </tp>
      <tp t="e">
        <v>#N/A</v>
        <stp/>
        <stp>BDH|18155426509108434383</stp>
        <tr r="AA127" s="18"/>
      </tp>
      <tp t="e">
        <v>#N/A</v>
        <stp/>
        <stp>BDH|14163246720550666351</stp>
        <tr r="H6" s="19"/>
        <tr r="H34" s="17"/>
        <tr r="H16" s="3"/>
      </tp>
      <tp t="e">
        <v>#N/A</v>
        <stp/>
        <stp>BDH|14741212622916597574</stp>
        <tr r="H161" s="18"/>
      </tp>
      <tp t="e">
        <v>#N/A</v>
        <stp/>
        <stp>BDH|16552951125759608352</stp>
        <tr r="F53" s="21"/>
      </tp>
      <tp t="e">
        <v>#N/A</v>
        <stp/>
        <stp>BDH|16196545701361381516</stp>
        <tr r="Z45" s="17"/>
      </tp>
      <tp t="e">
        <v>#N/A</v>
        <stp/>
        <stp>BDH|13118936180705521012</stp>
        <tr r="L51" s="34"/>
      </tp>
      <tp t="e">
        <v>#N/A</v>
        <stp/>
        <stp>BDH|10381909341928215269</stp>
        <tr r="O90" s="18"/>
      </tp>
      <tp t="e">
        <v>#N/A</v>
        <stp/>
        <stp>BDH|11609152960479602836</stp>
        <tr r="C9" s="2"/>
        <tr r="E8" s="25"/>
      </tp>
      <tp t="e">
        <v>#N/A</v>
        <stp/>
        <stp>BDH|14033655469263257081</stp>
        <tr r="U61" s="18"/>
      </tp>
      <tp t="e">
        <v>#N/A</v>
        <stp/>
        <stp>BDH|17792856176999361617</stp>
        <tr r="I56" s="12"/>
      </tp>
      <tp t="e">
        <v>#N/A</v>
        <stp/>
        <stp>BDH|16715518375411630239</stp>
        <tr r="C46" s="34"/>
      </tp>
      <tp t="e">
        <v>#N/A</v>
        <stp/>
        <stp>BDH|18117735477848721749</stp>
        <tr r="L27" s="17"/>
      </tp>
      <tp t="e">
        <v>#N/A</v>
        <stp/>
        <stp>BDH|17649170346397083218</stp>
        <tr r="J56" s="13"/>
      </tp>
      <tp t="e">
        <v>#N/A</v>
        <stp/>
        <stp>BDH|15727365402833783220</stp>
        <tr r="N63" s="24"/>
      </tp>
      <tp t="e">
        <v>#N/A</v>
        <stp/>
        <stp>BDH|17653335428708988929</stp>
        <tr r="C41" s="12"/>
      </tp>
      <tp t="e">
        <v>#N/A</v>
        <stp/>
        <stp>BDH|11328122807412343536</stp>
        <tr r="K11" s="3"/>
        <tr r="I50" s="10"/>
        <tr r="I40" s="11"/>
        <tr r="I8" s="7"/>
      </tp>
      <tp t="e">
        <v>#N/A</v>
        <stp/>
        <stp>BDH|12206026786355998899</stp>
        <tr r="U33" s="22"/>
      </tp>
      <tp t="e">
        <v>#N/A</v>
        <stp/>
        <stp>BDH|15042735491535131952</stp>
        <tr r="T25" s="27"/>
      </tp>
      <tp t="e">
        <v>#N/A</v>
        <stp/>
        <stp>BDH|11680448251505434212</stp>
        <tr r="J17" s="23"/>
      </tp>
      <tp t="e">
        <v>#N/A</v>
        <stp/>
        <stp>BDH|15192347467442484506</stp>
        <tr r="U70" s="10"/>
        <tr r="U60" s="11"/>
        <tr r="U20" s="7"/>
      </tp>
      <tp t="e">
        <v>#N/A</v>
        <stp/>
        <stp>BDH|16451576570027219489</stp>
        <tr r="N10" s="24"/>
      </tp>
      <tp t="e">
        <v>#N/A</v>
        <stp/>
        <stp>BDH|12380596043574086008</stp>
        <tr r="I18" s="18"/>
      </tp>
      <tp t="e">
        <v>#N/A</v>
        <stp/>
        <stp>BDH|14296436589868954789</stp>
        <tr r="F83" s="18"/>
      </tp>
      <tp t="e">
        <v>#N/A</v>
        <stp/>
        <stp>BDH|17737314153930538694</stp>
        <tr r="Y18" s="18"/>
      </tp>
      <tp t="e">
        <v>#N/A</v>
        <stp/>
        <stp>BDH|12646421518477405718</stp>
        <tr r="N13" s="2"/>
      </tp>
      <tp t="e">
        <v>#N/A</v>
        <stp/>
        <stp>BDH|13494351492559939736</stp>
        <tr r="N12" s="13"/>
      </tp>
      <tp t="e">
        <v>#N/A</v>
        <stp/>
        <stp>BDH|13000940592402946668</stp>
        <tr r="Y29" s="29"/>
        <tr r="Y7" s="29"/>
      </tp>
      <tp t="e">
        <v>#N/A</v>
        <stp/>
        <stp>BDH|12637768179075147010</stp>
        <tr r="D40" s="22"/>
      </tp>
      <tp t="e">
        <v>#N/A</v>
        <stp/>
        <stp>BDH|15283585532044433051</stp>
        <tr r="K14" s="22"/>
      </tp>
      <tp t="e">
        <v>#N/A</v>
        <stp/>
        <stp>BDH|12988557014342652377</stp>
        <tr r="T163" s="18"/>
      </tp>
      <tp t="e">
        <v>#N/A</v>
        <stp/>
        <stp>BDH|16279242549343589430</stp>
        <tr r="E28" s="17"/>
      </tp>
      <tp t="e">
        <v>#N/A</v>
        <stp/>
        <stp>BDH|14924958623569176176</stp>
        <tr r="O52" s="6"/>
      </tp>
      <tp t="e">
        <v>#N/A</v>
        <stp/>
        <stp>BDH|15889160176110024416</stp>
        <tr r="T55" s="24"/>
      </tp>
      <tp t="e">
        <v>#N/A</v>
        <stp/>
        <stp>BDH|14126374018683357248</stp>
        <tr r="M39" s="10"/>
        <tr r="M29" s="11"/>
      </tp>
      <tp t="e">
        <v>#N/A</v>
        <stp/>
        <stp>BDH|16611157059124389102</stp>
        <tr r="F36" s="18"/>
      </tp>
      <tp t="e">
        <v>#N/A</v>
        <stp/>
        <stp>BDH|12657043108947541266</stp>
        <tr r="G16" s="17"/>
        <tr r="G19" s="28"/>
      </tp>
      <tp t="e">
        <v>#N/A</v>
        <stp/>
        <stp>BDH|16407168588350224814</stp>
        <tr r="X15" s="26"/>
      </tp>
      <tp t="e">
        <v>#N/A</v>
        <stp/>
        <stp>BDH|10165058373290801060</stp>
        <tr r="V13" s="9"/>
      </tp>
      <tp t="e">
        <v>#N/A</v>
        <stp/>
        <stp>BDH|14732603348881542030</stp>
        <tr r="W9" s="30"/>
      </tp>
      <tp t="e">
        <v>#N/A</v>
        <stp/>
        <stp>BDH|13225128536066860070</stp>
        <tr r="U76" s="34"/>
      </tp>
      <tp t="e">
        <v>#N/A</v>
        <stp/>
        <stp>BDH|12949262606324912397</stp>
        <tr r="M12" s="11"/>
      </tp>
      <tp t="e">
        <v>#N/A</v>
        <stp/>
        <stp>BDH|12875133985084002877</stp>
        <tr r="F44" s="6"/>
      </tp>
      <tp t="e">
        <v>#N/A</v>
        <stp/>
        <stp>BDH|10796768079403913486</stp>
        <tr r="P52" s="18"/>
      </tp>
      <tp t="e">
        <v>#N/A</v>
        <stp/>
        <stp>BDH|13109666627112028297</stp>
        <tr r="C6" s="8"/>
      </tp>
      <tp t="e">
        <v>#N/A</v>
        <stp/>
        <stp>BDH|10329210870542836036</stp>
        <tr r="K57" s="18"/>
      </tp>
      <tp t="e">
        <v>#N/A</v>
        <stp/>
        <stp>BDH|16879566111643677601</stp>
        <tr r="K146" s="18"/>
      </tp>
      <tp t="e">
        <v>#N/A</v>
        <stp/>
        <stp>BDH|14190995690390860399</stp>
        <tr r="D45" s="24"/>
      </tp>
      <tp t="e">
        <v>#N/A</v>
        <stp/>
        <stp>BDH|16363504010354379191</stp>
        <tr r="Y11" s="28"/>
      </tp>
      <tp t="e">
        <v>#N/A</v>
        <stp/>
        <stp>BDH|17552648261449181986</stp>
        <tr r="R125" s="18"/>
        <tr r="R14" s="20"/>
      </tp>
      <tp t="e">
        <v>#N/A</v>
        <stp/>
        <stp>BDH|13548096031982657529</stp>
        <tr r="F39" s="6"/>
      </tp>
      <tp t="e">
        <v>#N/A</v>
        <stp/>
        <stp>BDH|14170495007755219242</stp>
        <tr r="W31" s="10"/>
        <tr r="Y40" s="13"/>
      </tp>
      <tp t="e">
        <v>#N/A</v>
        <stp/>
        <stp>BDH|17152746904646176194</stp>
        <tr r="C194" s="18"/>
      </tp>
      <tp t="e">
        <v>#N/A</v>
        <stp/>
        <stp>BDH|13809403566506696019</stp>
        <tr r="S69" s="17"/>
      </tp>
      <tp t="e">
        <v>#N/A</v>
        <stp/>
        <stp>BDH|10808210530760167614</stp>
        <tr r="T33" s="21"/>
      </tp>
      <tp t="e">
        <v>#N/A</v>
        <stp/>
        <stp>BDH|18280579818258464300</stp>
        <tr r="L14" s="11"/>
      </tp>
      <tp t="e">
        <v>#N/A</v>
        <stp/>
        <stp>BDH|15002284807283378354</stp>
        <tr r="Y35" s="21"/>
      </tp>
      <tp t="e">
        <v>#N/A</v>
        <stp/>
        <stp>BDH|15935037071050564577</stp>
        <tr r="X16" s="34"/>
      </tp>
      <tp t="e">
        <v>#N/A</v>
        <stp/>
        <stp>BDH|16521731861698988879</stp>
        <tr r="R81" s="18"/>
      </tp>
      <tp t="e">
        <v>#N/A</v>
        <stp/>
        <stp>BDH|17522500559315673532</stp>
        <tr r="K29" s="34"/>
      </tp>
      <tp t="e">
        <v>#N/A</v>
        <stp/>
        <stp>BDH|15025647619961286460</stp>
        <tr r="C132" s="18"/>
      </tp>
      <tp t="e">
        <v>#N/A</v>
        <stp/>
        <stp>BDH|17694104229680451335</stp>
        <tr r="O37" s="22"/>
      </tp>
      <tp t="e">
        <v>#N/A</v>
        <stp/>
        <stp>BDH|11594245754489875854</stp>
        <tr r="K74" s="18"/>
      </tp>
      <tp t="e">
        <v>#N/A</v>
        <stp/>
        <stp>BDH|17947872712228066149</stp>
        <tr r="P98" s="18"/>
      </tp>
      <tp t="e">
        <v>#N/A</v>
        <stp/>
        <stp>BDH|12312272518910381679</stp>
        <tr r="R22" s="7"/>
      </tp>
      <tp t="e">
        <v>#N/A</v>
        <stp/>
        <stp>BDH|12982356291487268877</stp>
        <tr r="T123" s="18"/>
        <tr r="T12" s="20"/>
      </tp>
      <tp t="e">
        <v>#N/A</v>
        <stp/>
        <stp>BDH|16196587791778256527</stp>
        <tr r="M38" s="34"/>
      </tp>
      <tp t="e">
        <v>#N/A</v>
        <stp/>
        <stp>BDH|11505697989639996142</stp>
        <tr r="G191" s="18"/>
      </tp>
      <tp t="e">
        <v>#N/A</v>
        <stp/>
        <stp>BDH|16480484500042111757</stp>
        <tr r="AA52" s="17"/>
        <tr r="AA10" s="25"/>
      </tp>
      <tp t="e">
        <v>#N/A</v>
        <stp/>
        <stp>BDH|16048151613336872768</stp>
        <tr r="M38" s="24"/>
      </tp>
      <tp t="e">
        <v>#N/A</v>
        <stp/>
        <stp>BDH|17816376725733186231</stp>
        <tr r="S89" s="12"/>
      </tp>
      <tp t="e">
        <v>#N/A</v>
        <stp/>
        <stp>BDH|10804912448889962303</stp>
        <tr r="X16" s="29"/>
        <tr r="X39" s="29"/>
      </tp>
      <tp t="e">
        <v>#N/A</v>
        <stp/>
        <stp>BDH|14034330222764095692</stp>
        <tr r="H86" s="17"/>
      </tp>
      <tp t="e">
        <v>#N/A</v>
        <stp/>
        <stp>BDH|16551519765120061295</stp>
        <tr r="K30" s="5"/>
        <tr r="K30" s="9"/>
      </tp>
      <tp t="e">
        <v>#N/A</v>
        <stp/>
        <stp>BDH|15230517937034806049</stp>
        <tr r="J33" s="17"/>
      </tp>
      <tp t="e">
        <v>#N/A</v>
        <stp/>
        <stp>BDH|11118106298646454859</stp>
        <tr r="R26" s="27"/>
      </tp>
      <tp t="e">
        <v>#N/A</v>
        <stp/>
        <stp>BDH|11251142005934202393</stp>
        <tr r="K73" s="24"/>
      </tp>
      <tp t="e">
        <v>#N/A</v>
        <stp/>
        <stp>BDH|12654708856186867107</stp>
        <tr r="K17" s="13"/>
      </tp>
      <tp t="e">
        <v>#N/A</v>
        <stp/>
        <stp>BDH|10156166886557923908</stp>
        <tr r="C8" s="3"/>
        <tr r="C45" s="13"/>
      </tp>
      <tp t="e">
        <v>#N/A</v>
        <stp/>
        <stp>BDH|15068269661915785382</stp>
        <tr r="K16" s="14"/>
      </tp>
      <tp t="e">
        <v>#N/A</v>
        <stp/>
        <stp>BDH|13334529028957163409</stp>
        <tr r="O183" s="18"/>
      </tp>
      <tp t="e">
        <v>#N/A</v>
        <stp/>
        <stp>BDH|14038420339184492078</stp>
        <tr r="O44" s="34"/>
      </tp>
      <tp t="e">
        <v>#N/A</v>
        <stp/>
        <stp>BDH|17524513768814491702</stp>
        <tr r="V9" s="18"/>
      </tp>
      <tp t="e">
        <v>#N/A</v>
        <stp/>
        <stp>BDH|12452295902032735502</stp>
        <tr r="Z84" s="24"/>
      </tp>
      <tp t="e">
        <v>#N/A</v>
        <stp/>
        <stp>BDH|16592763880327981920</stp>
        <tr r="V18" s="17"/>
      </tp>
      <tp t="e">
        <v>#N/A</v>
        <stp/>
        <stp>BDH|14382479444040918311</stp>
        <tr r="C85" s="12"/>
      </tp>
      <tp t="e">
        <v>#N/A</v>
        <stp/>
        <stp>BDH|12162490370506058006</stp>
        <tr r="V49" s="24"/>
      </tp>
      <tp t="e">
        <v>#N/A</v>
        <stp/>
        <stp>BDH|10891723462155422349</stp>
        <tr r="J25" s="26"/>
      </tp>
      <tp t="e">
        <v>#N/A</v>
        <stp/>
        <stp>BDH|15868472734770000534</stp>
        <tr r="Q36" s="34"/>
      </tp>
      <tp t="e">
        <v>#N/A</v>
        <stp/>
        <stp>BDH|12939534427360340267</stp>
        <tr r="U39" s="34"/>
      </tp>
      <tp t="e">
        <v>#N/A</v>
        <stp/>
        <stp>BDH|12683770701991137395</stp>
        <tr r="AA19" s="18"/>
      </tp>
      <tp t="e">
        <v>#N/A</v>
        <stp/>
        <stp>BDH|11945005740506817492</stp>
        <tr r="T28" s="13"/>
      </tp>
      <tp t="e">
        <v>#N/A</v>
        <stp/>
        <stp>BDH|10716906788742639415</stp>
        <tr r="Q54" s="24"/>
      </tp>
      <tp t="e">
        <v>#N/A</v>
        <stp/>
        <stp>BDH|14672314537123828004</stp>
        <tr r="AA35" s="26"/>
      </tp>
      <tp t="e">
        <v>#N/A</v>
        <stp/>
        <stp>BDH|10313091920063732657</stp>
        <tr r="X21" s="17"/>
        <tr r="X15" s="3"/>
      </tp>
      <tp t="e">
        <v>#N/A</v>
        <stp/>
        <stp>BDH|15912670039493873476</stp>
        <tr r="Q18" s="26"/>
      </tp>
      <tp t="e">
        <v>#N/A</v>
        <stp/>
        <stp>BDH|17792888595089722868</stp>
        <tr r="S27" s="24"/>
      </tp>
      <tp t="e">
        <v>#N/A</v>
        <stp/>
        <stp>BDH|12158749120240922077</stp>
        <tr r="W33" s="14"/>
      </tp>
      <tp t="e">
        <v>#N/A</v>
        <stp/>
        <stp>BDH|14589512013597555091</stp>
        <tr r="K72" s="13"/>
      </tp>
      <tp t="e">
        <v>#N/A</v>
        <stp/>
        <stp>BDH|16542201756373054588</stp>
        <tr r="C14" s="29"/>
        <tr r="C23" s="29"/>
        <tr r="C37" s="29"/>
      </tp>
      <tp t="e">
        <v>#N/A</v>
        <stp/>
        <stp>BDH|13482919293961829550</stp>
        <tr r="E122" s="18"/>
        <tr r="E11" s="20"/>
      </tp>
      <tp t="e">
        <v>#N/A</v>
        <stp/>
        <stp>BDH|15508096047244981295</stp>
        <tr r="W25" s="3"/>
      </tp>
      <tp t="e">
        <v>#N/A</v>
        <stp/>
        <stp>BDH|13010415539010698354</stp>
        <tr r="K21" s="5"/>
      </tp>
      <tp t="e">
        <v>#N/A</v>
        <stp/>
        <stp>BDH|12486535511037449690</stp>
        <tr r="N12" s="10"/>
      </tp>
      <tp t="e">
        <v>#N/A</v>
        <stp/>
        <stp>BDH|16421615818186185076</stp>
        <tr r="U141" s="18"/>
      </tp>
      <tp t="e">
        <v>#N/A</v>
        <stp/>
        <stp>BDH|18393900698409223627</stp>
        <tr r="D89" s="12"/>
      </tp>
      <tp t="e">
        <v>#N/A</v>
        <stp/>
        <stp>BDH|11133739499470061800</stp>
        <tr r="C179" s="18"/>
      </tp>
      <tp t="e">
        <v>#N/A</v>
        <stp/>
        <stp>BDH|13765259367603696388</stp>
        <tr r="N16" s="20"/>
      </tp>
      <tp t="e">
        <v>#N/A</v>
        <stp/>
        <stp>BDH|12169064539263589500</stp>
        <tr r="G31" s="22"/>
      </tp>
      <tp t="e">
        <v>#N/A</v>
        <stp/>
        <stp>BDH|13802408883391100913</stp>
        <tr r="Z87" s="17"/>
      </tp>
      <tp t="e">
        <v>#N/A</v>
        <stp/>
        <stp>BDH|12977006564033003069</stp>
        <tr r="K84" s="17"/>
      </tp>
      <tp t="e">
        <v>#N/A</v>
        <stp/>
        <stp>BDH|12640188948194463494</stp>
        <tr r="H10" s="11"/>
      </tp>
      <tp t="e">
        <v>#N/A</v>
        <stp/>
        <stp>BDH|17906218193122814985</stp>
        <tr r="T196" s="18"/>
      </tp>
      <tp t="e">
        <v>#N/A</v>
        <stp/>
        <stp>BDH|16169751986936111882</stp>
        <tr r="W65" s="17"/>
      </tp>
      <tp t="e">
        <v>#N/A</v>
        <stp/>
        <stp>BDH|15899254517003960287</stp>
        <tr r="J37" s="10"/>
        <tr r="J27" s="11"/>
        <tr r="L46" s="13"/>
      </tp>
      <tp t="e">
        <v>#N/A</v>
        <stp/>
        <stp>BDH|12768645649612285531</stp>
        <tr r="M19" s="34"/>
      </tp>
      <tp t="e">
        <v>#N/A</v>
        <stp/>
        <stp>BDH|14335890894806729425</stp>
        <tr r="L130" s="18"/>
      </tp>
      <tp t="e">
        <v>#N/A</v>
        <stp/>
        <stp>BDH|10291528606746432499</stp>
        <tr r="U73" s="13"/>
      </tp>
      <tp t="e">
        <v>#N/A</v>
        <stp/>
        <stp>BDH|10392789863156353007</stp>
        <tr r="C63" s="17"/>
      </tp>
      <tp t="e">
        <v>#N/A</v>
        <stp/>
        <stp>BDH|15719316622064802774</stp>
        <tr r="O30" s="10"/>
        <tr r="Q39" s="13"/>
      </tp>
      <tp t="e">
        <v>#N/A</v>
        <stp/>
        <stp>BDH|10368926658632654941</stp>
        <tr r="D41" s="18"/>
      </tp>
      <tp t="e">
        <v>#N/A</v>
        <stp/>
        <stp>BDH|15184205397381546888</stp>
        <tr r="H17" s="5"/>
        <tr r="H32" s="6"/>
      </tp>
      <tp t="e">
        <v>#N/A</v>
        <stp/>
        <stp>BDH|10635079812027899101</stp>
        <tr r="S16" s="29"/>
        <tr r="S39" s="29"/>
      </tp>
      <tp t="e">
        <v>#N/A</v>
        <stp/>
        <stp>BDH|12933850457001297928</stp>
        <tr r="L10" s="4"/>
        <tr r="K6" s="16"/>
        <tr r="N6" s="3"/>
        <tr r="L6" s="11"/>
      </tp>
      <tp t="e">
        <v>#N/A</v>
        <stp/>
        <stp>BDH|14020592517016406111</stp>
        <tr r="E149" s="18"/>
      </tp>
      <tp t="e">
        <v>#N/A</v>
        <stp/>
        <stp>BDH|15170657834550901725</stp>
        <tr r="Q21" s="22"/>
      </tp>
      <tp t="e">
        <v>#N/A</v>
        <stp/>
        <stp>BDH|17594510703891562497</stp>
        <tr r="W29" s="10"/>
        <tr r="Y38" s="13"/>
      </tp>
      <tp t="e">
        <v>#N/A</v>
        <stp/>
        <stp>BDH|13457269207945634386</stp>
        <tr r="T70" s="24"/>
      </tp>
      <tp t="e">
        <v>#N/A</v>
        <stp/>
        <stp>BDH|15916473792317427834</stp>
        <tr r="X51" s="17"/>
        <tr r="X17" s="3"/>
      </tp>
      <tp t="e">
        <v>#N/A</v>
        <stp/>
        <stp>BDH|11874512336182054247</stp>
        <tr r="V35" s="25"/>
      </tp>
      <tp t="e">
        <v>#N/A</v>
        <stp/>
        <stp>BDH|17187647378141338058</stp>
        <tr r="U7" s="2"/>
        <tr r="T7" s="5"/>
        <tr r="T7" s="9"/>
        <tr r="W14" s="3"/>
      </tp>
      <tp t="e">
        <v>#N/A</v>
        <stp/>
        <stp>BDH|16654831299429217954</stp>
        <tr r="N62" s="13"/>
      </tp>
      <tp t="e">
        <v>#N/A</v>
        <stp/>
        <stp>BDH|10160479838839209973</stp>
        <tr r="W162" s="18"/>
      </tp>
      <tp t="e">
        <v>#N/A</v>
        <stp/>
        <stp>BDH|16184353377283871615</stp>
        <tr r="L47" s="12"/>
      </tp>
      <tp t="e">
        <v>#N/A</v>
        <stp/>
        <stp>BDH|15478971742659922629</stp>
        <tr r="V161" s="18"/>
      </tp>
      <tp t="e">
        <v>#N/A</v>
        <stp/>
        <stp>BDH|14927888525100813961</stp>
        <tr r="Z35" s="21"/>
      </tp>
      <tp t="e">
        <v>#N/A</v>
        <stp/>
        <stp>BDH|17073407818467177239</stp>
        <tr r="D26" s="17"/>
      </tp>
      <tp t="e">
        <v>#N/A</v>
        <stp/>
        <stp>BDH|11083326075407870557</stp>
        <tr r="F207" s="18"/>
      </tp>
      <tp t="e">
        <v>#N/A</v>
        <stp/>
        <stp>BDH|14306569245774801624</stp>
        <tr r="Q15" s="12"/>
      </tp>
      <tp t="e">
        <v>#N/A</v>
        <stp/>
        <stp>BDH|13985272802021434720</stp>
        <tr r="L7" s="24"/>
      </tp>
      <tp t="e">
        <v>#N/A</v>
        <stp/>
        <stp>BDH|10697657225054478781</stp>
        <tr r="O27" s="10"/>
        <tr r="Q36" s="13"/>
      </tp>
      <tp t="e">
        <v>#N/A</v>
        <stp/>
        <stp>BDH|12352733266886932255</stp>
        <tr r="D31" s="5"/>
      </tp>
      <tp t="e">
        <v>#N/A</v>
        <stp/>
        <stp>BDH|16353958826463887929</stp>
        <tr r="V27" s="10"/>
        <tr r="X36" s="13"/>
      </tp>
      <tp t="e">
        <v>#N/A</v>
        <stp/>
        <stp>BDH|16166334784938545297</stp>
        <tr r="L22" s="30"/>
        <tr r="L24" s="23"/>
      </tp>
      <tp t="e">
        <v>#N/A</v>
        <stp/>
        <stp>BDH|10752128119040734716</stp>
        <tr r="I97" s="18"/>
      </tp>
      <tp t="e">
        <v>#N/A</v>
        <stp/>
        <stp>BDH|14569791083044297871</stp>
        <tr r="T68" s="18"/>
      </tp>
      <tp t="e">
        <v>#N/A</v>
        <stp/>
        <stp>BDH|10276105279315791467</stp>
        <tr r="O177" s="18"/>
      </tp>
      <tp t="e">
        <v>#N/A</v>
        <stp/>
        <stp>BDH|12757388055963115016</stp>
        <tr r="P30" s="5"/>
        <tr r="P30" s="9"/>
      </tp>
      <tp t="e">
        <v>#N/A</v>
        <stp/>
        <stp>BDH|13538393575490216016</stp>
        <tr r="T49" s="13"/>
      </tp>
      <tp t="e">
        <v>#N/A</v>
        <stp/>
        <stp>BDH|14328114293488330382</stp>
        <tr r="F13" s="10"/>
      </tp>
      <tp t="e">
        <v>#N/A</v>
        <stp/>
        <stp>BDH|13683998665282221922</stp>
        <tr r="E66" s="12"/>
      </tp>
      <tp t="e">
        <v>#N/A</v>
        <stp/>
        <stp>BDH|11342765040110937561</stp>
        <tr r="T78" s="12"/>
      </tp>
      <tp t="e">
        <v>#N/A</v>
        <stp/>
        <stp>BDH|11762145068757516647</stp>
        <tr r="N29" s="18"/>
      </tp>
      <tp t="e">
        <v>#N/A</v>
        <stp/>
        <stp>BDH|16112318513275911608</stp>
        <tr r="Q70" s="17"/>
      </tp>
      <tp t="e">
        <v>#N/A</v>
        <stp/>
        <stp>BDH|10853000180476675944</stp>
        <tr r="L32" s="22"/>
      </tp>
      <tp t="e">
        <v>#N/A</v>
        <stp/>
        <stp>BDH|14935005713845684764</stp>
        <tr r="X89" s="17"/>
      </tp>
      <tp t="e">
        <v>#N/A</v>
        <stp/>
        <stp>BDH|14942624630516847093</stp>
        <tr r="L20" s="17"/>
      </tp>
      <tp t="e">
        <v>#N/A</v>
        <stp/>
        <stp>BDH|16873530882348510464</stp>
        <tr r="E36" s="21"/>
      </tp>
      <tp t="e">
        <v>#N/A</v>
        <stp/>
        <stp>BDH|10151849040902868972</stp>
        <tr r="I40" s="17"/>
      </tp>
      <tp t="e">
        <v>#N/A</v>
        <stp/>
        <stp>BDH|11542564559187873186</stp>
        <tr r="W54" s="13"/>
      </tp>
      <tp t="e">
        <v>#N/A</v>
        <stp/>
        <stp>BDH|16303028787791865849</stp>
        <tr r="S171" s="18"/>
      </tp>
      <tp t="e">
        <v>#N/A</v>
        <stp/>
        <stp>BDH|14664686847591662053</stp>
        <tr r="T13" s="18"/>
      </tp>
      <tp t="e">
        <v>#N/A</v>
        <stp/>
        <stp>BDH|12876004898665816923</stp>
        <tr r="T94" s="24"/>
      </tp>
      <tp t="e">
        <v>#N/A</v>
        <stp/>
        <stp>BDH|17989345154436271019</stp>
        <tr r="O40" s="24"/>
      </tp>
      <tp t="e">
        <v>#N/A</v>
        <stp/>
        <stp>BDH|16692635238876220251</stp>
        <tr r="H57" s="17"/>
      </tp>
      <tp t="e">
        <v>#N/A</v>
        <stp/>
        <stp>BDH|12062011472045900700</stp>
        <tr r="V99" s="12"/>
      </tp>
      <tp t="e">
        <v>#N/A</v>
        <stp/>
        <stp>BDH|16172764309280247663</stp>
        <tr r="Y22" s="10"/>
      </tp>
      <tp t="e">
        <v>#N/A</v>
        <stp/>
        <stp>BDH|10919473462686715313</stp>
        <tr r="R141" s="18"/>
      </tp>
      <tp t="e">
        <v>#N/A</v>
        <stp/>
        <stp>BDH|16541407149000660103</stp>
        <tr r="S42" s="17"/>
      </tp>
      <tp t="e">
        <v>#N/A</v>
        <stp/>
        <stp>BDH|10024574949371334773</stp>
        <tr r="T18" s="34"/>
      </tp>
      <tp t="e">
        <v>#N/A</v>
        <stp/>
        <stp>BDH|15887298522697002593</stp>
        <tr r="W13" s="30"/>
      </tp>
      <tp t="e">
        <v>#N/A</v>
        <stp/>
        <stp>BDH|10964285643990860109</stp>
        <tr r="P73" s="18"/>
      </tp>
      <tp t="e">
        <v>#N/A</v>
        <stp/>
        <stp>BDH|15504935598820608228</stp>
        <tr r="F23" s="14"/>
      </tp>
      <tp t="e">
        <v>#N/A</v>
        <stp/>
        <stp>BDH|13045541210545657580</stp>
        <tr r="I25" s="2"/>
        <tr r="K62" s="21"/>
      </tp>
      <tp t="e">
        <v>#N/A</v>
        <stp/>
        <stp>BDH|13261421879354018330</stp>
        <tr r="H8" s="14"/>
      </tp>
      <tp t="e">
        <v>#N/A</v>
        <stp/>
        <stp>BDH|16168680862764108505</stp>
        <tr r="J13" s="9"/>
      </tp>
      <tp t="e">
        <v>#N/A</v>
        <stp/>
        <stp>BDH|16553082832347227572</stp>
        <tr r="I52" s="17"/>
        <tr r="I10" s="25"/>
      </tp>
      <tp t="e">
        <v>#N/A</v>
        <stp/>
        <stp>BDH|14295859497404915631</stp>
        <tr r="E31" s="10"/>
        <tr r="G40" s="13"/>
      </tp>
      <tp t="e">
        <v>#N/A</v>
        <stp/>
        <stp>BDH|17135521237541947708</stp>
        <tr r="V91" s="18"/>
      </tp>
      <tp t="e">
        <v>#N/A</v>
        <stp/>
        <stp>BDH|17187253279834217129</stp>
        <tr r="F11" s="7"/>
      </tp>
      <tp t="e">
        <v>#N/A</v>
        <stp/>
        <stp>BDH|17848440375974427705</stp>
        <tr r="Y39" s="4"/>
        <tr r="Y66" s="10"/>
      </tp>
      <tp t="e">
        <v>#N/A</v>
        <stp/>
        <stp>BDH|15604203836912519181</stp>
        <tr r="H11" s="3"/>
        <tr r="F50" s="10"/>
        <tr r="F40" s="11"/>
        <tr r="F8" s="7"/>
      </tp>
      <tp t="e">
        <v>#N/A</v>
        <stp/>
        <stp>BDH|17961861023863323927</stp>
        <tr r="G79" s="12"/>
      </tp>
      <tp t="e">
        <v>#N/A</v>
        <stp/>
        <stp>BDH|15660605219086482362</stp>
        <tr r="T69" s="13"/>
      </tp>
      <tp t="e">
        <v>#N/A</v>
        <stp/>
        <stp>BDH|14768499062719589849</stp>
        <tr r="N22" s="18"/>
      </tp>
      <tp t="e">
        <v>#N/A</v>
        <stp/>
        <stp>BDH|15523390343251095420</stp>
        <tr r="Y30" s="22"/>
      </tp>
      <tp t="e">
        <v>#N/A</v>
        <stp/>
        <stp>BDH|11128065041382287094</stp>
        <tr r="W11" s="13"/>
      </tp>
      <tp t="e">
        <v>#N/A</v>
        <stp/>
        <stp>BDH|10580714465276453083</stp>
        <tr r="K28" s="26"/>
      </tp>
      <tp t="e">
        <v>#N/A</v>
        <stp/>
        <stp>BDH|13352338739954693025</stp>
        <tr r="C18" s="23"/>
      </tp>
      <tp t="e">
        <v>#N/A</v>
        <stp/>
        <stp>BDH|11584936490225350381</stp>
        <tr r="K178" s="18"/>
      </tp>
      <tp t="e">
        <v>#N/A</v>
        <stp/>
        <stp>BDH|18136282205825168800</stp>
        <tr r="J19" s="17"/>
      </tp>
      <tp t="e">
        <v>#N/A</v>
        <stp/>
        <stp>BDH|17080495395389991488</stp>
        <tr r="L30" s="26"/>
      </tp>
      <tp t="e">
        <v>#N/A</v>
        <stp/>
        <stp>BDH|11017932122625583892</stp>
        <tr r="J25" s="21"/>
      </tp>
      <tp t="e">
        <v>#N/A</v>
        <stp/>
        <stp>BDH|16015488838515811353</stp>
        <tr r="Q29" s="34"/>
      </tp>
      <tp t="e">
        <v>#N/A</v>
        <stp/>
        <stp>BDH|15454453597488246798</stp>
        <tr r="O9" s="12"/>
      </tp>
      <tp t="e">
        <v>#N/A</v>
        <stp/>
        <stp>BDH|12781691950595164324</stp>
        <tr r="E28" s="6"/>
      </tp>
      <tp t="e">
        <v>#N/A</v>
        <stp/>
        <stp>BDH|13410284044020334268</stp>
        <tr r="O17" s="23"/>
      </tp>
      <tp t="e">
        <v>#N/A</v>
        <stp/>
        <stp>BDH|10339289032625708332</stp>
        <tr r="E143" s="18"/>
      </tp>
      <tp t="e">
        <v>#N/A</v>
        <stp/>
        <stp>BDH|10085794817735632455</stp>
        <tr r="W91" s="24"/>
      </tp>
      <tp t="e">
        <v>#N/A</v>
        <stp/>
        <stp>BDH|18149650623163912839</stp>
        <tr r="H32" s="24"/>
      </tp>
      <tp t="e">
        <v>#N/A</v>
        <stp/>
        <stp>BDH|10434097850192280020</stp>
        <tr r="G24" s="29"/>
      </tp>
      <tp t="e">
        <v>#N/A</v>
        <stp/>
        <stp>BDH|12892461720667543467</stp>
        <tr r="F122" s="18"/>
        <tr r="F11" s="20"/>
      </tp>
      <tp t="e">
        <v>#N/A</v>
        <stp/>
        <stp>BDH|12287462598581851996</stp>
        <tr r="N49" s="12"/>
      </tp>
      <tp t="e">
        <v>#N/A</v>
        <stp/>
        <stp>BDH|11838315115491366528</stp>
        <tr r="P42" s="21"/>
      </tp>
      <tp t="e">
        <v>#N/A</v>
        <stp/>
        <stp>BDH|10516319668201932385</stp>
        <tr r="T79" s="24"/>
      </tp>
      <tp t="e">
        <v>#N/A</v>
        <stp/>
        <stp>BDH|11077700469767339070</stp>
        <tr r="J67" s="18"/>
      </tp>
      <tp t="e">
        <v>#N/A</v>
        <stp/>
        <stp>BDH|11139492761187320371</stp>
        <tr r="W20" s="26"/>
      </tp>
      <tp t="e">
        <v>#N/A</v>
        <stp/>
        <stp>BDH|14201108215966279584</stp>
        <tr r="J25" s="6"/>
      </tp>
      <tp t="e">
        <v>#N/A</v>
        <stp/>
        <stp>BDH|12279685354856401078</stp>
        <tr r="U57" s="13"/>
      </tp>
      <tp t="e">
        <v>#N/A</v>
        <stp/>
        <stp>BDH|13635247348962265059</stp>
        <tr r="Q33" s="18"/>
      </tp>
      <tp t="e">
        <v>#N/A</v>
        <stp/>
        <stp>BDH|16925682225363874616</stp>
        <tr r="S67" s="21"/>
      </tp>
      <tp t="e">
        <v>#N/A</v>
        <stp/>
        <stp>BDH|13819431965306126023</stp>
        <tr r="K12" s="13"/>
      </tp>
      <tp t="e">
        <v>#N/A</v>
        <stp/>
        <stp>BDH|12900378141820003222</stp>
        <tr r="T78" s="24"/>
      </tp>
      <tp t="e">
        <v>#N/A</v>
        <stp/>
        <stp>BDH|16157845029259775264</stp>
        <tr r="S20" s="9"/>
      </tp>
      <tp t="e">
        <v>#N/A</v>
        <stp/>
        <stp>BDH|16023688471956373675</stp>
        <tr r="P6" s="2"/>
        <tr r="O6" s="5"/>
        <tr r="O6" s="9"/>
        <tr r="Q12" s="8"/>
        <tr r="Q10" s="29"/>
        <tr r="Q19" s="29"/>
        <tr r="Q25" s="29"/>
      </tp>
      <tp t="e">
        <v>#N/A</v>
        <stp/>
        <stp>BDH|16654623952323321180</stp>
        <tr r="Y29" s="22"/>
      </tp>
      <tp t="e">
        <v>#N/A</v>
        <stp/>
        <stp>BDH|17356552604327808273</stp>
        <tr r="H95" s="17"/>
      </tp>
      <tp t="e">
        <v>#N/A</v>
        <stp/>
        <stp>BDH|18350242573553850910</stp>
        <tr r="S23" s="23"/>
      </tp>
      <tp t="e">
        <v>#N/A</v>
        <stp/>
        <stp>BDH|17782676905285880303</stp>
        <tr r="X16" s="21"/>
      </tp>
      <tp t="e">
        <v>#N/A</v>
        <stp/>
        <stp>BDH|13433092323766118021</stp>
        <tr r="D202" s="18"/>
      </tp>
      <tp t="e">
        <v>#N/A</v>
        <stp/>
        <stp>BDH|10936812595584150217</stp>
        <tr r="W46" s="12"/>
      </tp>
      <tp t="e">
        <v>#N/A</v>
        <stp/>
        <stp>BDH|10932942020514260824</stp>
        <tr r="AA124" s="18"/>
        <tr r="AA13" s="20"/>
      </tp>
      <tp t="e">
        <v>#N/A</v>
        <stp/>
        <stp>BDH|14947226254564701051</stp>
        <tr r="Q81" s="24"/>
      </tp>
      <tp t="e">
        <v>#N/A</v>
        <stp/>
        <stp>BDH|10998161000864603245</stp>
        <tr r="M12" s="22"/>
      </tp>
      <tp t="e">
        <v>#N/A</v>
        <stp/>
        <stp>BDH|12198799089173570993</stp>
        <tr r="F9" s="14"/>
      </tp>
      <tp t="e">
        <v>#N/A</v>
        <stp/>
        <stp>BDH|14542303267116629091</stp>
        <tr r="Q49" s="6"/>
        <tr r="S10" s="8"/>
      </tp>
      <tp t="e">
        <v>#N/A</v>
        <stp/>
        <stp>BDH|15388138933115968572</stp>
        <tr r="H54" s="6"/>
      </tp>
      <tp t="e">
        <v>#N/A</v>
        <stp/>
        <stp>BDH|10915175229761244582</stp>
        <tr r="D45" s="34"/>
      </tp>
      <tp t="e">
        <v>#N/A</v>
        <stp/>
        <stp>BDH|16741086418773246384</stp>
        <tr r="K19" s="9"/>
      </tp>
      <tp t="e">
        <v>#N/A</v>
        <stp/>
        <stp>BDH|17457840106249224190</stp>
        <tr r="S47" s="10"/>
        <tr r="S37" s="11"/>
      </tp>
      <tp t="e">
        <v>#N/A</v>
        <stp/>
        <stp>BDH|12822585108173658337</stp>
        <tr r="F98" s="12"/>
      </tp>
      <tp t="e">
        <v>#N/A</v>
        <stp/>
        <stp>BDH|12909608755741833798</stp>
        <tr r="L155" s="18"/>
      </tp>
      <tp t="e">
        <v>#N/A</v>
        <stp/>
        <stp>BDH|15220577458567979593</stp>
        <tr r="O19" s="17"/>
      </tp>
      <tp t="e">
        <v>#N/A</v>
        <stp/>
        <stp>BDH|17685424578855044614</stp>
        <tr r="I113" s="18"/>
      </tp>
      <tp t="e">
        <v>#N/A</v>
        <stp/>
        <stp>BDH|10898882129199668437</stp>
        <tr r="L29" s="34"/>
      </tp>
      <tp t="e">
        <v>#N/A</v>
        <stp/>
        <stp>BDH|16574408558950397024</stp>
        <tr r="U31" s="5"/>
      </tp>
      <tp t="e">
        <v>#N/A</v>
        <stp/>
        <stp>BDH|15395318104809319892</stp>
        <tr r="H11" s="28"/>
      </tp>
      <tp t="e">
        <v>#N/A</v>
        <stp/>
        <stp>BDH|17888110136860682252</stp>
        <tr r="U49" s="13"/>
      </tp>
      <tp t="e">
        <v>#N/A</v>
        <stp/>
        <stp>BDH|14934767902421524548</stp>
        <tr r="D196" s="18"/>
      </tp>
      <tp t="e">
        <v>#N/A</v>
        <stp/>
        <stp>BDH|12420985196940164572</stp>
        <tr r="U25" s="34"/>
      </tp>
      <tp t="e">
        <v>#N/A</v>
        <stp/>
        <stp>BDH|10720211374577960579</stp>
        <tr r="D41" s="13"/>
      </tp>
      <tp t="e">
        <v>#N/A</v>
        <stp/>
        <stp>BDH|14706509419536143131</stp>
        <tr r="O10" s="12"/>
      </tp>
      <tp t="e">
        <v>#N/A</v>
        <stp/>
        <stp>BDH|10438068888818027769</stp>
        <tr r="G31" s="34"/>
      </tp>
      <tp t="e">
        <v>#N/A</v>
        <stp/>
        <stp>BDH|10949513341615208379</stp>
        <tr r="Y70" s="13"/>
      </tp>
      <tp t="e">
        <v>#N/A</v>
        <stp/>
        <stp>BDH|12195161866763829155</stp>
        <tr r="V72" s="13"/>
      </tp>
      <tp t="e">
        <v>#N/A</v>
        <stp/>
        <stp>BDH|13056100790738458488</stp>
        <tr r="N70" s="10"/>
        <tr r="N60" s="11"/>
        <tr r="N20" s="7"/>
      </tp>
      <tp t="e">
        <v>#N/A</v>
        <stp/>
        <stp>BDH|14641568815340069796</stp>
        <tr r="F13" s="34"/>
      </tp>
      <tp t="e">
        <v>#N/A</v>
        <stp/>
        <stp>BDH|13096599698820550882</stp>
        <tr r="S45" s="4"/>
        <tr r="S33" s="10"/>
        <tr r="S23" s="11"/>
        <tr r="U33" s="13"/>
      </tp>
      <tp t="e">
        <v>#N/A</v>
        <stp/>
        <stp>BDH|10402734574121888673</stp>
        <tr r="N32" s="34"/>
      </tp>
      <tp t="e">
        <v>#N/A</v>
        <stp/>
        <stp>BDH|12247328918940336778</stp>
        <tr r="T149" s="18"/>
      </tp>
      <tp t="e">
        <v>#N/A</v>
        <stp/>
        <stp>BDH|13384055855739836877</stp>
        <tr r="Y141" s="18"/>
      </tp>
      <tp t="e">
        <v>#N/A</v>
        <stp/>
        <stp>BDH|13900124605941639440</stp>
        <tr r="C53" s="13"/>
      </tp>
      <tp t="e">
        <v>#N/A</v>
        <stp/>
        <stp>BDH|13516376077651086197</stp>
        <tr r="W149" s="18"/>
      </tp>
      <tp t="e">
        <v>#N/A</v>
        <stp/>
        <stp>BDH|12062965989572018639</stp>
        <tr r="R43" s="10"/>
        <tr r="R33" s="11"/>
      </tp>
      <tp t="e">
        <v>#N/A</v>
        <stp/>
        <stp>BDH|13497188057528331849</stp>
        <tr r="N91" s="24"/>
      </tp>
      <tp t="e">
        <v>#N/A</v>
        <stp/>
        <stp>BDH|14889600859041905146</stp>
        <tr r="V8" s="4"/>
      </tp>
      <tp t="e">
        <v>#N/A</v>
        <stp/>
        <stp>BDH|14988612867203553063</stp>
        <tr r="F12" s="17"/>
      </tp>
      <tp t="e">
        <v>#N/A</v>
        <stp/>
        <stp>BDH|11501805994075582280</stp>
        <tr r="K36" s="10"/>
        <tr r="K48" s="10"/>
        <tr r="K26" s="11"/>
        <tr r="K38" s="11"/>
      </tp>
      <tp t="e">
        <v>#N/A</v>
        <stp/>
        <stp>BDH|11562778177375860316</stp>
        <tr r="AA67" s="12"/>
      </tp>
      <tp t="e">
        <v>#N/A</v>
        <stp/>
        <stp>BDH|11913912717337490974</stp>
        <tr r="AA48" s="12"/>
      </tp>
      <tp t="e">
        <v>#N/A</v>
        <stp/>
        <stp>BDH|10937647159760873409</stp>
        <tr r="N85" s="18"/>
      </tp>
      <tp t="e">
        <v>#N/A</v>
        <stp/>
        <stp>BDH|17304714763338595982</stp>
        <tr r="Q68" s="18"/>
      </tp>
      <tp t="e">
        <v>#N/A</v>
        <stp/>
        <stp>BDH|13013127478546573438</stp>
        <tr r="K78" s="24"/>
      </tp>
      <tp t="e">
        <v>#N/A</v>
        <stp/>
        <stp>BDH|16834974084009730907</stp>
        <tr r="Z94" s="24"/>
      </tp>
      <tp t="e">
        <v>#N/A</v>
        <stp/>
        <stp>BDH|14864201146160232506</stp>
        <tr r="N41" s="21"/>
      </tp>
      <tp t="e">
        <v>#N/A</v>
        <stp/>
        <stp>BDH|10752494825180475135</stp>
        <tr r="D15" s="26"/>
      </tp>
      <tp t="e">
        <v>#N/A</v>
        <stp/>
        <stp>BDH|11542416765401463592</stp>
        <tr r="M205" s="18"/>
      </tp>
      <tp t="e">
        <v>#N/A</v>
        <stp/>
        <stp>BDH|16991706089997922955</stp>
        <tr r="W78" s="34"/>
      </tp>
      <tp t="e">
        <v>#N/A</v>
        <stp/>
        <stp>BDH|11226903447448110385</stp>
        <tr r="F33" s="17"/>
      </tp>
      <tp t="e">
        <v>#N/A</v>
        <stp/>
        <stp>BDH|14267581847495569742</stp>
        <tr r="L85" s="12"/>
      </tp>
      <tp t="e">
        <v>#N/A</v>
        <stp/>
        <stp>BDH|11965947791781182719</stp>
        <tr r="I32" s="12"/>
      </tp>
      <tp t="e">
        <v>#N/A</v>
        <stp/>
        <stp>BDH|14494254884268090191</stp>
        <tr r="Q42" s="34"/>
      </tp>
      <tp t="e">
        <v>#N/A</v>
        <stp/>
        <stp>BDH|16900323523967687725</stp>
        <tr r="N113" s="18"/>
      </tp>
      <tp t="e">
        <v>#N/A</v>
        <stp/>
        <stp>BDH|16238391647602620460</stp>
        <tr r="O59" s="17"/>
      </tp>
      <tp t="e">
        <v>#N/A</v>
        <stp/>
        <stp>BDH|17419267639451464032</stp>
        <tr r="K35" s="34"/>
      </tp>
      <tp t="e">
        <v>#N/A</v>
        <stp/>
        <stp>BDH|12828610844101674672</stp>
        <tr r="V39" s="4"/>
        <tr r="V66" s="10"/>
      </tp>
      <tp t="e">
        <v>#N/A</v>
        <stp/>
        <stp>BDH|13135003938257655032</stp>
        <tr r="U97" s="18"/>
      </tp>
      <tp t="e">
        <v>#N/A</v>
        <stp/>
        <stp>BDH|15713342949921194476</stp>
        <tr r="P24" s="6"/>
      </tp>
      <tp t="e">
        <v>#N/A</v>
        <stp/>
        <stp>BDH|17188637241842677095</stp>
        <tr r="AA136" s="18"/>
      </tp>
      <tp t="e">
        <v>#N/A</v>
        <stp/>
        <stp>BDH|17892361677490406419</stp>
        <tr r="V98" s="18"/>
      </tp>
      <tp t="e">
        <v>#N/A</v>
        <stp/>
        <stp>BDH|10682561042024985274</stp>
        <tr r="V16" s="20"/>
      </tp>
      <tp t="e">
        <v>#N/A</v>
        <stp/>
        <stp>BDH|14709190637319338865</stp>
        <tr r="L24" s="22"/>
      </tp>
      <tp t="e">
        <v>#N/A</v>
        <stp/>
        <stp>BDH|12113193340338020846</stp>
        <tr r="AA20" s="27"/>
      </tp>
      <tp t="e">
        <v>#N/A</v>
        <stp/>
        <stp>BDH|12874058464880055356</stp>
        <tr r="O103" s="12"/>
      </tp>
      <tp t="e">
        <v>#N/A</v>
        <stp/>
        <stp>BDH|17005215007787938535</stp>
        <tr r="I91" s="12"/>
      </tp>
      <tp t="e">
        <v>#N/A</v>
        <stp/>
        <stp>BDH|13311871740771966915</stp>
        <tr r="T100" s="18"/>
      </tp>
      <tp t="e">
        <v>#N/A</v>
        <stp/>
        <stp>BDH|14456138216441806262</stp>
        <tr r="L30" s="34"/>
      </tp>
      <tp t="e">
        <v>#N/A</v>
        <stp/>
        <stp>BDH|12048184237727551058</stp>
        <tr r="L50" s="17"/>
      </tp>
      <tp t="e">
        <v>#N/A</v>
        <stp/>
        <stp>BDH|14034763158814541546</stp>
        <tr r="Y72" s="12"/>
      </tp>
      <tp t="e">
        <v>#N/A</v>
        <stp/>
        <stp>BDH|14763200113197288795</stp>
        <tr r="F48" s="24"/>
      </tp>
      <tp t="e">
        <v>#N/A</v>
        <stp/>
        <stp>BDH|17080963678747721964</stp>
        <tr r="L8" s="2"/>
      </tp>
      <tp t="e">
        <v>#N/A</v>
        <stp/>
        <stp>BDH|10204087924714586140</stp>
        <tr r="F171" s="18"/>
      </tp>
      <tp t="e">
        <v>#N/A</v>
        <stp/>
        <stp>BDH|17569886923348940288</stp>
        <tr r="P35" s="4"/>
      </tp>
      <tp t="e">
        <v>#N/A</v>
        <stp/>
        <stp>BDH|10419289121095737254</stp>
        <tr r="Q31" s="5"/>
      </tp>
      <tp t="e">
        <v>#N/A</v>
        <stp/>
        <stp>BDH|10618289635490159657</stp>
        <tr r="AA9" s="14"/>
      </tp>
      <tp t="e">
        <v>#N/A</v>
        <stp/>
        <stp>BDH|18129109692644420381</stp>
        <tr r="Q13" s="13"/>
      </tp>
      <tp t="e">
        <v>#N/A</v>
        <stp/>
        <stp>BDH|13399391375098949892</stp>
        <tr r="J29" s="14"/>
      </tp>
      <tp t="e">
        <v>#N/A</v>
        <stp/>
        <stp>BDH|12320280534912329634</stp>
        <tr r="F33" s="6"/>
      </tp>
      <tp t="e">
        <v>#N/A</v>
        <stp/>
        <stp>BDH|12394643971824051094</stp>
        <tr r="U70" s="18"/>
      </tp>
      <tp t="e">
        <v>#N/A</v>
        <stp/>
        <stp>BDH|16589192311798493967</stp>
        <tr r="Y209" s="18"/>
      </tp>
      <tp t="e">
        <v>#N/A</v>
        <stp/>
        <stp>BDH|12690238441687800435</stp>
        <tr r="Q88" s="12"/>
      </tp>
      <tp t="e">
        <v>#N/A</v>
        <stp/>
        <stp>BDH|15517496240564716641</stp>
        <tr r="W55" s="12"/>
      </tp>
      <tp t="e">
        <v>#N/A</v>
        <stp/>
        <stp>BDH|18429192887347123143</stp>
        <tr r="H29" s="6"/>
      </tp>
      <tp t="e">
        <v>#N/A</v>
        <stp/>
        <stp>BDH|12823583343517410387</stp>
        <tr r="L67" s="18"/>
      </tp>
      <tp t="e">
        <v>#N/A</v>
        <stp/>
        <stp>BDH|16997040769033281493</stp>
        <tr r="F18" s="24"/>
      </tp>
      <tp t="e">
        <v>#N/A</v>
        <stp/>
        <stp>BDH|12014932439576045953</stp>
        <tr r="F18" s="26"/>
      </tp>
      <tp t="e">
        <v>#N/A</v>
        <stp/>
        <stp>BDH|16982038314328859896</stp>
        <tr r="M200" s="18"/>
      </tp>
      <tp t="e">
        <v>#N/A</v>
        <stp/>
        <stp>BDH|10863715727233642175</stp>
        <tr r="S190" s="18"/>
      </tp>
      <tp t="e">
        <v>#N/A</v>
        <stp/>
        <stp>BDH|11017316528334256341</stp>
        <tr r="D53" s="24"/>
      </tp>
      <tp t="e">
        <v>#N/A</v>
        <stp/>
        <stp>BDH|17980169754591230560</stp>
        <tr r="AA13" s="26"/>
      </tp>
      <tp t="e">
        <v>#N/A</v>
        <stp/>
        <stp>BDH|11762459828269324968</stp>
        <tr r="Z101" s="12"/>
      </tp>
      <tp t="e">
        <v>#N/A</v>
        <stp/>
        <stp>BDH|12357502999398179145</stp>
        <tr r="F48" s="13"/>
      </tp>
      <tp t="e">
        <v>#N/A</v>
        <stp/>
        <stp>BDH|16203053477742949466</stp>
        <tr r="W20" s="29"/>
      </tp>
      <tp t="e">
        <v>#N/A</v>
        <stp/>
        <stp>BDH|12023853433547006992</stp>
        <tr r="M70" s="17"/>
      </tp>
      <tp t="e">
        <v>#N/A</v>
        <stp/>
        <stp>BDH|15343677317776482389</stp>
        <tr r="I31" s="24"/>
      </tp>
      <tp t="e">
        <v>#N/A</v>
        <stp/>
        <stp>BDH|14862374554373234667</stp>
        <tr r="P71" s="17"/>
      </tp>
      <tp t="e">
        <v>#N/A</v>
        <stp/>
        <stp>BDH|13675720276061556587</stp>
        <tr r="H91" s="17"/>
      </tp>
      <tp t="e">
        <v>#N/A</v>
        <stp/>
        <stp>BDH|14702296232847259500</stp>
        <tr r="H45" s="12"/>
      </tp>
      <tp t="e">
        <v>#N/A</v>
        <stp/>
        <stp>BDH|16199466266157722487</stp>
        <tr r="T11" s="28"/>
      </tp>
      <tp t="e">
        <v>#N/A</v>
        <stp/>
        <stp>BDH|12160714821137818779</stp>
        <tr r="X74" s="34"/>
      </tp>
      <tp t="e">
        <v>#N/A</v>
        <stp/>
        <stp>BDH|18048394014319414478</stp>
        <tr r="Y19" s="24"/>
      </tp>
      <tp t="e">
        <v>#N/A</v>
        <stp/>
        <stp>BDH|15709299202139057927</stp>
        <tr r="Y43" s="18"/>
      </tp>
      <tp t="e">
        <v>#N/A</v>
        <stp/>
        <stp>BDH|15789485567392104274</stp>
        <tr r="J9" s="22"/>
      </tp>
      <tp t="e">
        <v>#N/A</v>
        <stp/>
        <stp>BDH|15717367665500923738</stp>
        <tr r="S47" s="18"/>
      </tp>
      <tp t="e">
        <v>#N/A</v>
        <stp/>
        <stp>BDH|14931407842493219079</stp>
        <tr r="D13" s="8"/>
      </tp>
      <tp t="e">
        <v>#N/A</v>
        <stp/>
        <stp>BDH|13643037104105885172</stp>
        <tr r="Z16" s="24"/>
      </tp>
      <tp t="e">
        <v>#N/A</v>
        <stp/>
        <stp>BDH|15834254492798577148</stp>
        <tr r="Q118" s="18"/>
        <tr r="Q6" s="20"/>
      </tp>
      <tp t="e">
        <v>#N/A</v>
        <stp/>
        <stp>BDH|12524599114611445026</stp>
        <tr r="J93" s="18"/>
      </tp>
      <tp t="e">
        <v>#N/A</v>
        <stp/>
        <stp>BDH|12527729778071245430</stp>
        <tr r="R6" s="6"/>
      </tp>
      <tp t="e">
        <v>#N/A</v>
        <stp/>
        <stp>BDH|12369579130727917437</stp>
        <tr r="Y23" s="25"/>
        <tr r="W20" s="11"/>
      </tp>
      <tp t="e">
        <v>#N/A</v>
        <stp/>
        <stp>BDH|15133420923443682781</stp>
        <tr r="N31" s="25"/>
        <tr r="K14" s="5"/>
        <tr r="N17" s="27"/>
      </tp>
      <tp t="e">
        <v>#N/A</v>
        <stp/>
        <stp>BDH|12905726816033098031</stp>
        <tr r="K186" s="18"/>
      </tp>
      <tp t="e">
        <v>#N/A</v>
        <stp/>
        <stp>BDH|17796782715565691329</stp>
        <tr r="E63" s="17"/>
      </tp>
      <tp t="e">
        <v>#N/A</v>
        <stp/>
        <stp>BDH|18284031391525856367</stp>
        <tr r="T8" s="11"/>
      </tp>
      <tp t="e">
        <v>#N/A</v>
        <stp/>
        <stp>BDH|17493876146328854434</stp>
        <tr r="P8" s="24"/>
      </tp>
      <tp t="e">
        <v>#N/A</v>
        <stp/>
        <stp>BDH|13527381696826703826</stp>
        <tr r="T35" s="10"/>
        <tr r="T25" s="11"/>
      </tp>
      <tp t="e">
        <v>#N/A</v>
        <stp/>
        <stp>BDH|10897703617107355622</stp>
        <tr r="J8" s="28"/>
      </tp>
      <tp t="e">
        <v>#N/A</v>
        <stp/>
        <stp>BDH|13633426537811523283</stp>
        <tr r="N77" s="24"/>
      </tp>
      <tp t="e">
        <v>#N/A</v>
        <stp/>
        <stp>BDH|10881428470351092546</stp>
        <tr r="G23" s="13"/>
      </tp>
      <tp t="e">
        <v>#N/A</v>
        <stp/>
        <stp>BDH|13445400779380560762</stp>
        <tr r="U26" s="21"/>
      </tp>
      <tp t="e">
        <v>#N/A</v>
        <stp/>
        <stp>BDH|13781028395874983973</stp>
        <tr r="V19" s="20"/>
      </tp>
      <tp t="e">
        <v>#N/A</v>
        <stp/>
        <stp>BDH|11020692573080501712</stp>
        <tr r="Q9" s="11"/>
      </tp>
      <tp t="e">
        <v>#N/A</v>
        <stp/>
        <stp>BDH|11046281021603312540</stp>
        <tr r="L39" s="22"/>
      </tp>
      <tp t="e">
        <v>#N/A</v>
        <stp/>
        <stp>BDH|13949239212036798116</stp>
        <tr r="X9" s="29"/>
      </tp>
      <tp t="e">
        <v>#N/A</v>
        <stp/>
        <stp>BDH|15915172776824729018</stp>
        <tr r="Y8" s="23"/>
      </tp>
      <tp t="e">
        <v>#N/A</v>
        <stp/>
        <stp>BDH|16149817573577442993</stp>
        <tr r="O160" s="18"/>
      </tp>
      <tp t="e">
        <v>#N/A</v>
        <stp/>
        <stp>BDH|10403149542861450385</stp>
        <tr r="E17" s="9"/>
      </tp>
      <tp t="e">
        <v>#N/A</v>
        <stp/>
        <stp>BDH|12364278009515795243</stp>
        <tr r="G83" s="18"/>
      </tp>
      <tp t="e">
        <v>#N/A</v>
        <stp/>
        <stp>BDH|15977773809744800113</stp>
        <tr r="J198" s="18"/>
      </tp>
      <tp t="e">
        <v>#N/A</v>
        <stp/>
        <stp>BDH|14211527154377315494</stp>
        <tr r="U14" s="10"/>
      </tp>
      <tp t="e">
        <v>#N/A</v>
        <stp/>
        <stp>BDH|15206910854277140981</stp>
        <tr r="U204" s="18"/>
      </tp>
      <tp t="e">
        <v>#N/A</v>
        <stp/>
        <stp>BDH|16205110472762862576</stp>
        <tr r="M8" s="17"/>
      </tp>
      <tp t="e">
        <v>#N/A</v>
        <stp/>
        <stp>BDH|16034788433317495216</stp>
        <tr r="J42" s="17"/>
      </tp>
      <tp t="e">
        <v>#N/A</v>
        <stp/>
        <stp>BDH|17251820101940730888</stp>
        <tr r="F49" s="17"/>
      </tp>
      <tp t="e">
        <v>#N/A</v>
        <stp/>
        <stp>BDH|15124620151626415782</stp>
        <tr r="O47" s="18"/>
      </tp>
      <tp t="e">
        <v>#N/A</v>
        <stp/>
        <stp>BDH|17291360618090574278</stp>
        <tr r="E57" s="17"/>
      </tp>
      <tp t="e">
        <v>#N/A</v>
        <stp/>
        <stp>BDH|10888128900066474001</stp>
        <tr r="C25" s="7"/>
      </tp>
      <tp t="e">
        <v>#N/A</v>
        <stp/>
        <stp>BDH|18352551142408300696</stp>
        <tr r="Y17" s="24"/>
      </tp>
      <tp t="e">
        <v>#N/A</v>
        <stp/>
        <stp>BDH|16305305208741361362</stp>
        <tr r="L75" s="17"/>
      </tp>
      <tp t="e">
        <v>#N/A</v>
        <stp/>
        <stp>BDH|16808070461417473046</stp>
        <tr r="AA160" s="18"/>
      </tp>
      <tp t="e">
        <v>#N/A</v>
        <stp/>
        <stp>BDH|15878781458646043661</stp>
        <tr r="Q15" s="29"/>
        <tr r="Q38" s="29"/>
      </tp>
      <tp t="e">
        <v>#N/A</v>
        <stp/>
        <stp>BDH|15351593394527037905</stp>
        <tr r="D91" s="17"/>
      </tp>
      <tp t="e">
        <v>#N/A</v>
        <stp/>
        <stp>BDH|17861907484118024927</stp>
        <tr r="I96" s="18"/>
      </tp>
      <tp t="e">
        <v>#N/A</v>
        <stp/>
        <stp>BDH|12553506107260568093</stp>
        <tr r="J42" s="12"/>
      </tp>
      <tp t="e">
        <v>#N/A</v>
        <stp/>
        <stp>BDH|16847482670296911471</stp>
        <tr r="Z54" s="13"/>
      </tp>
      <tp t="e">
        <v>#N/A</v>
        <stp/>
        <stp>BDH|15950260046516060272</stp>
        <tr r="N35" s="26"/>
      </tp>
      <tp t="e">
        <v>#N/A</v>
        <stp/>
        <stp>BDH|14861322742344700013</stp>
        <tr r="O37" s="17"/>
      </tp>
      <tp t="e">
        <v>#N/A</v>
        <stp/>
        <stp>BDH|17263943312943639834</stp>
        <tr r="C48" s="17"/>
      </tp>
      <tp t="e">
        <v>#N/A</v>
        <stp/>
        <stp>BDH|13035741815722686366</stp>
        <tr r="O7" s="28"/>
      </tp>
      <tp t="e">
        <v>#N/A</v>
        <stp/>
        <stp>BDH|16625402627706058209</stp>
        <tr r="S91" s="18"/>
      </tp>
      <tp t="e">
        <v>#N/A</v>
        <stp/>
        <stp>BDH|17286843186270626370</stp>
        <tr r="C15" s="13"/>
      </tp>
      <tp t="e">
        <v>#N/A</v>
        <stp/>
        <stp>BDH|11590215811302356470</stp>
        <tr r="N14" s="24"/>
      </tp>
      <tp t="e">
        <v>#N/A</v>
        <stp/>
        <stp>BDH|12858672718042751318</stp>
        <tr r="W95" s="18"/>
      </tp>
      <tp t="e">
        <v>#N/A</v>
        <stp/>
        <stp>BDH|17227469737772070621</stp>
        <tr r="P23" s="20"/>
      </tp>
      <tp t="e">
        <v>#N/A</v>
        <stp/>
        <stp>BDH|13305288724112700593</stp>
        <tr r="V18" s="14"/>
      </tp>
      <tp t="e">
        <v>#N/A</v>
        <stp/>
        <stp>BDH|13658599055773873435</stp>
        <tr r="O203" s="18"/>
      </tp>
      <tp t="e">
        <v>#N/A</v>
        <stp/>
        <stp>BDH|16467419951582368165</stp>
        <tr r="Q32" s="10"/>
        <tr r="S41" s="13"/>
      </tp>
      <tp t="e">
        <v>#N/A</v>
        <stp/>
        <stp>BDH|11198763176715053001</stp>
        <tr r="V20" s="25"/>
      </tp>
      <tp t="e">
        <v>#N/A</v>
        <stp/>
        <stp>BDH|15879772307013998505</stp>
        <tr r="P49" s="21"/>
      </tp>
      <tp t="e">
        <v>#N/A</v>
        <stp/>
        <stp>BDH|17252808845609369654</stp>
        <tr r="Y23" s="13"/>
      </tp>
      <tp t="e">
        <v>#N/A</v>
        <stp/>
        <stp>BDH|17906220718990395018</stp>
        <tr r="Z130" s="18"/>
      </tp>
      <tp t="e">
        <v>#N/A</v>
        <stp/>
        <stp>BDH|17491665913550774476</stp>
        <tr r="J121" s="18"/>
        <tr r="J9" s="20"/>
      </tp>
      <tp t="e">
        <v>#N/A</v>
        <stp/>
        <stp>BDH|13567146673436756749</stp>
        <tr r="T77" s="18"/>
      </tp>
      <tp t="e">
        <v>#N/A</v>
        <stp/>
        <stp>BDH|16167256108422850259</stp>
        <tr r="L27" s="10"/>
        <tr r="N36" s="13"/>
      </tp>
      <tp t="e">
        <v>#N/A</v>
        <stp/>
        <stp>BDH|16406351337537233558</stp>
        <tr r="O64" s="24"/>
      </tp>
      <tp t="e">
        <v>#N/A</v>
        <stp/>
        <stp>BDH|10459562272793676578</stp>
        <tr r="V14" s="6"/>
      </tp>
      <tp t="e">
        <v>#N/A</v>
        <stp/>
        <stp>BDH|11927306981878975605</stp>
        <tr r="H21" s="24"/>
      </tp>
      <tp t="e">
        <v>#N/A</v>
        <stp/>
        <stp>BDH|16755098449392502430</stp>
        <tr r="V43" s="29"/>
      </tp>
      <tp t="e">
        <v>#N/A</v>
        <stp/>
        <stp>BDH|12199100104051229665</stp>
        <tr r="O100" s="18"/>
      </tp>
      <tp t="e">
        <v>#N/A</v>
        <stp/>
        <stp>BDH|15932791307784386250</stp>
        <tr r="C41" s="17"/>
        <tr r="C9" s="25"/>
      </tp>
      <tp t="e">
        <v>#N/A</v>
        <stp/>
        <stp>BDH|12068253427125704349</stp>
        <tr r="C16" s="22"/>
      </tp>
      <tp t="e">
        <v>#N/A</v>
        <stp/>
        <stp>BDH|15676132482318294042</stp>
        <tr r="C83" s="24"/>
      </tp>
      <tp t="e">
        <v>#N/A</v>
        <stp/>
        <stp>BDH|17060008006263704001</stp>
        <tr r="P65" s="21"/>
        <tr r="N23" s="7"/>
      </tp>
      <tp t="e">
        <v>#N/A</v>
        <stp/>
        <stp>BDH|12351837122495533969</stp>
        <tr r="Q32" s="26"/>
      </tp>
      <tp t="e">
        <v>#N/A</v>
        <stp/>
        <stp>BDH|15201478432031422726</stp>
        <tr r="I105" s="12"/>
      </tp>
      <tp t="e">
        <v>#N/A</v>
        <stp/>
        <stp>BDH|17815585296759570628</stp>
        <tr r="J9" s="11"/>
      </tp>
      <tp t="e">
        <v>#N/A</v>
        <stp/>
        <stp>BDH|16854617329101918781</stp>
        <tr r="W185" s="18"/>
      </tp>
      <tp t="e">
        <v>#N/A</v>
        <stp/>
        <stp>BDH|16420523637917229329</stp>
        <tr r="X33" s="21"/>
      </tp>
      <tp t="e">
        <v>#N/A</v>
        <stp/>
        <stp>BDH|12360785531582855030</stp>
        <tr r="T17" s="21"/>
      </tp>
      <tp t="e">
        <v>#N/A</v>
        <stp/>
        <stp>BDH|12639075343825153728</stp>
        <tr r="U62" s="18"/>
      </tp>
      <tp t="e">
        <v>#N/A</v>
        <stp/>
        <stp>BDH|15607023252285378145</stp>
        <tr r="R194" s="18"/>
      </tp>
      <tp t="e">
        <v>#N/A</v>
        <stp/>
        <stp>BDH|10046074845099703943</stp>
        <tr r="D75" s="18"/>
      </tp>
      <tp t="e">
        <v>#N/A</v>
        <stp/>
        <stp>BDH|15192353318923412091</stp>
        <tr r="D176" s="18"/>
      </tp>
      <tp t="e">
        <v>#N/A</v>
        <stp/>
        <stp>BDH|16872019679823446651</stp>
        <tr r="J52" s="34"/>
      </tp>
      <tp t="e">
        <v>#N/A</v>
        <stp/>
        <stp>BDH|10787878588800181483</stp>
        <tr r="S46" s="12"/>
      </tp>
      <tp t="e">
        <v>#N/A</v>
        <stp/>
        <stp>BDH|10814959914195128999</stp>
        <tr r="F8" s="22"/>
      </tp>
      <tp t="e">
        <v>#N/A</v>
        <stp/>
        <stp>BDH|16824067905220213284</stp>
        <tr r="Q32" s="14"/>
      </tp>
      <tp t="e">
        <v>#N/A</v>
        <stp/>
        <stp>BDH|11556340384739429702</stp>
        <tr r="M42" s="22"/>
      </tp>
      <tp t="e">
        <v>#N/A</v>
        <stp/>
        <stp>BDH|13455496539008798828</stp>
        <tr r="L41" s="18"/>
      </tp>
      <tp t="e">
        <v>#N/A</v>
        <stp/>
        <stp>BDH|18401575182943152218</stp>
        <tr r="H35" s="22"/>
      </tp>
      <tp t="e">
        <v>#N/A</v>
        <stp/>
        <stp>BDH|14623936583224304547</stp>
        <tr r="I83" s="18"/>
      </tp>
      <tp t="e">
        <v>#N/A</v>
        <stp/>
        <stp>BDH|11322505383769742164</stp>
        <tr r="P13" s="12"/>
      </tp>
      <tp t="e">
        <v>#N/A</v>
        <stp/>
        <stp>BDH|11571980759790319961</stp>
        <tr r="N56" s="24"/>
      </tp>
      <tp t="e">
        <v>#N/A</v>
        <stp/>
        <stp>BDH|18359342043353067855</stp>
        <tr r="S25" s="26"/>
      </tp>
      <tp t="e">
        <v>#N/A</v>
        <stp/>
        <stp>BDH|12067719403568257918</stp>
        <tr r="T22" s="14"/>
      </tp>
      <tp t="e">
        <v>#N/A</v>
        <stp/>
        <stp>BDH|14617811697487131601</stp>
        <tr r="C79" s="24"/>
      </tp>
      <tp t="e">
        <v>#N/A</v>
        <stp/>
        <stp>BDH|17569807756206735856</stp>
        <tr r="J42" s="18"/>
      </tp>
      <tp t="e">
        <v>#N/A</v>
        <stp/>
        <stp>BDH|10938212069073575353</stp>
        <tr r="Y85" s="17"/>
      </tp>
      <tp t="e">
        <v>#N/A</v>
        <stp/>
        <stp>BDH|10127548364007480047</stp>
        <tr r="T17" s="34"/>
      </tp>
      <tp t="e">
        <v>#N/A</v>
        <stp/>
        <stp>BDH|15415853011338964082</stp>
        <tr r="Q70" s="12"/>
      </tp>
      <tp t="e">
        <v>#N/A</v>
        <stp/>
        <stp>BDH|16515981592057827567</stp>
        <tr r="N22" s="4"/>
      </tp>
      <tp t="e">
        <v>#N/A</v>
        <stp/>
        <stp>BDH|15753164718005828407</stp>
        <tr r="X95" s="18"/>
      </tp>
      <tp t="e">
        <v>#N/A</v>
        <stp/>
        <stp>BDH|11544135676183615075</stp>
        <tr r="Y19" s="11"/>
      </tp>
      <tp t="e">
        <v>#N/A</v>
        <stp/>
        <stp>BDH|13486369221621019722</stp>
        <tr r="Q164" s="18"/>
      </tp>
      <tp t="e">
        <v>#N/A</v>
        <stp/>
        <stp>BDH|16200520279684072485</stp>
        <tr r="X50" s="4"/>
      </tp>
      <tp t="e">
        <v>#N/A</v>
        <stp/>
        <stp>BDH|14075249776101038438</stp>
        <tr r="U80" s="24"/>
      </tp>
      <tp t="e">
        <v>#N/A</v>
        <stp/>
        <stp>BDH|14535355415832132046</stp>
        <tr r="X125" s="18"/>
        <tr r="X14" s="20"/>
      </tp>
      <tp t="e">
        <v>#N/A</v>
        <stp/>
        <stp>BDH|14087371282073753826</stp>
        <tr r="D9" s="13"/>
      </tp>
      <tp t="e">
        <v>#N/A</v>
        <stp/>
        <stp>BDH|13625365741949626976</stp>
        <tr r="D50" s="18"/>
      </tp>
      <tp t="e">
        <v>#N/A</v>
        <stp/>
        <stp>BDH|15487041976552008466</stp>
        <tr r="W35" s="24"/>
      </tp>
      <tp t="e">
        <v>#N/A</v>
        <stp/>
        <stp>BDH|11286137761700705271</stp>
        <tr r="K69" s="34"/>
      </tp>
      <tp t="e">
        <v>#N/A</v>
        <stp/>
        <stp>BDH|14225277128260574089</stp>
        <tr r="H62" s="12"/>
      </tp>
      <tp t="e">
        <v>#N/A</v>
        <stp/>
        <stp>BDH|10543716375654587045</stp>
        <tr r="S10" s="12"/>
      </tp>
      <tp t="e">
        <v>#N/A</v>
        <stp/>
        <stp>BDH|14776798267367827611</stp>
        <tr r="T30" s="18"/>
      </tp>
      <tp t="e">
        <v>#N/A</v>
        <stp/>
        <stp>BDH|18044397743639995233</stp>
        <tr r="W12" s="11"/>
      </tp>
      <tp t="e">
        <v>#N/A</v>
        <stp/>
        <stp>BDH|18015574648514985967</stp>
        <tr r="G51" s="18"/>
      </tp>
      <tp t="e">
        <v>#N/A</v>
        <stp/>
        <stp>BDH|11739505416594284534</stp>
        <tr r="Z57" s="17"/>
      </tp>
      <tp t="e">
        <v>#N/A</v>
        <stp/>
        <stp>BDH|10612094678861671215</stp>
        <tr r="X148" s="18"/>
      </tp>
      <tp t="e">
        <v>#N/A</v>
        <stp/>
        <stp>BDH|10329446493839642026</stp>
        <tr r="T127" s="18"/>
      </tp>
      <tp t="e">
        <v>#N/A</v>
        <stp/>
        <stp>BDH|11979724583859103395</stp>
        <tr r="V43" s="17"/>
      </tp>
      <tp t="e">
        <v>#N/A</v>
        <stp/>
        <stp>BDH|12845329009260475576</stp>
        <tr r="Y118" s="18"/>
        <tr r="Y6" s="20"/>
      </tp>
      <tp t="e">
        <v>#N/A</v>
        <stp/>
        <stp>BDH|16319353061714485330</stp>
        <tr r="Y16" s="21"/>
      </tp>
      <tp t="e">
        <v>#N/A</v>
        <stp/>
        <stp>BDH|18233693901943910935</stp>
        <tr r="S25" s="13"/>
      </tp>
      <tp t="e">
        <v>#N/A</v>
        <stp/>
        <stp>BDH|11177758264677708375</stp>
        <tr r="N20" s="10"/>
      </tp>
      <tp t="e">
        <v>#N/A</v>
        <stp/>
        <stp>BDH|13023478014523150126</stp>
        <tr r="P6" s="15"/>
        <tr r="P12" s="2"/>
        <tr r="P11" s="4"/>
        <tr r="P6" s="10"/>
      </tp>
      <tp t="e">
        <v>#N/A</v>
        <stp/>
        <stp>BDH|13004175099826705991</stp>
        <tr r="O19" s="12"/>
      </tp>
      <tp t="e">
        <v>#N/A</v>
        <stp/>
        <stp>BDH|10029877853070104959</stp>
        <tr r="G75" s="34"/>
      </tp>
      <tp t="e">
        <v>#N/A</v>
        <stp/>
        <stp>BDH|13943216774624904658</stp>
        <tr r="P20" s="26"/>
      </tp>
      <tp t="e">
        <v>#N/A</v>
        <stp/>
        <stp>BDH|15946431134910684688</stp>
        <tr r="E19" s="10"/>
      </tp>
      <tp t="e">
        <v>#N/A</v>
        <stp/>
        <stp>BDH|11264022821726203130</stp>
        <tr r="X24" s="5"/>
      </tp>
      <tp t="e">
        <v>#N/A</v>
        <stp/>
        <stp>BDH|10383289900720247691</stp>
        <tr r="O6" s="27"/>
      </tp>
      <tp t="e">
        <v>#N/A</v>
        <stp/>
        <stp>BDH|14402233263831519519</stp>
        <tr r="V27" s="7"/>
      </tp>
      <tp t="e">
        <v>#N/A</v>
        <stp/>
        <stp>BDH|17024187060102131694</stp>
        <tr r="G45" s="24"/>
      </tp>
      <tp t="e">
        <v>#N/A</v>
        <stp/>
        <stp>BDH|18241730317748393259</stp>
        <tr r="D34" s="5"/>
        <tr r="F32" s="29"/>
      </tp>
      <tp t="e">
        <v>#N/A</v>
        <stp/>
        <stp>BDH|12524146097259477722</stp>
        <tr r="F13" s="12"/>
      </tp>
      <tp t="e">
        <v>#N/A</v>
        <stp/>
        <stp>BDH|15197136610360284107</stp>
        <tr r="Y8" s="4"/>
      </tp>
      <tp t="e">
        <v>#N/A</v>
        <stp/>
        <stp>BDH|10443026067711658372</stp>
        <tr r="X62" s="34"/>
      </tp>
      <tp t="e">
        <v>#N/A</v>
        <stp/>
        <stp>BDH|14413924724992252908</stp>
        <tr r="U16" s="26"/>
      </tp>
      <tp t="e">
        <v>#N/A</v>
        <stp/>
        <stp>BDH|13734575575756403310</stp>
        <tr r="I114" s="18"/>
      </tp>
      <tp t="e">
        <v>#N/A</v>
        <stp/>
        <stp>BDH|12242964256072789858</stp>
        <tr r="P25" s="24"/>
      </tp>
      <tp t="e">
        <v>#N/A</v>
        <stp/>
        <stp>BDH|18318560121149117251</stp>
        <tr r="L31" s="12"/>
      </tp>
      <tp t="e">
        <v>#N/A</v>
        <stp/>
        <stp>BDH|11073552760773324560</stp>
        <tr r="I17" s="21"/>
      </tp>
      <tp t="e">
        <v>#N/A</v>
        <stp/>
        <stp>BDH|15616029487279626058</stp>
        <tr r="D11" s="30"/>
      </tp>
      <tp t="e">
        <v>#N/A</v>
        <stp/>
        <stp>BDH|17717419396709499741</stp>
        <tr r="V90" s="17"/>
        <tr r="V34" s="25"/>
      </tp>
      <tp t="e">
        <v>#N/A</v>
        <stp/>
        <stp>BDH|12900051412032638585</stp>
        <tr r="H30" s="25"/>
        <tr r="H16" s="27"/>
      </tp>
      <tp t="e">
        <v>#N/A</v>
        <stp/>
        <stp>BDH|13621602477497265135</stp>
        <tr r="H21" s="4"/>
      </tp>
      <tp t="e">
        <v>#N/A</v>
        <stp/>
        <stp>BDH|15211964273256533923</stp>
        <tr r="I85" s="24"/>
      </tp>
      <tp t="e">
        <v>#N/A</v>
        <stp/>
        <stp>BDH|10474820334209623640</stp>
        <tr r="X28" s="26"/>
      </tp>
      <tp t="e">
        <v>#N/A</v>
        <stp/>
        <stp>BDH|17990156844764192297</stp>
        <tr r="R76" s="17"/>
        <tr r="O9" s="5"/>
        <tr r="O9" s="9"/>
      </tp>
      <tp t="e">
        <v>#N/A</v>
        <stp/>
        <stp>BDH|17831759299505096840</stp>
        <tr r="J10" s="34"/>
      </tp>
      <tp t="e">
        <v>#N/A</v>
        <stp/>
        <stp>BDH|17161187569344827086</stp>
        <tr r="V15" s="9"/>
      </tp>
      <tp t="e">
        <v>#N/A</v>
        <stp/>
        <stp>BDH|12062640031466276573</stp>
        <tr r="K13" s="10"/>
      </tp>
      <tp t="e">
        <v>#N/A</v>
        <stp/>
        <stp>BDH|17356223932950185222</stp>
        <tr r="H12" s="26"/>
      </tp>
      <tp t="e">
        <v>#N/A</v>
        <stp/>
        <stp>BDH|16338232372721720651</stp>
        <tr r="W30" s="18"/>
      </tp>
      <tp t="e">
        <v>#N/A</v>
        <stp/>
        <stp>BDH|12242355310511283559</stp>
        <tr r="AA31" s="21"/>
      </tp>
      <tp t="e">
        <v>#N/A</v>
        <stp/>
        <stp>BDH|11289364394959086609</stp>
        <tr r="H16" s="22"/>
      </tp>
      <tp t="e">
        <v>#N/A</v>
        <stp/>
        <stp>BDH|17869796671074650761</stp>
        <tr r="X13" s="10"/>
      </tp>
      <tp t="e">
        <v>#N/A</v>
        <stp/>
        <stp>BDH|18443477881708343814</stp>
        <tr r="Y135" s="18"/>
      </tp>
      <tp t="e">
        <v>#N/A</v>
        <stp/>
        <stp>BDH|14621813172796522900</stp>
        <tr r="E69" s="12"/>
      </tp>
      <tp t="e">
        <v>#N/A</v>
        <stp/>
        <stp>BDH|14053395935594567497</stp>
        <tr r="G17" s="14"/>
      </tp>
      <tp t="e">
        <v>#N/A</v>
        <stp/>
        <stp>BDH|17481434002687141075</stp>
        <tr r="Q17" s="18"/>
      </tp>
      <tp t="e">
        <v>#N/A</v>
        <stp/>
        <stp>BDH|11743103847170659058</stp>
        <tr r="N23" s="24"/>
      </tp>
      <tp t="e">
        <v>#N/A</v>
        <stp/>
        <stp>BDH|11646198888365551910</stp>
        <tr r="E66" s="17"/>
      </tp>
      <tp t="e">
        <v>#N/A</v>
        <stp/>
        <stp>BDH|15780245533908161828</stp>
        <tr r="Q171" s="18"/>
      </tp>
      <tp t="e">
        <v>#N/A</v>
        <stp/>
        <stp>BDH|13723441816960600203</stp>
        <tr r="Y207" s="18"/>
      </tp>
      <tp t="e">
        <v>#N/A</v>
        <stp/>
        <stp>BDH|10807226371885816406</stp>
        <tr r="Y29" s="34"/>
      </tp>
      <tp t="e">
        <v>#N/A</v>
        <stp/>
        <stp>BDH|15053369634353335225</stp>
        <tr r="W204" s="18"/>
      </tp>
      <tp t="e">
        <v>#N/A</v>
        <stp/>
        <stp>BDH|14731434814545039038</stp>
        <tr r="J23" s="12"/>
      </tp>
      <tp t="e">
        <v>#N/A</v>
        <stp/>
        <stp>BDH|14091041206730630075</stp>
        <tr r="G7" s="8"/>
      </tp>
      <tp t="e">
        <v>#N/A</v>
        <stp/>
        <stp>BDH|10339459876191713642</stp>
        <tr r="I65" s="21"/>
        <tr r="G23" s="7"/>
      </tp>
      <tp t="e">
        <v>#N/A</v>
        <stp/>
        <stp>BDH|16232985834818522083</stp>
        <tr r="H71" s="24"/>
      </tp>
      <tp t="e">
        <v>#N/A</v>
        <stp/>
        <stp>BDH|14326338223548854985</stp>
        <tr r="E7" s="6"/>
      </tp>
      <tp t="e">
        <v>#N/A</v>
        <stp/>
        <stp>BDH|15430008570596498038</stp>
        <tr r="E23" s="6"/>
      </tp>
      <tp t="e">
        <v>#N/A</v>
        <stp/>
        <stp>BDH|17924424354281923358</stp>
        <tr r="G92" s="17"/>
        <tr r="G7" s="27"/>
      </tp>
      <tp t="e">
        <v>#N/A</v>
        <stp/>
        <stp>BDH|13746811693074099262</stp>
        <tr r="S8" s="21"/>
      </tp>
      <tp t="e">
        <v>#N/A</v>
        <stp/>
        <stp>BDH|15454636015082059418</stp>
        <tr r="V51" s="13"/>
      </tp>
      <tp t="e">
        <v>#N/A</v>
        <stp/>
        <stp>BDH|13516846886362195550</stp>
        <tr r="Y57" s="17"/>
      </tp>
      <tp t="e">
        <v>#N/A</v>
        <stp/>
        <stp>BDH|13632133968858649881</stp>
        <tr r="D10" s="22"/>
      </tp>
      <tp t="e">
        <v>#N/A</v>
        <stp/>
        <stp>BDH|14045056018827761691</stp>
        <tr r="F93" s="24"/>
      </tp>
      <tp t="e">
        <v>#N/A</v>
        <stp/>
        <stp>BDH|12201348454303745362</stp>
        <tr r="U17" s="14"/>
      </tp>
      <tp t="e">
        <v>#N/A</v>
        <stp/>
        <stp>BDH|10783220703625234370</stp>
        <tr r="I82" s="24"/>
      </tp>
      <tp t="e">
        <v>#N/A</v>
        <stp/>
        <stp>BDH|13262412749361098692</stp>
        <tr r="W49" s="18"/>
      </tp>
      <tp t="e">
        <v>#N/A</v>
        <stp/>
        <stp>BDH|16286133632444871484</stp>
        <tr r="N19" s="11"/>
      </tp>
      <tp t="e">
        <v>#N/A</v>
        <stp/>
        <stp>BDH|11136961787366180225</stp>
        <tr r="E199" s="18"/>
      </tp>
      <tp t="e">
        <v>#N/A</v>
        <stp/>
        <stp>BDH|17757634094688106424</stp>
        <tr r="U170" s="18"/>
      </tp>
      <tp t="e">
        <v>#N/A</v>
        <stp/>
        <stp>BDH|13976090027593488609</stp>
        <tr r="N20" s="9"/>
      </tp>
      <tp t="e">
        <v>#N/A</v>
        <stp/>
        <stp>BDH|10858225775766459780</stp>
        <tr r="Y82" s="17"/>
        <tr r="Y20" s="3"/>
        <tr r="W6" s="7"/>
      </tp>
      <tp t="e">
        <v>#N/A</v>
        <stp/>
        <stp>BDH|14711948084551293064</stp>
        <tr r="F59" s="12"/>
      </tp>
      <tp t="e">
        <v>#N/A</v>
        <stp/>
        <stp>BDH|13676649109381849008</stp>
        <tr r="N22" s="27"/>
      </tp>
      <tp t="e">
        <v>#N/A</v>
        <stp/>
        <stp>BDH|18113051201138670407</stp>
        <tr r="V6" s="19"/>
        <tr r="V34" s="17"/>
        <tr r="V16" s="3"/>
      </tp>
      <tp t="e">
        <v>#N/A</v>
        <stp/>
        <stp>BDH|13659786602564820474</stp>
        <tr r="C9" s="29"/>
      </tp>
      <tp t="e">
        <v>#N/A</v>
        <stp/>
        <stp>BDH|15853694529591307484</stp>
        <tr r="P50" s="18"/>
      </tp>
      <tp t="e">
        <v>#N/A</v>
        <stp/>
        <stp>BDH|17327447013663019572</stp>
        <tr r="R157" s="18"/>
      </tp>
      <tp t="e">
        <v>#N/A</v>
        <stp/>
        <stp>BDH|15773724371437243653</stp>
        <tr r="Z66" s="18"/>
      </tp>
      <tp t="e">
        <v>#N/A</v>
        <stp/>
        <stp>BDH|10375516861652217521</stp>
        <tr r="U75" s="24"/>
      </tp>
      <tp t="e">
        <v>#N/A</v>
        <stp/>
        <stp>BDH|10244743930071604130</stp>
        <tr r="X7" s="30"/>
      </tp>
      <tp t="e">
        <v>#N/A</v>
        <stp/>
        <stp>BDH|13872784477417553015</stp>
        <tr r="L43" s="4"/>
      </tp>
      <tp t="e">
        <v>#N/A</v>
        <stp/>
        <stp>BDH|17085590709551586762</stp>
        <tr r="K156" s="18"/>
      </tp>
      <tp t="e">
        <v>#N/A</v>
        <stp/>
        <stp>BDH|11875452127636967502</stp>
        <tr r="AA27" s="34"/>
      </tp>
      <tp t="e">
        <v>#N/A</v>
        <stp/>
        <stp>BDH|11743342756987210448</stp>
        <tr r="G151" s="18"/>
      </tp>
      <tp t="e">
        <v>#N/A</v>
        <stp/>
        <stp>BDH|14700145136492314056</stp>
        <tr r="V75" s="34"/>
      </tp>
      <tp t="e">
        <v>#N/A</v>
        <stp/>
        <stp>BDH|15274727354617206450</stp>
        <tr r="Z70" s="17"/>
      </tp>
      <tp t="e">
        <v>#N/A</v>
        <stp/>
        <stp>BDH|15552863983692601356</stp>
        <tr r="K16" s="20"/>
      </tp>
      <tp t="e">
        <v>#N/A</v>
        <stp/>
        <stp>BDH|16518275741371734571</stp>
        <tr r="S30" s="10"/>
        <tr r="U39" s="13"/>
      </tp>
      <tp t="e">
        <v>#N/A</v>
        <stp/>
        <stp>BDH|15003050961216325145</stp>
        <tr r="S6" s="28"/>
      </tp>
      <tp t="e">
        <v>#N/A</v>
        <stp/>
        <stp>BDH|15007296311223335182</stp>
        <tr r="E53" s="12"/>
      </tp>
      <tp t="e">
        <v>#N/A</v>
        <stp/>
        <stp>BDH|17818152203531558387</stp>
        <tr r="D101" s="12"/>
      </tp>
      <tp t="e">
        <v>#N/A</v>
        <stp/>
        <stp>BDH|17957416629625202001</stp>
        <tr r="N47" s="18"/>
      </tp>
      <tp t="e">
        <v>#N/A</v>
        <stp/>
        <stp>BDH|16881034256822782598</stp>
        <tr r="S36" s="18"/>
      </tp>
      <tp t="e">
        <v>#N/A</v>
        <stp/>
        <stp>BDH|16823875429739792132</stp>
        <tr r="T43" s="34"/>
      </tp>
      <tp t="e">
        <v>#N/A</v>
        <stp/>
        <stp>BDH|14444659629443856727</stp>
        <tr r="E105" s="18"/>
      </tp>
      <tp t="e">
        <v>#N/A</v>
        <stp/>
        <stp>BDH|17748462253296975499</stp>
        <tr r="N6" s="27"/>
      </tp>
      <tp t="e">
        <v>#N/A</v>
        <stp/>
        <stp>BDH|16985725557370771090</stp>
        <tr r="P20" s="29"/>
      </tp>
      <tp t="e">
        <v>#N/A</v>
        <stp/>
        <stp>BDH|15128723170957092619</stp>
        <tr r="D77" s="12"/>
      </tp>
      <tp t="e">
        <v>#N/A</v>
        <stp/>
        <stp>BDH|11527813285247427279</stp>
        <tr r="R24" s="20"/>
      </tp>
      <tp t="e">
        <v>#N/A</v>
        <stp/>
        <stp>BDH|12500020026155303109</stp>
        <tr r="D41" s="22"/>
      </tp>
      <tp t="e">
        <v>#N/A</v>
        <stp/>
        <stp>BDH|13134106552173280034</stp>
        <tr r="N89" s="17"/>
      </tp>
      <tp t="e">
        <v>#N/A</v>
        <stp/>
        <stp>BDH|15777666656936514401</stp>
        <tr r="P8" s="10"/>
      </tp>
      <tp t="e">
        <v>#N/A</v>
        <stp/>
        <stp>BDH|16977489281488677642</stp>
        <tr r="O29" s="17"/>
      </tp>
      <tp t="e">
        <v>#N/A</v>
        <stp/>
        <stp>BDH|14349350081563499817</stp>
        <tr r="H29" s="13"/>
      </tp>
      <tp t="e">
        <v>#N/A</v>
        <stp/>
        <stp>BDH|12965728681119183098</stp>
        <tr r="N89" s="18"/>
      </tp>
      <tp t="e">
        <v>#N/A</v>
        <stp/>
        <stp>BDH|12641643322361038329</stp>
        <tr r="S50" s="21"/>
      </tp>
      <tp t="e">
        <v>#N/A</v>
        <stp/>
        <stp>BDH|14763679986466224867</stp>
        <tr r="H7" s="17"/>
      </tp>
      <tp t="e">
        <v>#N/A</v>
        <stp/>
        <stp>BDH|16580780928800181766</stp>
        <tr r="K84" s="12"/>
      </tp>
      <tp t="e">
        <v>#N/A</v>
        <stp/>
        <stp>BDH|16748441499819965615</stp>
        <tr r="V77" s="34"/>
      </tp>
      <tp t="e">
        <v>#N/A</v>
        <stp/>
        <stp>BDH|10575378224151027442</stp>
        <tr r="O202" s="18"/>
      </tp>
      <tp t="e">
        <v>#N/A</v>
        <stp/>
        <stp>BDH|15519357013851819291</stp>
        <tr r="AA77" s="12"/>
      </tp>
      <tp t="e">
        <v>#N/A</v>
        <stp/>
        <stp>BDH|10508264500880373625</stp>
        <tr r="Q18" s="20"/>
      </tp>
      <tp t="e">
        <v>#N/A</v>
        <stp/>
        <stp>BDH|13213902746163453929</stp>
        <tr r="G47" s="10"/>
        <tr r="G37" s="11"/>
      </tp>
      <tp t="e">
        <v>#N/A</v>
        <stp/>
        <stp>BDH|10653751069244938118</stp>
        <tr r="H26" s="18"/>
      </tp>
      <tp t="e">
        <v>#N/A</v>
        <stp/>
        <stp>BDH|10387030653742164304</stp>
        <tr r="T43" s="18"/>
      </tp>
      <tp t="e">
        <v>#N/A</v>
        <stp/>
        <stp>BDH|10885605969060149424</stp>
        <tr r="AA162" s="18"/>
      </tp>
      <tp t="e">
        <v>#N/A</v>
        <stp/>
        <stp>BDH|12980984197473624527</stp>
        <tr r="N42" s="10"/>
        <tr r="N32" s="11"/>
      </tp>
      <tp t="e">
        <v>#N/A</v>
        <stp/>
        <stp>BDH|15832219368614690159</stp>
        <tr r="X110" s="18"/>
      </tp>
      <tp t="e">
        <v>#N/A</v>
        <stp/>
        <stp>BDH|11978392897598072754</stp>
        <tr r="H34" s="9"/>
      </tp>
      <tp t="e">
        <v>#N/A</v>
        <stp/>
        <stp>BDH|10284749471941090552</stp>
        <tr r="R71" s="13"/>
      </tp>
      <tp t="e">
        <v>#N/A</v>
        <stp/>
        <stp>BDH|15250113647494498028</stp>
        <tr r="Q10" s="34"/>
      </tp>
      <tp t="e">
        <v>#N/A</v>
        <stp/>
        <stp>BDH|17909575418795195258</stp>
        <tr r="Z157" s="18"/>
      </tp>
      <tp t="e">
        <v>#N/A</v>
        <stp/>
        <stp>BDH|12149637184298271065</stp>
        <tr r="S100" s="18"/>
      </tp>
      <tp t="e">
        <v>#N/A</v>
        <stp/>
        <stp>BDH|14370821711529777057</stp>
        <tr r="G43" s="4"/>
      </tp>
      <tp t="e">
        <v>#N/A</v>
        <stp/>
        <stp>BDH|15658545592284687949</stp>
        <tr r="N61" s="12"/>
      </tp>
      <tp t="e">
        <v>#N/A</v>
        <stp/>
        <stp>BDH|11163085340320222190</stp>
        <tr r="O11" s="7"/>
      </tp>
      <tp t="e">
        <v>#N/A</v>
        <stp/>
        <stp>BDH|16232720954081393158</stp>
        <tr r="Q31" s="18"/>
      </tp>
      <tp t="e">
        <v>#N/A</v>
        <stp/>
        <stp>BDH|10897688823969704969</stp>
        <tr r="Z76" s="34"/>
      </tp>
      <tp t="e">
        <v>#N/A</v>
        <stp/>
        <stp>BDH|12931756801675952467</stp>
        <tr r="M30" s="21"/>
      </tp>
      <tp t="e">
        <v>#N/A</v>
        <stp/>
        <stp>BDH|12411966413156709847</stp>
        <tr r="Z51" s="17"/>
        <tr r="Z17" s="3"/>
      </tp>
      <tp t="e">
        <v>#N/A</v>
        <stp/>
        <stp>BDH|16657274101586535676</stp>
        <tr r="K21" s="9"/>
      </tp>
      <tp t="e">
        <v>#N/A</v>
        <stp/>
        <stp>BDH|14266040055492062714</stp>
        <tr r="Y27" s="7"/>
      </tp>
      <tp t="e">
        <v>#N/A</v>
        <stp/>
        <stp>BDH|14968243313830953358</stp>
        <tr r="N25" s="6"/>
      </tp>
      <tp t="e">
        <v>#N/A</v>
        <stp/>
        <stp>BDH|11920232414822591491</stp>
        <tr r="P21" s="17"/>
        <tr r="P15" s="3"/>
      </tp>
      <tp t="e">
        <v>#N/A</v>
        <stp/>
        <stp>BDH|14536021311048760934</stp>
        <tr r="O193" s="18"/>
      </tp>
      <tp t="e">
        <v>#N/A</v>
        <stp/>
        <stp>BDH|15444517839954890364</stp>
        <tr r="I12" s="11"/>
      </tp>
      <tp t="e">
        <v>#N/A</v>
        <stp/>
        <stp>BDH|14346187807725854466</stp>
        <tr r="W17" s="23"/>
      </tp>
      <tp t="e">
        <v>#N/A</v>
        <stp/>
        <stp>BDH|10640167827672272574</stp>
        <tr r="E29" s="12"/>
      </tp>
      <tp t="e">
        <v>#N/A</v>
        <stp/>
        <stp>BDH|16778960030510274813</stp>
        <tr r="P9" s="29"/>
      </tp>
      <tp t="e">
        <v>#N/A</v>
        <stp/>
        <stp>BDH|10848211138010506563</stp>
        <tr r="S17" s="17"/>
        <tr r="S20" s="28"/>
      </tp>
      <tp t="e">
        <v>#N/A</v>
        <stp/>
        <stp>BDH|15453083169405422236</stp>
        <tr r="J71" s="12"/>
      </tp>
      <tp t="e">
        <v>#N/A</v>
        <stp/>
        <stp>BDH|17256418702170596763</stp>
        <tr r="R203" s="18"/>
      </tp>
      <tp t="e">
        <v>#N/A</v>
        <stp/>
        <stp>BDH|13385668554693110723</stp>
        <tr r="C70" s="34"/>
      </tp>
      <tp t="e">
        <v>#N/A</v>
        <stp/>
        <stp>BDH|16701467653161065204</stp>
        <tr r="O71" s="24"/>
      </tp>
      <tp t="e">
        <v>#N/A</v>
        <stp/>
        <stp>BDH|17404752901995285107</stp>
        <tr r="V87" s="24"/>
      </tp>
      <tp t="e">
        <v>#N/A</v>
        <stp/>
        <stp>BDH|12646282962971844310</stp>
        <tr r="Z12" s="3"/>
        <tr r="X55" s="10"/>
        <tr r="X45" s="11"/>
        <tr r="X7" s="7"/>
      </tp>
      <tp t="e">
        <v>#N/A</v>
        <stp/>
        <stp>BDH|11522683436891700192</stp>
        <tr r="R90" s="24"/>
      </tp>
      <tp t="e">
        <v>#N/A</v>
        <stp/>
        <stp>BDH|15181484399548568404</stp>
        <tr r="AA22" s="21"/>
      </tp>
      <tp t="e">
        <v>#N/A</v>
        <stp/>
        <stp>BDH|14457406819802144794</stp>
        <tr r="T39" s="24"/>
      </tp>
      <tp t="e">
        <v>#N/A</v>
        <stp/>
        <stp>BDH|16630130451667682176</stp>
        <tr r="N58" s="17"/>
      </tp>
      <tp t="e">
        <v>#N/A</v>
        <stp/>
        <stp>BDH|17291038346817150037</stp>
        <tr r="F116" s="18"/>
      </tp>
      <tp t="e">
        <v>#N/A</v>
        <stp/>
        <stp>BDH|14795550388214733982</stp>
        <tr r="D127" s="18"/>
      </tp>
      <tp t="e">
        <v>#N/A</v>
        <stp/>
        <stp>BDH|16049321004201049039</stp>
        <tr r="N34" s="10"/>
        <tr r="N24" s="11"/>
      </tp>
      <tp t="e">
        <v>#N/A</v>
        <stp/>
        <stp>BDH|12828123919071092761</stp>
        <tr r="R15" s="29"/>
        <tr r="R38" s="29"/>
      </tp>
      <tp t="e">
        <v>#N/A</v>
        <stp/>
        <stp>BDH|14865021249463032769</stp>
        <tr r="Q16" s="25"/>
      </tp>
      <tp t="e">
        <v>#N/A</v>
        <stp/>
        <stp>BDH|18158952181968360530</stp>
        <tr r="Z9" s="14"/>
      </tp>
      <tp t="e">
        <v>#N/A</v>
        <stp/>
        <stp>BDH|11082716523197565721</stp>
        <tr r="L102" s="12"/>
      </tp>
      <tp t="e">
        <v>#N/A</v>
        <stp/>
        <stp>BDH|18002534720172353958</stp>
        <tr r="F49" s="12"/>
      </tp>
      <tp t="e">
        <v>#N/A</v>
        <stp/>
        <stp>BDH|15038360607867500514</stp>
        <tr r="X18" s="22"/>
      </tp>
      <tp t="e">
        <v>#N/A</v>
        <stp/>
        <stp>BDH|12203101623983447603</stp>
        <tr r="V17" s="12"/>
      </tp>
      <tp t="e">
        <v>#N/A</v>
        <stp/>
        <stp>BDH|13827589535730112112</stp>
        <tr r="X18" s="6"/>
      </tp>
      <tp t="e">
        <v>#N/A</v>
        <stp/>
        <stp>BDH|14123417682049334548</stp>
        <tr r="J60" s="18"/>
      </tp>
      <tp t="e">
        <v>#N/A</v>
        <stp/>
        <stp>BDH|10426239329851357588</stp>
        <tr r="X21" s="22"/>
      </tp>
      <tp t="e">
        <v>#N/A</v>
        <stp/>
        <stp>BDH|15216542965327282545</stp>
        <tr r="T146" s="18"/>
      </tp>
      <tp t="e">
        <v>#N/A</v>
        <stp/>
        <stp>BDH|14951698653421029267</stp>
        <tr r="O14" s="34"/>
      </tp>
      <tp t="e">
        <v>#N/A</v>
        <stp/>
        <stp>BDH|11055247051092064008</stp>
        <tr r="L94" s="17"/>
      </tp>
      <tp t="e">
        <v>#N/A</v>
        <stp/>
        <stp>BDH|17682001564442567727</stp>
        <tr r="F27" s="10"/>
        <tr r="H36" s="13"/>
      </tp>
      <tp t="e">
        <v>#N/A</v>
        <stp/>
        <stp>BDH|11225032453387356745</stp>
        <tr r="K206" s="18"/>
      </tp>
      <tp t="e">
        <v>#N/A</v>
        <stp/>
        <stp>BDH|14782792073202898202</stp>
        <tr r="T68" s="10"/>
      </tp>
      <tp t="e">
        <v>#N/A</v>
        <stp/>
        <stp>BDH|12870433578912680706</stp>
        <tr r="E15" s="21"/>
      </tp>
      <tp t="e">
        <v>#N/A</v>
        <stp/>
        <stp>BDH|12426404111965347638</stp>
        <tr r="AA18" s="20"/>
      </tp>
      <tp t="e">
        <v>#N/A</v>
        <stp/>
        <stp>BDH|15402553884028400441</stp>
        <tr r="W173" s="18"/>
      </tp>
      <tp t="e">
        <v>#N/A</v>
        <stp/>
        <stp>BDH|14495992185862461397</stp>
        <tr r="N128" s="18"/>
      </tp>
      <tp t="e">
        <v>#N/A</v>
        <stp/>
        <stp>BDH|18444627723578527056</stp>
        <tr r="T32" s="10"/>
        <tr r="V41" s="13"/>
      </tp>
      <tp t="e">
        <v>#N/A</v>
        <stp/>
        <stp>BDH|13424504720100747062</stp>
        <tr r="R17" s="20"/>
      </tp>
      <tp t="e">
        <v>#N/A</v>
        <stp/>
        <stp>BDH|16287038360536661222</stp>
        <tr r="X54" s="13"/>
      </tp>
      <tp t="e">
        <v>#N/A</v>
        <stp/>
        <stp>BDH|14153124502263420200</stp>
        <tr r="I74" s="18"/>
      </tp>
      <tp t="e">
        <v>#N/A</v>
        <stp/>
        <stp>BDH|11063159231584224338</stp>
        <tr r="F21" s="22"/>
      </tp>
      <tp t="e">
        <v>#N/A</v>
        <stp/>
        <stp>BDH|12908432159581408627</stp>
        <tr r="S189" s="18"/>
      </tp>
      <tp t="e">
        <v>#N/A</v>
        <stp/>
        <stp>BDH|16375601451779371846</stp>
        <tr r="AA20" s="26"/>
      </tp>
      <tp t="e">
        <v>#N/A</v>
        <stp/>
        <stp>BDH|15261374122599708957</stp>
        <tr r="M25" s="10"/>
        <tr r="O34" s="13"/>
      </tp>
      <tp t="e">
        <v>#N/A</v>
        <stp/>
        <stp>BDH|13717166832192736715</stp>
        <tr r="T19" s="5"/>
        <tr r="T42" s="6"/>
      </tp>
      <tp t="e">
        <v>#N/A</v>
        <stp/>
        <stp>BDH|11656804624406600912</stp>
        <tr r="M9" s="22"/>
      </tp>
      <tp t="e">
        <v>#N/A</v>
        <stp/>
        <stp>BDH|13255850843108310323</stp>
        <tr r="O18" s="14"/>
      </tp>
      <tp t="e">
        <v>#N/A</v>
        <stp/>
        <stp>BDH|16129132523746795738</stp>
        <tr r="AA142" s="18"/>
      </tp>
      <tp t="e">
        <v>#N/A</v>
        <stp/>
        <stp>BDH|16205645204896030278</stp>
        <tr r="Y73" s="18"/>
      </tp>
      <tp t="e">
        <v>#N/A</v>
        <stp/>
        <stp>BDH|10722364169092927341</stp>
        <tr r="E57" s="34"/>
      </tp>
      <tp t="e">
        <v>#N/A</v>
        <stp/>
        <stp>BDH|13664379353421296057</stp>
        <tr r="S77" s="12"/>
      </tp>
      <tp t="e">
        <v>#N/A</v>
        <stp/>
        <stp>BDH|16102904707729434275</stp>
        <tr r="H169" s="18"/>
      </tp>
      <tp t="e">
        <v>#N/A</v>
        <stp/>
        <stp>BDH|17287132912841414227</stp>
        <tr r="U54" s="17"/>
      </tp>
      <tp t="e">
        <v>#N/A</v>
        <stp/>
        <stp>BDH|11098570934111798215</stp>
        <tr r="K20" s="24"/>
      </tp>
      <tp t="e">
        <v>#N/A</v>
        <stp/>
        <stp>BDH|13289891670650731898</stp>
        <tr r="Z12" s="24"/>
      </tp>
      <tp t="e">
        <v>#N/A</v>
        <stp/>
        <stp>BDH|11852045703546373396</stp>
        <tr r="S23" s="18"/>
      </tp>
      <tp t="e">
        <v>#N/A</v>
        <stp/>
        <stp>BDH|10123112962500076369</stp>
        <tr r="N7" s="6"/>
      </tp>
      <tp t="e">
        <v>#N/A</v>
        <stp/>
        <stp>BDH|11058637154210280613</stp>
        <tr r="W67" s="12"/>
      </tp>
      <tp t="e">
        <v>#N/A</v>
        <stp/>
        <stp>BDH|14344021759727580291</stp>
        <tr r="J18" s="14"/>
      </tp>
      <tp t="e">
        <v>#N/A</v>
        <stp/>
        <stp>BDH|11433683331042998203</stp>
        <tr r="W34" s="9"/>
      </tp>
      <tp t="e">
        <v>#N/A</v>
        <stp/>
        <stp>BDH|13161155538392132799</stp>
        <tr r="L15" s="9"/>
      </tp>
      <tp t="e">
        <v>#N/A</v>
        <stp/>
        <stp>BDH|17573476822057090242</stp>
        <tr r="J107" s="18"/>
      </tp>
      <tp t="e">
        <v>#N/A</v>
        <stp/>
        <stp>BDH|14363041615170754119</stp>
        <tr r="N64" s="18"/>
      </tp>
      <tp t="e">
        <v>#N/A</v>
        <stp/>
        <stp>BDH|13574350412692183770</stp>
        <tr r="V38" s="6"/>
      </tp>
      <tp t="e">
        <v>#N/A</v>
        <stp/>
        <stp>BDH|16798473935182723760</stp>
        <tr r="J17" s="12"/>
      </tp>
      <tp t="e">
        <v>#N/A</v>
        <stp/>
        <stp>BDH|11068740347872338444</stp>
        <tr r="R23" s="12"/>
      </tp>
      <tp t="e">
        <v>#N/A</v>
        <stp/>
        <stp>BDH|14627480521455263398</stp>
        <tr r="C6" s="6"/>
      </tp>
      <tp t="e">
        <v>#N/A</v>
        <stp/>
        <stp>BDH|13784714511701402073</stp>
        <tr r="H18" s="9"/>
      </tp>
      <tp t="e">
        <v>#N/A</v>
        <stp/>
        <stp>BDH|17553148423511144174</stp>
        <tr r="D9" s="23"/>
      </tp>
      <tp t="e">
        <v>#N/A</v>
        <stp/>
        <stp>BDH|11995821220539630691</stp>
        <tr r="Q207" s="18"/>
      </tp>
      <tp t="e">
        <v>#N/A</v>
        <stp/>
        <stp>BDH|10621678248050948640</stp>
        <tr r="F107" s="18"/>
      </tp>
      <tp t="e">
        <v>#N/A</v>
        <stp/>
        <stp>BDH|13141428746330590748</stp>
        <tr r="O16" s="25"/>
      </tp>
      <tp t="e">
        <v>#N/A</v>
        <stp/>
        <stp>BDH|12801405963370621499</stp>
        <tr r="U7" s="6"/>
      </tp>
      <tp t="e">
        <v>#N/A</v>
        <stp/>
        <stp>BDH|14289712329503761694</stp>
        <tr r="K28" s="14"/>
      </tp>
      <tp t="e">
        <v>#N/A</v>
        <stp/>
        <stp>BDH|16903335009903151264</stp>
        <tr r="O28" s="18"/>
      </tp>
      <tp t="e">
        <v>#N/A</v>
        <stp/>
        <stp>BDH|17764268398199942147</stp>
        <tr r="Y84" s="12"/>
      </tp>
      <tp t="e">
        <v>#N/A</v>
        <stp/>
        <stp>BDH|11753447910626207658</stp>
        <tr r="M35" s="18"/>
      </tp>
      <tp t="e">
        <v>#N/A</v>
        <stp/>
        <stp>BDH|16338005027106736678</stp>
        <tr r="R42" s="24"/>
      </tp>
      <tp t="e">
        <v>#N/A</v>
        <stp/>
        <stp>BDH|11796283768889261818</stp>
        <tr r="Q132" s="18"/>
      </tp>
      <tp t="e">
        <v>#N/A</v>
        <stp/>
        <stp>BDH|14540646850762518108</stp>
        <tr r="J78" s="17"/>
      </tp>
      <tp t="e">
        <v>#N/A</v>
        <stp/>
        <stp>BDH|14171525660701416238</stp>
        <tr r="H24" s="29"/>
      </tp>
      <tp t="e">
        <v>#N/A</v>
        <stp/>
        <stp>BDH|16889076756295989247</stp>
        <tr r="L27" s="22"/>
      </tp>
      <tp t="e">
        <v>#N/A</v>
        <stp/>
        <stp>BDH|11421280378111303130</stp>
        <tr r="O61" s="12"/>
      </tp>
      <tp t="e">
        <v>#N/A</v>
        <stp/>
        <stp>BDH|12568910557082150861</stp>
        <tr r="D12" s="18"/>
      </tp>
      <tp t="e">
        <v>#N/A</v>
        <stp/>
        <stp>BDH|15193171504164592432</stp>
        <tr r="P69" s="10"/>
      </tp>
      <tp t="e">
        <v>#N/A</v>
        <stp/>
        <stp>BDH|15566097480149819000</stp>
        <tr r="V8" s="26"/>
        <tr r="S10" s="9"/>
      </tp>
      <tp t="e">
        <v>#N/A</v>
        <stp/>
        <stp>BDH|14601592425405771290</stp>
        <tr r="R22" s="17"/>
      </tp>
      <tp t="e">
        <v>#N/A</v>
        <stp/>
        <stp>BDH|16159123481192764910</stp>
        <tr r="D128" s="18"/>
      </tp>
      <tp t="e">
        <v>#N/A</v>
        <stp/>
        <stp>BDH|17259663931656225033</stp>
        <tr r="V110" s="18"/>
      </tp>
      <tp t="e">
        <v>#N/A</v>
        <stp/>
        <stp>BDH|11553326107290069646</stp>
        <tr r="Y182" s="18"/>
      </tp>
      <tp t="e">
        <v>#N/A</v>
        <stp/>
        <stp>BDH|17527661329614813364</stp>
        <tr r="C13" s="18"/>
      </tp>
      <tp t="e">
        <v>#N/A</v>
        <stp/>
        <stp>BDH|14754217975642064775</stp>
        <tr r="Y78" s="18"/>
      </tp>
      <tp t="e">
        <v>#N/A</v>
        <stp/>
        <stp>BDH|10066613858360543785</stp>
        <tr r="L40" s="6"/>
      </tp>
      <tp t="e">
        <v>#N/A</v>
        <stp/>
        <stp>BDH|10471741037115360506</stp>
        <tr r="V40" s="12"/>
      </tp>
      <tp t="e">
        <v>#N/A</v>
        <stp/>
        <stp>BDH|13027950645282164850</stp>
        <tr r="K47" s="34"/>
      </tp>
      <tp t="e">
        <v>#N/A</v>
        <stp/>
        <stp>BDH|12353239903012720608</stp>
        <tr r="AA138" s="18"/>
      </tp>
      <tp t="e">
        <v>#N/A</v>
        <stp/>
        <stp>BDH|16670275859591834442</stp>
        <tr r="E32" s="21"/>
      </tp>
      <tp t="e">
        <v>#N/A</v>
        <stp/>
        <stp>BDH|12847822287266127080</stp>
        <tr r="L43" s="6"/>
      </tp>
      <tp t="e">
        <v>#N/A</v>
        <stp/>
        <stp>BDH|13962425408646674514</stp>
        <tr r="K21" s="30"/>
      </tp>
      <tp t="e">
        <v>#N/A</v>
        <stp/>
        <stp>BDH|11588544046921257515</stp>
        <tr r="D92" s="17"/>
        <tr r="D7" s="27"/>
      </tp>
      <tp t="e">
        <v>#N/A</v>
        <stp/>
        <stp>BDH|13712470169524452194</stp>
        <tr r="M77" s="34"/>
      </tp>
      <tp t="e">
        <v>#N/A</v>
        <stp/>
        <stp>BDH|13938083951655447706</stp>
        <tr r="V80" s="34"/>
      </tp>
      <tp t="e">
        <v>#N/A</v>
        <stp/>
        <stp>BDH|14918711511376913079</stp>
        <tr r="X85" s="18"/>
      </tp>
      <tp t="e">
        <v>#N/A</v>
        <stp/>
        <stp>BDH|16125694871820713395</stp>
        <tr r="F44" s="12"/>
      </tp>
      <tp t="e">
        <v>#N/A</v>
        <stp/>
        <stp>BDH|16245209103070460021</stp>
        <tr r="J17" s="6"/>
      </tp>
      <tp t="e">
        <v>#N/A</v>
        <stp/>
        <stp>BDH|11315004035882029416</stp>
        <tr r="G68" s="18"/>
      </tp>
      <tp t="e">
        <v>#N/A</v>
        <stp/>
        <stp>BDH|15056407236083721568</stp>
        <tr r="J57" s="18"/>
      </tp>
      <tp t="e">
        <v>#N/A</v>
        <stp/>
        <stp>BDH|17094701329790946673</stp>
        <tr r="M207" s="18"/>
      </tp>
      <tp t="e">
        <v>#N/A</v>
        <stp/>
        <stp>BDH|15653049951405091149</stp>
        <tr r="H67" s="13"/>
      </tp>
      <tp t="e">
        <v>#N/A</v>
        <stp/>
        <stp>BDH|10218258357114620712</stp>
        <tr r="V69" s="17"/>
      </tp>
      <tp t="e">
        <v>#N/A</v>
        <stp/>
        <stp>BDH|17369738437315109215</stp>
        <tr r="Y48" s="18"/>
      </tp>
      <tp t="e">
        <v>#N/A</v>
        <stp/>
        <stp>BDH|15622850496431096127</stp>
        <tr r="R72" s="34"/>
      </tp>
      <tp t="e">
        <v>#N/A</v>
        <stp/>
        <stp>BDH|16479721215467052348</stp>
        <tr r="G45" s="6"/>
      </tp>
      <tp t="e">
        <v>#N/A</v>
        <stp/>
        <stp>BDH|13959304726525032388</stp>
        <tr r="U191" s="18"/>
      </tp>
      <tp t="e">
        <v>#N/A</v>
        <stp/>
        <stp>BDH|12546848821785063972</stp>
        <tr r="T156" s="18"/>
      </tp>
      <tp t="e">
        <v>#N/A</v>
        <stp/>
        <stp>BDH|12201323871791523339</stp>
        <tr r="T61" s="34"/>
      </tp>
      <tp t="e">
        <v>#N/A</v>
        <stp/>
        <stp>BDH|12213495758692742538</stp>
        <tr r="P63" s="21"/>
      </tp>
      <tp t="e">
        <v>#N/A</v>
        <stp/>
        <stp>BDH|16131538967538671947</stp>
        <tr r="K39" s="17"/>
      </tp>
      <tp t="e">
        <v>#N/A</v>
        <stp/>
        <stp>BDH|10731895095972531792</stp>
        <tr r="N43" s="34"/>
      </tp>
      <tp t="e">
        <v>#N/A</v>
        <stp/>
        <stp>BDH|15439431103704289113</stp>
        <tr r="P48" s="22"/>
      </tp>
      <tp t="e">
        <v>#N/A</v>
        <stp/>
        <stp>BDH|12231995799655470319</stp>
        <tr r="Q15" s="4"/>
      </tp>
      <tp t="e">
        <v>#N/A</v>
        <stp/>
        <stp>BDH|16934145640161939639</stp>
        <tr r="W11" s="24"/>
      </tp>
      <tp t="e">
        <v>#N/A</v>
        <stp/>
        <stp>BDH|11738162169445881770</stp>
        <tr r="U17" s="10"/>
        <tr r="W16" s="13"/>
        <tr r="W30" s="13"/>
      </tp>
      <tp t="e">
        <v>#N/A</v>
        <stp/>
        <stp>BDH|15033678302496456167</stp>
        <tr r="C20" s="10"/>
      </tp>
      <tp t="e">
        <v>#N/A</v>
        <stp/>
        <stp>BDH|13679979283487334165</stp>
        <tr r="AA38" s="21"/>
        <tr r="AA24" s="3"/>
      </tp>
      <tp t="e">
        <v>#N/A</v>
        <stp/>
        <stp>BDH|16541872176429075439</stp>
        <tr r="P10" s="21"/>
      </tp>
      <tp t="e">
        <v>#N/A</v>
        <stp/>
        <stp>BDH|11439104934084738308</stp>
        <tr r="O13" s="34"/>
      </tp>
      <tp t="e">
        <v>#N/A</v>
        <stp/>
        <stp>BDH|16786330425570195378</stp>
        <tr r="I33" s="5"/>
      </tp>
      <tp t="e">
        <v>#N/A</v>
        <stp/>
        <stp>BDH|10768254324006034212</stp>
        <tr r="R32" s="12"/>
      </tp>
      <tp t="e">
        <v>#N/A</v>
        <stp/>
        <stp>BDH|12654129070588282812</stp>
        <tr r="S23" s="20"/>
      </tp>
      <tp t="e">
        <v>#N/A</v>
        <stp/>
        <stp>BDH|18203143225817496801</stp>
        <tr r="M26" s="13"/>
      </tp>
      <tp t="e">
        <v>#N/A</v>
        <stp/>
        <stp>BDH|10137460873864206319</stp>
        <tr r="V30" s="17"/>
      </tp>
      <tp t="e">
        <v>#N/A</v>
        <stp/>
        <stp>BDH|13899285726485928288</stp>
        <tr r="U47" s="10"/>
        <tr r="U37" s="11"/>
      </tp>
      <tp t="e">
        <v>#N/A</v>
        <stp/>
        <stp>BDH|11952021727575338280</stp>
        <tr r="C43" s="12"/>
      </tp>
      <tp t="e">
        <v>#N/A</v>
        <stp/>
        <stp>BDH|12696609482878724048</stp>
        <tr r="AA153" s="18"/>
      </tp>
      <tp t="e">
        <v>#N/A</v>
        <stp/>
        <stp>BDH|12435241449521670182</stp>
        <tr r="X134" s="18"/>
      </tp>
      <tp t="e">
        <v>#N/A</v>
        <stp/>
        <stp>BDH|16869521882197957862</stp>
        <tr r="M63" s="21"/>
      </tp>
      <tp t="e">
        <v>#N/A</v>
        <stp/>
        <stp>BDH|13637726956372410716</stp>
        <tr r="P18" s="22"/>
      </tp>
      <tp t="e">
        <v>#N/A</v>
        <stp/>
        <stp>BDH|14849115574773262581</stp>
        <tr r="W56" s="24"/>
      </tp>
      <tp t="e">
        <v>#N/A</v>
        <stp/>
        <stp>BDH|13759444683598173362</stp>
        <tr r="S26" s="27"/>
      </tp>
      <tp t="e">
        <v>#N/A</v>
        <stp/>
        <stp>BDH|10857422459541266465</stp>
        <tr r="Z21" s="20"/>
      </tp>
      <tp t="e">
        <v>#N/A</v>
        <stp/>
        <stp>BDH|15320582001540957441</stp>
        <tr r="Z76" s="18"/>
      </tp>
      <tp t="e">
        <v>#N/A</v>
        <stp/>
        <stp>BDH|11796722000752352019</stp>
        <tr r="G22" s="6"/>
      </tp>
      <tp t="e">
        <v>#N/A</v>
        <stp/>
        <stp>BDH|16855923585615150695</stp>
        <tr r="M69" s="12"/>
      </tp>
      <tp t="e">
        <v>#N/A</v>
        <stp/>
        <stp>BDH|11577359579438989975</stp>
        <tr r="F110" s="18"/>
      </tp>
      <tp t="e">
        <v>#N/A</v>
        <stp/>
        <stp>BDH|15116584254136850726</stp>
        <tr r="P34" s="24"/>
      </tp>
      <tp t="e">
        <v>#N/A</v>
        <stp/>
        <stp>BDH|18113643845076222856</stp>
        <tr r="J30" s="29"/>
        <tr r="J8" s="29"/>
      </tp>
      <tp t="e">
        <v>#N/A</v>
        <stp/>
        <stp>BDH|12268019842381093363</stp>
        <tr r="M17" s="22"/>
      </tp>
      <tp t="e">
        <v>#N/A</v>
        <stp/>
        <stp>BDH|12243394408590444507</stp>
        <tr r="D58" s="18"/>
      </tp>
      <tp t="e">
        <v>#N/A</v>
        <stp/>
        <stp>BDH|16930316747466035384</stp>
        <tr r="X8" s="18"/>
      </tp>
      <tp t="e">
        <v>#N/A</v>
        <stp/>
        <stp>BDH|15153568448867957716</stp>
        <tr r="U21" s="20"/>
      </tp>
      <tp t="e">
        <v>#N/A</v>
        <stp/>
        <stp>BDH|13568825659099126387</stp>
        <tr r="R112" s="18"/>
      </tp>
      <tp t="e">
        <v>#N/A</v>
        <stp/>
        <stp>BDH|14237052250172040702</stp>
        <tr r="Z184" s="18"/>
      </tp>
      <tp t="e">
        <v>#N/A</v>
        <stp/>
        <stp>BDH|14017907980264145565</stp>
        <tr r="O64" s="12"/>
      </tp>
      <tp t="e">
        <v>#N/A</v>
        <stp/>
        <stp>BDH|10921240383548878615</stp>
        <tr r="Q204" s="18"/>
      </tp>
      <tp t="e">
        <v>#N/A</v>
        <stp/>
        <stp>BDH|10142357514187453133</stp>
        <tr r="M62" s="24"/>
      </tp>
      <tp t="e">
        <v>#N/A</v>
        <stp/>
        <stp>BDH|10198767711225714769</stp>
        <tr r="E40" s="12"/>
      </tp>
      <tp t="e">
        <v>#N/A</v>
        <stp/>
        <stp>BDH|17156312855370372517</stp>
        <tr r="V32" s="10"/>
        <tr r="X41" s="13"/>
      </tp>
      <tp t="e">
        <v>#N/A</v>
        <stp/>
        <stp>BDH|14726389456742900478</stp>
        <tr r="M209" s="18"/>
      </tp>
      <tp t="e">
        <v>#N/A</v>
        <stp/>
        <stp>BDH|15565132456431303444</stp>
        <tr r="S87" s="17"/>
      </tp>
      <tp t="e">
        <v>#N/A</v>
        <stp/>
        <stp>BDH|16262733168294940768</stp>
        <tr r="O17" s="12"/>
      </tp>
      <tp t="e">
        <v>#N/A</v>
        <stp/>
        <stp>BDH|10083140396675121957</stp>
        <tr r="X17" s="4"/>
        <tr r="Z10" s="3"/>
        <tr r="X56" s="10"/>
        <tr r="X46" s="11"/>
        <tr r="X17" s="7"/>
        <tr r="Z61" s="13"/>
      </tp>
      <tp t="e">
        <v>#N/A</v>
        <stp/>
        <stp>BDH|18174431913760588922</stp>
        <tr r="C184" s="18"/>
      </tp>
      <tp t="e">
        <v>#N/A</v>
        <stp/>
        <stp>BDH|11269114996828216511</stp>
        <tr r="V21" s="9"/>
      </tp>
      <tp t="e">
        <v>#N/A</v>
        <stp/>
        <stp>BDH|11297519224342916088</stp>
        <tr r="P14" s="22"/>
      </tp>
      <tp t="e">
        <v>#N/A</v>
        <stp/>
        <stp>BDH|15571216421610399107</stp>
        <tr r="T31" s="12"/>
      </tp>
      <tp t="e">
        <v>#N/A</v>
        <stp/>
        <stp>BDH|17696746857614462576</stp>
        <tr r="I205" s="18"/>
      </tp>
      <tp t="e">
        <v>#N/A</v>
        <stp/>
        <stp>BDH|15790164332586662537</stp>
        <tr r="C96" s="12"/>
      </tp>
      <tp t="e">
        <v>#N/A</v>
        <stp/>
        <stp>BDH|16241569366595468407</stp>
        <tr r="K28" s="17"/>
      </tp>
      <tp t="e">
        <v>#N/A</v>
        <stp/>
        <stp>BDH|11994452939134277615</stp>
        <tr r="X18" s="34"/>
      </tp>
      <tp t="e">
        <v>#N/A</v>
        <stp/>
        <stp>BDH|12841280634037698042</stp>
        <tr r="L107" s="18"/>
      </tp>
      <tp t="e">
        <v>#N/A</v>
        <stp/>
        <stp>BDH|12381582073233745793</stp>
        <tr r="D9" s="34"/>
      </tp>
      <tp t="e">
        <v>#N/A</v>
        <stp/>
        <stp>BDH|11995527653416932376</stp>
        <tr r="R11" s="18"/>
      </tp>
      <tp t="e">
        <v>#N/A</v>
        <stp/>
        <stp>BDH|13349867240723739848</stp>
        <tr r="V19" s="10"/>
      </tp>
      <tp t="e">
        <v>#N/A</v>
        <stp/>
        <stp>BDH|10559201255215388651</stp>
        <tr r="H77" s="34"/>
      </tp>
      <tp t="e">
        <v>#N/A</v>
        <stp/>
        <stp>BDH|17687241815912368228</stp>
        <tr r="P16" s="18"/>
      </tp>
      <tp t="e">
        <v>#N/A</v>
        <stp/>
        <stp>BDH|14998264436210741186</stp>
        <tr r="C24" s="4"/>
        <tr r="C55" s="11"/>
      </tp>
      <tp t="e">
        <v>#N/A</v>
        <stp/>
        <stp>BDH|12409679876083448470</stp>
        <tr r="J39" s="34"/>
      </tp>
      <tp t="e">
        <v>#N/A</v>
        <stp/>
        <stp>BDH|11989074441504837516</stp>
        <tr r="K91" s="24"/>
      </tp>
      <tp t="e">
        <v>#N/A</v>
        <stp/>
        <stp>BDH|13174274104541034449</stp>
        <tr r="AA27" s="25"/>
        <tr r="AA13" s="27"/>
      </tp>
      <tp t="e">
        <v>#N/A</v>
        <stp/>
        <stp>BDH|16414838680427663577</stp>
        <tr r="H64" s="34"/>
      </tp>
      <tp t="e">
        <v>#N/A</v>
        <stp/>
        <stp>BDH|18282958382479205418</stp>
        <tr r="F91" s="17"/>
      </tp>
      <tp t="e">
        <v>#N/A</v>
        <stp/>
        <stp>BDH|11826443167906575183</stp>
        <tr r="E26" s="27"/>
      </tp>
      <tp t="e">
        <v>#N/A</v>
        <stp/>
        <stp>BDH|10879800096365142093</stp>
        <tr r="O26" s="24"/>
      </tp>
      <tp t="e">
        <v>#N/A</v>
        <stp/>
        <stp>BDH|11124147816353655630</stp>
        <tr r="K92" s="12"/>
      </tp>
      <tp t="e">
        <v>#N/A</v>
        <stp/>
        <stp>BDH|10767295272185203481</stp>
        <tr r="M83" s="17"/>
      </tp>
      <tp t="e">
        <v>#N/A</v>
        <stp/>
        <stp>BDH|15664100264706628020</stp>
        <tr r="M16" s="22"/>
      </tp>
      <tp t="e">
        <v>#N/A</v>
        <stp/>
        <stp>BDH|16899351576336991041</stp>
        <tr r="X14" s="23"/>
      </tp>
      <tp t="e">
        <v>#N/A</v>
        <stp/>
        <stp>BDH|15727351135373747267</stp>
        <tr r="U186" s="18"/>
      </tp>
      <tp t="e">
        <v>#N/A</v>
        <stp/>
        <stp>BDH|11895584251753382641</stp>
        <tr r="H198" s="18"/>
      </tp>
      <tp t="e">
        <v>#N/A</v>
        <stp/>
        <stp>BDH|10947459867284594285</stp>
        <tr r="K38" s="21"/>
        <tr r="K24" s="3"/>
      </tp>
      <tp t="e">
        <v>#N/A</v>
        <stp/>
        <stp>BDH|11101018403606097355</stp>
        <tr r="I36" s="34"/>
      </tp>
      <tp t="e">
        <v>#N/A</v>
        <stp/>
        <stp>BDH|11493857947429693062</stp>
        <tr r="P10" s="4"/>
        <tr r="O6" s="16"/>
        <tr r="R6" s="3"/>
        <tr r="P6" s="11"/>
      </tp>
      <tp t="e">
        <v>#N/A</v>
        <stp/>
        <stp>BDH|15341816486092452367</stp>
        <tr r="S28" s="13"/>
      </tp>
      <tp t="e">
        <v>#N/A</v>
        <stp/>
        <stp>BDH|12462453553584057345</stp>
        <tr r="K197" s="18"/>
      </tp>
      <tp t="e">
        <v>#N/A</v>
        <stp/>
        <stp>BDH|12057309240108240949</stp>
        <tr r="D55" s="13"/>
      </tp>
      <tp t="e">
        <v>#N/A</v>
        <stp/>
        <stp>BDH|14716812770658170712</stp>
        <tr r="I193" s="18"/>
      </tp>
      <tp t="e">
        <v>#N/A</v>
        <stp/>
        <stp>BDH|16250634101513467722</stp>
        <tr r="W19" s="12"/>
      </tp>
      <tp t="e">
        <v>#N/A</v>
        <stp/>
        <stp>BDH|16181437143560634219</stp>
        <tr r="S148" s="18"/>
      </tp>
      <tp t="e">
        <v>#N/A</v>
        <stp/>
        <stp>BDH|11498246595746092836</stp>
        <tr r="I15" s="10"/>
      </tp>
      <tp t="e">
        <v>#N/A</v>
        <stp/>
        <stp>BDH|12439240470560664306</stp>
        <tr r="E19" s="17"/>
      </tp>
      <tp t="e">
        <v>#N/A</v>
        <stp/>
        <stp>BDH|17668108280249884382</stp>
        <tr r="N18" s="2"/>
        <tr r="N53" s="4"/>
        <tr r="N46" s="10"/>
        <tr r="N36" s="11"/>
        <tr r="P58" s="13"/>
      </tp>
      <tp t="e">
        <v>#N/A</v>
        <stp/>
        <stp>BDH|15750294759671516740</stp>
        <tr r="U11" s="13"/>
      </tp>
      <tp t="e">
        <v>#N/A</v>
        <stp/>
        <stp>BDH|14862637517950860728</stp>
        <tr r="D58" s="11"/>
        <tr r="F19" s="23"/>
      </tp>
      <tp t="e">
        <v>#N/A</v>
        <stp/>
        <stp>BDH|14898283221814664411</stp>
        <tr r="V16" s="12"/>
      </tp>
      <tp t="e">
        <v>#N/A</v>
        <stp/>
        <stp>BDH|11889629402212867160</stp>
        <tr r="U32" s="24"/>
      </tp>
      <tp t="e">
        <v>#N/A</v>
        <stp/>
        <stp>BDH|15148256774282009664</stp>
        <tr r="P16" s="34"/>
      </tp>
      <tp t="e">
        <v>#N/A</v>
        <stp/>
        <stp>BDH|13407114279566902735</stp>
        <tr r="T203" s="18"/>
      </tp>
      <tp t="e">
        <v>#N/A</v>
        <stp/>
        <stp>BDH|13682318908712019692</stp>
        <tr r="S34" s="26"/>
      </tp>
      <tp t="e">
        <v>#N/A</v>
        <stp/>
        <stp>BDH|13672077200821040678</stp>
        <tr r="U67" s="34"/>
      </tp>
      <tp t="e">
        <v>#N/A</v>
        <stp/>
        <stp>BDH|13792201054793967332</stp>
        <tr r="Y29" s="17"/>
      </tp>
      <tp t="e">
        <v>#N/A</v>
        <stp/>
        <stp>BDH|10071079617786030391</stp>
        <tr r="S60" s="21"/>
        <tr r="Q53" s="11"/>
      </tp>
      <tp t="e">
        <v>#N/A</v>
        <stp/>
        <stp>BDH|14302516008747599263</stp>
        <tr r="L74" s="18"/>
      </tp>
      <tp t="e">
        <v>#N/A</v>
        <stp/>
        <stp>BDH|10746046621965942324</stp>
        <tr r="U122" s="18"/>
        <tr r="U11" s="20"/>
      </tp>
      <tp t="e">
        <v>#N/A</v>
        <stp/>
        <stp>BDH|16170919209578274327</stp>
        <tr r="Z43" s="21"/>
      </tp>
      <tp t="e">
        <v>#N/A</v>
        <stp/>
        <stp>BDH|12413912943992600991</stp>
        <tr r="Y27" s="25"/>
        <tr r="Y13" s="27"/>
      </tp>
      <tp t="e">
        <v>#N/A</v>
        <stp/>
        <stp>BDH|13860869153393521914</stp>
        <tr r="X39" s="34"/>
      </tp>
      <tp t="e">
        <v>#N/A</v>
        <stp/>
        <stp>BDH|14364003055892907767</stp>
        <tr r="Q18" s="12"/>
      </tp>
      <tp t="e">
        <v>#N/A</v>
        <stp/>
        <stp>BDH|12064069645065846721</stp>
        <tr r="V32" s="17"/>
      </tp>
      <tp t="e">
        <v>#N/A</v>
        <stp/>
        <stp>BDH|15546581923131483735</stp>
        <tr r="D6" s="6"/>
      </tp>
      <tp t="e">
        <v>#N/A</v>
        <stp/>
        <stp>BDH|15329281508880321390</stp>
        <tr r="V58" s="34"/>
      </tp>
      <tp t="e">
        <v>#N/A</v>
        <stp/>
        <stp>BDH|17179938959397774854</stp>
        <tr r="U29" s="14"/>
      </tp>
      <tp t="e">
        <v>#N/A</v>
        <stp/>
        <stp>BDH|16744598685317503870</stp>
        <tr r="L18" s="26"/>
      </tp>
      <tp t="e">
        <v>#N/A</v>
        <stp/>
        <stp>BDH|12196450938647458614</stp>
        <tr r="J159" s="18"/>
      </tp>
      <tp t="e">
        <v>#N/A</v>
        <stp/>
        <stp>BDH|14005185120850502343</stp>
        <tr r="L39" s="6"/>
      </tp>
      <tp t="e">
        <v>#N/A</v>
        <stp/>
        <stp>BDH|17052897159666899810</stp>
        <tr r="K45" s="22"/>
      </tp>
      <tp t="e">
        <v>#N/A</v>
        <stp/>
        <stp>BDH|15056097147980436535</stp>
        <tr r="Q195" s="18"/>
      </tp>
      <tp t="e">
        <v>#N/A</v>
        <stp/>
        <stp>BDH|17082096000856857580</stp>
        <tr r="D87" s="24"/>
      </tp>
      <tp t="e">
        <v>#N/A</v>
        <stp/>
        <stp>BDH|13956045074128637861</stp>
        <tr r="L13" s="9"/>
      </tp>
      <tp t="e">
        <v>#N/A</v>
        <stp/>
        <stp>BDH|12835545767671352417</stp>
        <tr r="Z10" s="23"/>
      </tp>
      <tp t="e">
        <v>#N/A</v>
        <stp/>
        <stp>BDH|10616362288327860894</stp>
        <tr r="M179" s="18"/>
      </tp>
      <tp t="e">
        <v>#N/A</v>
        <stp/>
        <stp>BDH|16951616729635134394</stp>
        <tr r="X29" s="17"/>
      </tp>
      <tp t="e">
        <v>#N/A</v>
        <stp/>
        <stp>BDH|12476236280019937570</stp>
        <tr r="Q13" s="18"/>
      </tp>
      <tp t="e">
        <v>#N/A</v>
        <stp/>
        <stp>BDH|12599072826070939449</stp>
        <tr r="S79" s="12"/>
      </tp>
      <tp t="e">
        <v>#N/A</v>
        <stp/>
        <stp>BDH|11117114107094965072</stp>
        <tr r="C142" s="18"/>
      </tp>
      <tp t="e">
        <v>#N/A</v>
        <stp/>
        <stp>BDH|13742536201510855243</stp>
        <tr r="P100" s="18"/>
      </tp>
      <tp t="e">
        <v>#N/A</v>
        <stp/>
        <stp>BDH|10033297641073465153</stp>
        <tr r="L203" s="18"/>
      </tp>
      <tp t="e">
        <v>#N/A</v>
        <stp/>
        <stp>BDH|11018004988725052816</stp>
        <tr r="W13" s="21"/>
      </tp>
      <tp t="e">
        <v>#N/A</v>
        <stp/>
        <stp>BDH|10228656025427939722</stp>
        <tr r="Q52" s="6"/>
      </tp>
      <tp t="e">
        <v>#N/A</v>
        <stp/>
        <stp>BDH|10910918865359027248</stp>
        <tr r="L25" s="34"/>
      </tp>
      <tp t="e">
        <v>#N/A</v>
        <stp/>
        <stp>BDH|15561673139324067020</stp>
        <tr r="I189" s="18"/>
      </tp>
      <tp t="e">
        <v>#N/A</v>
        <stp/>
        <stp>BDH|16354151961831699485</stp>
        <tr r="Q18" s="17"/>
      </tp>
      <tp t="e">
        <v>#N/A</v>
        <stp/>
        <stp>BDH|12955136513625235321</stp>
        <tr r="P63" s="18"/>
      </tp>
      <tp t="e">
        <v>#N/A</v>
        <stp/>
        <stp>BDH|12892781573494323298</stp>
        <tr r="O9" s="6"/>
      </tp>
      <tp t="e">
        <v>#N/A</v>
        <stp/>
        <stp>BDH|14158837493617152697</stp>
        <tr r="F28" s="25"/>
        <tr r="F14" s="27"/>
      </tp>
      <tp t="e">
        <v>#N/A</v>
        <stp/>
        <stp>BDH|12355223119634960180</stp>
        <tr r="O63" s="10"/>
      </tp>
      <tp t="e">
        <v>#N/A</v>
        <stp/>
        <stp>BDH|10334150047205154492</stp>
        <tr r="F25" s="3"/>
      </tp>
      <tp t="e">
        <v>#N/A</v>
        <stp/>
        <stp>BDH|14044397428456896708</stp>
        <tr r="M59" s="12"/>
      </tp>
      <tp t="e">
        <v>#N/A</v>
        <stp/>
        <stp>BDH|10844107976675501721</stp>
        <tr r="AA14" s="34"/>
      </tp>
      <tp t="e">
        <v>#N/A</v>
        <stp/>
        <stp>BDH|12702488672765291062</stp>
        <tr r="L30" s="18"/>
      </tp>
      <tp t="e">
        <v>#N/A</v>
        <stp/>
        <stp>BDH|12171299645781472115</stp>
        <tr r="O31" s="25"/>
        <tr r="L14" s="5"/>
        <tr r="O17" s="27"/>
      </tp>
      <tp t="e">
        <v>#N/A</v>
        <stp/>
        <stp>BDH|18097489788927155797</stp>
        <tr r="M35" s="14"/>
      </tp>
      <tp t="e">
        <v>#N/A</v>
        <stp/>
        <stp>BDH|11943512506108687804</stp>
        <tr r="L19" s="25"/>
      </tp>
      <tp t="e">
        <v>#N/A</v>
        <stp/>
        <stp>BDH|10216443654281298482</stp>
        <tr r="Z74" s="17"/>
      </tp>
      <tp t="e">
        <v>#N/A</v>
        <stp/>
        <stp>BDH|15474426843883476295</stp>
        <tr r="M19" s="11"/>
      </tp>
      <tp t="e">
        <v>#N/A</v>
        <stp/>
        <stp>BDH|10072410280750992800</stp>
        <tr r="W10" s="26"/>
      </tp>
      <tp t="e">
        <v>#N/A</v>
        <stp/>
        <stp>BDH|16682930715548110295</stp>
        <tr r="R22" s="27"/>
      </tp>
      <tp t="e">
        <v>#N/A</v>
        <stp/>
        <stp>BDH|17507799948433852340</stp>
        <tr r="R16" s="25"/>
      </tp>
      <tp t="e">
        <v>#N/A</v>
        <stp/>
        <stp>BDH|14834472676147408458</stp>
        <tr r="Y11" s="11"/>
      </tp>
      <tp t="e">
        <v>#N/A</v>
        <stp/>
        <stp>BDH|12373962830109843558</stp>
        <tr r="W53" s="6"/>
      </tp>
      <tp t="e">
        <v>#N/A</v>
        <stp/>
        <stp>BDH|13753946697373997451</stp>
        <tr r="D136" s="18"/>
      </tp>
      <tp t="e">
        <v>#N/A</v>
        <stp/>
        <stp>BDH|11276922890184052189</stp>
        <tr r="Q27" s="24"/>
      </tp>
      <tp t="e">
        <v>#N/A</v>
        <stp/>
        <stp>BDH|14538651770585880407</stp>
        <tr r="U27" s="13"/>
      </tp>
      <tp t="e">
        <v>#N/A</v>
        <stp/>
        <stp>BDH|14431879611678850121</stp>
        <tr r="J170" s="18"/>
      </tp>
      <tp t="e">
        <v>#N/A</v>
        <stp/>
        <stp>BDH|14425138775842342499</stp>
        <tr r="J99" s="12"/>
      </tp>
      <tp t="e">
        <v>#N/A</v>
        <stp/>
        <stp>BDH|11294072063301878261</stp>
        <tr r="S139" s="18"/>
      </tp>
      <tp t="e">
        <v>#N/A</v>
        <stp/>
        <stp>BDH|16267135220949812815</stp>
        <tr r="F52" s="34"/>
      </tp>
      <tp t="e">
        <v>#N/A</v>
        <stp/>
        <stp>BDH|15408034715647262789</stp>
        <tr r="C46" s="12"/>
      </tp>
      <tp t="e">
        <v>#N/A</v>
        <stp/>
        <stp>BDH|10618608060732916673</stp>
        <tr r="AA8" s="17"/>
      </tp>
      <tp t="e">
        <v>#N/A</v>
        <stp/>
        <stp>BDH|11812304121976184208</stp>
        <tr r="H210" s="18"/>
      </tp>
      <tp t="e">
        <v>#N/A</v>
        <stp/>
        <stp>BDH|12322560549224569315</stp>
        <tr r="V41" s="17"/>
        <tr r="V9" s="25"/>
      </tp>
      <tp t="e">
        <v>#N/A</v>
        <stp/>
        <stp>BDH|10219969314809944517</stp>
        <tr r="H72" s="34"/>
      </tp>
      <tp t="e">
        <v>#N/A</v>
        <stp/>
        <stp>BDH|17652055475782704694</stp>
        <tr r="T102" s="18"/>
      </tp>
      <tp t="e">
        <v>#N/A</v>
        <stp/>
        <stp>BDH|11872189588704180812</stp>
        <tr r="E23" s="12"/>
      </tp>
      <tp t="e">
        <v>#N/A</v>
        <stp/>
        <stp>BDH|14541667472037810611</stp>
        <tr r="H58" s="12"/>
      </tp>
      <tp t="e">
        <v>#N/A</v>
        <stp/>
        <stp>BDH|18029882816850234548</stp>
        <tr r="I47" s="18"/>
      </tp>
      <tp t="e">
        <v>#N/A</v>
        <stp/>
        <stp>BDH|10507120351216659685</stp>
        <tr r="J24" s="14"/>
      </tp>
      <tp t="e">
        <v>#N/A</v>
        <stp/>
        <stp>BDH|17705611113756524286</stp>
        <tr r="T62" s="12"/>
      </tp>
      <tp t="e">
        <v>#N/A</v>
        <stp/>
        <stp>BDH|12871553898443429990</stp>
        <tr r="P31" s="22"/>
      </tp>
      <tp t="e">
        <v>#N/A</v>
        <stp/>
        <stp>BDH|16145742348887548608</stp>
        <tr r="K135" s="18"/>
      </tp>
      <tp t="e">
        <v>#N/A</v>
        <stp/>
        <stp>BDH|12478123028195626006</stp>
        <tr r="P51" s="12"/>
      </tp>
      <tp t="e">
        <v>#N/A</v>
        <stp/>
        <stp>BDH|12872500536015407526</stp>
        <tr r="T111" s="18"/>
      </tp>
      <tp t="e">
        <v>#N/A</v>
        <stp/>
        <stp>BDH|11812861978112689888</stp>
        <tr r="X69" s="34"/>
      </tp>
      <tp t="e">
        <v>#N/A</v>
        <stp/>
        <stp>BDH|11695253918916560065</stp>
        <tr r="I75" s="12"/>
      </tp>
      <tp t="e">
        <v>#N/A</v>
        <stp/>
        <stp>BDH|14048972089925785417</stp>
        <tr r="D77" s="34"/>
      </tp>
      <tp t="e">
        <v>#N/A</v>
        <stp/>
        <stp>BDH|13797662641496900318</stp>
        <tr r="G97" s="12"/>
      </tp>
      <tp t="e">
        <v>#N/A</v>
        <stp/>
        <stp>BDH|17416254772963997522</stp>
        <tr r="I7" s="23"/>
      </tp>
      <tp t="e">
        <v>#N/A</v>
        <stp/>
        <stp>BDH|12923251175336037515</stp>
        <tr r="O31" s="9"/>
      </tp>
      <tp t="e">
        <v>#N/A</v>
        <stp/>
        <stp>BDH|16369372219421079151</stp>
        <tr r="X72" s="34"/>
      </tp>
      <tp t="e">
        <v>#N/A</v>
        <stp/>
        <stp>BDH|16056686509193919705</stp>
        <tr r="L148" s="18"/>
      </tp>
      <tp t="e">
        <v>#N/A</v>
        <stp/>
        <stp>BDH|11182632328802179330</stp>
        <tr r="V34" s="29"/>
      </tp>
      <tp t="e">
        <v>#N/A</v>
        <stp/>
        <stp>BDH|13946951025759146503</stp>
        <tr r="Y32" s="26"/>
      </tp>
      <tp t="e">
        <v>#N/A</v>
        <stp/>
        <stp>BDH|18214919727822912554</stp>
        <tr r="M13" s="34"/>
      </tp>
      <tp t="e">
        <v>#N/A</v>
        <stp/>
        <stp>BDH|16351351152363430780</stp>
        <tr r="S17" s="20"/>
      </tp>
      <tp t="e">
        <v>#N/A</v>
        <stp/>
        <stp>BDH|11031041015111943503</stp>
        <tr r="T114" s="18"/>
      </tp>
      <tp t="e">
        <v>#N/A</v>
        <stp/>
        <stp>BDH|13892919280073229509</stp>
        <tr r="I17" s="24"/>
      </tp>
      <tp t="e">
        <v>#N/A</v>
        <stp/>
        <stp>BDH|17314128847603915545</stp>
        <tr r="F18" s="22"/>
      </tp>
      <tp t="e">
        <v>#N/A</v>
        <stp/>
        <stp>BDH|11199358798816579925</stp>
        <tr r="P68" s="17"/>
        <tr r="M8" s="5"/>
        <tr r="M8" s="9"/>
      </tp>
      <tp t="e">
        <v>#N/A</v>
        <stp/>
        <stp>BDH|15040137811895850414</stp>
        <tr r="D11" s="7"/>
      </tp>
      <tp t="e">
        <v>#N/A</v>
        <stp/>
        <stp>BDH|14364522379846273411</stp>
        <tr r="N23" s="13"/>
      </tp>
      <tp t="e">
        <v>#N/A</v>
        <stp/>
        <stp>BDH|10181491501104677445</stp>
        <tr r="O186" s="18"/>
      </tp>
      <tp t="e">
        <v>#N/A</v>
        <stp/>
        <stp>BDH|13690737953402565785</stp>
        <tr r="J15" s="13"/>
      </tp>
      <tp t="e">
        <v>#N/A</v>
        <stp/>
        <stp>BDH|11259795241874392229</stp>
        <tr r="S68" s="10"/>
      </tp>
      <tp t="e">
        <v>#N/A</v>
        <stp/>
        <stp>BDH|12306991694293746529</stp>
        <tr r="W63" s="24"/>
      </tp>
      <tp t="e">
        <v>#N/A</v>
        <stp/>
        <stp>BDH|14218739426510924551</stp>
        <tr r="S105" s="12"/>
      </tp>
      <tp t="e">
        <v>#N/A</v>
        <stp/>
        <stp>BDH|16943417210841250610</stp>
        <tr r="U10" s="26"/>
      </tp>
      <tp t="e">
        <v>#N/A</v>
        <stp/>
        <stp>BDH|14152517502161855418</stp>
        <tr r="O28" s="34"/>
      </tp>
      <tp t="e">
        <v>#N/A</v>
        <stp/>
        <stp>BDH|13923430531399669969</stp>
        <tr r="I13" s="12"/>
      </tp>
      <tp t="e">
        <v>#N/A</v>
        <stp/>
        <stp>BDH|17336645022612781596</stp>
        <tr r="U7" s="4"/>
      </tp>
      <tp t="e">
        <v>#N/A</v>
        <stp/>
        <stp>BDH|11538198454274512565</stp>
        <tr r="O92" s="12"/>
      </tp>
      <tp t="e">
        <v>#N/A</v>
        <stp/>
        <stp>BDH|13104881568670826928</stp>
        <tr r="R30" s="12"/>
      </tp>
      <tp t="e">
        <v>#N/A</v>
        <stp/>
        <stp>BDH|14023124907956847767</stp>
        <tr r="G95" s="18"/>
      </tp>
      <tp t="e">
        <v>#N/A</v>
        <stp/>
        <stp>BDH|10590776789559294220</stp>
        <tr r="R85" s="24"/>
      </tp>
      <tp t="e">
        <v>#N/A</v>
        <stp/>
        <stp>BDH|12815811017029725621</stp>
        <tr r="N9" s="24"/>
      </tp>
      <tp t="e">
        <v>#N/A</v>
        <stp/>
        <stp>BDH|10180391757353608128</stp>
        <tr r="G38" s="10"/>
        <tr r="G28" s="11"/>
        <tr r="I47" s="13"/>
      </tp>
      <tp t="e">
        <v>#N/A</v>
        <stp/>
        <stp>BDH|13692769959276788358</stp>
        <tr r="Q22" s="7"/>
      </tp>
      <tp t="e">
        <v>#N/A</v>
        <stp/>
        <stp>BDH|16517675843899386996</stp>
        <tr r="R206" s="18"/>
      </tp>
      <tp t="e">
        <v>#N/A</v>
        <stp/>
        <stp>BDH|18264342382717822071</stp>
        <tr r="J7" s="28"/>
      </tp>
      <tp t="e">
        <v>#N/A</v>
        <stp/>
        <stp>BDH|15826332704141785339</stp>
        <tr r="R25" s="5"/>
      </tp>
      <tp t="e">
        <v>#N/A</v>
        <stp/>
        <stp>BDH|12300791452935115129</stp>
        <tr r="I28" s="4"/>
      </tp>
      <tp t="e">
        <v>#N/A</v>
        <stp/>
        <stp>BDH|14972059026973577140</stp>
        <tr r="J12" s="7"/>
      </tp>
      <tp t="e">
        <v>#N/A</v>
        <stp/>
        <stp>BDH|11415834586110275584</stp>
        <tr r="J10" s="24"/>
      </tp>
      <tp t="e">
        <v>#N/A</v>
        <stp/>
        <stp>BDH|14907801680372655240</stp>
        <tr r="S19" s="12"/>
      </tp>
      <tp t="e">
        <v>#N/A</v>
        <stp/>
        <stp>BDH|15358311468784758060</stp>
        <tr r="Z155" s="18"/>
      </tp>
      <tp t="e">
        <v>#N/A</v>
        <stp/>
        <stp>BDH|13151685971574754246</stp>
        <tr r="M166" s="18"/>
      </tp>
      <tp t="e">
        <v>#N/A</v>
        <stp/>
        <stp>BDH|14436733147155229695</stp>
        <tr r="H86" s="12"/>
      </tp>
      <tp t="e">
        <v>#N/A</v>
        <stp/>
        <stp>BDH|15329783416114156373</stp>
        <tr r="AA64" s="12"/>
      </tp>
      <tp t="e">
        <v>#N/A</v>
        <stp/>
        <stp>BDH|17732426349250677316</stp>
        <tr r="Y20" s="17"/>
      </tp>
      <tp t="e">
        <v>#N/A</v>
        <stp/>
        <stp>BDH|14958108921444098735</stp>
        <tr r="C37" s="10"/>
        <tr r="C27" s="11"/>
        <tr r="E46" s="13"/>
      </tp>
      <tp t="e">
        <v>#N/A</v>
        <stp/>
        <stp>BDH|11428018131770781680</stp>
        <tr r="Y65" s="13"/>
      </tp>
      <tp t="e">
        <v>#N/A</v>
        <stp/>
        <stp>BDH|16602254100088993818</stp>
        <tr r="I34" s="10"/>
        <tr r="I24" s="11"/>
      </tp>
      <tp t="e">
        <v>#N/A</v>
        <stp/>
        <stp>BDH|10713008558692334379</stp>
        <tr r="D152" s="18"/>
      </tp>
      <tp t="e">
        <v>#N/A</v>
        <stp/>
        <stp>BDH|13775919183873813562</stp>
        <tr r="D21" s="20"/>
      </tp>
      <tp t="e">
        <v>#N/A</v>
        <stp/>
        <stp>BDH|15984177353083541620</stp>
        <tr r="Z33" s="12"/>
      </tp>
      <tp t="e">
        <v>#N/A</v>
        <stp/>
        <stp>BDH|17904449474022667254</stp>
        <tr r="R35" s="34"/>
      </tp>
      <tp t="e">
        <v>#N/A</v>
        <stp/>
        <stp>BDH|16897309614810707013</stp>
        <tr r="H28" s="14"/>
      </tp>
      <tp t="e">
        <v>#N/A</v>
        <stp/>
        <stp>BDH|12846274783665091964</stp>
        <tr r="W22" s="4"/>
      </tp>
      <tp t="e">
        <v>#N/A</v>
        <stp/>
        <stp>BDH|12272794067502352558</stp>
        <tr r="K8" s="4"/>
      </tp>
      <tp t="e">
        <v>#N/A</v>
        <stp/>
        <stp>BDH|16323081266893267757</stp>
        <tr r="R78" s="34"/>
      </tp>
      <tp t="e">
        <v>#N/A</v>
        <stp/>
        <stp>BDH|13959954065948066034</stp>
        <tr r="X82" s="24"/>
      </tp>
      <tp t="e">
        <v>#N/A</v>
        <stp/>
        <stp>BDH|17195003045141934672</stp>
        <tr r="J10" s="12"/>
      </tp>
      <tp t="e">
        <v>#N/A</v>
        <stp/>
        <stp>BDH|12610916280873443491</stp>
        <tr r="O126" s="18"/>
      </tp>
      <tp t="e">
        <v>#N/A</v>
        <stp/>
        <stp>BDH|12323976059589039378</stp>
        <tr r="Q17" s="10"/>
        <tr r="S16" s="13"/>
        <tr r="S30" s="13"/>
      </tp>
      <tp t="e">
        <v>#N/A</v>
        <stp/>
        <stp>BDH|14916693818345000228</stp>
        <tr r="W93" s="18"/>
      </tp>
      <tp t="e">
        <v>#N/A</v>
        <stp/>
        <stp>BDH|10840953004864560960</stp>
        <tr r="T28" s="14"/>
      </tp>
      <tp t="e">
        <v>#N/A</v>
        <stp/>
        <stp>BDH|13580691511311726101</stp>
        <tr r="J94" s="18"/>
      </tp>
      <tp t="e">
        <v>#N/A</v>
        <stp/>
        <stp>BDH|15865019769100860721</stp>
        <tr r="Y17" s="13"/>
      </tp>
      <tp t="e">
        <v>#N/A</v>
        <stp/>
        <stp>BDH|11419872374459891356</stp>
        <tr r="K70" s="10"/>
        <tr r="K60" s="11"/>
        <tr r="K20" s="7"/>
      </tp>
      <tp t="e">
        <v>#N/A</v>
        <stp/>
        <stp>BDH|18259950838626097052</stp>
        <tr r="C59" s="12"/>
      </tp>
      <tp t="e">
        <v>#N/A</v>
        <stp/>
        <stp>BDH|12020598707513009040</stp>
        <tr r="I25" s="17"/>
      </tp>
      <tp t="e">
        <v>#N/A</v>
        <stp/>
        <stp>BDH|15563168938131230233</stp>
        <tr r="R34" s="10"/>
        <tr r="R24" s="11"/>
      </tp>
      <tp t="e">
        <v>#N/A</v>
        <stp/>
        <stp>BDH|17210189950757804081</stp>
        <tr r="L79" s="12"/>
      </tp>
      <tp t="e">
        <v>#N/A</v>
        <stp/>
        <stp>BDH|16087092489729255386</stp>
        <tr r="S26" s="18"/>
      </tp>
      <tp t="e">
        <v>#N/A</v>
        <stp/>
        <stp>BDH|14431081865616691050</stp>
        <tr r="L32" s="34"/>
      </tp>
      <tp t="e">
        <v>#N/A</v>
        <stp/>
        <stp>BDH|11436480677575499353</stp>
        <tr r="O81" s="12"/>
      </tp>
      <tp t="e">
        <v>#N/A</v>
        <stp/>
        <stp>BDH|10752470902962865206</stp>
        <tr r="Z90" s="24"/>
      </tp>
      <tp t="e">
        <v>#N/A</v>
        <stp/>
        <stp>BDH|11365354148420190253</stp>
        <tr r="K167" s="18"/>
      </tp>
      <tp t="e">
        <v>#N/A</v>
        <stp/>
        <stp>BDH|11709861811864806825</stp>
        <tr r="M11" s="30"/>
      </tp>
      <tp t="e">
        <v>#N/A</v>
        <stp/>
        <stp>BDH|12584290050001265042</stp>
        <tr r="R17" s="12"/>
      </tp>
      <tp t="e">
        <v>#N/A</v>
        <stp/>
        <stp>BDH|14409757528173129628</stp>
        <tr r="P57" s="18"/>
      </tp>
      <tp t="e">
        <v>#N/A</v>
        <stp/>
        <stp>BDH|14827951921273201842</stp>
        <tr r="U91" s="12"/>
      </tp>
      <tp t="e">
        <v>#N/A</v>
        <stp/>
        <stp>BDH|11280758469855624129</stp>
        <tr r="W36" s="10"/>
        <tr r="W48" s="10"/>
        <tr r="W26" s="11"/>
        <tr r="W38" s="11"/>
      </tp>
      <tp t="e">
        <v>#N/A</v>
        <stp/>
        <stp>BDH|16401262269460053610</stp>
        <tr r="R75" s="12"/>
      </tp>
      <tp t="e">
        <v>#N/A</v>
        <stp/>
        <stp>BDH|17392703815885531092</stp>
        <tr r="P22" s="18"/>
      </tp>
      <tp t="e">
        <v>#N/A</v>
        <stp/>
        <stp>BDH|12450470639458261924</stp>
        <tr r="V24" s="22"/>
      </tp>
      <tp t="e">
        <v>#N/A</v>
        <stp/>
        <stp>BDH|12873640813771343066</stp>
        <tr r="J101" s="12"/>
      </tp>
      <tp t="e">
        <v>#N/A</v>
        <stp/>
        <stp>BDH|12345297332197317011</stp>
        <tr r="E61" s="34"/>
      </tp>
      <tp t="e">
        <v>#N/A</v>
        <stp/>
        <stp>BDH|10649347828134148114</stp>
        <tr r="N27" s="22"/>
      </tp>
      <tp t="e">
        <v>#N/A</v>
        <stp/>
        <stp>BDH|15633876489858462969</stp>
        <tr r="K13" s="5"/>
      </tp>
      <tp t="e">
        <v>#N/A</v>
        <stp/>
        <stp>BDH|12379019469923222334</stp>
        <tr r="I16" s="20"/>
      </tp>
      <tp t="e">
        <v>#N/A</v>
        <stp/>
        <stp>BDH|17932242096581020917</stp>
        <tr r="L13" s="11"/>
      </tp>
      <tp t="e">
        <v>#N/A</v>
        <stp/>
        <stp>BDH|16543447102551930704</stp>
        <tr r="H39" s="24"/>
      </tp>
      <tp t="e">
        <v>#N/A</v>
        <stp/>
        <stp>BDH|14349635367252437290</stp>
        <tr r="R91" s="18"/>
      </tp>
      <tp t="e">
        <v>#N/A</v>
        <stp/>
        <stp>BDH|11646556489350750874</stp>
        <tr r="V9" s="24"/>
      </tp>
      <tp t="e">
        <v>#N/A</v>
        <stp/>
        <stp>BDH|11273386334515425001</stp>
        <tr r="X12" s="21"/>
      </tp>
      <tp t="e">
        <v>#N/A</v>
        <stp/>
        <stp>BDH|11614677379501431567</stp>
        <tr r="Q45" s="4"/>
        <tr r="Q33" s="10"/>
        <tr r="Q23" s="11"/>
        <tr r="S33" s="13"/>
      </tp>
      <tp t="e">
        <v>#N/A</v>
        <stp/>
        <stp>BDH|12426785681140009970</stp>
        <tr r="N73" s="10"/>
        <tr r="N63" s="11"/>
      </tp>
      <tp t="e">
        <v>#N/A</v>
        <stp/>
        <stp>BDH|18264062619384454934</stp>
        <tr r="L62" s="34"/>
      </tp>
      <tp t="e">
        <v>#N/A</v>
        <stp/>
        <stp>BDH|12993475023160581023</stp>
        <tr r="K43" s="34"/>
      </tp>
      <tp t="e">
        <v>#N/A</v>
        <stp/>
        <stp>BDH|16007795151484558472</stp>
        <tr r="E205" s="18"/>
      </tp>
      <tp t="e">
        <v>#N/A</v>
        <stp/>
        <stp>BDH|17396088351531330731</stp>
        <tr r="S109" s="18"/>
      </tp>
      <tp t="e">
        <v>#N/A</v>
        <stp/>
        <stp>BDH|13706433775911253599</stp>
        <tr r="T59" s="34"/>
      </tp>
      <tp t="e">
        <v>#N/A</v>
        <stp/>
        <stp>BDH|13863253163565159650</stp>
        <tr r="L18" s="29"/>
        <tr r="L41" s="29"/>
      </tp>
      <tp t="e">
        <v>#N/A</v>
        <stp/>
        <stp>BDH|14388281672940367503</stp>
        <tr r="S26" s="13"/>
      </tp>
      <tp t="e">
        <v>#N/A</v>
        <stp/>
        <stp>BDH|16562564164166560780</stp>
        <tr r="W84" s="18"/>
      </tp>
      <tp t="e">
        <v>#N/A</v>
        <stp/>
        <stp>BDH|17515144759470300714</stp>
        <tr r="R45" s="34"/>
      </tp>
      <tp t="e">
        <v>#N/A</v>
        <stp/>
        <stp>BDH|13860806185273712407</stp>
        <tr r="P30" s="24"/>
      </tp>
      <tp t="e">
        <v>#N/A</v>
        <stp/>
        <stp>BDH|18283977258372401238</stp>
        <tr r="C17" s="10"/>
        <tr r="E16" s="13"/>
        <tr r="E30" s="13"/>
      </tp>
      <tp t="e">
        <v>#N/A</v>
        <stp/>
        <stp>BDH|15636481771741433312</stp>
        <tr r="T8" s="27"/>
      </tp>
      <tp t="e">
        <v>#N/A</v>
        <stp/>
        <stp>BDH|13232439735035994508</stp>
        <tr r="R23" s="24"/>
      </tp>
      <tp t="e">
        <v>#N/A</v>
        <stp/>
        <stp>BDH|16086746357542645285</stp>
        <tr r="R50" s="34"/>
      </tp>
      <tp t="e">
        <v>#N/A</v>
        <stp/>
        <stp>BDH|10229205613317488086</stp>
        <tr r="E49" s="6"/>
        <tr r="G10" s="8"/>
      </tp>
      <tp t="e">
        <v>#N/A</v>
        <stp/>
        <stp>BDH|13091771176392549595</stp>
        <tr r="AA27" s="21"/>
      </tp>
      <tp t="e">
        <v>#N/A</v>
        <stp/>
        <stp>BDH|15921043240390592552</stp>
        <tr r="V46" s="17"/>
      </tp>
      <tp t="e">
        <v>#N/A</v>
        <stp/>
        <stp>BDH|12098444071241029484</stp>
        <tr r="AA117" s="18"/>
      </tp>
      <tp t="e">
        <v>#N/A</v>
        <stp/>
        <stp>BDH|11355239719755457306</stp>
        <tr r="M25" s="27"/>
      </tp>
      <tp t="e">
        <v>#N/A</v>
        <stp/>
        <stp>BDH|12450906899812037407</stp>
        <tr r="V23" s="25"/>
        <tr r="T20" s="11"/>
      </tp>
      <tp t="e">
        <v>#N/A</v>
        <stp/>
        <stp>BDH|12847766775545412329</stp>
        <tr r="F25" s="14"/>
      </tp>
      <tp t="e">
        <v>#N/A</v>
        <stp/>
        <stp>BDH|10078045103322398697</stp>
        <tr r="K52" s="24"/>
      </tp>
      <tp t="e">
        <v>#N/A</v>
        <stp/>
        <stp>BDH|14112635120963620791</stp>
        <tr r="E13" s="30"/>
      </tp>
      <tp t="e">
        <v>#N/A</v>
        <stp/>
        <stp>BDH|15215481730152494436</stp>
        <tr r="C26" s="27"/>
      </tp>
      <tp t="e">
        <v>#N/A</v>
        <stp/>
        <stp>BDH|17530200997291692996</stp>
        <tr r="AA25" s="34"/>
      </tp>
      <tp t="e">
        <v>#N/A</v>
        <stp/>
        <stp>BDH|16982770357091044141</stp>
        <tr r="F14" s="24"/>
      </tp>
      <tp t="e">
        <v>#N/A</v>
        <stp/>
        <stp>BDH|16277439322383695789</stp>
        <tr r="AA70" s="13"/>
      </tp>
      <tp t="e">
        <v>#N/A</v>
        <stp/>
        <stp>BDH|13602771878096081144</stp>
        <tr r="D16" s="10"/>
      </tp>
      <tp t="e">
        <v>#N/A</v>
        <stp/>
        <stp>BDH|17941771633767183017</stp>
        <tr r="I41" s="10"/>
        <tr r="I31" s="11"/>
      </tp>
      <tp t="e">
        <v>#N/A</v>
        <stp/>
        <stp>BDH|17631043558806118065</stp>
        <tr r="Z6" s="28"/>
      </tp>
      <tp t="e">
        <v>#N/A</v>
        <stp/>
        <stp>BDH|11827600421957305677</stp>
        <tr r="N37" s="18"/>
      </tp>
      <tp t="e">
        <v>#N/A</v>
        <stp/>
        <stp>BDH|14208324226215951420</stp>
        <tr r="C14" s="28"/>
      </tp>
      <tp t="e">
        <v>#N/A</v>
        <stp/>
        <stp>BDH|17234293648652933776</stp>
        <tr r="T35" s="12"/>
      </tp>
      <tp t="e">
        <v>#N/A</v>
        <stp/>
        <stp>BDH|12106490770143163644</stp>
        <tr r="L199" s="18"/>
      </tp>
      <tp t="e">
        <v>#N/A</v>
        <stp/>
        <stp>BDH|10472270267069034996</stp>
        <tr r="M149" s="18"/>
      </tp>
      <tp t="e">
        <v>#N/A</v>
        <stp/>
        <stp>BDH|12644812230378858521</stp>
        <tr r="R17" s="17"/>
        <tr r="R20" s="28"/>
      </tp>
      <tp t="e">
        <v>#N/A</v>
        <stp/>
        <stp>BDH|13033624700798624993</stp>
        <tr r="H36" s="4"/>
      </tp>
      <tp t="e">
        <v>#N/A</v>
        <stp/>
        <stp>BDH|16344600806377842302</stp>
        <tr r="V19" s="18"/>
      </tp>
      <tp t="e">
        <v>#N/A</v>
        <stp/>
        <stp>BDH|13965316919160459584</stp>
        <tr r="M57" s="24"/>
      </tp>
      <tp t="e">
        <v>#N/A</v>
        <stp/>
        <stp>BDH|15930222976262737677</stp>
        <tr r="AA24" s="27"/>
      </tp>
      <tp t="e">
        <v>#N/A</v>
        <stp/>
        <stp>BDH|18234630388256346472</stp>
        <tr r="F15" s="13"/>
      </tp>
      <tp t="e">
        <v>#N/A</v>
        <stp/>
        <stp>BDH|16872648551469282824</stp>
        <tr r="V57" s="24"/>
      </tp>
      <tp t="e">
        <v>#N/A</v>
        <stp/>
        <stp>BDH|14537470599425442824</stp>
        <tr r="L49" s="22"/>
      </tp>
      <tp t="e">
        <v>#N/A</v>
        <stp/>
        <stp>BDH|12027607998169577005</stp>
        <tr r="H24" s="4"/>
        <tr r="H55" s="11"/>
      </tp>
      <tp t="e">
        <v>#N/A</v>
        <stp/>
        <stp>BDH|11779729217056805578</stp>
        <tr r="P92" s="17"/>
        <tr r="P7" s="27"/>
      </tp>
      <tp t="e">
        <v>#N/A</v>
        <stp/>
        <stp>BDH|13028726821221747394</stp>
        <tr r="F52" s="13"/>
      </tp>
      <tp t="e">
        <v>#N/A</v>
        <stp/>
        <stp>BDH|13827624105674527574</stp>
        <tr r="E29" s="21"/>
      </tp>
      <tp t="e">
        <v>#N/A</v>
        <stp/>
        <stp>BDH|11321717478927293250</stp>
        <tr r="K26" s="7"/>
      </tp>
      <tp t="e">
        <v>#N/A</v>
        <stp/>
        <stp>BDH|15851542152361389008</stp>
        <tr r="N69" s="24"/>
      </tp>
      <tp t="e">
        <v>#N/A</v>
        <stp/>
        <stp>BDH|15558725335326941363</stp>
        <tr r="O18" s="17"/>
      </tp>
      <tp t="e">
        <v>#N/A</v>
        <stp/>
        <stp>BDH|14207550600246972331</stp>
        <tr r="F20" s="10"/>
      </tp>
      <tp t="e">
        <v>#N/A</v>
        <stp/>
        <stp>BDH|16148385950534063046</stp>
        <tr r="E13" s="24"/>
      </tp>
      <tp t="e">
        <v>#N/A</v>
        <stp/>
        <stp>BDH|13079569462485180199</stp>
        <tr r="W39" s="25"/>
        <tr r="W7" s="3"/>
        <tr r="U17" s="11"/>
        <tr r="W22" s="13"/>
        <tr r="W7" s="13"/>
      </tp>
      <tp t="e">
        <v>#N/A</v>
        <stp/>
        <stp>BDH|13344562261542095681</stp>
        <tr r="H20" s="9"/>
      </tp>
      <tp t="e">
        <v>#N/A</v>
        <stp/>
        <stp>BDH|10974000672007140468</stp>
        <tr r="N39" s="22"/>
      </tp>
      <tp t="e">
        <v>#N/A</v>
        <stp/>
        <stp>BDH|11892274652527747566</stp>
        <tr r="V117" s="18"/>
      </tp>
      <tp t="e">
        <v>#N/A</v>
        <stp/>
        <stp>BDH|17741844794351203399</stp>
        <tr r="G70" s="10"/>
        <tr r="G60" s="11"/>
        <tr r="G20" s="7"/>
      </tp>
      <tp t="e">
        <v>#N/A</v>
        <stp/>
        <stp>BDH|17893690529194303371</stp>
        <tr r="N18" s="10"/>
      </tp>
      <tp t="e">
        <v>#N/A</v>
        <stp/>
        <stp>BDH|16524012809442297034</stp>
        <tr r="T44" s="6"/>
      </tp>
      <tp t="e">
        <v>#N/A</v>
        <stp/>
        <stp>BDH|13310072957472880076</stp>
        <tr r="T23" s="26"/>
      </tp>
      <tp t="e">
        <v>#N/A</v>
        <stp/>
        <stp>BDH|15520211060935817002</stp>
        <tr r="M67" s="10"/>
      </tp>
      <tp t="e">
        <v>#N/A</v>
        <stp/>
        <stp>BDH|12195619651370929549</stp>
        <tr r="M65" s="12"/>
      </tp>
      <tp t="e">
        <v>#N/A</v>
        <stp/>
        <stp>BDH|17601798031482536577</stp>
        <tr r="H15" s="11"/>
      </tp>
      <tp t="e">
        <v>#N/A</v>
        <stp/>
        <stp>BDH|16876243645093348768</stp>
        <tr r="G167" s="18"/>
      </tp>
      <tp t="e">
        <v>#N/A</v>
        <stp/>
        <stp>BDH|14065514131123940558</stp>
        <tr r="I15" s="22"/>
      </tp>
      <tp t="e">
        <v>#N/A</v>
        <stp/>
        <stp>BDH|12150815173961946862</stp>
        <tr r="H35" s="34"/>
      </tp>
      <tp t="e">
        <v>#N/A</v>
        <stp/>
        <stp>BDH|12373714708230562139</stp>
        <tr r="E52" s="13"/>
      </tp>
      <tp t="e">
        <v>#N/A</v>
        <stp/>
        <stp>BDH|10048603406696995436</stp>
        <tr r="Z10" s="28"/>
      </tp>
      <tp t="e">
        <v>#N/A</v>
        <stp/>
        <stp>BDH|12717526322597292696</stp>
        <tr r="Q80" s="24"/>
      </tp>
      <tp t="e">
        <v>#N/A</v>
        <stp/>
        <stp>BDH|10352806803988479480</stp>
        <tr r="AA16" s="24"/>
      </tp>
      <tp t="e">
        <v>#N/A</v>
        <stp/>
        <stp>BDH|15457199013823303219</stp>
        <tr r="J45" s="22"/>
      </tp>
      <tp t="e">
        <v>#N/A</v>
        <stp/>
        <stp>BDH|10514599123376007537</stp>
        <tr r="L151" s="18"/>
      </tp>
      <tp t="e">
        <v>#N/A</v>
        <stp/>
        <stp>BDH|12383404542200451697</stp>
        <tr r="U53" s="10"/>
        <tr r="U43" s="11"/>
        <tr r="U16" s="7"/>
      </tp>
      <tp t="e">
        <v>#N/A</v>
        <stp/>
        <stp>BDH|16798296833033252036</stp>
        <tr r="W27" s="24"/>
      </tp>
      <tp t="e">
        <v>#N/A</v>
        <stp/>
        <stp>BDH|12998020585059158730</stp>
        <tr r="N31" s="24"/>
      </tp>
      <tp t="e">
        <v>#N/A</v>
        <stp/>
        <stp>BDH|14173929158389566528</stp>
        <tr r="T44" s="12"/>
      </tp>
      <tp t="e">
        <v>#N/A</v>
        <stp/>
        <stp>BDH|13570734139160322303</stp>
        <tr r="N34" s="24"/>
      </tp>
      <tp t="e">
        <v>#N/A</v>
        <stp/>
        <stp>BDH|16624370256622957622</stp>
        <tr r="D17" s="17"/>
        <tr r="D20" s="28"/>
      </tp>
      <tp t="e">
        <v>#N/A</v>
        <stp/>
        <stp>BDH|11797054163944820755</stp>
        <tr r="T65" s="21"/>
        <tr r="R23" s="7"/>
      </tp>
      <tp t="e">
        <v>#N/A</v>
        <stp/>
        <stp>BDH|13378761269312925495</stp>
        <tr r="H64" s="24"/>
      </tp>
      <tp t="e">
        <v>#N/A</v>
        <stp/>
        <stp>BDH|14594358043106719180</stp>
        <tr r="K21" s="34"/>
      </tp>
      <tp t="e">
        <v>#N/A</v>
        <stp/>
        <stp>BDH|13934522951071573637</stp>
        <tr r="J24" s="12"/>
      </tp>
      <tp t="e">
        <v>#N/A</v>
        <stp/>
        <stp>BDH|13158957307279646795</stp>
        <tr r="E7" s="14"/>
      </tp>
      <tp t="e">
        <v>#N/A</v>
        <stp/>
        <stp>BDH|14819426820321063763</stp>
        <tr r="U85" s="18"/>
      </tp>
      <tp t="e">
        <v>#N/A</v>
        <stp/>
        <stp>BDH|12232111267608823906</stp>
        <tr r="P182" s="18"/>
      </tp>
      <tp t="e">
        <v>#N/A</v>
        <stp/>
        <stp>BDH|18281778162874905928</stp>
        <tr r="Q78" s="18"/>
      </tp>
      <tp t="e">
        <v>#N/A</v>
        <stp/>
        <stp>BDH|16938081578163456611</stp>
        <tr r="AA190" s="18"/>
      </tp>
      <tp t="e">
        <v>#N/A</v>
        <stp/>
        <stp>BDH|10607396179736879621</stp>
        <tr r="Y56" s="17"/>
      </tp>
      <tp t="e">
        <v>#N/A</v>
        <stp/>
        <stp>BDH|13740535976137755293</stp>
        <tr r="S87" s="24"/>
      </tp>
      <tp t="e">
        <v>#N/A</v>
        <stp/>
        <stp>BDH|16601813016799818253</stp>
        <tr r="U49" s="6"/>
        <tr r="W10" s="8"/>
      </tp>
      <tp t="e">
        <v>#N/A</v>
        <stp/>
        <stp>BDH|16500714641544016594</stp>
        <tr r="W67" s="21"/>
      </tp>
      <tp t="e">
        <v>#N/A</v>
        <stp/>
        <stp>BDH|17878752972220194315</stp>
        <tr r="I8" s="24"/>
      </tp>
      <tp t="e">
        <v>#N/A</v>
        <stp/>
        <stp>BDH|17039924077669823429</stp>
        <tr r="T53" s="18"/>
      </tp>
      <tp t="e">
        <v>#N/A</v>
        <stp/>
        <stp>BDH|11310301324896022280</stp>
        <tr r="F31" s="21"/>
      </tp>
      <tp t="e">
        <v>#N/A</v>
        <stp/>
        <stp>BDH|13975480870956870263</stp>
        <tr r="Z148" s="18"/>
      </tp>
      <tp t="e">
        <v>#N/A</v>
        <stp/>
        <stp>BDH|15622297476996165270</stp>
        <tr r="M41" s="10"/>
        <tr r="M31" s="11"/>
      </tp>
      <tp t="e">
        <v>#N/A</v>
        <stp/>
        <stp>BDH|10403896647169394167</stp>
        <tr r="R88" s="24"/>
      </tp>
      <tp t="e">
        <v>#N/A</v>
        <stp/>
        <stp>BDH|17923746251736082732</stp>
        <tr r="P24" s="18"/>
      </tp>
      <tp t="e">
        <v>#N/A</v>
        <stp/>
        <stp>BDH|17445384423830909290</stp>
        <tr r="P25" s="4"/>
        <tr r="P65" s="10"/>
      </tp>
      <tp t="e">
        <v>#N/A</v>
        <stp/>
        <stp>BDH|16948415565844168437</stp>
        <tr r="I95" s="18"/>
      </tp>
      <tp t="e">
        <v>#N/A</v>
        <stp/>
        <stp>BDH|15027934048875536912</stp>
        <tr r="Y17" s="34"/>
      </tp>
      <tp t="e">
        <v>#N/A</v>
        <stp/>
        <stp>BDH|15270802410930866855</stp>
        <tr r="C52" s="13"/>
      </tp>
      <tp t="e">
        <v>#N/A</v>
        <stp/>
        <stp>BDH|18395491374566640976</stp>
        <tr r="Y23" s="20"/>
      </tp>
      <tp t="e">
        <v>#N/A</v>
        <stp/>
        <stp>BDH|12305701330447431589</stp>
        <tr r="U52" s="4"/>
        <tr r="W8" s="3"/>
        <tr r="U44" s="10"/>
        <tr r="U34" s="11"/>
        <tr r="W45" s="13"/>
      </tp>
      <tp t="e">
        <v>#N/A</v>
        <stp/>
        <stp>BDH|14392413365273070181</stp>
        <tr r="E54" s="13"/>
      </tp>
      <tp t="e">
        <v>#N/A</v>
        <stp/>
        <stp>BDH|16104770898918918485</stp>
        <tr r="H58" s="11"/>
        <tr r="J19" s="23"/>
      </tp>
      <tp t="e">
        <v>#N/A</v>
        <stp/>
        <stp>BDH|10533514018433686356</stp>
        <tr r="E19" s="6"/>
      </tp>
      <tp t="e">
        <v>#N/A</v>
        <stp/>
        <stp>BDH|17195689558317681786</stp>
        <tr r="I24" s="27"/>
      </tp>
      <tp t="e">
        <v>#N/A</v>
        <stp/>
        <stp>BDH|18207949273542392098</stp>
        <tr r="P17" s="22"/>
      </tp>
      <tp t="e">
        <v>#N/A</v>
        <stp/>
        <stp>BDH|10545130359975299528</stp>
        <tr r="L8" s="14"/>
      </tp>
      <tp t="e">
        <v>#N/A</v>
        <stp/>
        <stp>BDH|12647301074704972649</stp>
        <tr r="V86" s="12"/>
      </tp>
      <tp t="e">
        <v>#N/A</v>
        <stp/>
        <stp>BDH|10024094253851242076</stp>
        <tr r="G63" s="17"/>
      </tp>
      <tp t="e">
        <v>#N/A</v>
        <stp/>
        <stp>BDH|12780352959975726532</stp>
        <tr r="Y10" s="22"/>
      </tp>
      <tp t="e">
        <v>#N/A</v>
        <stp/>
        <stp>BDH|13183400400815647687</stp>
        <tr r="F74" s="18"/>
      </tp>
      <tp t="e">
        <v>#N/A</v>
        <stp/>
        <stp>BDH|15646599521532791462</stp>
        <tr r="J124" s="18"/>
        <tr r="J13" s="20"/>
      </tp>
      <tp t="e">
        <v>#N/A</v>
        <stp/>
        <stp>BDH|14517293474132269757</stp>
        <tr r="Z14" s="23"/>
      </tp>
      <tp t="e">
        <v>#N/A</v>
        <stp/>
        <stp>BDH|13866892549968499335</stp>
        <tr r="V172" s="18"/>
      </tp>
      <tp t="e">
        <v>#N/A</v>
        <stp/>
        <stp>BDH|17613179656306199193</stp>
        <tr r="J64" s="12"/>
      </tp>
      <tp t="e">
        <v>#N/A</v>
        <stp/>
        <stp>BDH|11749583404777233762</stp>
        <tr r="K80" s="34"/>
      </tp>
      <tp t="e">
        <v>#N/A</v>
        <stp/>
        <stp>BDH|18312895944628301823</stp>
        <tr r="D19" s="13"/>
      </tp>
      <tp t="e">
        <v>#N/A</v>
        <stp/>
        <stp>BDH|16761150208654233772</stp>
        <tr r="F45" s="4"/>
        <tr r="F33" s="10"/>
        <tr r="F23" s="11"/>
        <tr r="H33" s="13"/>
      </tp>
      <tp t="e">
        <v>#N/A</v>
        <stp/>
        <stp>BDH|11905336584918782666</stp>
        <tr r="K22" s="34"/>
      </tp>
      <tp t="e">
        <v>#N/A</v>
        <stp/>
        <stp>BDH|10579131656627890779</stp>
        <tr r="P82" s="24"/>
      </tp>
      <tp t="e">
        <v>#N/A</v>
        <stp/>
        <stp>BDH|14210443868150326221</stp>
        <tr r="H211" s="18"/>
      </tp>
      <tp t="e">
        <v>#N/A</v>
        <stp/>
        <stp>BDH|14574401646501929151</stp>
        <tr r="K106" s="12"/>
      </tp>
      <tp t="e">
        <v>#N/A</v>
        <stp/>
        <stp>BDH|14966783706803884405</stp>
        <tr r="N31" s="29"/>
      </tp>
      <tp t="e">
        <v>#N/A</v>
        <stp/>
        <stp>BDH|12155002177453822211</stp>
        <tr r="E45" s="12"/>
      </tp>
      <tp t="e">
        <v>#N/A</v>
        <stp/>
        <stp>BDH|14813864798957095692</stp>
        <tr r="N8" s="21"/>
      </tp>
      <tp t="e">
        <v>#N/A</v>
        <stp/>
        <stp>BDH|16730369545570292591</stp>
        <tr r="G27" s="26"/>
      </tp>
      <tp t="e">
        <v>#N/A</v>
        <stp/>
        <stp>BDH|10260181264746175500</stp>
        <tr r="V7" s="14"/>
      </tp>
      <tp t="e">
        <v>#N/A</v>
        <stp/>
        <stp>BDH|13895110274692203309</stp>
        <tr r="N38" s="26"/>
      </tp>
      <tp t="e">
        <v>#N/A</v>
        <stp/>
        <stp>BDH|18106171265869498286</stp>
        <tr r="U28" s="12"/>
      </tp>
      <tp t="e">
        <v>#N/A</v>
        <stp/>
        <stp>BDH|17870781950044850576</stp>
        <tr r="S28" s="17"/>
      </tp>
      <tp t="e">
        <v>#N/A</v>
        <stp/>
        <stp>BDH|10955700050513746511</stp>
        <tr r="N12" s="3"/>
        <tr r="L55" s="10"/>
        <tr r="L45" s="11"/>
        <tr r="L7" s="7"/>
      </tp>
      <tp t="e">
        <v>#N/A</v>
        <stp/>
        <stp>BDH|16564598012746459058</stp>
        <tr r="O7" s="6"/>
      </tp>
      <tp t="e">
        <v>#N/A</v>
        <stp/>
        <stp>BDH|18271557796274849462</stp>
        <tr r="S46" s="4"/>
        <tr r="S23" s="10"/>
        <tr r="U42" s="13"/>
      </tp>
      <tp t="e">
        <v>#N/A</v>
        <stp/>
        <stp>BDH|14953928292231699102</stp>
        <tr r="Q32" s="25"/>
        <tr r="Q18" s="27"/>
      </tp>
      <tp t="e">
        <v>#N/A</v>
        <stp/>
        <stp>BDH|13527269418291304562</stp>
        <tr r="K14" s="28"/>
      </tp>
      <tp t="e">
        <v>#N/A</v>
        <stp/>
        <stp>BDH|10627042069436188445</stp>
        <tr r="E160" s="18"/>
      </tp>
      <tp t="e">
        <v>#N/A</v>
        <stp/>
        <stp>BDH|17171286692928259074</stp>
        <tr r="K18" s="23"/>
      </tp>
      <tp t="e">
        <v>#N/A</v>
        <stp/>
        <stp>BDH|16775137839048280811</stp>
        <tr r="I106" s="18"/>
      </tp>
      <tp t="e">
        <v>#N/A</v>
        <stp/>
        <stp>BDH|14595325548773236431</stp>
        <tr r="K65" s="13"/>
      </tp>
      <tp t="e">
        <v>#N/A</v>
        <stp/>
        <stp>BDH|13079362415831413494</stp>
        <tr r="C80" s="34"/>
      </tp>
      <tp t="e">
        <v>#N/A</v>
        <stp/>
        <stp>BDH|13164185646164691673</stp>
        <tr r="T58" s="34"/>
      </tp>
      <tp t="e">
        <v>#N/A</v>
        <stp/>
        <stp>BDH|10139394549460785384</stp>
        <tr r="K138" s="18"/>
      </tp>
      <tp t="e">
        <v>#N/A</v>
        <stp/>
        <stp>BDH|10585450718816067769</stp>
        <tr r="M46" s="17"/>
      </tp>
      <tp t="e">
        <v>#N/A</v>
        <stp/>
        <stp>BDH|17315447615825862347</stp>
        <tr r="P21" s="10"/>
      </tp>
      <tp t="e">
        <v>#N/A</v>
        <stp/>
        <stp>BDH|11796462914754826430</stp>
        <tr r="L32" s="25"/>
        <tr r="L18" s="27"/>
      </tp>
      <tp t="e">
        <v>#N/A</v>
        <stp/>
        <stp>BDH|15363749858232977184</stp>
        <tr r="F21" s="10"/>
      </tp>
      <tp t="e">
        <v>#N/A</v>
        <stp/>
        <stp>BDH|11635479249761069465</stp>
        <tr r="J51" s="21"/>
      </tp>
      <tp t="e">
        <v>#N/A</v>
        <stp/>
        <stp>BDH|10840545853991330525</stp>
        <tr r="F120" s="18"/>
        <tr r="F8" s="20"/>
      </tp>
      <tp t="e">
        <v>#N/A</v>
        <stp/>
        <stp>BDH|14489192514583164367</stp>
        <tr r="H42" s="24"/>
      </tp>
      <tp t="e">
        <v>#N/A</v>
        <stp/>
        <stp>BDH|13283286322230728713</stp>
        <tr r="J11" s="29"/>
      </tp>
      <tp t="e">
        <v>#N/A</v>
        <stp/>
        <stp>BDH|13573823289093213428</stp>
        <tr r="X26" s="26"/>
      </tp>
      <tp t="e">
        <v>#N/A</v>
        <stp/>
        <stp>BDH|11813523331801435214</stp>
        <tr r="K50" s="12"/>
      </tp>
      <tp t="e">
        <v>#N/A</v>
        <stp/>
        <stp>BDH|18180951043676050797</stp>
        <tr r="C122" s="18"/>
        <tr r="C11" s="20"/>
      </tp>
      <tp t="e">
        <v>#N/A</v>
        <stp/>
        <stp>BDH|16852414519526887161</stp>
        <tr r="H54" s="17"/>
      </tp>
      <tp t="e">
        <v>#N/A</v>
        <stp/>
        <stp>BDH|11475471978431281776</stp>
        <tr r="F63" s="24"/>
      </tp>
      <tp t="e">
        <v>#N/A</v>
        <stp/>
        <stp>BDH|14852425313717437238</stp>
        <tr r="AA55" s="18"/>
      </tp>
      <tp t="e">
        <v>#N/A</v>
        <stp/>
        <stp>BDH|16095450039331225404</stp>
        <tr r="F34" s="5"/>
        <tr r="H32" s="29"/>
      </tp>
      <tp t="e">
        <v>#N/A</v>
        <stp/>
        <stp>BDH|15211646081467848814</stp>
        <tr r="N14" s="21"/>
      </tp>
      <tp t="e">
        <v>#N/A</v>
        <stp/>
        <stp>BDH|11045499769693780490</stp>
        <tr r="T55" s="12"/>
      </tp>
      <tp t="e">
        <v>#N/A</v>
        <stp/>
        <stp>BDH|16973515146105656665</stp>
        <tr r="AA13" s="18"/>
      </tp>
      <tp t="e">
        <v>#N/A</v>
        <stp/>
        <stp>BDH|16855226052171275446</stp>
        <tr r="Q50" s="12"/>
      </tp>
      <tp t="e">
        <v>#N/A</v>
        <stp/>
        <stp>BDH|10750632044344616286</stp>
        <tr r="Q10" s="10"/>
      </tp>
      <tp t="e">
        <v>#N/A</v>
        <stp/>
        <stp>BDH|14168297503685609735</stp>
        <tr r="H12" s="24"/>
      </tp>
      <tp t="e">
        <v>#N/A</v>
        <stp/>
        <stp>BDH|13750048359466394472</stp>
        <tr r="D111" s="18"/>
      </tp>
      <tp t="e">
        <v>#N/A</v>
        <stp/>
        <stp>BDH|18113777898101818384</stp>
        <tr r="H34" s="29"/>
      </tp>
      <tp t="e">
        <v>#N/A</v>
        <stp/>
        <stp>BDH|17872213801561339053</stp>
        <tr r="S59" s="21"/>
        <tr r="S37" s="25"/>
        <tr r="Q31" s="4"/>
        <tr r="Q52" s="11"/>
      </tp>
      <tp t="e">
        <v>#N/A</v>
        <stp/>
        <stp>BDH|10784159501104817150</stp>
        <tr r="H109" s="18"/>
      </tp>
      <tp t="e">
        <v>#N/A</v>
        <stp/>
        <stp>BDH|16295495601174284264</stp>
        <tr r="R51" s="34"/>
      </tp>
      <tp t="e">
        <v>#N/A</v>
        <stp/>
        <stp>BDH|11598538055460951540</stp>
        <tr r="F12" s="6"/>
      </tp>
      <tp t="e">
        <v>#N/A</v>
        <stp/>
        <stp>BDH|14733934348515664843</stp>
        <tr r="Q13" s="22"/>
      </tp>
      <tp t="e">
        <v>#N/A</v>
        <stp/>
        <stp>BDH|10874935892123158761</stp>
        <tr r="J18" s="22"/>
      </tp>
      <tp t="e">
        <v>#N/A</v>
        <stp/>
        <stp>BDH|12593023480427987901</stp>
        <tr r="M7" s="24"/>
      </tp>
      <tp t="e">
        <v>#N/A</v>
        <stp/>
        <stp>BDH|15239380167523227712</stp>
        <tr r="Y64" s="24"/>
      </tp>
      <tp t="e">
        <v>#N/A</v>
        <stp/>
        <stp>BDH|15511159635584235798</stp>
        <tr r="S8" s="14"/>
      </tp>
      <tp t="e">
        <v>#N/A</v>
        <stp/>
        <stp>BDH|10429563962010766791</stp>
        <tr r="Y8" s="10"/>
      </tp>
      <tp t="e">
        <v>#N/A</v>
        <stp/>
        <stp>BDH|12091117378966432632</stp>
        <tr r="N27" s="7"/>
      </tp>
      <tp t="e">
        <v>#N/A</v>
        <stp/>
        <stp>BDH|12811360639097108187</stp>
        <tr r="I30" s="34"/>
      </tp>
      <tp t="e">
        <v>#N/A</v>
        <stp/>
        <stp>BDH|12476377350610435090</stp>
        <tr r="Y7" s="11"/>
      </tp>
      <tp t="e">
        <v>#N/A</v>
        <stp/>
        <stp>BDH|15897624271102604239</stp>
        <tr r="C23" s="26"/>
      </tp>
      <tp t="e">
        <v>#N/A</v>
        <stp/>
        <stp>BDH|17625680888689014480</stp>
        <tr r="D86" s="12"/>
      </tp>
      <tp t="e">
        <v>#N/A</v>
        <stp/>
        <stp>BDH|14331958760897924815</stp>
        <tr r="C13" s="6"/>
      </tp>
      <tp t="e">
        <v>#N/A</v>
        <stp/>
        <stp>BDH|10726566160744905298</stp>
        <tr r="D39" s="13"/>
      </tp>
      <tp t="e">
        <v>#N/A</v>
        <stp/>
        <stp>BDH|16456822540276465938</stp>
        <tr r="H11" s="7"/>
      </tp>
      <tp t="e">
        <v>#N/A</v>
        <stp/>
        <stp>BDH|11132526437902678031</stp>
        <tr r="M7" s="2"/>
        <tr r="L7" s="5"/>
        <tr r="L7" s="9"/>
        <tr r="O14" s="3"/>
      </tp>
      <tp t="e">
        <v>#N/A</v>
        <stp/>
        <stp>BDH|14653016076256786073</stp>
        <tr r="P126" s="18"/>
      </tp>
      <tp t="e">
        <v>#N/A</v>
        <stp/>
        <stp>BDH|10695298476447889704</stp>
        <tr r="R8" s="26"/>
        <tr r="O10" s="9"/>
      </tp>
      <tp t="e">
        <v>#N/A</v>
        <stp/>
        <stp>BDH|11447142717270049469</stp>
        <tr r="F47" s="34"/>
      </tp>
      <tp t="e">
        <v>#N/A</v>
        <stp/>
        <stp>BDH|17300974881536798531</stp>
        <tr r="T91" s="18"/>
      </tp>
      <tp t="e">
        <v>#N/A</v>
        <stp/>
        <stp>BDH|13438629970397637012</stp>
        <tr r="G21" s="20"/>
      </tp>
      <tp t="e">
        <v>#N/A</v>
        <stp/>
        <stp>BDH|17297035998199848201</stp>
        <tr r="V38" s="26"/>
      </tp>
      <tp t="e">
        <v>#N/A</v>
        <stp/>
        <stp>BDH|17322435814163672439</stp>
        <tr r="L25" s="18"/>
      </tp>
      <tp t="e">
        <v>#N/A</v>
        <stp/>
        <stp>BDH|12671316542845569517</stp>
        <tr r="X59" s="11"/>
      </tp>
      <tp t="e">
        <v>#N/A</v>
        <stp/>
        <stp>BDH|14488159818542850309</stp>
        <tr r="K18" s="34"/>
      </tp>
      <tp t="e">
        <v>#N/A</v>
        <stp/>
        <stp>BDH|11130432253153296621</stp>
        <tr r="V25" s="9"/>
      </tp>
      <tp t="e">
        <v>#N/A</v>
        <stp/>
        <stp>BDH|15028618327386331242</stp>
        <tr r="L82" s="24"/>
      </tp>
      <tp t="e">
        <v>#N/A</v>
        <stp/>
        <stp>BDH|15286285109466468460</stp>
        <tr r="Q73" s="13"/>
      </tp>
      <tp t="e">
        <v>#N/A</v>
        <stp/>
        <stp>BDH|14359490608087199222</stp>
        <tr r="C56" s="12"/>
      </tp>
      <tp t="e">
        <v>#N/A</v>
        <stp/>
        <stp>BDH|16097374516590712177</stp>
        <tr r="I13" s="13"/>
      </tp>
      <tp t="e">
        <v>#N/A</v>
        <stp/>
        <stp>BDH|18415530440509023568</stp>
        <tr r="S33" s="22"/>
      </tp>
      <tp t="e">
        <v>#N/A</v>
        <stp/>
        <stp>BDH|13179935102399048618</stp>
        <tr r="D8" s="24"/>
      </tp>
      <tp t="e">
        <v>#N/A</v>
        <stp/>
        <stp>BDH|17901593536811646512</stp>
        <tr r="V52" s="17"/>
        <tr r="V10" s="25"/>
      </tp>
      <tp t="e">
        <v>#N/A</v>
        <stp/>
        <stp>BDH|14322312636108191944</stp>
        <tr r="S22" s="10"/>
      </tp>
      <tp t="e">
        <v>#N/A</v>
        <stp/>
        <stp>BDH|16047530614024337354</stp>
        <tr r="C7" s="34"/>
      </tp>
      <tp t="e">
        <v>#N/A</v>
        <stp/>
        <stp>BDH|18158592358855293834</stp>
        <tr r="R143" s="18"/>
      </tp>
      <tp t="e">
        <v>#N/A</v>
        <stp/>
        <stp>BDH|14324641245131490279</stp>
        <tr r="G32" s="5"/>
      </tp>
      <tp t="e">
        <v>#N/A</v>
        <stp/>
        <stp>BDH|18200271561748470113</stp>
        <tr r="E34" s="21"/>
      </tp>
      <tp t="e">
        <v>#N/A</v>
        <stp/>
        <stp>BDH|15209190979392664454</stp>
        <tr r="K19" s="10"/>
      </tp>
      <tp t="e">
        <v>#N/A</v>
        <stp/>
        <stp>BDH|14700425504726863385</stp>
        <tr r="Z22" s="14"/>
      </tp>
      <tp t="e">
        <v>#N/A</v>
        <stp/>
        <stp>BDH|13447886189831184753</stp>
        <tr r="F7" s="11"/>
      </tp>
      <tp t="e">
        <v>#N/A</v>
        <stp/>
        <stp>BDH|12611084499409186778</stp>
        <tr r="P34" s="5"/>
        <tr r="R32" s="29"/>
      </tp>
      <tp t="e">
        <v>#N/A</v>
        <stp/>
        <stp>BDH|13301009811826299119</stp>
        <tr r="D33" s="14"/>
      </tp>
      <tp t="e">
        <v>#N/A</v>
        <stp/>
        <stp>BDH|12569466334709066966</stp>
        <tr r="U18" s="9"/>
      </tp>
      <tp t="e">
        <v>#N/A</v>
        <stp/>
        <stp>BDH|12418411655913565548</stp>
        <tr r="K48" s="22"/>
      </tp>
      <tp t="e">
        <v>#N/A</v>
        <stp/>
        <stp>BDH|15817937716161473987</stp>
        <tr r="T166" s="18"/>
      </tp>
      <tp t="e">
        <v>#N/A</v>
        <stp/>
        <stp>BDH|14515903551455246874</stp>
        <tr r="S13" s="21"/>
      </tp>
      <tp t="e">
        <v>#N/A</v>
        <stp/>
        <stp>BDH|18261040791995184172</stp>
        <tr r="P13" s="26"/>
      </tp>
      <tp t="e">
        <v>#N/A</v>
        <stp/>
        <stp>BDH|13990288127531737702</stp>
        <tr r="Y15" s="18"/>
      </tp>
      <tp t="e">
        <v>#N/A</v>
        <stp/>
        <stp>BDH|14944428502923015681</stp>
        <tr r="C7" s="8"/>
      </tp>
      <tp t="e">
        <v>#N/A</v>
        <stp/>
        <stp>BDH|13534034217815627268</stp>
        <tr r="F11" s="14"/>
      </tp>
      <tp t="e">
        <v>#N/A</v>
        <stp/>
        <stp>BDH|11178659422892148266</stp>
        <tr r="V53" s="6"/>
      </tp>
      <tp t="e">
        <v>#N/A</v>
        <stp/>
        <stp>BDH|13211139489429838604</stp>
        <tr r="N61" s="24"/>
      </tp>
      <tp t="e">
        <v>#N/A</v>
        <stp/>
        <stp>BDH|16384255512736724633</stp>
        <tr r="O13" s="24"/>
      </tp>
      <tp t="e">
        <v>#N/A</v>
        <stp/>
        <stp>BDH|17091625648248925837</stp>
        <tr r="O34" s="29"/>
      </tp>
      <tp t="e">
        <v>#N/A</v>
        <stp/>
        <stp>BDH|14205600204111432628</stp>
        <tr r="T91" s="12"/>
      </tp>
      <tp t="e">
        <v>#N/A</v>
        <stp/>
        <stp>BDH|16947064672476497297</stp>
        <tr r="W134" s="18"/>
      </tp>
      <tp t="e">
        <v>#N/A</v>
        <stp/>
        <stp>BDH|11335153310765768118</stp>
        <tr r="E126" s="18"/>
      </tp>
      <tp t="e">
        <v>#N/A</v>
        <stp/>
        <stp>BDH|11331530434481160359</stp>
        <tr r="H70" s="24"/>
      </tp>
      <tp t="e">
        <v>#N/A</v>
        <stp/>
        <stp>BDH|12628415850020571628</stp>
        <tr r="X51" s="21"/>
      </tp>
      <tp t="e">
        <v>#N/A</v>
        <stp/>
        <stp>BDH|14153201155582766438</stp>
        <tr r="N26" s="10"/>
        <tr r="P35" s="13"/>
      </tp>
      <tp t="e">
        <v>#N/A</v>
        <stp/>
        <stp>BDH|17315704946181020059</stp>
        <tr r="K21" s="3"/>
      </tp>
      <tp t="e">
        <v>#N/A</v>
        <stp/>
        <stp>BDH|12310363298688998542</stp>
        <tr r="M30" s="34"/>
      </tp>
      <tp t="e">
        <v>#N/A</v>
        <stp/>
        <stp>BDH|13820640109071292175</stp>
        <tr r="K63" s="24"/>
      </tp>
      <tp t="e">
        <v>#N/A</v>
        <stp/>
        <stp>BDH|16494376791368637141</stp>
        <tr r="O29" s="18"/>
      </tp>
      <tp t="e">
        <v>#N/A</v>
        <stp/>
        <stp>BDH|10841786475481590402</stp>
        <tr r="W69" s="17"/>
      </tp>
      <tp t="e">
        <v>#N/A</v>
        <stp/>
        <stp>BDH|11825112068825979682</stp>
        <tr r="S59" s="34"/>
      </tp>
      <tp t="e">
        <v>#N/A</v>
        <stp/>
        <stp>BDH|12361440576614457058</stp>
        <tr r="S8" s="34"/>
      </tp>
      <tp t="e">
        <v>#N/A</v>
        <stp/>
        <stp>BDH|15880531957829486985</stp>
        <tr r="W59" s="34"/>
      </tp>
      <tp t="e">
        <v>#N/A</v>
        <stp/>
        <stp>BDH|11626163820844532356</stp>
        <tr r="L132" s="18"/>
      </tp>
      <tp t="e">
        <v>#N/A</v>
        <stp/>
        <stp>BDH|14469405614431394532</stp>
        <tr r="X10" s="14"/>
      </tp>
      <tp t="e">
        <v>#N/A</v>
        <stp/>
        <stp>BDH|13362080115210717799</stp>
        <tr r="N17" s="23"/>
      </tp>
      <tp t="e">
        <v>#N/A</v>
        <stp/>
        <stp>BDH|10491911133327202847</stp>
        <tr r="C199" s="18"/>
      </tp>
      <tp t="e">
        <v>#N/A</v>
        <stp/>
        <stp>BDH|18243742607292535844</stp>
        <tr r="P24" s="21"/>
      </tp>
      <tp t="e">
        <v>#N/A</v>
        <stp/>
        <stp>BDH|12370447614085526761</stp>
        <tr r="U6" s="28"/>
      </tp>
      <tp t="e">
        <v>#N/A</v>
        <stp/>
        <stp>BDH|10295986049821170923</stp>
        <tr r="P22" s="4"/>
      </tp>
      <tp t="e">
        <v>#N/A</v>
        <stp/>
        <stp>BDH|16961201275207400186</stp>
        <tr r="S9" s="21"/>
      </tp>
      <tp t="e">
        <v>#N/A</v>
        <stp/>
        <stp>BDH|14085148475495865290</stp>
        <tr r="M35" s="6"/>
      </tp>
      <tp t="e">
        <v>#N/A</v>
        <stp/>
        <stp>BDH|13750443126622668234</stp>
        <tr r="V170" s="18"/>
      </tp>
      <tp t="e">
        <v>#N/A</v>
        <stp/>
        <stp>BDH|17048103429487950604</stp>
        <tr r="J75" s="24"/>
      </tp>
      <tp t="e">
        <v>#N/A</v>
        <stp/>
        <stp>BDH|16445827786302432141</stp>
        <tr r="M38" s="25"/>
      </tp>
      <tp t="e">
        <v>#N/A</v>
        <stp/>
        <stp>BDH|14838995794744478514</stp>
        <tr r="H170" s="18"/>
      </tp>
      <tp t="e">
        <v>#N/A</v>
        <stp/>
        <stp>BDH|14131355403651355344</stp>
        <tr r="I9" s="17"/>
      </tp>
      <tp t="e">
        <v>#N/A</v>
        <stp/>
        <stp>BDH|15850382672515529170</stp>
        <tr r="T16" s="14"/>
      </tp>
      <tp t="e">
        <v>#N/A</v>
        <stp/>
        <stp>BDH|13532342504991005458</stp>
        <tr r="D71" s="24"/>
      </tp>
      <tp t="e">
        <v>#N/A</v>
        <stp/>
        <stp>BDH|13747554771071516566</stp>
        <tr r="T51" s="17"/>
        <tr r="T17" s="3"/>
      </tp>
      <tp t="e">
        <v>#N/A</v>
        <stp/>
        <stp>BDH|17845273608132030272</stp>
        <tr r="O55" s="13"/>
      </tp>
      <tp t="e">
        <v>#N/A</v>
        <stp/>
        <stp>BDH|11575644340715909382</stp>
        <tr r="S11" s="6"/>
      </tp>
      <tp t="e">
        <v>#N/A</v>
        <stp/>
        <stp>BDH|17532086608242325063</stp>
        <tr r="R49" s="6"/>
        <tr r="T10" s="8"/>
      </tp>
      <tp t="e">
        <v>#N/A</v>
        <stp/>
        <stp>BDH|17928848269485296962</stp>
        <tr r="R10" s="11"/>
      </tp>
      <tp t="e">
        <v>#N/A</v>
        <stp/>
        <stp>BDH|14312314075502175762</stp>
        <tr r="K11" s="7"/>
      </tp>
      <tp t="e">
        <v>#N/A</v>
        <stp/>
        <stp>BDH|10798848166529398268</stp>
        <tr r="F61" s="34"/>
      </tp>
      <tp t="e">
        <v>#N/A</v>
        <stp/>
        <stp>BDH|17755535365441010010</stp>
        <tr r="J44" s="12"/>
      </tp>
      <tp t="e">
        <v>#N/A</v>
        <stp/>
        <stp>BDH|13421972473529339132</stp>
        <tr r="K78" s="18"/>
      </tp>
      <tp t="e">
        <v>#N/A</v>
        <stp/>
        <stp>BDH|12739093157284859613</stp>
        <tr r="Q155" s="18"/>
      </tp>
      <tp t="e">
        <v>#N/A</v>
        <stp/>
        <stp>BDH|12851988969668832022</stp>
        <tr r="C9" s="3"/>
      </tp>
      <tp t="e">
        <v>#N/A</v>
        <stp/>
        <stp>BDH|13633707916154365409</stp>
        <tr r="X78" s="17"/>
      </tp>
      <tp t="e">
        <v>#N/A</v>
        <stp/>
        <stp>BDH|15939524029235890296</stp>
        <tr r="X6" s="27"/>
      </tp>
      <tp t="e">
        <v>#N/A</v>
        <stp/>
        <stp>BDH|14518506530700228748</stp>
        <tr r="D114" s="18"/>
      </tp>
      <tp t="e">
        <v>#N/A</v>
        <stp/>
        <stp>BDH|14426814210169253148</stp>
        <tr r="AA48" s="18"/>
      </tp>
      <tp t="e">
        <v>#N/A</v>
        <stp/>
        <stp>BDH|13496670727673754100</stp>
        <tr r="X79" s="24"/>
      </tp>
      <tp t="e">
        <v>#N/A</v>
        <stp/>
        <stp>BDH|14156903787766095652</stp>
        <tr r="Y28" s="18"/>
      </tp>
      <tp t="e">
        <v>#N/A</v>
        <stp/>
        <stp>BDH|16892034828634372535</stp>
        <tr r="V88" s="24"/>
      </tp>
      <tp t="e">
        <v>#N/A</v>
        <stp/>
        <stp>BDH|10923285350796583471</stp>
        <tr r="Q25" s="4"/>
        <tr r="Q65" s="10"/>
      </tp>
      <tp t="e">
        <v>#N/A</v>
        <stp/>
        <stp>BDH|16291104794769713222</stp>
        <tr r="H17" s="12"/>
      </tp>
      <tp t="e">
        <v>#N/A</v>
        <stp/>
        <stp>BDH|16212446325343757678</stp>
        <tr r="G33" s="12"/>
      </tp>
      <tp t="e">
        <v>#N/A</v>
        <stp/>
        <stp>BDH|13070628325390205264</stp>
        <tr r="S51" s="18"/>
      </tp>
      <tp t="e">
        <v>#N/A</v>
        <stp/>
        <stp>BDH|14974586728500251689</stp>
        <tr r="N73" s="18"/>
      </tp>
      <tp t="e">
        <v>#N/A</v>
        <stp/>
        <stp>BDH|11298572142484129152</stp>
        <tr r="V7" s="30"/>
      </tp>
      <tp t="e">
        <v>#N/A</v>
        <stp/>
        <stp>BDH|13792369892918413446</stp>
        <tr r="C31" s="21"/>
      </tp>
      <tp t="e">
        <v>#N/A</v>
        <stp/>
        <stp>BDH|10072209637164644025</stp>
        <tr r="M18" s="18"/>
      </tp>
      <tp t="e">
        <v>#N/A</v>
        <stp/>
        <stp>BDH|17130066921983061354</stp>
        <tr r="C91" s="24"/>
      </tp>
      <tp t="e">
        <v>#N/A</v>
        <stp/>
        <stp>BDH|14901694683707095804</stp>
        <tr r="V8" s="8"/>
      </tp>
      <tp t="e">
        <v>#N/A</v>
        <stp/>
        <stp>BDH|10460633003836058575</stp>
        <tr r="M186" s="18"/>
      </tp>
      <tp t="e">
        <v>#N/A</v>
        <stp/>
        <stp>BDH|18186833402132025735</stp>
        <tr r="Z118" s="18"/>
        <tr r="Z6" s="20"/>
      </tp>
      <tp t="e">
        <v>#N/A</v>
        <stp/>
        <stp>BDH|15910598633626507052</stp>
        <tr r="H9" s="24"/>
      </tp>
      <tp t="e">
        <v>#N/A</v>
        <stp/>
        <stp>BDH|14890387561385051124</stp>
        <tr r="R90" s="12"/>
      </tp>
      <tp t="e">
        <v>#N/A</v>
        <stp/>
        <stp>BDH|13657589806777926425</stp>
        <tr r="V27" s="17"/>
      </tp>
      <tp t="e">
        <v>#N/A</v>
        <stp/>
        <stp>BDH|12347906001998455652</stp>
        <tr r="V14" s="4"/>
      </tp>
      <tp t="e">
        <v>#N/A</v>
        <stp/>
        <stp>BDH|15574219506944236638</stp>
        <tr r="J74" s="18"/>
      </tp>
      <tp t="e">
        <v>#N/A</v>
        <stp/>
        <stp>BDH|12763306964035332730</stp>
        <tr r="I37" s="22"/>
      </tp>
      <tp t="e">
        <v>#N/A</v>
        <stp/>
        <stp>BDH|13663561560081479473</stp>
        <tr r="K155" s="18"/>
      </tp>
      <tp t="e">
        <v>#N/A</v>
        <stp/>
        <stp>BDH|10136697742262916504</stp>
        <tr r="N83" s="12"/>
      </tp>
      <tp t="e">
        <v>#N/A</v>
        <stp/>
        <stp>BDH|17980756896745988903</stp>
        <tr r="L50" s="34"/>
      </tp>
      <tp t="e">
        <v>#N/A</v>
        <stp/>
        <stp>BDH|13724103667472164321</stp>
        <tr r="Q64" s="12"/>
      </tp>
      <tp t="e">
        <v>#N/A</v>
        <stp/>
        <stp>BDH|13350033004831791705</stp>
        <tr r="Z27" s="14"/>
      </tp>
      <tp t="e">
        <v>#N/A</v>
        <stp/>
        <stp>BDH|14349672981109154673</stp>
        <tr r="F16" s="10"/>
      </tp>
      <tp t="e">
        <v>#N/A</v>
        <stp/>
        <stp>BDH|17318563287549464651</stp>
        <tr r="O7" s="11"/>
      </tp>
      <tp t="e">
        <v>#N/A</v>
        <stp/>
        <stp>BDH|14566726210022332573</stp>
        <tr r="W38" s="6"/>
      </tp>
      <tp t="e">
        <v>#N/A</v>
        <stp/>
        <stp>BDH|13163152596457110901</stp>
        <tr r="C11" s="30"/>
      </tp>
      <tp t="e">
        <v>#N/A</v>
        <stp/>
        <stp>BDH|10215200992477429977</stp>
        <tr r="Q13" s="26"/>
      </tp>
      <tp t="e">
        <v>#N/A</v>
        <stp/>
        <stp>BDH|10224208169881849001</stp>
        <tr r="Q16" s="11"/>
      </tp>
      <tp t="e">
        <v>#N/A</v>
        <stp/>
        <stp>BDH|17332885568214065805</stp>
        <tr r="F9" s="12"/>
      </tp>
      <tp t="e">
        <v>#N/A</v>
        <stp/>
        <stp>BDH|14107348501893277151</stp>
        <tr r="Q34" s="14"/>
      </tp>
      <tp t="e">
        <v>#N/A</v>
        <stp/>
        <stp>BDH|16959197223634116413</stp>
        <tr r="Y51" s="34"/>
      </tp>
      <tp t="e">
        <v>#N/A</v>
        <stp/>
        <stp>BDH|17769760714101068567</stp>
        <tr r="Y89" s="17"/>
      </tp>
      <tp t="e">
        <v>#N/A</v>
        <stp/>
        <stp>BDH|12199138356292441131</stp>
        <tr r="M21" s="4"/>
      </tp>
      <tp t="e">
        <v>#N/A</v>
        <stp/>
        <stp>BDH|16365002524263058246</stp>
        <tr r="P10" s="23"/>
      </tp>
      <tp t="e">
        <v>#N/A</v>
        <stp/>
        <stp>BDH|16779039557550097607</stp>
        <tr r="K74" s="34"/>
      </tp>
      <tp t="e">
        <v>#N/A</v>
        <stp/>
        <stp>BDH|14054401340343207212</stp>
        <tr r="G19" s="30"/>
      </tp>
      <tp t="e">
        <v>#N/A</v>
        <stp/>
        <stp>BDH|14314212753200635646</stp>
        <tr r="C143" s="18"/>
      </tp>
      <tp t="e">
        <v>#N/A</v>
        <stp/>
        <stp>BDH|15985113296389411182</stp>
        <tr r="O22" s="21"/>
      </tp>
      <tp t="e">
        <v>#N/A</v>
        <stp/>
        <stp>BDH|17586473068795072581</stp>
        <tr r="Q192" s="18"/>
      </tp>
      <tp t="e">
        <v>#N/A</v>
        <stp/>
        <stp>BDH|14185620791099844786</stp>
        <tr r="AA14" s="12"/>
      </tp>
      <tp t="e">
        <v>#N/A</v>
        <stp/>
        <stp>BDH|13194216019792968724</stp>
        <tr r="M47" s="6"/>
        <tr r="O6" s="8"/>
      </tp>
      <tp t="e">
        <v>#N/A</v>
        <stp/>
        <stp>BDH|14515468556323665316</stp>
        <tr r="S39" s="6"/>
      </tp>
      <tp t="e">
        <v>#N/A</v>
        <stp/>
        <stp>BDH|10108655126010599156</stp>
        <tr r="N36" s="34"/>
      </tp>
      <tp t="e">
        <v>#N/A</v>
        <stp/>
        <stp>BDH|16249938864385319944</stp>
        <tr r="Y20" s="2"/>
        <tr r="Y18" s="4"/>
        <tr r="Y58" s="10"/>
        <tr r="Y48" s="11"/>
        <tr r="Y19" s="7"/>
        <tr r="AA74" s="13"/>
      </tp>
      <tp t="e">
        <v>#N/A</v>
        <stp/>
        <stp>BDH|13434779664567567003</stp>
        <tr r="F72" s="34"/>
      </tp>
      <tp t="e">
        <v>#N/A</v>
        <stp/>
        <stp>BDH|18289768822800643826</stp>
        <tr r="AA51" s="12"/>
      </tp>
      <tp t="e">
        <v>#N/A</v>
        <stp/>
        <stp>BDH|14211875864748027738</stp>
        <tr r="R34" s="9"/>
      </tp>
      <tp t="e">
        <v>#N/A</v>
        <stp/>
        <stp>BDH|16922289847801736438</stp>
        <tr r="Q18" s="21"/>
      </tp>
      <tp t="e">
        <v>#N/A</v>
        <stp/>
        <stp>BDH|11162224352741797244</stp>
        <tr r="Q64" s="24"/>
      </tp>
      <tp t="e">
        <v>#N/A</v>
        <stp/>
        <stp>BDH|15250768573512476217</stp>
        <tr r="C25" s="14"/>
      </tp>
      <tp t="e">
        <v>#N/A</v>
        <stp/>
        <stp>BDH|10173878183277008272</stp>
        <tr r="W14" s="22"/>
      </tp>
      <tp t="e">
        <v>#N/A</v>
        <stp/>
        <stp>BDH|14493372135395241463</stp>
        <tr r="C54" s="18"/>
      </tp>
      <tp t="e">
        <v>#N/A</v>
        <stp/>
        <stp>BDH|17609801983654217659</stp>
        <tr r="R9" s="27"/>
      </tp>
      <tp t="e">
        <v>#N/A</v>
        <stp/>
        <stp>BDH|12336529969717954336</stp>
        <tr r="L82" s="12"/>
      </tp>
      <tp t="e">
        <v>#N/A</v>
        <stp/>
        <stp>BDH|13212614611125720478</stp>
        <tr r="V38" s="17"/>
      </tp>
      <tp t="e">
        <v>#N/A</v>
        <stp/>
        <stp>BDH|12254694538247973589</stp>
        <tr r="F20" s="9"/>
      </tp>
      <tp t="e">
        <v>#N/A</v>
        <stp/>
        <stp>BDH|15380813673786215911</stp>
        <tr r="S53" s="10"/>
        <tr r="S43" s="11"/>
        <tr r="S16" s="7"/>
      </tp>
      <tp t="e">
        <v>#N/A</v>
        <stp/>
        <stp>BDH|17445847510929518278</stp>
        <tr r="N117" s="18"/>
      </tp>
      <tp t="e">
        <v>#N/A</v>
        <stp/>
        <stp>BDH|11456026224914890280</stp>
        <tr r="Z88" s="24"/>
      </tp>
      <tp t="e">
        <v>#N/A</v>
        <stp/>
        <stp>BDH|12790131276130286122</stp>
        <tr r="J18" s="21"/>
      </tp>
      <tp t="e">
        <v>#N/A</v>
        <stp/>
        <stp>BDH|15502371825315316461</stp>
        <tr r="U7" s="28"/>
      </tp>
      <tp t="e">
        <v>#N/A</v>
        <stp/>
        <stp>BDH|16919036234679404983</stp>
        <tr r="Y90" s="24"/>
      </tp>
      <tp t="e">
        <v>#N/A</v>
        <stp/>
        <stp>BDH|13095703842934269127</stp>
        <tr r="J32" s="17"/>
      </tp>
      <tp t="e">
        <v>#N/A</v>
        <stp/>
        <stp>BDH|10203558828117938548</stp>
        <tr r="S84" s="17"/>
      </tp>
      <tp t="e">
        <v>#N/A</v>
        <stp/>
        <stp>BDH|12743152295509056657</stp>
        <tr r="V50" s="18"/>
      </tp>
      <tp t="e">
        <v>#N/A</v>
        <stp/>
        <stp>BDH|11076009961360459279</stp>
        <tr r="H118" s="18"/>
        <tr r="H6" s="20"/>
      </tp>
      <tp t="e">
        <v>#N/A</v>
        <stp/>
        <stp>BDH|13711160562608044912</stp>
        <tr r="V118" s="18"/>
        <tr r="V6" s="20"/>
      </tp>
      <tp t="e">
        <v>#N/A</v>
        <stp/>
        <stp>BDH|17978247818407240651</stp>
        <tr r="D87" s="18"/>
      </tp>
      <tp t="e">
        <v>#N/A</v>
        <stp/>
        <stp>BDH|14977805969167332810</stp>
        <tr r="C46" s="4"/>
        <tr r="C23" s="10"/>
        <tr r="E42" s="13"/>
      </tp>
      <tp t="e">
        <v>#N/A</v>
        <stp/>
        <stp>BDH|13270025255315056674</stp>
        <tr r="Q63" s="18"/>
      </tp>
      <tp t="e">
        <v>#N/A</v>
        <stp/>
        <stp>BDH|14588183719001589033</stp>
        <tr r="F30" s="25"/>
        <tr r="F16" s="27"/>
      </tp>
      <tp t="e">
        <v>#N/A</v>
        <stp/>
        <stp>BDH|15860965558585200961</stp>
        <tr r="C48" s="12"/>
      </tp>
      <tp t="e">
        <v>#N/A</v>
        <stp/>
        <stp>BDH|12671611100408354960</stp>
        <tr r="J115" s="18"/>
      </tp>
      <tp t="e">
        <v>#N/A</v>
        <stp/>
        <stp>BDH|15444518451819166975</stp>
        <tr r="U45" s="6"/>
      </tp>
      <tp t="e">
        <v>#N/A</v>
        <stp/>
        <stp>BDH|10878385113423478456</stp>
        <tr r="P63" s="24"/>
      </tp>
      <tp t="e">
        <v>#N/A</v>
        <stp/>
        <stp>BDH|14243487741048073993</stp>
        <tr r="Y21" s="4"/>
      </tp>
      <tp t="e">
        <v>#N/A</v>
        <stp/>
        <stp>BDH|13639281173843691095</stp>
        <tr r="X22" s="12"/>
      </tp>
      <tp t="e">
        <v>#N/A</v>
        <stp/>
        <stp>BDH|15430177144861528408</stp>
        <tr r="I42" s="18"/>
      </tp>
      <tp t="e">
        <v>#N/A</v>
        <stp/>
        <stp>BDH|11177552460124327350</stp>
        <tr r="L17" s="6"/>
      </tp>
      <tp t="e">
        <v>#N/A</v>
        <stp/>
        <stp>BDH|17973622458698004916</stp>
        <tr r="V28" s="21"/>
      </tp>
      <tp t="e">
        <v>#N/A</v>
        <stp/>
        <stp>BDH|15342330304941691201</stp>
        <tr r="G41" s="21"/>
      </tp>
      <tp t="e">
        <v>#N/A</v>
        <stp/>
        <stp>BDH|10614710725243220324</stp>
        <tr r="D22" s="7"/>
      </tp>
      <tp t="e">
        <v>#N/A</v>
        <stp/>
        <stp>BDH|10296886638227713979</stp>
        <tr r="C197" s="18"/>
      </tp>
      <tp t="e">
        <v>#N/A</v>
        <stp/>
        <stp>BDH|17290874987607384537</stp>
        <tr r="Y50" s="12"/>
      </tp>
      <tp t="e">
        <v>#N/A</v>
        <stp/>
        <stp>BDH|10604715456931107628</stp>
        <tr r="F20" s="27"/>
      </tp>
      <tp t="e">
        <v>#N/A</v>
        <stp/>
        <stp>BDH|10962196268137894553</stp>
        <tr r="Q73" s="34"/>
      </tp>
      <tp t="e">
        <v>#N/A</v>
        <stp/>
        <stp>BDH|15304838495243894288</stp>
        <tr r="F104" s="18"/>
      </tp>
      <tp t="e">
        <v>#N/A</v>
        <stp/>
        <stp>BDH|12706550437995769474</stp>
        <tr r="Q15" s="5"/>
      </tp>
      <tp t="e">
        <v>#N/A</v>
        <stp/>
        <stp>BDH|12849774584111730998</stp>
        <tr r="F198" s="18"/>
      </tp>
      <tp t="e">
        <v>#N/A</v>
        <stp/>
        <stp>BDH|15946215923400972078</stp>
        <tr r="Q54" s="13"/>
      </tp>
      <tp t="e">
        <v>#N/A</v>
        <stp/>
        <stp>BDH|15588398123036991733</stp>
        <tr r="I31" s="17"/>
      </tp>
      <tp t="e">
        <v>#N/A</v>
        <stp/>
        <stp>BDH|13320762312749062928</stp>
        <tr r="L64" s="12"/>
      </tp>
      <tp t="e">
        <v>#N/A</v>
        <stp/>
        <stp>BDH|17164539677646331633</stp>
        <tr r="W92" s="17"/>
        <tr r="W7" s="27"/>
      </tp>
      <tp t="e">
        <v>#N/A</v>
        <stp/>
        <stp>BDH|16075556823323730749</stp>
        <tr r="H70" s="18"/>
      </tp>
      <tp t="e">
        <v>#N/A</v>
        <stp/>
        <stp>BDH|12246552533728009919</stp>
        <tr r="K41" s="22"/>
      </tp>
      <tp t="e">
        <v>#N/A</v>
        <stp/>
        <stp>BDH|15438909080230972180</stp>
        <tr r="N204" s="18"/>
      </tp>
      <tp t="e">
        <v>#N/A</v>
        <stp/>
        <stp>BDH|13155116924854008114</stp>
        <tr r="H47" s="6"/>
        <tr r="J6" s="8"/>
      </tp>
      <tp t="e">
        <v>#N/A</v>
        <stp/>
        <stp>BDH|17554202754214583112</stp>
        <tr r="Y13" s="2"/>
      </tp>
      <tp t="e">
        <v>#N/A</v>
        <stp/>
        <stp>BDH|11975348142665350693</stp>
        <tr r="J68" s="34"/>
      </tp>
      <tp t="e">
        <v>#N/A</v>
        <stp/>
        <stp>BDH|14036320249864650281</stp>
        <tr r="T20" s="18"/>
      </tp>
      <tp t="e">
        <v>#N/A</v>
        <stp/>
        <stp>BDH|17477625307185757138</stp>
        <tr r="G84" s="12"/>
      </tp>
      <tp t="e">
        <v>#N/A</v>
        <stp/>
        <stp>BDH|12008159261481854196</stp>
        <tr r="F8" s="6"/>
      </tp>
      <tp t="e">
        <v>#N/A</v>
        <stp/>
        <stp>BDH|11136113122981055671</stp>
        <tr r="E30" s="26"/>
      </tp>
      <tp t="e">
        <v>#N/A</v>
        <stp/>
        <stp>BDH|11752687634556894763</stp>
        <tr r="E49" s="4"/>
      </tp>
      <tp t="e">
        <v>#N/A</v>
        <stp/>
        <stp>BDH|15262624104427532148</stp>
        <tr r="Z58" s="24"/>
      </tp>
      <tp t="e">
        <v>#N/A</v>
        <stp/>
        <stp>BDH|10148989681757524384</stp>
        <tr r="M74" s="34"/>
      </tp>
      <tp t="e">
        <v>#N/A</v>
        <stp/>
        <stp>BDH|14407820525703397852</stp>
        <tr r="G52" s="12"/>
      </tp>
      <tp t="e">
        <v>#N/A</v>
        <stp/>
        <stp>BDH|10614871223957444831</stp>
        <tr r="K29" s="18"/>
      </tp>
      <tp t="e">
        <v>#N/A</v>
        <stp/>
        <stp>BDH|18215081948809734008</stp>
        <tr r="G70" s="13"/>
      </tp>
      <tp t="e">
        <v>#N/A</v>
        <stp/>
        <stp>BDH|14507546336603541477</stp>
        <tr r="V37" s="18"/>
      </tp>
      <tp t="e">
        <v>#N/A</v>
        <stp/>
        <stp>BDH|14955792372024763502</stp>
        <tr r="K7" s="17"/>
      </tp>
      <tp t="e">
        <v>#N/A</v>
        <stp/>
        <stp>BDH|17678374620257669424</stp>
        <tr r="D57" s="34"/>
      </tp>
      <tp t="e">
        <v>#N/A</v>
        <stp/>
        <stp>BDH|18340105272549521214</stp>
        <tr r="X180" s="18"/>
      </tp>
      <tp t="e">
        <v>#N/A</v>
        <stp/>
        <stp>BDH|11450773864283043622</stp>
        <tr r="L34" s="10"/>
        <tr r="L24" s="11"/>
      </tp>
      <tp t="e">
        <v>#N/A</v>
        <stp/>
        <stp>BDH|13505192274386806650</stp>
        <tr r="N9" s="26"/>
      </tp>
      <tp t="e">
        <v>#N/A</v>
        <stp/>
        <stp>BDH|11041545674982114448</stp>
        <tr r="H65" s="21"/>
        <tr r="F23" s="7"/>
      </tp>
      <tp t="e">
        <v>#N/A</v>
        <stp/>
        <stp>BDH|15567707563001124022</stp>
        <tr r="U10" s="17"/>
      </tp>
      <tp t="e">
        <v>#N/A</v>
        <stp/>
        <stp>BDH|16149277531364407660</stp>
        <tr r="N87" s="17"/>
      </tp>
      <tp t="e">
        <v>#N/A</v>
        <stp/>
        <stp>BDH|18408406706110423935</stp>
        <tr r="E13" s="18"/>
      </tp>
      <tp t="e">
        <v>#N/A</v>
        <stp/>
        <stp>BDH|18319403281379327843</stp>
        <tr r="C44" s="6"/>
      </tp>
      <tp t="e">
        <v>#N/A</v>
        <stp/>
        <stp>BDH|11485520312792178208</stp>
        <tr r="D161" s="18"/>
      </tp>
      <tp t="e">
        <v>#N/A</v>
        <stp/>
        <stp>BDH|16512271291801296941</stp>
        <tr r="V7" s="34"/>
      </tp>
      <tp t="e">
        <v>#N/A</v>
        <stp/>
        <stp>BDH|16530330953397836283</stp>
        <tr r="R24" s="18"/>
      </tp>
      <tp t="e">
        <v>#N/A</v>
        <stp/>
        <stp>BDH|15971441473055971621</stp>
        <tr r="O52" s="18"/>
      </tp>
      <tp t="e">
        <v>#N/A</v>
        <stp/>
        <stp>BDH|11570007086014472827</stp>
        <tr r="H112" s="18"/>
      </tp>
      <tp t="e">
        <v>#N/A</v>
        <stp/>
        <stp>BDH|15256934067789271616</stp>
        <tr r="O53" s="18"/>
      </tp>
      <tp t="e">
        <v>#N/A</v>
        <stp/>
        <stp>BDH|13829232741466941667</stp>
        <tr r="J53" s="17"/>
      </tp>
      <tp t="e">
        <v>#N/A</v>
        <stp/>
        <stp>BDH|13841153431284118083</stp>
        <tr r="G37" s="22"/>
      </tp>
      <tp t="e">
        <v>#N/A</v>
        <stp/>
        <stp>BDH|13603326573641455362</stp>
        <tr r="F9" s="2"/>
        <tr r="H8" s="25"/>
        <tr r="E10" s="5"/>
      </tp>
      <tp t="e">
        <v>#N/A</v>
        <stp/>
        <stp>BDH|10194491758263447719</stp>
        <tr r="U18" s="14"/>
      </tp>
      <tp t="e">
        <v>#N/A</v>
        <stp/>
        <stp>BDH|13070475922278340832</stp>
        <tr r="H28" s="22"/>
      </tp>
      <tp t="e">
        <v>#N/A</v>
        <stp/>
        <stp>BDH|16397609300797373256</stp>
        <tr r="K209" s="18"/>
      </tp>
      <tp t="e">
        <v>#N/A</v>
        <stp/>
        <stp>BDH|10716811190592274614</stp>
        <tr r="S18" s="23"/>
      </tp>
      <tp t="e">
        <v>#N/A</v>
        <stp/>
        <stp>BDH|16446991670154145996</stp>
        <tr r="E7" s="2"/>
        <tr r="D7" s="5"/>
        <tr r="D7" s="9"/>
        <tr r="G14" s="3"/>
      </tp>
      <tp t="e">
        <v>#N/A</v>
        <stp/>
        <stp>BDH|12134563641733282519</stp>
        <tr r="O53" s="21"/>
      </tp>
      <tp t="e">
        <v>#N/A</v>
        <stp/>
        <stp>BDH|16728265203742503325</stp>
        <tr r="X181" s="18"/>
      </tp>
      <tp t="e">
        <v>#N/A</v>
        <stp/>
        <stp>BDH|13430979704889673640</stp>
        <tr r="Q22" s="21"/>
      </tp>
      <tp t="e">
        <v>#N/A</v>
        <stp/>
        <stp>BDH|14657211643760901786</stp>
        <tr r="K13" s="18"/>
      </tp>
      <tp t="e">
        <v>#N/A</v>
        <stp/>
        <stp>BDH|10610368850266461519</stp>
        <tr r="W32" s="12"/>
      </tp>
      <tp t="e">
        <v>#N/A</v>
        <stp/>
        <stp>BDH|16069302596378034130</stp>
        <tr r="R42" s="34"/>
      </tp>
      <tp t="e">
        <v>#N/A</v>
        <stp/>
        <stp>BDH|17950733745802981332</stp>
        <tr r="AA67" s="21"/>
      </tp>
      <tp t="e">
        <v>#N/A</v>
        <stp/>
        <stp>BDH|18117178394322066778</stp>
        <tr r="G8" s="12"/>
      </tp>
      <tp t="e">
        <v>#N/A</v>
        <stp/>
        <stp>BDH|15402753572116405626</stp>
        <tr r="T14" s="8"/>
      </tp>
      <tp t="e">
        <v>#N/A</v>
        <stp/>
        <stp>BDH|14386219602781480205</stp>
        <tr r="M62" s="18"/>
      </tp>
      <tp t="e">
        <v>#N/A</v>
        <stp/>
        <stp>BDH|11777641678833839676</stp>
        <tr r="H22" s="7"/>
      </tp>
      <tp t="e">
        <v>#N/A</v>
        <stp/>
        <stp>BDH|12383082479045175576</stp>
        <tr r="D37" s="13"/>
      </tp>
      <tp t="e">
        <v>#N/A</v>
        <stp/>
        <stp>BDH|12281513224130469076</stp>
        <tr r="S9" s="2"/>
        <tr r="U8" s="25"/>
        <tr r="R10" s="5"/>
      </tp>
      <tp t="e">
        <v>#N/A</v>
        <stp/>
        <stp>BDH|15838882613068230158</stp>
        <tr r="F154" s="18"/>
      </tp>
      <tp t="e">
        <v>#N/A</v>
        <stp/>
        <stp>BDH|14013612366332723348</stp>
        <tr r="F68" s="34"/>
      </tp>
      <tp t="e">
        <v>#N/A</v>
        <stp/>
        <stp>BDH|14904382602415641718</stp>
        <tr r="U46" s="21"/>
      </tp>
      <tp t="e">
        <v>#N/A</v>
        <stp/>
        <stp>BDH|17052471907317498104</stp>
        <tr r="X54" s="24"/>
      </tp>
      <tp t="e">
        <v>#N/A</v>
        <stp/>
        <stp>BDH|16574746998854854955</stp>
        <tr r="D171" s="18"/>
      </tp>
      <tp t="e">
        <v>#N/A</v>
        <stp/>
        <stp>BDH|16279215669996829160</stp>
        <tr r="X14" s="21"/>
      </tp>
      <tp t="e">
        <v>#N/A</v>
        <stp/>
        <stp>BDH|10728530239364002798</stp>
        <tr r="I31" s="21"/>
      </tp>
      <tp t="e">
        <v>#N/A</v>
        <stp/>
        <stp>BDH|12721439302214166736</stp>
        <tr r="D131" s="18"/>
      </tp>
      <tp t="e">
        <v>#N/A</v>
        <stp/>
        <stp>BDH|11373427627460257208</stp>
        <tr r="F22" s="24"/>
      </tp>
      <tp t="e">
        <v>#N/A</v>
        <stp/>
        <stp>BDH|17884281168367463185</stp>
        <tr r="X136" s="18"/>
      </tp>
      <tp t="e">
        <v>#N/A</v>
        <stp/>
        <stp>BDH|17106537413982059452</stp>
        <tr r="N182" s="18"/>
      </tp>
      <tp t="e">
        <v>#N/A</v>
        <stp/>
        <stp>BDH|17367632942077386754</stp>
        <tr r="Y19" s="34"/>
      </tp>
      <tp t="e">
        <v>#N/A</v>
        <stp/>
        <stp>BDH|11085235475590061126</stp>
        <tr r="P44" s="21"/>
      </tp>
      <tp t="e">
        <v>#N/A</v>
        <stp/>
        <stp>BDH|11744286221627890325</stp>
        <tr r="P74" s="34"/>
      </tp>
      <tp t="e">
        <v>#N/A</v>
        <stp/>
        <stp>BDH|10896896085582169714</stp>
        <tr r="K19" s="11"/>
      </tp>
      <tp t="e">
        <v>#N/A</v>
        <stp/>
        <stp>BDH|13882066778758370916</stp>
        <tr r="V35" s="21"/>
      </tp>
      <tp t="e">
        <v>#N/A</v>
        <stp/>
        <stp>BDH|11434647463440365449</stp>
        <tr r="R55" s="24"/>
      </tp>
      <tp t="e">
        <v>#N/A</v>
        <stp/>
        <stp>BDH|14533470516136455248</stp>
        <tr r="P94" s="24"/>
      </tp>
      <tp t="e">
        <v>#N/A</v>
        <stp/>
        <stp>BDH|16842287735085085715</stp>
        <tr r="M54" s="18"/>
      </tp>
      <tp t="e">
        <v>#N/A</v>
        <stp/>
        <stp>BDH|10261781372256923359</stp>
        <tr r="Q19" s="10"/>
      </tp>
      <tp t="e">
        <v>#N/A</v>
        <stp/>
        <stp>BDH|14945636607871950601</stp>
        <tr r="E13" s="25"/>
      </tp>
      <tp t="e">
        <v>#N/A</v>
        <stp/>
        <stp>BDH|17677533167764154578</stp>
        <tr r="T23" s="17"/>
      </tp>
      <tp t="e">
        <v>#N/A</v>
        <stp/>
        <stp>BDH|10624577121946376475</stp>
        <tr r="X63" s="24"/>
      </tp>
      <tp t="e">
        <v>#N/A</v>
        <stp/>
        <stp>BDH|17861174727919874842</stp>
        <tr r="Y24" s="17"/>
      </tp>
      <tp t="e">
        <v>#N/A</v>
        <stp/>
        <stp>BDH|17462109906000409321</stp>
        <tr r="O8" s="23"/>
      </tp>
      <tp t="e">
        <v>#N/A</v>
        <stp/>
        <stp>BDH|14414331744781621718</stp>
        <tr r="Z143" s="18"/>
      </tp>
      <tp t="e">
        <v>#N/A</v>
        <stp/>
        <stp>BDH|10202976042039785143</stp>
        <tr r="Q19" s="26"/>
      </tp>
      <tp t="e">
        <v>#N/A</v>
        <stp/>
        <stp>BDH|11066270950635345608</stp>
        <tr r="M18" s="29"/>
        <tr r="M41" s="29"/>
      </tp>
      <tp t="e">
        <v>#N/A</v>
        <stp/>
        <stp>BDH|16171074201890107328</stp>
        <tr r="Y76" s="17"/>
        <tr r="V9" s="5"/>
        <tr r="V9" s="9"/>
      </tp>
      <tp t="e">
        <v>#N/A</v>
        <stp/>
        <stp>BDH|18013746493490176327</stp>
        <tr r="Q20" s="29"/>
      </tp>
      <tp t="e">
        <v>#N/A</v>
        <stp/>
        <stp>BDH|11126913380583757632</stp>
        <tr r="AA95" s="24"/>
      </tp>
      <tp t="e">
        <v>#N/A</v>
        <stp/>
        <stp>BDH|15792109755774404024</stp>
        <tr r="O19" s="34"/>
      </tp>
      <tp t="e">
        <v>#N/A</v>
        <stp/>
        <stp>BDH|16332277321857074418</stp>
        <tr r="Z65" s="17"/>
      </tp>
      <tp t="e">
        <v>#N/A</v>
        <stp/>
        <stp>BDH|11419181980245026883</stp>
        <tr r="R61" s="18"/>
      </tp>
      <tp t="e">
        <v>#N/A</v>
        <stp/>
        <stp>BDH|12768958786825627365</stp>
        <tr r="X29" s="29"/>
        <tr r="X7" s="29"/>
      </tp>
      <tp t="e">
        <v>#N/A</v>
        <stp/>
        <stp>BDH|13793116347897513407</stp>
        <tr r="K17" s="14"/>
      </tp>
      <tp t="e">
        <v>#N/A</v>
        <stp/>
        <stp>BDH|13148106837556665240</stp>
        <tr r="G20" s="27"/>
      </tp>
      <tp t="e">
        <v>#N/A</v>
        <stp/>
        <stp>BDH|10178027150071375147</stp>
        <tr r="M29" s="13"/>
      </tp>
      <tp t="e">
        <v>#N/A</v>
        <stp/>
        <stp>BDH|11097525748214882166</stp>
        <tr r="F61" s="18"/>
      </tp>
      <tp t="e">
        <v>#N/A</v>
        <stp/>
        <stp>BDH|10246635965230671563</stp>
        <tr r="P157" s="18"/>
      </tp>
      <tp t="e">
        <v>#N/A</v>
        <stp/>
        <stp>BDH|13544401405432439005</stp>
        <tr r="J13" s="8"/>
      </tp>
      <tp t="e">
        <v>#N/A</v>
        <stp/>
        <stp>BDH|12917963392710973705</stp>
        <tr r="M17" s="24"/>
      </tp>
      <tp t="e">
        <v>#N/A</v>
        <stp/>
        <stp>BDH|15643967983314179560</stp>
        <tr r="J12" s="24"/>
      </tp>
      <tp t="e">
        <v>#N/A</v>
        <stp/>
        <stp>BDH|17345684211565743096</stp>
        <tr r="K25" s="22"/>
      </tp>
      <tp t="e">
        <v>#N/A</v>
        <stp/>
        <stp>BDH|13129162960721648055</stp>
        <tr r="P50" s="13"/>
      </tp>
      <tp t="e">
        <v>#N/A</v>
        <stp/>
        <stp>BDH|16459243267692758543</stp>
        <tr r="J45" s="4"/>
        <tr r="J33" s="10"/>
        <tr r="J23" s="11"/>
        <tr r="L33" s="13"/>
      </tp>
      <tp t="e">
        <v>#N/A</v>
        <stp/>
        <stp>BDH|17582931312502294823</stp>
        <tr r="I90" s="12"/>
      </tp>
      <tp t="e">
        <v>#N/A</v>
        <stp/>
        <stp>BDH|13553004462128504866</stp>
        <tr r="V63" s="34"/>
      </tp>
      <tp t="e">
        <v>#N/A</v>
        <stp/>
        <stp>BDH|17020187713021999368</stp>
        <tr r="S163" s="18"/>
      </tp>
      <tp t="e">
        <v>#N/A</v>
        <stp/>
        <stp>BDH|13359724455563324732</stp>
        <tr r="M211" s="18"/>
      </tp>
      <tp t="e">
        <v>#N/A</v>
        <stp/>
        <stp>BDH|11696251667459706978</stp>
        <tr r="O66" s="12"/>
      </tp>
      <tp t="e">
        <v>#N/A</v>
        <stp/>
        <stp>BDH|11025775328827008684</stp>
        <tr r="I35" s="12"/>
      </tp>
      <tp t="e">
        <v>#N/A</v>
        <stp/>
        <stp>BDH|17634821284912407030</stp>
        <tr r="T31" s="21"/>
      </tp>
      <tp t="e">
        <v>#N/A</v>
        <stp/>
        <stp>BDH|11929076933743380492</stp>
        <tr r="O20" s="22"/>
      </tp>
      <tp t="e">
        <v>#N/A</v>
        <stp/>
        <stp>BDH|17054511015145248319</stp>
        <tr r="L15" s="30"/>
      </tp>
      <tp t="e">
        <v>#N/A</v>
        <stp/>
        <stp>BDH|15398920892150762036</stp>
        <tr r="F18" s="13"/>
      </tp>
      <tp t="e">
        <v>#N/A</v>
        <stp/>
        <stp>BDH|12962009274445337590</stp>
        <tr r="O58" s="12"/>
      </tp>
      <tp t="e">
        <v>#N/A</v>
        <stp/>
        <stp>BDH|12172109550225723611</stp>
        <tr r="AA26" s="24"/>
      </tp>
      <tp t="e">
        <v>#N/A</v>
        <stp/>
        <stp>BDH|17596591609806693146</stp>
        <tr r="Z19" s="34"/>
      </tp>
      <tp t="e">
        <v>#N/A</v>
        <stp/>
        <stp>BDH|14061510441287281752</stp>
        <tr r="K89" s="18"/>
      </tp>
      <tp t="e">
        <v>#N/A</v>
        <stp/>
        <stp>BDH|15654993695660968048</stp>
        <tr r="G43" s="29"/>
      </tp>
      <tp t="e">
        <v>#N/A</v>
        <stp/>
        <stp>BDH|15686805907031125972</stp>
        <tr r="F61" s="24"/>
      </tp>
      <tp t="e">
        <v>#N/A</v>
        <stp/>
        <stp>BDH|10657726264821422534</stp>
        <tr r="O75" s="34"/>
      </tp>
      <tp t="e">
        <v>#N/A</v>
        <stp/>
        <stp>BDH|14013445015073091761</stp>
        <tr r="K43" s="18"/>
      </tp>
      <tp t="e">
        <v>#N/A</v>
        <stp/>
        <stp>BDH|11256636504795264701</stp>
        <tr r="J29" s="17"/>
      </tp>
      <tp t="e">
        <v>#N/A</v>
        <stp/>
        <stp>BDH|11609030858500825124</stp>
        <tr r="U165" s="18"/>
      </tp>
      <tp t="e">
        <v>#N/A</v>
        <stp/>
        <stp>BDH|14416876519779857156</stp>
        <tr r="P10" s="14"/>
      </tp>
      <tp t="e">
        <v>#N/A</v>
        <stp/>
        <stp>BDH|12771780324291835344</stp>
        <tr r="U37" s="12"/>
      </tp>
      <tp t="e">
        <v>#N/A</v>
        <stp/>
        <stp>BDH|13743047302292749417</stp>
        <tr r="N15" s="17"/>
        <tr r="N18" s="28"/>
      </tp>
      <tp t="e">
        <v>#N/A</v>
        <stp/>
        <stp>BDH|12637631487151001852</stp>
        <tr r="V78" s="12"/>
      </tp>
      <tp t="e">
        <v>#N/A</v>
        <stp/>
        <stp>BDH|15680202121209702979</stp>
        <tr r="C19" s="22"/>
      </tp>
      <tp t="e">
        <v>#N/A</v>
        <stp/>
        <stp>BDH|12220369594259219458</stp>
        <tr r="Z21" s="27"/>
      </tp>
      <tp t="e">
        <v>#N/A</v>
        <stp/>
        <stp>BDH|10214331152477646420</stp>
        <tr r="U64" s="18"/>
      </tp>
      <tp t="e">
        <v>#N/A</v>
        <stp/>
        <stp>BDH|13662201477284649701</stp>
        <tr r="C39" s="26"/>
      </tp>
      <tp t="e">
        <v>#N/A</v>
        <stp/>
        <stp>BDH|13769866040782757812</stp>
        <tr r="E198" s="18"/>
      </tp>
      <tp t="e">
        <v>#N/A</v>
        <stp/>
        <stp>BDH|16017554512534187318</stp>
        <tr r="D21" s="3"/>
      </tp>
      <tp t="e">
        <v>#N/A</v>
        <stp/>
        <stp>BDH|11986996490091610518</stp>
        <tr r="E35" s="12"/>
      </tp>
      <tp t="e">
        <v>#N/A</v>
        <stp/>
        <stp>BDH|15513983775299666791</stp>
        <tr r="O71" s="10"/>
        <tr r="O61" s="11"/>
      </tp>
      <tp t="e">
        <v>#N/A</v>
        <stp/>
        <stp>BDH|12786548419472945147</stp>
        <tr r="W8" s="6"/>
      </tp>
      <tp t="e">
        <v>#N/A</v>
        <stp/>
        <stp>BDH|12352544373016522364</stp>
        <tr r="R23" s="2"/>
        <tr r="T19" s="21"/>
        <tr r="T23" s="3"/>
      </tp>
      <tp t="e">
        <v>#N/A</v>
        <stp/>
        <stp>BDH|13815057716935894240</stp>
        <tr r="H95" s="18"/>
      </tp>
      <tp t="e">
        <v>#N/A</v>
        <stp/>
        <stp>BDH|13661145007706547176</stp>
        <tr r="O97" s="12"/>
      </tp>
      <tp t="e">
        <v>#N/A</v>
        <stp/>
        <stp>BDH|14151394357600990718</stp>
        <tr r="C45" s="4"/>
        <tr r="C33" s="10"/>
        <tr r="C23" s="11"/>
        <tr r="E33" s="13"/>
      </tp>
      <tp t="e">
        <v>#N/A</v>
        <stp/>
        <stp>BDH|11839140224130634794</stp>
        <tr r="K90" s="12"/>
      </tp>
      <tp t="e">
        <v>#N/A</v>
        <stp/>
        <stp>BDH|13459970264741543853</stp>
        <tr r="X62" s="24"/>
      </tp>
      <tp t="e">
        <v>#N/A</v>
        <stp/>
        <stp>BDH|15049074469822147489</stp>
        <tr r="M159" s="18"/>
      </tp>
      <tp t="e">
        <v>#N/A</v>
        <stp/>
        <stp>BDH|17538489327945977141</stp>
        <tr r="W17" s="14"/>
      </tp>
      <tp t="e">
        <v>#N/A</v>
        <stp/>
        <stp>BDH|18162248556809711332</stp>
        <tr r="I27" s="7"/>
      </tp>
      <tp t="e">
        <v>#N/A</v>
        <stp/>
        <stp>BDH|13589499808806690455</stp>
        <tr r="V91" s="24"/>
      </tp>
      <tp t="e">
        <v>#N/A</v>
        <stp/>
        <stp>BDH|14514388602462116099</stp>
        <tr r="W133" s="18"/>
      </tp>
      <tp t="e">
        <v>#N/A</v>
        <stp/>
        <stp>BDH|13584471248986470093</stp>
        <tr r="Y68" s="10"/>
      </tp>
      <tp t="e">
        <v>#N/A</v>
        <stp/>
        <stp>BDH|11058210926541920596</stp>
        <tr r="J27" s="22"/>
      </tp>
      <tp t="e">
        <v>#N/A</v>
        <stp/>
        <stp>BDH|17755380253077911320</stp>
        <tr r="L56" s="13"/>
      </tp>
      <tp t="e">
        <v>#N/A</v>
        <stp/>
        <stp>BDH|11104618543424153242</stp>
        <tr r="O6" s="19"/>
        <tr r="O34" s="17"/>
        <tr r="O16" s="3"/>
      </tp>
      <tp t="e">
        <v>#N/A</v>
        <stp/>
        <stp>BDH|13216874183972500457</stp>
        <tr r="S16" s="22"/>
      </tp>
      <tp t="e">
        <v>#N/A</v>
        <stp/>
        <stp>BDH|11976791219745783783</stp>
        <tr r="G206" s="18"/>
      </tp>
      <tp t="e">
        <v>#N/A</v>
        <stp/>
        <stp>BDH|17833434274973869211</stp>
        <tr r="C49" s="12"/>
      </tp>
      <tp t="e">
        <v>#N/A</v>
        <stp/>
        <stp>BDH|10700448615152069207</stp>
        <tr r="F39" s="18"/>
      </tp>
      <tp t="e">
        <v>#N/A</v>
        <stp/>
        <stp>BDH|14067510317223228629</stp>
        <tr r="H40" s="22"/>
      </tp>
      <tp t="e">
        <v>#N/A</v>
        <stp/>
        <stp>BDH|11584756064296119332</stp>
        <tr r="U14" s="11"/>
      </tp>
      <tp t="e">
        <v>#N/A</v>
        <stp/>
        <stp>BDH|14154558962621859381</stp>
        <tr r="T31" s="26"/>
        <tr r="Q14" s="9"/>
      </tp>
      <tp t="e">
        <v>#N/A</v>
        <stp/>
        <stp>BDH|15693710541205336636</stp>
        <tr r="E7" s="28"/>
      </tp>
      <tp t="e">
        <v>#N/A</v>
        <stp/>
        <stp>BDH|12182435784299268224</stp>
        <tr r="J24" s="10"/>
      </tp>
      <tp t="e">
        <v>#N/A</v>
        <stp/>
        <stp>BDH|16593346001222197279</stp>
        <tr r="U18" s="17"/>
      </tp>
      <tp t="e">
        <v>#N/A</v>
        <stp/>
        <stp>BDH|15100178269566197189</stp>
        <tr r="H70" s="34"/>
      </tp>
      <tp t="e">
        <v>#N/A</v>
        <stp/>
        <stp>BDH|16925775656297812667</stp>
        <tr r="J47" s="17"/>
      </tp>
      <tp t="e">
        <v>#N/A</v>
        <stp/>
        <stp>BDH|15162712530406121271</stp>
        <tr r="N27" s="24"/>
      </tp>
      <tp t="e">
        <v>#N/A</v>
        <stp/>
        <stp>BDH|17019033575446659360</stp>
        <tr r="V46" s="34"/>
      </tp>
      <tp t="e">
        <v>#N/A</v>
        <stp/>
        <stp>BDH|10361355453540173322</stp>
        <tr r="T193" s="18"/>
      </tp>
      <tp t="e">
        <v>#N/A</v>
        <stp/>
        <stp>BDH|11219867535197669813</stp>
        <tr r="V120" s="18"/>
        <tr r="V8" s="20"/>
      </tp>
      <tp t="e">
        <v>#N/A</v>
        <stp/>
        <stp>BDH|13136733447486503366</stp>
        <tr r="R23" s="6"/>
      </tp>
      <tp t="e">
        <v>#N/A</v>
        <stp/>
        <stp>BDH|17002220371493033455</stp>
        <tr r="N69" s="12"/>
      </tp>
      <tp t="e">
        <v>#N/A</v>
        <stp/>
        <stp>BDH|10649140774973257029</stp>
        <tr r="N106" s="12"/>
      </tp>
      <tp t="e">
        <v>#N/A</v>
        <stp/>
        <stp>BDH|11032304739514864075</stp>
        <tr r="T24" s="6"/>
      </tp>
      <tp t="e">
        <v>#N/A</v>
        <stp/>
        <stp>BDH|15012641743385203733</stp>
        <tr r="R9" s="28"/>
      </tp>
      <tp t="e">
        <v>#N/A</v>
        <stp/>
        <stp>BDH|15078192525617834420</stp>
        <tr r="R211" s="18"/>
      </tp>
      <tp t="e">
        <v>#N/A</v>
        <stp/>
        <stp>BDH|10296787633626899771</stp>
        <tr r="C11" s="13"/>
      </tp>
      <tp t="e">
        <v>#N/A</v>
        <stp/>
        <stp>BDH|12562336205160153444</stp>
        <tr r="S69" s="10"/>
      </tp>
      <tp t="e">
        <v>#N/A</v>
        <stp/>
        <stp>BDH|17368453102693677544</stp>
        <tr r="N42" s="22"/>
      </tp>
      <tp t="e">
        <v>#N/A</v>
        <stp/>
        <stp>BDH|13086162175343693330</stp>
        <tr r="C48" s="6"/>
        <tr r="E9" s="8"/>
      </tp>
      <tp t="e">
        <v>#N/A</v>
        <stp/>
        <stp>BDH|13043092869400757010</stp>
        <tr r="I20" s="17"/>
      </tp>
      <tp t="e">
        <v>#N/A</v>
        <stp/>
        <stp>BDH|13361387950250979043</stp>
        <tr r="K171" s="18"/>
      </tp>
      <tp t="e">
        <v>#N/A</v>
        <stp/>
        <stp>BDH|12807564388843631968</stp>
        <tr r="D188" s="18"/>
      </tp>
      <tp t="e">
        <v>#N/A</v>
        <stp/>
        <stp>BDH|17254588471717881755</stp>
        <tr r="D9" s="10"/>
      </tp>
      <tp t="e">
        <v>#N/A</v>
        <stp/>
        <stp>BDH|17504172272560750415</stp>
        <tr r="U24" s="10"/>
      </tp>
      <tp t="e">
        <v>#N/A</v>
        <stp/>
        <stp>BDH|14000618803306155158</stp>
        <tr r="M95" s="18"/>
      </tp>
      <tp t="e">
        <v>#N/A</v>
        <stp/>
        <stp>BDH|17229538614933473572</stp>
        <tr r="E177" s="18"/>
      </tp>
      <tp t="e">
        <v>#N/A</v>
        <stp/>
        <stp>BDH|15595958297659788969</stp>
        <tr r="O71" s="13"/>
      </tp>
      <tp t="e">
        <v>#N/A</v>
        <stp/>
        <stp>BDH|10112782348540230653</stp>
        <tr r="D125" s="18"/>
        <tr r="D14" s="20"/>
      </tp>
      <tp t="e">
        <v>#N/A</v>
        <stp/>
        <stp>BDH|13594215797644741928</stp>
        <tr r="X15" s="12"/>
      </tp>
      <tp t="e">
        <v>#N/A</v>
        <stp/>
        <stp>BDH|13479362372000769215</stp>
        <tr r="O123" s="18"/>
        <tr r="O12" s="20"/>
      </tp>
      <tp t="e">
        <v>#N/A</v>
        <stp/>
        <stp>BDH|13962699848965856166</stp>
        <tr r="W23" s="25"/>
        <tr r="U20" s="11"/>
      </tp>
      <tp t="e">
        <v>#N/A</v>
        <stp/>
        <stp>BDH|11365920172663554900</stp>
        <tr r="J13" s="2"/>
      </tp>
      <tp t="e">
        <v>#N/A</v>
        <stp/>
        <stp>BDH|11578135917813196766</stp>
        <tr r="S49" s="22"/>
      </tp>
      <tp t="e">
        <v>#N/A</v>
        <stp/>
        <stp>BDH|18159735999555895659</stp>
        <tr r="C42" s="22"/>
      </tp>
      <tp t="e">
        <v>#N/A</v>
        <stp/>
        <stp>BDH|16910242639121547373</stp>
        <tr r="N82" s="12"/>
      </tp>
      <tp t="e">
        <v>#N/A</v>
        <stp/>
        <stp>BDH|17316902492687086579</stp>
        <tr r="F31" s="22"/>
      </tp>
      <tp t="e">
        <v>#N/A</v>
        <stp/>
        <stp>BDH|10454491526773849053</stp>
        <tr r="R62" s="17"/>
      </tp>
      <tp t="e">
        <v>#N/A</v>
        <stp/>
        <stp>BDH|14715277327241405050</stp>
        <tr r="I35" s="25"/>
      </tp>
      <tp t="e">
        <v>#N/A</v>
        <stp/>
        <stp>BDH|11550265920924970035</stp>
        <tr r="N208" s="18"/>
      </tp>
      <tp t="e">
        <v>#N/A</v>
        <stp/>
        <stp>BDH|14920437336327241179</stp>
        <tr r="F75" s="18"/>
      </tp>
      <tp t="e">
        <v>#N/A</v>
        <stp/>
        <stp>BDH|13522485998478892340</stp>
        <tr r="O154" s="18"/>
      </tp>
      <tp t="e">
        <v>#N/A</v>
        <stp/>
        <stp>BDH|13718961126945937870</stp>
        <tr r="M17" s="12"/>
      </tp>
      <tp t="e">
        <v>#N/A</v>
        <stp/>
        <stp>BDH|14713262329255531448</stp>
        <tr r="E71" s="34"/>
      </tp>
      <tp t="e">
        <v>#N/A</v>
        <stp/>
        <stp>BDH|17704309000495974473</stp>
        <tr r="C97" s="12"/>
      </tp>
      <tp t="e">
        <v>#N/A</v>
        <stp/>
        <stp>BDH|11400402802083993362</stp>
        <tr r="H84" s="12"/>
      </tp>
      <tp t="e">
        <v>#N/A</v>
        <stp/>
        <stp>BDH|15936884808200390833</stp>
        <tr r="K45" s="18"/>
      </tp>
      <tp t="e">
        <v>#N/A</v>
        <stp/>
        <stp>BDH|16841176227510717069</stp>
        <tr r="G146" s="18"/>
      </tp>
      <tp t="e">
        <v>#N/A</v>
        <stp/>
        <stp>BDH|11702535828910008353</stp>
        <tr r="O169" s="18"/>
      </tp>
      <tp t="e">
        <v>#N/A</v>
        <stp/>
        <stp>BDH|14171257562075968068</stp>
        <tr r="E10" s="26"/>
      </tp>
      <tp t="e">
        <v>#N/A</v>
        <stp/>
        <stp>BDH|13332119128444261116</stp>
        <tr r="AA25" s="18"/>
      </tp>
      <tp t="e">
        <v>#N/A</v>
        <stp/>
        <stp>BDH|12213279655710067097</stp>
        <tr r="R140" s="18"/>
      </tp>
      <tp t="e">
        <v>#N/A</v>
        <stp/>
        <stp>BDH|15705919089280012167</stp>
        <tr r="O135" s="18"/>
      </tp>
      <tp t="e">
        <v>#N/A</v>
        <stp/>
        <stp>BDH|16839027306504186745</stp>
        <tr r="U173" s="18"/>
      </tp>
      <tp t="e">
        <v>#N/A</v>
        <stp/>
        <stp>BDH|14142795054282384168</stp>
        <tr r="C64" s="10"/>
      </tp>
      <tp t="e">
        <v>#N/A</v>
        <stp/>
        <stp>BDH|14320549529173616518</stp>
        <tr r="F8" s="8"/>
      </tp>
      <tp t="e">
        <v>#N/A</v>
        <stp/>
        <stp>BDH|11772149789848516564</stp>
        <tr r="D44" s="12"/>
      </tp>
      <tp t="e">
        <v>#N/A</v>
        <stp/>
        <stp>BDH|10393114679073769059</stp>
        <tr r="L32" s="9"/>
      </tp>
      <tp t="e">
        <v>#N/A</v>
        <stp/>
        <stp>BDH|12294907196267589086</stp>
        <tr r="AA25" s="22"/>
      </tp>
      <tp t="e">
        <v>#N/A</v>
        <stp/>
        <stp>BDH|14874030013454126403</stp>
        <tr r="H56" s="13"/>
      </tp>
      <tp t="e">
        <v>#N/A</v>
        <stp/>
        <stp>BDH|15593037778665120268</stp>
        <tr r="O63" s="12"/>
      </tp>
      <tp t="e">
        <v>#N/A</v>
        <stp/>
        <stp>BDH|14516553763061960335</stp>
        <tr r="T92" s="12"/>
      </tp>
      <tp t="e">
        <v>#N/A</v>
        <stp/>
        <stp>BDH|14905131775625005267</stp>
        <tr r="E44" s="12"/>
      </tp>
      <tp t="e">
        <v>#N/A</v>
        <stp/>
        <stp>BDH|12716381897599261433</stp>
        <tr r="X21" s="5"/>
      </tp>
      <tp t="e">
        <v>#N/A</v>
        <stp/>
        <stp>BDH|10753044939682053432</stp>
        <tr r="Y51" s="17"/>
        <tr r="Y17" s="3"/>
      </tp>
      <tp t="e">
        <v>#N/A</v>
        <stp/>
        <stp>BDH|16048986106319145362</stp>
        <tr r="W29" s="34"/>
      </tp>
      <tp t="e">
        <v>#N/A</v>
        <stp/>
        <stp>BDH|11793308708391337656</stp>
        <tr r="X11" s="29"/>
      </tp>
      <tp t="e">
        <v>#N/A</v>
        <stp/>
        <stp>BDH|10505758195438582393</stp>
        <tr r="Q27" s="14"/>
      </tp>
      <tp t="e">
        <v>#N/A</v>
        <stp/>
        <stp>BDH|15525055768422551441</stp>
        <tr r="R15" s="10"/>
      </tp>
      <tp t="e">
        <v>#N/A</v>
        <stp/>
        <stp>BDH|17952165215105371701</stp>
        <tr r="R35" s="14"/>
      </tp>
      <tp t="e">
        <v>#N/A</v>
        <stp/>
        <stp>BDH|11079152842753821266</stp>
        <tr r="H147" s="18"/>
      </tp>
      <tp t="e">
        <v>#N/A</v>
        <stp/>
        <stp>BDH|13567594776634326000</stp>
        <tr r="X114" s="18"/>
      </tp>
      <tp t="e">
        <v>#N/A</v>
        <stp/>
        <stp>BDH|12672787841580334450</stp>
        <tr r="I8" s="27"/>
      </tp>
      <tp t="e">
        <v>#N/A</v>
        <stp/>
        <stp>BDH|14291125884260986843</stp>
        <tr r="Q24" s="29"/>
      </tp>
      <tp t="e">
        <v>#N/A</v>
        <stp/>
        <stp>BDH|18212980222687308122</stp>
        <tr r="M16" s="18"/>
      </tp>
      <tp t="e">
        <v>#N/A</v>
        <stp/>
        <stp>BDH|17353292200555733545</stp>
        <tr r="X32" s="17"/>
      </tp>
      <tp t="e">
        <v>#N/A</v>
        <stp/>
        <stp>BDH|17078541625941953401</stp>
        <tr r="I54" s="24"/>
      </tp>
      <tp t="e">
        <v>#N/A</v>
        <stp/>
        <stp>BDH|12833649950244052047</stp>
        <tr r="N101" s="18"/>
      </tp>
      <tp t="e">
        <v>#N/A</v>
        <stp/>
        <stp>BDH|18172223742449990203</stp>
        <tr r="AA74" s="18"/>
      </tp>
      <tp t="e">
        <v>#N/A</v>
        <stp/>
        <stp>BDH|14443064519863114320</stp>
        <tr r="P85" s="18"/>
      </tp>
      <tp t="e">
        <v>#N/A</v>
        <stp/>
        <stp>BDH|14529062906394829558</stp>
        <tr r="N28" s="27"/>
      </tp>
      <tp t="e">
        <v>#N/A</v>
        <stp/>
        <stp>BDH|12857109947997295555</stp>
        <tr r="T73" s="13"/>
      </tp>
      <tp t="e">
        <v>#N/A</v>
        <stp/>
        <stp>BDH|15846640641053447119</stp>
        <tr r="E130" s="18"/>
      </tp>
      <tp t="e">
        <v>#N/A</v>
        <stp/>
        <stp>BDH|12378291782805105816</stp>
        <tr r="M37" s="17"/>
      </tp>
      <tp t="e">
        <v>#N/A</v>
        <stp/>
        <stp>BDH|12425341373081392285</stp>
        <tr r="F158" s="18"/>
      </tp>
      <tp t="e">
        <v>#N/A</v>
        <stp/>
        <stp>BDH|12072947784382056489</stp>
        <tr r="T18" s="24"/>
      </tp>
      <tp t="e">
        <v>#N/A</v>
        <stp/>
        <stp>BDH|11922748032619319943</stp>
        <tr r="F92" s="17"/>
        <tr r="F7" s="27"/>
      </tp>
      <tp t="e">
        <v>#N/A</v>
        <stp/>
        <stp>BDH|11979905265998117354</stp>
        <tr r="L90" s="18"/>
      </tp>
      <tp t="e">
        <v>#N/A</v>
        <stp/>
        <stp>BDH|17940848845387057907</stp>
        <tr r="D15" s="12"/>
      </tp>
      <tp t="e">
        <v>#N/A</v>
        <stp/>
        <stp>BDH|10989406927765104674</stp>
        <tr r="D7" s="34"/>
      </tp>
      <tp t="e">
        <v>#N/A</v>
        <stp/>
        <stp>BDH|13988926881505222204</stp>
        <tr r="L70" s="24"/>
      </tp>
      <tp t="e">
        <v>#N/A</v>
        <stp/>
        <stp>BDH|17920559990246434806</stp>
        <tr r="S154" s="18"/>
      </tp>
      <tp t="e">
        <v>#N/A</v>
        <stp/>
        <stp>BDH|16194735500721222585</stp>
        <tr r="Z54" s="24"/>
      </tp>
      <tp t="e">
        <v>#N/A</v>
        <stp/>
        <stp>BDH|11445099917037767258</stp>
        <tr r="T12" s="11"/>
      </tp>
      <tp t="e">
        <v>#N/A</v>
        <stp/>
        <stp>BDH|17267662942612897268</stp>
        <tr r="L19" s="17"/>
      </tp>
      <tp t="e">
        <v>#N/A</v>
        <stp/>
        <stp>BDH|17438492205304221223</stp>
        <tr r="H31" s="24"/>
      </tp>
      <tp t="e">
        <v>#N/A</v>
        <stp/>
        <stp>BDH|14713690504336393118</stp>
        <tr r="R49" s="17"/>
      </tp>
      <tp t="e">
        <v>#N/A</v>
        <stp/>
        <stp>BDH|15233684622193808784</stp>
        <tr r="Y25" s="13"/>
      </tp>
      <tp t="e">
        <v>#N/A</v>
        <stp/>
        <stp>BDH|13940856705729145703</stp>
        <tr r="J15" s="29"/>
        <tr r="J38" s="29"/>
      </tp>
      <tp t="e">
        <v>#N/A</v>
        <stp/>
        <stp>BDH|11905108629860968717</stp>
        <tr r="Z85" s="24"/>
      </tp>
      <tp t="e">
        <v>#N/A</v>
        <stp/>
        <stp>BDH|10932529944666058278</stp>
        <tr r="E168" s="18"/>
      </tp>
      <tp t="e">
        <v>#N/A</v>
        <stp/>
        <stp>BDH|16335087112922582044</stp>
        <tr r="R9" s="23"/>
      </tp>
      <tp t="e">
        <v>#N/A</v>
        <stp/>
        <stp>BDH|11745795537701931184</stp>
        <tr r="N34" s="26"/>
      </tp>
      <tp t="e">
        <v>#N/A</v>
        <stp/>
        <stp>BDH|11606367941983967009</stp>
        <tr r="W206" s="18"/>
      </tp>
      <tp t="e">
        <v>#N/A</v>
        <stp/>
        <stp>BDH|14940303034206460712</stp>
        <tr r="C9" s="34"/>
      </tp>
      <tp t="e">
        <v>#N/A</v>
        <stp/>
        <stp>BDH|12923485216087711586</stp>
        <tr r="V193" s="18"/>
      </tp>
      <tp t="e">
        <v>#N/A</v>
        <stp/>
        <stp>BDH|17882535868831262093</stp>
        <tr r="Z20" s="29"/>
      </tp>
      <tp t="e">
        <v>#N/A</v>
        <stp/>
        <stp>BDH|10906545211523213261</stp>
        <tr r="U65" s="24"/>
      </tp>
      <tp t="e">
        <v>#N/A</v>
        <stp/>
        <stp>BDH|12070947437458856531</stp>
        <tr r="T10" s="14"/>
      </tp>
      <tp t="e">
        <v>#N/A</v>
        <stp/>
        <stp>BDH|10260751849641774711</stp>
        <tr r="F10" s="24"/>
      </tp>
      <tp t="e">
        <v>#N/A</v>
        <stp/>
        <stp>BDH|12128454421321843057</stp>
        <tr r="L194" s="18"/>
      </tp>
      <tp t="e">
        <v>#N/A</v>
        <stp/>
        <stp>BDH|11955319889916017992</stp>
        <tr r="G35" s="4"/>
      </tp>
      <tp t="e">
        <v>#N/A</v>
        <stp/>
        <stp>BDH|12259502358250570777</stp>
        <tr r="Y57" s="13"/>
      </tp>
      <tp t="e">
        <v>#N/A</v>
        <stp/>
        <stp>BDH|15555957226078758392</stp>
        <tr r="F57" s="18"/>
      </tp>
      <tp t="e">
        <v>#N/A</v>
        <stp/>
        <stp>BDH|17456344331191076392</stp>
        <tr r="U16" s="12"/>
      </tp>
      <tp t="e">
        <v>#N/A</v>
        <stp/>
        <stp>BDH|11674340329792047730</stp>
        <tr r="U39" s="25"/>
        <tr r="U7" s="3"/>
        <tr r="S17" s="11"/>
        <tr r="U22" s="13"/>
        <tr r="U7" s="13"/>
      </tp>
      <tp t="e">
        <v>#N/A</v>
        <stp/>
        <stp>BDH|13663477208874344629</stp>
        <tr r="P7" s="8"/>
      </tp>
      <tp t="e">
        <v>#N/A</v>
        <stp/>
        <stp>BDH|10716364107990570680</stp>
        <tr r="Y19" s="12"/>
      </tp>
      <tp t="e">
        <v>#N/A</v>
        <stp/>
        <stp>BDH|11122513663801871605</stp>
        <tr r="D79" s="34"/>
      </tp>
      <tp t="e">
        <v>#N/A</v>
        <stp/>
        <stp>BDH|15231980107758182177</stp>
        <tr r="T30" s="6"/>
      </tp>
      <tp t="e">
        <v>#N/A</v>
        <stp/>
        <stp>BDH|14823383066361407599</stp>
        <tr r="L61" s="17"/>
      </tp>
      <tp t="e">
        <v>#N/A</v>
        <stp/>
        <stp>BDH|12688482396112646855</stp>
        <tr r="AA51" s="17"/>
        <tr r="AA17" s="3"/>
      </tp>
      <tp t="e">
        <v>#N/A</v>
        <stp/>
        <stp>BDH|14605247475483415788</stp>
        <tr r="S78" s="17"/>
      </tp>
      <tp t="e">
        <v>#N/A</v>
        <stp/>
        <stp>BDH|11142766639641282176</stp>
        <tr r="P11" s="3"/>
        <tr r="N50" s="10"/>
        <tr r="N40" s="11"/>
        <tr r="N8" s="7"/>
      </tp>
      <tp t="e">
        <v>#N/A</v>
        <stp/>
        <stp>BDH|10798373873584966510</stp>
        <tr r="C82" s="17"/>
        <tr r="C20" s="3"/>
      </tp>
      <tp t="e">
        <v>#N/A</v>
        <stp/>
        <stp>BDH|17674220749901438524</stp>
        <tr r="T42" s="21"/>
      </tp>
      <tp t="e">
        <v>#N/A</v>
        <stp/>
        <stp>BDH|17827789842686125786</stp>
        <tr r="O14" s="24"/>
      </tp>
      <tp t="e">
        <v>#N/A</v>
        <stp/>
        <stp>BDH|17405386807857000606</stp>
        <tr r="L183" s="18"/>
      </tp>
      <tp t="e">
        <v>#N/A</v>
        <stp/>
        <stp>BDH|18378177679962692908</stp>
        <tr r="R34" s="6"/>
      </tp>
      <tp t="e">
        <v>#N/A</v>
        <stp/>
        <stp>BDH|15918598026294906343</stp>
        <tr r="J25" s="2"/>
        <tr r="L62" s="21"/>
      </tp>
      <tp t="e">
        <v>#N/A</v>
        <stp/>
        <stp>BDH|17291377580781662880</stp>
        <tr r="C15" s="9"/>
      </tp>
      <tp t="e">
        <v>#N/A</v>
        <stp/>
        <stp>BDH|10210037194119895561</stp>
        <tr r="X38" s="4"/>
        <tr r="X56" s="11"/>
        <tr r="Z13" s="23"/>
      </tp>
      <tp t="e">
        <v>#N/A</v>
        <stp/>
        <stp>BDH|11684536268300647706</stp>
        <tr r="G15" s="26"/>
      </tp>
      <tp t="e">
        <v>#N/A</v>
        <stp/>
        <stp>BDH|14181565426942821429</stp>
        <tr r="D106" s="18"/>
      </tp>
      <tp t="e">
        <v>#N/A</v>
        <stp/>
        <stp>BDH|16102446038952772614</stp>
        <tr r="Q208" s="18"/>
      </tp>
      <tp t="e">
        <v>#N/A</v>
        <stp/>
        <stp>BDH|17849727907561101475</stp>
        <tr r="X166" s="18"/>
      </tp>
      <tp t="e">
        <v>#N/A</v>
        <stp/>
        <stp>BDH|10792595541960350473</stp>
        <tr r="D22" s="24"/>
      </tp>
      <tp t="e">
        <v>#N/A</v>
        <stp/>
        <stp>BDH|15812689477940853147</stp>
        <tr r="K62" s="24"/>
      </tp>
      <tp t="e">
        <v>#N/A</v>
        <stp/>
        <stp>BDH|16021995251098146721</stp>
        <tr r="AA18" s="25"/>
      </tp>
      <tp t="e">
        <v>#N/A</v>
        <stp/>
        <stp>BDH|11282467645570284480</stp>
        <tr r="X60" s="17"/>
      </tp>
      <tp t="e">
        <v>#N/A</v>
        <stp/>
        <stp>BDH|17533785948557938672</stp>
        <tr r="T29" s="34"/>
      </tp>
      <tp t="e">
        <v>#N/A</v>
        <stp/>
        <stp>BDH|13166772860653454496</stp>
        <tr r="L32" s="18"/>
      </tp>
      <tp t="e">
        <v>#N/A</v>
        <stp/>
        <stp>BDH|10841112082448455446</stp>
        <tr r="L10" s="34"/>
      </tp>
      <tp t="e">
        <v>#N/A</v>
        <stp/>
        <stp>BDH|13963845540958229248</stp>
        <tr r="W187" s="18"/>
      </tp>
      <tp t="e">
        <v>#N/A</v>
        <stp/>
        <stp>BDH|15784510756478993825</stp>
        <tr r="F31" s="5"/>
      </tp>
      <tp t="e">
        <v>#N/A</v>
        <stp/>
        <stp>BDH|16345205311794818417</stp>
        <tr r="AA16" s="34"/>
      </tp>
      <tp t="e">
        <v>#N/A</v>
        <stp/>
        <stp>BDH|13392875895920228787</stp>
        <tr r="Q60" s="18"/>
      </tp>
      <tp t="e">
        <v>#N/A</v>
        <stp/>
        <stp>BDH|13968964506246259905</stp>
        <tr r="S126" s="18"/>
      </tp>
      <tp t="e">
        <v>#N/A</v>
        <stp/>
        <stp>BDH|14374982460449908796</stp>
        <tr r="E15" s="5"/>
      </tp>
      <tp t="e">
        <v>#N/A</v>
        <stp/>
        <stp>BDH|18446714654118829724</stp>
        <tr r="E44" s="6"/>
      </tp>
      <tp t="e">
        <v>#N/A</v>
        <stp/>
        <stp>BDH|17846135522487710653</stp>
        <tr r="G121" s="18"/>
        <tr r="G9" s="20"/>
      </tp>
      <tp t="e">
        <v>#N/A</v>
        <stp/>
        <stp>BDH|10512179900452994602</stp>
        <tr r="Q47" s="21"/>
      </tp>
      <tp t="e">
        <v>#N/A</v>
        <stp/>
        <stp>BDH|12411763333636971534</stp>
        <tr r="J195" s="18"/>
      </tp>
      <tp t="e">
        <v>#N/A</v>
        <stp/>
        <stp>BDH|17444071477776802374</stp>
        <tr r="D60" s="21"/>
      </tp>
      <tp t="e">
        <v>#N/A</v>
        <stp/>
        <stp>BDH|17947714210623110721</stp>
        <tr r="L48" s="18"/>
      </tp>
      <tp t="e">
        <v>#N/A</v>
        <stp/>
        <stp>BDH|13832671863705740304</stp>
        <tr r="E11" s="22"/>
      </tp>
      <tp t="e">
        <v>#N/A</v>
        <stp/>
        <stp>BDH|16741778534105690291</stp>
        <tr r="V16" s="18"/>
      </tp>
      <tp t="e">
        <v>#N/A</v>
        <stp/>
        <stp>BDH|16988366388869974155</stp>
        <tr r="Z58" s="12"/>
      </tp>
      <tp t="e">
        <v>#N/A</v>
        <stp/>
        <stp>BDH|14713383718090415387</stp>
        <tr r="P37" s="12"/>
      </tp>
      <tp t="e">
        <v>#N/A</v>
        <stp/>
        <stp>BDH|10918201573728735860</stp>
        <tr r="Q10" s="12"/>
      </tp>
      <tp t="e">
        <v>#N/A</v>
        <stp/>
        <stp>BDH|10428131553426758786</stp>
        <tr r="V44" s="24"/>
      </tp>
      <tp t="e">
        <v>#N/A</v>
        <stp/>
        <stp>BDH|11977200010256011120</stp>
        <tr r="D52" s="13"/>
      </tp>
      <tp t="e">
        <v>#N/A</v>
        <stp/>
        <stp>BDH|16989120266537713307</stp>
        <tr r="F101" s="12"/>
      </tp>
      <tp t="e">
        <v>#N/A</v>
        <stp/>
        <stp>BDH|10119691753210817699</stp>
        <tr r="X17" s="10"/>
        <tr r="Z16" s="13"/>
        <tr r="Z30" s="13"/>
      </tp>
      <tp t="e">
        <v>#N/A</v>
        <stp/>
        <stp>BDH|14015019570393913520</stp>
        <tr r="H35" s="24"/>
      </tp>
      <tp t="e">
        <v>#N/A</v>
        <stp/>
        <stp>BDH|10272247369833506202</stp>
        <tr r="F34" s="14"/>
      </tp>
      <tp t="e">
        <v>#N/A</v>
        <stp/>
        <stp>BDH|11622008008313048744</stp>
        <tr r="M71" s="17"/>
      </tp>
      <tp t="e">
        <v>#N/A</v>
        <stp/>
        <stp>BDH|16285776106691827513</stp>
        <tr r="D19" s="11"/>
      </tp>
      <tp t="e">
        <v>#N/A</v>
        <stp/>
        <stp>BDH|16423335520574537688</stp>
        <tr r="F25" s="2"/>
        <tr r="H62" s="21"/>
      </tp>
      <tp t="e">
        <v>#N/A</v>
        <stp/>
        <stp>BDH|14153316079223518668</stp>
        <tr r="AA84" s="24"/>
      </tp>
      <tp t="e">
        <v>#N/A</v>
        <stp/>
        <stp>BDH|14907206601380391314</stp>
        <tr r="G160" s="18"/>
      </tp>
      <tp t="e">
        <v>#N/A</v>
        <stp/>
        <stp>BDH|17589268458526857398</stp>
        <tr r="Q26" s="24"/>
      </tp>
      <tp t="e">
        <v>#N/A</v>
        <stp/>
        <stp>BDH|15180963617441248983</stp>
        <tr r="O20" s="17"/>
      </tp>
      <tp t="e">
        <v>#N/A</v>
        <stp/>
        <stp>BDH|12250013930946079290</stp>
        <tr r="I73" s="34"/>
      </tp>
      <tp t="e">
        <v>#N/A</v>
        <stp/>
        <stp>BDH|13913483565462786696</stp>
        <tr r="K76" s="12"/>
      </tp>
      <tp t="e">
        <v>#N/A</v>
        <stp/>
        <stp>BDH|13555020335270992516</stp>
        <tr r="T185" s="18"/>
      </tp>
      <tp t="e">
        <v>#N/A</v>
        <stp/>
        <stp>BDH|14994761956377568465</stp>
        <tr r="M47" s="17"/>
      </tp>
      <tp t="e">
        <v>#N/A</v>
        <stp/>
        <stp>BDH|17289166505473956020</stp>
        <tr r="T44" s="24"/>
      </tp>
      <tp t="e">
        <v>#N/A</v>
        <stp/>
        <stp>BDH|17795182540664650337</stp>
        <tr r="M38" s="22"/>
      </tp>
      <tp t="e">
        <v>#N/A</v>
        <stp/>
        <stp>BDH|18408953508680424478</stp>
        <tr r="T183" s="18"/>
      </tp>
      <tp t="e">
        <v>#N/A</v>
        <stp/>
        <stp>BDH|17515096532819721832</stp>
        <tr r="L165" s="18"/>
      </tp>
      <tp t="e">
        <v>#N/A</v>
        <stp/>
        <stp>BDH|11754662008885402771</stp>
        <tr r="R8" s="13"/>
      </tp>
      <tp t="e">
        <v>#N/A</v>
        <stp/>
        <stp>BDH|10558409065696845120</stp>
        <tr r="M9" s="27"/>
      </tp>
      <tp t="e">
        <v>#N/A</v>
        <stp/>
        <stp>BDH|12221860584554291380</stp>
        <tr r="W22" s="7"/>
      </tp>
      <tp t="e">
        <v>#N/A</v>
        <stp/>
        <stp>BDH|16569856641796899933</stp>
        <tr r="F95" s="12"/>
      </tp>
      <tp t="e">
        <v>#N/A</v>
        <stp/>
        <stp>BDH|18040808828400141731</stp>
        <tr r="C14" s="34"/>
      </tp>
      <tp t="e">
        <v>#N/A</v>
        <stp/>
        <stp>BDH|13843430153174290301</stp>
        <tr r="I181" s="18"/>
      </tp>
      <tp t="e">
        <v>#N/A</v>
        <stp/>
        <stp>BDH|14568541279115137639</stp>
        <tr r="X34" s="26"/>
      </tp>
      <tp t="e">
        <v>#N/A</v>
        <stp/>
        <stp>BDH|17046594257071357379</stp>
        <tr r="AA82" s="17"/>
        <tr r="AA20" s="3"/>
        <tr r="Y6" s="7"/>
      </tp>
      <tp t="e">
        <v>#N/A</v>
        <stp/>
        <stp>BDH|13962264727420348610</stp>
        <tr r="M17" s="17"/>
        <tr r="M20" s="28"/>
      </tp>
      <tp t="e">
        <v>#N/A</v>
        <stp/>
        <stp>BDH|11919837700044128816</stp>
        <tr r="I79" s="24"/>
      </tp>
      <tp t="e">
        <v>#N/A</v>
        <stp/>
        <stp>BDH|10746647529601847080</stp>
        <tr r="S8" s="11"/>
      </tp>
      <tp t="e">
        <v>#N/A</v>
        <stp/>
        <stp>BDH|12846495068762414776</stp>
        <tr r="G29" s="10"/>
        <tr r="I38" s="13"/>
      </tp>
      <tp t="e">
        <v>#N/A</v>
        <stp/>
        <stp>BDH|16925034876497167374</stp>
        <tr r="D13" s="5"/>
      </tp>
      <tp t="e">
        <v>#N/A</v>
        <stp/>
        <stp>BDH|12360071311576746086</stp>
        <tr r="U142" s="18"/>
      </tp>
      <tp t="e">
        <v>#N/A</v>
        <stp/>
        <stp>BDH|16325107278575109007</stp>
        <tr r="I182" s="18"/>
      </tp>
      <tp t="e">
        <v>#N/A</v>
        <stp/>
        <stp>BDH|12030315513261143497</stp>
        <tr r="N25" s="10"/>
        <tr r="P34" s="13"/>
      </tp>
      <tp t="e">
        <v>#N/A</v>
        <stp/>
        <stp>BDH|14928013527266475512</stp>
        <tr r="X153" s="18"/>
      </tp>
      <tp t="e">
        <v>#N/A</v>
        <stp/>
        <stp>BDH|11428477418701569042</stp>
        <tr r="U32" s="25"/>
        <tr r="U18" s="27"/>
      </tp>
      <tp t="e">
        <v>#N/A</v>
        <stp/>
        <stp>BDH|13118143470369809977</stp>
        <tr r="S34" s="22"/>
      </tp>
      <tp t="e">
        <v>#N/A</v>
        <stp/>
        <stp>BDH|13217904092476805024</stp>
        <tr r="F19" s="5"/>
        <tr r="F42" s="6"/>
      </tp>
      <tp t="e">
        <v>#N/A</v>
        <stp/>
        <stp>BDH|14276096268360901707</stp>
        <tr r="T58" s="24"/>
      </tp>
      <tp t="e">
        <v>#N/A</v>
        <stp/>
        <stp>BDH|11733495334285574657</stp>
        <tr r="W72" s="34"/>
      </tp>
      <tp t="e">
        <v>#N/A</v>
        <stp/>
        <stp>BDH|14773115424562929011</stp>
        <tr r="I7" s="6"/>
      </tp>
      <tp t="e">
        <v>#N/A</v>
        <stp/>
        <stp>BDH|15884806294832070365</stp>
        <tr r="V10" s="13"/>
      </tp>
      <tp t="e">
        <v>#N/A</v>
        <stp/>
        <stp>BDH|11936913081142263713</stp>
        <tr r="V40" s="24"/>
      </tp>
      <tp t="e">
        <v>#N/A</v>
        <stp/>
        <stp>BDH|14169785653132515128</stp>
        <tr r="C7" s="14"/>
      </tp>
      <tp t="e">
        <v>#N/A</v>
        <stp/>
        <stp>BDH|16973179831191075023</stp>
        <tr r="K17" s="12"/>
      </tp>
      <tp t="e">
        <v>#N/A</v>
        <stp/>
        <stp>BDH|17073169681073301895</stp>
        <tr r="W18" s="20"/>
      </tp>
      <tp t="e">
        <v>#N/A</v>
        <stp/>
        <stp>BDH|15985966440735268805</stp>
        <tr r="R68" s="34"/>
      </tp>
      <tp t="e">
        <v>#N/A</v>
        <stp/>
        <stp>BDH|14191091858292455695</stp>
        <tr r="L16" s="26"/>
      </tp>
      <tp t="e">
        <v>#N/A</v>
        <stp/>
        <stp>BDH|13150747223761293296</stp>
        <tr r="D32" s="29"/>
      </tp>
      <tp t="e">
        <v>#N/A</v>
        <stp/>
        <stp>BDH|16205476036833711795</stp>
        <tr r="Q173" s="18"/>
      </tp>
      <tp t="e">
        <v>#N/A</v>
        <stp/>
        <stp>BDH|15082570563274980708</stp>
        <tr r="D30" s="18"/>
      </tp>
      <tp t="e">
        <v>#N/A</v>
        <stp/>
        <stp>BDH|17249643066512984043</stp>
        <tr r="G56" s="13"/>
      </tp>
      <tp t="e">
        <v>#N/A</v>
        <stp/>
        <stp>BDH|17975178707406644526</stp>
        <tr r="Z53" s="17"/>
      </tp>
      <tp t="e">
        <v>#N/A</v>
        <stp/>
        <stp>BDH|10218668146070751783</stp>
        <tr r="Y9" s="2"/>
        <tr r="AA8" s="25"/>
        <tr r="X10" s="5"/>
      </tp>
      <tp t="e">
        <v>#N/A</v>
        <stp/>
        <stp>BDH|13833069457561586219</stp>
        <tr r="T22" s="22"/>
      </tp>
      <tp t="e">
        <v>#N/A</v>
        <stp/>
        <stp>BDH|13442223298548542568</stp>
        <tr r="N26" s="25"/>
        <tr r="N12" s="27"/>
      </tp>
      <tp t="e">
        <v>#N/A</v>
        <stp/>
        <stp>BDH|10475168448785548522</stp>
        <tr r="G48" s="12"/>
      </tp>
      <tp t="e">
        <v>#N/A</v>
        <stp/>
        <stp>BDH|10158229250117749597</stp>
        <tr r="X56" s="24"/>
      </tp>
      <tp t="e">
        <v>#N/A</v>
        <stp/>
        <stp>BDH|11919309629161847450</stp>
        <tr r="R17" s="30"/>
      </tp>
      <tp t="e">
        <v>#N/A</v>
        <stp/>
        <stp>BDH|16439361519153763218</stp>
        <tr r="J24" s="9"/>
      </tp>
      <tp t="e">
        <v>#N/A</v>
        <stp/>
        <stp>BDH|11012591205163682274</stp>
        <tr r="N51" s="24"/>
      </tp>
      <tp t="e">
        <v>#N/A</v>
        <stp/>
        <stp>BDH|17290120331740911052</stp>
        <tr r="P138" s="18"/>
      </tp>
      <tp t="e">
        <v>#N/A</v>
        <stp/>
        <stp>BDH|15308189551455277156</stp>
        <tr r="R35" s="24"/>
      </tp>
      <tp t="e">
        <v>#N/A</v>
        <stp/>
        <stp>BDH|14477556355717129687</stp>
        <tr r="X173" s="18"/>
      </tp>
      <tp t="e">
        <v>#N/A</v>
        <stp/>
        <stp>BDH|11173076255964983573</stp>
        <tr r="O24" s="22"/>
      </tp>
      <tp t="e">
        <v>#N/A</v>
        <stp/>
        <stp>BDH|11971351170561581148</stp>
        <tr r="D72" s="34"/>
      </tp>
      <tp t="e">
        <v>#N/A</v>
        <stp/>
        <stp>BDH|16918133804736614457</stp>
        <tr r="S28" s="22"/>
      </tp>
      <tp t="e">
        <v>#N/A</v>
        <stp/>
        <stp>BDH|10092113888275432909</stp>
        <tr r="Y56" s="13"/>
      </tp>
      <tp t="e">
        <v>#N/A</v>
        <stp/>
        <stp>BDH|15655683833522776776</stp>
        <tr r="D40" s="10"/>
        <tr r="D30" s="11"/>
      </tp>
      <tp t="e">
        <v>#N/A</v>
        <stp/>
        <stp>BDH|16345632204452188788</stp>
        <tr r="F18" s="12"/>
      </tp>
      <tp t="e">
        <v>#N/A</v>
        <stp/>
        <stp>BDH|15252235448685320375</stp>
        <tr r="T24" s="17"/>
      </tp>
      <tp t="e">
        <v>#N/A</v>
        <stp/>
        <stp>BDH|16248731344504968417</stp>
        <tr r="X44" s="17"/>
      </tp>
      <tp t="e">
        <v>#N/A</v>
        <stp/>
        <stp>BDH|13708483366655446101</stp>
        <tr r="F41" s="12"/>
      </tp>
      <tp t="e">
        <v>#N/A</v>
        <stp/>
        <stp>BDH|17377232224335810717</stp>
        <tr r="T39" s="18"/>
      </tp>
      <tp t="e">
        <v>#N/A</v>
        <stp/>
        <stp>BDH|10775054889499765416</stp>
        <tr r="Z91" s="18"/>
      </tp>
      <tp t="e">
        <v>#N/A</v>
        <stp/>
        <stp>BDH|13058531419400166260</stp>
        <tr r="T8" s="18"/>
      </tp>
      <tp t="e">
        <v>#N/A</v>
        <stp/>
        <stp>BDH|15379397903607421402</stp>
        <tr r="P13" s="8"/>
      </tp>
      <tp t="e">
        <v>#N/A</v>
        <stp/>
        <stp>BDH|10485198312720756554</stp>
        <tr r="J21" s="3"/>
      </tp>
      <tp t="e">
        <v>#N/A</v>
        <stp/>
        <stp>BDH|11785494593838132112</stp>
        <tr r="G18" s="13"/>
      </tp>
      <tp t="e">
        <v>#N/A</v>
        <stp/>
        <stp>BDH|14219693956765508751</stp>
        <tr r="N62" s="34"/>
      </tp>
      <tp t="e">
        <v>#N/A</v>
        <stp/>
        <stp>BDH|11990148312446071226</stp>
        <tr r="W14" s="34"/>
      </tp>
      <tp t="e">
        <v>#N/A</v>
        <stp/>
        <stp>BDH|11998506792100675812</stp>
        <tr r="W95" s="17"/>
      </tp>
      <tp t="e">
        <v>#N/A</v>
        <stp/>
        <stp>BDH|11705367945287980416</stp>
        <tr r="H153" s="18"/>
      </tp>
      <tp t="e">
        <v>#N/A</v>
        <stp/>
        <stp>BDH|11660439820472962007</stp>
        <tr r="T169" s="18"/>
      </tp>
      <tp t="e">
        <v>#N/A</v>
        <stp/>
        <stp>BDH|10111088170982287072</stp>
        <tr r="S7" s="10"/>
      </tp>
      <tp t="e">
        <v>#N/A</v>
        <stp/>
        <stp>BDH|16923625983465295860</stp>
        <tr r="D90" s="24"/>
      </tp>
      <tp t="e">
        <v>#N/A</v>
        <stp/>
        <stp>BDH|16061044441541045699</stp>
        <tr r="F23" s="12"/>
      </tp>
      <tp t="e">
        <v>#N/A</v>
        <stp/>
        <stp>BDH|10560908181273858700</stp>
        <tr r="R39" s="17"/>
      </tp>
      <tp t="e">
        <v>#N/A</v>
        <stp/>
        <stp>BDH|16406599659422847100</stp>
        <tr r="C12" s="3"/>
      </tp>
      <tp t="e">
        <v>#N/A</v>
        <stp/>
        <stp>BDH|18435778329048454027</stp>
        <tr r="X81" s="12"/>
      </tp>
      <tp t="e">
        <v>#N/A</v>
        <stp/>
        <stp>BDH|12405574101290960278</stp>
        <tr r="P7" s="6"/>
      </tp>
      <tp t="e">
        <v>#N/A</v>
        <stp/>
        <stp>BDH|11767081052603498250</stp>
        <tr r="L111" s="18"/>
      </tp>
      <tp t="e">
        <v>#N/A</v>
        <stp/>
        <stp>BDH|16771794271584663758</stp>
        <tr r="N19" s="12"/>
      </tp>
      <tp t="e">
        <v>#N/A</v>
        <stp/>
        <stp>BDH|11126283067818656844</stp>
        <tr r="E21" s="20"/>
      </tp>
      <tp t="e">
        <v>#N/A</v>
        <stp/>
        <stp>BDH|17130766751261981137</stp>
        <tr r="Z9" s="28"/>
      </tp>
      <tp t="e">
        <v>#N/A</v>
        <stp/>
        <stp>BDH|11210883111748033579</stp>
        <tr r="Z31" s="24"/>
      </tp>
      <tp t="e">
        <v>#N/A</v>
        <stp/>
        <stp>BDH|13987457827279069974</stp>
        <tr r="O12" s="11"/>
      </tp>
      <tp t="e">
        <v>#N/A</v>
        <stp/>
        <stp>BDH|15591063094381978821</stp>
        <tr r="M98" s="12"/>
      </tp>
      <tp t="e">
        <v>#N/A</v>
        <stp/>
        <stp>BDH|16284814044428975720</stp>
        <tr r="E11" s="3"/>
        <tr r="C50" s="10"/>
        <tr r="C40" s="11"/>
        <tr r="C8" s="7"/>
      </tp>
      <tp t="e">
        <v>#N/A</v>
        <stp/>
        <stp>BDH|11379526712236985665</stp>
        <tr r="Y47" s="12"/>
      </tp>
      <tp t="e">
        <v>#N/A</v>
        <stp/>
        <stp>BDH|17852239150575715006</stp>
        <tr r="C91" s="17"/>
      </tp>
      <tp t="e">
        <v>#N/A</v>
        <stp/>
        <stp>BDH|10357053848182617348</stp>
        <tr r="C51" s="21"/>
      </tp>
      <tp t="e">
        <v>#N/A</v>
        <stp/>
        <stp>BDH|12889342736643139471</stp>
        <tr r="K72" s="18"/>
      </tp>
      <tp t="e">
        <v>#N/A</v>
        <stp/>
        <stp>BDH|10799519429563386100</stp>
        <tr r="D124" s="18"/>
        <tr r="D13" s="20"/>
      </tp>
      <tp t="e">
        <v>#N/A</v>
        <stp/>
        <stp>BDH|11481802585077525384</stp>
        <tr r="K12" s="3"/>
        <tr r="I55" s="10"/>
        <tr r="I45" s="11"/>
        <tr r="I7" s="7"/>
      </tp>
      <tp t="e">
        <v>#N/A</v>
        <stp/>
        <stp>BDH|17393046835391801060</stp>
        <tr r="D67" s="18"/>
      </tp>
      <tp t="e">
        <v>#N/A</v>
        <stp/>
        <stp>BDH|13544543488432567906</stp>
        <tr r="D21" s="9"/>
      </tp>
      <tp t="e">
        <v>#N/A</v>
        <stp/>
        <stp>BDH|17059080654634048304</stp>
        <tr r="AA24" s="13"/>
      </tp>
      <tp t="e">
        <v>#N/A</v>
        <stp/>
        <stp>BDH|10519618545790852758</stp>
        <tr r="I19" s="34"/>
      </tp>
      <tp t="e">
        <v>#N/A</v>
        <stp/>
        <stp>BDH|18027581687879103929</stp>
        <tr r="K32" s="26"/>
      </tp>
      <tp t="e">
        <v>#N/A</v>
        <stp/>
        <stp>BDH|17435760817257078394</stp>
        <tr r="O42" s="22"/>
      </tp>
      <tp t="e">
        <v>#N/A</v>
        <stp/>
        <stp>BDH|13251300966100054380</stp>
        <tr r="I209" s="18"/>
      </tp>
      <tp t="e">
        <v>#N/A</v>
        <stp/>
        <stp>BDH|17725784657625465507</stp>
        <tr r="Y68" s="12"/>
      </tp>
      <tp t="e">
        <v>#N/A</v>
        <stp/>
        <stp>BDH|10958424300448606915</stp>
        <tr r="W145" s="18"/>
      </tp>
      <tp t="e">
        <v>#N/A</v>
        <stp/>
        <stp>BDH|13471404959605453250</stp>
        <tr r="Y71" s="18"/>
      </tp>
      <tp t="e">
        <v>#N/A</v>
        <stp/>
        <stp>BDH|14838260551031658756</stp>
        <tr r="J49" s="12"/>
      </tp>
      <tp t="e">
        <v>#N/A</v>
        <stp/>
        <stp>BDH|14903120166166792068</stp>
        <tr r="E51" s="21"/>
      </tp>
      <tp t="e">
        <v>#N/A</v>
        <stp/>
        <stp>BDH|10615483312144120411</stp>
        <tr r="L191" s="18"/>
      </tp>
      <tp t="e">
        <v>#N/A</v>
        <stp/>
        <stp>BDH|11179699620902792239</stp>
        <tr r="C105" s="18"/>
      </tp>
      <tp t="e">
        <v>#N/A</v>
        <stp/>
        <stp>BDH|13224171719496584058</stp>
        <tr r="O140" s="18"/>
      </tp>
      <tp t="e">
        <v>#N/A</v>
        <stp/>
        <stp>BDH|15280883259904957960</stp>
        <tr r="R33" s="24"/>
      </tp>
      <tp t="e">
        <v>#N/A</v>
        <stp/>
        <stp>BDH|13265918225535890825</stp>
        <tr r="Q63" s="17"/>
      </tp>
      <tp t="e">
        <v>#N/A</v>
        <stp/>
        <stp>BDH|16916672323600763764</stp>
        <tr r="P49" s="6"/>
        <tr r="R10" s="8"/>
      </tp>
      <tp t="e">
        <v>#N/A</v>
        <stp/>
        <stp>BDH|14684065805983956206</stp>
        <tr r="Y73" s="10"/>
        <tr r="Y63" s="11"/>
      </tp>
      <tp t="e">
        <v>#N/A</v>
        <stp/>
        <stp>BDH|15227140143833899615</stp>
        <tr r="Z33" s="14"/>
      </tp>
      <tp t="e">
        <v>#N/A</v>
        <stp/>
        <stp>BDH|16824770803417264326</stp>
        <tr r="M73" s="12"/>
      </tp>
      <tp t="e">
        <v>#N/A</v>
        <stp/>
        <stp>BDH|10440632859565419364</stp>
        <tr r="C191" s="18"/>
      </tp>
      <tp t="e">
        <v>#N/A</v>
        <stp/>
        <stp>BDH|12877645411019058912</stp>
        <tr r="AA25" s="24"/>
      </tp>
      <tp t="e">
        <v>#N/A</v>
        <stp/>
        <stp>BDH|10266681700334747715</stp>
        <tr r="M53" s="13"/>
      </tp>
      <tp t="e">
        <v>#N/A</v>
        <stp/>
        <stp>BDH|10891566254937470224</stp>
        <tr r="V42" s="4"/>
      </tp>
      <tp t="e">
        <v>#N/A</v>
        <stp/>
        <stp>BDH|13928622133340248363</stp>
        <tr r="T19" s="25"/>
      </tp>
      <tp t="e">
        <v>#N/A</v>
        <stp/>
        <stp>BDH|10361742348716561061</stp>
        <tr r="F62" s="12"/>
      </tp>
      <tp t="e">
        <v>#N/A</v>
        <stp/>
        <stp>BDH|11060639134169335889</stp>
        <tr r="K67" s="10"/>
      </tp>
      <tp t="e">
        <v>#N/A</v>
        <stp/>
        <stp>BDH|11991448376286118166</stp>
        <tr r="D95" s="18"/>
      </tp>
      <tp t="e">
        <v>#N/A</v>
        <stp/>
        <stp>BDH|10445154876160020388</stp>
        <tr r="I124" s="18"/>
        <tr r="I13" s="20"/>
      </tp>
      <tp t="e">
        <v>#N/A</v>
        <stp/>
        <stp>BDH|17831414122180083444</stp>
        <tr r="O98" s="12"/>
      </tp>
      <tp t="e">
        <v>#N/A</v>
        <stp/>
        <stp>BDH|17285091674491677463</stp>
        <tr r="J52" s="10"/>
        <tr r="J42" s="11"/>
        <tr r="J15" s="7"/>
      </tp>
      <tp t="e">
        <v>#N/A</v>
        <stp/>
        <stp>BDH|12058102246560924209</stp>
        <tr r="R7" s="34"/>
      </tp>
      <tp t="e">
        <v>#N/A</v>
        <stp/>
        <stp>BDH|15251684243610269248</stp>
        <tr r="AA78" s="12"/>
      </tp>
      <tp t="e">
        <v>#N/A</v>
        <stp/>
        <stp>BDH|14875048317803577319</stp>
        <tr r="Q19" s="22"/>
      </tp>
      <tp t="e">
        <v>#N/A</v>
        <stp/>
        <stp>BDH|12147250158671522169</stp>
        <tr r="E8" s="4"/>
      </tp>
      <tp t="e">
        <v>#N/A</v>
        <stp/>
        <stp>BDH|14801335013915339647</stp>
        <tr r="G15" s="10"/>
      </tp>
      <tp t="e">
        <v>#N/A</v>
        <stp/>
        <stp>BDH|11364718878330642436</stp>
        <tr r="R87" s="17"/>
      </tp>
      <tp t="e">
        <v>#N/A</v>
        <stp/>
        <stp>BDH|13875559518022314090</stp>
        <tr r="O95" s="24"/>
      </tp>
      <tp t="e">
        <v>#N/A</v>
        <stp/>
        <stp>BDH|12793104708474301236</stp>
        <tr r="U58" s="11"/>
        <tr r="W19" s="23"/>
      </tp>
      <tp t="e">
        <v>#N/A</v>
        <stp/>
        <stp>BDH|17952949934468667003</stp>
        <tr r="N22" s="24"/>
      </tp>
      <tp t="e">
        <v>#N/A</v>
        <stp/>
        <stp>BDH|15503305471816997229</stp>
        <tr r="O31" s="22"/>
      </tp>
      <tp t="e">
        <v>#N/A</v>
        <stp/>
        <stp>BDH|17746631259734099527</stp>
        <tr r="D34" s="6"/>
      </tp>
      <tp t="e">
        <v>#N/A</v>
        <stp/>
        <stp>BDH|15080332230385960553</stp>
        <tr r="F57" s="13"/>
      </tp>
      <tp t="e">
        <v>#N/A</v>
        <stp/>
        <stp>BDH|11717128864752668184</stp>
        <tr r="Z40" s="22"/>
      </tp>
      <tp t="e">
        <v>#N/A</v>
        <stp/>
        <stp>BDH|11288586704214181507</stp>
        <tr r="R27" s="10"/>
        <tr r="T36" s="13"/>
      </tp>
      <tp t="e">
        <v>#N/A</v>
        <stp/>
        <stp>BDH|15279606267222942234</stp>
        <tr r="Z128" s="18"/>
      </tp>
      <tp t="e">
        <v>#N/A</v>
        <stp/>
        <stp>BDH|16462757625347341185</stp>
        <tr r="C162" s="18"/>
      </tp>
      <tp t="e">
        <v>#N/A</v>
        <stp/>
        <stp>BDH|13364960059562379806</stp>
        <tr r="T29" s="22"/>
      </tp>
      <tp t="e">
        <v>#N/A</v>
        <stp/>
        <stp>BDH|17414737741262107386</stp>
        <tr r="R14" s="21"/>
      </tp>
      <tp t="e">
        <v>#N/A</v>
        <stp/>
        <stp>BDH|14444754841186728482</stp>
        <tr r="P32" s="25"/>
        <tr r="P18" s="27"/>
      </tp>
      <tp t="e">
        <v>#N/A</v>
        <stp/>
        <stp>BDH|12775392269921188394</stp>
        <tr r="C26" s="17"/>
      </tp>
      <tp t="e">
        <v>#N/A</v>
        <stp/>
        <stp>BDH|17950072520194363420</stp>
        <tr r="P41" s="21"/>
      </tp>
      <tp t="e">
        <v>#N/A</v>
        <stp/>
        <stp>BDH|13124251378584776741</stp>
        <tr r="K30" s="29"/>
        <tr r="K8" s="29"/>
      </tp>
      <tp t="e">
        <v>#N/A</v>
        <stp/>
        <stp>BDH|10734432819669222905</stp>
        <tr r="O14" s="12"/>
      </tp>
      <tp t="e">
        <v>#N/A</v>
        <stp/>
        <stp>BDH|14486565058892524307</stp>
        <tr r="N44" s="21"/>
      </tp>
      <tp t="e">
        <v>#N/A</v>
        <stp/>
        <stp>BDH|15757504327572806574</stp>
        <tr r="O79" s="24"/>
      </tp>
      <tp t="e">
        <v>#N/A</v>
        <stp/>
        <stp>BDH|12469678058047191350</stp>
        <tr r="L160" s="18"/>
      </tp>
      <tp t="e">
        <v>#N/A</v>
        <stp/>
        <stp>BDH|14972820387597071630</stp>
        <tr r="J22" s="12"/>
      </tp>
      <tp t="e">
        <v>#N/A</v>
        <stp/>
        <stp>BDH|14950142464775048361</stp>
        <tr r="M34" s="24"/>
      </tp>
      <tp t="e">
        <v>#N/A</v>
        <stp/>
        <stp>BDH|14706986094384555514</stp>
        <tr r="O8" s="12"/>
      </tp>
      <tp t="e">
        <v>#N/A</v>
        <stp/>
        <stp>BDH|12329651837605972776</stp>
        <tr r="D74" s="12"/>
      </tp>
      <tp t="e">
        <v>#N/A</v>
        <stp/>
        <stp>BDH|11698667648602655406</stp>
        <tr r="S15" s="30"/>
      </tp>
      <tp t="e">
        <v>#N/A</v>
        <stp/>
        <stp>BDH|11881169822822450567</stp>
        <tr r="Y49" s="24"/>
      </tp>
      <tp t="e">
        <v>#N/A</v>
        <stp/>
        <stp>BDH|10375892481670505508</stp>
        <tr r="M16" s="20"/>
      </tp>
      <tp t="e">
        <v>#N/A</v>
        <stp/>
        <stp>BDH|10845067700861897489</stp>
        <tr r="R31" s="26"/>
        <tr r="O14" s="9"/>
      </tp>
      <tp t="e">
        <v>#N/A</v>
        <stp/>
        <stp>BDH|16986353867902381460</stp>
        <tr r="L89" s="12"/>
      </tp>
      <tp t="e">
        <v>#N/A</v>
        <stp/>
        <stp>BDH|16711951377984266996</stp>
        <tr r="W14" s="28"/>
      </tp>
      <tp t="e">
        <v>#N/A</v>
        <stp/>
        <stp>BDH|16528989600649154321</stp>
        <tr r="C10" s="10"/>
      </tp>
      <tp t="e">
        <v>#N/A</v>
        <stp/>
        <stp>BDH|13057098803735426301</stp>
        <tr r="H133" s="18"/>
      </tp>
      <tp t="e">
        <v>#N/A</v>
        <stp/>
        <stp>BDH|13084535205305016686</stp>
        <tr r="V12" s="25"/>
      </tp>
      <tp t="e">
        <v>#N/A</v>
        <stp/>
        <stp>BDH|14806518237060259725</stp>
        <tr r="R59" s="11"/>
      </tp>
      <tp t="e">
        <v>#N/A</v>
        <stp/>
        <stp>BDH|11826802060519642309</stp>
        <tr r="H137" s="18"/>
      </tp>
      <tp t="e">
        <v>#N/A</v>
        <stp/>
        <stp>BDH|10630465003823865250</stp>
        <tr r="G24" s="17"/>
      </tp>
      <tp t="e">
        <v>#N/A</v>
        <stp/>
        <stp>BDH|17315054637125690495</stp>
        <tr r="J13" s="5"/>
      </tp>
      <tp t="e">
        <v>#N/A</v>
        <stp/>
        <stp>BDH|15088982989928733988</stp>
        <tr r="AA88" s="12"/>
      </tp>
      <tp t="e">
        <v>#N/A</v>
        <stp/>
        <stp>BDH|16678704237916724187</stp>
        <tr r="Z176" s="18"/>
      </tp>
      <tp t="e">
        <v>#N/A</v>
        <stp/>
        <stp>BDH|10716781564055668139</stp>
        <tr r="X21" s="11"/>
      </tp>
      <tp t="e">
        <v>#N/A</v>
        <stp/>
        <stp>BDH|17788659034805122294</stp>
        <tr r="D48" s="12"/>
      </tp>
      <tp t="e">
        <v>#N/A</v>
        <stp/>
        <stp>BDH|15443698115737632007</stp>
        <tr r="T81" s="18"/>
      </tp>
      <tp t="e">
        <v>#N/A</v>
        <stp/>
        <stp>BDH|10899074376383414131</stp>
        <tr r="N78" s="24"/>
      </tp>
      <tp t="e">
        <v>#N/A</v>
        <stp/>
        <stp>BDH|13293452719460175315</stp>
        <tr r="C125" s="18"/>
        <tr r="C14" s="20"/>
      </tp>
      <tp t="e">
        <v>#N/A</v>
        <stp/>
        <stp>BDH|10954064272026182424</stp>
        <tr r="F53" s="6"/>
      </tp>
      <tp t="e">
        <v>#N/A</v>
        <stp/>
        <stp>BDH|13330553630453911318</stp>
        <tr r="I41" s="18"/>
      </tp>
      <tp t="e">
        <v>#N/A</v>
        <stp/>
        <stp>BDH|16879999128898727008</stp>
        <tr r="F16" s="14"/>
      </tp>
      <tp t="e">
        <v>#N/A</v>
        <stp/>
        <stp>BDH|14480865498452201265</stp>
        <tr r="O24" s="17"/>
      </tp>
      <tp t="e">
        <v>#N/A</v>
        <stp/>
        <stp>BDH|10794584553654612149</stp>
        <tr r="S6" s="27"/>
      </tp>
      <tp t="e">
        <v>#N/A</v>
        <stp/>
        <stp>BDH|13602904658618380238</stp>
        <tr r="V57" s="12"/>
      </tp>
      <tp t="e">
        <v>#N/A</v>
        <stp/>
        <stp>BDH|10136536164942165498</stp>
        <tr r="J41" s="17"/>
        <tr r="J9" s="25"/>
      </tp>
      <tp t="e">
        <v>#N/A</v>
        <stp/>
        <stp>BDH|14834736857250529377</stp>
        <tr r="S52" s="10"/>
        <tr r="S42" s="11"/>
        <tr r="S15" s="7"/>
      </tp>
      <tp t="e">
        <v>#N/A</v>
        <stp/>
        <stp>BDH|15553999262386966998</stp>
        <tr r="I16" s="23"/>
      </tp>
      <tp t="e">
        <v>#N/A</v>
        <stp/>
        <stp>BDH|12081550419082194130</stp>
        <tr r="H50" s="24"/>
      </tp>
      <tp t="e">
        <v>#N/A</v>
        <stp/>
        <stp>BDH|12656563910271631286</stp>
        <tr r="F25" s="7"/>
      </tp>
      <tp t="e">
        <v>#N/A</v>
        <stp/>
        <stp>BDH|11368832917135829816</stp>
        <tr r="Q100" s="12"/>
      </tp>
      <tp t="e">
        <v>#N/A</v>
        <stp/>
        <stp>BDH|17376683403293643702</stp>
        <tr r="U47" s="17"/>
      </tp>
      <tp t="e">
        <v>#N/A</v>
        <stp/>
        <stp>BDH|18207074487256813347</stp>
        <tr r="U10" s="14"/>
      </tp>
      <tp t="e">
        <v>#N/A</v>
        <stp/>
        <stp>BDH|14110792484248420663</stp>
        <tr r="J201" s="18"/>
      </tp>
      <tp t="e">
        <v>#N/A</v>
        <stp/>
        <stp>BDH|10745492104586761732</stp>
        <tr r="O78" s="24"/>
      </tp>
      <tp t="e">
        <v>#N/A</v>
        <stp/>
        <stp>BDH|16503394803475417556</stp>
        <tr r="G34" s="14"/>
      </tp>
      <tp t="e">
        <v>#N/A</v>
        <stp/>
        <stp>BDH|15715200709555564755</stp>
        <tr r="K54" s="6"/>
      </tp>
      <tp t="e">
        <v>#N/A</v>
        <stp/>
        <stp>BDH|15024369568171052409</stp>
        <tr r="N11" s="7"/>
      </tp>
      <tp t="e">
        <v>#N/A</v>
        <stp/>
        <stp>BDH|14937084908486015774</stp>
        <tr r="S29" s="22"/>
      </tp>
      <tp t="e">
        <v>#N/A</v>
        <stp/>
        <stp>BDH|16159674519126625277</stp>
        <tr r="E31" s="21"/>
      </tp>
      <tp t="e">
        <v>#N/A</v>
        <stp/>
        <stp>BDH|10416220260740915112</stp>
        <tr r="W9" s="26"/>
      </tp>
      <tp t="e">
        <v>#N/A</v>
        <stp/>
        <stp>BDH|14318180888538874056</stp>
        <tr r="K17" s="18"/>
      </tp>
      <tp t="e">
        <v>#N/A</v>
        <stp/>
        <stp>BDH|14354741179206269724</stp>
        <tr r="K63" s="17"/>
      </tp>
      <tp t="e">
        <v>#N/A</v>
        <stp/>
        <stp>BDH|16013009850231996777</stp>
        <tr r="AA92" s="24"/>
      </tp>
      <tp t="e">
        <v>#N/A</v>
        <stp/>
        <stp>BDH|18364866810443816731</stp>
        <tr r="M10" s="23"/>
      </tp>
      <tp t="e">
        <v>#N/A</v>
        <stp/>
        <stp>BDH|12070144990918892727</stp>
        <tr r="N25" s="26"/>
      </tp>
      <tp t="e">
        <v>#N/A</v>
        <stp/>
        <stp>BDH|17147486477167723675</stp>
        <tr r="T15" s="34"/>
      </tp>
      <tp t="e">
        <v>#N/A</v>
        <stp/>
        <stp>BDH|13525853619189028676</stp>
        <tr r="H145" s="18"/>
      </tp>
    </main>
    <main first="bofaddin.rtdserver">
      <tp t="e">
        <v>#N/A</v>
        <stp/>
        <stp>BDH|6899853585659267</stp>
        <tr r="G40" s="17"/>
      </tp>
      <tp t="e">
        <v>#N/A</v>
        <stp/>
        <stp>BDH|6269502439316318</stp>
        <tr r="U56" s="24"/>
      </tp>
      <tp t="e">
        <v>#N/A</v>
        <stp/>
        <stp>BDH|2307626956399563</stp>
        <tr r="J43" s="4"/>
      </tp>
      <tp t="e">
        <v>#N/A</v>
        <stp/>
        <stp>BDH|9799162657682478</stp>
        <tr r="K185" s="18"/>
      </tp>
      <tp t="e">
        <v>#N/A</v>
        <stp/>
        <stp>BDH|8431227856275103</stp>
        <tr r="Q211" s="18"/>
      </tp>
      <tp t="e">
        <v>#N/A</v>
        <stp/>
        <stp>BDH|6035967692463299</stp>
        <tr r="C18" s="12"/>
      </tp>
      <tp t="e">
        <v>#N/A</v>
        <stp/>
        <stp>BDH|6017292157696890</stp>
        <tr r="P88" s="18"/>
      </tp>
      <tp t="e">
        <v>#N/A</v>
        <stp/>
        <stp>BDH|4051107584524047</stp>
        <tr r="O23" s="26"/>
      </tp>
      <tp t="e">
        <v>#N/A</v>
        <stp/>
        <stp>BDH|8348308383247406</stp>
        <tr r="T48" s="22"/>
      </tp>
      <tp t="e">
        <v>#N/A</v>
        <stp/>
        <stp>BDH|3476882444835697645</stp>
        <tr r="L31" s="5"/>
      </tp>
      <tp t="e">
        <v>#N/A</v>
        <stp/>
        <stp>BDH|6753032197213955001</stp>
        <tr r="M137" s="18"/>
      </tp>
      <tp t="e">
        <v>#N/A</v>
        <stp/>
        <stp>BDH|2903312986187155257</stp>
        <tr r="J87" s="12"/>
      </tp>
      <tp t="e">
        <v>#N/A</v>
        <stp/>
        <stp>BDH|2643913102852669598</stp>
        <tr r="Y27" s="26"/>
      </tp>
      <tp t="e">
        <v>#N/A</v>
        <stp/>
        <stp>BDH|3660316049030406800</stp>
        <tr r="U10" s="10"/>
      </tp>
      <tp t="e">
        <v>#N/A</v>
        <stp/>
        <stp>BDH|4115373041036906942</stp>
        <tr r="U8" s="8"/>
      </tp>
      <tp t="e">
        <v>#N/A</v>
        <stp/>
        <stp>BDH|9683983443609355148</stp>
        <tr r="C35" s="26"/>
      </tp>
      <tp t="e">
        <v>#N/A</v>
        <stp/>
        <stp>BDH|6323055995547170485</stp>
        <tr r="S34" s="12"/>
      </tp>
      <tp t="e">
        <v>#N/A</v>
        <stp/>
        <stp>BDH|8874202089777957924</stp>
        <tr r="L15" s="5"/>
      </tp>
      <tp t="e">
        <v>#N/A</v>
        <stp/>
        <stp>BDH|9083481632891528351</stp>
        <tr r="R88" s="17"/>
      </tp>
      <tp t="e">
        <v>#N/A</v>
        <stp/>
        <stp>BDH|2769897541684633631</stp>
        <tr r="E12" s="21"/>
      </tp>
      <tp t="e">
        <v>#N/A</v>
        <stp/>
        <stp>BDH|7945205356239275571</stp>
        <tr r="K28" s="24"/>
      </tp>
      <tp t="e">
        <v>#N/A</v>
        <stp/>
        <stp>BDH|8892557964920051737</stp>
        <tr r="E60" s="17"/>
      </tp>
      <tp t="e">
        <v>#N/A</v>
        <stp/>
        <stp>BDH|7019093186120003356</stp>
        <tr r="Q22" s="24"/>
      </tp>
      <tp t="e">
        <v>#N/A</v>
        <stp/>
        <stp>BDH|8144098523541693774</stp>
        <tr r="H52" s="13"/>
      </tp>
      <tp t="e">
        <v>#N/A</v>
        <stp/>
        <stp>BDH|1251944578222152151</stp>
        <tr r="D97" s="18"/>
      </tp>
      <tp t="e">
        <v>#N/A</v>
        <stp/>
        <stp>BDH|9367255150252937055</stp>
        <tr r="K61" s="12"/>
      </tp>
      <tp t="e">
        <v>#N/A</v>
        <stp/>
        <stp>BDH|3454620308948330178</stp>
        <tr r="E95" s="18"/>
      </tp>
      <tp t="e">
        <v>#N/A</v>
        <stp/>
        <stp>BDH|3653516993916798594</stp>
        <tr r="V142" s="18"/>
      </tp>
      <tp t="e">
        <v>#N/A</v>
        <stp/>
        <stp>BDH|3477762160228918611</stp>
        <tr r="I37" s="34"/>
      </tp>
      <tp t="e">
        <v>#N/A</v>
        <stp/>
        <stp>BDH|6737448709979358730</stp>
        <tr r="E43" s="21"/>
      </tp>
      <tp t="e">
        <v>#N/A</v>
        <stp/>
        <stp>BDH|7059948669963536720</stp>
        <tr r="I151" s="18"/>
      </tp>
      <tp t="e">
        <v>#N/A</v>
        <stp/>
        <stp>BDH|9461652996228862256</stp>
        <tr r="M151" s="18"/>
      </tp>
      <tp t="e">
        <v>#N/A</v>
        <stp/>
        <stp>BDH|1491962504084963054</stp>
        <tr r="E37" s="26"/>
      </tp>
      <tp t="e">
        <v>#N/A</v>
        <stp/>
        <stp>BDH|6802196776054591887</stp>
        <tr r="X25" s="13"/>
      </tp>
      <tp t="e">
        <v>#N/A</v>
        <stp/>
        <stp>BDH|6649353268217450858</stp>
        <tr r="J38" s="22"/>
      </tp>
      <tp t="e">
        <v>#N/A</v>
        <stp/>
        <stp>BDH|4975511740998530174</stp>
        <tr r="V48" s="13"/>
      </tp>
      <tp t="e">
        <v>#N/A</v>
        <stp/>
        <stp>BDH|8159272950757585493</stp>
        <tr r="W71" s="10"/>
        <tr r="W61" s="11"/>
      </tp>
      <tp t="e">
        <v>#N/A</v>
        <stp/>
        <stp>BDH|5020180217611361869</stp>
        <tr r="J46" s="21"/>
      </tp>
      <tp t="e">
        <v>#N/A</v>
        <stp/>
        <stp>BDH|5801988019393214211</stp>
        <tr r="T46" s="12"/>
      </tp>
      <tp t="e">
        <v>#N/A</v>
        <stp/>
        <stp>BDH|8896346988479978671</stp>
        <tr r="L50" s="12"/>
      </tp>
      <tp t="e">
        <v>#N/A</v>
        <stp/>
        <stp>BDH|2367163280253697492</stp>
        <tr r="J160" s="18"/>
      </tp>
      <tp t="e">
        <v>#N/A</v>
        <stp/>
        <stp>BDH|9867203313522647478</stp>
        <tr r="I10" s="14"/>
      </tp>
      <tp t="e">
        <v>#N/A</v>
        <stp/>
        <stp>BDH|6155499845033720902</stp>
        <tr r="H14" s="34"/>
      </tp>
      <tp t="e">
        <v>#N/A</v>
        <stp/>
        <stp>BDH|3977548854659602655</stp>
        <tr r="V10" s="4"/>
        <tr r="U6" s="16"/>
        <tr r="X6" s="3"/>
        <tr r="V6" s="11"/>
      </tp>
      <tp t="e">
        <v>#N/A</v>
        <stp/>
        <stp>BDH|7714547368588681075</stp>
        <tr r="I7" s="8"/>
      </tp>
      <tp t="e">
        <v>#N/A</v>
        <stp/>
        <stp>BDH|2450885232884665120</stp>
        <tr r="T91" s="24"/>
      </tp>
      <tp t="e">
        <v>#N/A</v>
        <stp/>
        <stp>BDH|8479696110193135072</stp>
        <tr r="E54" s="24"/>
      </tp>
      <tp t="e">
        <v>#N/A</v>
        <stp/>
        <stp>BDH|1364664358389358755</stp>
        <tr r="R43" s="24"/>
      </tp>
      <tp t="e">
        <v>#N/A</v>
        <stp/>
        <stp>BDH|6575901139176559623</stp>
        <tr r="K23" s="30"/>
        <tr r="K25" s="23"/>
      </tp>
      <tp t="e">
        <v>#N/A</v>
        <stp/>
        <stp>BDH|6485981897579494345</stp>
        <tr r="V196" s="18"/>
      </tp>
      <tp t="e">
        <v>#N/A</v>
        <stp/>
        <stp>BDH|8870094450517823627</stp>
        <tr r="Y36" s="34"/>
      </tp>
      <tp t="e">
        <v>#N/A</v>
        <stp/>
        <stp>BDH|4844493013549990409</stp>
        <tr r="C39" s="34"/>
      </tp>
      <tp t="e">
        <v>#N/A</v>
        <stp/>
        <stp>BDH|2382943469773192247</stp>
        <tr r="C17" s="30"/>
      </tp>
      <tp t="e">
        <v>#N/A</v>
        <stp/>
        <stp>BDH|6909961727137031637</stp>
        <tr r="S89" s="17"/>
      </tp>
      <tp t="e">
        <v>#N/A</v>
        <stp/>
        <stp>BDH|4212840283041649981</stp>
        <tr r="V45" s="12"/>
      </tp>
      <tp t="e">
        <v>#N/A</v>
        <stp/>
        <stp>BDH|3968332586476334247</stp>
        <tr r="G53" s="13"/>
      </tp>
      <tp t="e">
        <v>#N/A</v>
        <stp/>
        <stp>BDH|5133700305906780885</stp>
        <tr r="I35" s="26"/>
      </tp>
      <tp t="e">
        <v>#N/A</v>
        <stp/>
        <stp>BDH|5055706222488042494</stp>
        <tr r="S33" s="5"/>
      </tp>
      <tp t="e">
        <v>#N/A</v>
        <stp/>
        <stp>BDH|5450998537986874594</stp>
        <tr r="H22" s="27"/>
      </tp>
      <tp t="e">
        <v>#N/A</v>
        <stp/>
        <stp>BDH|6229630388052450661</stp>
        <tr r="D64" s="18"/>
      </tp>
      <tp t="e">
        <v>#N/A</v>
        <stp/>
        <stp>BDH|2217673925733346987</stp>
        <tr r="M71" s="13"/>
      </tp>
      <tp t="e">
        <v>#N/A</v>
        <stp/>
        <stp>BDH|9106632454923950547</stp>
        <tr r="C47" s="24"/>
      </tp>
      <tp t="e">
        <v>#N/A</v>
        <stp/>
        <stp>BDH|9511380094308791752</stp>
        <tr r="R162" s="18"/>
      </tp>
      <tp t="e">
        <v>#N/A</v>
        <stp/>
        <stp>BDH|2733516189896309574</stp>
        <tr r="Q178" s="18"/>
      </tp>
      <tp t="e">
        <v>#N/A</v>
        <stp/>
        <stp>BDH|9181181222856319039</stp>
        <tr r="F63" s="13"/>
      </tp>
      <tp t="e">
        <v>#N/A</v>
        <stp/>
        <stp>BDH|8843882468262640858</stp>
        <tr r="W23" s="17"/>
      </tp>
      <tp t="e">
        <v>#N/A</v>
        <stp/>
        <stp>BDH|9083965643029670181</stp>
        <tr r="X12" s="6"/>
      </tp>
      <tp t="e">
        <v>#N/A</v>
        <stp/>
        <stp>BDH|1258598644589419502</stp>
        <tr r="X64" s="24"/>
      </tp>
      <tp t="e">
        <v>#N/A</v>
        <stp/>
        <stp>BDH|6484184282100141343</stp>
        <tr r="V14" s="17"/>
        <tr r="V17" s="28"/>
      </tp>
      <tp t="e">
        <v>#N/A</v>
        <stp/>
        <stp>BDH|2413197930124486825</stp>
        <tr r="AA32" s="21"/>
      </tp>
      <tp t="e">
        <v>#N/A</v>
        <stp/>
        <stp>BDH|7314852361962529792</stp>
        <tr r="J17" s="29"/>
        <tr r="J40" s="29"/>
      </tp>
      <tp t="e">
        <v>#N/A</v>
        <stp/>
        <stp>BDH|4910689270958393195</stp>
        <tr r="G177" s="18"/>
      </tp>
      <tp t="e">
        <v>#N/A</v>
        <stp/>
        <stp>BDH|9828439185329618034</stp>
        <tr r="Z69" s="13"/>
      </tp>
      <tp t="e">
        <v>#N/A</v>
        <stp/>
        <stp>BDH|1699792530198441102</stp>
        <tr r="R18" s="11"/>
      </tp>
      <tp t="e">
        <v>#N/A</v>
        <stp/>
        <stp>BDH|7926250898084983466</stp>
        <tr r="E47" s="22"/>
      </tp>
      <tp t="e">
        <v>#N/A</v>
        <stp/>
        <stp>BDH|8975772067560046528</stp>
        <tr r="E46" s="4"/>
        <tr r="E23" s="10"/>
        <tr r="G42" s="13"/>
      </tp>
      <tp t="e">
        <v>#N/A</v>
        <stp/>
        <stp>BDH|2192147855253298999</stp>
        <tr r="W15" s="5"/>
      </tp>
      <tp t="e">
        <v>#N/A</v>
        <stp/>
        <stp>BDH|1411511712131587895</stp>
        <tr r="M37" s="22"/>
      </tp>
      <tp t="e">
        <v>#N/A</v>
        <stp/>
        <stp>BDH|5788846868327691068</stp>
        <tr r="S24" s="21"/>
      </tp>
      <tp t="e">
        <v>#N/A</v>
        <stp/>
        <stp>BDH|1789694781281075246</stp>
        <tr r="E25" s="24"/>
      </tp>
      <tp t="e">
        <v>#N/A</v>
        <stp/>
        <stp>BDH|8347815451009864009</stp>
        <tr r="AA13" s="12"/>
      </tp>
      <tp t="e">
        <v>#N/A</v>
        <stp/>
        <stp>BDH|4482696317607413857</stp>
        <tr r="I45" s="34"/>
      </tp>
      <tp t="e">
        <v>#N/A</v>
        <stp/>
        <stp>BDH|9264695737599131954</stp>
        <tr r="Y10" s="10"/>
      </tp>
      <tp t="e">
        <v>#N/A</v>
        <stp/>
        <stp>BDH|9197597646054560038</stp>
        <tr r="AA107" s="18"/>
      </tp>
      <tp t="e">
        <v>#N/A</v>
        <stp/>
        <stp>BDH|8049500238864296625</stp>
        <tr r="K30" s="18"/>
      </tp>
      <tp t="e">
        <v>#N/A</v>
        <stp/>
        <stp>BDH|1788689347236019901</stp>
        <tr r="L55" s="17"/>
      </tp>
      <tp t="e">
        <v>#N/A</v>
        <stp/>
        <stp>BDH|9576850858591876986</stp>
        <tr r="L65" s="21"/>
        <tr r="J23" s="7"/>
      </tp>
      <tp t="e">
        <v>#N/A</v>
        <stp/>
        <stp>BDH|7000287881383343223</stp>
        <tr r="O25" s="9"/>
      </tp>
      <tp t="e">
        <v>#N/A</v>
        <stp/>
        <stp>BDH|3800817927705340057</stp>
        <tr r="F12" s="26"/>
      </tp>
      <tp t="e">
        <v>#N/A</v>
        <stp/>
        <stp>BDH|4511710992286608081</stp>
        <tr r="S57" s="34"/>
      </tp>
      <tp t="e">
        <v>#N/A</v>
        <stp/>
        <stp>BDH|5821877633123640125</stp>
        <tr r="M50" s="18"/>
      </tp>
      <tp t="e">
        <v>#N/A</v>
        <stp/>
        <stp>BDH|4151822013619801804</stp>
        <tr r="O65" s="13"/>
      </tp>
      <tp t="e">
        <v>#N/A</v>
        <stp/>
        <stp>BDH|7831423780992151538</stp>
        <tr r="C86" s="17"/>
      </tp>
      <tp t="e">
        <v>#N/A</v>
        <stp/>
        <stp>BDH|9215088241161091036</stp>
        <tr r="Q169" s="18"/>
      </tp>
      <tp t="e">
        <v>#N/A</v>
        <stp/>
        <stp>BDH|4109382856117568922</stp>
        <tr r="Y28" s="10"/>
        <tr r="AA37" s="13"/>
      </tp>
      <tp t="e">
        <v>#N/A</v>
        <stp/>
        <stp>BDH|3403912348527174546</stp>
        <tr r="O26" s="7"/>
      </tp>
      <tp t="e">
        <v>#N/A</v>
        <stp/>
        <stp>BDH|5919367532039539003</stp>
        <tr r="S32" s="25"/>
        <tr r="S18" s="27"/>
      </tp>
      <tp t="e">
        <v>#N/A</v>
        <stp/>
        <stp>BDH|6918315395218456815</stp>
        <tr r="Y14" s="13"/>
      </tp>
      <tp t="e">
        <v>#N/A</v>
        <stp/>
        <stp>BDH|6200070609679328372</stp>
        <tr r="Q39" s="17"/>
      </tp>
      <tp t="e">
        <v>#N/A</v>
        <stp/>
        <stp>BDH|5854702284913707537</stp>
        <tr r="Y149" s="18"/>
      </tp>
      <tp t="e">
        <v>#N/A</v>
        <stp/>
        <stp>BDH|8108991971298128208</stp>
        <tr r="K16" s="12"/>
      </tp>
      <tp t="e">
        <v>#N/A</v>
        <stp/>
        <stp>BDH|6083930654850803679</stp>
        <tr r="H17" s="17"/>
        <tr r="H20" s="28"/>
      </tp>
      <tp t="e">
        <v>#N/A</v>
        <stp/>
        <stp>BDH|2892371108425828877</stp>
        <tr r="AA21" s="27"/>
      </tp>
      <tp t="e">
        <v>#N/A</v>
        <stp/>
        <stp>BDH|9427187982778638409</stp>
        <tr r="L20" s="24"/>
      </tp>
      <tp t="e">
        <v>#N/A</v>
        <stp/>
        <stp>BDH|3441520813628587382</stp>
        <tr r="D170" s="18"/>
      </tp>
      <tp t="e">
        <v>#N/A</v>
        <stp/>
        <stp>BDH|3971063714496410879</stp>
        <tr r="C66" s="18"/>
      </tp>
      <tp t="e">
        <v>#N/A</v>
        <stp/>
        <stp>BDH|4944119277287361941</stp>
        <tr r="G72" s="34"/>
      </tp>
      <tp t="e">
        <v>#N/A</v>
        <stp/>
        <stp>BDH|4789401374188978327</stp>
        <tr r="P75" s="34"/>
      </tp>
      <tp t="e">
        <v>#N/A</v>
        <stp/>
        <stp>BDH|7029412768998133101</stp>
        <tr r="O60" s="21"/>
        <tr r="M53" s="11"/>
      </tp>
      <tp t="e">
        <v>#N/A</v>
        <stp/>
        <stp>BDH|5103896746406493320</stp>
        <tr r="K68" s="17"/>
        <tr r="H8" s="5"/>
        <tr r="H8" s="9"/>
      </tp>
      <tp t="e">
        <v>#N/A</v>
        <stp/>
        <stp>BDH|8482740296549709397</stp>
        <tr r="P11" s="30"/>
      </tp>
      <tp t="e">
        <v>#N/A</v>
        <stp/>
        <stp>BDH|3686236647480856925</stp>
        <tr r="D43" s="17"/>
      </tp>
      <tp t="e">
        <v>#N/A</v>
        <stp/>
        <stp>BDH|9848588700696054682</stp>
        <tr r="T18" s="14"/>
      </tp>
      <tp t="e">
        <v>#N/A</v>
        <stp/>
        <stp>BDH|1723497225172585960</stp>
        <tr r="K85" s="12"/>
      </tp>
      <tp t="e">
        <v>#N/A</v>
        <stp/>
        <stp>BDH|6327647793911528491</stp>
        <tr r="X32" s="10"/>
        <tr r="Z41" s="13"/>
      </tp>
      <tp t="e">
        <v>#N/A</v>
        <stp/>
        <stp>BDH|9794473641334868110</stp>
        <tr r="R65" s="24"/>
      </tp>
      <tp t="e">
        <v>#N/A</v>
        <stp/>
        <stp>BDH|6582007808133169946</stp>
        <tr r="G9" s="24"/>
      </tp>
      <tp t="e">
        <v>#N/A</v>
        <stp/>
        <stp>BDH|8894702981313333825</stp>
        <tr r="V34" s="10"/>
        <tr r="V24" s="11"/>
      </tp>
      <tp t="e">
        <v>#N/A</v>
        <stp/>
        <stp>BDH|1944235165988616117</stp>
        <tr r="J38" s="18"/>
      </tp>
      <tp t="e">
        <v>#N/A</v>
        <stp/>
        <stp>BDH|3470970372170044183</stp>
        <tr r="J34" s="22"/>
      </tp>
      <tp t="e">
        <v>#N/A</v>
        <stp/>
        <stp>BDH|8868506666110110761</stp>
        <tr r="K25" s="25"/>
        <tr r="K10" s="27"/>
      </tp>
      <tp t="e">
        <v>#N/A</v>
        <stp/>
        <stp>BDH|9781257750260858239</stp>
        <tr r="Z50" s="12"/>
      </tp>
      <tp t="e">
        <v>#N/A</v>
        <stp/>
        <stp>BDH|2165477129591105974</stp>
        <tr r="D13" s="22"/>
      </tp>
      <tp t="e">
        <v>#N/A</v>
        <stp/>
        <stp>BDH|9601411707710907105</stp>
        <tr r="V67" s="21"/>
      </tp>
      <tp t="e">
        <v>#N/A</v>
        <stp/>
        <stp>BDH|2893958845931037218</stp>
        <tr r="S19" s="17"/>
      </tp>
      <tp t="e">
        <v>#N/A</v>
        <stp/>
        <stp>BDH|6325844739989055879</stp>
        <tr r="O57" s="13"/>
      </tp>
      <tp t="e">
        <v>#N/A</v>
        <stp/>
        <stp>BDH|8994928973363413950</stp>
        <tr r="Y11" s="22"/>
      </tp>
      <tp t="e">
        <v>#N/A</v>
        <stp/>
        <stp>BDH|5591255558279988785</stp>
        <tr r="I82" s="18"/>
      </tp>
      <tp t="e">
        <v>#N/A</v>
        <stp/>
        <stp>BDH|1500570766336981849</stp>
        <tr r="U53" s="17"/>
      </tp>
      <tp t="e">
        <v>#N/A</v>
        <stp/>
        <stp>BDH|7423272786135953451</stp>
        <tr r="I11" s="9"/>
      </tp>
      <tp t="e">
        <v>#N/A</v>
        <stp/>
        <stp>BDH|3510271342510802911</stp>
        <tr r="M78" s="34"/>
      </tp>
      <tp t="e">
        <v>#N/A</v>
        <stp/>
        <stp>BDH|9651587625395313714</stp>
        <tr r="P68" s="18"/>
      </tp>
      <tp t="e">
        <v>#N/A</v>
        <stp/>
        <stp>BDH|9152799853933610440</stp>
        <tr r="M22" s="6"/>
      </tp>
      <tp t="e">
        <v>#N/A</v>
        <stp/>
        <stp>BDH|1619254158173634943</stp>
        <tr r="Q7" s="17"/>
      </tp>
      <tp t="e">
        <v>#N/A</v>
        <stp/>
        <stp>BDH|2374809489827283919</stp>
        <tr r="M110" s="18"/>
      </tp>
      <tp t="e">
        <v>#N/A</v>
        <stp/>
        <stp>BDH|8404515625486926504</stp>
        <tr r="X30" s="26"/>
      </tp>
      <tp t="e">
        <v>#N/A</v>
        <stp/>
        <stp>BDH|8553233179629225844</stp>
        <tr r="S28" s="12"/>
      </tp>
      <tp t="e">
        <v>#N/A</v>
        <stp/>
        <stp>BDH|8729012693505928851</stp>
        <tr r="O48" s="21"/>
      </tp>
      <tp t="e">
        <v>#N/A</v>
        <stp/>
        <stp>BDH|7973693191291187598</stp>
        <tr r="K18" s="18"/>
      </tp>
      <tp t="e">
        <v>#N/A</v>
        <stp/>
        <stp>BDH|8915097159121208021</stp>
        <tr r="AA29" s="18"/>
      </tp>
      <tp t="e">
        <v>#N/A</v>
        <stp/>
        <stp>BDH|4161957669991077649</stp>
        <tr r="F58" s="17"/>
      </tp>
      <tp t="e">
        <v>#N/A</v>
        <stp/>
        <stp>BDH|5423714094632893500</stp>
        <tr r="Y29" s="18"/>
      </tp>
      <tp t="e">
        <v>#N/A</v>
        <stp/>
        <stp>BDH|1620253996863939551</stp>
        <tr r="N90" s="18"/>
      </tp>
      <tp t="e">
        <v>#N/A</v>
        <stp/>
        <stp>BDH|9837831494255621109</stp>
        <tr r="T72" s="17"/>
      </tp>
      <tp t="e">
        <v>#N/A</v>
        <stp/>
        <stp>BDH|3856373691487505229</stp>
        <tr r="L195" s="18"/>
      </tp>
      <tp t="e">
        <v>#N/A</v>
        <stp/>
        <stp>BDH|9224115579874041731</stp>
        <tr r="W106" s="18"/>
      </tp>
      <tp t="e">
        <v>#N/A</v>
        <stp/>
        <stp>BDH|7034081821831203826</stp>
        <tr r="G41" s="12"/>
      </tp>
      <tp t="e">
        <v>#N/A</v>
        <stp/>
        <stp>BDH|9064910625899977746</stp>
        <tr r="F13" s="5"/>
      </tp>
      <tp t="e">
        <v>#N/A</v>
        <stp/>
        <stp>BDH|4368833463224910239</stp>
        <tr r="M130" s="18"/>
      </tp>
      <tp t="e">
        <v>#N/A</v>
        <stp/>
        <stp>BDH|7688786061632534834</stp>
        <tr r="X71" s="10"/>
        <tr r="X61" s="11"/>
      </tp>
      <tp t="e">
        <v>#N/A</v>
        <stp/>
        <stp>BDH|6078218449275022910</stp>
        <tr r="AA83" s="24"/>
      </tp>
      <tp t="e">
        <v>#N/A</v>
        <stp/>
        <stp>BDH|5056531571698250399</stp>
        <tr r="I35" s="6"/>
      </tp>
      <tp t="e">
        <v>#N/A</v>
        <stp/>
        <stp>BDH|6579292187846427661</stp>
        <tr r="V35" s="10"/>
        <tr r="V25" s="11"/>
      </tp>
      <tp t="e">
        <v>#N/A</v>
        <stp/>
        <stp>BDH|6694300685221837059</stp>
        <tr r="M78" s="12"/>
      </tp>
      <tp t="e">
        <v>#N/A</v>
        <stp/>
        <stp>BDH|7162983691779168275</stp>
        <tr r="G15" s="29"/>
        <tr r="G38" s="29"/>
      </tp>
      <tp t="e">
        <v>#N/A</v>
        <stp/>
        <stp>BDH|1802716707262162812</stp>
        <tr r="P42" s="12"/>
      </tp>
      <tp t="e">
        <v>#N/A</v>
        <stp/>
        <stp>BDH|6617594790600519642</stp>
        <tr r="C71" s="12"/>
      </tp>
      <tp t="e">
        <v>#N/A</v>
        <stp/>
        <stp>BDH|5758571407189072591</stp>
        <tr r="F23" s="6"/>
      </tp>
      <tp t="e">
        <v>#N/A</v>
        <stp/>
        <stp>BDH|6706498803097236918</stp>
        <tr r="AA15" s="13"/>
      </tp>
      <tp t="e">
        <v>#N/A</v>
        <stp/>
        <stp>BDH|1032936499234718935</stp>
        <tr r="V31" s="12"/>
      </tp>
      <tp t="e">
        <v>#N/A</v>
        <stp/>
        <stp>BDH|7651380394243059241</stp>
        <tr r="N11" s="22"/>
      </tp>
      <tp t="e">
        <v>#N/A</v>
        <stp/>
        <stp>BDH|2491089344599521334</stp>
        <tr r="Z15" s="29"/>
        <tr r="Z38" s="29"/>
      </tp>
      <tp t="e">
        <v>#N/A</v>
        <stp/>
        <stp>BDH|2612875574996868739</stp>
        <tr r="W12" s="21"/>
      </tp>
      <tp t="e">
        <v>#N/A</v>
        <stp/>
        <stp>BDH|9954535177023050437</stp>
        <tr r="G48" s="17"/>
      </tp>
      <tp t="e">
        <v>#N/A</v>
        <stp/>
        <stp>BDH|9238507076641927632</stp>
        <tr r="Y68" s="13"/>
      </tp>
      <tp t="e">
        <v>#N/A</v>
        <stp/>
        <stp>BDH|7324947378132531742</stp>
        <tr r="P90" s="12"/>
      </tp>
      <tp t="e">
        <v>#N/A</v>
        <stp/>
        <stp>BDH|5253700690474568393</stp>
        <tr r="C94" s="12"/>
      </tp>
      <tp t="e">
        <v>#N/A</v>
        <stp/>
        <stp>BDH|7371450761789061091</stp>
        <tr r="Q18" s="22"/>
      </tp>
      <tp t="e">
        <v>#N/A</v>
        <stp/>
        <stp>BDH|2413893206223725524</stp>
        <tr r="E34" s="14"/>
      </tp>
      <tp t="e">
        <v>#N/A</v>
        <stp/>
        <stp>BDH|6578880216654060751</stp>
        <tr r="L39" s="10"/>
        <tr r="L29" s="11"/>
      </tp>
      <tp t="e">
        <v>#N/A</v>
        <stp/>
        <stp>BDH|5949900833751331279</stp>
        <tr r="W30" s="26"/>
      </tp>
      <tp t="e">
        <v>#N/A</v>
        <stp/>
        <stp>BDH|1188231691397967145</stp>
        <tr r="I50" s="4"/>
      </tp>
      <tp t="e">
        <v>#N/A</v>
        <stp/>
        <stp>BDH|9097115151890943179</stp>
        <tr r="W17" s="17"/>
        <tr r="W20" s="28"/>
      </tp>
      <tp t="e">
        <v>#N/A</v>
        <stp/>
        <stp>BDH|3784680854084039852</stp>
        <tr r="L41" s="22"/>
      </tp>
      <tp t="e">
        <v>#N/A</v>
        <stp/>
        <stp>BDH|4557198852678313433</stp>
        <tr r="M12" s="21"/>
      </tp>
      <tp t="e">
        <v>#N/A</v>
        <stp/>
        <stp>BDH|2805672485811348176</stp>
        <tr r="M17" s="14"/>
      </tp>
      <tp t="e">
        <v>#N/A</v>
        <stp/>
        <stp>BDH|7749729326397801955</stp>
        <tr r="U68" s="34"/>
      </tp>
      <tp t="e">
        <v>#N/A</v>
        <stp/>
        <stp>BDH|6242695193487588236</stp>
        <tr r="F60" s="21"/>
        <tr r="D53" s="11"/>
      </tp>
      <tp t="e">
        <v>#N/A</v>
        <stp/>
        <stp>BDH|7698537286772433490</stp>
        <tr r="I68" s="17"/>
        <tr r="F8" s="5"/>
        <tr r="F8" s="9"/>
      </tp>
      <tp t="e">
        <v>#N/A</v>
        <stp/>
        <stp>BDH|1247355482174986225</stp>
        <tr r="L32" s="17"/>
      </tp>
      <tp t="e">
        <v>#N/A</v>
        <stp/>
        <stp>BDH|7395823301700984378</stp>
        <tr r="U143" s="18"/>
      </tp>
      <tp t="e">
        <v>#N/A</v>
        <stp/>
        <stp>BDH|9033148314037906277</stp>
        <tr r="R19" s="11"/>
      </tp>
      <tp t="e">
        <v>#N/A</v>
        <stp/>
        <stp>BDH|7181671799950044418</stp>
        <tr r="N48" s="18"/>
      </tp>
      <tp t="e">
        <v>#N/A</v>
        <stp/>
        <stp>BDH|8492575354897079382</stp>
        <tr r="H39" s="6"/>
      </tp>
      <tp t="e">
        <v>#N/A</v>
        <stp/>
        <stp>BDH|5810057796607375776</stp>
        <tr r="V47" s="6"/>
        <tr r="X6" s="8"/>
      </tp>
      <tp t="e">
        <v>#N/A</v>
        <stp/>
        <stp>BDH|8779482440486937293</stp>
        <tr r="E12" s="25"/>
      </tp>
      <tp t="e">
        <v>#N/A</v>
        <stp/>
        <stp>BDH|2188019716158906701</stp>
        <tr r="U27" s="17"/>
      </tp>
      <tp t="e">
        <v>#N/A</v>
        <stp/>
        <stp>BDH|7403572197487807037</stp>
        <tr r="O72" s="18"/>
      </tp>
      <tp t="e">
        <v>#N/A</v>
        <stp/>
        <stp>BDH|1221535530633806861</stp>
        <tr r="L20" s="10"/>
      </tp>
      <tp t="e">
        <v>#N/A</v>
        <stp/>
        <stp>BDH|5394942836993749096</stp>
        <tr r="L51" s="17"/>
        <tr r="L17" s="3"/>
      </tp>
      <tp t="e">
        <v>#N/A</v>
        <stp/>
        <stp>BDH|9289699406356054527</stp>
        <tr r="I59" s="17"/>
      </tp>
      <tp t="e">
        <v>#N/A</v>
        <stp/>
        <stp>BDH|5318001899099744924</stp>
        <tr r="W56" s="12"/>
      </tp>
      <tp t="e">
        <v>#N/A</v>
        <stp/>
        <stp>BDH|2489389509525255881</stp>
        <tr r="L67" s="13"/>
      </tp>
      <tp t="e">
        <v>#N/A</v>
        <stp/>
        <stp>BDH|4056072047414632893</stp>
        <tr r="AA83" s="18"/>
      </tp>
      <tp t="e">
        <v>#N/A</v>
        <stp/>
        <stp>BDH|9533409546612875748</stp>
        <tr r="T59" s="21"/>
        <tr r="T37" s="25"/>
        <tr r="R31" s="4"/>
        <tr r="R52" s="11"/>
      </tp>
      <tp t="e">
        <v>#N/A</v>
        <stp/>
        <stp>BDH|8069203600760622692</stp>
        <tr r="Z16" s="12"/>
      </tp>
      <tp t="e">
        <v>#N/A</v>
        <stp/>
        <stp>BDH|6236998052244243248</stp>
        <tr r="E8" s="21"/>
      </tp>
      <tp t="e">
        <v>#N/A</v>
        <stp/>
        <stp>BDH|1257239674679362198</stp>
        <tr r="L46" s="21"/>
      </tp>
      <tp t="e">
        <v>#N/A</v>
        <stp/>
        <stp>BDH|1773912552528860932</stp>
        <tr r="D63" s="34"/>
      </tp>
      <tp t="e">
        <v>#N/A</v>
        <stp/>
        <stp>BDH|4494972415111892117</stp>
        <tr r="Z27" s="24"/>
      </tp>
      <tp t="e">
        <v>#N/A</v>
        <stp/>
        <stp>BDH|3700927633484159181</stp>
        <tr r="H26" s="7"/>
      </tp>
      <tp t="e">
        <v>#N/A</v>
        <stp/>
        <stp>BDH|4875144021332321915</stp>
        <tr r="Y39" s="25"/>
        <tr r="Y7" s="3"/>
        <tr r="W17" s="11"/>
        <tr r="Y22" s="13"/>
        <tr r="Y7" s="13"/>
      </tp>
      <tp t="e">
        <v>#N/A</v>
        <stp/>
        <stp>BDH|2393405848589062748</stp>
        <tr r="T44" s="34"/>
      </tp>
      <tp t="e">
        <v>#N/A</v>
        <stp/>
        <stp>BDH|9495653269872553720</stp>
        <tr r="F25" s="24"/>
      </tp>
      <tp t="e">
        <v>#N/A</v>
        <stp/>
        <stp>BDH|8890234267979479974</stp>
        <tr r="C65" s="18"/>
      </tp>
      <tp t="e">
        <v>#N/A</v>
        <stp/>
        <stp>BDH|9759160759152333340</stp>
        <tr r="I19" s="24"/>
      </tp>
      <tp t="e">
        <v>#N/A</v>
        <stp/>
        <stp>BDH|1135859601276297387</stp>
        <tr r="Q35" s="25"/>
      </tp>
      <tp t="e">
        <v>#N/A</v>
        <stp/>
        <stp>BDH|6740881235369327862</stp>
        <tr r="P8" s="28"/>
      </tp>
      <tp t="e">
        <v>#N/A</v>
        <stp/>
        <stp>BDH|8069886307938896486</stp>
        <tr r="N15" s="34"/>
      </tp>
      <tp t="e">
        <v>#N/A</v>
        <stp/>
        <stp>BDH|1507158729318555637</stp>
        <tr r="U67" s="12"/>
      </tp>
      <tp t="e">
        <v>#N/A</v>
        <stp/>
        <stp>BDH|4645788422708135521</stp>
        <tr r="K38" s="24"/>
      </tp>
      <tp t="e">
        <v>#N/A</v>
        <stp/>
        <stp>BDH|6991946445042465531</stp>
        <tr r="AA37" s="22"/>
      </tp>
      <tp t="e">
        <v>#N/A</v>
        <stp/>
        <stp>BDH|9875414357320284433</stp>
        <tr r="G19" s="5"/>
        <tr r="G42" s="6"/>
      </tp>
      <tp t="e">
        <v>#N/A</v>
        <stp/>
        <stp>BDH|9935234832156648219</stp>
        <tr r="D14" s="11"/>
      </tp>
      <tp t="e">
        <v>#N/A</v>
        <stp/>
        <stp>BDH|5596993385378341056</stp>
        <tr r="Y51" s="12"/>
      </tp>
      <tp t="e">
        <v>#N/A</v>
        <stp/>
        <stp>BDH|7938128446019718750</stp>
        <tr r="I30" s="24"/>
      </tp>
      <tp t="e">
        <v>#N/A</v>
        <stp/>
        <stp>BDH|8244607563742689686</stp>
        <tr r="Y22" s="12"/>
      </tp>
      <tp t="e">
        <v>#N/A</v>
        <stp/>
        <stp>BDH|3649151783390837678</stp>
        <tr r="H50" s="17"/>
      </tp>
      <tp t="e">
        <v>#N/A</v>
        <stp/>
        <stp>BDH|3395865961713250293</stp>
        <tr r="K28" s="12"/>
      </tp>
      <tp t="e">
        <v>#N/A</v>
        <stp/>
        <stp>BDH|3323885021895112043</stp>
        <tr r="E14" s="23"/>
      </tp>
      <tp t="e">
        <v>#N/A</v>
        <stp/>
        <stp>BDH|3207991992296276948</stp>
        <tr r="G20" s="5"/>
      </tp>
      <tp t="e">
        <v>#N/A</v>
        <stp/>
        <stp>BDH|4738493734847545800</stp>
        <tr r="T13" s="12"/>
      </tp>
      <tp t="e">
        <v>#N/A</v>
        <stp/>
        <stp>BDH|2392703117611918921</stp>
        <tr r="Q43" s="10"/>
        <tr r="Q33" s="11"/>
      </tp>
      <tp t="e">
        <v>#N/A</v>
        <stp/>
        <stp>BDH|2474780561599258608</stp>
        <tr r="D28" s="22"/>
      </tp>
      <tp t="e">
        <v>#N/A</v>
        <stp/>
        <stp>BDH|6135375842815213890</stp>
        <tr r="R59" s="18"/>
      </tp>
      <tp t="e">
        <v>#N/A</v>
        <stp/>
        <stp>BDH|6948942916681491307</stp>
        <tr r="D20" s="18"/>
      </tp>
      <tp t="e">
        <v>#N/A</v>
        <stp/>
        <stp>BDH|3160759118151292826</stp>
        <tr r="H39" s="10"/>
        <tr r="H29" s="11"/>
      </tp>
      <tp t="e">
        <v>#N/A</v>
        <stp/>
        <stp>BDH|8438185077493249157</stp>
        <tr r="F11" s="17"/>
      </tp>
      <tp t="e">
        <v>#N/A</v>
        <stp/>
        <stp>BDH|2929101830834181843</stp>
        <tr r="I61" s="18"/>
      </tp>
      <tp t="e">
        <v>#N/A</v>
        <stp/>
        <stp>BDH|6456155538371200970</stp>
        <tr r="T25" s="2"/>
        <tr r="V62" s="21"/>
      </tp>
      <tp t="e">
        <v>#N/A</v>
        <stp/>
        <stp>BDH|2174258508255264928</stp>
        <tr r="N23" s="17"/>
      </tp>
      <tp t="e">
        <v>#N/A</v>
        <stp/>
        <stp>BDH|8172411072322932575</stp>
        <tr r="P18" s="34"/>
      </tp>
      <tp t="e">
        <v>#N/A</v>
        <stp/>
        <stp>BDH|5788719697712411594</stp>
        <tr r="N72" s="24"/>
      </tp>
      <tp t="e">
        <v>#N/A</v>
        <stp/>
        <stp>BDH|9913216932215153173</stp>
        <tr r="K26" s="26"/>
      </tp>
      <tp t="e">
        <v>#N/A</v>
        <stp/>
        <stp>BDH|5308465265142455982</stp>
        <tr r="Q31" s="29"/>
      </tp>
      <tp t="e">
        <v>#N/A</v>
        <stp/>
        <stp>BDH|9772290592167534957</stp>
        <tr r="T10" s="4"/>
        <tr r="S6" s="16"/>
        <tr r="V6" s="3"/>
        <tr r="T6" s="11"/>
      </tp>
      <tp t="e">
        <v>#N/A</v>
        <stp/>
        <stp>BDH|9275475090430059891</stp>
        <tr r="E132" s="18"/>
      </tp>
      <tp t="e">
        <v>#N/A</v>
        <stp/>
        <stp>BDH|5165757345618416293</stp>
        <tr r="V54" s="18"/>
      </tp>
      <tp t="e">
        <v>#N/A</v>
        <stp/>
        <stp>BDH|2582993973017364708</stp>
        <tr r="S26" s="10"/>
        <tr r="U35" s="13"/>
      </tp>
      <tp t="e">
        <v>#N/A</v>
        <stp/>
        <stp>BDH|5258748363698895016</stp>
        <tr r="Z24" s="12"/>
      </tp>
      <tp t="e">
        <v>#N/A</v>
        <stp/>
        <stp>BDH|4249755786174468392</stp>
        <tr r="R73" s="17"/>
      </tp>
      <tp t="e">
        <v>#N/A</v>
        <stp/>
        <stp>BDH|8758994063183778863</stp>
        <tr r="O68" s="34"/>
      </tp>
      <tp t="e">
        <v>#N/A</v>
        <stp/>
        <stp>BDH|2981385469978348374</stp>
        <tr r="H52" s="17"/>
        <tr r="H10" s="25"/>
      </tp>
      <tp t="e">
        <v>#N/A</v>
        <stp/>
        <stp>BDH|2127426398204464737</stp>
        <tr r="U37" s="10"/>
        <tr r="U27" s="11"/>
        <tr r="W46" s="13"/>
      </tp>
      <tp t="e">
        <v>#N/A</v>
        <stp/>
        <stp>BDH|8366682174562228714</stp>
        <tr r="S106" s="18"/>
      </tp>
      <tp t="e">
        <v>#N/A</v>
        <stp/>
        <stp>BDH|9008383527345103127</stp>
        <tr r="D13" s="11"/>
      </tp>
      <tp t="e">
        <v>#N/A</v>
        <stp/>
        <stp>BDH|8577588131030515258</stp>
        <tr r="V22" s="30"/>
        <tr r="V24" s="23"/>
      </tp>
      <tp t="e">
        <v>#N/A</v>
        <stp/>
        <stp>BDH|4989849013092219306</stp>
        <tr r="P18" s="23"/>
      </tp>
      <tp t="e">
        <v>#N/A</v>
        <stp/>
        <stp>BDH|5132929133176900552</stp>
        <tr r="Z204" s="18"/>
      </tp>
      <tp t="e">
        <v>#N/A</v>
        <stp/>
        <stp>BDH|7982436492603170556</stp>
        <tr r="Q54" s="6"/>
      </tp>
      <tp t="e">
        <v>#N/A</v>
        <stp/>
        <stp>BDH|1679318962141806917</stp>
        <tr r="D56" s="12"/>
      </tp>
      <tp t="e">
        <v>#N/A</v>
        <stp/>
        <stp>BDH|2512749203400853960</stp>
        <tr r="J52" s="13"/>
      </tp>
      <tp t="e">
        <v>#N/A</v>
        <stp/>
        <stp>BDH|5787680347568668322</stp>
        <tr r="V86" s="17"/>
      </tp>
      <tp t="e">
        <v>#N/A</v>
        <stp/>
        <stp>BDH|7727708493343153694</stp>
        <tr r="J24" s="21"/>
      </tp>
      <tp t="e">
        <v>#N/A</v>
        <stp/>
        <stp>BDH|2321637439939131247</stp>
        <tr r="M38" s="10"/>
        <tr r="M28" s="11"/>
        <tr r="O47" s="13"/>
      </tp>
      <tp t="e">
        <v>#N/A</v>
        <stp/>
        <stp>BDH|8067630640281982764</stp>
        <tr r="D14" s="24"/>
      </tp>
      <tp t="e">
        <v>#N/A</v>
        <stp/>
        <stp>BDH|5025962287490963848</stp>
        <tr r="T37" s="34"/>
      </tp>
      <tp t="e">
        <v>#N/A</v>
        <stp/>
        <stp>BDH|3299192086217377124</stp>
        <tr r="Z9" s="3"/>
        <tr r="X51" s="10"/>
        <tr r="X41" s="11"/>
        <tr r="X14" s="7"/>
      </tp>
      <tp t="e">
        <v>#N/A</v>
        <stp/>
        <stp>BDH|1518777281174898673</stp>
        <tr r="C16" s="17"/>
        <tr r="C19" s="28"/>
      </tp>
      <tp t="e">
        <v>#N/A</v>
        <stp/>
        <stp>BDH|6355828243313856566</stp>
        <tr r="W11" s="9"/>
      </tp>
      <tp t="e">
        <v>#N/A</v>
        <stp/>
        <stp>BDH|6745198830898787051</stp>
        <tr r="M10" s="21"/>
      </tp>
      <tp t="e">
        <v>#N/A</v>
        <stp/>
        <stp>BDH|9085356566615738586</stp>
        <tr r="R47" s="22"/>
      </tp>
      <tp t="e">
        <v>#N/A</v>
        <stp/>
        <stp>BDH|8054327106661026689</stp>
        <tr r="Y71" s="13"/>
      </tp>
      <tp t="e">
        <v>#N/A</v>
        <stp/>
        <stp>BDH|1817443053525488970</stp>
        <tr r="L9" s="2"/>
        <tr r="N8" s="25"/>
        <tr r="K10" s="5"/>
      </tp>
      <tp t="e">
        <v>#N/A</v>
        <stp/>
        <stp>BDH|9000280257373241119</stp>
        <tr r="Z103" s="12"/>
      </tp>
      <tp t="e">
        <v>#N/A</v>
        <stp/>
        <stp>BDH|6172897103776793400</stp>
        <tr r="M61" s="21"/>
      </tp>
      <tp t="e">
        <v>#N/A</v>
        <stp/>
        <stp>BDH|8029943583925849032</stp>
        <tr r="E20" s="12"/>
      </tp>
      <tp t="e">
        <v>#N/A</v>
        <stp/>
        <stp>BDH|3677066306706260991</stp>
        <tr r="O6" s="2"/>
        <tr r="N6" s="5"/>
        <tr r="N6" s="9"/>
        <tr r="P12" s="8"/>
        <tr r="P10" s="29"/>
        <tr r="P19" s="29"/>
        <tr r="P25" s="29"/>
      </tp>
      <tp t="e">
        <v>#N/A</v>
        <stp/>
        <stp>BDH|2565736904288740186</stp>
        <tr r="O64" s="34"/>
      </tp>
      <tp t="e">
        <v>#N/A</v>
        <stp/>
        <stp>BDH|7957551080403628571</stp>
        <tr r="G186" s="18"/>
      </tp>
      <tp t="e">
        <v>#N/A</v>
        <stp/>
        <stp>BDH|3787823253851928322</stp>
        <tr r="C77" s="34"/>
      </tp>
      <tp t="e">
        <v>#N/A</v>
        <stp/>
        <stp>BDH|9810139127477270139</stp>
        <tr r="Z9" s="26"/>
      </tp>
      <tp t="e">
        <v>#N/A</v>
        <stp/>
        <stp>BDH|8013590212471769111</stp>
        <tr r="K24" s="17"/>
      </tp>
      <tp t="e">
        <v>#N/A</v>
        <stp/>
        <stp>BDH|3442223793763859707</stp>
        <tr r="I41" s="21"/>
      </tp>
      <tp t="e">
        <v>#N/A</v>
        <stp/>
        <stp>BDH|6798878259586468100</stp>
        <tr r="H11" s="18"/>
      </tp>
      <tp t="e">
        <v>#N/A</v>
        <stp/>
        <stp>BDH|2913561126411587819</stp>
        <tr r="V16" s="21"/>
      </tp>
      <tp t="e">
        <v>#N/A</v>
        <stp/>
        <stp>BDH|9877164751116305716</stp>
        <tr r="N76" s="18"/>
      </tp>
      <tp t="e">
        <v>#N/A</v>
        <stp/>
        <stp>BDH|4479628876800914942</stp>
        <tr r="T20" s="2"/>
        <tr r="T18" s="4"/>
        <tr r="T58" s="10"/>
        <tr r="T48" s="11"/>
        <tr r="T19" s="7"/>
        <tr r="V74" s="13"/>
      </tp>
      <tp t="e">
        <v>#N/A</v>
        <stp/>
        <stp>BDH|9322215406067871014</stp>
        <tr r="E17" s="23"/>
      </tp>
      <tp t="e">
        <v>#N/A</v>
        <stp/>
        <stp>BDH|9634740553802582597</stp>
        <tr r="W77" s="34"/>
      </tp>
      <tp t="e">
        <v>#N/A</v>
        <stp/>
        <stp>BDH|9828231533657117340</stp>
        <tr r="J29" s="13"/>
      </tp>
      <tp t="e">
        <v>#N/A</v>
        <stp/>
        <stp>BDH|1968185600395426985</stp>
        <tr r="Z34" s="14"/>
      </tp>
      <tp t="e">
        <v>#N/A</v>
        <stp/>
        <stp>BDH|4909944603646027737</stp>
        <tr r="R13" s="26"/>
      </tp>
      <tp t="e">
        <v>#N/A</v>
        <stp/>
        <stp>BDH|8949863205985716909</stp>
        <tr r="S8" s="23"/>
      </tp>
      <tp t="e">
        <v>#N/A</v>
        <stp/>
        <stp>BDH|5102424199246590229</stp>
        <tr r="N80" s="18"/>
      </tp>
      <tp t="e">
        <v>#N/A</v>
        <stp/>
        <stp>BDH|3705629931179883316</stp>
        <tr r="C16" s="14"/>
      </tp>
      <tp t="e">
        <v>#N/A</v>
        <stp/>
        <stp>BDH|5709231939268732079</stp>
        <tr r="O65" s="17"/>
      </tp>
      <tp t="e">
        <v>#N/A</v>
        <stp/>
        <stp>BDH|9405485157545680100</stp>
        <tr r="C8" s="4"/>
      </tp>
      <tp t="e">
        <v>#N/A</v>
        <stp/>
        <stp>BDH|5972167966877181958</stp>
        <tr r="X27" s="21"/>
      </tp>
      <tp t="e">
        <v>#N/A</v>
        <stp/>
        <stp>BDH|2972838116605947286</stp>
        <tr r="AA137" s="18"/>
      </tp>
      <tp t="e">
        <v>#N/A</v>
        <stp/>
        <stp>BDH|3712558149138745617</stp>
        <tr r="W82" s="24"/>
      </tp>
      <tp t="e">
        <v>#N/A</v>
        <stp/>
        <stp>BDH|3702894273606293620</stp>
        <tr r="E16" s="25"/>
      </tp>
      <tp t="e">
        <v>#N/A</v>
        <stp/>
        <stp>BDH|7657408734738763481</stp>
        <tr r="S81" s="24"/>
      </tp>
      <tp t="e">
        <v>#N/A</v>
        <stp/>
        <stp>BDH|8680039906120754498</stp>
        <tr r="AA188" s="18"/>
      </tp>
      <tp t="e">
        <v>#N/A</v>
        <stp/>
        <stp>BDH|2425599930678443044</stp>
        <tr r="H114" s="18"/>
      </tp>
      <tp t="e">
        <v>#N/A</v>
        <stp/>
        <stp>BDH|5648244361995928877</stp>
        <tr r="W57" s="17"/>
      </tp>
      <tp t="e">
        <v>#N/A</v>
        <stp/>
        <stp>BDH|8538330108291377608</stp>
        <tr r="H7" s="28"/>
      </tp>
      <tp t="e">
        <v>#N/A</v>
        <stp/>
        <stp>BDH|4860866653916237324</stp>
        <tr r="O8" s="21"/>
      </tp>
      <tp t="e">
        <v>#N/A</v>
        <stp/>
        <stp>BDH|5850102785850530052</stp>
        <tr r="M40" s="24"/>
      </tp>
      <tp t="e">
        <v>#N/A</v>
        <stp/>
        <stp>BDH|6033571960541379861</stp>
        <tr r="D61" s="18"/>
      </tp>
      <tp t="e">
        <v>#N/A</v>
        <stp/>
        <stp>BDH|1570155541668323007</stp>
        <tr r="X28" s="25"/>
        <tr r="X14" s="27"/>
      </tp>
      <tp t="e">
        <v>#N/A</v>
        <stp/>
        <stp>BDH|9704776441763085538</stp>
        <tr r="H59" s="34"/>
      </tp>
      <tp t="e">
        <v>#N/A</v>
        <stp/>
        <stp>BDH|7163679105655788860</stp>
        <tr r="Y12" s="10"/>
      </tp>
      <tp t="e">
        <v>#N/A</v>
        <stp/>
        <stp>BDH|2923925789347901894</stp>
        <tr r="R87" s="12"/>
      </tp>
      <tp t="e">
        <v>#N/A</v>
        <stp/>
        <stp>BDH|7290661057640878899</stp>
        <tr r="C63" s="21"/>
      </tp>
      <tp t="e">
        <v>#N/A</v>
        <stp/>
        <stp>BDH|1688896329832375571</stp>
        <tr r="L25" s="4"/>
        <tr r="L65" s="10"/>
      </tp>
      <tp t="e">
        <v>#N/A</v>
        <stp/>
        <stp>BDH|4448263082422261005</stp>
        <tr r="X50" s="18"/>
      </tp>
      <tp t="e">
        <v>#N/A</v>
        <stp/>
        <stp>BDH|5515484866798925303</stp>
        <tr r="E93" s="12"/>
      </tp>
      <tp t="e">
        <v>#N/A</v>
        <stp/>
        <stp>BDH|8261382418653831582</stp>
        <tr r="AA24" s="24"/>
      </tp>
      <tp t="e">
        <v>#N/A</v>
        <stp/>
        <stp>BDH|8886289400532117437</stp>
        <tr r="Q27" s="34"/>
      </tp>
      <tp t="e">
        <v>#N/A</v>
        <stp/>
        <stp>BDH|8557148160190370309</stp>
        <tr r="X100" s="12"/>
      </tp>
      <tp t="e">
        <v>#N/A</v>
        <stp/>
        <stp>BDH|7959758413874451992</stp>
        <tr r="M69" s="34"/>
      </tp>
      <tp t="e">
        <v>#N/A</v>
        <stp/>
        <stp>BDH|8166525262713350404</stp>
        <tr r="U163" s="18"/>
      </tp>
      <tp t="e">
        <v>#N/A</v>
        <stp/>
        <stp>BDH|9208045846231012023</stp>
        <tr r="C11" s="18"/>
      </tp>
      <tp t="e">
        <v>#N/A</v>
        <stp/>
        <stp>BDH|6854074088046043450</stp>
        <tr r="R91" s="12"/>
      </tp>
      <tp t="e">
        <v>#N/A</v>
        <stp/>
        <stp>BDH|3014187418948028728</stp>
        <tr r="F55" s="24"/>
      </tp>
      <tp t="e">
        <v>#N/A</v>
        <stp/>
        <stp>BDH|9319606930044577444</stp>
        <tr r="M132" s="18"/>
      </tp>
      <tp t="e">
        <v>#N/A</v>
        <stp/>
        <stp>BDH|2735670061126458873</stp>
        <tr r="D17" s="13"/>
      </tp>
      <tp t="e">
        <v>#N/A</v>
        <stp/>
        <stp>BDH|3066095653312957812</stp>
        <tr r="Y9" s="34"/>
      </tp>
      <tp t="e">
        <v>#N/A</v>
        <stp/>
        <stp>BDH|3277565116439392238</stp>
        <tr r="X17" s="9"/>
      </tp>
      <tp t="e">
        <v>#N/A</v>
        <stp/>
        <stp>BDH|9255554559716460387</stp>
        <tr r="F69" s="10"/>
      </tp>
      <tp t="e">
        <v>#N/A</v>
        <stp/>
        <stp>BDH|3368887114087933145</stp>
        <tr r="Q38" s="21"/>
        <tr r="Q24" s="3"/>
      </tp>
      <tp t="e">
        <v>#N/A</v>
        <stp/>
        <stp>BDH|7219903101214744663</stp>
        <tr r="V31" s="24"/>
      </tp>
      <tp t="e">
        <v>#N/A</v>
        <stp/>
        <stp>BDH|7167924525257538715</stp>
        <tr r="L42" s="24"/>
      </tp>
      <tp t="e">
        <v>#N/A</v>
        <stp/>
        <stp>BDH|2353640840639752520</stp>
        <tr r="O11" s="14"/>
      </tp>
      <tp t="e">
        <v>#N/A</v>
        <stp/>
        <stp>BDH|5796765743243865981</stp>
        <tr r="K30" s="25"/>
        <tr r="K16" s="27"/>
      </tp>
      <tp t="e">
        <v>#N/A</v>
        <stp/>
        <stp>BDH|9119849372012281879</stp>
        <tr r="G45" s="34"/>
      </tp>
      <tp t="e">
        <v>#N/A</v>
        <stp/>
        <stp>BDH|8234113677905424723</stp>
        <tr r="X20" s="5"/>
      </tp>
      <tp t="e">
        <v>#N/A</v>
        <stp/>
        <stp>BDH|8683055639526151195</stp>
        <tr r="U13" s="13"/>
      </tp>
      <tp t="e">
        <v>#N/A</v>
        <stp/>
        <stp>BDH|2422821434017286223</stp>
        <tr r="K23" s="2"/>
        <tr r="M19" s="21"/>
        <tr r="M23" s="3"/>
      </tp>
      <tp t="e">
        <v>#N/A</v>
        <stp/>
        <stp>BDH|5683273446726734927</stp>
        <tr r="V43" s="12"/>
      </tp>
      <tp t="e">
        <v>#N/A</v>
        <stp/>
        <stp>BDH|4733241984955712722</stp>
        <tr r="T9" s="34"/>
      </tp>
      <tp t="e">
        <v>#N/A</v>
        <stp/>
        <stp>BDH|5247963224407397511</stp>
        <tr r="L19" s="6"/>
      </tp>
      <tp t="e">
        <v>#N/A</v>
        <stp/>
        <stp>BDH|5889259769978362555</stp>
        <tr r="D66" s="18"/>
      </tp>
      <tp t="e">
        <v>#N/A</v>
        <stp/>
        <stp>BDH|7259556064971788968</stp>
        <tr r="Y9" s="10"/>
      </tp>
      <tp t="e">
        <v>#N/A</v>
        <stp/>
        <stp>BDH|3185774970557119852</stp>
        <tr r="T26" s="34"/>
      </tp>
      <tp t="e">
        <v>#N/A</v>
        <stp/>
        <stp>BDH|8658278263914384436</stp>
        <tr r="Q11" s="9"/>
      </tp>
      <tp t="e">
        <v>#N/A</v>
        <stp/>
        <stp>BDH|2504842142976951483</stp>
        <tr r="N23" s="26"/>
      </tp>
      <tp t="e">
        <v>#N/A</v>
        <stp/>
        <stp>BDH|7703362182407625778</stp>
        <tr r="M14" s="8"/>
      </tp>
      <tp t="e">
        <v>#N/A</v>
        <stp/>
        <stp>BDH|1682452241014539956</stp>
        <tr r="O13" s="12"/>
      </tp>
      <tp t="e">
        <v>#N/A</v>
        <stp/>
        <stp>BDH|6821153680245791684</stp>
        <tr r="M70" s="34"/>
      </tp>
      <tp t="e">
        <v>#N/A</v>
        <stp/>
        <stp>BDH|4123962424481925288</stp>
        <tr r="W104" s="12"/>
      </tp>
      <tp t="e">
        <v>#N/A</v>
        <stp/>
        <stp>BDH|8107960211839403519</stp>
        <tr r="G11" s="3"/>
        <tr r="E50" s="10"/>
        <tr r="E40" s="11"/>
        <tr r="E8" s="7"/>
      </tp>
      <tp t="e">
        <v>#N/A</v>
        <stp/>
        <stp>BDH|2023925972651353105</stp>
        <tr r="K133" s="18"/>
      </tp>
      <tp t="e">
        <v>#N/A</v>
        <stp/>
        <stp>BDH|3234806238424838013</stp>
        <tr r="AA65" s="18"/>
      </tp>
      <tp t="e">
        <v>#N/A</v>
        <stp/>
        <stp>BDH|3422550238058948137</stp>
        <tr r="U12" s="6"/>
      </tp>
      <tp t="e">
        <v>#N/A</v>
        <stp/>
        <stp>BDH|9158773412904387746</stp>
        <tr r="Q23" s="25"/>
        <tr r="O20" s="11"/>
      </tp>
      <tp t="e">
        <v>#N/A</v>
        <stp/>
        <stp>BDH|5762519624258844699</stp>
        <tr r="V14" s="23"/>
      </tp>
      <tp t="e">
        <v>#N/A</v>
        <stp/>
        <stp>BDH|7302090698135422753</stp>
        <tr r="X13" s="11"/>
      </tp>
      <tp t="e">
        <v>#N/A</v>
        <stp/>
        <stp>BDH|8154874192785168060</stp>
        <tr r="W92" s="12"/>
      </tp>
      <tp t="e">
        <v>#N/A</v>
        <stp/>
        <stp>BDH|6439750968249863227</stp>
        <tr r="K34" s="14"/>
      </tp>
      <tp t="e">
        <v>#N/A</v>
        <stp/>
        <stp>BDH|8008423362221418770</stp>
        <tr r="Z152" s="18"/>
      </tp>
      <tp t="e">
        <v>#N/A</v>
        <stp/>
        <stp>BDH|8303311478229031993</stp>
        <tr r="H22" s="11"/>
      </tp>
      <tp t="e">
        <v>#N/A</v>
        <stp/>
        <stp>BDH|7390792876548691394</stp>
        <tr r="O33" s="6"/>
      </tp>
      <tp t="e">
        <v>#N/A</v>
        <stp/>
        <stp>BDH|8276669729995962572</stp>
        <tr r="D70" s="10"/>
        <tr r="D60" s="11"/>
        <tr r="D20" s="7"/>
      </tp>
      <tp t="e">
        <v>#N/A</v>
        <stp/>
        <stp>BDH|2733825550515413620</stp>
        <tr r="X47" s="18"/>
      </tp>
      <tp t="e">
        <v>#N/A</v>
        <stp/>
        <stp>BDH|3939824973510391089</stp>
        <tr r="K49" s="17"/>
      </tp>
      <tp t="e">
        <v>#N/A</v>
        <stp/>
        <stp>BDH|2553915224936220319</stp>
        <tr r="S60" s="18"/>
      </tp>
      <tp t="e">
        <v>#N/A</v>
        <stp/>
        <stp>BDH|8172245839785970060</stp>
        <tr r="AA61" s="17"/>
      </tp>
      <tp t="e">
        <v>#N/A</v>
        <stp/>
        <stp>BDH|9826521825617942553</stp>
        <tr r="U9" s="14"/>
      </tp>
      <tp t="e">
        <v>#N/A</v>
        <stp/>
        <stp>BDH|3246942607222305410</stp>
        <tr r="J50" s="24"/>
      </tp>
      <tp t="e">
        <v>#N/A</v>
        <stp/>
        <stp>BDH|6348151751959537718</stp>
        <tr r="E10" s="21"/>
      </tp>
      <tp t="e">
        <v>#N/A</v>
        <stp/>
        <stp>BDH|9180775228174884452</stp>
        <tr r="K14" s="17"/>
        <tr r="K17" s="28"/>
      </tp>
      <tp t="e">
        <v>#N/A</v>
        <stp/>
        <stp>BDH|6442411214658322718</stp>
        <tr r="H43" s="18"/>
      </tp>
      <tp t="e">
        <v>#N/A</v>
        <stp/>
        <stp>BDH|4448180618741382942</stp>
        <tr r="AA8" s="27"/>
      </tp>
      <tp t="e">
        <v>#N/A</v>
        <stp/>
        <stp>BDH|5770772732279799467</stp>
        <tr r="L72" s="17"/>
      </tp>
      <tp t="e">
        <v>#N/A</v>
        <stp/>
        <stp>BDH|8108489575173640495</stp>
        <tr r="D14" s="10"/>
      </tp>
      <tp t="e">
        <v>#N/A</v>
        <stp/>
        <stp>BDH|7806558919846108968</stp>
        <tr r="H20" s="34"/>
      </tp>
      <tp t="e">
        <v>#N/A</v>
        <stp/>
        <stp>BDH|1539126285653984783</stp>
        <tr r="T63" s="13"/>
      </tp>
      <tp t="e">
        <v>#N/A</v>
        <stp/>
        <stp>BDH|7348906418561091286</stp>
        <tr r="Q15" s="30"/>
      </tp>
      <tp t="e">
        <v>#N/A</v>
        <stp/>
        <stp>BDH|8535079440220946087</stp>
        <tr r="X23" s="18"/>
      </tp>
      <tp t="e">
        <v>#N/A</v>
        <stp/>
        <stp>BDH|2382797843584345995</stp>
        <tr r="T45" s="34"/>
      </tp>
      <tp t="e">
        <v>#N/A</v>
        <stp/>
        <stp>BDH|1182054167143426844</stp>
        <tr r="L18" s="25"/>
      </tp>
      <tp t="e">
        <v>#N/A</v>
        <stp/>
        <stp>BDH|4234844844560081411</stp>
        <tr r="X32" s="25"/>
        <tr r="X18" s="27"/>
      </tp>
      <tp t="e">
        <v>#N/A</v>
        <stp/>
        <stp>BDH|5671584893744799197</stp>
        <tr r="L19" s="5"/>
        <tr r="L42" s="6"/>
      </tp>
      <tp t="e">
        <v>#N/A</v>
        <stp/>
        <stp>BDH|6942396296362332268</stp>
        <tr r="N123" s="18"/>
        <tr r="N12" s="20"/>
      </tp>
      <tp t="e">
        <v>#N/A</v>
        <stp/>
        <stp>BDH|1032519526562224867</stp>
        <tr r="Z8" s="24"/>
      </tp>
      <tp t="e">
        <v>#N/A</v>
        <stp/>
        <stp>BDH|2478180605408883726</stp>
        <tr r="F72" s="18"/>
      </tp>
      <tp t="e">
        <v>#N/A</v>
        <stp/>
        <stp>BDH|3567862717942000471</stp>
        <tr r="Y46" s="18"/>
      </tp>
      <tp t="e">
        <v>#N/A</v>
        <stp/>
        <stp>BDH|3076248331346643804</stp>
        <tr r="D49" s="22"/>
      </tp>
      <tp t="e">
        <v>#N/A</v>
        <stp/>
        <stp>BDH|2766138120114215952</stp>
        <tr r="J7" s="4"/>
      </tp>
      <tp t="e">
        <v>#N/A</v>
        <stp/>
        <stp>BDH|9432623563884616105</stp>
        <tr r="G65" s="24"/>
      </tp>
      <tp t="e">
        <v>#N/A</v>
        <stp/>
        <stp>BDH|5152774851872706935</stp>
        <tr r="R171" s="18"/>
      </tp>
      <tp t="e">
        <v>#N/A</v>
        <stp/>
        <stp>BDH|9807622375052484685</stp>
        <tr r="W52" s="4"/>
        <tr r="Y8" s="3"/>
        <tr r="W44" s="10"/>
        <tr r="W34" s="11"/>
        <tr r="Y45" s="13"/>
      </tp>
      <tp t="e">
        <v>#N/A</v>
        <stp/>
        <stp>BDH|9052941894940470575</stp>
        <tr r="T32" s="18"/>
      </tp>
      <tp t="e">
        <v>#N/A</v>
        <stp/>
        <stp>BDH|7297355124273435943</stp>
        <tr r="I57" s="24"/>
      </tp>
      <tp t="e">
        <v>#N/A</v>
        <stp/>
        <stp>BDH|5041463453518545038</stp>
        <tr r="D16" s="26"/>
      </tp>
      <tp t="e">
        <v>#N/A</v>
        <stp/>
        <stp>BDH|2952928545380511381</stp>
        <tr r="AA98" s="12"/>
      </tp>
      <tp t="e">
        <v>#N/A</v>
        <stp/>
        <stp>BDH|4065486667558929259</stp>
        <tr r="V6" s="27"/>
      </tp>
      <tp t="e">
        <v>#N/A</v>
        <stp/>
        <stp>BDH|3835404948118029705</stp>
        <tr r="G10" s="21"/>
      </tp>
      <tp t="e">
        <v>#N/A</v>
        <stp/>
        <stp>BDH|7661459167470087942</stp>
        <tr r="J64" s="21"/>
      </tp>
      <tp t="e">
        <v>#N/A</v>
        <stp/>
        <stp>BDH|9181313727085192163</stp>
        <tr r="Z49" s="18"/>
      </tp>
      <tp t="e">
        <v>#N/A</v>
        <stp/>
        <stp>BDH|2741813972302233366</stp>
        <tr r="C25" s="13"/>
      </tp>
      <tp t="e">
        <v>#N/A</v>
        <stp/>
        <stp>BDH|8126214365091250173</stp>
        <tr r="AA40" s="22"/>
      </tp>
      <tp t="e">
        <v>#N/A</v>
        <stp/>
        <stp>BDH|9603067006205267040</stp>
        <tr r="X31" s="21"/>
      </tp>
      <tp t="e">
        <v>#N/A</v>
        <stp/>
        <stp>BDH|9264064050140458005</stp>
        <tr r="I27" s="24"/>
      </tp>
      <tp t="e">
        <v>#N/A</v>
        <stp/>
        <stp>BDH|1220841177700752263</stp>
        <tr r="M96" s="12"/>
      </tp>
      <tp t="e">
        <v>#N/A</v>
        <stp/>
        <stp>BDH|4675641796273711430</stp>
        <tr r="K38" s="17"/>
      </tp>
      <tp t="e">
        <v>#N/A</v>
        <stp/>
        <stp>BDH|4527412193552361746</stp>
        <tr r="T19" s="24"/>
      </tp>
      <tp t="e">
        <v>#N/A</v>
        <stp/>
        <stp>BDH|9094439911675428560</stp>
        <tr r="H73" s="18"/>
      </tp>
      <tp t="e">
        <v>#N/A</v>
        <stp/>
        <stp>BDH|3205465714673316936</stp>
        <tr r="G30" s="10"/>
        <tr r="I39" s="13"/>
      </tp>
      <tp t="e">
        <v>#N/A</v>
        <stp/>
        <stp>BDH|8763050662016058407</stp>
        <tr r="V64" s="24"/>
      </tp>
      <tp t="e">
        <v>#N/A</v>
        <stp/>
        <stp>BDH|5245801510176018621</stp>
        <tr r="V7" s="6"/>
      </tp>
      <tp t="e">
        <v>#N/A</v>
        <stp/>
        <stp>BDH|3010441028631885849</stp>
        <tr r="W73" s="24"/>
      </tp>
      <tp t="e">
        <v>#N/A</v>
        <stp/>
        <stp>BDH|9845562139235131661</stp>
        <tr r="U69" s="17"/>
      </tp>
      <tp t="e">
        <v>#N/A</v>
        <stp/>
        <stp>BDH|7344852706261749276</stp>
        <tr r="G13" s="17"/>
        <tr r="G16" s="28"/>
      </tp>
      <tp t="e">
        <v>#N/A</v>
        <stp/>
        <stp>BDH|5462534352899619032</stp>
        <tr r="P12" s="12"/>
      </tp>
      <tp t="e">
        <v>#N/A</v>
        <stp/>
        <stp>BDH|2429979573722847281</stp>
        <tr r="W28" s="14"/>
      </tp>
      <tp t="e">
        <v>#N/A</v>
        <stp/>
        <stp>BDH|9695151860596365403</stp>
        <tr r="W22" s="27"/>
      </tp>
      <tp t="e">
        <v>#N/A</v>
        <stp/>
        <stp>BDH|9441546116783653208</stp>
        <tr r="U16" s="10"/>
      </tp>
      <tp t="e">
        <v>#N/A</v>
        <stp/>
        <stp>BDH|7963194364934627823</stp>
        <tr r="AA69" s="24"/>
      </tp>
      <tp t="e">
        <v>#N/A</v>
        <stp/>
        <stp>BDH|9483800201264515901</stp>
        <tr r="W49" s="24"/>
      </tp>
      <tp t="e">
        <v>#N/A</v>
        <stp/>
        <stp>BDH|3109949030275323063</stp>
        <tr r="J22" s="22"/>
      </tp>
      <tp t="e">
        <v>#N/A</v>
        <stp/>
        <stp>BDH|8599726607465784679</stp>
        <tr r="Q40" s="12"/>
      </tp>
      <tp t="e">
        <v>#N/A</v>
        <stp/>
        <stp>BDH|6681543953599464355</stp>
        <tr r="AA47" s="12"/>
      </tp>
      <tp t="e">
        <v>#N/A</v>
        <stp/>
        <stp>BDH|9861003647034706588</stp>
        <tr r="D22" s="4"/>
      </tp>
      <tp t="e">
        <v>#N/A</v>
        <stp/>
        <stp>BDH|3854105702717925939</stp>
        <tr r="Z27" s="12"/>
      </tp>
      <tp t="e">
        <v>#N/A</v>
        <stp/>
        <stp>BDH|7930686174218733228</stp>
        <tr r="P18" s="25"/>
      </tp>
      <tp t="e">
        <v>#N/A</v>
        <stp/>
        <stp>BDH|5168666493876100054</stp>
        <tr r="Y142" s="18"/>
      </tp>
      <tp t="e">
        <v>#N/A</v>
        <stp/>
        <stp>BDH|8831863897597898212</stp>
        <tr r="D72" s="10"/>
        <tr r="D62" s="11"/>
      </tp>
      <tp t="e">
        <v>#N/A</v>
        <stp/>
        <stp>BDH|8135254776816377709</stp>
        <tr r="F29" s="12"/>
      </tp>
      <tp t="e">
        <v>#N/A</v>
        <stp/>
        <stp>BDH|5523844572234073222</stp>
        <tr r="W17" s="18"/>
      </tp>
      <tp t="e">
        <v>#N/A</v>
        <stp/>
        <stp>BDH|3826247033437669986</stp>
        <tr r="J8" s="11"/>
      </tp>
      <tp t="e">
        <v>#N/A</v>
        <stp/>
        <stp>BDH|9758324294776303936</stp>
        <tr r="C22" s="27"/>
      </tp>
      <tp t="e">
        <v>#N/A</v>
        <stp/>
        <stp>BDH|8310604417787453417</stp>
        <tr r="C27" s="22"/>
      </tp>
      <tp t="e">
        <v>#N/A</v>
        <stp/>
        <stp>BDH|1531735498516864576</stp>
        <tr r="S21" s="5"/>
      </tp>
      <tp t="e">
        <v>#N/A</v>
        <stp/>
        <stp>BDH|6984373069638686706</stp>
        <tr r="M13" s="21"/>
      </tp>
      <tp t="e">
        <v>#N/A</v>
        <stp/>
        <stp>BDH|1351152157610023900</stp>
        <tr r="E190" s="18"/>
      </tp>
      <tp t="e">
        <v>#N/A</v>
        <stp/>
        <stp>BDH|5670312276748645565</stp>
        <tr r="R10" s="18"/>
      </tp>
      <tp t="e">
        <v>#N/A</v>
        <stp/>
        <stp>BDH|6226925827485752414</stp>
        <tr r="D25" s="4"/>
        <tr r="D65" s="10"/>
      </tp>
      <tp t="e">
        <v>#N/A</v>
        <stp/>
        <stp>BDH|2854305399100771474</stp>
        <tr r="Z62" s="12"/>
      </tp>
      <tp t="e">
        <v>#N/A</v>
        <stp/>
        <stp>BDH|2068910050890651269</stp>
        <tr r="E137" s="18"/>
      </tp>
      <tp t="e">
        <v>#N/A</v>
        <stp/>
        <stp>BDH|2800801302197266194</stp>
        <tr r="C25" s="18"/>
      </tp>
      <tp t="e">
        <v>#N/A</v>
        <stp/>
        <stp>BDH|8953350826375942020</stp>
        <tr r="K21" s="20"/>
      </tp>
      <tp t="e">
        <v>#N/A</v>
        <stp/>
        <stp>BDH|8520070272990510348</stp>
        <tr r="Z26" s="29"/>
      </tp>
      <tp t="e">
        <v>#N/A</v>
        <stp/>
        <stp>BDH|5757023547838626559</stp>
        <tr r="T14" s="24"/>
      </tp>
      <tp t="e">
        <v>#N/A</v>
        <stp/>
        <stp>BDH|8109305231707849393</stp>
        <tr r="J29" s="22"/>
      </tp>
      <tp t="e">
        <v>#N/A</v>
        <stp/>
        <stp>BDH|9503067407382123743</stp>
        <tr r="P69" s="12"/>
      </tp>
      <tp t="e">
        <v>#N/A</v>
        <stp/>
        <stp>BDH|9006729702461711368</stp>
        <tr r="T88" s="18"/>
      </tp>
      <tp t="e">
        <v>#N/A</v>
        <stp/>
        <stp>BDH|7626835316473012126</stp>
        <tr r="I21" s="5"/>
      </tp>
      <tp t="e">
        <v>#N/A</v>
        <stp/>
        <stp>BDH|8937942301794520980</stp>
        <tr r="V207" s="18"/>
      </tp>
      <tp t="e">
        <v>#N/A</v>
        <stp/>
        <stp>BDH|2796668286389123974</stp>
        <tr r="AA7" s="21"/>
      </tp>
      <tp t="e">
        <v>#N/A</v>
        <stp/>
        <stp>BDH|7848219999906016612</stp>
        <tr r="Y25" s="7"/>
      </tp>
      <tp t="e">
        <v>#N/A</v>
        <stp/>
        <stp>BDH|9137323827547004352</stp>
        <tr r="V66" s="17"/>
      </tp>
      <tp t="e">
        <v>#N/A</v>
        <stp/>
        <stp>BDH|5715185675498275791</stp>
        <tr r="U87" s="12"/>
      </tp>
      <tp t="e">
        <v>#N/A</v>
        <stp/>
        <stp>BDH|6366108978084223885</stp>
        <tr r="X65" s="18"/>
      </tp>
      <tp t="e">
        <v>#N/A</v>
        <stp/>
        <stp>BDH|3124670380473070278</stp>
        <tr r="P16" s="24"/>
      </tp>
      <tp t="e">
        <v>#N/A</v>
        <stp/>
        <stp>BDH|6197600043228714043</stp>
        <tr r="S17" s="29"/>
        <tr r="S40" s="29"/>
      </tp>
      <tp t="e">
        <v>#N/A</v>
        <stp/>
        <stp>BDH|4000489941721919916</stp>
        <tr r="L44" s="6"/>
      </tp>
      <tp t="e">
        <v>#N/A</v>
        <stp/>
        <stp>BDH|2365907342774580756</stp>
        <tr r="J46" s="17"/>
      </tp>
      <tp t="e">
        <v>#N/A</v>
        <stp/>
        <stp>BDH|3039740376959234611</stp>
        <tr r="U9" s="27"/>
      </tp>
      <tp t="e">
        <v>#N/A</v>
        <stp/>
        <stp>BDH|6251305999969805921</stp>
        <tr r="X77" s="17"/>
        <tr r="X19" s="3"/>
      </tp>
      <tp t="e">
        <v>#N/A</v>
        <stp/>
        <stp>BDH|8513172164573397044</stp>
        <tr r="Q10" s="4"/>
        <tr r="P6" s="16"/>
        <tr r="S6" s="3"/>
        <tr r="Q6" s="11"/>
      </tp>
      <tp t="e">
        <v>#N/A</v>
        <stp/>
        <stp>BDH|1485276634464450825</stp>
        <tr r="F30" s="34"/>
      </tp>
      <tp t="e">
        <v>#N/A</v>
        <stp/>
        <stp>BDH|4992823418084512571</stp>
        <tr r="F184" s="18"/>
      </tp>
      <tp t="e">
        <v>#N/A</v>
        <stp/>
        <stp>BDH|2752430183040215249</stp>
        <tr r="T70" s="12"/>
      </tp>
      <tp t="e">
        <v>#N/A</v>
        <stp/>
        <stp>BDH|4289401287792041647</stp>
        <tr r="AA206" s="18"/>
      </tp>
      <tp t="e">
        <v>#N/A</v>
        <stp/>
        <stp>BDH|7813962928057492737</stp>
        <tr r="K8" s="14"/>
      </tp>
      <tp t="e">
        <v>#N/A</v>
        <stp/>
        <stp>BDH|5680144779067928833</stp>
        <tr r="N32" s="25"/>
        <tr r="N18" s="27"/>
      </tp>
      <tp t="e">
        <v>#N/A</v>
        <stp/>
        <stp>BDH|9375209871254111420</stp>
        <tr r="O206" s="18"/>
      </tp>
      <tp t="e">
        <v>#N/A</v>
        <stp/>
        <stp>BDH|9042425750653695752</stp>
        <tr r="C32" s="25"/>
        <tr r="C18" s="27"/>
      </tp>
      <tp t="e">
        <v>#N/A</v>
        <stp/>
        <stp>BDH|6477374494943750313</stp>
        <tr r="C100" s="18"/>
      </tp>
      <tp t="e">
        <v>#N/A</v>
        <stp/>
        <stp>BDH|6701475726674691816</stp>
        <tr r="S66" s="18"/>
      </tp>
      <tp t="e">
        <v>#N/A</v>
        <stp/>
        <stp>BDH|4107298629299910197</stp>
        <tr r="K18" s="25"/>
      </tp>
      <tp t="e">
        <v>#N/A</v>
        <stp/>
        <stp>BDH|9985446046073378695</stp>
        <tr r="N168" s="18"/>
      </tp>
      <tp t="e">
        <v>#N/A</v>
        <stp/>
        <stp>BDH|5635235377678383407</stp>
        <tr r="Q60" s="12"/>
      </tp>
      <tp t="e">
        <v>#N/A</v>
        <stp/>
        <stp>BDH|6632928281942647929</stp>
        <tr r="E26" s="25"/>
        <tr r="E12" s="27"/>
      </tp>
      <tp t="e">
        <v>#N/A</v>
        <stp/>
        <stp>BDH|2382606912029166017</stp>
        <tr r="Z35" s="12"/>
      </tp>
      <tp t="e">
        <v>#N/A</v>
        <stp/>
        <stp>BDH|7503016264434758968</stp>
        <tr r="P151" s="18"/>
      </tp>
      <tp t="e">
        <v>#N/A</v>
        <stp/>
        <stp>BDH|7211482239825326917</stp>
        <tr r="AA14" s="22"/>
      </tp>
      <tp t="e">
        <v>#N/A</v>
        <stp/>
        <stp>BDH|4265692769651543917</stp>
        <tr r="F73" s="12"/>
      </tp>
      <tp t="e">
        <v>#N/A</v>
        <stp/>
        <stp>BDH|9748644912231466335</stp>
        <tr r="Z18" s="12"/>
      </tp>
      <tp t="e">
        <v>#N/A</v>
        <stp/>
        <stp>BDH|3200892516180233691</stp>
        <tr r="Z30" s="26"/>
      </tp>
      <tp t="e">
        <v>#N/A</v>
        <stp/>
        <stp>BDH|5366039182955767433</stp>
        <tr r="V23" s="14"/>
      </tp>
      <tp t="e">
        <v>#N/A</v>
        <stp/>
        <stp>BDH|9331421762236732120</stp>
        <tr r="J152" s="18"/>
      </tp>
      <tp t="e">
        <v>#N/A</v>
        <stp/>
        <stp>BDH|8647491343722856624</stp>
        <tr r="C15" s="14"/>
      </tp>
      <tp t="e">
        <v>#N/A</v>
        <stp/>
        <stp>BDH|7405298239433476968</stp>
        <tr r="M27" s="26"/>
      </tp>
      <tp t="e">
        <v>#N/A</v>
        <stp/>
        <stp>BDH|2368534920141269846</stp>
        <tr r="K84" s="24"/>
      </tp>
      <tp t="e">
        <v>#N/A</v>
        <stp/>
        <stp>BDH|1701452530243718932</stp>
        <tr r="N152" s="18"/>
      </tp>
      <tp t="e">
        <v>#N/A</v>
        <stp/>
        <stp>BDH|7531632684573748633</stp>
        <tr r="O22" s="24"/>
      </tp>
      <tp t="e">
        <v>#N/A</v>
        <stp/>
        <stp>BDH|6543574776860423868</stp>
        <tr r="O145" s="18"/>
      </tp>
      <tp t="e">
        <v>#N/A</v>
        <stp/>
        <stp>BDH|9472742002750408200</stp>
        <tr r="O170" s="18"/>
      </tp>
      <tp t="e">
        <v>#N/A</v>
        <stp/>
        <stp>BDH|9867502903436464694</stp>
        <tr r="P28" s="26"/>
      </tp>
      <tp t="e">
        <v>#N/A</v>
        <stp/>
        <stp>BDH|6700503954798564207</stp>
        <tr r="O58" s="24"/>
      </tp>
      <tp t="e">
        <v>#N/A</v>
        <stp/>
        <stp>BDH|8533128141074394537</stp>
        <tr r="O19" s="6"/>
      </tp>
      <tp t="e">
        <v>#N/A</v>
        <stp/>
        <stp>BDH|8549739679064104088</stp>
        <tr r="G24" s="5"/>
      </tp>
      <tp t="e">
        <v>#N/A</v>
        <stp/>
        <stp>BDH|7576771857398062137</stp>
        <tr r="K100" s="12"/>
      </tp>
      <tp t="e">
        <v>#N/A</v>
        <stp/>
        <stp>BDH|9519574874870803789</stp>
        <tr r="M25" s="26"/>
      </tp>
      <tp t="e">
        <v>#N/A</v>
        <stp/>
        <stp>BDH|2749754672458469626</stp>
        <tr r="Q18" s="25"/>
      </tp>
      <tp t="e">
        <v>#N/A</v>
        <stp/>
        <stp>BDH|1401001894764100072</stp>
        <tr r="E62" s="17"/>
      </tp>
      <tp t="e">
        <v>#N/A</v>
        <stp/>
        <stp>BDH|4052071931568615364</stp>
        <tr r="AA12" s="12"/>
      </tp>
      <tp t="e">
        <v>#N/A</v>
        <stp/>
        <stp>BDH|4538903484428096179</stp>
        <tr r="D80" s="34"/>
      </tp>
      <tp t="e">
        <v>#N/A</v>
        <stp/>
        <stp>BDH|2099810930442782702</stp>
        <tr r="P39" s="10"/>
        <tr r="P29" s="11"/>
      </tp>
      <tp t="e">
        <v>#N/A</v>
        <stp/>
        <stp>BDH|8837021160724522690</stp>
        <tr r="W49" s="13"/>
      </tp>
      <tp t="e">
        <v>#N/A</v>
        <stp/>
        <stp>BDH|1152076360578127313</stp>
        <tr r="O22" s="14"/>
      </tp>
      <tp t="e">
        <v>#N/A</v>
        <stp/>
        <stp>BDH|6991149286151874251</stp>
        <tr r="Y60" s="12"/>
      </tp>
      <tp t="e">
        <v>#N/A</v>
        <stp/>
        <stp>BDH|7966200626433900805</stp>
        <tr r="Q36" s="4"/>
      </tp>
      <tp t="e">
        <v>#N/A</v>
        <stp/>
        <stp>BDH|8350616770561512410</stp>
        <tr r="AA19" s="30"/>
      </tp>
      <tp t="e">
        <v>#N/A</v>
        <stp/>
        <stp>BDH|3402366737788512766</stp>
        <tr r="I11" s="14"/>
      </tp>
      <tp t="e">
        <v>#N/A</v>
        <stp/>
        <stp>BDH|6836990002677639430</stp>
        <tr r="Z6" s="19"/>
        <tr r="Z34" s="17"/>
        <tr r="Z16" s="3"/>
      </tp>
      <tp t="e">
        <v>#N/A</v>
        <stp/>
        <stp>BDH|8273432174813488473</stp>
        <tr r="L52" s="10"/>
        <tr r="L42" s="11"/>
        <tr r="L15" s="7"/>
      </tp>
      <tp t="e">
        <v>#N/A</v>
        <stp/>
        <stp>BDH|2782442310198051357</stp>
        <tr r="C22" s="20"/>
      </tp>
      <tp t="e">
        <v>#N/A</v>
        <stp/>
        <stp>BDH|9633758249086822040</stp>
        <tr r="V23" s="13"/>
      </tp>
      <tp t="e">
        <v>#N/A</v>
        <stp/>
        <stp>BDH|4933710959842618812</stp>
        <tr r="AA122" s="18"/>
        <tr r="AA11" s="20"/>
      </tp>
      <tp t="e">
        <v>#N/A</v>
        <stp/>
        <stp>BDH|9666609707785331643</stp>
        <tr r="N175" s="18"/>
      </tp>
      <tp t="e">
        <v>#N/A</v>
        <stp/>
        <stp>BDH|2723845627554787051</stp>
        <tr r="I38" s="24"/>
      </tp>
      <tp t="e">
        <v>#N/A</v>
        <stp/>
        <stp>BDH|3306300610848513502</stp>
        <tr r="I208" s="18"/>
      </tp>
      <tp t="e">
        <v>#N/A</v>
        <stp/>
        <stp>BDH|2993814489607129962</stp>
        <tr r="Y29" s="21"/>
      </tp>
      <tp t="e">
        <v>#N/A</v>
        <stp/>
        <stp>BDH|4053019737492715972</stp>
        <tr r="O92" s="17"/>
        <tr r="O7" s="27"/>
      </tp>
      <tp t="e">
        <v>#N/A</v>
        <stp/>
        <stp>BDH|1801073739587659969</stp>
        <tr r="P72" s="34"/>
      </tp>
      <tp t="e">
        <v>#N/A</v>
        <stp/>
        <stp>BDH|5760529791204200107</stp>
        <tr r="F29" s="22"/>
      </tp>
      <tp t="e">
        <v>#N/A</v>
        <stp/>
        <stp>BDH|2864719562019860653</stp>
        <tr r="I58" s="11"/>
        <tr r="K19" s="23"/>
      </tp>
      <tp t="e">
        <v>#N/A</v>
        <stp/>
        <stp>BDH|3791454638558511093</stp>
        <tr r="X42" s="10"/>
        <tr r="X32" s="11"/>
      </tp>
      <tp t="e">
        <v>#N/A</v>
        <stp/>
        <stp>BDH|9793631655196576023</stp>
        <tr r="AA49" s="24"/>
      </tp>
      <tp t="e">
        <v>#N/A</v>
        <stp/>
        <stp>BDH|4140739113508723606</stp>
        <tr r="J77" s="34"/>
      </tp>
      <tp t="e">
        <v>#N/A</v>
        <stp/>
        <stp>BDH|6356837226647483740</stp>
        <tr r="E40" s="18"/>
      </tp>
      <tp t="e">
        <v>#N/A</v>
        <stp/>
        <stp>BDH|2160820321400245469</stp>
        <tr r="K9" s="14"/>
      </tp>
      <tp t="e">
        <v>#N/A</v>
        <stp/>
        <stp>BDH|1380387251033955854</stp>
        <tr r="H22" s="10"/>
      </tp>
      <tp t="e">
        <v>#N/A</v>
        <stp/>
        <stp>BDH|9533404738075985721</stp>
        <tr r="W18" s="9"/>
      </tp>
      <tp t="e">
        <v>#N/A</v>
        <stp/>
        <stp>BDH|9100755526671143159</stp>
        <tr r="D26" s="24"/>
      </tp>
      <tp t="e">
        <v>#N/A</v>
        <stp/>
        <stp>BDH|4377480111739511480</stp>
        <tr r="Q32" s="34"/>
      </tp>
      <tp t="e">
        <v>#N/A</v>
        <stp/>
        <stp>BDH|9346972374548624310</stp>
        <tr r="J19" s="22"/>
      </tp>
      <tp t="e">
        <v>#N/A</v>
        <stp/>
        <stp>BDH|3666856804451827687</stp>
        <tr r="H50" s="12"/>
      </tp>
      <tp t="e">
        <v>#N/A</v>
        <stp/>
        <stp>BDH|9553701614197609405</stp>
        <tr r="E83" s="17"/>
      </tp>
      <tp t="e">
        <v>#N/A</v>
        <stp/>
        <stp>BDH|5466591286544485089</stp>
        <tr r="N86" s="17"/>
      </tp>
      <tp t="e">
        <v>#N/A</v>
        <stp/>
        <stp>BDH|6061213439709883279</stp>
        <tr r="X20" s="2"/>
        <tr r="X18" s="4"/>
        <tr r="X58" s="10"/>
        <tr r="X48" s="11"/>
        <tr r="X19" s="7"/>
        <tr r="Z74" s="13"/>
      </tp>
      <tp t="e">
        <v>#N/A</v>
        <stp/>
        <stp>BDH|2842177688263972495</stp>
        <tr r="Y101" s="12"/>
      </tp>
      <tp t="e">
        <v>#N/A</v>
        <stp/>
        <stp>BDH|4485166382726629718</stp>
        <tr r="U43" s="12"/>
      </tp>
      <tp t="e">
        <v>#N/A</v>
        <stp/>
        <stp>BDH|7103270025318695328</stp>
        <tr r="H34" s="24"/>
      </tp>
      <tp t="e">
        <v>#N/A</v>
        <stp/>
        <stp>BDH|9733633102754936786</stp>
        <tr r="T29" s="14"/>
      </tp>
      <tp t="e">
        <v>#N/A</v>
        <stp/>
        <stp>BDH|5450931503339221910</stp>
        <tr r="Y27" s="22"/>
      </tp>
      <tp t="e">
        <v>#N/A</v>
        <stp/>
        <stp>BDH|6915623793170726584</stp>
        <tr r="N8" s="34"/>
      </tp>
      <tp t="e">
        <v>#N/A</v>
        <stp/>
        <stp>BDH|4683375135970035833</stp>
        <tr r="I31" s="29"/>
      </tp>
      <tp t="e">
        <v>#N/A</v>
        <stp/>
        <stp>BDH|2093719992502223263</stp>
        <tr r="W24" s="5"/>
      </tp>
      <tp t="e">
        <v>#N/A</v>
        <stp/>
        <stp>BDH|8270199927010291793</stp>
        <tr r="D34" s="9"/>
      </tp>
      <tp t="e">
        <v>#N/A</v>
        <stp/>
        <stp>BDH|1013432948465406883</stp>
        <tr r="W60" s="21"/>
        <tr r="U53" s="11"/>
      </tp>
      <tp t="e">
        <v>#N/A</v>
        <stp/>
        <stp>BDH|6751302109700977900</stp>
        <tr r="X26" s="13"/>
      </tp>
      <tp t="e">
        <v>#N/A</v>
        <stp/>
        <stp>BDH|8527228509772882413</stp>
        <tr r="H9" s="22"/>
      </tp>
      <tp t="e">
        <v>#N/A</v>
        <stp/>
        <stp>BDH|8384002915741598442</stp>
        <tr r="Y19" s="10"/>
      </tp>
      <tp t="e">
        <v>#N/A</v>
        <stp/>
        <stp>BDH|4986694756372470951</stp>
        <tr r="E54" s="18"/>
      </tp>
      <tp t="e">
        <v>#N/A</v>
        <stp/>
        <stp>BDH|7344011613348497226</stp>
        <tr r="E28" s="12"/>
      </tp>
      <tp t="e">
        <v>#N/A</v>
        <stp/>
        <stp>BDH|2296900710665660331</stp>
        <tr r="M32" s="14"/>
      </tp>
      <tp t="e">
        <v>#N/A</v>
        <stp/>
        <stp>BDH|4021677385927617135</stp>
        <tr r="S50" s="17"/>
      </tp>
      <tp t="e">
        <v>#N/A</v>
        <stp/>
        <stp>BDH|2104433034339816099</stp>
        <tr r="Q74" s="17"/>
      </tp>
      <tp t="e">
        <v>#N/A</v>
        <stp/>
        <stp>BDH|5900557194100879579</stp>
        <tr r="G89" s="18"/>
      </tp>
      <tp t="e">
        <v>#N/A</v>
        <stp/>
        <stp>BDH|1319911500805625132</stp>
        <tr r="C134" s="18"/>
      </tp>
      <tp t="e">
        <v>#N/A</v>
        <stp/>
        <stp>BDH|1690238378198811029</stp>
        <tr r="W14" s="23"/>
      </tp>
      <tp t="e">
        <v>#N/A</v>
        <stp/>
        <stp>BDH|4120360044927224862</stp>
        <tr r="C31" s="34"/>
      </tp>
      <tp t="e">
        <v>#N/A</v>
        <stp/>
        <stp>BDH|1686112302039774556</stp>
        <tr r="G17" s="21"/>
      </tp>
      <tp t="e">
        <v>#N/A</v>
        <stp/>
        <stp>BDH|2293767793530922093</stp>
        <tr r="K13" s="17"/>
        <tr r="K16" s="28"/>
      </tp>
      <tp t="e">
        <v>#N/A</v>
        <stp/>
        <stp>BDH|1022579012161482868</stp>
        <tr r="Q26" s="18"/>
      </tp>
      <tp t="e">
        <v>#N/A</v>
        <stp/>
        <stp>BDH|4747802750972610764</stp>
        <tr r="W26" s="18"/>
      </tp>
      <tp t="e">
        <v>#N/A</v>
        <stp/>
        <stp>BDH|5169948555655713003</stp>
        <tr r="R51" s="12"/>
      </tp>
      <tp t="e">
        <v>#N/A</v>
        <stp/>
        <stp>BDH|9749340539981997448</stp>
        <tr r="Z16" s="22"/>
      </tp>
      <tp t="e">
        <v>#N/A</v>
        <stp/>
        <stp>BDH|7335539858278941360</stp>
        <tr r="U68" s="10"/>
      </tp>
      <tp t="e">
        <v>#N/A</v>
        <stp/>
        <stp>BDH|1012123664792491853</stp>
        <tr r="U28" s="26"/>
      </tp>
      <tp t="e">
        <v>#N/A</v>
        <stp/>
        <stp>BDH|2102334112808533421</stp>
        <tr r="I7" s="10"/>
      </tp>
      <tp t="e">
        <v>#N/A</v>
        <stp/>
        <stp>BDH|8259782875983954715</stp>
        <tr r="R172" s="18"/>
      </tp>
      <tp t="e">
        <v>#N/A</v>
        <stp/>
        <stp>BDH|8428945983895050044</stp>
        <tr r="D83" s="24"/>
      </tp>
      <tp t="e">
        <v>#N/A</v>
        <stp/>
        <stp>BDH|8956234672009804840</stp>
        <tr r="M28" s="24"/>
      </tp>
      <tp t="e">
        <v>#N/A</v>
        <stp/>
        <stp>BDH|8949316128297504211</stp>
        <tr r="E124" s="18"/>
        <tr r="E13" s="20"/>
      </tp>
      <tp t="e">
        <v>#N/A</v>
        <stp/>
        <stp>BDH|2788580093283986112</stp>
        <tr r="R45" s="22"/>
      </tp>
      <tp t="e">
        <v>#N/A</v>
        <stp/>
        <stp>BDH|3277817846593710064</stp>
        <tr r="D39" s="4"/>
        <tr r="D66" s="10"/>
      </tp>
      <tp t="e">
        <v>#N/A</v>
        <stp/>
        <stp>BDH|7544061850547738903</stp>
        <tr r="V16" s="10"/>
      </tp>
      <tp t="e">
        <v>#N/A</v>
        <stp/>
        <stp>BDH|7425939526233795323</stp>
        <tr r="U14" s="21"/>
      </tp>
      <tp t="e">
        <v>#N/A</v>
        <stp/>
        <stp>BDH|1501827773744840687</stp>
        <tr r="U27" s="10"/>
        <tr r="W36" s="13"/>
      </tp>
      <tp t="e">
        <v>#N/A</v>
        <stp/>
        <stp>BDH|3106947365514727433</stp>
        <tr r="Y37" s="22"/>
      </tp>
      <tp t="e">
        <v>#N/A</v>
        <stp/>
        <stp>BDH|7696869043637250051</stp>
        <tr r="G72" s="17"/>
      </tp>
      <tp t="e">
        <v>#N/A</v>
        <stp/>
        <stp>BDH|2561944177456735657</stp>
        <tr r="U87" s="18"/>
      </tp>
      <tp t="e">
        <v>#N/A</v>
        <stp/>
        <stp>BDH|2729377084233468643</stp>
        <tr r="X21" s="24"/>
      </tp>
      <tp t="e">
        <v>#N/A</v>
        <stp/>
        <stp>BDH|2242844807780501605</stp>
        <tr r="AA21" s="3"/>
      </tp>
      <tp t="e">
        <v>#N/A</v>
        <stp/>
        <stp>BDH|9703474927105129625</stp>
        <tr r="S54" s="13"/>
      </tp>
      <tp t="e">
        <v>#N/A</v>
        <stp/>
        <stp>BDH|9202631161764268162</stp>
        <tr r="I11" s="17"/>
      </tp>
      <tp t="e">
        <v>#N/A</v>
        <stp/>
        <stp>BDH|4078674742168493259</stp>
        <tr r="D27" s="14"/>
      </tp>
      <tp t="e">
        <v>#N/A</v>
        <stp/>
        <stp>BDH|7510771446889886182</stp>
        <tr r="C37" s="13"/>
      </tp>
      <tp t="e">
        <v>#N/A</v>
        <stp/>
        <stp>BDH|4614859227825051700</stp>
        <tr r="L11" s="13"/>
      </tp>
      <tp t="e">
        <v>#N/A</v>
        <stp/>
        <stp>BDH|8722907916764131844</stp>
        <tr r="F95" s="17"/>
      </tp>
      <tp t="e">
        <v>#N/A</v>
        <stp/>
        <stp>BDH|8698429056440765517</stp>
        <tr r="N22" s="14"/>
      </tp>
      <tp t="e">
        <v>#N/A</v>
        <stp/>
        <stp>BDH|9164013212961605508</stp>
        <tr r="P15" s="4"/>
      </tp>
      <tp t="e">
        <v>#N/A</v>
        <stp/>
        <stp>BDH|5787849663192176553</stp>
        <tr r="S20" s="18"/>
      </tp>
      <tp t="e">
        <v>#N/A</v>
        <stp/>
        <stp>BDH|1202241692264609267</stp>
        <tr r="R89" s="12"/>
      </tp>
      <tp t="e">
        <v>#N/A</v>
        <stp/>
        <stp>BDH|3243946747966099456</stp>
        <tr r="G36" s="34"/>
      </tp>
      <tp t="e">
        <v>#N/A</v>
        <stp/>
        <stp>BDH|1253031634248076617</stp>
        <tr r="P28" s="6"/>
      </tp>
      <tp t="e">
        <v>#N/A</v>
        <stp/>
        <stp>BDH|2549056222175621907</stp>
        <tr r="N57" s="12"/>
      </tp>
      <tp t="e">
        <v>#N/A</v>
        <stp/>
        <stp>BDH|8229614877482564752</stp>
        <tr r="D8" s="21"/>
      </tp>
      <tp t="e">
        <v>#N/A</v>
        <stp/>
        <stp>BDH|9766006863714712770</stp>
        <tr r="G28" s="24"/>
      </tp>
      <tp t="e">
        <v>#N/A</v>
        <stp/>
        <stp>BDH|3434223412028893480</stp>
        <tr r="Y56" s="12"/>
      </tp>
      <tp t="e">
        <v>#N/A</v>
        <stp/>
        <stp>BDH|3377048157773049944</stp>
        <tr r="G14" s="13"/>
      </tp>
      <tp t="e">
        <v>#N/A</v>
        <stp/>
        <stp>BDH|8932083473176598533</stp>
        <tr r="K86" s="17"/>
      </tp>
      <tp t="e">
        <v>#N/A</v>
        <stp/>
        <stp>BDH|2876386624016453949</stp>
        <tr r="D48" s="22"/>
      </tp>
      <tp t="e">
        <v>#N/A</v>
        <stp/>
        <stp>BDH|3467947030223298667</stp>
        <tr r="Y63" s="34"/>
      </tp>
      <tp t="e">
        <v>#N/A</v>
        <stp/>
        <stp>BDH|1444879874952190020</stp>
        <tr r="D56" s="24"/>
      </tp>
      <tp t="e">
        <v>#N/A</v>
        <stp/>
        <stp>BDH|6458440355392522948</stp>
        <tr r="H40" s="10"/>
        <tr r="H30" s="11"/>
      </tp>
      <tp t="e">
        <v>#N/A</v>
        <stp/>
        <stp>BDH|1723994692058987511</stp>
        <tr r="Q53" s="10"/>
        <tr r="Q43" s="11"/>
        <tr r="Q16" s="7"/>
      </tp>
      <tp t="e">
        <v>#N/A</v>
        <stp/>
        <stp>BDH|1784836245217379664</stp>
        <tr r="X208" s="18"/>
      </tp>
      <tp t="e">
        <v>#N/A</v>
        <stp/>
        <stp>BDH|9852463419788271819</stp>
        <tr r="I154" s="18"/>
      </tp>
      <tp t="e">
        <v>#N/A</v>
        <stp/>
        <stp>BDH|3847409383067753486</stp>
        <tr r="E72" s="34"/>
      </tp>
      <tp t="e">
        <v>#N/A</v>
        <stp/>
        <stp>BDH|8786039779863874010</stp>
        <tr r="P15" s="9"/>
      </tp>
      <tp t="e">
        <v>#N/A</v>
        <stp/>
        <stp>BDH|9796927557181356854</stp>
        <tr r="S25" s="10"/>
        <tr r="U34" s="13"/>
      </tp>
      <tp t="e">
        <v>#N/A</v>
        <stp/>
        <stp>BDH|3645424693325716752</stp>
        <tr r="M138" s="18"/>
      </tp>
      <tp t="e">
        <v>#N/A</v>
        <stp/>
        <stp>BDH|8197176184915428834</stp>
        <tr r="U30" s="21"/>
      </tp>
      <tp t="e">
        <v>#N/A</v>
        <stp/>
        <stp>BDH|7629253420379133271</stp>
        <tr r="AA151" s="18"/>
      </tp>
      <tp t="e">
        <v>#N/A</v>
        <stp/>
        <stp>BDH|4120715733015113974</stp>
        <tr r="AA56" s="17"/>
      </tp>
      <tp t="e">
        <v>#N/A</v>
        <stp/>
        <stp>BDH|8952868919889573460</stp>
        <tr r="N50" s="21"/>
      </tp>
      <tp t="e">
        <v>#N/A</v>
        <stp/>
        <stp>BDH|4795272001642392876</stp>
        <tr r="L78" s="34"/>
      </tp>
      <tp t="e">
        <v>#N/A</v>
        <stp/>
        <stp>BDH|8258026457478534976</stp>
        <tr r="U28" s="6"/>
      </tp>
      <tp t="e">
        <v>#N/A</v>
        <stp/>
        <stp>BDH|6115047784750140250</stp>
        <tr r="S46" s="18"/>
      </tp>
      <tp t="e">
        <v>#N/A</v>
        <stp/>
        <stp>BDH|2368359337508369679</stp>
        <tr r="I54" s="12"/>
      </tp>
      <tp t="e">
        <v>#N/A</v>
        <stp/>
        <stp>BDH|4416263527780479847</stp>
        <tr r="R64" s="12"/>
      </tp>
      <tp t="e">
        <v>#N/A</v>
        <stp/>
        <stp>BDH|5103764045963619919</stp>
        <tr r="Z26" s="18"/>
      </tp>
      <tp t="e">
        <v>#N/A</v>
        <stp/>
        <stp>BDH|8034034014856384313</stp>
        <tr r="L185" s="18"/>
      </tp>
      <tp t="e">
        <v>#N/A</v>
        <stp/>
        <stp>BDH|7055908782373093971</stp>
        <tr r="I21" s="10"/>
      </tp>
      <tp t="e">
        <v>#N/A</v>
        <stp/>
        <stp>BDH|3293058093111105706</stp>
        <tr r="N17" s="24"/>
      </tp>
      <tp t="e">
        <v>#N/A</v>
        <stp/>
        <stp>BDH|2407107496735010377</stp>
        <tr r="K95" s="24"/>
      </tp>
      <tp t="e">
        <v>#N/A</v>
        <stp/>
        <stp>BDH|2821975092107188998</stp>
        <tr r="D29" s="21"/>
      </tp>
      <tp t="e">
        <v>#N/A</v>
        <stp/>
        <stp>BDH|1768395522765921900</stp>
        <tr r="N106" s="18"/>
      </tp>
      <tp t="e">
        <v>#N/A</v>
        <stp/>
        <stp>BDH|3799622265056359967</stp>
        <tr r="D90" s="17"/>
        <tr r="D34" s="25"/>
      </tp>
      <tp t="e">
        <v>#N/A</v>
        <stp/>
        <stp>BDH|9799314477440395179</stp>
        <tr r="L73" s="17"/>
      </tp>
      <tp t="e">
        <v>#N/A</v>
        <stp/>
        <stp>BDH|3290744697168545910</stp>
        <tr r="V48" s="18"/>
      </tp>
      <tp t="e">
        <v>#N/A</v>
        <stp/>
        <stp>BDH|3095975237761051456</stp>
        <tr r="D13" s="2"/>
      </tp>
      <tp t="e">
        <v>#N/A</v>
        <stp/>
        <stp>BDH|8091000026031533762</stp>
        <tr r="M78" s="18"/>
      </tp>
      <tp t="e">
        <v>#N/A</v>
        <stp/>
        <stp>BDH|4096890143141934560</stp>
        <tr r="U25" s="2"/>
        <tr r="W62" s="21"/>
      </tp>
      <tp t="e">
        <v>#N/A</v>
        <stp/>
        <stp>BDH|3729602746045280863</stp>
        <tr r="Z48" s="21"/>
      </tp>
      <tp t="e">
        <v>#N/A</v>
        <stp/>
        <stp>BDH|1301199541471767991</stp>
        <tr r="V30" s="34"/>
      </tp>
      <tp t="e">
        <v>#N/A</v>
        <stp/>
        <stp>BDH|8317276175794798533</stp>
        <tr r="Y8" s="21"/>
      </tp>
      <tp t="e">
        <v>#N/A</v>
        <stp/>
        <stp>BDH|5871902714826956702</stp>
        <tr r="K70" s="17"/>
      </tp>
      <tp t="e">
        <v>#N/A</v>
        <stp/>
        <stp>BDH|4569642584314682265</stp>
        <tr r="W55" s="24"/>
      </tp>
      <tp t="e">
        <v>#N/A</v>
        <stp/>
        <stp>BDH|1020929900091259554</stp>
        <tr r="L178" s="18"/>
      </tp>
      <tp t="e">
        <v>#N/A</v>
        <stp/>
        <stp>BDH|1401867847950735177</stp>
        <tr r="N52" s="4"/>
        <tr r="P8" s="3"/>
        <tr r="N44" s="10"/>
        <tr r="N34" s="11"/>
        <tr r="P45" s="13"/>
      </tp>
      <tp t="e">
        <v>#N/A</v>
        <stp/>
        <stp>BDH|9381881019689570522</stp>
        <tr r="Q26" s="17"/>
      </tp>
      <tp t="e">
        <v>#N/A</v>
        <stp/>
        <stp>BDH|5656824309132143399</stp>
        <tr r="N38" s="4"/>
        <tr r="N56" s="11"/>
        <tr r="P13" s="23"/>
      </tp>
      <tp t="e">
        <v>#N/A</v>
        <stp/>
        <stp>BDH|4325801147051462558</stp>
        <tr r="E40" s="17"/>
      </tp>
      <tp t="e">
        <v>#N/A</v>
        <stp/>
        <stp>BDH|3195665090088643845</stp>
        <tr r="L85" s="24"/>
      </tp>
      <tp t="e">
        <v>#N/A</v>
        <stp/>
        <stp>BDH|9895542172585848236</stp>
        <tr r="P66" s="17"/>
      </tp>
      <tp t="e">
        <v>#N/A</v>
        <stp/>
        <stp>BDH|9994188201702490613</stp>
        <tr r="T25" s="4"/>
        <tr r="T65" s="10"/>
      </tp>
      <tp t="e">
        <v>#N/A</v>
        <stp/>
        <stp>BDH|3993412643919774699</stp>
        <tr r="U48" s="22"/>
      </tp>
      <tp t="e">
        <v>#N/A</v>
        <stp/>
        <stp>BDH|1239802637926233024</stp>
        <tr r="I51" s="34"/>
      </tp>
      <tp t="e">
        <v>#N/A</v>
        <stp/>
        <stp>BDH|1093642267265431824</stp>
        <tr r="J86" s="18"/>
      </tp>
      <tp t="e">
        <v>#N/A</v>
        <stp/>
        <stp>BDH|3277203135747154938</stp>
        <tr r="F31" s="18"/>
      </tp>
      <tp t="e">
        <v>#N/A</v>
        <stp/>
        <stp>BDH|3044914454091699267</stp>
        <tr r="W47" s="18"/>
      </tp>
      <tp t="e">
        <v>#N/A</v>
        <stp/>
        <stp>BDH|98508870503218049</stp>
        <tr r="G98" s="18"/>
      </tp>
      <tp t="e">
        <v>#N/A</v>
        <stp/>
        <stp>BDH|70376640551447774</stp>
        <tr r="F74" s="24"/>
      </tp>
      <tp t="e">
        <v>#N/A</v>
        <stp/>
        <stp>BDH|59194826682806052</stp>
        <tr r="T78" s="17"/>
      </tp>
      <tp t="e">
        <v>#N/A</v>
        <stp/>
        <stp>BDH|49583308997759348</stp>
        <tr r="F141" s="18"/>
      </tp>
      <tp t="e">
        <v>#N/A</v>
        <stp/>
        <stp>BDH|21778364351735143</stp>
        <tr r="L49" s="4"/>
      </tp>
      <tp t="e">
        <v>#N/A</v>
        <stp/>
        <stp>BDH|62149117413336215</stp>
        <tr r="R25" s="27"/>
      </tp>
      <tp t="e">
        <v>#N/A</v>
        <stp/>
        <stp>BDH|81760628754962092</stp>
        <tr r="T38" s="6"/>
      </tp>
      <tp t="e">
        <v>#N/A</v>
        <stp/>
        <stp>BDH|79312175486822307</stp>
        <tr r="C63" s="12"/>
      </tp>
      <tp t="e">
        <v>#N/A</v>
        <stp/>
        <stp>BDH|76997703060683866</stp>
        <tr r="L62" s="24"/>
      </tp>
      <tp t="e">
        <v>#N/A</v>
        <stp/>
        <stp>BDH|44554769531026361</stp>
        <tr r="J9" s="24"/>
      </tp>
      <tp t="e">
        <v>#N/A</v>
        <stp/>
        <stp>BDH|35719204206653083</stp>
        <tr r="G156" s="18"/>
      </tp>
      <tp t="e">
        <v>#N/A</v>
        <stp/>
        <stp>BDH|25665469023069243</stp>
        <tr r="X19" s="30"/>
      </tp>
      <tp t="e">
        <v>#N/A</v>
        <stp/>
        <stp>BDH|7342251749438430413</stp>
        <tr r="T32" s="17"/>
      </tp>
      <tp t="e">
        <v>#N/A</v>
        <stp/>
        <stp>BDH|4071764745228884218</stp>
        <tr r="O56" s="17"/>
      </tp>
      <tp t="e">
        <v>#N/A</v>
        <stp/>
        <stp>BDH|9743240743732964034</stp>
        <tr r="X74" s="24"/>
      </tp>
      <tp t="e">
        <v>#N/A</v>
        <stp/>
        <stp>BDH|2947875896058087628</stp>
        <tr r="X50" s="21"/>
      </tp>
      <tp t="e">
        <v>#N/A</v>
        <stp/>
        <stp>BDH|9795800397567389295</stp>
        <tr r="C8" s="27"/>
      </tp>
      <tp t="e">
        <v>#N/A</v>
        <stp/>
        <stp>BDH|9440382155654064636</stp>
        <tr r="G49" s="24"/>
      </tp>
      <tp t="e">
        <v>#N/A</v>
        <stp/>
        <stp>BDH|6909136696573379054</stp>
        <tr r="X6" s="2"/>
        <tr r="W6" s="5"/>
        <tr r="W6" s="9"/>
        <tr r="Y12" s="8"/>
        <tr r="Y10" s="29"/>
        <tr r="Y19" s="29"/>
        <tr r="Y25" s="29"/>
      </tp>
      <tp t="e">
        <v>#N/A</v>
        <stp/>
        <stp>BDH|7015213891027870625</stp>
        <tr r="K13" s="34"/>
      </tp>
      <tp t="e">
        <v>#N/A</v>
        <stp/>
        <stp>BDH|7359306661666903915</stp>
        <tr r="I7" s="14"/>
      </tp>
      <tp t="e">
        <v>#N/A</v>
        <stp/>
        <stp>BDH|5324947118953776328</stp>
        <tr r="G26" s="34"/>
      </tp>
      <tp t="e">
        <v>#N/A</v>
        <stp/>
        <stp>BDH|5354848967086273089</stp>
        <tr r="G60" s="18"/>
      </tp>
      <tp t="e">
        <v>#N/A</v>
        <stp/>
        <stp>BDH|9629965373099102384</stp>
        <tr r="G52" s="17"/>
        <tr r="G10" s="25"/>
      </tp>
      <tp t="e">
        <v>#N/A</v>
        <stp/>
        <stp>BDH|8297335979962767350</stp>
        <tr r="K46" s="17"/>
      </tp>
      <tp t="e">
        <v>#N/A</v>
        <stp/>
        <stp>BDH|1699888130080125751</stp>
        <tr r="C10" s="11"/>
      </tp>
      <tp t="e">
        <v>#N/A</v>
        <stp/>
        <stp>BDH|4526565663348871221</stp>
        <tr r="M8" s="13"/>
      </tp>
      <tp t="e">
        <v>#N/A</v>
        <stp/>
        <stp>BDH|7337617721769060797</stp>
        <tr r="E68" s="17"/>
      </tp>
      <tp t="e">
        <v>#N/A</v>
        <stp/>
        <stp>BDH|3932856564481058126</stp>
        <tr r="M21" s="11"/>
      </tp>
      <tp t="e">
        <v>#N/A</v>
        <stp/>
        <stp>BDH|5474232762928791487</stp>
        <tr r="G22" s="27"/>
      </tp>
      <tp t="e">
        <v>#N/A</v>
        <stp/>
        <stp>BDH|3033324382444300197</stp>
        <tr r="K102" s="18"/>
      </tp>
      <tp t="e">
        <v>#N/A</v>
        <stp/>
        <stp>BDH|7274096423370450863</stp>
        <tr r="P22" s="12"/>
      </tp>
      <tp t="e">
        <v>#N/A</v>
        <stp/>
        <stp>BDH|4290617100546168989</stp>
        <tr r="Z57" s="24"/>
      </tp>
      <tp t="e">
        <v>#N/A</v>
        <stp/>
        <stp>BDH|7047342770288670687</stp>
        <tr r="E76" s="34"/>
      </tp>
      <tp t="e">
        <v>#N/A</v>
        <stp/>
        <stp>BDH|9078669628412486206</stp>
        <tr r="N103" s="18"/>
      </tp>
      <tp t="e">
        <v>#N/A</v>
        <stp/>
        <stp>BDH|5047703572160029883</stp>
        <tr r="J13" s="13"/>
      </tp>
      <tp t="e">
        <v>#N/A</v>
        <stp/>
        <stp>BDH|5967211927728410019</stp>
        <tr r="P40" s="18"/>
      </tp>
      <tp t="e">
        <v>#N/A</v>
        <stp/>
        <stp>BDH|4995196615670626990</stp>
        <tr r="U193" s="18"/>
      </tp>
      <tp t="e">
        <v>#N/A</v>
        <stp/>
        <stp>BDH|8710216560985943451</stp>
        <tr r="R70" s="18"/>
      </tp>
      <tp t="e">
        <v>#N/A</v>
        <stp/>
        <stp>BDH|5206715189251892684</stp>
        <tr r="AA61" s="12"/>
      </tp>
      <tp t="e">
        <v>#N/A</v>
        <stp/>
        <stp>BDH|8034574688471609939</stp>
        <tr r="L18" s="21"/>
      </tp>
      <tp t="e">
        <v>#N/A</v>
        <stp/>
        <stp>BDH|9828134305775750038</stp>
        <tr r="H187" s="18"/>
      </tp>
      <tp t="e">
        <v>#N/A</v>
        <stp/>
        <stp>BDH|8948240109501690684</stp>
        <tr r="R28" s="17"/>
      </tp>
      <tp t="e">
        <v>#N/A</v>
        <stp/>
        <stp>BDH|3712496938870978957</stp>
        <tr r="S18" s="12"/>
      </tp>
      <tp t="e">
        <v>#N/A</v>
        <stp/>
        <stp>BDH|2924840625336271309</stp>
        <tr r="J13" s="10"/>
      </tp>
      <tp t="e">
        <v>#N/A</v>
        <stp/>
        <stp>BDH|8188451030754721693</stp>
        <tr r="K28" s="13"/>
      </tp>
      <tp t="e">
        <v>#N/A</v>
        <stp/>
        <stp>BDH|8382852373932840879</stp>
        <tr r="T13" s="30"/>
      </tp>
      <tp t="e">
        <v>#N/A</v>
        <stp/>
        <stp>BDH|9794597133332374044</stp>
        <tr r="V94" s="18"/>
      </tp>
      <tp t="e">
        <v>#N/A</v>
        <stp/>
        <stp>BDH|1459226786740368682</stp>
        <tr r="U13" s="34"/>
      </tp>
      <tp t="e">
        <v>#N/A</v>
        <stp/>
        <stp>BDH|5844891638167766451</stp>
        <tr r="E67" s="17"/>
        <tr r="E18" s="3"/>
      </tp>
      <tp t="e">
        <v>#N/A</v>
        <stp/>
        <stp>BDH|9253337493346029890</stp>
        <tr r="S91" s="24"/>
      </tp>
      <tp t="e">
        <v>#N/A</v>
        <stp/>
        <stp>BDH|9485460268774953288</stp>
        <tr r="U72" s="13"/>
      </tp>
      <tp t="e">
        <v>#N/A</v>
        <stp/>
        <stp>BDH|1668156098352917690</stp>
        <tr r="G38" s="18"/>
      </tp>
      <tp t="e">
        <v>#N/A</v>
        <stp/>
        <stp>BDH|5379984633067058533</stp>
        <tr r="C185" s="18"/>
      </tp>
      <tp t="e">
        <v>#N/A</v>
        <stp/>
        <stp>BDH|2237586103092250805</stp>
        <tr r="S19" s="6"/>
      </tp>
      <tp t="e">
        <v>#N/A</v>
        <stp/>
        <stp>BDH|8567337170323540282</stp>
        <tr r="Y18" s="23"/>
      </tp>
      <tp t="e">
        <v>#N/A</v>
        <stp/>
        <stp>BDH|9868253306642479440</stp>
        <tr r="H44" s="34"/>
      </tp>
      <tp t="e">
        <v>#N/A</v>
        <stp/>
        <stp>BDH|4011373088692664026</stp>
        <tr r="S25" s="12"/>
      </tp>
      <tp t="e">
        <v>#N/A</v>
        <stp/>
        <stp>BDH|4130281897642293079</stp>
        <tr r="U38" s="17"/>
      </tp>
      <tp t="e">
        <v>#N/A</v>
        <stp/>
        <stp>BDH|3486785844365003838</stp>
        <tr r="Q49" s="17"/>
      </tp>
      <tp t="e">
        <v>#N/A</v>
        <stp/>
        <stp>BDH|1512238507507807925</stp>
        <tr r="U50" s="4"/>
      </tp>
      <tp t="e">
        <v>#N/A</v>
        <stp/>
        <stp>BDH|5781745376420610881</stp>
        <tr r="S54" s="18"/>
      </tp>
      <tp t="e">
        <v>#N/A</v>
        <stp/>
        <stp>BDH|8365150663776987471</stp>
        <tr r="I10" s="13"/>
      </tp>
      <tp t="e">
        <v>#N/A</v>
        <stp/>
        <stp>BDH|8638200090987533981</stp>
        <tr r="L71" s="10"/>
        <tr r="L61" s="11"/>
      </tp>
      <tp t="e">
        <v>#N/A</v>
        <stp/>
        <stp>BDH|1518559898153229313</stp>
        <tr r="J11" s="13"/>
      </tp>
      <tp t="e">
        <v>#N/A</v>
        <stp/>
        <stp>BDH|9137664755343059499</stp>
        <tr r="H23" s="5"/>
        <tr r="H23" s="9"/>
      </tp>
      <tp t="e">
        <v>#N/A</v>
        <stp/>
        <stp>BDH|9969374764360615178</stp>
        <tr r="M26" s="29"/>
      </tp>
      <tp t="e">
        <v>#N/A</v>
        <stp/>
        <stp>BDH|8934210050886024431</stp>
        <tr r="Z35" s="34"/>
      </tp>
      <tp t="e">
        <v>#N/A</v>
        <stp/>
        <stp>BDH|8920238516714400236</stp>
        <tr r="D11" s="17"/>
      </tp>
      <tp t="e">
        <v>#N/A</v>
        <stp/>
        <stp>BDH|1471247178308791141</stp>
        <tr r="AA16" s="25"/>
      </tp>
      <tp t="e">
        <v>#N/A</v>
        <stp/>
        <stp>BDH|7880921951325069307</stp>
        <tr r="H98" s="18"/>
      </tp>
      <tp t="e">
        <v>#N/A</v>
        <stp/>
        <stp>BDH|9603559860235124292</stp>
        <tr r="W34" s="29"/>
      </tp>
      <tp t="e">
        <v>#N/A</v>
        <stp/>
        <stp>BDH|1546025298695446008</stp>
        <tr r="P13" s="30"/>
      </tp>
      <tp t="e">
        <v>#N/A</v>
        <stp/>
        <stp>BDH|7952869925856188606</stp>
        <tr r="N93" s="12"/>
      </tp>
      <tp t="e">
        <v>#N/A</v>
        <stp/>
        <stp>BDH|1400907434172394485</stp>
        <tr r="E80" s="18"/>
      </tp>
      <tp t="e">
        <v>#N/A</v>
        <stp/>
        <stp>BDH|2283694886613531233</stp>
        <tr r="G35" s="14"/>
      </tp>
      <tp t="e">
        <v>#N/A</v>
        <stp/>
        <stp>BDH|1961904016116076249</stp>
        <tr r="Z20" s="17"/>
      </tp>
      <tp t="e">
        <v>#N/A</v>
        <stp/>
        <stp>BDH|5657786986935472270</stp>
        <tr r="K15" s="5"/>
      </tp>
      <tp t="e">
        <v>#N/A</v>
        <stp/>
        <stp>BDH|6608510284874961212</stp>
        <tr r="K40" s="22"/>
      </tp>
      <tp t="e">
        <v>#N/A</v>
        <stp/>
        <stp>BDH|5980699010818869733</stp>
        <tr r="N9" s="13"/>
      </tp>
      <tp t="e">
        <v>#N/A</v>
        <stp/>
        <stp>BDH|5596036437333937831</stp>
        <tr r="V155" s="18"/>
      </tp>
      <tp t="e">
        <v>#N/A</v>
        <stp/>
        <stp>BDH|1604485400958652037</stp>
        <tr r="C111" s="18"/>
      </tp>
      <tp t="e">
        <v>#N/A</v>
        <stp/>
        <stp>BDH|2166039939924881880</stp>
        <tr r="J193" s="18"/>
      </tp>
      <tp t="e">
        <v>#N/A</v>
        <stp/>
        <stp>BDH|2451762995947972657</stp>
        <tr r="G16" s="20"/>
      </tp>
      <tp t="e">
        <v>#N/A</v>
        <stp/>
        <stp>BDH|6684802232210759083</stp>
        <tr r="D43" s="24"/>
      </tp>
      <tp t="e">
        <v>#N/A</v>
        <stp/>
        <stp>BDH|2653571063149921536</stp>
        <tr r="L7" s="8"/>
      </tp>
      <tp t="e">
        <v>#N/A</v>
        <stp/>
        <stp>BDH|3699032398683755429</stp>
        <tr r="H46" s="17"/>
      </tp>
      <tp t="e">
        <v>#N/A</v>
        <stp/>
        <stp>BDH|8555106870134457797</stp>
        <tr r="X19" s="22"/>
      </tp>
      <tp t="e">
        <v>#N/A</v>
        <stp/>
        <stp>BDH|9929127902495477054</stp>
        <tr r="J51" s="18"/>
      </tp>
      <tp t="e">
        <v>#N/A</v>
        <stp/>
        <stp>BDH|9402350803947294082</stp>
        <tr r="C32" s="14"/>
      </tp>
      <tp t="e">
        <v>#N/A</v>
        <stp/>
        <stp>BDH|2816097689526519150</stp>
        <tr r="T86" s="24"/>
      </tp>
      <tp t="e">
        <v>#N/A</v>
        <stp/>
        <stp>BDH|9313999373848971282</stp>
        <tr r="K47" s="12"/>
      </tp>
      <tp t="e">
        <v>#N/A</v>
        <stp/>
        <stp>BDH|6924904377881322459</stp>
        <tr r="AA129" s="18"/>
      </tp>
      <tp t="e">
        <v>#N/A</v>
        <stp/>
        <stp>BDH|5860855416353301204</stp>
        <tr r="F84" s="18"/>
      </tp>
      <tp t="e">
        <v>#N/A</v>
        <stp/>
        <stp>BDH|8027381870079779870</stp>
        <tr r="R96" s="12"/>
      </tp>
      <tp t="e">
        <v>#N/A</v>
        <stp/>
        <stp>BDH|8369311107387403190</stp>
        <tr r="F23" s="13"/>
      </tp>
      <tp t="e">
        <v>#N/A</v>
        <stp/>
        <stp>BDH|2675006847269107287</stp>
        <tr r="E22" s="27"/>
      </tp>
      <tp t="e">
        <v>#N/A</v>
        <stp/>
        <stp>BDH|8911721314751059276</stp>
        <tr r="K16" s="26"/>
      </tp>
      <tp t="e">
        <v>#N/A</v>
        <stp/>
        <stp>BDH|8120184915986598312</stp>
        <tr r="O11" s="13"/>
      </tp>
      <tp t="e">
        <v>#N/A</v>
        <stp/>
        <stp>BDH|9839619014991349263</stp>
        <tr r="R15" s="21"/>
      </tp>
      <tp t="e">
        <v>#N/A</v>
        <stp/>
        <stp>BDH|8928054545098377926</stp>
        <tr r="X60" s="12"/>
      </tp>
      <tp t="e">
        <v>#N/A</v>
        <stp/>
        <stp>BDH|6469422469090212953</stp>
        <tr r="E206" s="18"/>
      </tp>
      <tp t="e">
        <v>#N/A</v>
        <stp/>
        <stp>BDH|6964635297070231476</stp>
        <tr r="Y181" s="18"/>
      </tp>
      <tp t="e">
        <v>#N/A</v>
        <stp/>
        <stp>BDH|7173675769402136863</stp>
        <tr r="I48" s="21"/>
      </tp>
      <tp t="e">
        <v>#N/A</v>
        <stp/>
        <stp>BDH|5930255920461742930</stp>
        <tr r="G35" s="21"/>
      </tp>
      <tp t="e">
        <v>#N/A</v>
        <stp/>
        <stp>BDH|3938162285633646445</stp>
        <tr r="U23" s="20"/>
      </tp>
      <tp t="e">
        <v>#N/A</v>
        <stp/>
        <stp>BDH|2066159308926070859</stp>
        <tr r="H13" s="5"/>
      </tp>
      <tp t="e">
        <v>#N/A</v>
        <stp/>
        <stp>BDH|8991460342850088552</stp>
        <tr r="S57" s="13"/>
      </tp>
      <tp t="e">
        <v>#N/A</v>
        <stp/>
        <stp>BDH|7872726197634740029</stp>
        <tr r="R21" s="20"/>
      </tp>
      <tp t="e">
        <v>#N/A</v>
        <stp/>
        <stp>BDH|8261282558637296581</stp>
        <tr r="R8" s="34"/>
      </tp>
      <tp t="e">
        <v>#N/A</v>
        <stp/>
        <stp>BDH|3889695475618507791</stp>
        <tr r="X72" s="12"/>
      </tp>
      <tp t="e">
        <v>#N/A</v>
        <stp/>
        <stp>BDH|9015121215887634396</stp>
        <tr r="Z163" s="18"/>
      </tp>
      <tp t="e">
        <v>#N/A</v>
        <stp/>
        <stp>BDH|8416030048426607719</stp>
        <tr r="V15" s="18"/>
      </tp>
      <tp t="e">
        <v>#N/A</v>
        <stp/>
        <stp>BDH|6819949970402708730</stp>
        <tr r="M48" s="6"/>
        <tr r="O9" s="8"/>
      </tp>
      <tp t="e">
        <v>#N/A</v>
        <stp/>
        <stp>BDH|1334553411830615896</stp>
        <tr r="E17" s="4"/>
        <tr r="G10" s="3"/>
        <tr r="E56" s="10"/>
        <tr r="E46" s="11"/>
        <tr r="E17" s="7"/>
        <tr r="G61" s="13"/>
      </tp>
      <tp t="e">
        <v>#N/A</v>
        <stp/>
        <stp>BDH|9962368624511316405</stp>
        <tr r="G8" s="21"/>
      </tp>
      <tp t="e">
        <v>#N/A</v>
        <stp/>
        <stp>BDH|2951168449263849964</stp>
        <tr r="V25" s="5"/>
      </tp>
      <tp t="e">
        <v>#N/A</v>
        <stp/>
        <stp>BDH|2799130482391915775</stp>
        <tr r="Y42" s="4"/>
      </tp>
      <tp t="e">
        <v>#N/A</v>
        <stp/>
        <stp>BDH|3216684217730530910</stp>
        <tr r="N61" s="17"/>
      </tp>
      <tp t="e">
        <v>#N/A</v>
        <stp/>
        <stp>BDH|6700053688306425573</stp>
        <tr r="X76" s="12"/>
      </tp>
      <tp t="e">
        <v>#N/A</v>
        <stp/>
        <stp>BDH|7999262336618087305</stp>
        <tr r="R21" s="30"/>
      </tp>
      <tp t="e">
        <v>#N/A</v>
        <stp/>
        <stp>BDH|9612563006547848673</stp>
        <tr r="E179" s="18"/>
      </tp>
      <tp t="e">
        <v>#N/A</v>
        <stp/>
        <stp>BDH|3734302021096852977</stp>
        <tr r="L9" s="34"/>
      </tp>
      <tp t="e">
        <v>#N/A</v>
        <stp/>
        <stp>BDH|7526012377399203480</stp>
        <tr r="I12" s="12"/>
      </tp>
      <tp t="e">
        <v>#N/A</v>
        <stp/>
        <stp>BDH|5007255054438156796</stp>
        <tr r="C101" s="18"/>
      </tp>
      <tp t="e">
        <v>#N/A</v>
        <stp/>
        <stp>BDH|2884633742695918898</stp>
        <tr r="O14" s="21"/>
      </tp>
      <tp t="e">
        <v>#N/A</v>
        <stp/>
        <stp>BDH|5600960474587512180</stp>
        <tr r="Z31" s="18"/>
      </tp>
      <tp t="e">
        <v>#N/A</v>
        <stp/>
        <stp>BDH|9710333095309843702</stp>
        <tr r="K49" s="18"/>
      </tp>
      <tp t="e">
        <v>#N/A</v>
        <stp/>
        <stp>BDH|9408732548683067464</stp>
        <tr r="J9" s="17"/>
      </tp>
      <tp t="e">
        <v>#N/A</v>
        <stp/>
        <stp>BDH|5634800309310748012</stp>
        <tr r="L88" s="18"/>
      </tp>
      <tp t="e">
        <v>#N/A</v>
        <stp/>
        <stp>BDH|8004454349070555508</stp>
        <tr r="K76" s="17"/>
        <tr r="H9" s="5"/>
        <tr r="H9" s="9"/>
      </tp>
      <tp t="e">
        <v>#N/A</v>
        <stp/>
        <stp>BDH|8964036367895777637</stp>
        <tr r="E27" s="17"/>
      </tp>
      <tp t="e">
        <v>#N/A</v>
        <stp/>
        <stp>BDH|2999872987448774773</stp>
        <tr r="I29" s="17"/>
      </tp>
      <tp t="e">
        <v>#N/A</v>
        <stp/>
        <stp>BDH|9242151785645807839</stp>
        <tr r="Y78" s="12"/>
      </tp>
      <tp t="e">
        <v>#N/A</v>
        <stp/>
        <stp>BDH|4492085687475524477</stp>
        <tr r="U41" s="21"/>
      </tp>
      <tp t="e">
        <v>#N/A</v>
        <stp/>
        <stp>BDH|6162908578360163517</stp>
        <tr r="X10" s="12"/>
      </tp>
      <tp t="e">
        <v>#N/A</v>
        <stp/>
        <stp>BDH|1830996018017627368</stp>
        <tr r="AA45" s="24"/>
      </tp>
      <tp t="e">
        <v>#N/A</v>
        <stp/>
        <stp>BDH|9465640248165605379</stp>
        <tr r="H19" s="12"/>
      </tp>
      <tp t="e">
        <v>#N/A</v>
        <stp/>
        <stp>BDH|8981474363200085748</stp>
        <tr r="S137" s="18"/>
      </tp>
      <tp t="e">
        <v>#N/A</v>
        <stp/>
        <stp>BDH|3702747496005485581</stp>
        <tr r="N22" s="21"/>
      </tp>
      <tp t="e">
        <v>#N/A</v>
        <stp/>
        <stp>BDH|4136491746031548828</stp>
        <tr r="O63" s="21"/>
      </tp>
      <tp t="e">
        <v>#N/A</v>
        <stp/>
        <stp>BDH|3279702093469874908</stp>
        <tr r="D205" s="18"/>
      </tp>
      <tp t="e">
        <v>#N/A</v>
        <stp/>
        <stp>BDH|3805243466258700230</stp>
        <tr r="AA18" s="22"/>
      </tp>
      <tp t="e">
        <v>#N/A</v>
        <stp/>
        <stp>BDH|4933829334916614473</stp>
        <tr r="U30" s="18"/>
      </tp>
      <tp t="e">
        <v>#N/A</v>
        <stp/>
        <stp>BDH|2575781409351343990</stp>
        <tr r="X60" s="34"/>
      </tp>
      <tp t="e">
        <v>#N/A</v>
        <stp/>
        <stp>BDH|1136194445540476974</stp>
        <tr r="D14" s="4"/>
      </tp>
      <tp t="e">
        <v>#N/A</v>
        <stp/>
        <stp>BDH|8112222829242603720</stp>
        <tr r="H35" s="14"/>
      </tp>
      <tp t="e">
        <v>#N/A</v>
        <stp/>
        <stp>BDH|1319447139739207221</stp>
        <tr r="S130" s="18"/>
      </tp>
      <tp t="e">
        <v>#N/A</v>
        <stp/>
        <stp>BDH|9517435898368355131</stp>
        <tr r="J85" s="17"/>
      </tp>
      <tp t="e">
        <v>#N/A</v>
        <stp/>
        <stp>BDH|6631850051393905553</stp>
        <tr r="Z18" s="26"/>
      </tp>
      <tp t="e">
        <v>#N/A</v>
        <stp/>
        <stp>BDH|7605806808013264123</stp>
        <tr r="J8" s="13"/>
      </tp>
      <tp t="e">
        <v>#N/A</v>
        <stp/>
        <stp>BDH|4355958269796898096</stp>
        <tr r="K43" s="10"/>
        <tr r="K33" s="11"/>
      </tp>
      <tp t="e">
        <v>#N/A</v>
        <stp/>
        <stp>BDH|9193390236826233227</stp>
        <tr r="C92" s="24"/>
      </tp>
      <tp t="e">
        <v>#N/A</v>
        <stp/>
        <stp>BDH|6832389112938828144</stp>
        <tr r="S9" s="6"/>
      </tp>
      <tp t="e">
        <v>#N/A</v>
        <stp/>
        <stp>BDH|9972472071822508548</stp>
        <tr r="F84" s="24"/>
      </tp>
      <tp t="e">
        <v>#N/A</v>
        <stp/>
        <stp>BDH|7187783692410499413</stp>
        <tr r="U21" s="34"/>
      </tp>
      <tp t="e">
        <v>#N/A</v>
        <stp/>
        <stp>BDH|1600466610270972977</stp>
        <tr r="M26" s="34"/>
      </tp>
      <tp t="e">
        <v>#N/A</v>
        <stp/>
        <stp>BDH|1934341025009552430</stp>
        <tr r="H18" s="10"/>
      </tp>
      <tp t="e">
        <v>#N/A</v>
        <stp/>
        <stp>BDH|9073498866747598147</stp>
        <tr r="L11" s="7"/>
      </tp>
      <tp t="e">
        <v>#N/A</v>
        <stp/>
        <stp>BDH|8931381111970686785</stp>
        <tr r="L10" s="26"/>
      </tp>
      <tp t="e">
        <v>#N/A</v>
        <stp/>
        <stp>BDH|9036837973472679981</stp>
        <tr r="O33" s="21"/>
      </tp>
      <tp t="e">
        <v>#N/A</v>
        <stp/>
        <stp>BDH|1872058591155680040</stp>
        <tr r="Q32" s="24"/>
      </tp>
      <tp t="e">
        <v>#N/A</v>
        <stp/>
        <stp>BDH|8866609580789074269</stp>
        <tr r="J40" s="18"/>
      </tp>
      <tp t="e">
        <v>#N/A</v>
        <stp/>
        <stp>BDH|5292622151039633291</stp>
        <tr r="T8" s="34"/>
      </tp>
      <tp t="e">
        <v>#N/A</v>
        <stp/>
        <stp>BDH|8038055020124260398</stp>
        <tr r="Z50" s="21"/>
      </tp>
      <tp t="e">
        <v>#N/A</v>
        <stp/>
        <stp>BDH|4317871405136694790</stp>
        <tr r="L166" s="18"/>
      </tp>
      <tp t="e">
        <v>#N/A</v>
        <stp/>
        <stp>BDH|1332701067045986832</stp>
        <tr r="S184" s="18"/>
      </tp>
      <tp t="e">
        <v>#N/A</v>
        <stp/>
        <stp>BDH|5487989361811424670</stp>
        <tr r="W10" s="10"/>
      </tp>
      <tp t="e">
        <v>#N/A</v>
        <stp/>
        <stp>BDH|3058297286551140509</stp>
        <tr r="D45" s="17"/>
      </tp>
      <tp t="e">
        <v>#N/A</v>
        <stp/>
        <stp>BDH|3491986128886250388</stp>
        <tr r="F31" s="10"/>
        <tr r="H40" s="13"/>
      </tp>
      <tp t="e">
        <v>#N/A</v>
        <stp/>
        <stp>BDH|4360578744331847964</stp>
        <tr r="W191" s="18"/>
      </tp>
      <tp t="e">
        <v>#N/A</v>
        <stp/>
        <stp>BDH|2250017880211490694</stp>
        <tr r="U13" s="26"/>
      </tp>
      <tp t="e">
        <v>#N/A</v>
        <stp/>
        <stp>BDH|9253302313963804572</stp>
        <tr r="W183" s="18"/>
      </tp>
      <tp t="e">
        <v>#N/A</v>
        <stp/>
        <stp>BDH|3061055072669122088</stp>
        <tr r="E17" s="18"/>
      </tp>
      <tp t="e">
        <v>#N/A</v>
        <stp/>
        <stp>BDH|2895583787545054795</stp>
        <tr r="H56" s="18"/>
      </tp>
      <tp t="e">
        <v>#N/A</v>
        <stp/>
        <stp>BDH|3838516292775041758</stp>
        <tr r="C44" s="24"/>
      </tp>
      <tp t="e">
        <v>#N/A</v>
        <stp/>
        <stp>BDH|2606336568213739949</stp>
        <tr r="F76" s="17"/>
        <tr r="C9" s="5"/>
        <tr r="C9" s="9"/>
      </tp>
      <tp t="e">
        <v>#N/A</v>
        <stp/>
        <stp>BDH|5230345684280408395</stp>
        <tr r="Y55" s="21"/>
      </tp>
      <tp t="e">
        <v>#N/A</v>
        <stp/>
        <stp>BDH|2318911006510226696</stp>
        <tr r="M48" s="24"/>
      </tp>
      <tp t="e">
        <v>#N/A</v>
        <stp/>
        <stp>BDH|6993591987922907410</stp>
        <tr r="M31" s="24"/>
      </tp>
      <tp t="e">
        <v>#N/A</v>
        <stp/>
        <stp>BDH|1101192615064309812</stp>
        <tr r="M53" s="17"/>
      </tp>
      <tp t="e">
        <v>#N/A</v>
        <stp/>
        <stp>BDH|9713499307601646109</stp>
        <tr r="T134" s="18"/>
      </tp>
      <tp t="e">
        <v>#N/A</v>
        <stp/>
        <stp>BDH|4392195051114662928</stp>
        <tr r="T38" s="34"/>
      </tp>
      <tp t="e">
        <v>#N/A</v>
        <stp/>
        <stp>BDH|5123693954783701845</stp>
        <tr r="T36" s="18"/>
      </tp>
      <tp t="e">
        <v>#N/A</v>
        <stp/>
        <stp>BDH|5669111699182523240</stp>
        <tr r="F30" s="26"/>
      </tp>
      <tp t="e">
        <v>#N/A</v>
        <stp/>
        <stp>BDH|7207956041254176387</stp>
        <tr r="O69" s="10"/>
      </tp>
      <tp t="e">
        <v>#N/A</v>
        <stp/>
        <stp>BDH|5083158026478532393</stp>
        <tr r="D71" s="34"/>
      </tp>
      <tp t="e">
        <v>#N/A</v>
        <stp/>
        <stp>BDH|1240185373479777316</stp>
        <tr r="AA195" s="18"/>
      </tp>
      <tp t="e">
        <v>#N/A</v>
        <stp/>
        <stp>BDH|1397284196421147639</stp>
        <tr r="K38" s="10"/>
        <tr r="K28" s="11"/>
        <tr r="M47" s="13"/>
      </tp>
      <tp t="e">
        <v>#N/A</v>
        <stp/>
        <stp>BDH|8672488916779654919</stp>
        <tr r="S41" s="12"/>
      </tp>
      <tp t="e">
        <v>#N/A</v>
        <stp/>
        <stp>BDH|1827843430840062738</stp>
        <tr r="AA100" s="12"/>
      </tp>
      <tp t="e">
        <v>#N/A</v>
        <stp/>
        <stp>BDH|6939742817039454413</stp>
        <tr r="K110" s="18"/>
      </tp>
      <tp t="e">
        <v>#N/A</v>
        <stp/>
        <stp>BDH|5490280014068694317</stp>
        <tr r="Y79" s="18"/>
      </tp>
      <tp t="e">
        <v>#N/A</v>
        <stp/>
        <stp>BDH|6952624308139900457</stp>
        <tr r="N72" s="13"/>
      </tp>
      <tp t="e">
        <v>#N/A</v>
        <stp/>
        <stp>BDH|7865435431949547409</stp>
        <tr r="Q8" s="11"/>
      </tp>
      <tp t="e">
        <v>#N/A</v>
        <stp/>
        <stp>BDH|4095802665723891423</stp>
        <tr r="X102" s="12"/>
      </tp>
      <tp t="e">
        <v>#N/A</v>
        <stp/>
        <stp>BDH|4418844418663754300</stp>
        <tr r="M124" s="18"/>
        <tr r="M13" s="20"/>
      </tp>
      <tp t="e">
        <v>#N/A</v>
        <stp/>
        <stp>BDH|3438500599462151034</stp>
        <tr r="W44" s="34"/>
      </tp>
      <tp t="e">
        <v>#N/A</v>
        <stp/>
        <stp>BDH|6901916426555225538</stp>
        <tr r="D67" s="12"/>
      </tp>
      <tp t="e">
        <v>#N/A</v>
        <stp/>
        <stp>BDH|7329850776192822778</stp>
        <tr r="J69" s="10"/>
      </tp>
      <tp t="e">
        <v>#N/A</v>
        <stp/>
        <stp>BDH|2148961447997945561</stp>
        <tr r="T17" s="10"/>
        <tr r="V16" s="13"/>
        <tr r="V30" s="13"/>
      </tp>
      <tp t="e">
        <v>#N/A</v>
        <stp/>
        <stp>BDH|7534844746967139194</stp>
        <tr r="Z134" s="18"/>
      </tp>
      <tp t="e">
        <v>#N/A</v>
        <stp/>
        <stp>BDH|7908278489950105098</stp>
        <tr r="H34" s="10"/>
        <tr r="H24" s="11"/>
      </tp>
      <tp t="e">
        <v>#N/A</v>
        <stp/>
        <stp>BDH|7825159366425063842</stp>
        <tr r="V23" s="21"/>
      </tp>
      <tp t="e">
        <v>#N/A</v>
        <stp/>
        <stp>BDH|9692735772052960611</stp>
        <tr r="X17" s="34"/>
      </tp>
      <tp t="e">
        <v>#N/A</v>
        <stp/>
        <stp>BDH|2910472300559257238</stp>
        <tr r="S15" s="9"/>
      </tp>
      <tp t="e">
        <v>#N/A</v>
        <stp/>
        <stp>BDH|7781311149548800586</stp>
        <tr r="Q23" s="14"/>
      </tp>
      <tp t="e">
        <v>#N/A</v>
        <stp/>
        <stp>BDH|3415434186007871568</stp>
        <tr r="L33" s="22"/>
      </tp>
      <tp t="e">
        <v>#N/A</v>
        <stp/>
        <stp>BDH|5554263648979023747</stp>
        <tr r="S38" s="21"/>
        <tr r="S24" s="3"/>
      </tp>
      <tp t="e">
        <v>#N/A</v>
        <stp/>
        <stp>BDH|9050445748246015239</stp>
        <tr r="D60" s="12"/>
      </tp>
      <tp t="e">
        <v>#N/A</v>
        <stp/>
        <stp>BDH|7797922216736431485</stp>
        <tr r="M11" s="6"/>
      </tp>
      <tp t="e">
        <v>#N/A</v>
        <stp/>
        <stp>BDH|9111886639877910864</stp>
        <tr r="J25" s="10"/>
        <tr r="L34" s="13"/>
      </tp>
      <tp t="e">
        <v>#N/A</v>
        <stp/>
        <stp>BDH|2800154583896852094</stp>
        <tr r="D99" s="18"/>
      </tp>
      <tp t="e">
        <v>#N/A</v>
        <stp/>
        <stp>BDH|9715106554810477084</stp>
        <tr r="S95" s="17"/>
      </tp>
      <tp t="e">
        <v>#N/A</v>
        <stp/>
        <stp>BDH|8783589656803354650</stp>
        <tr r="R9" s="11"/>
      </tp>
      <tp t="e">
        <v>#N/A</v>
        <stp/>
        <stp>BDH|6099807744282275597</stp>
        <tr r="O136" s="18"/>
      </tp>
      <tp t="e">
        <v>#N/A</v>
        <stp/>
        <stp>BDH|8601598254940788535</stp>
        <tr r="C54" s="12"/>
      </tp>
      <tp t="e">
        <v>#N/A</v>
        <stp/>
        <stp>BDH|8011219070416849664</stp>
        <tr r="V202" s="18"/>
      </tp>
      <tp t="e">
        <v>#N/A</v>
        <stp/>
        <stp>BDH|1073161042681941828</stp>
        <tr r="C10" s="22"/>
      </tp>
      <tp t="e">
        <v>#N/A</v>
        <stp/>
        <stp>BDH|8149110378161097270</stp>
        <tr r="F29" s="34"/>
      </tp>
      <tp t="e">
        <v>#N/A</v>
        <stp/>
        <stp>BDH|4163132318018520108</stp>
        <tr r="Y176" s="18"/>
      </tp>
      <tp t="e">
        <v>#N/A</v>
        <stp/>
        <stp>BDH|5865429273659500237</stp>
        <tr r="G193" s="18"/>
      </tp>
      <tp t="e">
        <v>#N/A</v>
        <stp/>
        <stp>BDH|4672042884082274383</stp>
        <tr r="H85" s="12"/>
      </tp>
      <tp t="e">
        <v>#N/A</v>
        <stp/>
        <stp>BDH|5323870673544251393</stp>
        <tr r="S12" s="25"/>
      </tp>
      <tp t="e">
        <v>#N/A</v>
        <stp/>
        <stp>BDH|6411285093835440579</stp>
        <tr r="L83" s="24"/>
      </tp>
      <tp t="e">
        <v>#N/A</v>
        <stp/>
        <stp>BDH|3532973008220747716</stp>
        <tr r="K43" s="24"/>
      </tp>
      <tp t="e">
        <v>#N/A</v>
        <stp/>
        <stp>BDH|5742214624750636884</stp>
        <tr r="J18" s="20"/>
      </tp>
      <tp t="e">
        <v>#N/A</v>
        <stp/>
        <stp>BDH|4676195047028456407</stp>
        <tr r="W53" s="10"/>
        <tr r="W43" s="11"/>
        <tr r="W16" s="7"/>
      </tp>
      <tp t="e">
        <v>#N/A</v>
        <stp/>
        <stp>BDH|6810914234577447654</stp>
        <tr r="Y18" s="17"/>
      </tp>
      <tp t="e">
        <v>#N/A</v>
        <stp/>
        <stp>BDH|8804570820140736242</stp>
        <tr r="D77" s="17"/>
        <tr r="D19" s="3"/>
      </tp>
      <tp t="e">
        <v>#N/A</v>
        <stp/>
        <stp>BDH|5250787005718036734</stp>
        <tr r="W72" s="12"/>
      </tp>
      <tp t="e">
        <v>#N/A</v>
        <stp/>
        <stp>BDH|1194043773859306290</stp>
        <tr r="C59" s="11"/>
      </tp>
      <tp t="e">
        <v>#N/A</v>
        <stp/>
        <stp>BDH|5302442092275855017</stp>
        <tr r="G40" s="24"/>
      </tp>
      <tp t="e">
        <v>#N/A</v>
        <stp/>
        <stp>BDH|5050646089172474457</stp>
        <tr r="M32" s="34"/>
      </tp>
      <tp t="e">
        <v>#N/A</v>
        <stp/>
        <stp>BDH|8922026804314543161</stp>
        <tr r="T33" s="17"/>
      </tp>
      <tp t="e">
        <v>#N/A</v>
        <stp/>
        <stp>BDH|6245951469502306615</stp>
        <tr r="G75" s="24"/>
      </tp>
      <tp t="e">
        <v>#N/A</v>
        <stp/>
        <stp>BDH|6799720902908350480</stp>
        <tr r="U19" s="18"/>
      </tp>
      <tp t="e">
        <v>#N/A</v>
        <stp/>
        <stp>BDH|1653934508290165500</stp>
        <tr r="W34" s="6"/>
      </tp>
      <tp t="e">
        <v>#N/A</v>
        <stp/>
        <stp>BDH|5528917249486807395</stp>
        <tr r="I17" s="22"/>
      </tp>
      <tp t="e">
        <v>#N/A</v>
        <stp/>
        <stp>BDH|3951215345440481858</stp>
        <tr r="I30" s="5"/>
        <tr r="I30" s="9"/>
      </tp>
      <tp t="e">
        <v>#N/A</v>
        <stp/>
        <stp>BDH|1095750954568924649</stp>
        <tr r="C21" s="20"/>
      </tp>
      <tp t="e">
        <v>#N/A</v>
        <stp/>
        <stp>BDH|2242556855387807867</stp>
        <tr r="L93" s="24"/>
      </tp>
      <tp t="e">
        <v>#N/A</v>
        <stp/>
        <stp>BDH|8343594082621044944</stp>
        <tr r="D11" s="29"/>
      </tp>
      <tp t="e">
        <v>#N/A</v>
        <stp/>
        <stp>BDH|8126981731356409906</stp>
        <tr r="C29" s="34"/>
      </tp>
      <tp t="e">
        <v>#N/A</v>
        <stp/>
        <stp>BDH|8270298038373863773</stp>
        <tr r="P47" s="34"/>
      </tp>
      <tp t="e">
        <v>#N/A</v>
        <stp/>
        <stp>BDH|6173472897694998243</stp>
        <tr r="I17" s="20"/>
      </tp>
      <tp t="e">
        <v>#N/A</v>
        <stp/>
        <stp>BDH|5191959469211904688</stp>
        <tr r="T52" s="24"/>
      </tp>
      <tp t="e">
        <v>#N/A</v>
        <stp/>
        <stp>BDH|8576274175819396988</stp>
        <tr r="Y74" s="12"/>
      </tp>
      <tp t="e">
        <v>#N/A</v>
        <stp/>
        <stp>BDH|2374104547953869906</stp>
        <tr r="AA44" s="24"/>
      </tp>
      <tp t="e">
        <v>#N/A</v>
        <stp/>
        <stp>BDH|3095179308996032930</stp>
        <tr r="R73" s="12"/>
      </tp>
      <tp t="e">
        <v>#N/A</v>
        <stp/>
        <stp>BDH|5469628060271926934</stp>
        <tr r="L74" s="12"/>
      </tp>
      <tp t="e">
        <v>#N/A</v>
        <stp/>
        <stp>BDH|3071817815243094481</stp>
        <tr r="Z110" s="18"/>
      </tp>
      <tp t="e">
        <v>#N/A</v>
        <stp/>
        <stp>BDH|6088059788846501543</stp>
        <tr r="F24" s="20"/>
      </tp>
      <tp t="e">
        <v>#N/A</v>
        <stp/>
        <stp>BDH|7503876000201988376</stp>
        <tr r="P36" s="10"/>
        <tr r="P48" s="10"/>
        <tr r="P26" s="11"/>
        <tr r="P38" s="11"/>
      </tp>
      <tp t="e">
        <v>#N/A</v>
        <stp/>
        <stp>BDH|3986541924190331964</stp>
        <tr r="C9" s="22"/>
      </tp>
      <tp t="e">
        <v>#N/A</v>
        <stp/>
        <stp>BDH|5286359675168991476</stp>
        <tr r="E30" s="22"/>
      </tp>
      <tp t="e">
        <v>#N/A</v>
        <stp/>
        <stp>BDH|1484183237368156663</stp>
        <tr r="P52" s="17"/>
        <tr r="P10" s="25"/>
      </tp>
      <tp t="e">
        <v>#N/A</v>
        <stp/>
        <stp>BDH|4411798800587229930</stp>
        <tr r="Q40" s="18"/>
      </tp>
      <tp t="e">
        <v>#N/A</v>
        <stp/>
        <stp>BDH|7749815277130405581</stp>
        <tr r="D15" s="5"/>
      </tp>
      <tp t="e">
        <v>#N/A</v>
        <stp/>
        <stp>BDH|3638863885659112797</stp>
        <tr r="V24" s="20"/>
      </tp>
      <tp t="e">
        <v>#N/A</v>
        <stp/>
        <stp>BDH|8620126212425839033</stp>
        <tr r="V44" s="21"/>
      </tp>
      <tp t="e">
        <v>#N/A</v>
        <stp/>
        <stp>BDH|1899788991811524398</stp>
        <tr r="Y28" s="24"/>
      </tp>
      <tp t="e">
        <v>#N/A</v>
        <stp/>
        <stp>BDH|2215037059308140242</stp>
        <tr r="D20" s="17"/>
      </tp>
      <tp t="e">
        <v>#N/A</v>
        <stp/>
        <stp>BDH|6527844473364757083</stp>
        <tr r="F35" s="22"/>
      </tp>
      <tp t="e">
        <v>#N/A</v>
        <stp/>
        <stp>BDH|4399980634893265004</stp>
        <tr r="Q39" s="26"/>
      </tp>
      <tp t="e">
        <v>#N/A</v>
        <stp/>
        <stp>BDH|9720690835551055061</stp>
        <tr r="O62" s="17"/>
      </tp>
      <tp t="e">
        <v>#N/A</v>
        <stp/>
        <stp>BDH|6330090295102409061</stp>
        <tr r="D71" s="12"/>
      </tp>
      <tp t="e">
        <v>#N/A</v>
        <stp/>
        <stp>BDH|6906684003465730881</stp>
        <tr r="V51" s="24"/>
      </tp>
      <tp t="e">
        <v>#N/A</v>
        <stp/>
        <stp>BDH|9091416408890431006</stp>
        <tr r="Z81" s="12"/>
      </tp>
      <tp t="e">
        <v>#N/A</v>
        <stp/>
        <stp>BDH|9464431430383255083</stp>
        <tr r="S191" s="18"/>
      </tp>
      <tp t="e">
        <v>#N/A</v>
        <stp/>
        <stp>BDH|7902101657396055835</stp>
        <tr r="V103" s="18"/>
      </tp>
      <tp t="e">
        <v>#N/A</v>
        <stp/>
        <stp>BDH|7552893126859633918</stp>
        <tr r="U91" s="17"/>
      </tp>
      <tp t="e">
        <v>#N/A</v>
        <stp/>
        <stp>BDH|9665288174236514728</stp>
        <tr r="C34" s="14"/>
      </tp>
      <tp t="e">
        <v>#N/A</v>
        <stp/>
        <stp>BDH|2993801117891476772</stp>
        <tr r="I8" s="23"/>
      </tp>
      <tp t="e">
        <v>#N/A</v>
        <stp/>
        <stp>BDH|4838833173962791425</stp>
        <tr r="L52" s="18"/>
      </tp>
      <tp t="e">
        <v>#N/A</v>
        <stp/>
        <stp>BDH|2504866755475860730</stp>
        <tr r="Y49" s="4"/>
      </tp>
      <tp t="e">
        <v>#N/A</v>
        <stp/>
        <stp>BDH|6278866818705711763</stp>
        <tr r="F47" s="21"/>
      </tp>
      <tp t="e">
        <v>#N/A</v>
        <stp/>
        <stp>BDH|4910756136145617813</stp>
        <tr r="D186" s="18"/>
      </tp>
      <tp t="e">
        <v>#N/A</v>
        <stp/>
        <stp>BDH|6929430505767510870</stp>
        <tr r="T68" s="34"/>
      </tp>
      <tp t="e">
        <v>#N/A</v>
        <stp/>
        <stp>BDH|1271181693015602121</stp>
        <tr r="H17" s="20"/>
      </tp>
      <tp t="e">
        <v>#N/A</v>
        <stp/>
        <stp>BDH|3247562189046824583</stp>
        <tr r="I34" s="24"/>
      </tp>
      <tp t="e">
        <v>#N/A</v>
        <stp/>
        <stp>BDH|9683569306539805833</stp>
        <tr r="T36" s="4"/>
      </tp>
      <tp t="e">
        <v>#N/A</v>
        <stp/>
        <stp>BDH|5571381706782616907</stp>
        <tr r="N32" s="24"/>
      </tp>
      <tp t="e">
        <v>#N/A</v>
        <stp/>
        <stp>BDH|8190809141121878850</stp>
        <tr r="M14" s="2"/>
        <tr r="M11" s="10"/>
      </tp>
      <tp t="e">
        <v>#N/A</v>
        <stp/>
        <stp>BDH|2427813106981742695</stp>
        <tr r="C12" s="24"/>
      </tp>
      <tp t="e">
        <v>#N/A</v>
        <stp/>
        <stp>BDH|3768736098856414650</stp>
        <tr r="M54" s="6"/>
      </tp>
      <tp t="e">
        <v>#N/A</v>
        <stp/>
        <stp>BDH|2486910926623655780</stp>
        <tr r="V9" s="14"/>
      </tp>
      <tp t="e">
        <v>#N/A</v>
        <stp/>
        <stp>BDH|9342384364375611448</stp>
        <tr r="O70" s="17"/>
      </tp>
      <tp t="e">
        <v>#N/A</v>
        <stp/>
        <stp>BDH|3525599682717371401</stp>
        <tr r="S9" s="27"/>
      </tp>
      <tp t="e">
        <v>#N/A</v>
        <stp/>
        <stp>BDH|9301388923434368160</stp>
        <tr r="AA35" s="18"/>
      </tp>
      <tp t="e">
        <v>#N/A</v>
        <stp/>
        <stp>BDH|4715831985740893944</stp>
        <tr r="V23" s="5"/>
        <tr r="V23" s="9"/>
      </tp>
      <tp t="e">
        <v>#N/A</v>
        <stp/>
        <stp>BDH|9958207112394542338</stp>
        <tr r="K40" s="18"/>
      </tp>
      <tp t="e">
        <v>#N/A</v>
        <stp/>
        <stp>BDH|4092713625999093597</stp>
        <tr r="V79" s="24"/>
      </tp>
      <tp t="e">
        <v>#N/A</v>
        <stp/>
        <stp>BDH|7793174123858908178</stp>
        <tr r="K11" s="24"/>
      </tp>
      <tp t="e">
        <v>#N/A</v>
        <stp/>
        <stp>BDH|6949084669555112849</stp>
        <tr r="AA63" s="17"/>
      </tp>
      <tp t="e">
        <v>#N/A</v>
        <stp/>
        <stp>BDH|2447288008354065995</stp>
        <tr r="G25" s="13"/>
      </tp>
      <tp t="e">
        <v>#N/A</v>
        <stp/>
        <stp>BDH|5756268201668402297</stp>
        <tr r="K72" s="24"/>
      </tp>
      <tp t="e">
        <v>#N/A</v>
        <stp/>
        <stp>BDH|9750193970611384304</stp>
        <tr r="D48" s="13"/>
      </tp>
      <tp t="e">
        <v>#N/A</v>
        <stp/>
        <stp>BDH|4384919975604280380</stp>
        <tr r="C29" s="10"/>
        <tr r="E38" s="13"/>
      </tp>
      <tp t="e">
        <v>#N/A</v>
        <stp/>
        <stp>BDH|2629838939944250038</stp>
        <tr r="M18" s="34"/>
      </tp>
      <tp t="e">
        <v>#N/A</v>
        <stp/>
        <stp>BDH|8697492707788553907</stp>
        <tr r="X13" s="17"/>
        <tr r="X16" s="28"/>
      </tp>
      <tp t="e">
        <v>#N/A</v>
        <stp/>
        <stp>BDH|3232763080101771017</stp>
        <tr r="W95" s="12"/>
      </tp>
      <tp t="e">
        <v>#N/A</v>
        <stp/>
        <stp>BDH|6527818196679892384</stp>
        <tr r="R75" s="34"/>
      </tp>
      <tp t="e">
        <v>#N/A</v>
        <stp/>
        <stp>BDH|2709061623559427447</stp>
        <tr r="E38" s="17"/>
      </tp>
      <tp t="e">
        <v>#N/A</v>
        <stp/>
        <stp>BDH|1603856057780601100</stp>
        <tr r="M31" s="12"/>
      </tp>
      <tp t="e">
        <v>#N/A</v>
        <stp/>
        <stp>BDH|5965877215392019393</stp>
        <tr r="T9" s="23"/>
      </tp>
      <tp t="e">
        <v>#N/A</v>
        <stp/>
        <stp>BDH|9311370121353402632</stp>
        <tr r="O20" s="29"/>
      </tp>
      <tp t="e">
        <v>#N/A</v>
        <stp/>
        <stp>BDH|5799252704399484300</stp>
        <tr r="O45" s="34"/>
      </tp>
      <tp t="e">
        <v>#N/A</v>
        <stp/>
        <stp>BDH|2494038387890414768</stp>
        <tr r="Z35" s="24"/>
      </tp>
      <tp t="e">
        <v>#N/A</v>
        <stp/>
        <stp>BDH|7389335898270853029</stp>
        <tr r="Q19" s="30"/>
      </tp>
      <tp t="e">
        <v>#N/A</v>
        <stp/>
        <stp>BDH|6709809861367705239</stp>
        <tr r="L27" s="34"/>
      </tp>
      <tp t="e">
        <v>#N/A</v>
        <stp/>
        <stp>BDH|6928151374774822925</stp>
        <tr r="D145" s="18"/>
      </tp>
      <tp t="e">
        <v>#N/A</v>
        <stp/>
        <stp>BDH|5938586305424303952</stp>
        <tr r="T16" s="22"/>
      </tp>
      <tp t="e">
        <v>#N/A</v>
        <stp/>
        <stp>BDH|2734544877998256549</stp>
        <tr r="W54" s="12"/>
      </tp>
      <tp t="e">
        <v>#N/A</v>
        <stp/>
        <stp>BDH|9457019013294293165</stp>
        <tr r="V26" s="34"/>
      </tp>
      <tp t="e">
        <v>#N/A</v>
        <stp/>
        <stp>BDH|3742894958305149652</stp>
        <tr r="M18" s="2"/>
        <tr r="M53" s="4"/>
        <tr r="M46" s="10"/>
        <tr r="M36" s="11"/>
        <tr r="O58" s="13"/>
      </tp>
      <tp t="e">
        <v>#N/A</v>
        <stp/>
        <stp>BDH|5424446793380859597</stp>
        <tr r="V87" s="17"/>
      </tp>
      <tp t="e">
        <v>#N/A</v>
        <stp/>
        <stp>BDH|5869626491275974200</stp>
        <tr r="L13" s="29"/>
        <tr r="L22" s="29"/>
        <tr r="L36" s="29"/>
      </tp>
      <tp t="e">
        <v>#N/A</v>
        <stp/>
        <stp>BDH|3607785708770368971</stp>
        <tr r="E64" s="10"/>
      </tp>
      <tp t="e">
        <v>#N/A</v>
        <stp/>
        <stp>BDH|3040764676366456862</stp>
        <tr r="R12" s="25"/>
      </tp>
      <tp t="e">
        <v>#N/A</v>
        <stp/>
        <stp>BDH|2628171826584345866</stp>
        <tr r="AA8" s="22"/>
      </tp>
      <tp t="e">
        <v>#N/A</v>
        <stp/>
        <stp>BDH|4995039388195241421</stp>
        <tr r="Y21" s="22"/>
      </tp>
      <tp t="e">
        <v>#N/A</v>
        <stp/>
        <stp>BDH|1761626743679736732</stp>
        <tr r="S14" s="8"/>
      </tp>
      <tp t="e">
        <v>#N/A</v>
        <stp/>
        <stp>BDH|3329016886793754511</stp>
        <tr r="L10" s="22"/>
      </tp>
      <tp t="e">
        <v>#N/A</v>
        <stp/>
        <stp>BDH|1084974118046899252</stp>
        <tr r="Y92" s="12"/>
      </tp>
      <tp t="e">
        <v>#N/A</v>
        <stp/>
        <stp>BDH|7362243576698267712</stp>
        <tr r="O72" s="10"/>
        <tr r="O62" s="11"/>
      </tp>
      <tp t="e">
        <v>#N/A</v>
        <stp/>
        <stp>BDH|6304441491567576115</stp>
        <tr r="C9" s="13"/>
      </tp>
      <tp t="e">
        <v>#N/A</v>
        <stp/>
        <stp>BDH|9788058212263233607</stp>
        <tr r="K50" s="21"/>
      </tp>
      <tp t="e">
        <v>#N/A</v>
        <stp/>
        <stp>BDH|2501301866632780869</stp>
        <tr r="AA25" s="17"/>
      </tp>
      <tp t="e">
        <v>#N/A</v>
        <stp/>
        <stp>BDH|2587228343270339957</stp>
        <tr r="U46" s="34"/>
      </tp>
      <tp t="e">
        <v>#N/A</v>
        <stp/>
        <stp>BDH|8420153233080971790</stp>
        <tr r="X72" s="18"/>
      </tp>
      <tp t="e">
        <v>#N/A</v>
        <stp/>
        <stp>BDH|1916941107067199290</stp>
        <tr r="R17" s="6"/>
      </tp>
      <tp t="e">
        <v>#N/A</v>
        <stp/>
        <stp>BDH|2991876568274319575</stp>
        <tr r="Y51" s="24"/>
      </tp>
      <tp t="e">
        <v>#N/A</v>
        <stp/>
        <stp>BDH|7808467088031489707</stp>
        <tr r="X103" s="12"/>
      </tp>
      <tp t="e">
        <v>#N/A</v>
        <stp/>
        <stp>BDH|3332964323507294260</stp>
        <tr r="W21" s="30"/>
      </tp>
      <tp t="e">
        <v>#N/A</v>
        <stp/>
        <stp>BDH|1982229049122482843</stp>
        <tr r="I29" s="12"/>
      </tp>
      <tp t="e">
        <v>#N/A</v>
        <stp/>
        <stp>BDH|8328131423102292430</stp>
        <tr r="T82" s="17"/>
        <tr r="T20" s="3"/>
        <tr r="R6" s="7"/>
      </tp>
      <tp t="e">
        <v>#N/A</v>
        <stp/>
        <stp>BDH|4849918379371722656</stp>
        <tr r="M26" s="26"/>
      </tp>
      <tp t="e">
        <v>#N/A</v>
        <stp/>
        <stp>BDH|3776668275789404623</stp>
        <tr r="H195" s="18"/>
      </tp>
      <tp t="e">
        <v>#N/A</v>
        <stp/>
        <stp>BDH|4436729896150202700</stp>
        <tr r="V94" s="24"/>
      </tp>
      <tp t="e">
        <v>#N/A</v>
        <stp/>
        <stp>BDH|6633485093242872479</stp>
        <tr r="H106" s="12"/>
      </tp>
      <tp t="e">
        <v>#N/A</v>
        <stp/>
        <stp>BDH|6029019184106208550</stp>
        <tr r="V22" s="4"/>
      </tp>
      <tp t="e">
        <v>#N/A</v>
        <stp/>
        <stp>BDH|4609827814953766352</stp>
        <tr r="T14" s="4"/>
      </tp>
      <tp t="e">
        <v>#N/A</v>
        <stp/>
        <stp>BDH|8014433600090403158</stp>
        <tr r="E47" s="21"/>
      </tp>
      <tp t="e">
        <v>#N/A</v>
        <stp/>
        <stp>BDH|4145968392081657813</stp>
        <tr r="F31" s="24"/>
      </tp>
      <tp t="e">
        <v>#N/A</v>
        <stp/>
        <stp>BDH|8225078303753138654</stp>
        <tr r="G108" s="18"/>
      </tp>
      <tp t="e">
        <v>#N/A</v>
        <stp/>
        <stp>BDH|4389158481923169342</stp>
        <tr r="V9" s="13"/>
      </tp>
      <tp t="e">
        <v>#N/A</v>
        <stp/>
        <stp>BDH|5192531626027538836</stp>
        <tr r="I67" s="34"/>
      </tp>
      <tp t="e">
        <v>#N/A</v>
        <stp/>
        <stp>BDH|5129261791003469009</stp>
        <tr r="L72" s="10"/>
        <tr r="L62" s="11"/>
      </tp>
      <tp t="e">
        <v>#N/A</v>
        <stp/>
        <stp>BDH|8510209812333040553</stp>
        <tr r="H21" s="2"/>
      </tp>
      <tp t="e">
        <v>#N/A</v>
        <stp/>
        <stp>BDH|4553239843787244850</stp>
        <tr r="M25" s="24"/>
      </tp>
      <tp t="e">
        <v>#N/A</v>
        <stp/>
        <stp>BDH|9164542027922325130</stp>
        <tr r="H51" s="17"/>
        <tr r="H17" s="3"/>
      </tp>
      <tp t="e">
        <v>#N/A</v>
        <stp/>
        <stp>BDH|1676947875602006059</stp>
        <tr r="W64" s="17"/>
      </tp>
      <tp t="e">
        <v>#N/A</v>
        <stp/>
        <stp>BDH|4743291231780882855</stp>
        <tr r="G39" s="34"/>
      </tp>
      <tp t="e">
        <v>#N/A</v>
        <stp/>
        <stp>BDH|2146128773210210901</stp>
        <tr r="F62" s="24"/>
      </tp>
      <tp t="e">
        <v>#N/A</v>
        <stp/>
        <stp>BDH|8230942471818177340</stp>
        <tr r="F22" s="6"/>
      </tp>
      <tp t="e">
        <v>#N/A</v>
        <stp/>
        <stp>BDH|2057936490639389623</stp>
        <tr r="I39" s="22"/>
      </tp>
      <tp t="e">
        <v>#N/A</v>
        <stp/>
        <stp>BDH|9621237354324534774</stp>
        <tr r="F90" s="12"/>
      </tp>
      <tp t="e">
        <v>#N/A</v>
        <stp/>
        <stp>BDH|6631259080021636068</stp>
        <tr r="Y197" s="18"/>
      </tp>
      <tp t="e">
        <v>#N/A</v>
        <stp/>
        <stp>BDH|2061508609423295982</stp>
        <tr r="I34" s="26"/>
      </tp>
      <tp t="e">
        <v>#N/A</v>
        <stp/>
        <stp>BDH|7560513793827084145</stp>
        <tr r="F27" s="7"/>
      </tp>
      <tp t="e">
        <v>#N/A</v>
        <stp/>
        <stp>BDH|3092233436858349756</stp>
        <tr r="P195" s="18"/>
      </tp>
      <tp t="e">
        <v>#N/A</v>
        <stp/>
        <stp>BDH|2235123176061629831</stp>
        <tr r="N56" s="17"/>
      </tp>
      <tp t="e">
        <v>#N/A</v>
        <stp/>
        <stp>BDH|7014570245999989282</stp>
        <tr r="F72" s="24"/>
      </tp>
      <tp t="e">
        <v>#N/A</v>
        <stp/>
        <stp>BDH|8285661563152293763</stp>
        <tr r="E180" s="18"/>
      </tp>
      <tp t="e">
        <v>#N/A</v>
        <stp/>
        <stp>BDH|5910818348446290216</stp>
        <tr r="O30" s="18"/>
      </tp>
      <tp t="e">
        <v>#N/A</v>
        <stp/>
        <stp>BDH|4687841331720199215</stp>
        <tr r="K11" s="11"/>
      </tp>
      <tp t="e">
        <v>#N/A</v>
        <stp/>
        <stp>BDH|5677637983733632536</stp>
        <tr r="J75" s="34"/>
      </tp>
      <tp t="e">
        <v>#N/A</v>
        <stp/>
        <stp>BDH|2444850725946217359</stp>
        <tr r="F8" s="2"/>
      </tp>
      <tp t="e">
        <v>#N/A</v>
        <stp/>
        <stp>BDH|8967195115955592036</stp>
        <tr r="F147" s="18"/>
      </tp>
      <tp t="e">
        <v>#N/A</v>
        <stp/>
        <stp>BDH|9907346602474517396</stp>
        <tr r="R127" s="18"/>
      </tp>
      <tp t="e">
        <v>#N/A</v>
        <stp/>
        <stp>BDH|2522626055064907881</stp>
        <tr r="V30" s="18"/>
      </tp>
      <tp t="e">
        <v>#N/A</v>
        <stp/>
        <stp>BDH|4140735467529405121</stp>
        <tr r="H14" s="17"/>
        <tr r="H17" s="28"/>
      </tp>
      <tp t="e">
        <v>#N/A</v>
        <stp/>
        <stp>BDH|7166175642489204652</stp>
        <tr r="I12" s="14"/>
      </tp>
      <tp t="e">
        <v>#N/A</v>
        <stp/>
        <stp>BDH|5309174882366234770</stp>
        <tr r="I21" s="4"/>
      </tp>
      <tp t="e">
        <v>#N/A</v>
        <stp/>
        <stp>BDH|8311280553591235393</stp>
        <tr r="E32" s="5"/>
      </tp>
      <tp t="e">
        <v>#N/A</v>
        <stp/>
        <stp>BDH|3650819218781860649</stp>
        <tr r="Z20" s="12"/>
      </tp>
      <tp t="e">
        <v>#N/A</v>
        <stp/>
        <stp>BDH|8490334160147483703</stp>
        <tr r="S33" s="14"/>
      </tp>
      <tp t="e">
        <v>#N/A</v>
        <stp/>
        <stp>BDH|9294414394300796930</stp>
        <tr r="X66" s="13"/>
      </tp>
      <tp t="e">
        <v>#N/A</v>
        <stp/>
        <stp>BDH|7309057044418576643</stp>
        <tr r="E44" s="17"/>
      </tp>
      <tp t="e">
        <v>#N/A</v>
        <stp/>
        <stp>BDH|3129947703214756325</stp>
        <tr r="N10" s="23"/>
      </tp>
      <tp t="e">
        <v>#N/A</v>
        <stp/>
        <stp>BDH|9042124947417455627</stp>
        <tr r="W40" s="17"/>
      </tp>
      <tp t="e">
        <v>#N/A</v>
        <stp/>
        <stp>BDH|8404421136750249214</stp>
        <tr r="F42" s="18"/>
      </tp>
      <tp t="e">
        <v>#N/A</v>
        <stp/>
        <stp>BDH|3451836362501492126</stp>
        <tr r="AA101" s="12"/>
      </tp>
      <tp t="e">
        <v>#N/A</v>
        <stp/>
        <stp>BDH|7656324883989004841</stp>
        <tr r="H25" s="18"/>
      </tp>
      <tp t="e">
        <v>#N/A</v>
        <stp/>
        <stp>BDH|5429241668035333989</stp>
        <tr r="C32" s="29"/>
      </tp>
      <tp t="e">
        <v>#N/A</v>
        <stp/>
        <stp>BDH|1066250417566281933</stp>
        <tr r="Y24" s="29"/>
      </tp>
      <tp t="e">
        <v>#N/A</v>
        <stp/>
        <stp>BDH|5832381893990379234</stp>
        <tr r="C16" s="2"/>
        <tr r="C32" s="4"/>
        <tr r="C62" s="10"/>
        <tr r="E19" s="13"/>
      </tp>
      <tp t="e">
        <v>#N/A</v>
        <stp/>
        <stp>BDH|8697591539545521604</stp>
        <tr r="N206" s="18"/>
      </tp>
      <tp t="e">
        <v>#N/A</v>
        <stp/>
        <stp>BDH|7028187816198977248</stp>
        <tr r="P58" s="24"/>
      </tp>
      <tp t="e">
        <v>#N/A</v>
        <stp/>
        <stp>BDH|9335229039560277592</stp>
        <tr r="N23" s="2"/>
        <tr r="P19" s="21"/>
        <tr r="P23" s="3"/>
      </tp>
      <tp t="e">
        <v>#N/A</v>
        <stp/>
        <stp>BDH|7413883447130886601</stp>
        <tr r="AA24" s="18"/>
      </tp>
      <tp t="e">
        <v>#N/A</v>
        <stp/>
        <stp>BDH|4780249526968347151</stp>
        <tr r="I59" s="12"/>
      </tp>
      <tp t="e">
        <v>#N/A</v>
        <stp/>
        <stp>BDH|2104912146635397760</stp>
        <tr r="W34" s="10"/>
        <tr r="W24" s="11"/>
      </tp>
      <tp t="e">
        <v>#N/A</v>
        <stp/>
        <stp>BDH|2325443183832664112</stp>
        <tr r="H130" s="18"/>
      </tp>
      <tp t="e">
        <v>#N/A</v>
        <stp/>
        <stp>BDH|3279638982391626163</stp>
        <tr r="U83" s="18"/>
      </tp>
      <tp t="e">
        <v>#N/A</v>
        <stp/>
        <stp>BDH|2480267434438416616</stp>
        <tr r="K51" s="24"/>
      </tp>
      <tp t="e">
        <v>#N/A</v>
        <stp/>
        <stp>BDH|7582916870323017770</stp>
        <tr r="D70" s="34"/>
      </tp>
      <tp t="e">
        <v>#N/A</v>
        <stp/>
        <stp>BDH|9765260987547473918</stp>
        <tr r="W74" s="34"/>
      </tp>
      <tp t="e">
        <v>#N/A</v>
        <stp/>
        <stp>BDH|2490454197204665636</stp>
        <tr r="O60" s="18"/>
      </tp>
      <tp t="e">
        <v>#N/A</v>
        <stp/>
        <stp>BDH|2115564124870406842</stp>
        <tr r="T20" s="26"/>
      </tp>
      <tp t="e">
        <v>#N/A</v>
        <stp/>
        <stp>BDH|5425163482608504968</stp>
        <tr r="F32" s="9"/>
      </tp>
      <tp t="e">
        <v>#N/A</v>
        <stp/>
        <stp>BDH|8141160502844350056</stp>
        <tr r="Z40" s="17"/>
      </tp>
      <tp t="e">
        <v>#N/A</v>
        <stp/>
        <stp>BDH|2788782505051962903</stp>
        <tr r="S19" s="25"/>
      </tp>
      <tp t="e">
        <v>#N/A</v>
        <stp/>
        <stp>BDH|5995696024215601913</stp>
        <tr r="Z95" s="17"/>
      </tp>
      <tp t="e">
        <v>#N/A</v>
        <stp/>
        <stp>BDH|3161144583940386752</stp>
        <tr r="Z14" s="22"/>
      </tp>
      <tp t="e">
        <v>#N/A</v>
        <stp/>
        <stp>BDH|1617853783764734877</stp>
        <tr r="X13" s="34"/>
      </tp>
      <tp t="e">
        <v>#N/A</v>
        <stp/>
        <stp>BDH|4050552676308379302</stp>
        <tr r="R58" s="12"/>
      </tp>
      <tp t="e">
        <v>#N/A</v>
        <stp/>
        <stp>BDH|1230626772778155537</stp>
        <tr r="N66" s="13"/>
      </tp>
      <tp t="e">
        <v>#N/A</v>
        <stp/>
        <stp>BDH|2080221293007592340</stp>
        <tr r="S39" s="10"/>
        <tr r="S29" s="11"/>
      </tp>
      <tp t="e">
        <v>#N/A</v>
        <stp/>
        <stp>BDH|4765887465151325692</stp>
        <tr r="G33" s="24"/>
      </tp>
      <tp t="e">
        <v>#N/A</v>
        <stp/>
        <stp>BDH|1174851595605355826</stp>
        <tr r="AA93" s="17"/>
        <tr r="AA13" s="28"/>
      </tp>
      <tp t="e">
        <v>#N/A</v>
        <stp/>
        <stp>BDH|9237542054067134331</stp>
        <tr r="S21" s="30"/>
      </tp>
      <tp t="e">
        <v>#N/A</v>
        <stp/>
        <stp>BDH|5727069601140096800</stp>
        <tr r="U51" s="21"/>
      </tp>
      <tp t="e">
        <v>#N/A</v>
        <stp/>
        <stp>BDH|3796363633977630942</stp>
        <tr r="L29" s="18"/>
      </tp>
      <tp t="e">
        <v>#N/A</v>
        <stp/>
        <stp>BDH|4964740399232416507</stp>
        <tr r="U77" s="17"/>
        <tr r="U19" s="3"/>
      </tp>
      <tp t="e">
        <v>#N/A</v>
        <stp/>
        <stp>BDH|7276373781091123054</stp>
        <tr r="Z14" s="12"/>
      </tp>
      <tp t="e">
        <v>#N/A</v>
        <stp/>
        <stp>BDH|9860031766244912641</stp>
        <tr r="R26" s="7"/>
      </tp>
      <tp t="e">
        <v>#N/A</v>
        <stp/>
        <stp>BDH|6228710637248413704</stp>
        <tr r="H18" s="23"/>
      </tp>
      <tp t="e">
        <v>#N/A</v>
        <stp/>
        <stp>BDH|8733465801738177912</stp>
        <tr r="Q29" s="6"/>
      </tp>
      <tp t="e">
        <v>#N/A</v>
        <stp/>
        <stp>BDH|5087669050603476827</stp>
        <tr r="F48" s="21"/>
      </tp>
      <tp t="e">
        <v>#N/A</v>
        <stp/>
        <stp>BDH|9708597518175778516</stp>
        <tr r="Y39" s="24"/>
      </tp>
      <tp t="e">
        <v>#N/A</v>
        <stp/>
        <stp>BDH|5949206580325900706</stp>
        <tr r="P42" s="24"/>
      </tp>
      <tp t="e">
        <v>#N/A</v>
        <stp/>
        <stp>BDH|8911481344525248076</stp>
        <tr r="P19" s="6"/>
      </tp>
      <tp t="e">
        <v>#N/A</v>
        <stp/>
        <stp>BDH|4698824516806304612</stp>
        <tr r="G21" s="10"/>
      </tp>
      <tp t="e">
        <v>#N/A</v>
        <stp/>
        <stp>BDH|8963256843627652494</stp>
        <tr r="C99" s="12"/>
      </tp>
      <tp t="e">
        <v>#N/A</v>
        <stp/>
        <stp>BDH|3523734385968794940</stp>
        <tr r="H9" s="2"/>
        <tr r="J8" s="25"/>
        <tr r="G10" s="5"/>
      </tp>
      <tp t="e">
        <v>#N/A</v>
        <stp/>
        <stp>BDH|4162514532586051924</stp>
        <tr r="J89" s="18"/>
      </tp>
      <tp t="e">
        <v>#N/A</v>
        <stp/>
        <stp>BDH|8261649759693860579</stp>
        <tr r="J47" s="21"/>
      </tp>
      <tp t="e">
        <v>#N/A</v>
        <stp/>
        <stp>BDH|9935582161342908594</stp>
        <tr r="N177" s="18"/>
      </tp>
      <tp t="e">
        <v>#N/A</v>
        <stp/>
        <stp>BDH|6660610832179266777</stp>
        <tr r="G65" s="18"/>
      </tp>
      <tp t="e">
        <v>#N/A</v>
        <stp/>
        <stp>BDH|3649965036765794119</stp>
        <tr r="J16" s="29"/>
        <tr r="J39" s="29"/>
      </tp>
      <tp t="e">
        <v>#N/A</v>
        <stp/>
        <stp>BDH|4439028297286512641</stp>
        <tr r="E31" s="22"/>
      </tp>
      <tp t="e">
        <v>#N/A</v>
        <stp/>
        <stp>BDH|8190892123007374884</stp>
        <tr r="G91" s="17"/>
      </tp>
      <tp t="e">
        <v>#N/A</v>
        <stp/>
        <stp>BDH|8410848340201526851</stp>
        <tr r="O182" s="18"/>
      </tp>
      <tp t="e">
        <v>#N/A</v>
        <stp/>
        <stp>BDH|9016506358466830208</stp>
        <tr r="L54" s="12"/>
      </tp>
      <tp t="e">
        <v>#N/A</v>
        <stp/>
        <stp>BDH|3197925448173949021</stp>
        <tr r="V27" s="26"/>
      </tp>
      <tp t="e">
        <v>#N/A</v>
        <stp/>
        <stp>BDH|3358965124471287434</stp>
        <tr r="H13" s="29"/>
        <tr r="H22" s="29"/>
        <tr r="H36" s="29"/>
      </tp>
      <tp t="e">
        <v>#N/A</v>
        <stp/>
        <stp>BDH|8434648766571651400</stp>
        <tr r="Q60" s="17"/>
      </tp>
      <tp t="e">
        <v>#N/A</v>
        <stp/>
        <stp>BDH|6306135804569785333</stp>
        <tr r="D32" s="5"/>
      </tp>
      <tp t="e">
        <v>#N/A</v>
        <stp/>
        <stp>BDH|1523930345743289217</stp>
        <tr r="V61" s="18"/>
      </tp>
      <tp t="e">
        <v>#N/A</v>
        <stp/>
        <stp>BDH|8016579944575273110</stp>
        <tr r="F53" s="12"/>
      </tp>
      <tp t="e">
        <v>#N/A</v>
        <stp/>
        <stp>BDH|9693201427240266430</stp>
        <tr r="W14" s="17"/>
        <tr r="W17" s="28"/>
      </tp>
      <tp t="e">
        <v>#N/A</v>
        <stp/>
        <stp>BDH|8764518669254930260</stp>
        <tr r="U7" s="17"/>
      </tp>
      <tp t="e">
        <v>#N/A</v>
        <stp/>
        <stp>BDH|8713725866922177625</stp>
        <tr r="G33" s="18"/>
      </tp>
      <tp t="e">
        <v>#N/A</v>
        <stp/>
        <stp>BDH|1289791886653950044</stp>
        <tr r="T24" s="27"/>
      </tp>
      <tp t="e">
        <v>#N/A</v>
        <stp/>
        <stp>BDH|9339438130652748177</stp>
        <tr r="J41" s="12"/>
      </tp>
      <tp t="e">
        <v>#N/A</v>
        <stp/>
        <stp>BDH|3600147864309029068</stp>
        <tr r="S16" s="34"/>
      </tp>
      <tp t="e">
        <v>#N/A</v>
        <stp/>
        <stp>BDH|6480278830949704347</stp>
        <tr r="W74" s="12"/>
      </tp>
      <tp t="e">
        <v>#N/A</v>
        <stp/>
        <stp>BDH|9326377566105589472</stp>
        <tr r="J30" s="22"/>
      </tp>
      <tp t="e">
        <v>#N/A</v>
        <stp/>
        <stp>BDH|1902149384881062499</stp>
        <tr r="AA36" s="34"/>
      </tp>
      <tp t="e">
        <v>#N/A</v>
        <stp/>
        <stp>BDH|2469813500901498604</stp>
        <tr r="U58" s="34"/>
      </tp>
      <tp t="e">
        <v>#N/A</v>
        <stp/>
        <stp>BDH|8103164523435713320</stp>
        <tr r="S63" s="34"/>
      </tp>
      <tp t="e">
        <v>#N/A</v>
        <stp/>
        <stp>BDH|9235368953387117578</stp>
        <tr r="P45" s="34"/>
      </tp>
      <tp t="e">
        <v>#N/A</v>
        <stp/>
        <stp>BDH|7389742487865507043</stp>
        <tr r="E32" s="22"/>
      </tp>
      <tp t="e">
        <v>#N/A</v>
        <stp/>
        <stp>BDH|4156802012203409364</stp>
        <tr r="N17" s="4"/>
        <tr r="P10" s="3"/>
        <tr r="N56" s="10"/>
        <tr r="N46" s="11"/>
        <tr r="N17" s="7"/>
        <tr r="P61" s="13"/>
      </tp>
      <tp t="e">
        <v>#N/A</v>
        <stp/>
        <stp>BDH|9464063624761560724</stp>
        <tr r="F41" s="10"/>
        <tr r="F31" s="11"/>
      </tp>
      <tp t="e">
        <v>#N/A</v>
        <stp/>
        <stp>BDH|4131336297040362373</stp>
        <tr r="K22" s="22"/>
      </tp>
      <tp t="e">
        <v>#N/A</v>
        <stp/>
        <stp>BDH|8025872944719158032</stp>
        <tr r="J23" s="26"/>
      </tp>
      <tp t="e">
        <v>#N/A</v>
        <stp/>
        <stp>BDH|2969382299173916604</stp>
        <tr r="P29" s="14"/>
      </tp>
      <tp t="e">
        <v>#N/A</v>
        <stp/>
        <stp>BDH|4666645491001416761</stp>
        <tr r="K12" s="6"/>
      </tp>
      <tp t="e">
        <v>#N/A</v>
        <stp/>
        <stp>BDH|3274608043928177412</stp>
        <tr r="X124" s="18"/>
        <tr r="X13" s="20"/>
      </tp>
      <tp t="e">
        <v>#N/A</v>
        <stp/>
        <stp>BDH|5446363811238271201</stp>
        <tr r="E69" s="13"/>
      </tp>
      <tp t="e">
        <v>#N/A</v>
        <stp/>
        <stp>BDH|5658988927601084281</stp>
        <tr r="D209" s="18"/>
      </tp>
      <tp t="e">
        <v>#N/A</v>
        <stp/>
        <stp>BDH|4181977403848736836</stp>
        <tr r="Q67" s="17"/>
        <tr r="Q18" s="3"/>
      </tp>
      <tp t="e">
        <v>#N/A</v>
        <stp/>
        <stp>BDH|3687583932018585081</stp>
        <tr r="Q28" s="25"/>
        <tr r="Q14" s="27"/>
      </tp>
      <tp t="e">
        <v>#N/A</v>
        <stp/>
        <stp>BDH|7101677030126259951</stp>
        <tr r="C44" s="21"/>
      </tp>
      <tp t="e">
        <v>#N/A</v>
        <stp/>
        <stp>BDH|2211773721048069256</stp>
        <tr r="I25" s="24"/>
      </tp>
      <tp t="e">
        <v>#N/A</v>
        <stp/>
        <stp>BDH|8688721125330711079</stp>
        <tr r="H113" s="18"/>
      </tp>
      <tp t="e">
        <v>#N/A</v>
        <stp/>
        <stp>BDH|5375485941441259996</stp>
        <tr r="K31" s="34"/>
      </tp>
      <tp t="e">
        <v>#N/A</v>
        <stp/>
        <stp>BDH|4746744392121634667</stp>
        <tr r="P77" s="34"/>
      </tp>
      <tp t="e">
        <v>#N/A</v>
        <stp/>
        <stp>BDH|5077264192656070557</stp>
        <tr r="G94" s="18"/>
      </tp>
      <tp t="e">
        <v>#N/A</v>
        <stp/>
        <stp>BDH|8504500328704578695</stp>
        <tr r="X30" s="21"/>
      </tp>
      <tp t="e">
        <v>#N/A</v>
        <stp/>
        <stp>BDH|2149583051456806916</stp>
        <tr r="O14" s="22"/>
      </tp>
      <tp t="e">
        <v>#N/A</v>
        <stp/>
        <stp>BDH|3106607016190245947</stp>
        <tr r="R175" s="18"/>
      </tp>
      <tp t="e">
        <v>#N/A</v>
        <stp/>
        <stp>BDH|6133605682264755155</stp>
        <tr r="Q11" s="30"/>
      </tp>
      <tp t="e">
        <v>#N/A</v>
        <stp/>
        <stp>BDH|1387798875715739990</stp>
        <tr r="G11" s="9"/>
      </tp>
      <tp t="e">
        <v>#N/A</v>
        <stp/>
        <stp>BDH|1128859265982073001</stp>
        <tr r="J31" s="17"/>
      </tp>
      <tp t="e">
        <v>#N/A</v>
        <stp/>
        <stp>BDH|5742425700625274964</stp>
        <tr r="K78" s="12"/>
      </tp>
      <tp t="e">
        <v>#N/A</v>
        <stp/>
        <stp>BDH|5505400782441032560</stp>
        <tr r="N41" s="10"/>
        <tr r="N31" s="11"/>
      </tp>
      <tp t="e">
        <v>#N/A</v>
        <stp/>
        <stp>BDH|9045347960283332265</stp>
        <tr r="Q14" s="12"/>
      </tp>
      <tp t="e">
        <v>#N/A</v>
        <stp/>
        <stp>BDH|4812560018449368444</stp>
        <tr r="W8" s="18"/>
      </tp>
      <tp t="e">
        <v>#N/A</v>
        <stp/>
        <stp>BDH|7057254949104806857</stp>
        <tr r="AA36" s="21"/>
      </tp>
      <tp t="e">
        <v>#N/A</v>
        <stp/>
        <stp>BDH|9207023246131375143</stp>
        <tr r="T102" s="12"/>
      </tp>
      <tp t="e">
        <v>#N/A</v>
        <stp/>
        <stp>BDH|3926242070839588296</stp>
        <tr r="M59" s="17"/>
      </tp>
      <tp t="e">
        <v>#N/A</v>
        <stp/>
        <stp>BDH|1862408273389823629</stp>
        <tr r="G17" s="10"/>
        <tr r="I16" s="13"/>
        <tr r="I30" s="13"/>
      </tp>
      <tp t="e">
        <v>#N/A</v>
        <stp/>
        <stp>BDH|4952806773502876438</stp>
        <tr r="X185" s="18"/>
      </tp>
      <tp t="e">
        <v>#N/A</v>
        <stp/>
        <stp>BDH|4674965711913918293</stp>
        <tr r="L45" s="17"/>
      </tp>
      <tp t="e">
        <v>#N/A</v>
        <stp/>
        <stp>BDH|4896472186180038581</stp>
        <tr r="J8" s="22"/>
      </tp>
      <tp t="e">
        <v>#N/A</v>
        <stp/>
        <stp>BDH|6548674706378620539</stp>
        <tr r="X85" s="17"/>
      </tp>
      <tp t="e">
        <v>#N/A</v>
        <stp/>
        <stp>BDH|1044405892829345805</stp>
        <tr r="I9" s="27"/>
      </tp>
      <tp t="e">
        <v>#N/A</v>
        <stp/>
        <stp>BDH|4170676308736741989</stp>
        <tr r="Q72" s="34"/>
      </tp>
      <tp t="e">
        <v>#N/A</v>
        <stp/>
        <stp>BDH|1745268952309700254</stp>
        <tr r="Q18" s="13"/>
      </tp>
      <tp t="e">
        <v>#N/A</v>
        <stp/>
        <stp>BDH|1193037485590610401</stp>
        <tr r="S20" s="23"/>
      </tp>
      <tp t="e">
        <v>#N/A</v>
        <stp/>
        <stp>BDH|5091155600308742131</stp>
        <tr r="X19" s="26"/>
      </tp>
      <tp t="e">
        <v>#N/A</v>
        <stp/>
        <stp>BDH|4199129752375081801</stp>
        <tr r="E75" s="17"/>
      </tp>
      <tp t="e">
        <v>#N/A</v>
        <stp/>
        <stp>BDH|7777418646823458958</stp>
        <tr r="E49" s="13"/>
      </tp>
      <tp t="e">
        <v>#N/A</v>
        <stp/>
        <stp>BDH|3047497691373941009</stp>
        <tr r="C108" s="18"/>
      </tp>
      <tp t="e">
        <v>#N/A</v>
        <stp/>
        <stp>BDH|3689393195474951027</stp>
        <tr r="S111" s="18"/>
      </tp>
      <tp t="e">
        <v>#N/A</v>
        <stp/>
        <stp>BDH|4519767278840345997</stp>
        <tr r="C69" s="18"/>
      </tp>
      <tp t="e">
        <v>#N/A</v>
        <stp/>
        <stp>BDH|4331069482307463623</stp>
        <tr r="O87" s="12"/>
      </tp>
      <tp t="e">
        <v>#N/A</v>
        <stp/>
        <stp>BDH|1317531740984978982</stp>
        <tr r="S18" s="22"/>
      </tp>
      <tp t="e">
        <v>#N/A</v>
        <stp/>
        <stp>BDH|6091145717259352217</stp>
        <tr r="I83" s="12"/>
      </tp>
      <tp t="e">
        <v>#N/A</v>
        <stp/>
        <stp>BDH|8231068342352102366</stp>
        <tr r="V55" s="18"/>
      </tp>
      <tp t="e">
        <v>#N/A</v>
        <stp/>
        <stp>BDH|3501232291866564332</stp>
        <tr r="Z29" s="17"/>
      </tp>
      <tp t="e">
        <v>#N/A</v>
        <stp/>
        <stp>BDH|8235012502374084104</stp>
        <tr r="F44" s="21"/>
      </tp>
      <tp t="e">
        <v>#N/A</v>
        <stp/>
        <stp>BDH|3048964103155578267</stp>
        <tr r="J30" s="21"/>
      </tp>
      <tp t="e">
        <v>#N/A</v>
        <stp/>
        <stp>BDH|9606871703369063545</stp>
        <tr r="AA9" s="17"/>
      </tp>
      <tp t="e">
        <v>#N/A</v>
        <stp/>
        <stp>BDH|1504195589403758645</stp>
        <tr r="X137" s="18"/>
      </tp>
      <tp t="e">
        <v>#N/A</v>
        <stp/>
        <stp>BDH|7774847860945583100</stp>
        <tr r="C11" s="7"/>
      </tp>
      <tp t="e">
        <v>#N/A</v>
        <stp/>
        <stp>BDH|9723794003733387089</stp>
        <tr r="U63" s="24"/>
      </tp>
      <tp t="e">
        <v>#N/A</v>
        <stp/>
        <stp>BDH|4296270524929683018</stp>
        <tr r="J39" s="25"/>
        <tr r="J7" s="3"/>
        <tr r="H17" s="11"/>
        <tr r="J22" s="13"/>
        <tr r="J7" s="13"/>
      </tp>
      <tp t="e">
        <v>#N/A</v>
        <stp/>
        <stp>BDH|6708203425198551314</stp>
        <tr r="N28" s="21"/>
      </tp>
      <tp t="e">
        <v>#N/A</v>
        <stp/>
        <stp>BDH|1124296043319454391</stp>
        <tr r="M7" s="8"/>
      </tp>
      <tp t="e">
        <v>#N/A</v>
        <stp/>
        <stp>BDH|1251147587747439235</stp>
        <tr r="T70" s="10"/>
        <tr r="T60" s="11"/>
        <tr r="T20" s="7"/>
      </tp>
      <tp t="e">
        <v>#N/A</v>
        <stp/>
        <stp>BDH|7402915056443536500</stp>
        <tr r="Q187" s="18"/>
      </tp>
      <tp t="e">
        <v>#N/A</v>
        <stp/>
        <stp>BDH|2541049144092664959</stp>
        <tr r="L25" s="9"/>
      </tp>
      <tp t="e">
        <v>#N/A</v>
        <stp/>
        <stp>BDH|1798315690967646163</stp>
        <tr r="J13" s="22"/>
      </tp>
      <tp t="e">
        <v>#N/A</v>
        <stp/>
        <stp>BDH|1635327386902406508</stp>
        <tr r="D110" s="18"/>
      </tp>
      <tp t="e">
        <v>#N/A</v>
        <stp/>
        <stp>BDH|4678776439495848864</stp>
        <tr r="I17" s="14"/>
      </tp>
      <tp t="e">
        <v>#N/A</v>
        <stp/>
        <stp>BDH|9737472254531158434</stp>
        <tr r="T29" s="4"/>
      </tp>
      <tp t="e">
        <v>#N/A</v>
        <stp/>
        <stp>BDH|1195417237872871995</stp>
        <tr r="H12" s="11"/>
      </tp>
      <tp t="e">
        <v>#N/A</v>
        <stp/>
        <stp>BDH|7833430798610787729</stp>
        <tr r="X12" s="22"/>
      </tp>
      <tp t="e">
        <v>#N/A</v>
        <stp/>
        <stp>BDH|9344372773786023617</stp>
        <tr r="E50" s="24"/>
      </tp>
      <tp t="e">
        <v>#N/A</v>
        <stp/>
        <stp>BDH|1710618191365886694</stp>
        <tr r="O20" s="25"/>
      </tp>
      <tp t="e">
        <v>#N/A</v>
        <stp/>
        <stp>BDH|7024667656549034065</stp>
        <tr r="N24" s="29"/>
      </tp>
      <tp t="e">
        <v>#N/A</v>
        <stp/>
        <stp>BDH|9927096824303596578</stp>
        <tr r="O187" s="18"/>
      </tp>
      <tp t="e">
        <v>#N/A</v>
        <stp/>
        <stp>BDH|1784001906169026573</stp>
        <tr r="G7" s="14"/>
      </tp>
      <tp t="e">
        <v>#N/A</v>
        <stp/>
        <stp>BDH|2384555856548797718</stp>
        <tr r="J78" s="12"/>
      </tp>
      <tp t="e">
        <v>#N/A</v>
        <stp/>
        <stp>BDH|5360839387229226137</stp>
        <tr r="T104" s="18"/>
      </tp>
      <tp t="e">
        <v>#N/A</v>
        <stp/>
        <stp>BDH|1926374083804944322</stp>
        <tr r="F28" s="6"/>
      </tp>
      <tp t="e">
        <v>#N/A</v>
        <stp/>
        <stp>BDH|8540660224037989684</stp>
        <tr r="Z191" s="18"/>
      </tp>
      <tp t="e">
        <v>#N/A</v>
        <stp/>
        <stp>BDH|5127431526438778658</stp>
        <tr r="F15" s="17"/>
        <tr r="F18" s="28"/>
      </tp>
      <tp t="e">
        <v>#N/A</v>
        <stp/>
        <stp>BDH|6096425390341336777</stp>
        <tr r="Z23" s="23"/>
      </tp>
      <tp t="e">
        <v>#N/A</v>
        <stp/>
        <stp>BDH|1567671637620122928</stp>
        <tr r="Y16" s="22"/>
      </tp>
      <tp t="e">
        <v>#N/A</v>
        <stp/>
        <stp>BDH|5586308258047321989</stp>
        <tr r="H8" s="8"/>
      </tp>
      <tp t="e">
        <v>#N/A</v>
        <stp/>
        <stp>BDH|3746640883392294245</stp>
        <tr r="G82" s="18"/>
      </tp>
      <tp t="e">
        <v>#N/A</v>
        <stp/>
        <stp>BDH|4573019941968257519</stp>
        <tr r="R72" s="18"/>
      </tp>
      <tp t="e">
        <v>#N/A</v>
        <stp/>
        <stp>BDH|2477795373978866707</stp>
        <tr r="P26" s="18"/>
      </tp>
      <tp t="e">
        <v>#N/A</v>
        <stp/>
        <stp>BDH|4232362392956925596</stp>
        <tr r="Q64" s="18"/>
      </tp>
      <tp t="e">
        <v>#N/A</v>
        <stp/>
        <stp>BDH|4614649291334126245</stp>
        <tr r="I73" s="13"/>
      </tp>
      <tp t="e">
        <v>#N/A</v>
        <stp/>
        <stp>BDH|4120929396449558066</stp>
        <tr r="Y10" s="17"/>
      </tp>
      <tp t="e">
        <v>#N/A</v>
        <stp/>
        <stp>BDH|2273706807261495976</stp>
        <tr r="W13" s="34"/>
      </tp>
      <tp t="e">
        <v>#N/A</v>
        <stp/>
        <stp>BDH|7439782763693188880</stp>
        <tr r="W72" s="17"/>
      </tp>
      <tp t="e">
        <v>#N/A</v>
        <stp/>
        <stp>BDH|6382529435064279908</stp>
        <tr r="D148" s="18"/>
      </tp>
      <tp t="e">
        <v>#N/A</v>
        <stp/>
        <stp>BDH|9161586614061378189</stp>
        <tr r="J6" s="15"/>
        <tr r="J12" s="2"/>
        <tr r="J11" s="4"/>
        <tr r="J6" s="10"/>
      </tp>
      <tp t="e">
        <v>#N/A</v>
        <stp/>
        <stp>BDH|4622186074328506786</stp>
        <tr r="H92" s="18"/>
      </tp>
      <tp t="e">
        <v>#N/A</v>
        <stp/>
        <stp>BDH|7012429694244226339</stp>
        <tr r="H20" s="12"/>
      </tp>
      <tp t="e">
        <v>#N/A</v>
        <stp/>
        <stp>BDH|2849726519500649923</stp>
        <tr r="U47" s="6"/>
        <tr r="W6" s="8"/>
      </tp>
      <tp t="e">
        <v>#N/A</v>
        <stp/>
        <stp>BDH|6053658282581699461</stp>
        <tr r="S21" s="17"/>
        <tr r="S15" s="3"/>
      </tp>
      <tp t="e">
        <v>#N/A</v>
        <stp/>
        <stp>BDH|6753672482264160143</stp>
        <tr r="I169" s="18"/>
      </tp>
      <tp t="e">
        <v>#N/A</v>
        <stp/>
        <stp>BDH|9979193337117107115</stp>
        <tr r="E85" s="12"/>
      </tp>
      <tp t="e">
        <v>#N/A</v>
        <stp/>
        <stp>BDH|1247032852029623026</stp>
        <tr r="H190" s="18"/>
      </tp>
      <tp t="e">
        <v>#N/A</v>
        <stp/>
        <stp>BDH|3219017774061206824</stp>
        <tr r="Y30" s="12"/>
      </tp>
      <tp t="e">
        <v>#N/A</v>
        <stp/>
        <stp>BDH|3011013991703512426</stp>
        <tr r="W45" s="21"/>
      </tp>
      <tp t="e">
        <v>#N/A</v>
        <stp/>
        <stp>BDH|3369464496040168351</stp>
        <tr r="C80" s="24"/>
      </tp>
      <tp t="e">
        <v>#N/A</v>
        <stp/>
        <stp>BDH|3739437334478711104</stp>
        <tr r="R123" s="18"/>
        <tr r="R12" s="20"/>
      </tp>
      <tp t="e">
        <v>#N/A</v>
        <stp/>
        <stp>BDH|6873554748508738251</stp>
        <tr r="E54" s="17"/>
      </tp>
      <tp t="e">
        <v>#N/A</v>
        <stp/>
        <stp>BDH|4734622538274859822</stp>
        <tr r="I12" s="6"/>
      </tp>
      <tp t="e">
        <v>#N/A</v>
        <stp/>
        <stp>BDH|7068477411558080718</stp>
        <tr r="O151" s="18"/>
      </tp>
      <tp t="e">
        <v>#N/A</v>
        <stp/>
        <stp>BDH|7062834718864499787</stp>
        <tr r="D18" s="34"/>
      </tp>
      <tp t="e">
        <v>#N/A</v>
        <stp/>
        <stp>BDH|4544518730218499770</stp>
        <tr r="F7" s="14"/>
      </tp>
      <tp t="e">
        <v>#N/A</v>
        <stp/>
        <stp>BDH|9079852391813131628</stp>
        <tr r="E10" s="4"/>
        <tr r="D6" s="16"/>
        <tr r="G6" s="3"/>
        <tr r="E6" s="11"/>
      </tp>
      <tp t="e">
        <v>#N/A</v>
        <stp/>
        <stp>BDH|3813314972442805847</stp>
        <tr r="Z132" s="18"/>
      </tp>
      <tp t="e">
        <v>#N/A</v>
        <stp/>
        <stp>BDH|6653584192924344385</stp>
        <tr r="U17" s="18"/>
      </tp>
      <tp t="e">
        <v>#N/A</v>
        <stp/>
        <stp>BDH|4408166140008294476</stp>
        <tr r="N17" s="30"/>
      </tp>
      <tp t="e">
        <v>#N/A</v>
        <stp/>
        <stp>BDH|2486826577047068761</stp>
        <tr r="E28" s="26"/>
      </tp>
      <tp t="e">
        <v>#N/A</v>
        <stp/>
        <stp>BDH|3363924442257507418</stp>
        <tr r="P82" s="17"/>
        <tr r="P20" s="3"/>
        <tr r="N6" s="7"/>
      </tp>
      <tp t="e">
        <v>#N/A</v>
        <stp/>
        <stp>BDH|8654946307228415468</stp>
        <tr r="O26" s="27"/>
      </tp>
      <tp t="e">
        <v>#N/A</v>
        <stp/>
        <stp>BDH|2997634508488748125</stp>
        <tr r="P167" s="18"/>
      </tp>
      <tp t="e">
        <v>#N/A</v>
        <stp/>
        <stp>BDH|9592097884419627590</stp>
        <tr r="X6" s="15"/>
        <tr r="X12" s="2"/>
        <tr r="X11" s="4"/>
        <tr r="X6" s="10"/>
      </tp>
      <tp t="e">
        <v>#N/A</v>
        <stp/>
        <stp>BDH|6040272684182477308</stp>
        <tr r="F131" s="18"/>
      </tp>
      <tp t="e">
        <v>#N/A</v>
        <stp/>
        <stp>BDH|1465719500408075327</stp>
        <tr r="V10" s="26"/>
      </tp>
      <tp t="e">
        <v>#N/A</v>
        <stp/>
        <stp>BDH|8738176772804794729</stp>
        <tr r="C15" s="25"/>
      </tp>
      <tp t="e">
        <v>#N/A</v>
        <stp/>
        <stp>BDH|6531835763497098227</stp>
        <tr r="D27" s="17"/>
      </tp>
      <tp t="e">
        <v>#N/A</v>
        <stp/>
        <stp>BDH|3049416015782186922</stp>
        <tr r="N178" s="18"/>
      </tp>
      <tp t="e">
        <v>#N/A</v>
        <stp/>
        <stp>BDH|4006608016299025717</stp>
        <tr r="J75" s="12"/>
      </tp>
      <tp t="e">
        <v>#N/A</v>
        <stp/>
        <stp>BDH|2009367843708237032</stp>
        <tr r="M72" s="12"/>
      </tp>
      <tp t="e">
        <v>#N/A</v>
        <stp/>
        <stp>BDH|7597172486262814189</stp>
        <tr r="P94" s="12"/>
      </tp>
      <tp t="e">
        <v>#N/A</v>
        <stp/>
        <stp>BDH|1618493968467125925</stp>
        <tr r="W91" s="17"/>
      </tp>
      <tp t="e">
        <v>#N/A</v>
        <stp/>
        <stp>BDH|8012679832927129703</stp>
        <tr r="Y25" s="17"/>
      </tp>
      <tp t="e">
        <v>#N/A</v>
        <stp/>
        <stp>BDH|2831698856305696951</stp>
        <tr r="W29" s="4"/>
      </tp>
      <tp t="e">
        <v>#N/A</v>
        <stp/>
        <stp>BDH|7900484989713521591</stp>
        <tr r="I142" s="18"/>
      </tp>
      <tp t="e">
        <v>#N/A</v>
        <stp/>
        <stp>BDH|5979993845653935682</stp>
        <tr r="I22" s="20"/>
      </tp>
      <tp t="e">
        <v>#N/A</v>
        <stp/>
        <stp>BDH|1599744222848271151</stp>
        <tr r="U42" s="4"/>
      </tp>
      <tp t="e">
        <v>#N/A</v>
        <stp/>
        <stp>BDH|7910394886114560570</stp>
        <tr r="J34" s="6"/>
      </tp>
      <tp t="e">
        <v>#N/A</v>
        <stp/>
        <stp>BDH|3537676082038541814</stp>
        <tr r="N35" s="14"/>
      </tp>
      <tp t="e">
        <v>#N/A</v>
        <stp/>
        <stp>BDH|6634253123469445205</stp>
        <tr r="L58" s="17"/>
      </tp>
      <tp t="e">
        <v>#N/A</v>
        <stp/>
        <stp>BDH|8256234929921984455</stp>
        <tr r="U203" s="18"/>
      </tp>
      <tp t="e">
        <v>#N/A</v>
        <stp/>
        <stp>BDH|5376082870027619890</stp>
        <tr r="F112" s="18"/>
      </tp>
      <tp t="e">
        <v>#N/A</v>
        <stp/>
        <stp>BDH|6841564913488885718</stp>
        <tr r="K56" s="13"/>
      </tp>
      <tp t="e">
        <v>#N/A</v>
        <stp/>
        <stp>BDH|2316278625849636636</stp>
        <tr r="J52" s="12"/>
      </tp>
      <tp t="e">
        <v>#N/A</v>
        <stp/>
        <stp>BDH|5225450194665361046</stp>
        <tr r="Q13" s="34"/>
      </tp>
      <tp t="e">
        <v>#N/A</v>
        <stp/>
        <stp>BDH|5199535643358097152</stp>
        <tr r="T10" s="26"/>
      </tp>
      <tp t="e">
        <v>#N/A</v>
        <stp/>
        <stp>BDH|6048727923868553609</stp>
        <tr r="F84" s="17"/>
      </tp>
      <tp t="e">
        <v>#N/A</v>
        <stp/>
        <stp>BDH|4705119161019475779</stp>
        <tr r="F23" s="17"/>
      </tp>
      <tp t="e">
        <v>#N/A</v>
        <stp/>
        <stp>BDH|6844187845666878895</stp>
        <tr r="E106" s="18"/>
      </tp>
      <tp t="e">
        <v>#N/A</v>
        <stp/>
        <stp>BDH|8145707951605446206</stp>
        <tr r="O42" s="24"/>
      </tp>
      <tp t="e">
        <v>#N/A</v>
        <stp/>
        <stp>BDH|5277855164043451531</stp>
        <tr r="I81" s="12"/>
      </tp>
      <tp t="e">
        <v>#N/A</v>
        <stp/>
        <stp>BDH|8784218055791172366</stp>
        <tr r="U40" s="10"/>
        <tr r="U30" s="11"/>
      </tp>
      <tp t="e">
        <v>#N/A</v>
        <stp/>
        <stp>BDH|1920860830414303380</stp>
        <tr r="E63" s="18"/>
      </tp>
      <tp t="e">
        <v>#N/A</v>
        <stp/>
        <stp>BDH|4084112933693222847</stp>
        <tr r="N15" s="14"/>
      </tp>
      <tp t="e">
        <v>#N/A</v>
        <stp/>
        <stp>BDH|5291743602358944794</stp>
        <tr r="I14" s="17"/>
        <tr r="I17" s="28"/>
      </tp>
      <tp t="e">
        <v>#N/A</v>
        <stp/>
        <stp>BDH|4707859092230107852</stp>
        <tr r="J8" s="14"/>
      </tp>
      <tp t="e">
        <v>#N/A</v>
        <stp/>
        <stp>BDH|8488625650202031425</stp>
        <tr r="Z72" s="13"/>
      </tp>
      <tp t="e">
        <v>#N/A</v>
        <stp/>
        <stp>BDH|4187002581612047340</stp>
        <tr r="AA8" s="28"/>
      </tp>
      <tp t="e">
        <v>#N/A</v>
        <stp/>
        <stp>BDH|6484715395376471302</stp>
        <tr r="O47" s="34"/>
      </tp>
      <tp t="e">
        <v>#N/A</v>
        <stp/>
        <stp>BDH|6035159394897493410</stp>
        <tr r="U25" s="13"/>
      </tp>
      <tp t="e">
        <v>#N/A</v>
        <stp/>
        <stp>BDH|1014539864536648953</stp>
        <tr r="O76" s="34"/>
      </tp>
      <tp t="e">
        <v>#N/A</v>
        <stp/>
        <stp>BDH|3896821959485265650</stp>
        <tr r="Y10" s="14"/>
      </tp>
      <tp t="e">
        <v>#N/A</v>
        <stp/>
        <stp>BDH|3501548892746435436</stp>
        <tr r="K15" s="11"/>
      </tp>
      <tp t="e">
        <v>#N/A</v>
        <stp/>
        <stp>BDH|9785381354390814271</stp>
        <tr r="F56" s="18"/>
      </tp>
      <tp t="e">
        <v>#N/A</v>
        <stp/>
        <stp>BDH|5191107160746645930</stp>
        <tr r="P53" s="13"/>
      </tp>
      <tp t="e">
        <v>#N/A</v>
        <stp/>
        <stp>BDH|3924997717955764347</stp>
        <tr r="M25" s="34"/>
      </tp>
      <tp t="e">
        <v>#N/A</v>
        <stp/>
        <stp>BDH|3593292489257541340</stp>
        <tr r="S6" s="6"/>
      </tp>
      <tp t="e">
        <v>#N/A</v>
        <stp/>
        <stp>BDH|8092414037292147036</stp>
        <tr r="D72" s="13"/>
      </tp>
      <tp t="e">
        <v>#N/A</v>
        <stp/>
        <stp>BDH|8354649968521913425</stp>
        <tr r="U152" s="18"/>
      </tp>
      <tp t="e">
        <v>#N/A</v>
        <stp/>
        <stp>BDH|9018786344555967219</stp>
        <tr r="V19" s="12"/>
      </tp>
      <tp t="e">
        <v>#N/A</v>
        <stp/>
        <stp>BDH|5274444738858914735</stp>
        <tr r="X56" s="17"/>
      </tp>
      <tp t="e">
        <v>#N/A</v>
        <stp/>
        <stp>BDH|7630911900576700548</stp>
        <tr r="G78" s="24"/>
      </tp>
      <tp t="e">
        <v>#N/A</v>
        <stp/>
        <stp>BDH|5608473636718126729</stp>
        <tr r="V41" s="24"/>
      </tp>
      <tp t="e">
        <v>#N/A</v>
        <stp/>
        <stp>BDH|4718001592934720465</stp>
        <tr r="U11" s="21"/>
      </tp>
      <tp t="e">
        <v>#N/A</v>
        <stp/>
        <stp>BDH|3824131471400917867</stp>
        <tr r="N92" s="12"/>
      </tp>
      <tp t="e">
        <v>#N/A</v>
        <stp/>
        <stp>BDH|5502041406281203902</stp>
        <tr r="P17" s="23"/>
      </tp>
      <tp t="e">
        <v>#N/A</v>
        <stp/>
        <stp>BDH|5401864783661163954</stp>
        <tr r="Z12" s="17"/>
      </tp>
      <tp t="e">
        <v>#N/A</v>
        <stp/>
        <stp>BDH|5144804875521671672</stp>
        <tr r="M15" s="29"/>
        <tr r="M38" s="29"/>
      </tp>
      <tp t="e">
        <v>#N/A</v>
        <stp/>
        <stp>BDH|8672705910116760545</stp>
        <tr r="J207" s="18"/>
      </tp>
      <tp t="e">
        <v>#N/A</v>
        <stp/>
        <stp>BDH|9151064787414303866</stp>
        <tr r="E19" s="24"/>
      </tp>
      <tp t="e">
        <v>#N/A</v>
        <stp/>
        <stp>BDH|9831330138351063565</stp>
        <tr r="I49" s="18"/>
      </tp>
      <tp t="e">
        <v>#N/A</v>
        <stp/>
        <stp>BDH|9274995861099633294</stp>
        <tr r="C19" s="18"/>
      </tp>
      <tp t="e">
        <v>#N/A</v>
        <stp/>
        <stp>BDH|7072422691610772711</stp>
        <tr r="X49" s="6"/>
        <tr r="Z10" s="8"/>
      </tp>
      <tp t="e">
        <v>#N/A</v>
        <stp/>
        <stp>BDH|5199179682978093915</stp>
        <tr r="E94" s="24"/>
      </tp>
      <tp t="e">
        <v>#N/A</v>
        <stp/>
        <stp>BDH|9806590723491243255</stp>
        <tr r="L65" s="13"/>
      </tp>
      <tp t="e">
        <v>#N/A</v>
        <stp/>
        <stp>BDH|7755193213229980318</stp>
        <tr r="G7" s="21"/>
      </tp>
      <tp t="e">
        <v>#N/A</v>
        <stp/>
        <stp>BDH|8882939681501854575</stp>
        <tr r="W142" s="18"/>
      </tp>
      <tp t="e">
        <v>#N/A</v>
        <stp/>
        <stp>BDH|8996810715884049881</stp>
        <tr r="W47" s="17"/>
      </tp>
      <tp t="e">
        <v>#N/A</v>
        <stp/>
        <stp>BDH|7759105563398567541</stp>
        <tr r="R79" s="12"/>
      </tp>
      <tp t="e">
        <v>#N/A</v>
        <stp/>
        <stp>BDH|5312674290322331521</stp>
        <tr r="H9" s="21"/>
      </tp>
      <tp t="e">
        <v>#N/A</v>
        <stp/>
        <stp>BDH|2474884041786921512</stp>
        <tr r="F93" s="18"/>
      </tp>
      <tp t="e">
        <v>#N/A</v>
        <stp/>
        <stp>BDH|4624022394328768821</stp>
        <tr r="O21" s="22"/>
      </tp>
      <tp t="e">
        <v>#N/A</v>
        <stp/>
        <stp>BDH|7822594971279025151</stp>
        <tr r="C88" s="18"/>
      </tp>
      <tp t="e">
        <v>#N/A</v>
        <stp/>
        <stp>BDH|5743071770696468913</stp>
        <tr r="Z101" s="18"/>
      </tp>
      <tp t="e">
        <v>#N/A</v>
        <stp/>
        <stp>BDH|9647304162921866096</stp>
        <tr r="R78" s="17"/>
      </tp>
      <tp t="e">
        <v>#N/A</v>
        <stp/>
        <stp>BDH|4034638773308658034</stp>
        <tr r="X52" s="12"/>
      </tp>
      <tp t="e">
        <v>#N/A</v>
        <stp/>
        <stp>BDH|1313803263751399364</stp>
        <tr r="K39" s="34"/>
      </tp>
      <tp t="e">
        <v>#N/A</v>
        <stp/>
        <stp>BDH|1893875615730842574</stp>
        <tr r="T35" s="26"/>
      </tp>
      <tp t="e">
        <v>#N/A</v>
        <stp/>
        <stp>BDH|6674543706177262938</stp>
        <tr r="S56" s="13"/>
      </tp>
      <tp t="e">
        <v>#N/A</v>
        <stp/>
        <stp>BDH|9294465719601898009</stp>
        <tr r="K66" s="18"/>
      </tp>
      <tp t="e">
        <v>#N/A</v>
        <stp/>
        <stp>BDH|5477570288926621381</stp>
        <tr r="F146" s="18"/>
      </tp>
      <tp t="e">
        <v>#N/A</v>
        <stp/>
        <stp>BDH|4571843995599141108</stp>
        <tr r="X97" s="12"/>
      </tp>
      <tp t="e">
        <v>#N/A</v>
        <stp/>
        <stp>BDH|9747022731321503648</stp>
        <tr r="S18" s="20"/>
      </tp>
      <tp t="e">
        <v>#N/A</v>
        <stp/>
        <stp>BDH|6191662450050611846</stp>
        <tr r="D19" s="34"/>
      </tp>
      <tp t="e">
        <v>#N/A</v>
        <stp/>
        <stp>BDH|3281662440859598547</stp>
        <tr r="P67" s="21"/>
      </tp>
      <tp t="e">
        <v>#N/A</v>
        <stp/>
        <stp>BDH|8338049616721538511</stp>
        <tr r="M22" s="20"/>
      </tp>
      <tp t="e">
        <v>#N/A</v>
        <stp/>
        <stp>BDH|2289236357338028030</stp>
        <tr r="F197" s="18"/>
      </tp>
      <tp t="e">
        <v>#N/A</v>
        <stp/>
        <stp>BDH|3679839617695115266</stp>
        <tr r="D17" s="23"/>
      </tp>
      <tp t="e">
        <v>#N/A</v>
        <stp/>
        <stp>BDH|1385976640697451652</stp>
        <tr r="D16" s="2"/>
        <tr r="D32" s="4"/>
        <tr r="D62" s="10"/>
        <tr r="F19" s="13"/>
      </tp>
      <tp t="e">
        <v>#N/A</v>
        <stp/>
        <stp>BDH|8527080259833030317</stp>
        <tr r="P14" s="21"/>
      </tp>
      <tp t="e">
        <v>#N/A</v>
        <stp/>
        <stp>BDH|4157098272099760785</stp>
        <tr r="Y15" s="14"/>
      </tp>
      <tp t="e">
        <v>#N/A</v>
        <stp/>
        <stp>BDH|20246965182235666</stp>
        <tr r="L137" s="18"/>
      </tp>
      <tp t="e">
        <v>#N/A</v>
        <stp/>
        <stp>BDH|54052344565043120</stp>
        <tr r="W35" s="34"/>
      </tp>
      <tp t="e">
        <v>#N/A</v>
        <stp/>
        <stp>BDH|65744955777481551</stp>
        <tr r="N59" s="34"/>
      </tp>
      <tp t="e">
        <v>#N/A</v>
        <stp/>
        <stp>BDH|41677839391779495</stp>
        <tr r="S28" s="24"/>
      </tp>
      <tp t="e">
        <v>#N/A</v>
        <stp/>
        <stp>BDH|18232355080803716</stp>
        <tr r="M28" s="22"/>
      </tp>
      <tp t="e">
        <v>#N/A</v>
        <stp/>
        <stp>BDH|88479009617051315</stp>
        <tr r="C35" s="10"/>
        <tr r="C25" s="11"/>
      </tp>
      <tp t="e">
        <v>#N/A</v>
        <stp/>
        <stp>BDH|44643244245831733</stp>
        <tr r="H53" s="10"/>
        <tr r="H43" s="11"/>
        <tr r="H16" s="7"/>
      </tp>
      <tp t="e">
        <v>#N/A</v>
        <stp/>
        <stp>BDH|67556577840197286</stp>
        <tr r="R97" s="12"/>
      </tp>
      <tp t="e">
        <v>#N/A</v>
        <stp/>
        <stp>BDH|17550303327429292</stp>
        <tr r="S24" s="24"/>
      </tp>
      <tp t="e">
        <v>#N/A</v>
        <stp/>
        <stp>BDH|92307503123891033</stp>
        <tr r="W78" s="24"/>
      </tp>
      <tp t="e">
        <v>#N/A</v>
        <stp/>
        <stp>BDH|2830436560516712860</stp>
        <tr r="N23" s="6"/>
      </tp>
      <tp t="e">
        <v>#N/A</v>
        <stp/>
        <stp>BDH|9621304652196678781</stp>
        <tr r="I22" s="7"/>
      </tp>
      <tp t="e">
        <v>#N/A</v>
        <stp/>
        <stp>BDH|9353575521612815276</stp>
        <tr r="F26" s="27"/>
      </tp>
      <tp t="e">
        <v>#N/A</v>
        <stp/>
        <stp>BDH|5536481385896627149</stp>
        <tr r="M102" s="18"/>
      </tp>
      <tp t="e">
        <v>#N/A</v>
        <stp/>
        <stp>BDH|8986169453156189478</stp>
        <tr r="N8" s="2"/>
      </tp>
      <tp t="e">
        <v>#N/A</v>
        <stp/>
        <stp>BDH|7507555507785962944</stp>
        <tr r="Q140" s="18"/>
      </tp>
      <tp t="e">
        <v>#N/A</v>
        <stp/>
        <stp>BDH|9843103421743168726</stp>
        <tr r="W62" s="18"/>
      </tp>
      <tp t="e">
        <v>#N/A</v>
        <stp/>
        <stp>BDH|7228856576690993628</stp>
        <tr r="K32" s="24"/>
      </tp>
      <tp t="e">
        <v>#N/A</v>
        <stp/>
        <stp>BDH|3973607397687535516</stp>
        <tr r="M82" s="24"/>
      </tp>
      <tp t="e">
        <v>#N/A</v>
        <stp/>
        <stp>BDH|4980658240239096169</stp>
        <tr r="W38" s="22"/>
      </tp>
      <tp t="e">
        <v>#N/A</v>
        <stp/>
        <stp>BDH|5343816606360763395</stp>
        <tr r="T13" s="2"/>
      </tp>
      <tp t="e">
        <v>#N/A</v>
        <stp/>
        <stp>BDH|1013005232369125597</stp>
        <tr r="P78" s="17"/>
      </tp>
      <tp t="e">
        <v>#N/A</v>
        <stp/>
        <stp>BDH|5861917414146219553</stp>
        <tr r="S63" s="21"/>
      </tp>
      <tp t="e">
        <v>#N/A</v>
        <stp/>
        <stp>BDH|1740805193489749794</stp>
        <tr r="P27" s="10"/>
        <tr r="R36" s="13"/>
      </tp>
      <tp t="e">
        <v>#N/A</v>
        <stp/>
        <stp>BDH|7577696524524690949</stp>
        <tr r="J137" s="18"/>
      </tp>
      <tp t="e">
        <v>#N/A</v>
        <stp/>
        <stp>BDH|3127187370188393309</stp>
        <tr r="U22" s="24"/>
      </tp>
      <tp t="e">
        <v>#N/A</v>
        <stp/>
        <stp>BDH|4442812339909386850</stp>
        <tr r="V209" s="18"/>
      </tp>
      <tp t="e">
        <v>#N/A</v>
        <stp/>
        <stp>BDH|6200121745619898479</stp>
        <tr r="L16" s="18"/>
      </tp>
      <tp t="e">
        <v>#N/A</v>
        <stp/>
        <stp>BDH|4369072184736851421</stp>
        <tr r="E39" s="17"/>
      </tp>
      <tp t="e">
        <v>#N/A</v>
        <stp/>
        <stp>BDH|8272024762713110393</stp>
        <tr r="E75" s="34"/>
      </tp>
      <tp t="e">
        <v>#N/A</v>
        <stp/>
        <stp>BDH|9033003367634862556</stp>
        <tr r="G13" s="9"/>
      </tp>
      <tp t="e">
        <v>#N/A</v>
        <stp/>
        <stp>BDH|9923131421425396128</stp>
        <tr r="X39" s="4"/>
        <tr r="X66" s="10"/>
      </tp>
      <tp t="e">
        <v>#N/A</v>
        <stp/>
        <stp>BDH|8995383645598934975</stp>
        <tr r="J53" s="6"/>
      </tp>
      <tp t="e">
        <v>#N/A</v>
        <stp/>
        <stp>BDH|4283623547669969142</stp>
        <tr r="I47" s="21"/>
      </tp>
      <tp t="e">
        <v>#N/A</v>
        <stp/>
        <stp>BDH|8551999057098161203</stp>
        <tr r="G65" s="13"/>
      </tp>
      <tp t="e">
        <v>#N/A</v>
        <stp/>
        <stp>BDH|1619689682266743716</stp>
        <tr r="X92" s="17"/>
        <tr r="X7" s="27"/>
      </tp>
      <tp t="e">
        <v>#N/A</v>
        <stp/>
        <stp>BDH|2844631185467588511</stp>
        <tr r="G21" s="30"/>
      </tp>
      <tp t="e">
        <v>#N/A</v>
        <stp/>
        <stp>BDH|6097270543417668983</stp>
        <tr r="N32" s="22"/>
      </tp>
      <tp t="e">
        <v>#N/A</v>
        <stp/>
        <stp>BDH|7092016794824692495</stp>
        <tr r="T15" s="11"/>
      </tp>
      <tp t="e">
        <v>#N/A</v>
        <stp/>
        <stp>BDH|3878177825189723778</stp>
        <tr r="P92" s="12"/>
      </tp>
      <tp t="e">
        <v>#N/A</v>
        <stp/>
        <stp>BDH|1999702803608035003</stp>
        <tr r="H74" s="12"/>
      </tp>
      <tp t="e">
        <v>#N/A</v>
        <stp/>
        <stp>BDH|4819986159706053038</stp>
        <tr r="I15" s="5"/>
      </tp>
      <tp t="e">
        <v>#N/A</v>
        <stp/>
        <stp>BDH|6237132785630737198</stp>
        <tr r="T99" s="12"/>
      </tp>
      <tp t="e">
        <v>#N/A</v>
        <stp/>
        <stp>BDH|2979155986905015006</stp>
        <tr r="G62" s="18"/>
      </tp>
      <tp t="e">
        <v>#N/A</v>
        <stp/>
        <stp>BDH|8992275603773011776</stp>
        <tr r="E105" s="12"/>
      </tp>
      <tp t="e">
        <v>#N/A</v>
        <stp/>
        <stp>BDH|3295889565884037757</stp>
        <tr r="O72" s="13"/>
      </tp>
      <tp t="e">
        <v>#N/A</v>
        <stp/>
        <stp>BDH|7665075465218795796</stp>
        <tr r="Z15" s="30"/>
      </tp>
      <tp t="e">
        <v>#N/A</v>
        <stp/>
        <stp>BDH|4516963644901531686</stp>
        <tr r="E45" s="4"/>
        <tr r="E33" s="10"/>
        <tr r="E23" s="11"/>
        <tr r="G33" s="13"/>
      </tp>
      <tp t="e">
        <v>#N/A</v>
        <stp/>
        <stp>BDH|3403280023748212567</stp>
        <tr r="M206" s="18"/>
      </tp>
      <tp t="e">
        <v>#N/A</v>
        <stp/>
        <stp>BDH|1705953308263607570</stp>
        <tr r="N20" s="6"/>
      </tp>
      <tp t="e">
        <v>#N/A</v>
        <stp/>
        <stp>BDH|2886285802609084792</stp>
        <tr r="Q12" s="26"/>
      </tp>
      <tp t="e">
        <v>#N/A</v>
        <stp/>
        <stp>BDH|3633979956795957458</stp>
        <tr r="T26" s="27"/>
      </tp>
      <tp t="e">
        <v>#N/A</v>
        <stp/>
        <stp>BDH|6993698511106807920</stp>
        <tr r="H208" s="18"/>
      </tp>
      <tp t="e">
        <v>#N/A</v>
        <stp/>
        <stp>BDH|4008974049874743328</stp>
        <tr r="N42" s="34"/>
      </tp>
      <tp t="e">
        <v>#N/A</v>
        <stp/>
        <stp>BDH|4644983804744980788</stp>
        <tr r="U45" s="17"/>
      </tp>
      <tp t="e">
        <v>#N/A</v>
        <stp/>
        <stp>BDH|2471843229175306316</stp>
        <tr r="W21" s="9"/>
      </tp>
      <tp t="e">
        <v>#N/A</v>
        <stp/>
        <stp>BDH|3893379892261401621</stp>
        <tr r="P9" s="11"/>
      </tp>
      <tp t="e">
        <v>#N/A</v>
        <stp/>
        <stp>BDH|4908604068523232981</stp>
        <tr r="T47" s="17"/>
      </tp>
      <tp t="e">
        <v>#N/A</v>
        <stp/>
        <stp>BDH|5038298271869455773</stp>
        <tr r="I16" s="24"/>
      </tp>
      <tp t="e">
        <v>#N/A</v>
        <stp/>
        <stp>BDH|2739684388733452180</stp>
        <tr r="V16" s="11"/>
      </tp>
      <tp t="e">
        <v>#N/A</v>
        <stp/>
        <stp>BDH|4731084868295510990</stp>
        <tr r="X174" s="18"/>
      </tp>
      <tp t="e">
        <v>#N/A</v>
        <stp/>
        <stp>BDH|4125151098612076076</stp>
        <tr r="D6" s="8"/>
      </tp>
      <tp t="e">
        <v>#N/A</v>
        <stp/>
        <stp>BDH|8243287887754105870</stp>
        <tr r="I34" s="9"/>
      </tp>
      <tp t="e">
        <v>#N/A</v>
        <stp/>
        <stp>BDH|7942941656334526153</stp>
        <tr r="I52" s="6"/>
      </tp>
      <tp t="e">
        <v>#N/A</v>
        <stp/>
        <stp>BDH|6773778099110390611</stp>
        <tr r="Z29" s="21"/>
      </tp>
      <tp t="e">
        <v>#N/A</v>
        <stp/>
        <stp>BDH|8634621599748417122</stp>
        <tr r="V9" s="21"/>
      </tp>
      <tp t="e">
        <v>#N/A</v>
        <stp/>
        <stp>BDH|7689690522338309552</stp>
        <tr r="M189" s="18"/>
      </tp>
      <tp t="e">
        <v>#N/A</v>
        <stp/>
        <stp>BDH|3486697614892478869</stp>
        <tr r="K29" s="17"/>
      </tp>
      <tp t="e">
        <v>#N/A</v>
        <stp/>
        <stp>BDH|3848870747402482371</stp>
        <tr r="M73" s="10"/>
        <tr r="M63" s="11"/>
      </tp>
      <tp t="e">
        <v>#N/A</v>
        <stp/>
        <stp>BDH|5590192434578308107</stp>
        <tr r="Z170" s="18"/>
      </tp>
      <tp t="e">
        <v>#N/A</v>
        <stp/>
        <stp>BDH|4170516274971951965</stp>
        <tr r="U132" s="18"/>
      </tp>
      <tp t="e">
        <v>#N/A</v>
        <stp/>
        <stp>BDH|9407572678831531451</stp>
        <tr r="M8" s="6"/>
      </tp>
      <tp t="e">
        <v>#N/A</v>
        <stp/>
        <stp>BDH|8997274274655594649</stp>
        <tr r="G61" s="17"/>
      </tp>
      <tp t="e">
        <v>#N/A</v>
        <stp/>
        <stp>BDH|4308227988279174939</stp>
        <tr r="V13" s="12"/>
      </tp>
      <tp t="e">
        <v>#N/A</v>
        <stp/>
        <stp>BDH|9447735935941918204</stp>
        <tr r="J129" s="18"/>
      </tp>
      <tp t="e">
        <v>#N/A</v>
        <stp/>
        <stp>BDH|6496143547688490588</stp>
        <tr r="K25" s="6"/>
      </tp>
      <tp t="e">
        <v>#N/A</v>
        <stp/>
        <stp>BDH|3436509093450977155</stp>
        <tr r="D24" s="4"/>
        <tr r="D55" s="11"/>
      </tp>
      <tp t="e">
        <v>#N/A</v>
        <stp/>
        <stp>BDH|8114877807326382891</stp>
        <tr r="X39" s="10"/>
        <tr r="X29" s="11"/>
      </tp>
      <tp t="e">
        <v>#N/A</v>
        <stp/>
        <stp>BDH|3370925370905362692</stp>
        <tr r="M30" s="18"/>
      </tp>
      <tp t="e">
        <v>#N/A</v>
        <stp/>
        <stp>BDH|5185651983536443387</stp>
        <tr r="N69" s="34"/>
      </tp>
      <tp t="e">
        <v>#N/A</v>
        <stp/>
        <stp>BDH|6209294490575890687</stp>
        <tr r="L45" s="12"/>
      </tp>
      <tp t="e">
        <v>#N/A</v>
        <stp/>
        <stp>BDH|1637139161100636896</stp>
        <tr r="Y98" s="18"/>
      </tp>
      <tp t="e">
        <v>#N/A</v>
        <stp/>
        <stp>BDH|5145383192835579456</stp>
        <tr r="N43" s="4"/>
      </tp>
      <tp t="e">
        <v>#N/A</v>
        <stp/>
        <stp>BDH|3096258909117487836</stp>
        <tr r="O192" s="18"/>
      </tp>
      <tp t="e">
        <v>#N/A</v>
        <stp/>
        <stp>BDH|4896668854091392819</stp>
        <tr r="Y57" s="24"/>
      </tp>
      <tp t="e">
        <v>#N/A</v>
        <stp/>
        <stp>BDH|6951254592527561433</stp>
        <tr r="V12" s="13"/>
      </tp>
      <tp t="e">
        <v>#N/A</v>
        <stp/>
        <stp>BDH|2981151385170785561</stp>
        <tr r="U136" s="18"/>
      </tp>
      <tp t="e">
        <v>#N/A</v>
        <stp/>
        <stp>BDH|7941474186302012703</stp>
        <tr r="Y48" s="12"/>
      </tp>
      <tp t="e">
        <v>#N/A</v>
        <stp/>
        <stp>BDH|9758792540262709614</stp>
        <tr r="O64" s="18"/>
      </tp>
      <tp t="e">
        <v>#N/A</v>
        <stp/>
        <stp>BDH|1375886865676100776</stp>
        <tr r="Z40" s="24"/>
      </tp>
      <tp t="e">
        <v>#N/A</v>
        <stp/>
        <stp>BDH|9932596177170623595</stp>
        <tr r="T53" s="17"/>
      </tp>
      <tp t="e">
        <v>#N/A</v>
        <stp/>
        <stp>BDH|8757525869603171652</stp>
        <tr r="T18" s="26"/>
      </tp>
      <tp t="e">
        <v>#N/A</v>
        <stp/>
        <stp>BDH|4144306695259575995</stp>
        <tr r="O84" s="18"/>
      </tp>
      <tp t="e">
        <v>#N/A</v>
        <stp/>
        <stp>BDH|6957775006519074600</stp>
        <tr r="H144" s="18"/>
      </tp>
      <tp t="e">
        <v>#N/A</v>
        <stp/>
        <stp>BDH|9153383631604850380</stp>
        <tr r="P21" s="24"/>
      </tp>
      <tp t="e">
        <v>#N/A</v>
        <stp/>
        <stp>BDH|4638936610797846552</stp>
        <tr r="D14" s="23"/>
      </tp>
      <tp t="e">
        <v>#N/A</v>
        <stp/>
        <stp>BDH|2403913650699536982</stp>
        <tr r="S25" s="2"/>
        <tr r="U62" s="21"/>
      </tp>
      <tp t="e">
        <v>#N/A</v>
        <stp/>
        <stp>BDH|7396077561849491698</stp>
        <tr r="Y26" s="24"/>
      </tp>
      <tp t="e">
        <v>#N/A</v>
        <stp/>
        <stp>BDH|1510997531890005559</stp>
        <tr r="H23" s="26"/>
      </tp>
      <tp t="e">
        <v>#N/A</v>
        <stp/>
        <stp>BDH|8894391448349183805</stp>
        <tr r="F18" s="20"/>
      </tp>
      <tp t="e">
        <v>#N/A</v>
        <stp/>
        <stp>BDH|4830534496327337161</stp>
        <tr r="D92" s="24"/>
      </tp>
      <tp t="e">
        <v>#N/A</v>
        <stp/>
        <stp>BDH|8803274177265076607</stp>
        <tr r="H68" s="10"/>
      </tp>
      <tp t="e">
        <v>#N/A</v>
        <stp/>
        <stp>BDH|9545217138485493307</stp>
        <tr r="N9" s="27"/>
      </tp>
      <tp t="e">
        <v>#N/A</v>
        <stp/>
        <stp>BDH|7495946215281562083</stp>
        <tr r="I57" s="13"/>
      </tp>
      <tp t="e">
        <v>#N/A</v>
        <stp/>
        <stp>BDH|2999951372016242444</stp>
        <tr r="G25" s="9"/>
      </tp>
      <tp t="e">
        <v>#N/A</v>
        <stp/>
        <stp>BDH|5436625173622828859</stp>
        <tr r="H117" s="18"/>
      </tp>
      <tp t="e">
        <v>#N/A</v>
        <stp/>
        <stp>BDH|2248560985894156582</stp>
        <tr r="D62" s="18"/>
      </tp>
      <tp t="e">
        <v>#N/A</v>
        <stp/>
        <stp>BDH|4115744494923946702</stp>
        <tr r="F7" s="21"/>
      </tp>
      <tp t="e">
        <v>#N/A</v>
        <stp/>
        <stp>BDH|6775185385033400268</stp>
        <tr r="Q9" s="14"/>
      </tp>
      <tp t="e">
        <v>#N/A</v>
        <stp/>
        <stp>BDH|6372124983494991534</stp>
        <tr r="Z83" s="24"/>
      </tp>
      <tp t="e">
        <v>#N/A</v>
        <stp/>
        <stp>BDH|9940554036879614843</stp>
        <tr r="N9" s="12"/>
      </tp>
      <tp t="e">
        <v>#N/A</v>
        <stp/>
        <stp>BDH|6918612346128697201</stp>
        <tr r="S82" s="24"/>
      </tp>
      <tp t="e">
        <v>#N/A</v>
        <stp/>
        <stp>BDH|7981610794686526016</stp>
        <tr r="I61" s="24"/>
      </tp>
      <tp t="e">
        <v>#N/A</v>
        <stp/>
        <stp>BDH|5367728050658079195</stp>
        <tr r="S24" s="6"/>
      </tp>
      <tp t="e">
        <v>#N/A</v>
        <stp/>
        <stp>BDH|9303372327525893333</stp>
        <tr r="E17" s="5"/>
        <tr r="E32" s="6"/>
      </tp>
      <tp t="e">
        <v>#N/A</v>
        <stp/>
        <stp>BDH|3065225599746009039</stp>
        <tr r="C41" s="22"/>
      </tp>
      <tp t="e">
        <v>#N/A</v>
        <stp/>
        <stp>BDH|2089823853673188288</stp>
        <tr r="U15" s="9"/>
      </tp>
      <tp t="e">
        <v>#N/A</v>
        <stp/>
        <stp>BDH|7144171119438658119</stp>
        <tr r="T56" s="13"/>
      </tp>
      <tp t="e">
        <v>#N/A</v>
        <stp/>
        <stp>BDH|9752492016951712373</stp>
        <tr r="O25" s="18"/>
      </tp>
      <tp t="e">
        <v>#N/A</v>
        <stp/>
        <stp>BDH|2453289521774760821</stp>
        <tr r="O34" s="22"/>
      </tp>
      <tp t="e">
        <v>#N/A</v>
        <stp/>
        <stp>BDH|7882872246700901581</stp>
        <tr r="P53" s="24"/>
      </tp>
      <tp t="e">
        <v>#N/A</v>
        <stp/>
        <stp>BDH|7895072467126022904</stp>
        <tr r="Q63" s="13"/>
      </tp>
      <tp t="e">
        <v>#N/A</v>
        <stp/>
        <stp>BDH|6930159362676624901</stp>
        <tr r="C48" s="13"/>
      </tp>
      <tp t="e">
        <v>#N/A</v>
        <stp/>
        <stp>BDH|3900998351238073992</stp>
        <tr r="D35" s="22"/>
      </tp>
      <tp t="e">
        <v>#N/A</v>
        <stp/>
        <stp>BDH|9821737301395285501</stp>
        <tr r="O45" s="17"/>
      </tp>
      <tp t="e">
        <v>#N/A</v>
        <stp/>
        <stp>BDH|1217908703256859010</stp>
        <tr r="X204" s="18"/>
      </tp>
      <tp t="e">
        <v>#N/A</v>
        <stp/>
        <stp>BDH|4922995864921595499</stp>
        <tr r="J31" s="21"/>
      </tp>
      <tp t="e">
        <v>#N/A</v>
        <stp/>
        <stp>BDH|7202463793275615181</stp>
        <tr r="U31" s="10"/>
        <tr r="W40" s="13"/>
      </tp>
      <tp t="e">
        <v>#N/A</v>
        <stp/>
        <stp>BDH|8946017756453315047</stp>
        <tr r="M27" s="17"/>
      </tp>
      <tp t="e">
        <v>#N/A</v>
        <stp/>
        <stp>BDH|3619385728334823874</stp>
        <tr r="R14" s="23"/>
      </tp>
      <tp t="e">
        <v>#N/A</v>
        <stp/>
        <stp>BDH|8814197012082858423</stp>
        <tr r="U13" s="30"/>
      </tp>
      <tp t="e">
        <v>#N/A</v>
        <stp/>
        <stp>BDH|8382081251012694150</stp>
        <tr r="Y88" s="17"/>
      </tp>
      <tp t="e">
        <v>#N/A</v>
        <stp/>
        <stp>BDH|8860654457555053032</stp>
        <tr r="K38" s="22"/>
      </tp>
      <tp t="e">
        <v>#N/A</v>
        <stp/>
        <stp>BDH|4523809748200098640</stp>
        <tr r="M89" s="12"/>
      </tp>
      <tp t="e">
        <v>#N/A</v>
        <stp/>
        <stp>BDH|8054726247376505393</stp>
        <tr r="D93" s="18"/>
      </tp>
      <tp t="e">
        <v>#N/A</v>
        <stp/>
        <stp>BDH|9445532499133710805</stp>
        <tr r="Q24" s="2"/>
      </tp>
      <tp t="e">
        <v>#N/A</v>
        <stp/>
        <stp>BDH|5446872162344810107</stp>
        <tr r="U37" s="26"/>
      </tp>
      <tp t="e">
        <v>#N/A</v>
        <stp/>
        <stp>BDH|7559047201571854811</stp>
        <tr r="V53" s="24"/>
      </tp>
      <tp t="e">
        <v>#N/A</v>
        <stp/>
        <stp>BDH|9438267407254868142</stp>
        <tr r="O41" s="22"/>
      </tp>
      <tp t="e">
        <v>#N/A</v>
        <stp/>
        <stp>BDH|6265219787264476698</stp>
        <tr r="I18" s="12"/>
      </tp>
      <tp t="e">
        <v>#N/A</v>
        <stp/>
        <stp>BDH|1179767506698858001</stp>
        <tr r="N20" s="24"/>
      </tp>
      <tp t="e">
        <v>#N/A</v>
        <stp/>
        <stp>BDH|9686229830103901542</stp>
        <tr r="P113" s="18"/>
      </tp>
      <tp t="e">
        <v>#N/A</v>
        <stp/>
        <stp>BDH|5180030900148985323</stp>
        <tr r="Z11" s="22"/>
      </tp>
      <tp t="e">
        <v>#N/A</v>
        <stp/>
        <stp>BDH|2694408549228399458</stp>
        <tr r="M33" s="12"/>
      </tp>
      <tp t="e">
        <v>#N/A</v>
        <stp/>
        <stp>BDH|8355254822516549085</stp>
        <tr r="K77" s="34"/>
      </tp>
      <tp t="e">
        <v>#N/A</v>
        <stp/>
        <stp>BDH|5832003100218939384</stp>
        <tr r="AA96" s="12"/>
      </tp>
      <tp t="e">
        <v>#N/A</v>
        <stp/>
        <stp>BDH|2123858960781813358</stp>
        <tr r="Y124" s="18"/>
        <tr r="Y13" s="20"/>
      </tp>
      <tp t="e">
        <v>#N/A</v>
        <stp/>
        <stp>BDH|9932260603327414215</stp>
        <tr r="R79" s="18"/>
      </tp>
      <tp t="e">
        <v>#N/A</v>
        <stp/>
        <stp>BDH|2848036276843363878</stp>
        <tr r="P14" s="34"/>
      </tp>
      <tp t="e">
        <v>#N/A</v>
        <stp/>
        <stp>BDH|1315895047582756130</stp>
        <tr r="AA30" s="21"/>
      </tp>
      <tp t="e">
        <v>#N/A</v>
        <stp/>
        <stp>BDH|7851870844085700052</stp>
        <tr r="Q34" s="5"/>
        <tr r="S32" s="29"/>
      </tp>
      <tp t="e">
        <v>#N/A</v>
        <stp/>
        <stp>BDH|2682924149597080646</stp>
        <tr r="U84" s="12"/>
      </tp>
      <tp t="e">
        <v>#N/A</v>
        <stp/>
        <stp>BDH|7771028738903400900</stp>
        <tr r="M29" s="17"/>
      </tp>
      <tp t="e">
        <v>#N/A</v>
        <stp/>
        <stp>BDH|8783227598378631529</stp>
        <tr r="H48" s="22"/>
      </tp>
      <tp t="e">
        <v>#N/A</v>
        <stp/>
        <stp>BDH|9686983444583006938</stp>
        <tr r="P52" s="34"/>
      </tp>
      <tp t="e">
        <v>#N/A</v>
        <stp/>
        <stp>BDH|5689171709482251831</stp>
        <tr r="N21" s="2"/>
      </tp>
      <tp t="e">
        <v>#N/A</v>
        <stp/>
        <stp>BDH|3115909106613978771</stp>
        <tr r="E162" s="18"/>
      </tp>
      <tp t="e">
        <v>#N/A</v>
        <stp/>
        <stp>BDH|9437177015012999565</stp>
        <tr r="M48" s="12"/>
      </tp>
      <tp t="e">
        <v>#N/A</v>
        <stp/>
        <stp>BDH|4521613908544757829</stp>
        <tr r="P26" s="24"/>
      </tp>
      <tp t="e">
        <v>#N/A</v>
        <stp/>
        <stp>BDH|7857973111816431736</stp>
        <tr r="U49" s="17"/>
      </tp>
      <tp t="e">
        <v>#N/A</v>
        <stp/>
        <stp>BDH|3054120379942164931</stp>
        <tr r="X149" s="18"/>
      </tp>
      <tp t="e">
        <v>#N/A</v>
        <stp/>
        <stp>BDH|7813463793800105451</stp>
        <tr r="L49" s="12"/>
      </tp>
      <tp t="e">
        <v>#N/A</v>
        <stp/>
        <stp>BDH|8063416044057428189</stp>
        <tr r="J53" s="10"/>
        <tr r="J43" s="11"/>
        <tr r="J16" s="7"/>
      </tp>
      <tp t="e">
        <v>#N/A</v>
        <stp/>
        <stp>BDH|8767562119450795263</stp>
        <tr r="G43" s="12"/>
      </tp>
      <tp t="e">
        <v>#N/A</v>
        <stp/>
        <stp>BDH|8964423622447425749</stp>
        <tr r="O92" s="18"/>
      </tp>
      <tp t="e">
        <v>#N/A</v>
        <stp/>
        <stp>BDH|8329492506734741629</stp>
        <tr r="D49" s="4"/>
      </tp>
      <tp t="e">
        <v>#N/A</v>
        <stp/>
        <stp>BDH|2644879792858290581</stp>
        <tr r="X63" s="17"/>
      </tp>
      <tp t="e">
        <v>#N/A</v>
        <stp/>
        <stp>BDH|7844976256660902599</stp>
        <tr r="U91" s="24"/>
      </tp>
      <tp t="e">
        <v>#N/A</v>
        <stp/>
        <stp>BDH|8320699449706958234</stp>
        <tr r="H48" s="18"/>
      </tp>
      <tp t="e">
        <v>#N/A</v>
        <stp/>
        <stp>BDH|7439159696530988178</stp>
        <tr r="C69" s="10"/>
      </tp>
      <tp t="e">
        <v>#N/A</v>
        <stp/>
        <stp>BDH|7707254579318411469</stp>
        <tr r="Q37" s="12"/>
      </tp>
      <tp t="e">
        <v>#N/A</v>
        <stp/>
        <stp>BDH|5327370818959279073</stp>
        <tr r="T50" s="12"/>
      </tp>
      <tp t="e">
        <v>#N/A</v>
        <stp/>
        <stp>BDH|9509677572366126089</stp>
        <tr r="P13" s="6"/>
      </tp>
      <tp t="e">
        <v>#N/A</v>
        <stp/>
        <stp>BDH|8678038935092913701</stp>
        <tr r="Q26" s="10"/>
        <tr r="S35" s="13"/>
      </tp>
      <tp t="e">
        <v>#N/A</v>
        <stp/>
        <stp>BDH|4311030693962266180</stp>
        <tr r="AA17" s="30"/>
      </tp>
      <tp t="e">
        <v>#N/A</v>
        <stp/>
        <stp>BDH|1019685780581284037</stp>
        <tr r="T43" s="21"/>
      </tp>
      <tp t="e">
        <v>#N/A</v>
        <stp/>
        <stp>BDH|3249979688234623823</stp>
        <tr r="I76" s="12"/>
      </tp>
      <tp t="e">
        <v>#N/A</v>
        <stp/>
        <stp>BDH|6076172595966851648</stp>
        <tr r="U23" s="23"/>
      </tp>
      <tp t="e">
        <v>#N/A</v>
        <stp/>
        <stp>BDH|7511043950324940864</stp>
        <tr r="AA76" s="34"/>
      </tp>
      <tp t="e">
        <v>#N/A</v>
        <stp/>
        <stp>BDH|3814316064689097139</stp>
        <tr r="N198" s="18"/>
      </tp>
      <tp t="e">
        <v>#N/A</v>
        <stp/>
        <stp>BDH|6882092739849184279</stp>
        <tr r="Q100" s="18"/>
      </tp>
      <tp t="e">
        <v>#N/A</v>
        <stp/>
        <stp>BDH|4869656883285466147</stp>
        <tr r="K69" s="10"/>
      </tp>
      <tp t="e">
        <v>#N/A</v>
        <stp/>
        <stp>BDH|1818703752914014949</stp>
        <tr r="X21" s="27"/>
      </tp>
      <tp t="e">
        <v>#N/A</v>
        <stp/>
        <stp>BDH|1600987345232571000</stp>
        <tr r="Q51" s="13"/>
      </tp>
      <tp t="e">
        <v>#N/A</v>
        <stp/>
        <stp>BDH|3343851147710729182</stp>
        <tr r="L78" s="17"/>
      </tp>
      <tp t="e">
        <v>#N/A</v>
        <stp/>
        <stp>BDH|2817812836270447750</stp>
        <tr r="F46" s="34"/>
      </tp>
      <tp t="e">
        <v>#N/A</v>
        <stp/>
        <stp>BDH|3303395342958311259</stp>
        <tr r="G26" s="10"/>
        <tr r="I35" s="13"/>
      </tp>
      <tp t="e">
        <v>#N/A</v>
        <stp/>
        <stp>BDH|1555883029270215581</stp>
        <tr r="AA21" s="30"/>
      </tp>
      <tp t="e">
        <v>#N/A</v>
        <stp/>
        <stp>BDH|7863506441609646116</stp>
        <tr r="G30" s="29"/>
        <tr r="G8" s="29"/>
      </tp>
      <tp t="e">
        <v>#N/A</v>
        <stp/>
        <stp>BDH|2932119393946767221</stp>
        <tr r="S7" s="21"/>
      </tp>
      <tp t="e">
        <v>#N/A</v>
        <stp/>
        <stp>BDH|5166168648976165805</stp>
        <tr r="V25" s="6"/>
      </tp>
      <tp t="e">
        <v>#N/A</v>
        <stp/>
        <stp>BDH|8826188111911720786</stp>
        <tr r="U8" s="34"/>
      </tp>
      <tp t="e">
        <v>#N/A</v>
        <stp/>
        <stp>BDH|3866262059302931803</stp>
        <tr r="R24" s="17"/>
      </tp>
      <tp t="e">
        <v>#N/A</v>
        <stp/>
        <stp>BDH|3720995864405709734</stp>
        <tr r="N13" s="22"/>
      </tp>
      <tp t="e">
        <v>#N/A</v>
        <stp/>
        <stp>BDH|5413665880012928751</stp>
        <tr r="Z86" s="18"/>
      </tp>
      <tp t="e">
        <v>#N/A</v>
        <stp/>
        <stp>BDH|5090833138841713125</stp>
        <tr r="I27" s="25"/>
        <tr r="I13" s="27"/>
      </tp>
      <tp t="e">
        <v>#N/A</v>
        <stp/>
        <stp>BDH|9780505288849730360</stp>
        <tr r="R47" s="18"/>
      </tp>
      <tp t="e">
        <v>#N/A</v>
        <stp/>
        <stp>BDH|4673045578529767437</stp>
        <tr r="J51" s="17"/>
        <tr r="J17" s="3"/>
      </tp>
      <tp t="e">
        <v>#N/A</v>
        <stp/>
        <stp>BDH|3145341670181354887</stp>
        <tr r="L10" s="13"/>
      </tp>
      <tp t="e">
        <v>#N/A</v>
        <stp/>
        <stp>BDH|5326297957335303900</stp>
        <tr r="J9" s="28"/>
      </tp>
      <tp t="e">
        <v>#N/A</v>
        <stp/>
        <stp>BDH|5955129838180434997</stp>
        <tr r="H24" s="2"/>
      </tp>
      <tp t="e">
        <v>#N/A</v>
        <stp/>
        <stp>BDH|2542991507104296175</stp>
        <tr r="J28" s="12"/>
      </tp>
      <tp t="e">
        <v>#N/A</v>
        <stp/>
        <stp>BDH|3811619397061176317</stp>
        <tr r="C150" s="18"/>
      </tp>
      <tp t="e">
        <v>#N/A</v>
        <stp/>
        <stp>BDH|2998112163323246874</stp>
        <tr r="D43" s="6"/>
      </tp>
      <tp t="e">
        <v>#N/A</v>
        <stp/>
        <stp>BDH|3164740091555285680</stp>
        <tr r="Z7" s="8"/>
      </tp>
      <tp t="e">
        <v>#N/A</v>
        <stp/>
        <stp>BDH|5136209247025183899</stp>
        <tr r="S47" s="6"/>
        <tr r="U6" s="8"/>
      </tp>
      <tp t="e">
        <v>#N/A</v>
        <stp/>
        <stp>BDH|8126194167934447550</stp>
        <tr r="K48" s="6"/>
        <tr r="M9" s="8"/>
      </tp>
      <tp t="e">
        <v>#N/A</v>
        <stp/>
        <stp>BDH|7575983008388886834</stp>
        <tr r="K50" s="13"/>
      </tp>
      <tp t="e">
        <v>#N/A</v>
        <stp/>
        <stp>BDH|4388556412998942639</stp>
        <tr r="T13" s="7"/>
      </tp>
      <tp t="e">
        <v>#N/A</v>
        <stp/>
        <stp>BDH|9060300059829471833</stp>
        <tr r="J40" s="24"/>
      </tp>
      <tp t="e">
        <v>#N/A</v>
        <stp/>
        <stp>BDH|4316989544803246439</stp>
        <tr r="S26" s="34"/>
      </tp>
      <tp t="e">
        <v>#N/A</v>
        <stp/>
        <stp>BDH|2847646246829051742</stp>
        <tr r="Y59" s="12"/>
      </tp>
      <tp t="e">
        <v>#N/A</v>
        <stp/>
        <stp>BDH|5389204882781978061</stp>
        <tr r="C147" s="18"/>
      </tp>
      <tp t="e">
        <v>#N/A</v>
        <stp/>
        <stp>BDH|9279658561244195399</stp>
        <tr r="H90" s="17"/>
        <tr r="H34" s="25"/>
      </tp>
      <tp t="e">
        <v>#N/A</v>
        <stp/>
        <stp>BDH|9778125811182385596</stp>
        <tr r="K10" s="26"/>
      </tp>
      <tp t="e">
        <v>#N/A</v>
        <stp/>
        <stp>BDH|8947346326582696533</stp>
        <tr r="F32" s="18"/>
      </tp>
      <tp t="e">
        <v>#N/A</v>
        <stp/>
        <stp>BDH|5199482062370228976</stp>
        <tr r="N44" s="34"/>
      </tp>
      <tp t="e">
        <v>#N/A</v>
        <stp/>
        <stp>BDH|9507628362660923720</stp>
        <tr r="N143" s="18"/>
      </tp>
      <tp t="e">
        <v>#N/A</v>
        <stp/>
        <stp>BDH|3683490686038675910</stp>
        <tr r="AA49" s="22"/>
      </tp>
      <tp t="e">
        <v>#N/A</v>
        <stp/>
        <stp>BDH|1810258596491241576</stp>
        <tr r="F12" s="24"/>
      </tp>
      <tp t="e">
        <v>#N/A</v>
        <stp/>
        <stp>BDH|1851660893023682352</stp>
        <tr r="L14" s="10"/>
      </tp>
      <tp t="e">
        <v>#N/A</v>
        <stp/>
        <stp>BDH|5092296804139458075</stp>
        <tr r="W85" s="24"/>
      </tp>
      <tp t="e">
        <v>#N/A</v>
        <stp/>
        <stp>BDH|6528446309035656910</stp>
        <tr r="R159" s="18"/>
      </tp>
      <tp t="e">
        <v>#N/A</v>
        <stp/>
        <stp>BDH|6770605413819921628</stp>
        <tr r="L43" s="29"/>
      </tp>
      <tp t="e">
        <v>#N/A</v>
        <stp/>
        <stp>BDH|1034930429252764627</stp>
        <tr r="Y139" s="18"/>
      </tp>
      <tp t="e">
        <v>#N/A</v>
        <stp/>
        <stp>BDH|8165487046567740170</stp>
        <tr r="N76" s="34"/>
      </tp>
      <tp t="e">
        <v>#N/A</v>
        <stp/>
        <stp>BDH|1048933631926964348</stp>
        <tr r="J28" s="24"/>
      </tp>
      <tp t="e">
        <v>#N/A</v>
        <stp/>
        <stp>BDH|8356389596984302815</stp>
        <tr r="Y18" s="26"/>
      </tp>
      <tp t="e">
        <v>#N/A</v>
        <stp/>
        <stp>BDH|3479370374670120990</stp>
        <tr r="G200" s="18"/>
      </tp>
      <tp t="e">
        <v>#N/A</v>
        <stp/>
        <stp>BDH|5382812188733276878</stp>
        <tr r="T23" s="22"/>
      </tp>
      <tp t="e">
        <v>#N/A</v>
        <stp/>
        <stp>BDH|8104312732900405699</stp>
        <tr r="C56" s="13"/>
      </tp>
      <tp t="e">
        <v>#N/A</v>
        <stp/>
        <stp>BDH|6800000692042701322</stp>
        <tr r="F78" s="18"/>
      </tp>
      <tp t="e">
        <v>#N/A</v>
        <stp/>
        <stp>BDH|6044204496481804216</stp>
        <tr r="C33" s="24"/>
      </tp>
      <tp t="e">
        <v>#N/A</v>
        <stp/>
        <stp>BDH|8125084739895695095</stp>
        <tr r="U120" s="18"/>
        <tr r="U8" s="20"/>
      </tp>
      <tp t="e">
        <v>#N/A</v>
        <stp/>
        <stp>BDH|1014467910408002297</stp>
        <tr r="I27" s="26"/>
      </tp>
      <tp t="e">
        <v>#N/A</v>
        <stp/>
        <stp>BDH|7722942849246704227</stp>
        <tr r="Q24" s="27"/>
      </tp>
      <tp t="e">
        <v>#N/A</v>
        <stp/>
        <stp>BDH|3237785793061553237</stp>
        <tr r="Z15" s="25"/>
      </tp>
      <tp t="e">
        <v>#N/A</v>
        <stp/>
        <stp>BDH|8287689821397524514</stp>
        <tr r="I92" s="17"/>
        <tr r="I7" s="27"/>
      </tp>
      <tp t="e">
        <v>#N/A</v>
        <stp/>
        <stp>BDH|1005143591411342697</stp>
        <tr r="R14" s="4"/>
      </tp>
      <tp t="e">
        <v>#N/A</v>
        <stp/>
        <stp>BDH|8130178602193943429</stp>
        <tr r="G40" s="22"/>
      </tp>
      <tp t="e">
        <v>#N/A</v>
        <stp/>
        <stp>BDH|9537143021897770388</stp>
        <tr r="C146" s="18"/>
      </tp>
      <tp t="e">
        <v>#N/A</v>
        <stp/>
        <stp>BDH|8686061996816164980</stp>
        <tr r="P54" s="11"/>
      </tp>
      <tp t="e">
        <v>#N/A</v>
        <stp/>
        <stp>BDH|9495302732472111588</stp>
        <tr r="O41" s="12"/>
      </tp>
      <tp t="e">
        <v>#N/A</v>
        <stp/>
        <stp>BDH|8977049664194009466</stp>
        <tr r="J67" s="34"/>
      </tp>
      <tp t="e">
        <v>#N/A</v>
        <stp/>
        <stp>BDH|4952878770473329622</stp>
        <tr r="W10" s="28"/>
      </tp>
      <tp t="e">
        <v>#N/A</v>
        <stp/>
        <stp>BDH|5385839141652894566</stp>
        <tr r="X16" s="10"/>
      </tp>
      <tp t="e">
        <v>#N/A</v>
        <stp/>
        <stp>BDH|2220157790043898704</stp>
        <tr r="K60" s="21"/>
        <tr r="I53" s="11"/>
      </tp>
      <tp t="e">
        <v>#N/A</v>
        <stp/>
        <stp>BDH|3205636702248892346</stp>
        <tr r="E22" s="10"/>
      </tp>
      <tp t="e">
        <v>#N/A</v>
        <stp/>
        <stp>BDH|6216587670933454911</stp>
        <tr r="R11" s="21"/>
      </tp>
      <tp t="e">
        <v>#N/A</v>
        <stp/>
        <stp>BDH|9925549461537675352</stp>
        <tr r="V87" s="18"/>
      </tp>
      <tp t="e">
        <v>#N/A</v>
        <stp/>
        <stp>BDH|6849342381827117434</stp>
        <tr r="V13" s="30"/>
      </tp>
      <tp t="e">
        <v>#N/A</v>
        <stp/>
        <stp>BDH|3132464620543106898</stp>
        <tr r="F105" s="12"/>
      </tp>
      <tp t="e">
        <v>#N/A</v>
        <stp/>
        <stp>BDH|4554606708995099929</stp>
        <tr r="S21" s="11"/>
      </tp>
      <tp t="e">
        <v>#N/A</v>
        <stp/>
        <stp>BDH|9763946178910723936</stp>
        <tr r="G106" s="12"/>
      </tp>
      <tp t="e">
        <v>#N/A</v>
        <stp/>
        <stp>BDH|6691698000216183816</stp>
        <tr r="J71" s="17"/>
      </tp>
      <tp t="e">
        <v>#N/A</v>
        <stp/>
        <stp>BDH|4257800413235627689</stp>
        <tr r="P7" s="28"/>
      </tp>
      <tp t="e">
        <v>#N/A</v>
        <stp/>
        <stp>BDH|1720985040202810088</stp>
        <tr r="D7" s="30"/>
      </tp>
      <tp t="e">
        <v>#N/A</v>
        <stp/>
        <stp>BDH|5797997957362448525</stp>
        <tr r="F16" s="18"/>
      </tp>
      <tp t="e">
        <v>#N/A</v>
        <stp/>
        <stp>BDH|4286256872259977637</stp>
        <tr r="X91" s="12"/>
      </tp>
      <tp t="e">
        <v>#N/A</v>
        <stp/>
        <stp>BDH|5882154202999299322</stp>
        <tr r="H63" s="18"/>
      </tp>
      <tp t="e">
        <v>#N/A</v>
        <stp/>
        <stp>BDH|9914456570187679360</stp>
        <tr r="X23" s="23"/>
      </tp>
      <tp t="e">
        <v>#N/A</v>
        <stp/>
        <stp>BDH|2683951693804914851</stp>
        <tr r="N37" s="17"/>
      </tp>
      <tp t="e">
        <v>#N/A</v>
        <stp/>
        <stp>BDH|5642014068995112829</stp>
        <tr r="G52" s="34"/>
      </tp>
      <tp t="e">
        <v>#N/A</v>
        <stp/>
        <stp>BDH|6082834713201582096</stp>
        <tr r="S21" s="9"/>
      </tp>
      <tp t="e">
        <v>#N/A</v>
        <stp/>
        <stp>BDH|3008673338690232816</stp>
        <tr r="H71" s="10"/>
        <tr r="H61" s="11"/>
      </tp>
      <tp t="e">
        <v>#N/A</v>
        <stp/>
        <stp>BDH|1317886623617242265</stp>
        <tr r="G19" s="22"/>
      </tp>
      <tp t="e">
        <v>#N/A</v>
        <stp/>
        <stp>BDH|2639483560667008926</stp>
        <tr r="H172" s="18"/>
      </tp>
      <tp t="e">
        <v>#N/A</v>
        <stp/>
        <stp>BDH|2735963009396351376</stp>
        <tr r="R45" s="18"/>
      </tp>
      <tp t="e">
        <v>#N/A</v>
        <stp/>
        <stp>BDH|9909864837698505412</stp>
        <tr r="N58" s="18"/>
      </tp>
      <tp t="e">
        <v>#N/A</v>
        <stp/>
        <stp>BDH|8244293938063831474</stp>
        <tr r="F25" s="21"/>
      </tp>
      <tp t="e">
        <v>#N/A</v>
        <stp/>
        <stp>BDH|1242482818358722294</stp>
        <tr r="D10" s="18"/>
      </tp>
      <tp t="e">
        <v>#N/A</v>
        <stp/>
        <stp>BDH|6219412507064885808</stp>
        <tr r="E33" s="6"/>
      </tp>
      <tp t="e">
        <v>#N/A</v>
        <stp/>
        <stp>BDH|6554835035191742286</stp>
        <tr r="U66" s="21"/>
        <tr r="R27" s="6"/>
      </tp>
      <tp t="e">
        <v>#N/A</v>
        <stp/>
        <stp>BDH|8495988857792149867</stp>
        <tr r="Z190" s="18"/>
      </tp>
      <tp t="e">
        <v>#N/A</v>
        <stp/>
        <stp>BDH|5634434550108003292</stp>
        <tr r="L86" s="24"/>
      </tp>
      <tp t="e">
        <v>#N/A</v>
        <stp/>
        <stp>BDH|6821261695523536021</stp>
        <tr r="N7" s="4"/>
      </tp>
      <tp t="e">
        <v>#N/A</v>
        <stp/>
        <stp>BDH|6041636338795425833</stp>
        <tr r="P56" s="18"/>
      </tp>
      <tp t="e">
        <v>#N/A</v>
        <stp/>
        <stp>BDH|7949695181465540285</stp>
        <tr r="I15" s="4"/>
      </tp>
      <tp t="e">
        <v>#N/A</v>
        <stp/>
        <stp>BDH|3372493068698954773</stp>
        <tr r="D50" s="21"/>
      </tp>
      <tp t="e">
        <v>#N/A</v>
        <stp/>
        <stp>BDH|8705204779580411364</stp>
        <tr r="V14" s="12"/>
      </tp>
      <tp t="e">
        <v>#N/A</v>
        <stp/>
        <stp>BDH|8974106095229662762</stp>
        <tr r="V76" s="34"/>
      </tp>
      <tp t="e">
        <v>#N/A</v>
        <stp/>
        <stp>BDH|1760082626315587808</stp>
        <tr r="Q15" s="21"/>
      </tp>
      <tp t="e">
        <v>#N/A</v>
        <stp/>
        <stp>BDH|4832801245710421650</stp>
        <tr r="D17" s="4"/>
        <tr r="F10" s="3"/>
        <tr r="D56" s="10"/>
        <tr r="D46" s="11"/>
        <tr r="D17" s="7"/>
        <tr r="F61" s="13"/>
      </tp>
      <tp t="e">
        <v>#N/A</v>
        <stp/>
        <stp>BDH|2548091893751562462</stp>
        <tr r="E41" s="12"/>
      </tp>
      <tp t="e">
        <v>#N/A</v>
        <stp/>
        <stp>BDH|2444126756791808943</stp>
        <tr r="M21" s="24"/>
      </tp>
      <tp t="e">
        <v>#N/A</v>
        <stp/>
        <stp>BDH|9518615935794814654</stp>
        <tr r="J62" s="12"/>
      </tp>
      <tp t="e">
        <v>#N/A</v>
        <stp/>
        <stp>BDH|7626779239299121452</stp>
        <tr r="L173" s="18"/>
      </tp>
      <tp t="e">
        <v>#N/A</v>
        <stp/>
        <stp>BDH|1026710479986367974</stp>
        <tr r="AA180" s="18"/>
      </tp>
      <tp t="e">
        <v>#N/A</v>
        <stp/>
        <stp>BDH|5978126281613465128</stp>
        <tr r="P204" s="18"/>
      </tp>
      <tp t="e">
        <v>#N/A</v>
        <stp/>
        <stp>BDH|9179067705957812061</stp>
        <tr r="S9" s="18"/>
      </tp>
      <tp t="e">
        <v>#N/A</v>
        <stp/>
        <stp>BDH|4196236589694166467</stp>
        <tr r="U47" s="18"/>
      </tp>
      <tp t="e">
        <v>#N/A</v>
        <stp/>
        <stp>BDH|7885864097170602836</stp>
        <tr r="F69" s="24"/>
      </tp>
      <tp t="e">
        <v>#N/A</v>
        <stp/>
        <stp>BDH|4391285872218275773</stp>
        <tr r="N12" s="24"/>
      </tp>
      <tp t="e">
        <v>#N/A</v>
        <stp/>
        <stp>BDH|6308764158812996889</stp>
        <tr r="M20" s="23"/>
      </tp>
      <tp t="e">
        <v>#N/A</v>
        <stp/>
        <stp>BDH|7884458133798189630</stp>
        <tr r="T57" s="13"/>
      </tp>
      <tp t="e">
        <v>#N/A</v>
        <stp/>
        <stp>BDH|3159995365534524648</stp>
        <tr r="V91" s="17"/>
      </tp>
      <tp t="e">
        <v>#N/A</v>
        <stp/>
        <stp>BDH|5496990114117550403</stp>
        <tr r="M160" s="18"/>
      </tp>
      <tp t="e">
        <v>#N/A</v>
        <stp/>
        <stp>BDH|7313454539829573764</stp>
        <tr r="M195" s="18"/>
      </tp>
      <tp t="e">
        <v>#N/A</v>
        <stp/>
        <stp>BDH|2559316198833456540</stp>
        <tr r="Q39" s="6"/>
      </tp>
      <tp t="e">
        <v>#N/A</v>
        <stp/>
        <stp>BDH|4987743745400628923</stp>
        <tr r="O55" s="12"/>
      </tp>
      <tp t="e">
        <v>#N/A</v>
        <stp/>
        <stp>BDH|5856408077579159123</stp>
        <tr r="K98" s="18"/>
      </tp>
      <tp t="e">
        <v>#N/A</v>
        <stp/>
        <stp>BDH|2230724115629925312</stp>
        <tr r="N30" s="26"/>
      </tp>
      <tp t="e">
        <v>#N/A</v>
        <stp/>
        <stp>BDH|9758706782221043984</stp>
        <tr r="Z47" s="12"/>
      </tp>
      <tp t="e">
        <v>#N/A</v>
        <stp/>
        <stp>BDH|9365699164585424279</stp>
        <tr r="E19" s="12"/>
      </tp>
      <tp t="e">
        <v>#N/A</v>
        <stp/>
        <stp>BDH|1312469608939250224</stp>
        <tr r="Z75" s="24"/>
      </tp>
      <tp t="e">
        <v>#N/A</v>
        <stp/>
        <stp>BDH|9217433025785040491</stp>
        <tr r="Z48" s="12"/>
      </tp>
      <tp t="e">
        <v>#N/A</v>
        <stp/>
        <stp>BDH|9660594824582046261</stp>
        <tr r="O24" s="24"/>
      </tp>
      <tp t="e">
        <v>#N/A</v>
        <stp/>
        <stp>BDH|9634578660876803246</stp>
        <tr r="W45" s="18"/>
      </tp>
      <tp t="e">
        <v>#N/A</v>
        <stp/>
        <stp>BDH|1163599425050725879</stp>
        <tr r="Q174" s="18"/>
      </tp>
      <tp t="e">
        <v>#N/A</v>
        <stp/>
        <stp>BDH|6995239706009721366</stp>
        <tr r="N201" s="18"/>
      </tp>
      <tp t="e">
        <v>#N/A</v>
        <stp/>
        <stp>BDH|1613611083339076892</stp>
        <tr r="G61" s="12"/>
      </tp>
      <tp t="e">
        <v>#N/A</v>
        <stp/>
        <stp>BDH|9911076712306030011</stp>
        <tr r="N43" s="21"/>
      </tp>
      <tp t="e">
        <v>#N/A</v>
        <stp/>
        <stp>BDH|4485316100151877801</stp>
        <tr r="D7" s="23"/>
      </tp>
      <tp t="e">
        <v>#N/A</v>
        <stp/>
        <stp>BDH|9623467405225176699</stp>
        <tr r="T32" s="9"/>
      </tp>
      <tp t="e">
        <v>#N/A</v>
        <stp/>
        <stp>BDH|9424200743263880220</stp>
        <tr r="K67" s="18"/>
      </tp>
      <tp t="e">
        <v>#N/A</v>
        <stp/>
        <stp>BDH|5858737736839027600</stp>
        <tr r="H94" s="24"/>
      </tp>
      <tp t="e">
        <v>#N/A</v>
        <stp/>
        <stp>BDH|9988284677085823735</stp>
        <tr r="AA12" s="22"/>
      </tp>
      <tp t="e">
        <v>#N/A</v>
        <stp/>
        <stp>BDH|4205895545755593360</stp>
        <tr r="V17" s="22"/>
      </tp>
      <tp t="e">
        <v>#N/A</v>
        <stp/>
        <stp>BDH|1712519602992923808</stp>
        <tr r="J37" s="26"/>
      </tp>
      <tp t="e">
        <v>#N/A</v>
        <stp/>
        <stp>BDH|9262751531911978222</stp>
        <tr r="O17" s="5"/>
        <tr r="O32" s="6"/>
      </tp>
      <tp t="e">
        <v>#N/A</v>
        <stp/>
        <stp>BDH|1871455504989117251</stp>
        <tr r="P57" s="34"/>
      </tp>
      <tp t="e">
        <v>#N/A</v>
        <stp/>
        <stp>BDH|3672390407398688636</stp>
        <tr r="Y15" s="12"/>
      </tp>
      <tp t="e">
        <v>#N/A</v>
        <stp/>
        <stp>BDH|9931748356065627003</stp>
        <tr r="M13" s="8"/>
      </tp>
      <tp t="e">
        <v>#N/A</v>
        <stp/>
        <stp>BDH|9937835989856601184</stp>
        <tr r="N43" s="22"/>
      </tp>
      <tp t="e">
        <v>#N/A</v>
        <stp/>
        <stp>BDH|9093672629452607152</stp>
        <tr r="K8" s="8"/>
      </tp>
      <tp t="e">
        <v>#N/A</v>
        <stp/>
        <stp>BDH|5390470541223816807</stp>
        <tr r="G150" s="18"/>
      </tp>
      <tp t="e">
        <v>#N/A</v>
        <stp/>
        <stp>BDH|5359032329288410109</stp>
        <tr r="J39" s="17"/>
      </tp>
      <tp t="e">
        <v>#N/A</v>
        <stp/>
        <stp>BDH|7237888331547063565</stp>
        <tr r="K24" s="18"/>
      </tp>
      <tp t="e">
        <v>#N/A</v>
        <stp/>
        <stp>BDH|6312975968222587543</stp>
        <tr r="E13" s="34"/>
      </tp>
      <tp t="e">
        <v>#N/A</v>
        <stp/>
        <stp>BDH|7087196371708343761</stp>
        <tr r="D6" s="19"/>
        <tr r="D34" s="17"/>
        <tr r="D16" s="3"/>
      </tp>
      <tp t="e">
        <v>#N/A</v>
        <stp/>
        <stp>BDH|7636188187749224962</stp>
        <tr r="K17" s="10"/>
        <tr r="M16" s="13"/>
        <tr r="M30" s="13"/>
      </tp>
      <tp t="e">
        <v>#N/A</v>
        <stp/>
        <stp>BDH|8303318900362719785</stp>
        <tr r="H55" s="17"/>
      </tp>
      <tp t="e">
        <v>#N/A</v>
        <stp/>
        <stp>BDH|8371472598908415352</stp>
        <tr r="H59" s="18"/>
      </tp>
      <tp t="e">
        <v>#N/A</v>
        <stp/>
        <stp>BDH|1722411111518819228</stp>
        <tr r="S63" s="18"/>
      </tp>
      <tp t="e">
        <v>#N/A</v>
        <stp/>
        <stp>BDH|5195115589364743635</stp>
        <tr r="X67" s="17"/>
        <tr r="X18" s="3"/>
      </tp>
      <tp t="e">
        <v>#N/A</v>
        <stp/>
        <stp>BDH|3321277609967722870</stp>
        <tr r="U27" s="22"/>
      </tp>
      <tp t="e">
        <v>#N/A</v>
        <stp/>
        <stp>BDH|4992945340214408340</stp>
        <tr r="I32" s="22"/>
      </tp>
      <tp t="e">
        <v>#N/A</v>
        <stp/>
        <stp>BDH|7602841473255565364</stp>
        <tr r="E34" s="22"/>
      </tp>
      <tp t="e">
        <v>#N/A</v>
        <stp/>
        <stp>BDH|8185030665674683437</stp>
        <tr r="V81" s="24"/>
      </tp>
      <tp t="e">
        <v>#N/A</v>
        <stp/>
        <stp>BDH|7170372043489264756</stp>
        <tr r="W45" s="34"/>
      </tp>
      <tp t="e">
        <v>#N/A</v>
        <stp/>
        <stp>BDH|3289517891762715379</stp>
        <tr r="AA74" s="24"/>
      </tp>
      <tp t="e">
        <v>#N/A</v>
        <stp/>
        <stp>BDH|1901412768239676447</stp>
        <tr r="G31" s="26"/>
        <tr r="D14" s="9"/>
      </tp>
      <tp t="e">
        <v>#N/A</v>
        <stp/>
        <stp>BDH|8275150545126606565</stp>
        <tr r="X11" s="17"/>
      </tp>
      <tp t="e">
        <v>#N/A</v>
        <stp/>
        <stp>BDH|9328631622486571553</stp>
        <tr r="Y19" s="25"/>
      </tp>
      <tp t="e">
        <v>#N/A</v>
        <stp/>
        <stp>BDH|7244492268003474852</stp>
        <tr r="G198" s="18"/>
      </tp>
      <tp t="e">
        <v>#N/A</v>
        <stp/>
        <stp>BDH|1957134037138848577</stp>
        <tr r="W35" s="25"/>
      </tp>
      <tp t="e">
        <v>#N/A</v>
        <stp/>
        <stp>BDH|3158469020253342869</stp>
        <tr r="O69" s="12"/>
      </tp>
      <tp t="e">
        <v>#N/A</v>
        <stp/>
        <stp>BDH|8861451678577783208</stp>
        <tr r="F24" s="2"/>
      </tp>
      <tp t="e">
        <v>#N/A</v>
        <stp/>
        <stp>BDH|9308334952534028501</stp>
        <tr r="P17" s="21"/>
      </tp>
      <tp t="e">
        <v>#N/A</v>
        <stp/>
        <stp>BDH|2681830057854733576</stp>
        <tr r="Q12" s="21"/>
      </tp>
      <tp t="e">
        <v>#N/A</v>
        <stp/>
        <stp>BDH|8675261766364253665</stp>
        <tr r="H22" s="4"/>
      </tp>
      <tp t="e">
        <v>#N/A</v>
        <stp/>
        <stp>BDH|8236076232846310369</stp>
        <tr r="G154" s="18"/>
      </tp>
      <tp t="e">
        <v>#N/A</v>
        <stp/>
        <stp>BDH|8680828908189720796</stp>
        <tr r="M117" s="18"/>
      </tp>
      <tp t="e">
        <v>#N/A</v>
        <stp/>
        <stp>BDH|3023455252795536906</stp>
        <tr r="Z17" s="21"/>
      </tp>
      <tp t="e">
        <v>#N/A</v>
        <stp/>
        <stp>BDH|1935349549880037864</stp>
        <tr r="M31" s="26"/>
        <tr r="J14" s="9"/>
      </tp>
      <tp t="e">
        <v>#N/A</v>
        <stp/>
        <stp>BDH|2942999929887829032</stp>
        <tr r="V70" s="24"/>
      </tp>
      <tp t="e">
        <v>#N/A</v>
        <stp/>
        <stp>BDH|5319966168787805374</stp>
        <tr r="AA11" s="3"/>
        <tr r="Y50" s="10"/>
        <tr r="Y40" s="11"/>
        <tr r="Y8" s="7"/>
      </tp>
      <tp t="e">
        <v>#N/A</v>
        <stp/>
        <stp>BDH|8889399936071346761</stp>
        <tr r="U62" s="17"/>
      </tp>
      <tp t="e">
        <v>#N/A</v>
        <stp/>
        <stp>BDH|5622960305117464532</stp>
        <tr r="H11" s="9"/>
      </tp>
      <tp t="e">
        <v>#N/A</v>
        <stp/>
        <stp>BDH|9170101955497103475</stp>
        <tr r="Q13" s="17"/>
        <tr r="Q16" s="28"/>
      </tp>
      <tp t="e">
        <v>#N/A</v>
        <stp/>
        <stp>BDH|5053239795282739234</stp>
        <tr r="R13" s="34"/>
      </tp>
      <tp t="e">
        <v>#N/A</v>
        <stp/>
        <stp>BDH|1311504668599912508</stp>
        <tr r="G31" s="17"/>
      </tp>
      <tp t="e">
        <v>#N/A</v>
        <stp/>
        <stp>BDH|2510329681150391778</stp>
        <tr r="X19" s="34"/>
      </tp>
      <tp t="e">
        <v>#N/A</v>
        <stp/>
        <stp>BDH|7484876355525407103</stp>
        <tr r="M17" s="20"/>
      </tp>
      <tp t="e">
        <v>#N/A</v>
        <stp/>
        <stp>BDH|8591551073247528343</stp>
        <tr r="J14" s="6"/>
      </tp>
      <tp t="e">
        <v>#N/A</v>
        <stp/>
        <stp>BDH|1822398933707243822</stp>
        <tr r="V7" s="4"/>
      </tp>
      <tp t="e">
        <v>#N/A</v>
        <stp/>
        <stp>BDH|9102313112330224528</stp>
        <tr r="S37" s="12"/>
      </tp>
      <tp t="e">
        <v>#N/A</v>
        <stp/>
        <stp>BDH|5958219587008824954</stp>
        <tr r="L21" s="34"/>
      </tp>
      <tp t="e">
        <v>#N/A</v>
        <stp/>
        <stp>BDH|1743828773113778337</stp>
        <tr r="W96" s="12"/>
      </tp>
      <tp t="e">
        <v>#N/A</v>
        <stp/>
        <stp>BDH|5275640882774043169</stp>
        <tr r="H73" s="12"/>
      </tp>
      <tp t="e">
        <v>#N/A</v>
        <stp/>
        <stp>BDH|7887134690504116587</stp>
        <tr r="S15" s="25"/>
      </tp>
      <tp t="e">
        <v>#N/A</v>
        <stp/>
        <stp>BDH|7185197749575756940</stp>
        <tr r="W75" s="12"/>
      </tp>
      <tp t="e">
        <v>#N/A</v>
        <stp/>
        <stp>BDH|1573601851659594536</stp>
        <tr r="S43" s="6"/>
      </tp>
      <tp t="e">
        <v>#N/A</v>
        <stp/>
        <stp>BDH|7905005054519981566</stp>
        <tr r="X31" s="25"/>
        <tr r="U14" s="5"/>
        <tr r="X17" s="27"/>
      </tp>
      <tp t="e">
        <v>#N/A</v>
        <stp/>
        <stp>BDH|8282545050207423103</stp>
        <tr r="C67" s="17"/>
        <tr r="C18" s="3"/>
      </tp>
      <tp t="e">
        <v>#N/A</v>
        <stp/>
        <stp>BDH|3525322748158995246</stp>
        <tr r="H16" s="2"/>
        <tr r="H32" s="4"/>
        <tr r="H62" s="10"/>
        <tr r="J19" s="13"/>
      </tp>
      <tp t="e">
        <v>#N/A</v>
        <stp/>
        <stp>BDH|4263243397804545578</stp>
        <tr r="L11" s="17"/>
      </tp>
      <tp t="e">
        <v>#N/A</v>
        <stp/>
        <stp>BDH|4696038743469141740</stp>
        <tr r="AA32" s="17"/>
      </tp>
      <tp t="e">
        <v>#N/A</v>
        <stp/>
        <stp>BDH|2102207763418026010</stp>
        <tr r="S71" s="18"/>
      </tp>
      <tp t="e">
        <v>#N/A</v>
        <stp/>
        <stp>BDH|8631215226427168135</stp>
        <tr r="F21" s="34"/>
      </tp>
      <tp t="e">
        <v>#N/A</v>
        <stp/>
        <stp>BDH|2556820116703600642</stp>
        <tr r="X24" s="27"/>
      </tp>
      <tp t="e">
        <v>#N/A</v>
        <stp/>
        <stp>BDH|5175384183673954300</stp>
        <tr r="K9" s="30"/>
      </tp>
      <tp t="e">
        <v>#N/A</v>
        <stp/>
        <stp>BDH|7766534086047723360</stp>
        <tr r="Y9" s="23"/>
      </tp>
      <tp t="e">
        <v>#N/A</v>
        <stp/>
        <stp>BDH|2528749290585191737</stp>
        <tr r="I28" s="27"/>
      </tp>
      <tp t="e">
        <v>#N/A</v>
        <stp/>
        <stp>BDH|4340770831399412726</stp>
        <tr r="G31" s="9"/>
      </tp>
      <tp t="e">
        <v>#N/A</v>
        <stp/>
        <stp>BDH|5755706940601265963</stp>
        <tr r="X34" s="24"/>
      </tp>
      <tp t="e">
        <v>#N/A</v>
        <stp/>
        <stp>BDH|9892959283766436097</stp>
        <tr r="K210" s="18"/>
      </tp>
      <tp t="e">
        <v>#N/A</v>
        <stp/>
        <stp>BDH|4525240128558819225</stp>
        <tr r="Q61" s="34"/>
      </tp>
      <tp t="e">
        <v>#N/A</v>
        <stp/>
        <stp>BDH|3556432948764916943</stp>
        <tr r="I14" s="4"/>
      </tp>
      <tp t="e">
        <v>#N/A</v>
        <stp/>
        <stp>BDH|7368852227410340316</stp>
        <tr r="O201" s="18"/>
      </tp>
      <tp t="e">
        <v>#N/A</v>
        <stp/>
        <stp>BDH|9483421851850158651</stp>
        <tr r="H111" s="18"/>
      </tp>
      <tp t="e">
        <v>#N/A</v>
        <stp/>
        <stp>BDH|2196857951992369354</stp>
        <tr r="T29" s="18"/>
      </tp>
      <tp t="e">
        <v>#N/A</v>
        <stp/>
        <stp>BDH|5175861628503929254</stp>
        <tr r="J60" s="21"/>
        <tr r="H53" s="11"/>
      </tp>
      <tp t="e">
        <v>#N/A</v>
        <stp/>
        <stp>BDH|5505270180010961182</stp>
        <tr r="V14" s="28"/>
      </tp>
      <tp t="e">
        <v>#N/A</v>
        <stp/>
        <stp>BDH|5315079850057244958</stp>
        <tr r="P156" s="18"/>
      </tp>
      <tp t="e">
        <v>#N/A</v>
        <stp/>
        <stp>BDH|8013493402975169799</stp>
        <tr r="X140" s="18"/>
      </tp>
      <tp t="e">
        <v>#N/A</v>
        <stp/>
        <stp>BDH|9158143537016977385</stp>
        <tr r="X127" s="18"/>
      </tp>
      <tp t="e">
        <v>#N/A</v>
        <stp/>
        <stp>BDH|5946731056009667094</stp>
        <tr r="U48" s="6"/>
        <tr r="W9" s="8"/>
      </tp>
      <tp t="e">
        <v>#N/A</v>
        <stp/>
        <stp>BDH|6437946522652709164</stp>
        <tr r="Z80" s="34"/>
      </tp>
      <tp t="e">
        <v>#N/A</v>
        <stp/>
        <stp>BDH|4618693123086627896</stp>
        <tr r="T20" s="27"/>
      </tp>
      <tp t="e">
        <v>#N/A</v>
        <stp/>
        <stp>BDH|2660443274527670831</stp>
        <tr r="V92" s="18"/>
      </tp>
      <tp t="e">
        <v>#N/A</v>
        <stp/>
        <stp>BDH|9213067209285649286</stp>
        <tr r="S27" s="14"/>
      </tp>
      <tp t="e">
        <v>#N/A</v>
        <stp/>
        <stp>BDH|6451969101225409448</stp>
        <tr r="Z24" s="20"/>
      </tp>
      <tp t="e">
        <v>#N/A</v>
        <stp/>
        <stp>BDH|7641408240809051058</stp>
        <tr r="V61" s="24"/>
      </tp>
      <tp t="e">
        <v>#N/A</v>
        <stp/>
        <stp>BDH|7149827011711397124</stp>
        <tr r="Y38" s="22"/>
      </tp>
      <tp t="e">
        <v>#N/A</v>
        <stp/>
        <stp>BDH|3484842005053738610</stp>
        <tr r="AA19" s="24"/>
      </tp>
      <tp t="e">
        <v>#N/A</v>
        <stp/>
        <stp>BDH|3097986125264837266</stp>
        <tr r="Y34" s="22"/>
      </tp>
      <tp t="e">
        <v>#N/A</v>
        <stp/>
        <stp>BDH|9980513158231356607</stp>
        <tr r="F52" s="24"/>
      </tp>
      <tp t="e">
        <v>#N/A</v>
        <stp/>
        <stp>BDH|3704830262481466219</stp>
        <tr r="Y200" s="18"/>
      </tp>
      <tp t="e">
        <v>#N/A</v>
        <stp/>
        <stp>BDH|9658525444742189425</stp>
        <tr r="Z120" s="18"/>
        <tr r="Z8" s="20"/>
      </tp>
      <tp t="e">
        <v>#N/A</v>
        <stp/>
        <stp>BDH|9320729201440315004</stp>
        <tr r="S55" s="13"/>
      </tp>
      <tp t="e">
        <v>#N/A</v>
        <stp/>
        <stp>BDH|6886112182080862106</stp>
        <tr r="N48" s="12"/>
      </tp>
      <tp t="e">
        <v>#N/A</v>
        <stp/>
        <stp>BDH|8285627940293696759</stp>
        <tr r="C13" s="9"/>
      </tp>
      <tp t="e">
        <v>#N/A</v>
        <stp/>
        <stp>BDH|9957690976147497110</stp>
        <tr r="Q165" s="18"/>
      </tp>
      <tp t="e">
        <v>#N/A</v>
        <stp/>
        <stp>BDH|1809422416618886271</stp>
        <tr r="X11" s="3"/>
        <tr r="V50" s="10"/>
        <tr r="V40" s="11"/>
        <tr r="V8" s="7"/>
      </tp>
      <tp t="e">
        <v>#N/A</v>
        <stp/>
        <stp>BDH|9197144025017044335</stp>
        <tr r="J25" s="17"/>
      </tp>
      <tp t="e">
        <v>#N/A</v>
        <stp/>
        <stp>BDH|2484927742771269052</stp>
        <tr r="V67" s="18"/>
      </tp>
      <tp t="e">
        <v>#N/A</v>
        <stp/>
        <stp>BDH|6905272637398284185</stp>
        <tr r="G10" s="24"/>
      </tp>
      <tp t="e">
        <v>#N/A</v>
        <stp/>
        <stp>BDH|4176411472420798967</stp>
        <tr r="P14" s="2"/>
        <tr r="P11" s="10"/>
      </tp>
      <tp t="e">
        <v>#N/A</v>
        <stp/>
        <stp>BDH|6728191860897822855</stp>
        <tr r="Y102" s="12"/>
      </tp>
      <tp t="e">
        <v>#N/A</v>
        <stp/>
        <stp>BDH|5790555172051440877</stp>
        <tr r="W25" s="7"/>
      </tp>
      <tp t="e">
        <v>#N/A</v>
        <stp/>
        <stp>BDH|9854527332978934927</stp>
        <tr r="Y21" s="10"/>
      </tp>
      <tp t="e">
        <v>#N/A</v>
        <stp/>
        <stp>BDH|6016353014942325816</stp>
        <tr r="I22" s="14"/>
      </tp>
      <tp t="e">
        <v>#N/A</v>
        <stp/>
        <stp>BDH|8732568230060521076</stp>
        <tr r="J46" s="4"/>
        <tr r="J23" s="10"/>
        <tr r="L42" s="13"/>
      </tp>
      <tp t="e">
        <v>#N/A</v>
        <stp/>
        <stp>BDH|9549156271641720059</stp>
        <tr r="G44" s="6"/>
      </tp>
      <tp t="e">
        <v>#N/A</v>
        <stp/>
        <stp>BDH|7178974213897358651</stp>
        <tr r="AA19" s="26"/>
      </tp>
      <tp t="e">
        <v>#N/A</v>
        <stp/>
        <stp>BDH|5904528787554970264</stp>
        <tr r="F14" s="8"/>
      </tp>
      <tp t="e">
        <v>#N/A</v>
        <stp/>
        <stp>BDH|9681526177277321230</stp>
        <tr r="D51" s="13"/>
      </tp>
      <tp t="e">
        <v>#N/A</v>
        <stp/>
        <stp>BDH|9267450346632396517</stp>
        <tr r="N167" s="18"/>
      </tp>
      <tp t="e">
        <v>#N/A</v>
        <stp/>
        <stp>BDH|7594293899656565434</stp>
        <tr r="I69" s="10"/>
      </tp>
      <tp t="e">
        <v>#N/A</v>
        <stp/>
        <stp>BDH|8999220357671787089</stp>
        <tr r="E51" s="24"/>
      </tp>
      <tp t="e">
        <v>#N/A</v>
        <stp/>
        <stp>BDH|5337832876905564100</stp>
        <tr r="I26" s="7"/>
      </tp>
      <tp t="e">
        <v>#N/A</v>
        <stp/>
        <stp>BDH|6758347059486246883</stp>
        <tr r="E49" s="12"/>
      </tp>
      <tp t="e">
        <v>#N/A</v>
        <stp/>
        <stp>BDH|8410234630621334641</stp>
        <tr r="AA65" s="13"/>
      </tp>
      <tp t="e">
        <v>#N/A</v>
        <stp/>
        <stp>BDH|9208709104908369856</stp>
        <tr r="K154" s="18"/>
      </tp>
      <tp t="e">
        <v>#N/A</v>
        <stp/>
        <stp>BDH|3405470151508656440</stp>
        <tr r="H66" s="18"/>
      </tp>
      <tp t="e">
        <v>#N/A</v>
        <stp/>
        <stp>BDH|2552838757175188404</stp>
        <tr r="Z15" s="22"/>
      </tp>
      <tp t="e">
        <v>#N/A</v>
        <stp/>
        <stp>BDH|4663582058069149373</stp>
        <tr r="I133" s="18"/>
      </tp>
      <tp t="e">
        <v>#N/A</v>
        <stp/>
        <stp>BDH|8972045586496829836</stp>
        <tr r="AA20" s="22"/>
      </tp>
      <tp t="e">
        <v>#N/A</v>
        <stp/>
        <stp>BDH|5171868218647884573</stp>
        <tr r="W188" s="18"/>
      </tp>
      <tp t="e">
        <v>#N/A</v>
        <stp/>
        <stp>BDH|6156985469980927799</stp>
        <tr r="E60" s="21"/>
        <tr r="C53" s="11"/>
      </tp>
      <tp t="e">
        <v>#N/A</v>
        <stp/>
        <stp>BDH|6899790296801425731</stp>
        <tr r="S50" s="13"/>
      </tp>
      <tp t="e">
        <v>#N/A</v>
        <stp/>
        <stp>BDH|6657635155359170211</stp>
        <tr r="F19" s="20"/>
      </tp>
      <tp t="e">
        <v>#N/A</v>
        <stp/>
        <stp>BDH|1767407658378947662</stp>
        <tr r="U34" s="5"/>
        <tr r="W32" s="29"/>
      </tp>
      <tp t="e">
        <v>#N/A</v>
        <stp/>
        <stp>BDH|4600907146641906695</stp>
        <tr r="M8" s="12"/>
      </tp>
      <tp t="e">
        <v>#N/A</v>
        <stp/>
        <stp>BDH|2515402414689387029</stp>
        <tr r="S65" s="12"/>
      </tp>
      <tp t="e">
        <v>#N/A</v>
        <stp/>
        <stp>BDH|9725241669634908731</stp>
        <tr r="O54" s="13"/>
      </tp>
      <tp t="e">
        <v>#N/A</v>
        <stp/>
        <stp>BDH|2436376390320346604</stp>
        <tr r="X22" s="14"/>
      </tp>
      <tp t="e">
        <v>#N/A</v>
        <stp/>
        <stp>BDH|6262167696412359216</stp>
        <tr r="N42" s="21"/>
      </tp>
      <tp t="e">
        <v>#N/A</v>
        <stp/>
        <stp>BDH|7280438611694601860</stp>
        <tr r="O50" s="34"/>
      </tp>
      <tp t="e">
        <v>#N/A</v>
        <stp/>
        <stp>BDH|9561971581407480172</stp>
        <tr r="G68" s="12"/>
      </tp>
      <tp t="e">
        <v>#N/A</v>
        <stp/>
        <stp>BDH|1424833100570645719</stp>
        <tr r="P119" s="18"/>
        <tr r="P7" s="20"/>
      </tp>
      <tp t="e">
        <v>#N/A</v>
        <stp/>
        <stp>BDH|8355117672561882186</stp>
        <tr r="F18" s="10"/>
      </tp>
      <tp t="e">
        <v>#N/A</v>
        <stp/>
        <stp>BDH|9286674913766648607</stp>
        <tr r="Q14" s="6"/>
      </tp>
      <tp t="e">
        <v>#N/A</v>
        <stp/>
        <stp>BDH|1278643790939454920</stp>
        <tr r="X15" s="4"/>
      </tp>
      <tp t="e">
        <v>#N/A</v>
        <stp/>
        <stp>BDH|5934571936359192490</stp>
        <tr r="P43" s="12"/>
      </tp>
      <tp t="e">
        <v>#N/A</v>
        <stp/>
        <stp>BDH|1242852034104556069</stp>
        <tr r="M43" s="12"/>
      </tp>
      <tp t="e">
        <v>#N/A</v>
        <stp/>
        <stp>BDH|2493867370520636342</stp>
        <tr r="O9" s="11"/>
      </tp>
      <tp t="e">
        <v>#N/A</v>
        <stp/>
        <stp>BDH|8485868105968152666</stp>
        <tr r="V48" s="17"/>
      </tp>
      <tp t="e">
        <v>#N/A</v>
        <stp/>
        <stp>BDH|2730549571368142637</stp>
        <tr r="AA84" s="18"/>
      </tp>
      <tp t="e">
        <v>#N/A</v>
        <stp/>
        <stp>BDH|3483916722721027776</stp>
        <tr r="R19" s="22"/>
      </tp>
      <tp t="e">
        <v>#N/A</v>
        <stp/>
        <stp>BDH|7072698981262948515</stp>
        <tr r="C37" s="18"/>
      </tp>
      <tp t="e">
        <v>#N/A</v>
        <stp/>
        <stp>BDH|2671455324379679319</stp>
        <tr r="H159" s="18"/>
      </tp>
      <tp t="e">
        <v>#N/A</v>
        <stp/>
        <stp>BDH|2039719120080110905</stp>
        <tr r="D10" s="13"/>
      </tp>
      <tp t="e">
        <v>#N/A</v>
        <stp/>
        <stp>BDH|2942384281560524759</stp>
        <tr r="Q20" s="24"/>
      </tp>
      <tp t="e">
        <v>#N/A</v>
        <stp/>
        <stp>BDH|5149908449105012382</stp>
        <tr r="V18" s="20"/>
      </tp>
      <tp t="e">
        <v>#N/A</v>
        <stp/>
        <stp>BDH|4215955361845679005</stp>
        <tr r="X97" s="18"/>
      </tp>
      <tp t="e">
        <v>#N/A</v>
        <stp/>
        <stp>BDH|7535492185626845302</stp>
        <tr r="U22" s="4"/>
      </tp>
      <tp t="e">
        <v>#N/A</v>
        <stp/>
        <stp>BDH|2532451192528019937</stp>
        <tr r="R30" s="26"/>
      </tp>
      <tp t="e">
        <v>#N/A</v>
        <stp/>
        <stp>BDH|6520935654171166520</stp>
        <tr r="H39" s="34"/>
      </tp>
      <tp t="e">
        <v>#N/A</v>
        <stp/>
        <stp>BDH|5280020491513568158</stp>
        <tr r="X15" s="34"/>
      </tp>
      <tp t="e">
        <v>#N/A</v>
        <stp/>
        <stp>BDH|9047431515617739503</stp>
        <tr r="Z34" s="12"/>
      </tp>
      <tp t="e">
        <v>#N/A</v>
        <stp/>
        <stp>BDH|3456702637020247901</stp>
        <tr r="F38" s="10"/>
        <tr r="F28" s="11"/>
        <tr r="H47" s="13"/>
      </tp>
      <tp t="e">
        <v>#N/A</v>
        <stp/>
        <stp>BDH|1014343584931115508</stp>
        <tr r="Z28" s="12"/>
      </tp>
      <tp t="e">
        <v>#N/A</v>
        <stp/>
        <stp>BDH|4852982358216112086</stp>
        <tr r="I146" s="18"/>
      </tp>
      <tp t="e">
        <v>#N/A</v>
        <stp/>
        <stp>BDH|3438511733362259951</stp>
        <tr r="E14" s="34"/>
      </tp>
      <tp t="e">
        <v>#N/A</v>
        <stp/>
        <stp>BDH|7681189289575626503</stp>
        <tr r="F20" s="22"/>
      </tp>
      <tp t="e">
        <v>#N/A</v>
        <stp/>
        <stp>BDH|6075050566718736657</stp>
        <tr r="Y27" s="24"/>
      </tp>
      <tp t="e">
        <v>#N/A</v>
        <stp/>
        <stp>BDH|1572152276151469836</stp>
        <tr r="C192" s="18"/>
      </tp>
      <tp t="e">
        <v>#N/A</v>
        <stp/>
        <stp>BDH|8063053849051961347</stp>
        <tr r="K42" s="10"/>
        <tr r="K32" s="11"/>
      </tp>
      <tp t="e">
        <v>#N/A</v>
        <stp/>
        <stp>BDH|3609061586926556329</stp>
        <tr r="K15" s="17"/>
        <tr r="K18" s="28"/>
      </tp>
      <tp t="e">
        <v>#N/A</v>
        <stp/>
        <stp>BDH|2548700177214342806</stp>
        <tr r="W24" s="10"/>
      </tp>
      <tp t="e">
        <v>#N/A</v>
        <stp/>
        <stp>BDH|2204437647708429436</stp>
        <tr r="S42" s="12"/>
      </tp>
      <tp t="e">
        <v>#N/A</v>
        <stp/>
        <stp>BDH|8824032351264807735</stp>
        <tr r="Q27" s="13"/>
      </tp>
      <tp t="e">
        <v>#N/A</v>
        <stp/>
        <stp>BDH|6865881553134382118</stp>
        <tr r="E13" s="29"/>
        <tr r="E22" s="29"/>
        <tr r="E36" s="29"/>
      </tp>
      <tp t="e">
        <v>#N/A</v>
        <stp/>
        <stp>BDH|3464991068072787036</stp>
        <tr r="E9" s="18"/>
      </tp>
      <tp t="e">
        <v>#N/A</v>
        <stp/>
        <stp>BDH|4287128670304134809</stp>
        <tr r="P23" s="13"/>
      </tp>
      <tp t="e">
        <v>#N/A</v>
        <stp/>
        <stp>BDH|2359351515626529879</stp>
        <tr r="O178" s="18"/>
      </tp>
      <tp t="e">
        <v>#N/A</v>
        <stp/>
        <stp>BDH|2651179490443943795</stp>
        <tr r="X198" s="18"/>
      </tp>
      <tp t="e">
        <v>#N/A</v>
        <stp/>
        <stp>BDH|2525218578390833953</stp>
        <tr r="M18" s="26"/>
      </tp>
      <tp t="e">
        <v>#N/A</v>
        <stp/>
        <stp>BDH|3389616799901865328</stp>
        <tr r="O56" s="24"/>
      </tp>
      <tp t="e">
        <v>#N/A</v>
        <stp/>
        <stp>BDH|5013704133528109738</stp>
        <tr r="H21" s="34"/>
      </tp>
      <tp t="e">
        <v>#N/A</v>
        <stp/>
        <stp>BDH|6572404782547744319</stp>
        <tr r="H43" s="21"/>
      </tp>
      <tp t="e">
        <v>#N/A</v>
        <stp/>
        <stp>BDH|7521938573222203563</stp>
        <tr r="C11" s="29"/>
      </tp>
      <tp t="e">
        <v>#N/A</v>
        <stp/>
        <stp>BDH|8809066216565080290</stp>
        <tr r="L16" s="23"/>
      </tp>
      <tp t="e">
        <v>#N/A</v>
        <stp/>
        <stp>BDH|5268963558262555589</stp>
        <tr r="J19" s="20"/>
      </tp>
      <tp t="e">
        <v>#N/A</v>
        <stp/>
        <stp>BDH|6303978734557153502</stp>
        <tr r="I45" s="12"/>
      </tp>
      <tp t="e">
        <v>#N/A</v>
        <stp/>
        <stp>BDH|5341363373876716904</stp>
        <tr r="O89" s="18"/>
      </tp>
      <tp t="e">
        <v>#N/A</v>
        <stp/>
        <stp>BDH|3071978800075269144</stp>
        <tr r="T46" s="21"/>
      </tp>
      <tp t="e">
        <v>#N/A</v>
        <stp/>
        <stp>BDH|7682472987844392146</stp>
        <tr r="E29" s="17"/>
      </tp>
      <tp t="e">
        <v>#N/A</v>
        <stp/>
        <stp>BDH|5769016498362675099</stp>
        <tr r="M51" s="12"/>
      </tp>
      <tp t="e">
        <v>#N/A</v>
        <stp/>
        <stp>BDH|5061004698977811516</stp>
        <tr r="T67" s="10"/>
      </tp>
      <tp t="e">
        <v>#N/A</v>
        <stp/>
        <stp>BDH|4268945463317297265</stp>
        <tr r="D26" s="25"/>
        <tr r="D12" s="27"/>
      </tp>
      <tp t="e">
        <v>#N/A</v>
        <stp/>
        <stp>BDH|5553256090622527248</stp>
        <tr r="M24" s="10"/>
      </tp>
      <tp t="e">
        <v>#N/A</v>
        <stp/>
        <stp>BDH|3103337920719768549</stp>
        <tr r="K124" s="18"/>
        <tr r="K13" s="20"/>
      </tp>
      <tp t="e">
        <v>#N/A</v>
        <stp/>
        <stp>BDH|7719279748837879819</stp>
        <tr r="R24" s="22"/>
      </tp>
      <tp t="e">
        <v>#N/A</v>
        <stp/>
        <stp>BDH|8590709026911131234</stp>
        <tr r="E16" s="22"/>
      </tp>
      <tp t="e">
        <v>#N/A</v>
        <stp/>
        <stp>BDH|8371504682942041900</stp>
        <tr r="X17" s="5"/>
        <tr r="X32" s="6"/>
      </tp>
      <tp t="e">
        <v>#N/A</v>
        <stp/>
        <stp>BDH|2704076501935711970</stp>
        <tr r="W50" s="21"/>
      </tp>
      <tp t="e">
        <v>#N/A</v>
        <stp/>
        <stp>BDH|8021118922641504472</stp>
        <tr r="Q95" s="18"/>
      </tp>
      <tp t="e">
        <v>#N/A</v>
        <stp/>
        <stp>BDH|2298281919709474619</stp>
        <tr r="Y18" s="10"/>
      </tp>
      <tp t="e">
        <v>#N/A</v>
        <stp/>
        <stp>BDH|4795515445843312864</stp>
        <tr r="F28" s="4"/>
      </tp>
      <tp t="e">
        <v>#N/A</v>
        <stp/>
        <stp>BDH|6475456393275573015</stp>
        <tr r="L8" s="21"/>
      </tp>
      <tp t="e">
        <v>#N/A</v>
        <stp/>
        <stp>BDH|6940668711227988817</stp>
        <tr r="V55" s="12"/>
      </tp>
      <tp t="e">
        <v>#N/A</v>
        <stp/>
        <stp>BDH|7934769648098382223</stp>
        <tr r="O20" s="27"/>
      </tp>
      <tp t="e">
        <v>#N/A</v>
        <stp/>
        <stp>BDH|3416443437092521841</stp>
        <tr r="D91" s="18"/>
      </tp>
      <tp t="e">
        <v>#N/A</v>
        <stp/>
        <stp>BDH|8926083740920434238</stp>
        <tr r="K29" s="13"/>
      </tp>
      <tp t="e">
        <v>#N/A</v>
        <stp/>
        <stp>BDH|6606947875044648270</stp>
        <tr r="D32" s="9"/>
      </tp>
      <tp t="e">
        <v>#N/A</v>
        <stp/>
        <stp>BDH|4488513838838960426</stp>
        <tr r="U207" s="18"/>
      </tp>
      <tp t="e">
        <v>#N/A</v>
        <stp/>
        <stp>BDH|2392126245159040028</stp>
        <tr r="Q21" s="30"/>
      </tp>
      <tp t="e">
        <v>#N/A</v>
        <stp/>
        <stp>BDH|4587137090854904695</stp>
        <tr r="U71" s="13"/>
      </tp>
      <tp t="e">
        <v>#N/A</v>
        <stp/>
        <stp>BDH|1257773589457265786</stp>
        <tr r="E66" s="18"/>
      </tp>
      <tp t="e">
        <v>#N/A</v>
        <stp/>
        <stp>BDH|8298884898444187354</stp>
        <tr r="Q72" s="18"/>
      </tp>
      <tp t="e">
        <v>#N/A</v>
        <stp/>
        <stp>BDH|8202215044527558740</stp>
        <tr r="X193" s="18"/>
      </tp>
      <tp t="e">
        <v>#N/A</v>
        <stp/>
        <stp>BDH|9082044313244980281</stp>
        <tr r="Z38" s="21"/>
        <tr r="Z24" s="3"/>
      </tp>
      <tp t="e">
        <v>#N/A</v>
        <stp/>
        <stp>BDH|6547395408468053327</stp>
        <tr r="C123" s="18"/>
        <tr r="C12" s="20"/>
      </tp>
      <tp t="e">
        <v>#N/A</v>
        <stp/>
        <stp>BDH|3973029382730993567</stp>
        <tr r="X16" s="22"/>
      </tp>
      <tp t="e">
        <v>#N/A</v>
        <stp/>
        <stp>BDH|4910953519731326300</stp>
        <tr r="X7" s="23"/>
      </tp>
      <tp t="e">
        <v>#N/A</v>
        <stp/>
        <stp>BDH|4495379714669708160</stp>
        <tr r="T76" s="18"/>
      </tp>
      <tp t="e">
        <v>#N/A</v>
        <stp/>
        <stp>BDH|1208442009298839315</stp>
        <tr r="O49" s="22"/>
      </tp>
      <tp t="e">
        <v>#N/A</v>
        <stp/>
        <stp>BDH|6694878784181250913</stp>
        <tr r="Q31" s="17"/>
      </tp>
      <tp t="e">
        <v>#N/A</v>
        <stp/>
        <stp>BDH|9490853625008172534</stp>
        <tr r="V13" s="5"/>
      </tp>
      <tp t="e">
        <v>#N/A</v>
        <stp/>
        <stp>BDH|5620238095663103375</stp>
        <tr r="U58" s="12"/>
      </tp>
      <tp t="e">
        <v>#N/A</v>
        <stp/>
        <stp>BDH|1860540046289898744</stp>
        <tr r="I56" s="17"/>
      </tp>
      <tp t="e">
        <v>#N/A</v>
        <stp/>
        <stp>BDH|8393039301887568127</stp>
        <tr r="K22" s="20"/>
      </tp>
      <tp t="e">
        <v>#N/A</v>
        <stp/>
        <stp>BDH|5596771252511028866</stp>
        <tr r="E58" s="18"/>
      </tp>
      <tp t="e">
        <v>#N/A</v>
        <stp/>
        <stp>BDH|9236138297547605866</stp>
        <tr r="D19" s="17"/>
      </tp>
      <tp t="e">
        <v>#N/A</v>
        <stp/>
        <stp>BDH|4322978242202230520</stp>
        <tr r="K13" s="25"/>
      </tp>
      <tp t="e">
        <v>#N/A</v>
        <stp/>
        <stp>BDH|7263250917112594834</stp>
        <tr r="O45" s="4"/>
        <tr r="O33" s="10"/>
        <tr r="O23" s="11"/>
        <tr r="Q33" s="13"/>
      </tp>
      <tp t="e">
        <v>#N/A</v>
        <stp/>
        <stp>BDH|3957957817920405591</stp>
        <tr r="V23" s="6"/>
      </tp>
      <tp t="e">
        <v>#N/A</v>
        <stp/>
        <stp>BDH|9977489753842580413</stp>
        <tr r="K40" s="24"/>
      </tp>
      <tp t="e">
        <v>#N/A</v>
        <stp/>
        <stp>BDH|2946419189571272152</stp>
        <tr r="W50" s="34"/>
      </tp>
      <tp t="e">
        <v>#N/A</v>
        <stp/>
        <stp>BDH|4409840238996910775</stp>
        <tr r="Y84" s="24"/>
      </tp>
      <tp t="e">
        <v>#N/A</v>
        <stp/>
        <stp>BDH|1859626159569721529</stp>
        <tr r="C21" s="22"/>
      </tp>
      <tp t="e">
        <v>#N/A</v>
        <stp/>
        <stp>BDH|8808393946092871399</stp>
        <tr r="S22" s="14"/>
      </tp>
      <tp t="e">
        <v>#N/A</v>
        <stp/>
        <stp>BDH|3615309885196226077</stp>
        <tr r="R22" s="6"/>
      </tp>
      <tp t="e">
        <v>#N/A</v>
        <stp/>
        <stp>BDH|5808937227804237480</stp>
        <tr r="Y12" s="3"/>
        <tr r="W55" s="10"/>
        <tr r="W45" s="11"/>
        <tr r="W7" s="7"/>
      </tp>
      <tp t="e">
        <v>#N/A</v>
        <stp/>
        <stp>BDH|1206726135463755848</stp>
        <tr r="U64" s="24"/>
      </tp>
      <tp t="e">
        <v>#N/A</v>
        <stp/>
        <stp>BDH|7482579225268444648</stp>
        <tr r="R33" s="6"/>
      </tp>
      <tp t="e">
        <v>#N/A</v>
        <stp/>
        <stp>BDH|8640339407404653122</stp>
        <tr r="T22" s="6"/>
      </tp>
      <tp t="e">
        <v>#N/A</v>
        <stp/>
        <stp>BDH|6647968346123574654</stp>
        <tr r="U23" s="30"/>
        <tr r="U25" s="23"/>
      </tp>
      <tp t="e">
        <v>#N/A</v>
        <stp/>
        <stp>BDH|2479253036758442559</stp>
        <tr r="R11" s="3"/>
        <tr r="P50" s="10"/>
        <tr r="P40" s="11"/>
        <tr r="P8" s="7"/>
      </tp>
      <tp t="e">
        <v>#N/A</v>
        <stp/>
        <stp>BDH|3030338125588427442</stp>
        <tr r="V78" s="17"/>
      </tp>
      <tp t="e">
        <v>#N/A</v>
        <stp/>
        <stp>BDH|6281048034659731224</stp>
        <tr r="S14" s="13"/>
      </tp>
      <tp t="e">
        <v>#N/A</v>
        <stp/>
        <stp>BDH|8930816166751862915</stp>
        <tr r="T63" s="21"/>
      </tp>
      <tp t="e">
        <v>#N/A</v>
        <stp/>
        <stp>BDH|9233871555662640811</stp>
        <tr r="Y79" s="12"/>
      </tp>
      <tp t="e">
        <v>#N/A</v>
        <stp/>
        <stp>BDH|4877957599212253817</stp>
        <tr r="G140" s="18"/>
      </tp>
      <tp t="e">
        <v>#N/A</v>
        <stp/>
        <stp>BDH|5768822134028745810</stp>
        <tr r="S11" s="17"/>
      </tp>
      <tp t="e">
        <v>#N/A</v>
        <stp/>
        <stp>BDH|4198269082541144131</stp>
        <tr r="Q18" s="2"/>
        <tr r="Q53" s="4"/>
        <tr r="Q46" s="10"/>
        <tr r="Q36" s="11"/>
        <tr r="S58" s="13"/>
      </tp>
      <tp t="e">
        <v>#N/A</v>
        <stp/>
        <stp>BDH|6245948171270057608</stp>
        <tr r="E13" s="2"/>
      </tp>
      <tp t="e">
        <v>#N/A</v>
        <stp/>
        <stp>BDH|6082631292673452429</stp>
        <tr r="D41" s="10"/>
        <tr r="D31" s="11"/>
      </tp>
      <tp t="e">
        <v>#N/A</v>
        <stp/>
        <stp>BDH|7637303752068551766</stp>
        <tr r="C23" s="24"/>
      </tp>
      <tp t="e">
        <v>#N/A</v>
        <stp/>
        <stp>BDH|6508210793203263027</stp>
        <tr r="R13" s="2"/>
      </tp>
      <tp t="e">
        <v>#N/A</v>
        <stp/>
        <stp>BDH|9873650516024408485</stp>
        <tr r="S79" s="34"/>
      </tp>
      <tp t="e">
        <v>#N/A</v>
        <stp/>
        <stp>BDH|4258744414528266470</stp>
        <tr r="C50" s="13"/>
      </tp>
      <tp t="e">
        <v>#N/A</v>
        <stp/>
        <stp>BDH|6623475807529378521</stp>
        <tr r="C68" s="18"/>
      </tp>
      <tp t="e">
        <v>#N/A</v>
        <stp/>
        <stp>BDH|2284209405879377739</stp>
        <tr r="K29" s="21"/>
      </tp>
      <tp t="e">
        <v>#N/A</v>
        <stp/>
        <stp>BDH|6777624721069548560</stp>
        <tr r="C44" s="12"/>
      </tp>
      <tp t="e">
        <v>#N/A</v>
        <stp/>
        <stp>BDH|6162142551788724446</stp>
        <tr r="L16" s="10"/>
      </tp>
      <tp t="e">
        <v>#N/A</v>
        <stp/>
        <stp>BDH|7858067302518311181</stp>
        <tr r="Z44" s="22"/>
      </tp>
      <tp t="e">
        <v>#N/A</v>
        <stp/>
        <stp>BDH|9260131522170266466</stp>
        <tr r="I29" s="22"/>
      </tp>
      <tp t="e">
        <v>#N/A</v>
        <stp/>
        <stp>BDH|7863596789675783188</stp>
        <tr r="Q15" s="22"/>
      </tp>
      <tp t="e">
        <v>#N/A</v>
        <stp/>
        <stp>BDH|5764301288259000983</stp>
        <tr r="F52" s="18"/>
      </tp>
      <tp t="e">
        <v>#N/A</v>
        <stp/>
        <stp>BDH|6100624300577457902</stp>
        <tr r="F12" s="3"/>
        <tr r="D55" s="10"/>
        <tr r="D45" s="11"/>
        <tr r="D7" s="7"/>
      </tp>
      <tp t="e">
        <v>#N/A</v>
        <stp/>
        <stp>BDH|7610691214079849742</stp>
        <tr r="I24" s="9"/>
      </tp>
      <tp t="e">
        <v>#N/A</v>
        <stp/>
        <stp>BDH|2358907557407705740</stp>
        <tr r="V20" s="24"/>
      </tp>
      <tp t="e">
        <v>#N/A</v>
        <stp/>
        <stp>BDH|2621244994992032515</stp>
        <tr r="N31" s="17"/>
      </tp>
      <tp t="e">
        <v>#N/A</v>
        <stp/>
        <stp>BDH|4345052756898461731</stp>
        <tr r="Q124" s="18"/>
        <tr r="Q13" s="20"/>
      </tp>
      <tp t="e">
        <v>#N/A</v>
        <stp/>
        <stp>BDH|8592059466841169107</stp>
        <tr r="O11" s="22"/>
      </tp>
      <tp t="e">
        <v>#N/A</v>
        <stp/>
        <stp>BDH|5420099664365682888</stp>
        <tr r="Y9" s="27"/>
      </tp>
      <tp t="e">
        <v>#N/A</v>
        <stp/>
        <stp>BDH|8286098987966835832</stp>
        <tr r="Y22" s="30"/>
        <tr r="Y24" s="23"/>
      </tp>
      <tp t="e">
        <v>#N/A</v>
        <stp/>
        <stp>BDH|7205062204840783909</stp>
        <tr r="O76" s="17"/>
        <tr r="L9" s="5"/>
        <tr r="L9" s="9"/>
      </tp>
      <tp t="e">
        <v>#N/A</v>
        <stp/>
        <stp>BDH|3289810674407003507</stp>
        <tr r="W49" s="22"/>
      </tp>
      <tp t="e">
        <v>#N/A</v>
        <stp/>
        <stp>BDH|5353651986983067671</stp>
        <tr r="K68" s="12"/>
      </tp>
      <tp t="e">
        <v>#N/A</v>
        <stp/>
        <stp>BDH|2496700668685813834</stp>
        <tr r="AA32" s="26"/>
      </tp>
      <tp t="e">
        <v>#N/A</v>
        <stp/>
        <stp>BDH|5175619169569750293</stp>
        <tr r="U8" s="21"/>
      </tp>
      <tp t="e">
        <v>#N/A</v>
        <stp/>
        <stp>BDH|7384824472892117458</stp>
        <tr r="J58" s="24"/>
      </tp>
      <tp t="e">
        <v>#N/A</v>
        <stp/>
        <stp>BDH|5638985976893751686</stp>
        <tr r="W98" s="18"/>
      </tp>
      <tp t="e">
        <v>#N/A</v>
        <stp/>
        <stp>BDH|6632317687814481738</stp>
        <tr r="J12" s="25"/>
      </tp>
      <tp t="e">
        <v>#N/A</v>
        <stp/>
        <stp>BDH|9185400043262454510</stp>
        <tr r="N92" s="24"/>
      </tp>
      <tp t="e">
        <v>#N/A</v>
        <stp/>
        <stp>BDH|2461008056601202877</stp>
        <tr r="C13" s="21"/>
      </tp>
      <tp t="e">
        <v>#N/A</v>
        <stp/>
        <stp>BDH|5893035111782541880</stp>
        <tr r="Z72" s="18"/>
      </tp>
      <tp t="e">
        <v>#N/A</v>
        <stp/>
        <stp>BDH|7917052294633628399</stp>
        <tr r="S38" s="22"/>
      </tp>
      <tp t="e">
        <v>#N/A</v>
        <stp/>
        <stp>BDH|1996286087686392311</stp>
        <tr r="I16" s="34"/>
      </tp>
      <tp t="e">
        <v>#N/A</v>
        <stp/>
        <stp>BDH|7032453874138525202</stp>
        <tr r="P29" s="10"/>
        <tr r="R38" s="13"/>
      </tp>
      <tp t="e">
        <v>#N/A</v>
        <stp/>
        <stp>BDH|8970930093424596289</stp>
        <tr r="T67" s="13"/>
      </tp>
      <tp t="e">
        <v>#N/A</v>
        <stp/>
        <stp>BDH|9719965258488556386</stp>
        <tr r="L32" s="21"/>
      </tp>
      <tp t="e">
        <v>#N/A</v>
        <stp/>
        <stp>BDH|1009903210122368577</stp>
        <tr r="Y16" s="23"/>
      </tp>
      <tp t="e">
        <v>#N/A</v>
        <stp/>
        <stp>BDH|7337052317398575006</stp>
        <tr r="H19" s="11"/>
      </tp>
      <tp t="e">
        <v>#N/A</v>
        <stp/>
        <stp>BDH|3027348034614173959</stp>
        <tr r="F13" s="17"/>
        <tr r="F16" s="28"/>
      </tp>
      <tp t="e">
        <v>#N/A</v>
        <stp/>
        <stp>BDH|5177951671742872794</stp>
        <tr r="Q9" s="3"/>
        <tr r="O51" s="10"/>
        <tr r="O41" s="11"/>
        <tr r="O14" s="7"/>
      </tp>
      <tp t="e">
        <v>#N/A</v>
        <stp/>
        <stp>BDH|4574203293051021024</stp>
        <tr r="F113" s="18"/>
      </tp>
      <tp t="e">
        <v>#N/A</v>
        <stp/>
        <stp>BDH|8459032832156616375</stp>
        <tr r="J11" s="21"/>
      </tp>
      <tp t="e">
        <v>#N/A</v>
        <stp/>
        <stp>BDH|2183748728609948007</stp>
        <tr r="S113" s="18"/>
      </tp>
      <tp t="e">
        <v>#N/A</v>
        <stp/>
        <stp>BDH|3248556776628756724</stp>
        <tr r="Z56" s="24"/>
      </tp>
      <tp t="e">
        <v>#N/A</v>
        <stp/>
        <stp>BDH|4565581448402658972</stp>
        <tr r="M19" s="17"/>
      </tp>
      <tp t="e">
        <v>#N/A</v>
        <stp/>
        <stp>BDH|8673582877103811751</stp>
        <tr r="H25" s="24"/>
      </tp>
      <tp t="e">
        <v>#N/A</v>
        <stp/>
        <stp>BDH|2939477896967890643</stp>
        <tr r="C29" s="21"/>
      </tp>
      <tp t="e">
        <v>#N/A</v>
        <stp/>
        <stp>BDH|1081450513552390813</stp>
        <tr r="G48" s="21"/>
      </tp>
      <tp t="e">
        <v>#N/A</v>
        <stp/>
        <stp>BDH|7476958474014500348</stp>
        <tr r="J28" s="25"/>
        <tr r="J14" s="27"/>
      </tp>
      <tp t="e">
        <v>#N/A</v>
        <stp/>
        <stp>BDH|8463137916492075454</stp>
        <tr r="X146" s="18"/>
      </tp>
      <tp t="e">
        <v>#N/A</v>
        <stp/>
        <stp>BDH|5118837673933270771</stp>
        <tr r="D28" s="26"/>
      </tp>
      <tp t="e">
        <v>#N/A</v>
        <stp/>
        <stp>BDH|5569919384528042247</stp>
        <tr r="Q54" s="17"/>
      </tp>
      <tp t="e">
        <v>#N/A</v>
        <stp/>
        <stp>BDH|1290629573718271658</stp>
        <tr r="O11" s="17"/>
      </tp>
      <tp t="e">
        <v>#N/A</v>
        <stp/>
        <stp>BDH|5431729493210358525</stp>
        <tr r="T23" s="23"/>
      </tp>
      <tp t="e">
        <v>#N/A</v>
        <stp/>
        <stp>BDH|6687777981720652725</stp>
        <tr r="E72" s="24"/>
      </tp>
      <tp t="e">
        <v>#N/A</v>
        <stp/>
        <stp>BDH|2223665925290560808</stp>
        <tr r="L8" s="24"/>
      </tp>
      <tp t="e">
        <v>#N/A</v>
        <stp/>
        <stp>BDH|8249457756372080553</stp>
        <tr r="S48" s="13"/>
      </tp>
      <tp t="e">
        <v>#N/A</v>
        <stp/>
        <stp>BDH|3073328701178075673</stp>
        <tr r="P28" s="21"/>
      </tp>
      <tp t="e">
        <v>#N/A</v>
        <stp/>
        <stp>BDH|8220381654221824129</stp>
        <tr r="D64" s="10"/>
      </tp>
      <tp t="e">
        <v>#N/A</v>
        <stp/>
        <stp>BDH|4549341663899270647</stp>
        <tr r="K157" s="18"/>
      </tp>
      <tp t="e">
        <v>#N/A</v>
        <stp/>
        <stp>BDH|4592451732019339456</stp>
        <tr r="K53" s="6"/>
      </tp>
      <tp t="e">
        <v>#N/A</v>
        <stp/>
        <stp>BDH|3983940482719328580</stp>
        <tr r="O97" s="18"/>
      </tp>
      <tp t="e">
        <v>#N/A</v>
        <stp/>
        <stp>BDH|7273253071629179538</stp>
        <tr r="L84" s="17"/>
      </tp>
      <tp t="e">
        <v>#N/A</v>
        <stp/>
        <stp>BDH|7641630507968598739</stp>
        <tr r="H46" s="34"/>
      </tp>
      <tp t="e">
        <v>#N/A</v>
        <stp/>
        <stp>BDH|9269370204592799627</stp>
        <tr r="L14" s="6"/>
      </tp>
      <tp t="e">
        <v>#N/A</v>
        <stp/>
        <stp>BDH|7017829357776742267</stp>
        <tr r="Q26" s="29"/>
      </tp>
      <tp t="e">
        <v>#N/A</v>
        <stp/>
        <stp>BDH|7139469811769566574</stp>
        <tr r="C12" s="12"/>
      </tp>
      <tp t="e">
        <v>#N/A</v>
        <stp/>
        <stp>BDH|8883899875089890087</stp>
        <tr r="J38" s="26"/>
      </tp>
      <tp t="e">
        <v>#N/A</v>
        <stp/>
        <stp>BDH|5783820621324103515</stp>
        <tr r="G43" s="10"/>
        <tr r="G33" s="11"/>
      </tp>
      <tp t="e">
        <v>#N/A</v>
        <stp/>
        <stp>BDH|1852563983650968208</stp>
        <tr r="G71" s="24"/>
      </tp>
      <tp t="e">
        <v>#N/A</v>
        <stp/>
        <stp>BDH|7376357386667484500</stp>
        <tr r="R22" s="10"/>
      </tp>
      <tp t="e">
        <v>#N/A</v>
        <stp/>
        <stp>BDH|8977655516386893766</stp>
        <tr r="V22" s="34"/>
      </tp>
      <tp t="e">
        <v>#N/A</v>
        <stp/>
        <stp>BDH|3718478016851789949</stp>
        <tr r="M9" s="24"/>
      </tp>
      <tp t="e">
        <v>#N/A</v>
        <stp/>
        <stp>BDH|7190908603567054771</stp>
        <tr r="D12" s="11"/>
      </tp>
      <tp t="e">
        <v>#N/A</v>
        <stp/>
        <stp>BDH|2064266810056566966</stp>
        <tr r="W60" s="18"/>
      </tp>
      <tp t="e">
        <v>#N/A</v>
        <stp/>
        <stp>BDH|2136796125750943915</stp>
        <tr r="AA59" s="24"/>
      </tp>
      <tp t="e">
        <v>#N/A</v>
        <stp/>
        <stp>BDH|4240906061086190378</stp>
        <tr r="C30" s="34"/>
      </tp>
      <tp t="e">
        <v>#N/A</v>
        <stp/>
        <stp>BDH|3431881454236802652</stp>
        <tr r="J28" s="10"/>
        <tr r="L37" s="13"/>
      </tp>
      <tp t="e">
        <v>#N/A</v>
        <stp/>
        <stp>BDH|6842285453528389759</stp>
        <tr r="X20" s="9"/>
      </tp>
      <tp t="e">
        <v>#N/A</v>
        <stp/>
        <stp>BDH|4508720575332167860</stp>
        <tr r="O16" s="29"/>
        <tr r="O39" s="29"/>
      </tp>
      <tp t="e">
        <v>#N/A</v>
        <stp/>
        <stp>BDH|7107726333668676533</stp>
        <tr r="I39" s="10"/>
        <tr r="I29" s="11"/>
      </tp>
      <tp t="e">
        <v>#N/A</v>
        <stp/>
        <stp>BDH|2467012620427015905</stp>
        <tr r="H151" s="18"/>
      </tp>
      <tp t="e">
        <v>#N/A</v>
        <stp/>
        <stp>BDH|2473688366149633599</stp>
        <tr r="V84" s="17"/>
      </tp>
      <tp t="e">
        <v>#N/A</v>
        <stp/>
        <stp>BDH|9729385182548816407</stp>
        <tr r="P12" s="3"/>
        <tr r="N55" s="10"/>
        <tr r="N45" s="11"/>
        <tr r="N7" s="7"/>
      </tp>
      <tp t="e">
        <v>#N/A</v>
        <stp/>
        <stp>BDH|5875720029198778616</stp>
        <tr r="U43" s="6"/>
      </tp>
      <tp t="e">
        <v>#N/A</v>
        <stp/>
        <stp>BDH|1448259178952454886</stp>
        <tr r="O53" s="24"/>
      </tp>
      <tp t="e">
        <v>#N/A</v>
        <stp/>
        <stp>BDH|9997159758914589747</stp>
        <tr r="J120" s="18"/>
        <tr r="J8" s="20"/>
      </tp>
      <tp t="e">
        <v>#N/A</v>
        <stp/>
        <stp>BDH|6345253771765501879</stp>
        <tr r="W24" s="6"/>
      </tp>
      <tp t="e">
        <v>#N/A</v>
        <stp/>
        <stp>BDH|1853633094413331398</stp>
        <tr r="I94" s="17"/>
      </tp>
      <tp t="e">
        <v>#N/A</v>
        <stp/>
        <stp>BDH|1699471715519310324</stp>
        <tr r="T206" s="18"/>
      </tp>
      <tp t="e">
        <v>#N/A</v>
        <stp/>
        <stp>BDH|5957354374996514981</stp>
        <tr r="N8" s="6"/>
      </tp>
      <tp t="e">
        <v>#N/A</v>
        <stp/>
        <stp>BDH|7574263381527595423</stp>
        <tr r="Y62" s="18"/>
      </tp>
      <tp t="e">
        <v>#N/A</v>
        <stp/>
        <stp>BDH|2933389394043806581</stp>
        <tr r="F19" s="10"/>
      </tp>
      <tp t="e">
        <v>#N/A</v>
        <stp/>
        <stp>BDH|4469844795943449844</stp>
        <tr r="C97" s="18"/>
      </tp>
      <tp t="e">
        <v>#N/A</v>
        <stp/>
        <stp>BDH|3857058410065058983</stp>
        <tr r="E14" s="29"/>
        <tr r="E23" s="29"/>
        <tr r="E37" s="29"/>
      </tp>
      <tp t="e">
        <v>#N/A</v>
        <stp/>
        <stp>BDH|2858859213345343081</stp>
        <tr r="D54" s="17"/>
      </tp>
      <tp t="e">
        <v>#N/A</v>
        <stp/>
        <stp>BDH|1232219691287647311</stp>
        <tr r="Y45" s="21"/>
      </tp>
      <tp t="e">
        <v>#N/A</v>
        <stp/>
        <stp>BDH|5932881656792308419</stp>
        <tr r="O67" s="21"/>
      </tp>
      <tp t="e">
        <v>#N/A</v>
        <stp/>
        <stp>BDH|7618668486973449478</stp>
        <tr r="X49" s="18"/>
      </tp>
      <tp t="e">
        <v>#N/A</v>
        <stp/>
        <stp>BDH|4022519340273519814</stp>
        <tr r="V90" s="12"/>
      </tp>
      <tp t="e">
        <v>#N/A</v>
        <stp/>
        <stp>BDH|9982343705435939140</stp>
        <tr r="S41" s="18"/>
      </tp>
      <tp t="e">
        <v>#N/A</v>
        <stp/>
        <stp>BDH|6114989739126456413</stp>
        <tr r="E55" s="21"/>
      </tp>
      <tp t="e">
        <v>#N/A</v>
        <stp/>
        <stp>BDH|5302734258991979845</stp>
        <tr r="U29" s="6"/>
      </tp>
      <tp t="e">
        <v>#N/A</v>
        <stp/>
        <stp>BDH|4044976342536588151</stp>
        <tr r="O19" s="9"/>
      </tp>
      <tp t="e">
        <v>#N/A</v>
        <stp/>
        <stp>BDH|5054176635438689111</stp>
        <tr r="T58" s="18"/>
      </tp>
      <tp t="e">
        <v>#N/A</v>
        <stp/>
        <stp>BDH|13791350004661591</stp>
        <tr r="L35" s="12"/>
      </tp>
      <tp t="e">
        <v>#N/A</v>
        <stp/>
        <stp>BDH|96232220864290758</stp>
        <tr r="C39" s="6"/>
      </tp>
      <tp t="e">
        <v>#N/A</v>
        <stp/>
        <stp>BDH|28266032440428211</stp>
        <tr r="Z88" s="18"/>
      </tp>
      <tp t="e">
        <v>#N/A</v>
        <stp/>
        <stp>BDH|60780444281820180</stp>
        <tr r="R24" s="5"/>
      </tp>
      <tp t="e">
        <v>#N/A</v>
        <stp/>
        <stp>BDH|29798061090377229</stp>
        <tr r="P59" s="34"/>
      </tp>
      <tp t="e">
        <v>#N/A</v>
        <stp/>
        <stp>BDH|16640938696035056</stp>
        <tr r="M28" s="34"/>
      </tp>
      <tp t="e">
        <v>#N/A</v>
        <stp/>
        <stp>BDH|7080920107412947369</stp>
        <tr r="D33" s="22"/>
      </tp>
      <tp t="e">
        <v>#N/A</v>
        <stp/>
        <stp>BDH|4379650809198520505</stp>
        <tr r="U18" s="2"/>
        <tr r="U53" s="4"/>
        <tr r="U46" s="10"/>
        <tr r="U36" s="11"/>
        <tr r="W58" s="13"/>
      </tp>
      <tp t="e">
        <v>#N/A</v>
        <stp/>
        <stp>BDH|2003041339219464735</stp>
        <tr r="Z29" s="12"/>
      </tp>
      <tp t="e">
        <v>#N/A</v>
        <stp/>
        <stp>BDH|5840466772008624100</stp>
        <tr r="I20" s="12"/>
      </tp>
      <tp t="e">
        <v>#N/A</v>
        <stp/>
        <stp>BDH|2172826979164223622</stp>
        <tr r="E189" s="18"/>
      </tp>
      <tp t="e">
        <v>#N/A</v>
        <stp/>
        <stp>BDH|9964521246004506324</stp>
        <tr r="I102" s="12"/>
      </tp>
      <tp t="e">
        <v>#N/A</v>
        <stp/>
        <stp>BDH|7174627533054371995</stp>
        <tr r="I21" s="3"/>
      </tp>
      <tp t="e">
        <v>#N/A</v>
        <stp/>
        <stp>BDH|7926128987924456524</stp>
        <tr r="C24" s="2"/>
      </tp>
      <tp t="e">
        <v>#N/A</v>
        <stp/>
        <stp>BDH|8423486783153355865</stp>
        <tr r="AA51" s="18"/>
      </tp>
      <tp t="e">
        <v>#N/A</v>
        <stp/>
        <stp>BDH|7740063877719845641</stp>
        <tr r="E70" s="12"/>
      </tp>
      <tp t="e">
        <v>#N/A</v>
        <stp/>
        <stp>BDH|6871436493113140730</stp>
        <tr r="N10" s="2"/>
        <tr r="M11" s="5"/>
        <tr r="M51" s="6"/>
        <tr r="O33" s="29"/>
        <tr r="O42" s="29"/>
      </tp>
      <tp t="e">
        <v>#N/A</v>
        <stp/>
        <stp>BDH|2105873618190125454</stp>
        <tr r="I27" s="34"/>
      </tp>
      <tp t="e">
        <v>#N/A</v>
        <stp/>
        <stp>BDH|9026870182865857378</stp>
        <tr r="D42" s="17"/>
      </tp>
      <tp t="e">
        <v>#N/A</v>
        <stp/>
        <stp>BDH|9276486674663701630</stp>
        <tr r="W11" s="11"/>
      </tp>
      <tp t="e">
        <v>#N/A</v>
        <stp/>
        <stp>BDH|9492925998725698325</stp>
        <tr r="V203" s="18"/>
      </tp>
      <tp t="e">
        <v>#N/A</v>
        <stp/>
        <stp>BDH|4198928572393208695</stp>
        <tr r="O46" s="12"/>
      </tp>
      <tp t="e">
        <v>#N/A</v>
        <stp/>
        <stp>BDH|6183898307091344063</stp>
        <tr r="F50" s="17"/>
      </tp>
      <tp t="e">
        <v>#N/A</v>
        <stp/>
        <stp>BDH|5440975416533742186</stp>
        <tr r="Z67" s="18"/>
      </tp>
      <tp t="e">
        <v>#N/A</v>
        <stp/>
        <stp>BDH|8882781430235250688</stp>
        <tr r="I13" s="9"/>
      </tp>
      <tp t="e">
        <v>#N/A</v>
        <stp/>
        <stp>BDH|9764680071715203267</stp>
        <tr r="O82" s="24"/>
      </tp>
      <tp t="e">
        <v>#N/A</v>
        <stp/>
        <stp>BDH|9551546044670947767</stp>
        <tr r="O199" s="18"/>
      </tp>
      <tp t="e">
        <v>#N/A</v>
        <stp/>
        <stp>BDH|8416718154020388587</stp>
        <tr r="H63" s="13"/>
      </tp>
      <tp t="e">
        <v>#N/A</v>
        <stp/>
        <stp>BDH|9106215522084025281</stp>
        <tr r="R13" s="29"/>
        <tr r="R22" s="29"/>
        <tr r="R36" s="29"/>
      </tp>
      <tp t="e">
        <v>#N/A</v>
        <stp/>
        <stp>BDH|4140416708786216902</stp>
        <tr r="M193" s="18"/>
      </tp>
      <tp t="e">
        <v>#N/A</v>
        <stp/>
        <stp>BDH|9261262621412910468</stp>
        <tr r="R18" s="21"/>
      </tp>
      <tp t="e">
        <v>#N/A</v>
        <stp/>
        <stp>BDH|8215633059055123139</stp>
        <tr r="Z45" s="18"/>
      </tp>
      <tp t="e">
        <v>#N/A</v>
        <stp/>
        <stp>BDH|3883678926618366009</stp>
        <tr r="I99" s="12"/>
      </tp>
      <tp t="e">
        <v>#N/A</v>
        <stp/>
        <stp>BDH|4292837927067864641</stp>
        <tr r="M27" s="7"/>
      </tp>
      <tp t="e">
        <v>#N/A</v>
        <stp/>
        <stp>BDH|1756106241363407888</stp>
        <tr r="J63" s="24"/>
      </tp>
      <tp t="e">
        <v>#N/A</v>
        <stp/>
        <stp>BDH|4640801115004851618</stp>
        <tr r="M17" s="9"/>
      </tp>
      <tp t="e">
        <v>#N/A</v>
        <stp/>
        <stp>BDH|1852586300292910938</stp>
        <tr r="J61" s="24"/>
      </tp>
      <tp t="e">
        <v>#N/A</v>
        <stp/>
        <stp>BDH|2965461333333079968</stp>
        <tr r="U9" s="13"/>
      </tp>
      <tp t="e">
        <v>#N/A</v>
        <stp/>
        <stp>BDH|2985232741492862993</stp>
        <tr r="K32" s="34"/>
      </tp>
      <tp t="e">
        <v>#N/A</v>
        <stp/>
        <stp>BDH|3331894743699786942</stp>
        <tr r="W22" s="20"/>
      </tp>
      <tp t="e">
        <v>#N/A</v>
        <stp/>
        <stp>BDH|7712743149972734972</stp>
        <tr r="AA79" s="34"/>
      </tp>
      <tp t="e">
        <v>#N/A</v>
        <stp/>
        <stp>BDH|2204523051439230499</stp>
        <tr r="G24" s="4"/>
        <tr r="G55" s="11"/>
      </tp>
      <tp t="e">
        <v>#N/A</v>
        <stp/>
        <stp>BDH|6500104859304097963</stp>
        <tr r="S13" s="9"/>
      </tp>
      <tp t="e">
        <v>#N/A</v>
        <stp/>
        <stp>BDH|8085494825615503437</stp>
        <tr r="T21" s="22"/>
      </tp>
      <tp t="e">
        <v>#N/A</v>
        <stp/>
        <stp>BDH|3989923100767475256</stp>
        <tr r="D200" s="18"/>
      </tp>
      <tp t="e">
        <v>#N/A</v>
        <stp/>
        <stp>BDH|8856139106303536520</stp>
        <tr r="K11" s="17"/>
      </tp>
      <tp t="e">
        <v>#N/A</v>
        <stp/>
        <stp>BDH|5754318294702834205</stp>
        <tr r="W131" s="18"/>
      </tp>
      <tp t="e">
        <v>#N/A</v>
        <stp/>
        <stp>BDH|4134261337968327296</stp>
        <tr r="J181" s="18"/>
      </tp>
      <tp t="e">
        <v>#N/A</v>
        <stp/>
        <stp>BDH|7404564724657887845</stp>
        <tr r="P39" s="22"/>
      </tp>
      <tp t="e">
        <v>#N/A</v>
        <stp/>
        <stp>BDH|1113517945399630699</stp>
        <tr r="K132" s="18"/>
      </tp>
      <tp t="e">
        <v>#N/A</v>
        <stp/>
        <stp>BDH|2928524213819793058</stp>
        <tr r="W27" s="14"/>
      </tp>
      <tp t="e">
        <v>#N/A</v>
        <stp/>
        <stp>BDH|5084752960009708284</stp>
        <tr r="X9" s="10"/>
      </tp>
      <tp t="e">
        <v>#N/A</v>
        <stp/>
        <stp>BDH|2123307998697194024</stp>
        <tr r="U70" s="13"/>
      </tp>
      <tp t="e">
        <v>#N/A</v>
        <stp/>
        <stp>BDH|4074986228869251982</stp>
        <tr r="C16" s="26"/>
      </tp>
      <tp t="e">
        <v>#N/A</v>
        <stp/>
        <stp>BDH|8955784903452063292</stp>
        <tr r="V21" s="27"/>
      </tp>
      <tp t="e">
        <v>#N/A</v>
        <stp/>
        <stp>BDH|6835343790063194069</stp>
        <tr r="U18" s="24"/>
      </tp>
      <tp t="e">
        <v>#N/A</v>
        <stp/>
        <stp>BDH|3365511386769812871</stp>
        <tr r="G18" s="12"/>
      </tp>
      <tp t="e">
        <v>#N/A</v>
        <stp/>
        <stp>BDH|7363242992687948476</stp>
        <tr r="L29" s="6"/>
      </tp>
      <tp t="e">
        <v>#N/A</v>
        <stp/>
        <stp>BDH|8620224349296229745</stp>
        <tr r="AA82" s="18"/>
      </tp>
      <tp t="e">
        <v>#N/A</v>
        <stp/>
        <stp>BDH|6915870814284529442</stp>
        <tr r="V89" s="12"/>
      </tp>
      <tp t="e">
        <v>#N/A</v>
        <stp/>
        <stp>BDH|4933017375199132575</stp>
        <tr r="X33" s="12"/>
      </tp>
      <tp t="e">
        <v>#N/A</v>
        <stp/>
        <stp>BDH|9998130132787756349</stp>
        <tr r="E28" s="25"/>
        <tr r="E14" s="27"/>
      </tp>
      <tp t="e">
        <v>#N/A</v>
        <stp/>
        <stp>BDH|8488252725473758489</stp>
        <tr r="Z15" s="34"/>
      </tp>
      <tp t="e">
        <v>#N/A</v>
        <stp/>
        <stp>BDH|8527483981299155264</stp>
        <tr r="Q8" s="13"/>
      </tp>
      <tp t="e">
        <v>#N/A</v>
        <stp/>
        <stp>BDH|6335276470308907463</stp>
        <tr r="W86" s="12"/>
      </tp>
      <tp t="e">
        <v>#N/A</v>
        <stp/>
        <stp>BDH|9855325555060057040</stp>
        <tr r="P22" s="24"/>
      </tp>
      <tp t="e">
        <v>#N/A</v>
        <stp/>
        <stp>BDH|2726252113907284984</stp>
        <tr r="W40" s="6"/>
      </tp>
      <tp t="e">
        <v>#N/A</v>
        <stp/>
        <stp>BDH|2776730476689942400</stp>
        <tr r="S18" s="5"/>
        <tr r="S37" s="6"/>
      </tp>
      <tp t="e">
        <v>#N/A</v>
        <stp/>
        <stp>BDH|8299515052596259189</stp>
        <tr r="AA75" s="18"/>
      </tp>
      <tp t="e">
        <v>#N/A</v>
        <stp/>
        <stp>BDH|8749223584255309891</stp>
        <tr r="X38" s="10"/>
        <tr r="X28" s="11"/>
        <tr r="Z47" s="13"/>
      </tp>
      <tp t="e">
        <v>#N/A</v>
        <stp/>
        <stp>BDH|1749941552340914230</stp>
        <tr r="X16" s="26"/>
      </tp>
      <tp t="e">
        <v>#N/A</v>
        <stp/>
        <stp>BDH|2971252819649835767</stp>
        <tr r="F9" s="11"/>
      </tp>
      <tp t="e">
        <v>#N/A</v>
        <stp/>
        <stp>BDH|3847434495752262377</stp>
        <tr r="V10" s="12"/>
      </tp>
      <tp t="e">
        <v>#N/A</v>
        <stp/>
        <stp>BDH|2122790772789602473</stp>
        <tr r="C32" s="26"/>
      </tp>
      <tp t="e">
        <v>#N/A</v>
        <stp/>
        <stp>BDH|9570009998809440624</stp>
        <tr r="L10" s="28"/>
      </tp>
      <tp t="e">
        <v>#N/A</v>
        <stp/>
        <stp>BDH|8210340546770975029</stp>
        <tr r="L73" s="10"/>
        <tr r="L63" s="11"/>
      </tp>
      <tp t="e">
        <v>#N/A</v>
        <stp/>
        <stp>BDH|7656955908922979395</stp>
        <tr r="S28" s="18"/>
      </tp>
      <tp t="e">
        <v>#N/A</v>
        <stp/>
        <stp>BDH|4311787291113348628</stp>
        <tr r="G13" s="10"/>
      </tp>
      <tp t="e">
        <v>#N/A</v>
        <stp/>
        <stp>BDH|3812175222718595730</stp>
        <tr r="J12" s="11"/>
      </tp>
      <tp t="e">
        <v>#N/A</v>
        <stp/>
        <stp>BDH|8103421638154192414</stp>
        <tr r="M68" s="12"/>
      </tp>
      <tp t="e">
        <v>#N/A</v>
        <stp/>
        <stp>BDH|1327587142958215701</stp>
        <tr r="G38" s="34"/>
      </tp>
      <tp t="e">
        <v>#N/A</v>
        <stp/>
        <stp>BDH|2394541124133077982</stp>
        <tr r="J8" s="12"/>
      </tp>
      <tp t="e">
        <v>#N/A</v>
        <stp/>
        <stp>BDH|3894266880176705022</stp>
        <tr r="D34" s="10"/>
        <tr r="D24" s="11"/>
      </tp>
      <tp t="e">
        <v>#N/A</v>
        <stp/>
        <stp>BDH|1470969027680801567</stp>
        <tr r="G76" s="18"/>
      </tp>
      <tp t="e">
        <v>#N/A</v>
        <stp/>
        <stp>BDH|2830364142419158368</stp>
        <tr r="S86" s="12"/>
      </tp>
      <tp t="e">
        <v>#N/A</v>
        <stp/>
        <stp>BDH|8575656666051960676</stp>
        <tr r="I50" s="17"/>
      </tp>
      <tp t="e">
        <v>#N/A</v>
        <stp/>
        <stp>BDH|4115682257861681902</stp>
        <tr r="K77" s="24"/>
      </tp>
      <tp t="e">
        <v>#N/A</v>
        <stp/>
        <stp>BDH|4975366511661146872</stp>
        <tr r="G26" s="26"/>
      </tp>
      <tp t="e">
        <v>#N/A</v>
        <stp/>
        <stp>BDH|8715094526511033402</stp>
        <tr r="C56" s="18"/>
      </tp>
      <tp t="e">
        <v>#N/A</v>
        <stp/>
        <stp>BDH|7137116964937995854</stp>
        <tr r="K26" s="29"/>
      </tp>
      <tp t="e">
        <v>#N/A</v>
        <stp/>
        <stp>BDH|9591209067093301191</stp>
        <tr r="M7" s="34"/>
      </tp>
      <tp t="e">
        <v>#N/A</v>
        <stp/>
        <stp>BDH|7121999556700152479</stp>
        <tr r="S16" s="24"/>
      </tp>
      <tp t="e">
        <v>#N/A</v>
        <stp/>
        <stp>BDH|3608396751842166878</stp>
        <tr r="V8" s="18"/>
      </tp>
      <tp t="e">
        <v>#N/A</v>
        <stp/>
        <stp>BDH|4801879135957198739</stp>
        <tr r="D60" s="18"/>
      </tp>
      <tp t="e">
        <v>#N/A</v>
        <stp/>
        <stp>BDH|2226732989694378631</stp>
        <tr r="M39" s="22"/>
      </tp>
      <tp t="e">
        <v>#N/A</v>
        <stp/>
        <stp>BDH|4044869649252169569</stp>
        <tr r="R86" s="24"/>
      </tp>
      <tp t="e">
        <v>#N/A</v>
        <stp/>
        <stp>BDH|1937248121188797633</stp>
        <tr r="G46" s="4"/>
        <tr r="G23" s="10"/>
        <tr r="I42" s="13"/>
      </tp>
      <tp t="e">
        <v>#N/A</v>
        <stp/>
        <stp>BDH|4514961743216879005</stp>
        <tr r="C46" s="17"/>
      </tp>
      <tp t="e">
        <v>#N/A</v>
        <stp/>
        <stp>BDH|7908625210518144727</stp>
        <tr r="T46" s="18"/>
      </tp>
      <tp t="e">
        <v>#N/A</v>
        <stp/>
        <stp>BDH|7699858632403817017</stp>
        <tr r="E10" s="34"/>
      </tp>
      <tp t="e">
        <v>#N/A</v>
        <stp/>
        <stp>BDH|7525280472804714909</stp>
        <tr r="Q28" s="22"/>
      </tp>
      <tp t="e">
        <v>#N/A</v>
        <stp/>
        <stp>BDH|3670864237007964060</stp>
        <tr r="K58" s="24"/>
      </tp>
      <tp t="e">
        <v>#N/A</v>
        <stp/>
        <stp>BDH|3077885127711700700</stp>
        <tr r="U11" s="24"/>
      </tp>
      <tp t="e">
        <v>#N/A</v>
        <stp/>
        <stp>BDH|6932262884377756442</stp>
        <tr r="H18" s="20"/>
      </tp>
      <tp t="e">
        <v>#N/A</v>
        <stp/>
        <stp>BDH|2008615989783019007</stp>
        <tr r="W65" s="13"/>
      </tp>
      <tp t="e">
        <v>#N/A</v>
        <stp/>
        <stp>BDH|9738473243042857431</stp>
        <tr r="I6" s="6"/>
      </tp>
      <tp t="e">
        <v>#N/A</v>
        <stp/>
        <stp>BDH|3029972293565517990</stp>
        <tr r="U17" s="12"/>
      </tp>
      <tp t="e">
        <v>#N/A</v>
        <stp/>
        <stp>BDH|4601822375072820617</stp>
        <tr r="Y22" s="4"/>
      </tp>
      <tp t="e">
        <v>#N/A</v>
        <stp/>
        <stp>BDH|5957541235228912491</stp>
        <tr r="V25" s="21"/>
      </tp>
      <tp t="e">
        <v>#N/A</v>
        <stp/>
        <stp>BDH|9190759517909268999</stp>
        <tr r="G28" s="34"/>
      </tp>
      <tp t="e">
        <v>#N/A</v>
        <stp/>
        <stp>BDH|3686214992723516483</stp>
        <tr r="G23" s="26"/>
      </tp>
      <tp t="e">
        <v>#N/A</v>
        <stp/>
        <stp>BDH|4505236100469790093</stp>
        <tr r="O21" s="27"/>
      </tp>
      <tp t="e">
        <v>#N/A</v>
        <stp/>
        <stp>BDH|5543993538170969058</stp>
        <tr r="F30" s="17"/>
      </tp>
      <tp t="e">
        <v>#N/A</v>
        <stp/>
        <stp>BDH|3621236184383063599</stp>
        <tr r="Y32" s="12"/>
      </tp>
      <tp t="e">
        <v>#N/A</v>
        <stp/>
        <stp>BDH|5694702091766959261</stp>
        <tr r="X55" s="24"/>
      </tp>
      <tp t="e">
        <v>#N/A</v>
        <stp/>
        <stp>BDH|6696844003866875719</stp>
        <tr r="X55" s="13"/>
      </tp>
      <tp t="e">
        <v>#N/A</v>
        <stp/>
        <stp>BDH|9591675533767162487</stp>
        <tr r="K47" s="6"/>
        <tr r="M6" s="8"/>
      </tp>
      <tp t="e">
        <v>#N/A</v>
        <stp/>
        <stp>BDH|4588459220634844909</stp>
        <tr r="D44" s="34"/>
      </tp>
      <tp t="e">
        <v>#N/A</v>
        <stp/>
        <stp>BDH|9210578254440019696</stp>
        <tr r="J104" s="12"/>
      </tp>
      <tp t="e">
        <v>#N/A</v>
        <stp/>
        <stp>BDH|2529096217579497575</stp>
        <tr r="H11" s="13"/>
      </tp>
      <tp t="e">
        <v>#N/A</v>
        <stp/>
        <stp>BDH|6035252976839354581</stp>
        <tr r="X38" s="24"/>
      </tp>
      <tp t="e">
        <v>#N/A</v>
        <stp/>
        <stp>BDH|4597937418311371256</stp>
        <tr r="E34" s="9"/>
      </tp>
      <tp t="e">
        <v>#N/A</v>
        <stp/>
        <stp>BDH|3991637970324481969</stp>
        <tr r="V116" s="18"/>
      </tp>
      <tp t="e">
        <v>#N/A</v>
        <stp/>
        <stp>BDH|8366584321996734657</stp>
        <tr r="U38" s="34"/>
      </tp>
      <tp t="e">
        <v>#N/A</v>
        <stp/>
        <stp>BDH|7138071470997871862</stp>
        <tr r="M53" s="12"/>
      </tp>
      <tp t="e">
        <v>#N/A</v>
        <stp/>
        <stp>BDH|7410052091451004089</stp>
        <tr r="E9" s="24"/>
      </tp>
      <tp t="e">
        <v>#N/A</v>
        <stp/>
        <stp>BDH|9489655608566308626</stp>
        <tr r="O12" s="17"/>
      </tp>
      <tp t="e">
        <v>#N/A</v>
        <stp/>
        <stp>BDH|8338197363290256022</stp>
        <tr r="S39" s="26"/>
      </tp>
      <tp t="e">
        <v>#N/A</v>
        <stp/>
        <stp>BDH|6490415409469098450</stp>
        <tr r="Y43" s="10"/>
        <tr r="Y33" s="11"/>
      </tp>
      <tp t="e">
        <v>#N/A</v>
        <stp/>
        <stp>BDH|8989254505593385631</stp>
        <tr r="Y15" s="11"/>
      </tp>
      <tp t="e">
        <v>#N/A</v>
        <stp/>
        <stp>BDH|1703660815249523080</stp>
        <tr r="V65" s="18"/>
      </tp>
      <tp t="e">
        <v>#N/A</v>
        <stp/>
        <stp>BDH|3219993133590214634</stp>
        <tr r="W61" s="34"/>
      </tp>
      <tp t="e">
        <v>#N/A</v>
        <stp/>
        <stp>BDH|8141363413565473097</stp>
        <tr r="M29" s="12"/>
      </tp>
      <tp t="e">
        <v>#N/A</v>
        <stp/>
        <stp>BDH|4142322506389901157</stp>
        <tr r="W52" s="17"/>
        <tr r="W10" s="25"/>
      </tp>
      <tp t="e">
        <v>#N/A</v>
        <stp/>
        <stp>BDH|9336281852083479247</stp>
        <tr r="R57" s="11"/>
        <tr r="T15" s="23"/>
      </tp>
      <tp t="e">
        <v>#N/A</v>
        <stp/>
        <stp>BDH|6233675377398820035</stp>
        <tr r="N57" s="24"/>
      </tp>
      <tp t="e">
        <v>#N/A</v>
        <stp/>
        <stp>BDH|1602758403111943808</stp>
        <tr r="V32" s="24"/>
      </tp>
      <tp t="e">
        <v>#N/A</v>
        <stp/>
        <stp>BDH|4924294480138175984</stp>
        <tr r="AA15" s="25"/>
      </tp>
      <tp t="e">
        <v>#N/A</v>
        <stp/>
        <stp>BDH|7455063540665308984</stp>
        <tr r="F7" s="4"/>
      </tp>
      <tp t="e">
        <v>#N/A</v>
        <stp/>
        <stp>BDH|9701286226025036303</stp>
        <tr r="N21" s="3"/>
      </tp>
      <tp t="e">
        <v>#N/A</v>
        <stp/>
        <stp>BDH|9699557541035991221</stp>
        <tr r="V22" s="11"/>
      </tp>
      <tp t="e">
        <v>#N/A</v>
        <stp/>
        <stp>BDH|8208415255557777181</stp>
        <tr r="C9" s="27"/>
      </tp>
      <tp t="e">
        <v>#N/A</v>
        <stp/>
        <stp>BDH|2500041991820999408</stp>
        <tr r="D25" s="17"/>
      </tp>
      <tp t="e">
        <v>#N/A</v>
        <stp/>
        <stp>BDH|6162228627610556985</stp>
        <tr r="J65" s="12"/>
      </tp>
      <tp t="e">
        <v>#N/A</v>
        <stp/>
        <stp>BDH|9814453676842339711</stp>
        <tr r="E71" s="24"/>
      </tp>
      <tp t="e">
        <v>#N/A</v>
        <stp/>
        <stp>BDH|7885839391571396806</stp>
        <tr r="S22" s="24"/>
      </tp>
      <tp t="e">
        <v>#N/A</v>
        <stp/>
        <stp>BDH|7591268365935808973</stp>
        <tr r="Q17" s="13"/>
      </tp>
      <tp t="e">
        <v>#N/A</v>
        <stp/>
        <stp>BDH|2014371622848465484</stp>
        <tr r="W66" s="12"/>
      </tp>
      <tp t="e">
        <v>#N/A</v>
        <stp/>
        <stp>BDH|1046391701919864497</stp>
        <tr r="I144" s="18"/>
      </tp>
      <tp t="e">
        <v>#N/A</v>
        <stp/>
        <stp>BDH|8155844162810904975</stp>
        <tr r="T11" s="24"/>
      </tp>
      <tp t="e">
        <v>#N/A</v>
        <stp/>
        <stp>BDH|5297393916221232964</stp>
        <tr r="Y47" s="22"/>
      </tp>
      <tp t="e">
        <v>#N/A</v>
        <stp/>
        <stp>BDH|9665907887960970711</stp>
        <tr r="S16" s="2"/>
        <tr r="S32" s="4"/>
        <tr r="S62" s="10"/>
        <tr r="U19" s="13"/>
      </tp>
      <tp t="e">
        <v>#N/A</v>
        <stp/>
        <stp>BDH|2838439342088695512</stp>
        <tr r="D31" s="24"/>
      </tp>
      <tp t="e">
        <v>#N/A</v>
        <stp/>
        <stp>BDH|4214278375978718690</stp>
        <tr r="P25" s="6"/>
      </tp>
      <tp t="e">
        <v>#N/A</v>
        <stp/>
        <stp>BDH|9267257599555749870</stp>
        <tr r="I71" s="24"/>
      </tp>
      <tp t="e">
        <v>#N/A</v>
        <stp/>
        <stp>BDH|9420185316721150756</stp>
        <tr r="R106" s="12"/>
      </tp>
      <tp t="e">
        <v>#N/A</v>
        <stp/>
        <stp>BDH|4819917976446888399</stp>
        <tr r="J48" s="21"/>
      </tp>
      <tp t="e">
        <v>#N/A</v>
        <stp/>
        <stp>BDH|8070184841733307147</stp>
        <tr r="V17" s="20"/>
      </tp>
      <tp t="e">
        <v>#N/A</v>
        <stp/>
        <stp>BDH|9754105964196929740</stp>
        <tr r="D73" s="13"/>
      </tp>
      <tp t="e">
        <v>#N/A</v>
        <stp/>
        <stp>BDH|4118463604177537883</stp>
        <tr r="F42" s="21"/>
      </tp>
      <tp t="e">
        <v>#N/A</v>
        <stp/>
        <stp>BDH|5918436746472740854</stp>
        <tr r="S15" s="11"/>
      </tp>
      <tp t="e">
        <v>#N/A</v>
        <stp/>
        <stp>BDH|8923448972582589644</stp>
        <tr r="O120" s="18"/>
        <tr r="O8" s="20"/>
      </tp>
      <tp t="e">
        <v>#N/A</v>
        <stp/>
        <stp>BDH|1062518253607929958</stp>
        <tr r="M19" s="5"/>
        <tr r="M42" s="6"/>
      </tp>
      <tp t="e">
        <v>#N/A</v>
        <stp/>
        <stp>BDH|6807620971419015157</stp>
        <tr r="S29" s="21"/>
      </tp>
      <tp t="e">
        <v>#N/A</v>
        <stp/>
        <stp>BDH|9642777829663146073</stp>
        <tr r="AA28" s="34"/>
      </tp>
      <tp t="e">
        <v>#N/A</v>
        <stp/>
        <stp>BDH|2740119540798965019</stp>
        <tr r="Z10" s="26"/>
      </tp>
      <tp t="e">
        <v>#N/A</v>
        <stp/>
        <stp>BDH|5554387369419355697</stp>
        <tr r="Z69" s="12"/>
      </tp>
      <tp t="e">
        <v>#N/A</v>
        <stp/>
        <stp>BDH|6370764849143474961</stp>
        <tr r="K28" s="21"/>
      </tp>
      <tp t="e">
        <v>#N/A</v>
        <stp/>
        <stp>BDH|8980764493570089925</stp>
        <tr r="C16" s="34"/>
      </tp>
      <tp t="e">
        <v>#N/A</v>
        <stp/>
        <stp>BDH|1280809017144361381</stp>
        <tr r="C46" s="21"/>
      </tp>
      <tp t="e">
        <v>#N/A</v>
        <stp/>
        <stp>BDH|1077299361423390954</stp>
        <tr r="J208" s="18"/>
      </tp>
      <tp t="e">
        <v>#N/A</v>
        <stp/>
        <stp>BDH|5098182993055173744</stp>
        <tr r="I53" s="24"/>
      </tp>
      <tp t="e">
        <v>#N/A</v>
        <stp/>
        <stp>BDH|1840952324927137267</stp>
        <tr r="S136" s="18"/>
      </tp>
      <tp t="e">
        <v>#N/A</v>
        <stp/>
        <stp>BDH|4076898130252275251</stp>
        <tr r="Q172" s="18"/>
      </tp>
      <tp t="e">
        <v>#N/A</v>
        <stp/>
        <stp>BDH|6891803502217216662</stp>
        <tr r="AA112" s="18"/>
      </tp>
      <tp t="e">
        <v>#N/A</v>
        <stp/>
        <stp>BDH|2623732324011995964</stp>
        <tr r="N15" s="4"/>
      </tp>
      <tp t="e">
        <v>#N/A</v>
        <stp/>
        <stp>BDH|3118949147073552290</stp>
        <tr r="I12" s="18"/>
      </tp>
      <tp t="e">
        <v>#N/A</v>
        <stp/>
        <stp>BDH|2921006476258425258</stp>
        <tr r="R31" s="25"/>
        <tr r="O14" s="5"/>
        <tr r="R17" s="27"/>
      </tp>
      <tp t="e">
        <v>#N/A</v>
        <stp/>
        <stp>BDH|8150748779170757756</stp>
        <tr r="X17" s="30"/>
      </tp>
      <tp t="e">
        <v>#N/A</v>
        <stp/>
        <stp>BDH|3837608179558963567</stp>
        <tr r="L78" s="24"/>
      </tp>
      <tp t="e">
        <v>#N/A</v>
        <stp/>
        <stp>BDH|7362689099601848642</stp>
        <tr r="H38" s="24"/>
      </tp>
      <tp t="e">
        <v>#N/A</v>
        <stp/>
        <stp>BDH|2210231504978907727</stp>
        <tr r="AA120" s="18"/>
        <tr r="AA8" s="20"/>
      </tp>
      <tp t="e">
        <v>#N/A</v>
        <stp/>
        <stp>BDH|1017992140630239358</stp>
        <tr r="O30" s="12"/>
      </tp>
      <tp t="e">
        <v>#N/A</v>
        <stp/>
        <stp>BDH|7978906960251258658</stp>
        <tr r="K149" s="18"/>
      </tp>
      <tp t="e">
        <v>#N/A</v>
        <stp/>
        <stp>BDH|1904362092551465560</stp>
        <tr r="X53" s="10"/>
        <tr r="X43" s="11"/>
        <tr r="X16" s="7"/>
      </tp>
      <tp t="e">
        <v>#N/A</v>
        <stp/>
        <stp>BDH|8830320916786442371</stp>
        <tr r="E41" s="18"/>
      </tp>
      <tp t="e">
        <v>#N/A</v>
        <stp/>
        <stp>BDH|7377497311955616828</stp>
        <tr r="K33" s="17"/>
      </tp>
      <tp t="e">
        <v>#N/A</v>
        <stp/>
        <stp>BDH|8013347069016342412</stp>
        <tr r="Y18" s="21"/>
      </tp>
      <tp t="e">
        <v>#N/A</v>
        <stp/>
        <stp>BDH|4939005375215535967</stp>
        <tr r="I21" s="24"/>
      </tp>
      <tp t="e">
        <v>#N/A</v>
        <stp/>
        <stp>BDH|7490886731860138337</stp>
        <tr r="L9" s="18"/>
      </tp>
      <tp t="e">
        <v>#N/A</v>
        <stp/>
        <stp>BDH|2584889704382478727</stp>
        <tr r="Q64" s="17"/>
      </tp>
      <tp t="e">
        <v>#N/A</v>
        <stp/>
        <stp>BDH|3845973905605311065</stp>
        <tr r="W43" s="24"/>
      </tp>
      <tp t="e">
        <v>#N/A</v>
        <stp/>
        <stp>BDH|1328804424524001086</stp>
        <tr r="C172" s="18"/>
      </tp>
      <tp t="e">
        <v>#N/A</v>
        <stp/>
        <stp>BDH|3624938974873662181</stp>
        <tr r="F24" s="12"/>
      </tp>
      <tp t="e">
        <v>#N/A</v>
        <stp/>
        <stp>BDH|2994960010503421649</stp>
        <tr r="S19" s="22"/>
      </tp>
      <tp t="e">
        <v>#N/A</v>
        <stp/>
        <stp>BDH|8535225636404942271</stp>
        <tr r="U30" s="5"/>
        <tr r="U30" s="9"/>
      </tp>
      <tp t="e">
        <v>#N/A</v>
        <stp/>
        <stp>BDH|3045346419178024626</stp>
        <tr r="G56" s="18"/>
      </tp>
      <tp t="e">
        <v>#N/A</v>
        <stp/>
        <stp>BDH|6899750077920348963</stp>
        <tr r="K55" s="17"/>
      </tp>
      <tp t="e">
        <v>#N/A</v>
        <stp/>
        <stp>BDH|2258550276457939874</stp>
        <tr r="E173" s="18"/>
      </tp>
      <tp t="e">
        <v>#N/A</v>
        <stp/>
        <stp>BDH|8780611577861641783</stp>
        <tr r="H86" s="24"/>
      </tp>
      <tp t="e">
        <v>#N/A</v>
        <stp/>
        <stp>BDH|1200895765245909581</stp>
        <tr r="S25" s="21"/>
      </tp>
      <tp t="e">
        <v>#N/A</v>
        <stp/>
        <stp>BDH|3950507492368018849</stp>
        <tr r="T70" s="18"/>
      </tp>
      <tp t="e">
        <v>#N/A</v>
        <stp/>
        <stp>BDH|7953035835883019800</stp>
        <tr r="W9" s="28"/>
      </tp>
      <tp t="e">
        <v>#N/A</v>
        <stp/>
        <stp>BDH|8961728911016253772</stp>
        <tr r="U52" s="18"/>
      </tp>
      <tp t="e">
        <v>#N/A</v>
        <stp/>
        <stp>BDH|8481548603840506290</stp>
        <tr r="T47" s="34"/>
      </tp>
      <tp t="e">
        <v>#N/A</v>
        <stp/>
        <stp>BDH|3675702258009644779</stp>
        <tr r="D153" s="18"/>
      </tp>
      <tp t="e">
        <v>#N/A</v>
        <stp/>
        <stp>BDH|1232651699418144909</stp>
        <tr r="N19" s="20"/>
      </tp>
      <tp t="e">
        <v>#N/A</v>
        <stp/>
        <stp>BDH|1290877684309965770</stp>
        <tr r="E195" s="18"/>
      </tp>
      <tp t="e">
        <v>#N/A</v>
        <stp/>
        <stp>BDH|7282853400327155797</stp>
        <tr r="AA16" s="21"/>
      </tp>
      <tp t="e">
        <v>#N/A</v>
        <stp/>
        <stp>BDH|8692180670182641376</stp>
        <tr r="N176" s="18"/>
      </tp>
      <tp t="e">
        <v>#N/A</v>
        <stp/>
        <stp>BDH|4282175688594177635</stp>
        <tr r="AA50" s="13"/>
      </tp>
      <tp t="e">
        <v>#N/A</v>
        <stp/>
        <stp>BDH|4638930828779615948</stp>
        <tr r="H183" s="18"/>
      </tp>
      <tp t="e">
        <v>#N/A</v>
        <stp/>
        <stp>BDH|4698290182362307317</stp>
        <tr r="R18" s="29"/>
        <tr r="R41" s="29"/>
      </tp>
      <tp t="e">
        <v>#N/A</v>
        <stp/>
        <stp>BDH|3169036508629239579</stp>
        <tr r="P14" s="13"/>
      </tp>
      <tp t="e">
        <v>#N/A</v>
        <stp/>
        <stp>BDH|8145796968297792185</stp>
        <tr r="AA64" s="34"/>
      </tp>
      <tp t="e">
        <v>#N/A</v>
        <stp/>
        <stp>BDH|4777850810700842258</stp>
        <tr r="O24" s="4"/>
        <tr r="O55" s="11"/>
      </tp>
      <tp t="e">
        <v>#N/A</v>
        <stp/>
        <stp>BDH|3390206747373853936</stp>
        <tr r="E61" s="12"/>
      </tp>
      <tp t="e">
        <v>#N/A</v>
        <stp/>
        <stp>BDH|7044071390053199293</stp>
        <tr r="AA174" s="18"/>
      </tp>
      <tp t="e">
        <v>#N/A</v>
        <stp/>
        <stp>BDH|7277535788860142570</stp>
        <tr r="AA42" s="34"/>
      </tp>
      <tp t="e">
        <v>#N/A</v>
        <stp/>
        <stp>BDH|7231453742818300096</stp>
        <tr r="S10" s="13"/>
      </tp>
      <tp t="e">
        <v>#N/A</v>
        <stp/>
        <stp>BDH|3838640493334282726</stp>
        <tr r="P11" s="24"/>
      </tp>
      <tp t="e">
        <v>#N/A</v>
        <stp/>
        <stp>BDH|6711836968911736643</stp>
        <tr r="N41" s="18"/>
      </tp>
      <tp t="e">
        <v>#N/A</v>
        <stp/>
        <stp>BDH|5814239745885257904</stp>
        <tr r="E42" s="10"/>
        <tr r="E32" s="11"/>
      </tp>
      <tp t="e">
        <v>#N/A</v>
        <stp/>
        <stp>BDH|5618326418061772971</stp>
        <tr r="Z67" s="12"/>
      </tp>
      <tp t="e">
        <v>#N/A</v>
        <stp/>
        <stp>BDH|2781988836057007051</stp>
        <tr r="W148" s="18"/>
      </tp>
      <tp t="e">
        <v>#N/A</v>
        <stp/>
        <stp>BDH|5642857216113941006</stp>
        <tr r="Q84" s="17"/>
      </tp>
      <tp t="e">
        <v>#N/A</v>
        <stp/>
        <stp>BDH|6145194387705229515</stp>
        <tr r="U21" s="27"/>
      </tp>
      <tp t="e">
        <v>#N/A</v>
        <stp/>
        <stp>BDH|6430531427759474781</stp>
        <tr r="I17" s="18"/>
      </tp>
      <tp t="e">
        <v>#N/A</v>
        <stp/>
        <stp>BDH|7371173134562960854</stp>
        <tr r="H16" s="14"/>
      </tp>
      <tp t="e">
        <v>#N/A</v>
        <stp/>
        <stp>BDH|9771402366110942443</stp>
        <tr r="L168" s="18"/>
      </tp>
      <tp t="e">
        <v>#N/A</v>
        <stp/>
        <stp>BDH|4674884192468330237</stp>
        <tr r="K54" s="13"/>
      </tp>
      <tp t="e">
        <v>#N/A</v>
        <stp/>
        <stp>BDH|2774737897251975266</stp>
        <tr r="M85" s="24"/>
      </tp>
      <tp t="e">
        <v>#N/A</v>
        <stp/>
        <stp>BDH|5960926457121139711</stp>
        <tr r="M198" s="18"/>
      </tp>
      <tp t="e">
        <v>#N/A</v>
        <stp/>
        <stp>BDH|6722754389367478131</stp>
        <tr r="D22" s="17"/>
      </tp>
      <tp t="e">
        <v>#N/A</v>
        <stp/>
        <stp>BDH|9666589949480898731</stp>
        <tr r="U208" s="18"/>
      </tp>
      <tp t="e">
        <v>#N/A</v>
        <stp/>
        <stp>BDH|4083356049595801988</stp>
        <tr r="U13" s="24"/>
      </tp>
      <tp t="e">
        <v>#N/A</v>
        <stp/>
        <stp>BDH|4934171192781969296</stp>
        <tr r="O73" s="10"/>
        <tr r="O63" s="11"/>
      </tp>
      <tp t="e">
        <v>#N/A</v>
        <stp/>
        <stp>BDH|4674803389239403273</stp>
        <tr r="AA95" s="18"/>
      </tp>
      <tp t="e">
        <v>#N/A</v>
        <stp/>
        <stp>BDH|9722865905039826700</stp>
        <tr r="M99" s="18"/>
      </tp>
      <tp t="e">
        <v>#N/A</v>
        <stp/>
        <stp>BDH|1697825039826630373</stp>
        <tr r="D74" s="18"/>
      </tp>
      <tp t="e">
        <v>#N/A</v>
        <stp/>
        <stp>BDH|8471756341112834647</stp>
        <tr r="D24" s="29"/>
      </tp>
      <tp t="e">
        <v>#N/A</v>
        <stp/>
        <stp>BDH|8474404600454945714</stp>
        <tr r="H194" s="18"/>
      </tp>
      <tp t="e">
        <v>#N/A</v>
        <stp/>
        <stp>BDH|5279475515076825947</stp>
        <tr r="I44" s="22"/>
      </tp>
      <tp t="e">
        <v>#N/A</v>
        <stp/>
        <stp>BDH|3278023538319774636</stp>
        <tr r="P44" s="6"/>
      </tp>
      <tp t="e">
        <v>#N/A</v>
        <stp/>
        <stp>BDH|5760161937508920036</stp>
        <tr r="Y35" s="12"/>
      </tp>
      <tp t="e">
        <v>#N/A</v>
        <stp/>
        <stp>BDH|4879953900851011314</stp>
        <tr r="K27" s="22"/>
      </tp>
      <tp t="e">
        <v>#N/A</v>
        <stp/>
        <stp>BDH|7129551088005899083</stp>
        <tr r="AA38" s="25"/>
      </tp>
      <tp t="e">
        <v>#N/A</v>
        <stp/>
        <stp>BDH|2727332196965927273</stp>
        <tr r="U44" s="12"/>
      </tp>
      <tp t="e">
        <v>#N/A</v>
        <stp/>
        <stp>BDH|8747678851125929144</stp>
        <tr r="W81" s="12"/>
      </tp>
      <tp t="e">
        <v>#N/A</v>
        <stp/>
        <stp>BDH|1843775493450364039</stp>
        <tr r="W88" s="17"/>
      </tp>
      <tp t="e">
        <v>#N/A</v>
        <stp/>
        <stp>BDH|6979908574392435552</stp>
        <tr r="Z96" s="12"/>
      </tp>
      <tp t="e">
        <v>#N/A</v>
        <stp/>
        <stp>BDH|1498991949252939114</stp>
        <tr r="Q34" s="22"/>
      </tp>
      <tp t="e">
        <v>#N/A</v>
        <stp/>
        <stp>BDH|9198528638201084176</stp>
        <tr r="I68" s="10"/>
      </tp>
      <tp t="e">
        <v>#N/A</v>
        <stp/>
        <stp>BDH|6324863511218864809</stp>
        <tr r="Z24" s="22"/>
      </tp>
      <tp t="e">
        <v>#N/A</v>
        <stp/>
        <stp>BDH|4718395713151108809</stp>
        <tr r="E14" s="28"/>
      </tp>
      <tp t="e">
        <v>#N/A</v>
        <stp/>
        <stp>BDH|9058195454564183601</stp>
        <tr r="K43" s="29"/>
      </tp>
      <tp t="e">
        <v>#N/A</v>
        <stp/>
        <stp>BDH|5306442078970753941</stp>
        <tr r="Z104" s="12"/>
      </tp>
      <tp t="e">
        <v>#N/A</v>
        <stp/>
        <stp>BDH|5189840409086318437</stp>
        <tr r="W10" s="11"/>
      </tp>
      <tp t="e">
        <v>#N/A</v>
        <stp/>
        <stp>BDH|4580908498832679971</stp>
        <tr r="N55" s="12"/>
      </tp>
      <tp t="e">
        <v>#N/A</v>
        <stp/>
        <stp>BDH|4022405628749334462</stp>
        <tr r="C110" s="18"/>
      </tp>
      <tp t="e">
        <v>#N/A</v>
        <stp/>
        <stp>BDH|7850982327465359697</stp>
        <tr r="L28" s="25"/>
        <tr r="L14" s="27"/>
      </tp>
      <tp t="e">
        <v>#N/A</v>
        <stp/>
        <stp>BDH|1928133228729669490</stp>
        <tr r="R12" s="26"/>
      </tp>
      <tp t="e">
        <v>#N/A</v>
        <stp/>
        <stp>BDH|9515991073450464861</stp>
        <tr r="E12" s="10"/>
      </tp>
      <tp t="e">
        <v>#N/A</v>
        <stp/>
        <stp>BDH|4983153746407159969</stp>
        <tr r="C112" s="18"/>
      </tp>
      <tp t="e">
        <v>#N/A</v>
        <stp/>
        <stp>BDH|9667174028216408302</stp>
        <tr r="F35" s="12"/>
      </tp>
      <tp t="e">
        <v>#N/A</v>
        <stp/>
        <stp>BDH|5136338276017095997</stp>
        <tr r="Z18" s="34"/>
      </tp>
      <tp t="e">
        <v>#N/A</v>
        <stp/>
        <stp>BDH|5992135079815695989</stp>
        <tr r="AA50" s="21"/>
      </tp>
      <tp t="e">
        <v>#N/A</v>
        <stp/>
        <stp>BDH|9453054151532997149</stp>
        <tr r="K90" s="24"/>
      </tp>
      <tp t="e">
        <v>#N/A</v>
        <stp/>
        <stp>BDH|5391197384831067237</stp>
        <tr r="G16" s="23"/>
      </tp>
      <tp t="e">
        <v>#N/A</v>
        <stp/>
        <stp>BDH|1965256299675892008</stp>
        <tr r="T55" s="13"/>
      </tp>
      <tp t="e">
        <v>#N/A</v>
        <stp/>
        <stp>BDH|2677211108679273600</stp>
        <tr r="E45" s="24"/>
      </tp>
      <tp t="e">
        <v>#N/A</v>
        <stp/>
        <stp>BDH|7978132679457919976</stp>
        <tr r="V36" s="18"/>
      </tp>
      <tp t="e">
        <v>#N/A</v>
        <stp/>
        <stp>BDH|8643844461219875063</stp>
        <tr r="Q160" s="18"/>
      </tp>
      <tp t="e">
        <v>#N/A</v>
        <stp/>
        <stp>BDH|1748923017622766481</stp>
        <tr r="S68" s="34"/>
      </tp>
      <tp t="e">
        <v>#N/A</v>
        <stp/>
        <stp>BDH|3266290993030642734</stp>
        <tr r="U82" s="17"/>
        <tr r="U20" s="3"/>
        <tr r="S6" s="7"/>
      </tp>
      <tp t="e">
        <v>#N/A</v>
        <stp/>
        <stp>BDH|4210569195060846745</stp>
        <tr r="P13" s="21"/>
      </tp>
      <tp t="e">
        <v>#N/A</v>
        <stp/>
        <stp>BDH|9540487870095389032</stp>
        <tr r="Q29" s="13"/>
      </tp>
      <tp t="e">
        <v>#N/A</v>
        <stp/>
        <stp>BDH|7227392745857139823</stp>
        <tr r="U196" s="18"/>
      </tp>
      <tp t="e">
        <v>#N/A</v>
        <stp/>
        <stp>BDH|2782121693080971526</stp>
        <tr r="I15" s="12"/>
      </tp>
      <tp t="e">
        <v>#N/A</v>
        <stp/>
        <stp>BDH|2698964900215464195</stp>
        <tr r="D38" s="4"/>
        <tr r="D56" s="11"/>
        <tr r="F13" s="23"/>
      </tp>
      <tp t="e">
        <v>#N/A</v>
        <stp/>
        <stp>BDH|7289981496838798064</stp>
        <tr r="K22" s="24"/>
      </tp>
      <tp t="e">
        <v>#N/A</v>
        <stp/>
        <stp>BDH|4917366395417479638</stp>
        <tr r="I172" s="18"/>
      </tp>
      <tp t="e">
        <v>#N/A</v>
        <stp/>
        <stp>BDH|6133811471327448189</stp>
        <tr r="N155" s="18"/>
      </tp>
      <tp t="e">
        <v>#N/A</v>
        <stp/>
        <stp>BDH|3601390082504196313</stp>
        <tr r="J55" s="18"/>
      </tp>
      <tp t="e">
        <v>#N/A</v>
        <stp/>
        <stp>BDH|3131710871429987550</stp>
        <tr r="N131" s="18"/>
      </tp>
      <tp t="e">
        <v>#N/A</v>
        <stp/>
        <stp>BDH|5008462621718839428</stp>
        <tr r="W8" s="34"/>
      </tp>
      <tp t="e">
        <v>#N/A</v>
        <stp/>
        <stp>BDH|8571647951491538589</stp>
        <tr r="Q29" s="14"/>
      </tp>
      <tp t="e">
        <v>#N/A</v>
        <stp/>
        <stp>BDH|5597576536065770919</stp>
        <tr r="L141" s="18"/>
      </tp>
      <tp t="e">
        <v>#N/A</v>
        <stp/>
        <stp>BDH|8651555381009745374</stp>
        <tr r="G25" s="10"/>
        <tr r="I34" s="13"/>
      </tp>
      <tp t="e">
        <v>#N/A</v>
        <stp/>
        <stp>BDH|1393142886932137521</stp>
        <tr r="S30" s="34"/>
      </tp>
      <tp t="e">
        <v>#N/A</v>
        <stp/>
        <stp>BDH|4366607182432550763</stp>
        <tr r="Z87" s="18"/>
      </tp>
      <tp t="e">
        <v>#N/A</v>
        <stp/>
        <stp>BDH|3751912731153445511</stp>
        <tr r="C88" s="17"/>
      </tp>
      <tp t="e">
        <v>#N/A</v>
        <stp/>
        <stp>BDH|9367421973097410245</stp>
        <tr r="L177" s="18"/>
      </tp>
      <tp t="e">
        <v>#N/A</v>
        <stp/>
        <stp>BDH|5092678597506656342</stp>
        <tr r="X132" s="18"/>
      </tp>
      <tp t="e">
        <v>#N/A</v>
        <stp/>
        <stp>BDH|6591337954709329638</stp>
        <tr r="S9" s="17"/>
      </tp>
      <tp t="e">
        <v>#N/A</v>
        <stp/>
        <stp>BDH|8016156867950140019</stp>
        <tr r="E39" s="24"/>
      </tp>
      <tp t="e">
        <v>#N/A</v>
        <stp/>
        <stp>BDH|7723095616791849826</stp>
        <tr r="X38" s="25"/>
      </tp>
      <tp t="e">
        <v>#N/A</v>
        <stp/>
        <stp>BDH|3376336793113345521</stp>
        <tr r="J63" s="18"/>
      </tp>
      <tp t="e">
        <v>#N/A</v>
        <stp/>
        <stp>BDH|2166179102925663904</stp>
        <tr r="H100" s="12"/>
      </tp>
      <tp t="e">
        <v>#N/A</v>
        <stp/>
        <stp>BDH|9435123348050555391</stp>
        <tr r="V16" s="17"/>
        <tr r="V19" s="28"/>
      </tp>
      <tp t="e">
        <v>#N/A</v>
        <stp/>
        <stp>BDH|3504691639410391948</stp>
        <tr r="W48" s="18"/>
      </tp>
      <tp t="e">
        <v>#N/A</v>
        <stp/>
        <stp>BDH|2623150301338316437</stp>
        <tr r="Y9" s="18"/>
      </tp>
      <tp t="e">
        <v>#N/A</v>
        <stp/>
        <stp>BDH|2505450782762053305</stp>
        <tr r="L18" s="24"/>
      </tp>
      <tp t="e">
        <v>#N/A</v>
        <stp/>
        <stp>BDH|9897020779177587647</stp>
        <tr r="R68" s="12"/>
      </tp>
      <tp t="e">
        <v>#N/A</v>
        <stp/>
        <stp>BDH|7670514684120350521</stp>
        <tr r="S24" s="14"/>
      </tp>
      <tp t="e">
        <v>#N/A</v>
        <stp/>
        <stp>BDH|9624756213647012725</stp>
        <tr r="Q42" s="4"/>
      </tp>
      <tp t="e">
        <v>#N/A</v>
        <stp/>
        <stp>BDH|4514050769418970524</stp>
        <tr r="X17" s="17"/>
        <tr r="X20" s="28"/>
      </tp>
      <tp t="e">
        <v>#N/A</v>
        <stp/>
        <stp>BDH|3744613180022379076</stp>
        <tr r="S145" s="18"/>
      </tp>
      <tp t="e">
        <v>#N/A</v>
        <stp/>
        <stp>BDH|2315524998732856331</stp>
        <tr r="D34" s="14"/>
      </tp>
      <tp t="e">
        <v>#N/A</v>
        <stp/>
        <stp>BDH|9239526724001557036</stp>
        <tr r="Q70" s="10"/>
        <tr r="Q60" s="11"/>
        <tr r="Q20" s="7"/>
      </tp>
      <tp t="e">
        <v>#N/A</v>
        <stp/>
        <stp>BDH|5641847167245209158</stp>
        <tr r="W39" s="17"/>
      </tp>
      <tp t="e">
        <v>#N/A</v>
        <stp/>
        <stp>BDH|1127397486281571499</stp>
        <tr r="AA49" s="17"/>
      </tp>
      <tp t="e">
        <v>#N/A</v>
        <stp/>
        <stp>BDH|2610684657258862639</stp>
        <tr r="D166" s="18"/>
      </tp>
      <tp t="e">
        <v>#N/A</v>
        <stp/>
        <stp>BDH|1784215284005528157</stp>
        <tr r="C14" s="13"/>
      </tp>
      <tp t="e">
        <v>#N/A</v>
        <stp/>
        <stp>BDH|3882995881474784959</stp>
        <tr r="O41" s="21"/>
      </tp>
      <tp t="e">
        <v>#N/A</v>
        <stp/>
        <stp>BDH|4335503600587940989</stp>
        <tr r="D44" s="24"/>
      </tp>
      <tp t="e">
        <v>#N/A</v>
        <stp/>
        <stp>BDH|9352457375640783567</stp>
        <tr r="I101" s="12"/>
      </tp>
      <tp t="e">
        <v>#N/A</v>
        <stp/>
        <stp>BDH|7597841023373567156</stp>
        <tr r="G8" s="18"/>
      </tp>
      <tp t="e">
        <v>#N/A</v>
        <stp/>
        <stp>BDH|8425108961292275254</stp>
        <tr r="C210" s="18"/>
      </tp>
      <tp t="e">
        <v>#N/A</v>
        <stp/>
        <stp>BDH|1807894763730492041</stp>
        <tr r="Q113" s="18"/>
      </tp>
      <tp t="e">
        <v>#N/A</v>
        <stp/>
        <stp>BDH|1553621585676513658</stp>
        <tr r="X108" s="18"/>
      </tp>
      <tp t="e">
        <v>#N/A</v>
        <stp/>
        <stp>BDH|3137905328895825237</stp>
        <tr r="Y104" s="18"/>
      </tp>
      <tp t="e">
        <v>#N/A</v>
        <stp/>
        <stp>BDH|1335396606675917878</stp>
        <tr r="C19" s="10"/>
      </tp>
      <tp t="e">
        <v>#N/A</v>
        <stp/>
        <stp>BDH|6920189841565002924</stp>
        <tr r="K45" s="6"/>
      </tp>
      <tp t="e">
        <v>#N/A</v>
        <stp/>
        <stp>BDH|9371808092521035634</stp>
        <tr r="M42" s="21"/>
      </tp>
      <tp t="e">
        <v>#N/A</v>
        <stp/>
        <stp>BDH|8800528223174215495</stp>
        <tr r="Z32" s="34"/>
      </tp>
      <tp t="e">
        <v>#N/A</v>
        <stp/>
        <stp>BDH|6990874088808693121</stp>
        <tr r="O47" s="21"/>
      </tp>
      <tp t="e">
        <v>#N/A</v>
        <stp/>
        <stp>BDH|4569463173720567879</stp>
        <tr r="V16" s="23"/>
      </tp>
      <tp t="e">
        <v>#N/A</v>
        <stp/>
        <stp>BDH|5530299749398552420</stp>
        <tr r="AA204" s="18"/>
      </tp>
      <tp t="e">
        <v>#N/A</v>
        <stp/>
        <stp>BDH|1114892555277749489</stp>
        <tr r="Y21" s="2"/>
      </tp>
      <tp t="e">
        <v>#N/A</v>
        <stp/>
        <stp>BDH|8749127854931254210</stp>
        <tr r="C13" s="25"/>
      </tp>
      <tp t="e">
        <v>#N/A</v>
        <stp/>
        <stp>BDH|8858349708386241244</stp>
        <tr r="J14" s="21"/>
      </tp>
      <tp t="e">
        <v>#N/A</v>
        <stp/>
        <stp>BDH|9668789118810581010</stp>
        <tr r="V72" s="17"/>
      </tp>
      <tp t="e">
        <v>#N/A</v>
        <stp/>
        <stp>BDH|8786494788163776834</stp>
        <tr r="Z12" s="22"/>
      </tp>
      <tp t="e">
        <v>#N/A</v>
        <stp/>
        <stp>BDH|8773408452324157267</stp>
        <tr r="F203" s="18"/>
      </tp>
      <tp t="e">
        <v>#N/A</v>
        <stp/>
        <stp>BDH|6727531181096745209</stp>
        <tr r="S48" s="17"/>
      </tp>
      <tp t="e">
        <v>#N/A</v>
        <stp/>
        <stp>BDH|7550824209370922041</stp>
        <tr r="U40" s="6"/>
      </tp>
      <tp t="e">
        <v>#N/A</v>
        <stp/>
        <stp>BDH|8125703221133518160</stp>
        <tr r="E18" s="6"/>
      </tp>
      <tp t="e">
        <v>#N/A</v>
        <stp/>
        <stp>BDH|5977477260428533087</stp>
        <tr r="R64" s="10"/>
      </tp>
      <tp t="e">
        <v>#N/A</v>
        <stp/>
        <stp>BDH|3087042694804463174</stp>
        <tr r="W23" s="14"/>
      </tp>
      <tp t="e">
        <v>#N/A</v>
        <stp/>
        <stp>BDH|5546852577566778334</stp>
        <tr r="X64" s="17"/>
      </tp>
      <tp t="e">
        <v>#N/A</v>
        <stp/>
        <stp>BDH|3040136864998316379</stp>
        <tr r="K19" s="20"/>
      </tp>
      <tp t="e">
        <v>#N/A</v>
        <stp/>
        <stp>BDH|7553776973419266102</stp>
        <tr r="H16" s="34"/>
      </tp>
      <tp t="e">
        <v>#N/A</v>
        <stp/>
        <stp>BDH|7608803921787351572</stp>
        <tr r="T12" s="17"/>
      </tp>
      <tp t="e">
        <v>#N/A</v>
        <stp/>
        <stp>BDH|6783404157450537869</stp>
        <tr r="M135" s="18"/>
      </tp>
      <tp t="e">
        <v>#N/A</v>
        <stp/>
        <stp>BDH|9032553500711403222</stp>
        <tr r="R55" s="12"/>
      </tp>
      <tp t="e">
        <v>#N/A</v>
        <stp/>
        <stp>BDH|8281540622645585523</stp>
        <tr r="N20" s="22"/>
      </tp>
      <tp t="e">
        <v>#N/A</v>
        <stp/>
        <stp>BDH|7120296448389311703</stp>
        <tr r="V63" s="21"/>
      </tp>
      <tp t="e">
        <v>#N/A</v>
        <stp/>
        <stp>BDH|2009457396176868684</stp>
        <tr r="N17" s="6"/>
      </tp>
      <tp t="e">
        <v>#N/A</v>
        <stp/>
        <stp>BDH|9519820574089523054</stp>
        <tr r="V28" s="18"/>
      </tp>
      <tp t="e">
        <v>#N/A</v>
        <stp/>
        <stp>BDH|6891764089921222761</stp>
        <tr r="V30" s="24"/>
      </tp>
      <tp t="e">
        <v>#N/A</v>
        <stp/>
        <stp>BDH|8640813188115959254</stp>
        <tr r="E74" s="12"/>
      </tp>
      <tp t="e">
        <v>#N/A</v>
        <stp/>
        <stp>BDH|9447011645195651756</stp>
        <tr r="F64" s="17"/>
      </tp>
      <tp t="e">
        <v>#N/A</v>
        <stp/>
        <stp>BDH|1281928558017260590</stp>
        <tr r="G7" s="24"/>
      </tp>
      <tp t="e">
        <v>#N/A</v>
        <stp/>
        <stp>BDH|4425934797843500868</stp>
        <tr r="E39" s="22"/>
      </tp>
      <tp t="e">
        <v>#N/A</v>
        <stp/>
        <stp>BDH|1870822340817122589</stp>
        <tr r="V148" s="18"/>
      </tp>
      <tp t="e">
        <v>#N/A</v>
        <stp/>
        <stp>BDH|2182778992735454634</stp>
        <tr r="AA182" s="18"/>
      </tp>
      <tp t="e">
        <v>#N/A</v>
        <stp/>
        <stp>BDH|9314784650934024087</stp>
        <tr r="O51" s="17"/>
        <tr r="O17" s="3"/>
      </tp>
      <tp t="e">
        <v>#N/A</v>
        <stp/>
        <stp>BDH|6766310481917349572</stp>
        <tr r="Z13" s="17"/>
        <tr r="Z16" s="28"/>
      </tp>
      <tp t="e">
        <v>#N/A</v>
        <stp/>
        <stp>BDH|8614754176093698404</stp>
        <tr r="D15" s="10"/>
      </tp>
      <tp t="e">
        <v>#N/A</v>
        <stp/>
        <stp>BDH|8771228749890863179</stp>
        <tr r="Z17" s="20"/>
      </tp>
      <tp t="e">
        <v>#N/A</v>
        <stp/>
        <stp>BDH|4902689977228514202</stp>
        <tr r="N26" s="13"/>
      </tp>
      <tp t="e">
        <v>#N/A</v>
        <stp/>
        <stp>BDH|8456032615191374729</stp>
        <tr r="M8" s="34"/>
      </tp>
      <tp t="e">
        <v>#N/A</v>
        <stp/>
        <stp>BDH|2027803256106323669</stp>
        <tr r="F77" s="12"/>
      </tp>
      <tp t="e">
        <v>#N/A</v>
        <stp/>
        <stp>BDH|3586528733903536921</stp>
        <tr r="N94" s="17"/>
      </tp>
      <tp t="e">
        <v>#N/A</v>
        <stp/>
        <stp>BDH|2817638638700420847</stp>
        <tr r="E18" s="25"/>
      </tp>
      <tp t="e">
        <v>#N/A</v>
        <stp/>
        <stp>BDH|2476105852781565808</stp>
        <tr r="L128" s="18"/>
      </tp>
      <tp t="e">
        <v>#N/A</v>
        <stp/>
        <stp>BDH|6099828744047380262</stp>
        <tr r="T7" s="17"/>
      </tp>
      <tp t="e">
        <v>#N/A</v>
        <stp/>
        <stp>BDH|4537068378268977413</stp>
        <tr r="J81" s="18"/>
      </tp>
      <tp t="e">
        <v>#N/A</v>
        <stp/>
        <stp>BDH|9891214951674324584</stp>
        <tr r="X22" s="6"/>
      </tp>
      <tp t="e">
        <v>#N/A</v>
        <stp/>
        <stp>BDH|5517128055207513946</stp>
        <tr r="F94" s="24"/>
      </tp>
      <tp t="e">
        <v>#N/A</v>
        <stp/>
        <stp>BDH|4409370841775880993</stp>
        <tr r="Q32" s="9"/>
      </tp>
      <tp t="e">
        <v>#N/A</v>
        <stp/>
        <stp>BDH|5014725149648051188</stp>
        <tr r="U88" s="17"/>
      </tp>
      <tp t="e">
        <v>#N/A</v>
        <stp/>
        <stp>BDH|9647775852772505659</stp>
        <tr r="N11" s="29"/>
      </tp>
      <tp t="e">
        <v>#N/A</v>
        <stp/>
        <stp>BDH|9760917384121174609</stp>
        <tr r="E8" s="18"/>
      </tp>
      <tp t="e">
        <v>#N/A</v>
        <stp/>
        <stp>BDH|5389671681496534230</stp>
        <tr r="F90" s="24"/>
      </tp>
      <tp t="e">
        <v>#N/A</v>
        <stp/>
        <stp>BDH|6541941066893035540</stp>
        <tr r="X207" s="18"/>
      </tp>
      <tp t="e">
        <v>#N/A</v>
        <stp/>
        <stp>BDH|4100726917639094477</stp>
        <tr r="AA73" s="18"/>
      </tp>
      <tp t="e">
        <v>#N/A</v>
        <stp/>
        <stp>BDH|8738624175950683667</stp>
        <tr r="U18" s="10"/>
      </tp>
      <tp t="e">
        <v>#N/A</v>
        <stp/>
        <stp>BDH|9134182201522052581</stp>
        <tr r="D122" s="18"/>
        <tr r="D11" s="20"/>
      </tp>
      <tp t="e">
        <v>#N/A</v>
        <stp/>
        <stp>BDH|8175277805167069237</stp>
        <tr r="R13" s="6"/>
      </tp>
      <tp t="e">
        <v>#N/A</v>
        <stp/>
        <stp>BDH|2237503036358221361</stp>
        <tr r="U51" s="34"/>
      </tp>
      <tp t="e">
        <v>#N/A</v>
        <stp/>
        <stp>BDH|7261580889112646753</stp>
        <tr r="X78" s="24"/>
      </tp>
      <tp t="e">
        <v>#N/A</v>
        <stp/>
        <stp>BDH|9205141834693069722</stp>
        <tr r="R17" s="21"/>
      </tp>
      <tp t="e">
        <v>#N/A</v>
        <stp/>
        <stp>BDH|7663345587263370064</stp>
        <tr r="I13" s="8"/>
      </tp>
      <tp t="e">
        <v>#N/A</v>
        <stp/>
        <stp>BDH|2533893151711844156</stp>
        <tr r="L48" s="12"/>
      </tp>
      <tp t="e">
        <v>#N/A</v>
        <stp/>
        <stp>BDH|3336540885880366118</stp>
        <tr r="Y97" s="12"/>
      </tp>
      <tp t="e">
        <v>#N/A</v>
        <stp/>
        <stp>BDH|8124913832165173832</stp>
        <tr r="S124" s="18"/>
        <tr r="S13" s="20"/>
      </tp>
      <tp t="e">
        <v>#N/A</v>
        <stp/>
        <stp>BDH|5128996270050021482</stp>
        <tr r="M71" s="34"/>
      </tp>
      <tp t="e">
        <v>#N/A</v>
        <stp/>
        <stp>BDH|6098635787473087446</stp>
        <tr r="J10" s="18"/>
      </tp>
      <tp t="e">
        <v>#N/A</v>
        <stp/>
        <stp>BDH|4176932100123751158</stp>
        <tr r="U90" s="12"/>
      </tp>
      <tp t="e">
        <v>#N/A</v>
        <stp/>
        <stp>BDH|8663146131952254715</stp>
        <tr r="E23" s="2"/>
        <tr r="G19" s="21"/>
        <tr r="G23" s="3"/>
      </tp>
      <tp t="e">
        <v>#N/A</v>
        <stp/>
        <stp>BDH|8796251877722265070</stp>
        <tr r="O39" s="6"/>
      </tp>
      <tp t="e">
        <v>#N/A</v>
        <stp/>
        <stp>BDH|3833107442769895022</stp>
        <tr r="T35" s="24"/>
      </tp>
      <tp t="e">
        <v>#N/A</v>
        <stp/>
        <stp>BDH|4581800685233242826</stp>
        <tr r="S83" s="18"/>
      </tp>
      <tp t="e">
        <v>#N/A</v>
        <stp/>
        <stp>BDH|2079498573319872723</stp>
        <tr r="Y67" s="34"/>
      </tp>
      <tp t="e">
        <v>#N/A</v>
        <stp/>
        <stp>BDH|1640839562190576023</stp>
        <tr r="Q143" s="18"/>
      </tp>
      <tp t="e">
        <v>#N/A</v>
        <stp/>
        <stp>BDH|9986715345957584287</stp>
        <tr r="O25" s="13"/>
      </tp>
      <tp t="e">
        <v>#N/A</v>
        <stp/>
        <stp>BDH|4292463326504128936</stp>
        <tr r="Q16" s="14"/>
      </tp>
      <tp t="e">
        <v>#N/A</v>
        <stp/>
        <stp>BDH|8702358663280968286</stp>
        <tr r="J49" s="4"/>
      </tp>
      <tp t="e">
        <v>#N/A</v>
        <stp/>
        <stp>BDH|9484439370651384445</stp>
        <tr r="I39" s="17"/>
      </tp>
      <tp t="e">
        <v>#N/A</v>
        <stp/>
        <stp>BDH|2367780082121155388</stp>
        <tr r="AA176" s="18"/>
      </tp>
      <tp t="e">
        <v>#N/A</v>
        <stp/>
        <stp>BDH|9392603907520020047</stp>
        <tr r="U114" s="18"/>
      </tp>
      <tp t="e">
        <v>#N/A</v>
        <stp/>
        <stp>BDH|7655115011879009162</stp>
        <tr r="E41" s="24"/>
      </tp>
      <tp t="e">
        <v>#N/A</v>
        <stp/>
        <stp>BDH|8669013142653016058</stp>
        <tr r="E176" s="18"/>
      </tp>
      <tp t="e">
        <v>#N/A</v>
        <stp/>
        <stp>BDH|6353830735542045059</stp>
        <tr r="W28" s="24"/>
      </tp>
      <tp t="e">
        <v>#N/A</v>
        <stp/>
        <stp>BDH|4344039068604856903</stp>
        <tr r="W146" s="18"/>
      </tp>
      <tp t="e">
        <v>#N/A</v>
        <stp/>
        <stp>BDH|7013029937383731825</stp>
        <tr r="D25" s="5"/>
      </tp>
      <tp t="e">
        <v>#N/A</v>
        <stp/>
        <stp>BDH|6780420924907995885</stp>
        <tr r="H32" s="9"/>
      </tp>
      <tp t="e">
        <v>#N/A</v>
        <stp/>
        <stp>BDH|8964207949948579953</stp>
        <tr r="U32" s="22"/>
      </tp>
      <tp t="e">
        <v>#N/A</v>
        <stp/>
        <stp>BDH|1794162394853093556</stp>
        <tr r="S42" s="4"/>
      </tp>
      <tp t="e">
        <v>#N/A</v>
        <stp/>
        <stp>BDH|6555641640962848995</stp>
        <tr r="L188" s="18"/>
      </tp>
      <tp t="e">
        <v>#N/A</v>
        <stp/>
        <stp>BDH|2716258012346469843</stp>
        <tr r="Z11" s="28"/>
      </tp>
      <tp t="e">
        <v>#N/A</v>
        <stp/>
        <stp>BDH|1675602194263305219</stp>
        <tr r="Z151" s="18"/>
      </tp>
      <tp t="e">
        <v>#N/A</v>
        <stp/>
        <stp>BDH|1591464069484818826</stp>
        <tr r="P161" s="18"/>
      </tp>
      <tp t="e">
        <v>#N/A</v>
        <stp/>
        <stp>BDH|2413916815425588055</stp>
        <tr r="U69" s="34"/>
      </tp>
      <tp t="e">
        <v>#N/A</v>
        <stp/>
        <stp>BDH|8379471670477393375</stp>
        <tr r="H105" s="18"/>
      </tp>
      <tp t="e">
        <v>#N/A</v>
        <stp/>
        <stp>BDH|6337580208169337510</stp>
        <tr r="T83" s="24"/>
      </tp>
      <tp t="e">
        <v>#N/A</v>
        <stp/>
        <stp>BDH|5389868683869210358</stp>
        <tr r="Q56" s="13"/>
      </tp>
      <tp t="e">
        <v>#N/A</v>
        <stp/>
        <stp>BDH|9158070153206733535</stp>
        <tr r="J17" s="34"/>
      </tp>
      <tp t="e">
        <v>#N/A</v>
        <stp/>
        <stp>BDH|7060503101638514552</stp>
        <tr r="U104" s="12"/>
      </tp>
      <tp t="e">
        <v>#N/A</v>
        <stp/>
        <stp>BDH|8077325571214162736</stp>
        <tr r="C63" s="13"/>
      </tp>
      <tp t="e">
        <v>#N/A</v>
        <stp/>
        <stp>BDH|7393722335995456917</stp>
        <tr r="C22" s="11"/>
      </tp>
      <tp t="e">
        <v>#N/A</v>
        <stp/>
        <stp>BDH|4630511805907430978</stp>
        <tr r="F33" s="21"/>
      </tp>
      <tp t="e">
        <v>#N/A</v>
        <stp/>
        <stp>BDH|4264536312577735855</stp>
        <tr r="I6" s="27"/>
      </tp>
      <tp t="e">
        <v>#N/A</v>
        <stp/>
        <stp>BDH|6014463422576240970</stp>
        <tr r="L169" s="18"/>
      </tp>
      <tp t="e">
        <v>#N/A</v>
        <stp/>
        <stp>BDH|3741050551641691848</stp>
        <tr r="P22" s="30"/>
        <tr r="P24" s="23"/>
      </tp>
      <tp t="e">
        <v>#N/A</v>
        <stp/>
        <stp>BDH|1417003949949913359</stp>
        <tr r="E98" s="12"/>
      </tp>
      <tp t="e">
        <v>#N/A</v>
        <stp/>
        <stp>BDH|3295190760752242988</stp>
        <tr r="X41" s="12"/>
      </tp>
      <tp t="e">
        <v>#N/A</v>
        <stp/>
        <stp>BDH|2270937698519809407</stp>
        <tr r="J92" s="17"/>
        <tr r="J7" s="27"/>
      </tp>
      <tp t="e">
        <v>#N/A</v>
        <stp/>
        <stp>BDH|5117614815425205863</stp>
        <tr r="D88" s="24"/>
      </tp>
      <tp t="e">
        <v>#N/A</v>
        <stp/>
        <stp>BDH|1257340009354674984</stp>
        <tr r="I88" s="18"/>
      </tp>
      <tp t="e">
        <v>#N/A</v>
        <stp/>
        <stp>BDH|1590490298932070152</stp>
        <tr r="S7" s="30"/>
      </tp>
      <tp t="e">
        <v>#N/A</v>
        <stp/>
        <stp>BDH|3607983868060005376</stp>
        <tr r="D23" s="5"/>
        <tr r="D23" s="9"/>
      </tp>
      <tp t="e">
        <v>#N/A</v>
        <stp/>
        <stp>BDH|8872163530012641794</stp>
        <tr r="E29" s="10"/>
        <tr r="G38" s="13"/>
      </tp>
      <tp t="e">
        <v>#N/A</v>
        <stp/>
        <stp>BDH|5703971575762051647</stp>
        <tr r="E12" s="6"/>
      </tp>
      <tp t="e">
        <v>#N/A</v>
        <stp/>
        <stp>BDH|9075752614287666765</stp>
        <tr r="D67" s="21"/>
      </tp>
      <tp t="e">
        <v>#N/A</v>
        <stp/>
        <stp>BDH|3583601552868316757</stp>
        <tr r="T57" s="24"/>
      </tp>
      <tp t="e">
        <v>#N/A</v>
        <stp/>
        <stp>BDH|6262713780180760655</stp>
        <tr r="L7" s="21"/>
      </tp>
      <tp t="e">
        <v>#N/A</v>
        <stp/>
        <stp>BDH|3761051883492600665</stp>
        <tr r="L46" s="17"/>
      </tp>
      <tp t="e">
        <v>#N/A</v>
        <stp/>
        <stp>BDH|3484812072237035462</stp>
        <tr r="V25" s="13"/>
      </tp>
      <tp t="e">
        <v>#N/A</v>
        <stp/>
        <stp>BDH|9130773624093697050</stp>
        <tr r="S52" s="18"/>
      </tp>
      <tp t="e">
        <v>#N/A</v>
        <stp/>
        <stp>BDH|8104277941021265048</stp>
        <tr r="R31" s="9"/>
      </tp>
      <tp t="e">
        <v>#N/A</v>
        <stp/>
        <stp>BDH|7450926874814153226</stp>
        <tr r="U29" s="10"/>
        <tr r="W38" s="13"/>
      </tp>
      <tp t="e">
        <v>#N/A</v>
        <stp/>
        <stp>BDH|8884647308539587809</stp>
        <tr r="M6" s="28"/>
      </tp>
      <tp t="e">
        <v>#N/A</v>
        <stp/>
        <stp>BDH|8868053517780963629</stp>
        <tr r="U44" s="34"/>
      </tp>
      <tp t="e">
        <v>#N/A</v>
        <stp/>
        <stp>BDH|2487656556579609706</stp>
        <tr r="N111" s="18"/>
      </tp>
      <tp t="e">
        <v>#N/A</v>
        <stp/>
        <stp>BDH|3852495587121489134</stp>
        <tr r="W14" s="13"/>
      </tp>
      <tp t="e">
        <v>#N/A</v>
        <stp/>
        <stp>BDH|6012962762801729724</stp>
        <tr r="F32" s="26"/>
      </tp>
      <tp t="e">
        <v>#N/A</v>
        <stp/>
        <stp>BDH|3395939923307071029</stp>
        <tr r="U47" s="24"/>
      </tp>
      <tp t="e">
        <v>#N/A</v>
        <stp/>
        <stp>BDH|8970365535951958623</stp>
        <tr r="H49" s="6"/>
        <tr r="J10" s="8"/>
      </tp>
      <tp t="e">
        <v>#N/A</v>
        <stp/>
        <stp>BDH|3271026147529182173</stp>
        <tr r="O30" s="22"/>
      </tp>
      <tp t="e">
        <v>#N/A</v>
        <stp/>
        <stp>BDH|8333436341196294122</stp>
        <tr r="U21" s="11"/>
      </tp>
      <tp t="e">
        <v>#N/A</v>
        <stp/>
        <stp>BDH|1813750738163098946</stp>
        <tr r="V21" s="30"/>
      </tp>
      <tp t="e">
        <v>#N/A</v>
        <stp/>
        <stp>BDH|4753804780242274935</stp>
        <tr r="N55" s="18"/>
      </tp>
      <tp t="e">
        <v>#N/A</v>
        <stp/>
        <stp>BDH|3958777839328495059</stp>
        <tr r="N99" s="12"/>
      </tp>
      <tp t="e">
        <v>#N/A</v>
        <stp/>
        <stp>BDH|6131051919068942027</stp>
        <tr r="T26" s="25"/>
        <tr r="T12" s="27"/>
      </tp>
      <tp t="e">
        <v>#N/A</v>
        <stp/>
        <stp>BDH|7792042202060029878</stp>
        <tr r="H34" s="22"/>
      </tp>
      <tp t="e">
        <v>#N/A</v>
        <stp/>
        <stp>BDH|6334498481034429198</stp>
        <tr r="L28" s="12"/>
      </tp>
      <tp t="e">
        <v>#N/A</v>
        <stp/>
        <stp>BDH|1757398499593381721</stp>
        <tr r="U99" s="12"/>
      </tp>
      <tp t="e">
        <v>#N/A</v>
        <stp/>
        <stp>BDH|5205018892481540228</stp>
        <tr r="M65" s="21"/>
        <tr r="K23" s="7"/>
      </tp>
      <tp t="e">
        <v>#N/A</v>
        <stp/>
        <stp>BDH|1872583867935385825</stp>
        <tr r="F62" s="13"/>
      </tp>
      <tp t="e">
        <v>#N/A</v>
        <stp/>
        <stp>BDH|7458841402859351979</stp>
        <tr r="X18" s="21"/>
      </tp>
      <tp t="e">
        <v>#N/A</v>
        <stp/>
        <stp>BDH|9556467926878030839</stp>
        <tr r="K179" s="18"/>
      </tp>
      <tp t="e">
        <v>#N/A</v>
        <stp/>
        <stp>BDH|2648981228100172610</stp>
        <tr r="E39" s="10"/>
        <tr r="E29" s="11"/>
      </tp>
      <tp t="e">
        <v>#N/A</v>
        <stp/>
        <stp>BDH|6786854223582388143</stp>
        <tr r="E201" s="18"/>
      </tp>
      <tp t="e">
        <v>#N/A</v>
        <stp/>
        <stp>BDH|3068649566874306875</stp>
        <tr r="L68" s="13"/>
      </tp>
      <tp t="e">
        <v>#N/A</v>
        <stp/>
        <stp>BDH|5183378007300176961</stp>
        <tr r="Q78" s="24"/>
      </tp>
      <tp t="e">
        <v>#N/A</v>
        <stp/>
        <stp>BDH|6009841237982654038</stp>
        <tr r="L100" s="18"/>
      </tp>
      <tp t="e">
        <v>#N/A</v>
        <stp/>
        <stp>BDH|3315784858408776623</stp>
        <tr r="C51" s="24"/>
      </tp>
      <tp t="e">
        <v>#N/A</v>
        <stp/>
        <stp>BDH|6313242494342055051</stp>
        <tr r="D23" s="23"/>
      </tp>
      <tp t="e">
        <v>#N/A</v>
        <stp/>
        <stp>BDH|2049979960766240439</stp>
        <tr r="V159" s="18"/>
      </tp>
      <tp t="e">
        <v>#N/A</v>
        <stp/>
        <stp>BDH|7960492658159622081</stp>
        <tr r="G86" s="24"/>
      </tp>
      <tp t="e">
        <v>#N/A</v>
        <stp/>
        <stp>BDH|8882093846276824592</stp>
        <tr r="F71" s="10"/>
        <tr r="F61" s="11"/>
      </tp>
      <tp t="e">
        <v>#N/A</v>
        <stp/>
        <stp>BDH|9487736410027964780</stp>
        <tr r="G42" s="4"/>
      </tp>
      <tp t="e">
        <v>#N/A</v>
        <stp/>
        <stp>BDH|4423068222019536031</stp>
        <tr r="F14" s="2"/>
        <tr r="F11" s="10"/>
      </tp>
      <tp t="e">
        <v>#N/A</v>
        <stp/>
        <stp>BDH|1990312035629265793</stp>
        <tr r="H30" s="18"/>
      </tp>
      <tp t="e">
        <v>#N/A</v>
        <stp/>
        <stp>BDH|5283216309430573895</stp>
        <tr r="I66" s="21"/>
        <tr r="F27" s="6"/>
      </tp>
      <tp t="e">
        <v>#N/A</v>
        <stp/>
        <stp>BDH|4574804707907704431</stp>
        <tr r="O24" s="2"/>
      </tp>
      <tp t="e">
        <v>#N/A</v>
        <stp/>
        <stp>BDH|7746806061405447349</stp>
        <tr r="W11" s="30"/>
      </tp>
      <tp t="e">
        <v>#N/A</v>
        <stp/>
        <stp>BDH|1131832236182723759</stp>
        <tr r="W75" s="24"/>
      </tp>
      <tp t="e">
        <v>#N/A</v>
        <stp/>
        <stp>BDH|8000178720182127600</stp>
        <tr r="T83" s="18"/>
      </tp>
      <tp t="e">
        <v>#N/A</v>
        <stp/>
        <stp>BDH|1179709989229724894</stp>
        <tr r="J70" s="24"/>
      </tp>
      <tp t="e">
        <v>#N/A</v>
        <stp/>
        <stp>BDH|1753109318719011790</stp>
        <tr r="X11" s="30"/>
      </tp>
      <tp t="e">
        <v>#N/A</v>
        <stp/>
        <stp>BDH|9532389029702603540</stp>
        <tr r="X57" s="13"/>
      </tp>
      <tp t="e">
        <v>#N/A</v>
        <stp/>
        <stp>BDH|8271048821121165405</stp>
        <tr r="O43" s="10"/>
        <tr r="O33" s="11"/>
      </tp>
      <tp t="e">
        <v>#N/A</v>
        <stp/>
        <stp>BDH|4778701174822438911</stp>
        <tr r="T6" s="6"/>
      </tp>
      <tp t="e">
        <v>#N/A</v>
        <stp/>
        <stp>BDH|4050720801309735529</stp>
        <tr r="X15" s="25"/>
      </tp>
      <tp t="e">
        <v>#N/A</v>
        <stp/>
        <stp>BDH|9441415410392393107</stp>
        <tr r="L11" s="14"/>
      </tp>
      <tp t="e">
        <v>#N/A</v>
        <stp/>
        <stp>BDH|6584661352669779304</stp>
        <tr r="W47" s="34"/>
      </tp>
      <tp t="e">
        <v>#N/A</v>
        <stp/>
        <stp>BDH|1321088801159806747</stp>
        <tr r="G9" s="18"/>
      </tp>
      <tp t="e">
        <v>#N/A</v>
        <stp/>
        <stp>BDH|5672005596840765313</stp>
        <tr r="W69" s="34"/>
      </tp>
      <tp t="e">
        <v>#N/A</v>
        <stp/>
        <stp>BDH|9106477527934150464</stp>
        <tr r="N46" s="17"/>
      </tp>
      <tp t="e">
        <v>#N/A</v>
        <stp/>
        <stp>BDH|2887344179270210910</stp>
        <tr r="V77" s="17"/>
        <tr r="V19" s="3"/>
      </tp>
      <tp t="e">
        <v>#N/A</v>
        <stp/>
        <stp>BDH|6408518686336156241</stp>
        <tr r="T71" s="12"/>
      </tp>
      <tp t="e">
        <v>#N/A</v>
        <stp/>
        <stp>BDH|7640591789145385032</stp>
        <tr r="S67" s="18"/>
      </tp>
      <tp t="e">
        <v>#N/A</v>
        <stp/>
        <stp>BDH|8175129358796821555</stp>
        <tr r="G22" s="18"/>
      </tp>
      <tp t="e">
        <v>#N/A</v>
        <stp/>
        <stp>BDH|8008038754467253537</stp>
        <tr r="N27" s="14"/>
      </tp>
      <tp t="e">
        <v>#N/A</v>
        <stp/>
        <stp>BDH|9174076657994441732</stp>
        <tr r="R91" s="24"/>
      </tp>
      <tp t="e">
        <v>#N/A</v>
        <stp/>
        <stp>BDH|9491045964889224916</stp>
        <tr r="Q85" s="18"/>
      </tp>
      <tp t="e">
        <v>#N/A</v>
        <stp/>
        <stp>BDH|1709165303456138942</stp>
        <tr r="AA68" s="18"/>
      </tp>
      <tp t="e">
        <v>#N/A</v>
        <stp/>
        <stp>BDH|5599066185750891291</stp>
        <tr r="AA47" s="34"/>
      </tp>
      <tp t="e">
        <v>#N/A</v>
        <stp/>
        <stp>BDH|4087875705424290773</stp>
        <tr r="C23" s="23"/>
      </tp>
      <tp t="e">
        <v>#N/A</v>
        <stp/>
        <stp>BDH|6431728193395085223</stp>
        <tr r="Y105" s="12"/>
      </tp>
      <tp t="e">
        <v>#N/A</v>
        <stp/>
        <stp>BDH|6016716416939848688</stp>
        <tr r="Q29" s="4"/>
      </tp>
      <tp t="e">
        <v>#N/A</v>
        <stp/>
        <stp>BDH|7417810376692354570</stp>
        <tr r="D85" s="12"/>
      </tp>
      <tp t="e">
        <v>#N/A</v>
        <stp/>
        <stp>BDH|9383257146177189763</stp>
        <tr r="X63" s="18"/>
      </tp>
      <tp t="e">
        <v>#N/A</v>
        <stp/>
        <stp>BDH|1967286261618379245</stp>
        <tr r="V88" s="12"/>
      </tp>
      <tp t="e">
        <v>#N/A</v>
        <stp/>
        <stp>BDH|3444617490596120530</stp>
        <tr r="U51" s="18"/>
      </tp>
      <tp t="e">
        <v>#N/A</v>
        <stp/>
        <stp>BDH|7126777920819597440</stp>
        <tr r="Q21" s="2"/>
      </tp>
      <tp t="e">
        <v>#N/A</v>
        <stp/>
        <stp>BDH|7179557373033777970</stp>
        <tr r="K22" s="21"/>
      </tp>
      <tp t="e">
        <v>#N/A</v>
        <stp/>
        <stp>BDH|2609591587169675990</stp>
        <tr r="N13" s="21"/>
      </tp>
      <tp t="e">
        <v>#N/A</v>
        <stp/>
        <stp>BDH|2566571795792252322</stp>
        <tr r="H12" s="3"/>
        <tr r="F55" s="10"/>
        <tr r="F45" s="11"/>
        <tr r="F7" s="7"/>
      </tp>
      <tp t="e">
        <v>#N/A</v>
        <stp/>
        <stp>BDH|3079142091121311512</stp>
        <tr r="V7" s="8"/>
      </tp>
      <tp t="e">
        <v>#N/A</v>
        <stp/>
        <stp>BDH|4015933760813688725</stp>
        <tr r="Q14" s="28"/>
      </tp>
      <tp t="e">
        <v>#N/A</v>
        <stp/>
        <stp>BDH|9218111706622075527</stp>
        <tr r="F89" s="17"/>
      </tp>
      <tp t="e">
        <v>#N/A</v>
        <stp/>
        <stp>BDH|8798273262493626034</stp>
        <tr r="Y75" s="17"/>
      </tp>
      <tp t="e">
        <v>#N/A</v>
        <stp/>
        <stp>BDH|3990270480607143180</stp>
        <tr r="T104" s="12"/>
      </tp>
      <tp t="e">
        <v>#N/A</v>
        <stp/>
        <stp>BDH|5035537799974472291</stp>
        <tr r="L53" s="13"/>
      </tp>
      <tp t="e">
        <v>#N/A</v>
        <stp/>
        <stp>BDH|6996814226541040297</stp>
        <tr r="L27" s="12"/>
      </tp>
      <tp t="e">
        <v>#N/A</v>
        <stp/>
        <stp>BDH|7572191789194491565</stp>
        <tr r="T25" s="9"/>
      </tp>
      <tp t="e">
        <v>#N/A</v>
        <stp/>
        <stp>BDH|6129972504820501003</stp>
        <tr r="H57" s="18"/>
      </tp>
      <tp t="e">
        <v>#N/A</v>
        <stp/>
        <stp>BDH|6627891443050219599</stp>
        <tr r="S180" s="18"/>
      </tp>
      <tp t="e">
        <v>#N/A</v>
        <stp/>
        <stp>BDH|7220806241847352373</stp>
        <tr r="P22" s="34"/>
      </tp>
      <tp t="e">
        <v>#N/A</v>
        <stp/>
        <stp>BDH|8339294701431588491</stp>
        <tr r="S27" s="17"/>
      </tp>
      <tp t="e">
        <v>#N/A</v>
        <stp/>
        <stp>BDH|4216768485370562436</stp>
        <tr r="M20" s="34"/>
      </tp>
      <tp t="e">
        <v>#N/A</v>
        <stp/>
        <stp>BDH|2482824411596403243</stp>
        <tr r="M53" s="24"/>
      </tp>
      <tp t="e">
        <v>#N/A</v>
        <stp/>
        <stp>BDH|5482918522502797371</stp>
        <tr r="H74" s="34"/>
      </tp>
      <tp t="e">
        <v>#N/A</v>
        <stp/>
        <stp>BDH|9743228553827895690</stp>
        <tr r="C36" s="4"/>
      </tp>
      <tp t="e">
        <v>#N/A</v>
        <stp/>
        <stp>BDH|3740112343858136131</stp>
        <tr r="G97" s="18"/>
      </tp>
      <tp t="e">
        <v>#N/A</v>
        <stp/>
        <stp>BDH|1788544098057487588</stp>
        <tr r="D40" s="6"/>
      </tp>
      <tp t="e">
        <v>#N/A</v>
        <stp/>
        <stp>BDH|2120865940875514452</stp>
        <tr r="L72" s="18"/>
      </tp>
      <tp t="e">
        <v>#N/A</v>
        <stp/>
        <stp>BDH|5124815305907793558</stp>
        <tr r="H47" s="24"/>
      </tp>
      <tp t="e">
        <v>#N/A</v>
        <stp/>
        <stp>BDH|3838964946687977669</stp>
        <tr r="M93" s="18"/>
      </tp>
      <tp t="e">
        <v>#N/A</v>
        <stp/>
        <stp>BDH|8150339839504430384</stp>
        <tr r="I14" s="29"/>
        <tr r="I23" s="29"/>
        <tr r="I37" s="29"/>
      </tp>
      <tp t="e">
        <v>#N/A</v>
        <stp/>
        <stp>BDH|6948876253810321496</stp>
        <tr r="R50" s="17"/>
      </tp>
      <tp t="e">
        <v>#N/A</v>
        <stp/>
        <stp>BDH|3055959711847442341</stp>
        <tr r="M152" s="18"/>
      </tp>
      <tp t="e">
        <v>#N/A</v>
        <stp/>
        <stp>BDH|8187305338650825759</stp>
        <tr r="U30" s="26"/>
      </tp>
      <tp t="e">
        <v>#N/A</v>
        <stp/>
        <stp>BDH|4662853901391444222</stp>
        <tr r="Q9" s="24"/>
      </tp>
      <tp t="e">
        <v>#N/A</v>
        <stp/>
        <stp>BDH|4524598098222497541</stp>
        <tr r="Q17" s="5"/>
        <tr r="Q32" s="6"/>
      </tp>
      <tp t="e">
        <v>#N/A</v>
        <stp/>
        <stp>BDH|2716245399346638084</stp>
        <tr r="X23" s="26"/>
      </tp>
      <tp t="e">
        <v>#N/A</v>
        <stp/>
        <stp>BDH|3119104119214413886</stp>
        <tr r="U37" s="34"/>
      </tp>
      <tp t="e">
        <v>#N/A</v>
        <stp/>
        <stp>BDH|2526839813897362326</stp>
        <tr r="I11" s="3"/>
        <tr r="G50" s="10"/>
        <tr r="G40" s="11"/>
        <tr r="G8" s="7"/>
      </tp>
      <tp t="e">
        <v>#N/A</v>
        <stp/>
        <stp>BDH|9570970291851696715</stp>
        <tr r="I174" s="18"/>
      </tp>
      <tp t="e">
        <v>#N/A</v>
        <stp/>
        <stp>BDH|2865712378748441514</stp>
        <tr r="AA114" s="18"/>
      </tp>
      <tp t="e">
        <v>#N/A</v>
        <stp/>
        <stp>BDH|6376603403299111654</stp>
        <tr r="M21" s="17"/>
        <tr r="M15" s="3"/>
      </tp>
      <tp t="e">
        <v>#N/A</v>
        <stp/>
        <stp>BDH|3591474894554599573</stp>
        <tr r="Q11" s="11"/>
      </tp>
      <tp t="e">
        <v>#N/A</v>
        <stp/>
        <stp>BDH|6810931557150965515</stp>
        <tr r="G38" s="26"/>
      </tp>
      <tp t="e">
        <v>#N/A</v>
        <stp/>
        <stp>BDH|6813376118928180324</stp>
        <tr r="P169" s="18"/>
      </tp>
      <tp t="e">
        <v>#N/A</v>
        <stp/>
        <stp>BDH|6978253792292376093</stp>
        <tr r="R89" s="18"/>
      </tp>
      <tp t="e">
        <v>#N/A</v>
        <stp/>
        <stp>BDH|3574921577643520117</stp>
        <tr r="L60" s="18"/>
      </tp>
      <tp t="e">
        <v>#N/A</v>
        <stp/>
        <stp>BDH|5544568416749381726</stp>
        <tr r="C32" s="24"/>
      </tp>
      <tp t="e">
        <v>#N/A</v>
        <stp/>
        <stp>BDH|8078557767781437521</stp>
        <tr r="J61" s="34"/>
      </tp>
      <tp t="e">
        <v>#N/A</v>
        <stp/>
        <stp>BDH|7547842426256529463</stp>
        <tr r="Y14" s="24"/>
      </tp>
      <tp t="e">
        <v>#N/A</v>
        <stp/>
        <stp>BDH|3331396368619575030</stp>
        <tr r="L9" s="23"/>
      </tp>
      <tp t="e">
        <v>#N/A</v>
        <stp/>
        <stp>BDH|1933086083845614308</stp>
        <tr r="X86" s="24"/>
      </tp>
      <tp t="e">
        <v>#N/A</v>
        <stp/>
        <stp>BDH|4147737606184426844</stp>
        <tr r="N45" s="34"/>
      </tp>
      <tp t="e">
        <v>#N/A</v>
        <stp/>
        <stp>BDH|1307672894423607222</stp>
        <tr r="S97" s="18"/>
      </tp>
      <tp t="e">
        <v>#N/A</v>
        <stp/>
        <stp>BDH|7959870600416927634</stp>
        <tr r="G39" s="26"/>
      </tp>
      <tp t="e">
        <v>#N/A</v>
        <stp/>
        <stp>BDH|6136932671166662110</stp>
        <tr r="P20" s="5"/>
      </tp>
      <tp t="e">
        <v>#N/A</v>
        <stp/>
        <stp>BDH|1859851658286435553</stp>
        <tr r="C10" s="21"/>
      </tp>
      <tp t="e">
        <v>#N/A</v>
        <stp/>
        <stp>BDH|7395097099304430537</stp>
        <tr r="G47" s="34"/>
      </tp>
      <tp t="e">
        <v>#N/A</v>
        <stp/>
        <stp>BDH|9025460713131986282</stp>
        <tr r="S24" s="12"/>
      </tp>
      <tp t="e">
        <v>#N/A</v>
        <stp/>
        <stp>BDH|2905928718754656113</stp>
        <tr r="AA9" s="13"/>
      </tp>
      <tp t="e">
        <v>#N/A</v>
        <stp/>
        <stp>BDH|4625866175920437457</stp>
        <tr r="AA40" s="17"/>
      </tp>
      <tp t="e">
        <v>#N/A</v>
        <stp/>
        <stp>BDH|9622202700430454468</stp>
        <tr r="H41" s="22"/>
      </tp>
      <tp t="e">
        <v>#N/A</v>
        <stp/>
        <stp>BDH|7333228896672052130</stp>
        <tr r="H43" s="4"/>
      </tp>
      <tp t="e">
        <v>#N/A</v>
        <stp/>
        <stp>BDH|1525869757557248422</stp>
        <tr r="G32" s="9"/>
      </tp>
      <tp t="e">
        <v>#N/A</v>
        <stp/>
        <stp>BDH|8817783915660491155</stp>
        <tr r="N92" s="17"/>
        <tr r="N7" s="27"/>
      </tp>
      <tp t="e">
        <v>#N/A</v>
        <stp/>
        <stp>BDH|7212565593143789745</stp>
        <tr r="F201" s="18"/>
      </tp>
      <tp t="e">
        <v>#N/A</v>
        <stp/>
        <stp>BDH|5201848955307073074</stp>
        <tr r="W27" s="21"/>
      </tp>
      <tp t="e">
        <v>#N/A</v>
        <stp/>
        <stp>BDH|1750016293915174206</stp>
        <tr r="V158" s="18"/>
      </tp>
      <tp t="e">
        <v>#N/A</v>
        <stp/>
        <stp>BDH|2655309089630965627</stp>
        <tr r="L51" s="12"/>
      </tp>
      <tp t="e">
        <v>#N/A</v>
        <stp/>
        <stp>BDH|9527138831534668054</stp>
        <tr r="E23" s="25"/>
        <tr r="C20" s="11"/>
      </tp>
      <tp t="e">
        <v>#N/A</v>
        <stp/>
        <stp>BDH|3497953176457205513</stp>
        <tr r="U65" s="17"/>
      </tp>
      <tp t="e">
        <v>#N/A</v>
        <stp/>
        <stp>BDH|8684721084231376971</stp>
        <tr r="F23" s="21"/>
      </tp>
      <tp t="e">
        <v>#N/A</v>
        <stp/>
        <stp>BDH|5058910426753786247</stp>
        <tr r="X23" s="5"/>
        <tr r="X23" s="9"/>
      </tp>
      <tp t="e">
        <v>#N/A</v>
        <stp/>
        <stp>BDH|8477161954104585772</stp>
        <tr r="X83" s="12"/>
      </tp>
      <tp t="e">
        <v>#N/A</v>
        <stp/>
        <stp>BDH|5892765518525703955</stp>
        <tr r="T61" s="24"/>
      </tp>
      <tp t="e">
        <v>#N/A</v>
        <stp/>
        <stp>BDH|3713150093976127246</stp>
        <tr r="P72" s="10"/>
        <tr r="P62" s="11"/>
      </tp>
      <tp t="e">
        <v>#N/A</v>
        <stp/>
        <stp>BDH|2277911057817654664</stp>
        <tr r="AA89" s="12"/>
      </tp>
      <tp t="e">
        <v>#N/A</v>
        <stp/>
        <stp>BDH|3247833997339121439</stp>
        <tr r="W11" s="6"/>
      </tp>
      <tp t="e">
        <v>#N/A</v>
        <stp/>
        <stp>BDH|5464655304224899897</stp>
        <tr r="E72" s="10"/>
        <tr r="E62" s="11"/>
      </tp>
      <tp t="e">
        <v>#N/A</v>
        <stp/>
        <stp>BDH|7416103692886303615</stp>
        <tr r="O28" s="13"/>
      </tp>
      <tp t="e">
        <v>#N/A</v>
        <stp/>
        <stp>BDH|3510778093036736424</stp>
        <tr r="L50" s="24"/>
      </tp>
      <tp t="e">
        <v>#N/A</v>
        <stp/>
        <stp>BDH|2483836844258423930</stp>
        <tr r="X8" s="28"/>
      </tp>
      <tp t="e">
        <v>#N/A</v>
        <stp/>
        <stp>BDH|4847862426595594494</stp>
        <tr r="M56" s="24"/>
      </tp>
      <tp t="e">
        <v>#N/A</v>
        <stp/>
        <stp>BDH|2198487595865893501</stp>
        <tr r="AA28" s="24"/>
      </tp>
      <tp t="e">
        <v>#N/A</v>
        <stp/>
        <stp>BDH|2105169000864047824</stp>
        <tr r="K163" s="18"/>
      </tp>
      <tp t="e">
        <v>#N/A</v>
        <stp/>
        <stp>BDH|4125144883287400575</stp>
        <tr r="R50" s="18"/>
      </tp>
      <tp t="e">
        <v>#N/A</v>
        <stp/>
        <stp>BDH|5555262644354257800</stp>
        <tr r="AA33" s="14"/>
      </tp>
      <tp t="e">
        <v>#N/A</v>
        <stp/>
        <stp>BDH|4874462158522439872</stp>
        <tr r="G77" s="12"/>
      </tp>
      <tp t="e">
        <v>#N/A</v>
        <stp/>
        <stp>BDH|2981989674860196310</stp>
        <tr r="H8" s="26"/>
        <tr r="E10" s="9"/>
      </tp>
      <tp t="e">
        <v>#N/A</v>
        <stp/>
        <stp>BDH|7773002362989348738</stp>
        <tr r="E24" s="17"/>
      </tp>
      <tp t="e">
        <v>#N/A</v>
        <stp/>
        <stp>BDH|5032606697154150131</stp>
        <tr r="C8" s="21"/>
      </tp>
      <tp t="e">
        <v>#N/A</v>
        <stp/>
        <stp>BDH|1229731468066463985</stp>
        <tr r="O57" s="34"/>
      </tp>
      <tp t="e">
        <v>#N/A</v>
        <stp/>
        <stp>BDH|8514466369562951764</stp>
        <tr r="X17" s="13"/>
      </tp>
      <tp t="e">
        <v>#N/A</v>
        <stp/>
        <stp>BDH|8991336561123687185</stp>
        <tr r="T189" s="18"/>
      </tp>
      <tp t="e">
        <v>#N/A</v>
        <stp/>
        <stp>BDH|2432224905967092864</stp>
        <tr r="E140" s="18"/>
      </tp>
      <tp t="e">
        <v>#N/A</v>
        <stp/>
        <stp>BDH|8136667903361310025</stp>
        <tr r="S37" s="18"/>
      </tp>
      <tp t="e">
        <v>#N/A</v>
        <stp/>
        <stp>BDH|4766018994915715705</stp>
        <tr r="H156" s="18"/>
      </tp>
      <tp t="e">
        <v>#N/A</v>
        <stp/>
        <stp>BDH|4991066694347687586</stp>
        <tr r="O9" s="24"/>
      </tp>
      <tp t="e">
        <v>#N/A</v>
        <stp/>
        <stp>BDH|5135800430215557416</stp>
        <tr r="G73" s="10"/>
        <tr r="G63" s="11"/>
      </tp>
      <tp t="e">
        <v>#N/A</v>
        <stp/>
        <stp>BDH|5367027610293405801</stp>
        <tr r="R18" s="2"/>
        <tr r="R53" s="4"/>
        <tr r="R46" s="10"/>
        <tr r="R36" s="11"/>
        <tr r="T58" s="13"/>
      </tp>
      <tp t="e">
        <v>#N/A</v>
        <stp/>
        <stp>BDH|2698471791295299571</stp>
        <tr r="AA33" s="22"/>
      </tp>
      <tp t="e">
        <v>#N/A</v>
        <stp/>
        <stp>BDH|6611217369124909925</stp>
        <tr r="AA28" s="14"/>
      </tp>
      <tp t="e">
        <v>#N/A</v>
        <stp/>
        <stp>BDH|1982616888915621537</stp>
        <tr r="W22" s="12"/>
      </tp>
      <tp t="e">
        <v>#N/A</v>
        <stp/>
        <stp>BDH|8288477244874462304</stp>
        <tr r="P11" s="18"/>
      </tp>
      <tp t="e">
        <v>#N/A</v>
        <stp/>
        <stp>BDH|7265045434853465839</stp>
        <tr r="G28" s="21"/>
      </tp>
      <tp t="e">
        <v>#N/A</v>
        <stp/>
        <stp>BDH|8755934518907081894</stp>
        <tr r="R16" s="14"/>
      </tp>
      <tp t="e">
        <v>#N/A</v>
        <stp/>
        <stp>BDH|2118488140039887445</stp>
        <tr r="I197" s="18"/>
      </tp>
      <tp t="e">
        <v>#N/A</v>
        <stp/>
        <stp>BDH|9565603206790521034</stp>
        <tr r="S146" s="18"/>
      </tp>
      <tp t="e">
        <v>#N/A</v>
        <stp/>
        <stp>BDH|5924861790918999337</stp>
        <tr r="H181" s="18"/>
      </tp>
      <tp t="e">
        <v>#N/A</v>
        <stp/>
        <stp>BDH|3499449591509129850</stp>
        <tr r="M22" s="27"/>
      </tp>
      <tp t="e">
        <v>#N/A</v>
        <stp/>
        <stp>BDH|8730479197949653341</stp>
        <tr r="K19" s="22"/>
      </tp>
      <tp t="e">
        <v>#N/A</v>
        <stp/>
        <stp>BDH|4378431567129798059</stp>
        <tr r="AA77" s="18"/>
      </tp>
      <tp t="e">
        <v>#N/A</v>
        <stp/>
        <stp>BDH|3240665155666477907</stp>
        <tr r="J28" s="14"/>
      </tp>
      <tp t="e">
        <v>#N/A</v>
        <stp/>
        <stp>BDH|7367816802866769629</stp>
        <tr r="N72" s="18"/>
      </tp>
      <tp t="e">
        <v>#N/A</v>
        <stp/>
        <stp>BDH|3650310477318157044</stp>
        <tr r="J40" s="10"/>
        <tr r="J30" s="11"/>
      </tp>
      <tp t="e">
        <v>#N/A</v>
        <stp/>
        <stp>BDH|1148303762049536233</stp>
        <tr r="J55" s="24"/>
      </tp>
      <tp t="e">
        <v>#N/A</v>
        <stp/>
        <stp>BDH|9205348012924909086</stp>
        <tr r="V37" s="17"/>
      </tp>
      <tp t="e">
        <v>#N/A</v>
        <stp/>
        <stp>BDH|3697948783439626421</stp>
        <tr r="F96" s="12"/>
      </tp>
      <tp t="e">
        <v>#N/A</v>
        <stp/>
        <stp>BDH|2619745586295437753</stp>
        <tr r="G13" s="34"/>
      </tp>
      <tp t="e">
        <v>#N/A</v>
        <stp/>
        <stp>BDH|8763499450946889038</stp>
        <tr r="D42" s="4"/>
      </tp>
      <tp t="e">
        <v>#N/A</v>
        <stp/>
        <stp>BDH|9518444069251966547</stp>
        <tr r="O32" s="9"/>
      </tp>
      <tp t="e">
        <v>#N/A</v>
        <stp/>
        <stp>BDH|6455393334231441889</stp>
        <tr r="W9" s="11"/>
      </tp>
      <tp t="e">
        <v>#N/A</v>
        <stp/>
        <stp>BDH|6354613996594681272</stp>
        <tr r="L21" s="11"/>
      </tp>
      <tp t="e">
        <v>#N/A</v>
        <stp/>
        <stp>BDH|3799953524072634550</stp>
        <tr r="W15" s="17"/>
        <tr r="W18" s="28"/>
      </tp>
      <tp t="e">
        <v>#N/A</v>
        <stp/>
        <stp>BDH|4107029023279339061</stp>
        <tr r="M90" s="18"/>
      </tp>
      <tp t="e">
        <v>#N/A</v>
        <stp/>
        <stp>BDH|8308331378353425099</stp>
        <tr r="N48" s="17"/>
      </tp>
      <tp t="e">
        <v>#N/A</v>
        <stp/>
        <stp>BDH|6885564949791006923</stp>
        <tr r="O17" s="24"/>
      </tp>
      <tp t="e">
        <v>#N/A</v>
        <stp/>
        <stp>BDH|5656836920840775074</stp>
        <tr r="L190" s="18"/>
      </tp>
      <tp t="e">
        <v>#N/A</v>
        <stp/>
        <stp>BDH|2339523343518680415</stp>
        <tr r="O29" s="34"/>
      </tp>
      <tp t="e">
        <v>#N/A</v>
        <stp/>
        <stp>BDH|3741719647027372871</stp>
        <tr r="AA63" s="24"/>
      </tp>
      <tp t="e">
        <v>#N/A</v>
        <stp/>
        <stp>BDH|2965384992173006468</stp>
        <tr r="Z30" s="24"/>
      </tp>
      <tp t="e">
        <v>#N/A</v>
        <stp/>
        <stp>BDH|5872501919006251868</stp>
        <tr r="R25" s="13"/>
      </tp>
      <tp t="e">
        <v>#N/A</v>
        <stp/>
        <stp>BDH|6640774635854024910</stp>
        <tr r="C68" s="13"/>
      </tp>
      <tp t="e">
        <v>#N/A</v>
        <stp/>
        <stp>BDH|5882390167337338802</stp>
        <tr r="Q85" s="17"/>
      </tp>
      <tp t="e">
        <v>#N/A</v>
        <stp/>
        <stp>BDH|1618636205601491912</stp>
        <tr r="R18" s="18"/>
      </tp>
      <tp t="e">
        <v>#N/A</v>
        <stp/>
        <stp>BDH|4347924242382398457</stp>
        <tr r="J25" s="22"/>
      </tp>
      <tp t="e">
        <v>#N/A</v>
        <stp/>
        <stp>BDH|8897661138476058434</stp>
        <tr r="I173" s="18"/>
      </tp>
      <tp t="e">
        <v>#N/A</v>
        <stp/>
        <stp>BDH|7852242841989051787</stp>
        <tr r="G19" s="18"/>
      </tp>
      <tp t="e">
        <v>#N/A</v>
        <stp/>
        <stp>BDH|8680473866107135235</stp>
        <tr r="L21" s="3"/>
      </tp>
      <tp t="e">
        <v>#N/A</v>
        <stp/>
        <stp>BDH|4425198069078622477</stp>
        <tr r="T28" s="4"/>
      </tp>
      <tp t="e">
        <v>#N/A</v>
        <stp/>
        <stp>BDH|9379422733490094177</stp>
        <tr r="J42" s="24"/>
      </tp>
      <tp t="e">
        <v>#N/A</v>
        <stp/>
        <stp>BDH|4945793987253020728</stp>
        <tr r="M28" s="4"/>
      </tp>
      <tp t="e">
        <v>#N/A</v>
        <stp/>
        <stp>BDH|4185270591064033425</stp>
        <tr r="T19" s="30"/>
      </tp>
      <tp t="e">
        <v>#N/A</v>
        <stp/>
        <stp>BDH|17536713274791215</stp>
        <tr r="J80" s="12"/>
      </tp>
      <tp t="e">
        <v>#N/A</v>
        <stp/>
        <stp>BDH|38743902131793472</stp>
        <tr r="K23" s="24"/>
      </tp>
      <tp t="e">
        <v>#N/A</v>
        <stp/>
        <stp>BDH|81274026826636412</stp>
        <tr r="G7" s="30"/>
      </tp>
      <tp t="e">
        <v>#N/A</v>
        <stp/>
        <stp>BDH|83398905023345283</stp>
        <tr r="V191" s="18"/>
      </tp>
      <tp t="e">
        <v>#N/A</v>
        <stp/>
        <stp>BDH|52575667119359838</stp>
        <tr r="G26" s="13"/>
      </tp>
      <tp t="e">
        <v>#N/A</v>
        <stp/>
        <stp>BDH|68644645244069415</stp>
        <tr r="W18" s="22"/>
      </tp>
      <tp t="e">
        <v>#N/A</v>
        <stp/>
        <stp>BDH|51162447427853067</stp>
        <tr r="P35" s="21"/>
      </tp>
      <tp t="e">
        <v>#N/A</v>
        <stp/>
        <stp>BDH|53785597028336417</stp>
        <tr r="J46" s="18"/>
      </tp>
      <tp t="e">
        <v>#N/A</v>
        <stp/>
        <stp>BDH|88761119660165452</stp>
        <tr r="V42" s="10"/>
        <tr r="V32" s="11"/>
      </tp>
      <tp t="e">
        <v>#N/A</v>
        <stp/>
        <stp>BDH|48191376596655208</stp>
        <tr r="Z173" s="18"/>
      </tp>
      <tp t="e">
        <v>#N/A</v>
        <stp/>
        <stp>BDH|1359716989457968180</stp>
        <tr r="C59" s="18"/>
      </tp>
      <tp t="e">
        <v>#N/A</v>
        <stp/>
        <stp>BDH|2459145644909692681</stp>
        <tr r="N84" s="18"/>
      </tp>
      <tp t="e">
        <v>#N/A</v>
        <stp/>
        <stp>BDH|3705818867503398684</stp>
        <tr r="P125" s="18"/>
        <tr r="P14" s="20"/>
      </tp>
      <tp t="e">
        <v>#N/A</v>
        <stp/>
        <stp>BDH|3947000004609454234</stp>
        <tr r="J92" s="12"/>
      </tp>
      <tp t="e">
        <v>#N/A</v>
        <stp/>
        <stp>BDH|3887800715125694712</stp>
        <tr r="Y31" s="29"/>
      </tp>
      <tp t="e">
        <v>#N/A</v>
        <stp/>
        <stp>BDH|8552282548542612491</stp>
        <tr r="O73" s="13"/>
      </tp>
      <tp t="e">
        <v>#N/A</v>
        <stp/>
        <stp>BDH|8396303958092014419</stp>
        <tr r="M45" s="4"/>
        <tr r="M33" s="10"/>
        <tr r="M23" s="11"/>
        <tr r="O33" s="13"/>
      </tp>
      <tp t="e">
        <v>#N/A</v>
        <stp/>
        <stp>BDH|9529165612479874836</stp>
        <tr r="L68" s="18"/>
      </tp>
      <tp t="e">
        <v>#N/A</v>
        <stp/>
        <stp>BDH|6000610412299809017</stp>
        <tr r="D24" s="14"/>
      </tp>
      <tp t="e">
        <v>#N/A</v>
        <stp/>
        <stp>BDH|2918105451146798859</stp>
        <tr r="I72" s="24"/>
      </tp>
      <tp t="e">
        <v>#N/A</v>
        <stp/>
        <stp>BDH|4634856378010587348</stp>
        <tr r="J180" s="18"/>
      </tp>
      <tp t="e">
        <v>#N/A</v>
        <stp/>
        <stp>BDH|3850835530289941983</stp>
        <tr r="V13" s="29"/>
        <tr r="V22" s="29"/>
        <tr r="V36" s="29"/>
      </tp>
      <tp t="e">
        <v>#N/A</v>
        <stp/>
        <stp>BDH|4851313918047221991</stp>
        <tr r="L6" s="27"/>
      </tp>
      <tp t="e">
        <v>#N/A</v>
        <stp/>
        <stp>BDH|3874815102234568742</stp>
        <tr r="H68" s="13"/>
      </tp>
      <tp t="e">
        <v>#N/A</v>
        <stp/>
        <stp>BDH|5307024379658049222</stp>
        <tr r="I95" s="12"/>
      </tp>
      <tp t="e">
        <v>#N/A</v>
        <stp/>
        <stp>BDH|3298958561582531690</stp>
        <tr r="X60" s="21"/>
        <tr r="V53" s="11"/>
      </tp>
      <tp t="e">
        <v>#N/A</v>
        <stp/>
        <stp>BDH|4762237788133408527</stp>
        <tr r="P86" s="24"/>
      </tp>
      <tp t="e">
        <v>#N/A</v>
        <stp/>
        <stp>BDH|3361031088771672241</stp>
        <tr r="F59" s="21"/>
        <tr r="F37" s="25"/>
        <tr r="D31" s="4"/>
        <tr r="D52" s="11"/>
      </tp>
      <tp t="e">
        <v>#N/A</v>
        <stp/>
        <stp>BDH|4121037512748924536</stp>
        <tr r="AA104" s="12"/>
      </tp>
      <tp t="e">
        <v>#N/A</v>
        <stp/>
        <stp>BDH|7745968335232812769</stp>
        <tr r="M28" s="18"/>
      </tp>
      <tp t="e">
        <v>#N/A</v>
        <stp/>
        <stp>BDH|8899718477133512317</stp>
        <tr r="G43" s="34"/>
      </tp>
      <tp t="e">
        <v>#N/A</v>
        <stp/>
        <stp>BDH|1644563820446925837</stp>
        <tr r="K52" s="4"/>
        <tr r="M8" s="3"/>
        <tr r="K44" s="10"/>
        <tr r="K34" s="11"/>
        <tr r="M45" s="13"/>
      </tp>
      <tp t="e">
        <v>#N/A</v>
        <stp/>
        <stp>BDH|3226951876536925322</stp>
        <tr r="AA50" s="24"/>
      </tp>
      <tp t="e">
        <v>#N/A</v>
        <stp/>
        <stp>BDH|2160652797190092595</stp>
        <tr r="I30" s="22"/>
      </tp>
      <tp t="e">
        <v>#N/A</v>
        <stp/>
        <stp>BDH|1567399265265747941</stp>
        <tr r="H6" s="15"/>
        <tr r="H12" s="2"/>
        <tr r="H11" s="4"/>
        <tr r="H6" s="10"/>
      </tp>
      <tp t="e">
        <v>#N/A</v>
        <stp/>
        <stp>BDH|6898919110943060537</stp>
        <tr r="N17" s="5"/>
        <tr r="N32" s="6"/>
      </tp>
      <tp t="e">
        <v>#N/A</v>
        <stp/>
        <stp>BDH|1549947955936877366</stp>
        <tr r="Y14" s="12"/>
      </tp>
      <tp t="e">
        <v>#N/A</v>
        <stp/>
        <stp>BDH|7765159808018633667</stp>
        <tr r="AA133" s="18"/>
      </tp>
      <tp t="e">
        <v>#N/A</v>
        <stp/>
        <stp>BDH|3495970104233590188</stp>
        <tr r="R6" s="27"/>
      </tp>
      <tp t="e">
        <v>#N/A</v>
        <stp/>
        <stp>BDH|1975983913161962019</stp>
        <tr r="F58" s="24"/>
      </tp>
      <tp t="e">
        <v>#N/A</v>
        <stp/>
        <stp>BDH|1219192756594137968</stp>
        <tr r="P11" s="14"/>
      </tp>
      <tp t="e">
        <v>#N/A</v>
        <stp/>
        <stp>BDH|3506586402676448819</stp>
        <tr r="O18" s="2"/>
        <tr r="O53" s="4"/>
        <tr r="O46" s="10"/>
        <tr r="O36" s="11"/>
        <tr r="Q58" s="13"/>
      </tp>
      <tp t="e">
        <v>#N/A</v>
        <stp/>
        <stp>BDH|3757705998930720526</stp>
        <tr r="P76" s="17"/>
        <tr r="M9" s="5"/>
        <tr r="M9" s="9"/>
      </tp>
      <tp t="e">
        <v>#N/A</v>
        <stp/>
        <stp>BDH|7649124584945832327</stp>
        <tr r="S85" s="18"/>
      </tp>
      <tp t="e">
        <v>#N/A</v>
        <stp/>
        <stp>BDH|7794816843225884678</stp>
        <tr r="X10" s="22"/>
      </tp>
      <tp t="e">
        <v>#N/A</v>
        <stp/>
        <stp>BDH|5664521918698441129</stp>
        <tr r="P34" s="26"/>
      </tp>
      <tp t="e">
        <v>#N/A</v>
        <stp/>
        <stp>BDH|6344749619020622823</stp>
        <tr r="T72" s="34"/>
      </tp>
      <tp t="e">
        <v>#N/A</v>
        <stp/>
        <stp>BDH|9026490876531326369</stp>
        <tr r="W32" s="5"/>
      </tp>
      <tp t="e">
        <v>#N/A</v>
        <stp/>
        <stp>BDH|8162432618037038208</stp>
        <tr r="V56" s="12"/>
      </tp>
      <tp t="e">
        <v>#N/A</v>
        <stp/>
        <stp>BDH|9265097129876124595</stp>
        <tr r="U20" s="34"/>
      </tp>
      <tp t="e">
        <v>#N/A</v>
        <stp/>
        <stp>BDH|1933837420777542459</stp>
        <tr r="T78" s="18"/>
      </tp>
      <tp t="e">
        <v>#N/A</v>
        <stp/>
        <stp>BDH|1813915916809739821</stp>
        <tr r="I78" s="34"/>
      </tp>
      <tp t="e">
        <v>#N/A</v>
        <stp/>
        <stp>BDH|3850959599579961271</stp>
        <tr r="V34" s="5"/>
        <tr r="X32" s="29"/>
      </tp>
      <tp t="e">
        <v>#N/A</v>
        <stp/>
        <stp>BDH|7178416395376728491</stp>
        <tr r="T42" s="17"/>
      </tp>
      <tp t="e">
        <v>#N/A</v>
        <stp/>
        <stp>BDH|8040485703347610362</stp>
        <tr r="T15" s="5"/>
      </tp>
      <tp t="e">
        <v>#N/A</v>
        <stp/>
        <stp>BDH|6154837037995721098</stp>
        <tr r="G13" s="8"/>
      </tp>
      <tp t="e">
        <v>#N/A</v>
        <stp/>
        <stp>BDH|1046832160291170692</stp>
        <tr r="L17" s="14"/>
      </tp>
      <tp t="e">
        <v>#N/A</v>
        <stp/>
        <stp>BDH|2329681464228725232</stp>
        <tr r="G63" s="24"/>
      </tp>
      <tp t="e">
        <v>#N/A</v>
        <stp/>
        <stp>BDH|9056647311362945475</stp>
        <tr r="V64" s="17"/>
      </tp>
      <tp t="e">
        <v>#N/A</v>
        <stp/>
        <stp>BDH|3231914177066968361</stp>
        <tr r="T7" s="21"/>
      </tp>
      <tp t="e">
        <v>#N/A</v>
        <stp/>
        <stp>BDH|4641222094032354580</stp>
        <tr r="C25" s="10"/>
        <tr r="E34" s="13"/>
      </tp>
      <tp t="e">
        <v>#N/A</v>
        <stp/>
        <stp>BDH|9443282473020653420</stp>
        <tr r="G131" s="18"/>
      </tp>
      <tp t="e">
        <v>#N/A</v>
        <stp/>
        <stp>BDH|5177554797745804407</stp>
        <tr r="S70" s="17"/>
      </tp>
      <tp t="e">
        <v>#N/A</v>
        <stp/>
        <stp>BDH|1181615998834575261</stp>
        <tr r="F10" s="28"/>
      </tp>
      <tp t="e">
        <v>#N/A</v>
        <stp/>
        <stp>BDH|4208644893751607281</stp>
        <tr r="C10" s="13"/>
      </tp>
      <tp t="e">
        <v>#N/A</v>
        <stp/>
        <stp>BDH|4675814019543713625</stp>
        <tr r="N27" s="17"/>
      </tp>
      <tp t="e">
        <v>#N/A</v>
        <stp/>
        <stp>BDH|2196630805084995852</stp>
        <tr r="D19" s="24"/>
      </tp>
      <tp t="e">
        <v>#N/A</v>
        <stp/>
        <stp>BDH|4887107633689459749</stp>
        <tr r="F13" s="11"/>
      </tp>
      <tp t="e">
        <v>#N/A</v>
        <stp/>
        <stp>BDH|9265202779141382539</stp>
        <tr r="V21" s="22"/>
      </tp>
      <tp t="e">
        <v>#N/A</v>
        <stp/>
        <stp>BDH|5650589020842583808</stp>
        <tr r="X8" s="4"/>
      </tp>
      <tp t="e">
        <v>#N/A</v>
        <stp/>
        <stp>BDH|6917535367508115574</stp>
        <tr r="G15" s="4"/>
      </tp>
      <tp t="e">
        <v>#N/A</v>
        <stp/>
        <stp>BDH|4512143620016815924</stp>
        <tr r="M15" s="4"/>
      </tp>
      <tp t="e">
        <v>#N/A</v>
        <stp/>
        <stp>BDH|9717942788849697965</stp>
        <tr r="K130" s="18"/>
      </tp>
      <tp t="e">
        <v>#N/A</v>
        <stp/>
        <stp>BDH|3551861936538653883</stp>
        <tr r="W73" s="34"/>
      </tp>
      <tp t="e">
        <v>#N/A</v>
        <stp/>
        <stp>BDH|1103810271533854526</stp>
        <tr r="G136" s="18"/>
      </tp>
      <tp t="e">
        <v>#N/A</v>
        <stp/>
        <stp>BDH|4825143586701963489</stp>
        <tr r="V13" s="6"/>
      </tp>
      <tp t="e">
        <v>#N/A</v>
        <stp/>
        <stp>BDH|5885079864159916298</stp>
        <tr r="I10" s="2"/>
        <tr r="H11" s="5"/>
        <tr r="H51" s="6"/>
        <tr r="J33" s="29"/>
        <tr r="J42" s="29"/>
      </tp>
      <tp t="e">
        <v>#N/A</v>
        <stp/>
        <stp>BDH|2680189887757367419</stp>
        <tr r="H9" s="27"/>
      </tp>
      <tp t="e">
        <v>#N/A</v>
        <stp/>
        <stp>BDH|8993258566871654574</stp>
        <tr r="D65" s="17"/>
      </tp>
      <tp t="e">
        <v>#N/A</v>
        <stp/>
        <stp>BDH|7811408097567530517</stp>
        <tr r="U32" s="5"/>
      </tp>
      <tp t="e">
        <v>#N/A</v>
        <stp/>
        <stp>BDH|1350398574679152446</stp>
        <tr r="O14" s="28"/>
      </tp>
      <tp t="e">
        <v>#N/A</v>
        <stp/>
        <stp>BDH|2690846378923180606</stp>
        <tr r="X95" s="12"/>
      </tp>
      <tp t="e">
        <v>#N/A</v>
        <stp/>
        <stp>BDH|7499697998848998877</stp>
        <tr r="C35" s="12"/>
      </tp>
      <tp t="e">
        <v>#N/A</v>
        <stp/>
        <stp>BDH|9905919126103058955</stp>
        <tr r="Z52" s="17"/>
        <tr r="Z10" s="25"/>
      </tp>
      <tp t="e">
        <v>#N/A</v>
        <stp/>
        <stp>BDH|8949500559832936224</stp>
        <tr r="E58" s="11"/>
        <tr r="G19" s="23"/>
      </tp>
      <tp t="e">
        <v>#N/A</v>
        <stp/>
        <stp>BDH|4246915007165936069</stp>
        <tr r="K55" s="13"/>
      </tp>
      <tp t="e">
        <v>#N/A</v>
        <stp/>
        <stp>BDH|7572493397591099302</stp>
        <tr r="E17" s="14"/>
      </tp>
      <tp t="e">
        <v>#N/A</v>
        <stp/>
        <stp>BDH|3876574281545158349</stp>
        <tr r="G9" s="17"/>
      </tp>
      <tp t="e">
        <v>#N/A</v>
        <stp/>
        <stp>BDH|9967319760736617254</stp>
        <tr r="Y26" s="26"/>
      </tp>
      <tp t="e">
        <v>#N/A</v>
        <stp/>
        <stp>BDH|9876047233971722336</stp>
        <tr r="K83" s="17"/>
      </tp>
      <tp t="e">
        <v>#N/A</v>
        <stp/>
        <stp>BDH|3712654829718794776</stp>
        <tr r="O67" s="34"/>
      </tp>
      <tp t="e">
        <v>#N/A</v>
        <stp/>
        <stp>BDH|9839140049185683186</stp>
        <tr r="O84" s="24"/>
      </tp>
      <tp t="e">
        <v>#N/A</v>
        <stp/>
        <stp>BDH|8880351057600658676</stp>
        <tr r="N16" s="14"/>
      </tp>
      <tp t="e">
        <v>#N/A</v>
        <stp/>
        <stp>BDH|2112907806311990250</stp>
        <tr r="Y120" s="18"/>
        <tr r="Y8" s="20"/>
      </tp>
      <tp t="e">
        <v>#N/A</v>
        <stp/>
        <stp>BDH|4457389177798758071</stp>
        <tr r="T9" s="6"/>
      </tp>
      <tp t="e">
        <v>#N/A</v>
        <stp/>
        <stp>BDH|9714252258513292531</stp>
        <tr r="K44" s="6"/>
      </tp>
      <tp t="e">
        <v>#N/A</v>
        <stp/>
        <stp>BDH|7153804208325447257</stp>
        <tr r="G61" s="21"/>
      </tp>
      <tp t="e">
        <v>#N/A</v>
        <stp/>
        <stp>BDH|5814474490554372446</stp>
        <tr r="Q56" s="18"/>
      </tp>
      <tp t="e">
        <v>#N/A</v>
        <stp/>
        <stp>BDH|1126241358226166846</stp>
        <tr r="V26" s="7"/>
      </tp>
      <tp t="e">
        <v>#N/A</v>
        <stp/>
        <stp>BDH|7139340251951481883</stp>
        <tr r="D90" s="18"/>
      </tp>
      <tp t="e">
        <v>#N/A</v>
        <stp/>
        <stp>BDH|1561786836095218810</stp>
        <tr r="X66" s="21"/>
        <tr r="U27" s="6"/>
      </tp>
      <tp t="e">
        <v>#N/A</v>
        <stp/>
        <stp>BDH|9419281615251203333</stp>
        <tr r="N197" s="18"/>
      </tp>
      <tp t="e">
        <v>#N/A</v>
        <stp/>
        <stp>BDH|7524902383086659885</stp>
        <tr r="J29" s="34"/>
      </tp>
      <tp t="e">
        <v>#N/A</v>
        <stp/>
        <stp>BDH|9680348918445363612</stp>
        <tr r="N24" s="6"/>
      </tp>
      <tp t="e">
        <v>#N/A</v>
        <stp/>
        <stp>BDH|4184760719588091264</stp>
        <tr r="T204" s="18"/>
      </tp>
      <tp t="e">
        <v>#N/A</v>
        <stp/>
        <stp>BDH|8341967545475068882</stp>
        <tr r="I43" s="29"/>
      </tp>
      <tp t="e">
        <v>#N/A</v>
        <stp/>
        <stp>BDH|8411074456852887757</stp>
        <tr r="H26" s="34"/>
      </tp>
      <tp t="e">
        <v>#N/A</v>
        <stp/>
        <stp>BDH|5602626986562303191</stp>
        <tr r="O7" s="2"/>
        <tr r="N7" s="5"/>
        <tr r="N7" s="9"/>
        <tr r="Q14" s="3"/>
      </tp>
      <tp t="e">
        <v>#N/A</v>
        <stp/>
        <stp>BDH|8672584743205215475</stp>
        <tr r="M145" s="18"/>
      </tp>
      <tp t="e">
        <v>#N/A</v>
        <stp/>
        <stp>BDH|1403277928669069033</stp>
        <tr r="O95" s="12"/>
      </tp>
      <tp t="e">
        <v>#N/A</v>
        <stp/>
        <stp>BDH|3619167905733506985</stp>
        <tr r="S34" s="21"/>
      </tp>
      <tp t="e">
        <v>#N/A</v>
        <stp/>
        <stp>BDH|5844757989054974650</stp>
        <tr r="H42" s="17"/>
      </tp>
      <tp t="e">
        <v>#N/A</v>
        <stp/>
        <stp>BDH|5808491492474891438</stp>
        <tr r="P47" s="18"/>
      </tp>
      <tp t="e">
        <v>#N/A</v>
        <stp/>
        <stp>BDH|6545112246389905231</stp>
        <tr r="C58" s="24"/>
      </tp>
      <tp t="e">
        <v>#N/A</v>
        <stp/>
        <stp>BDH|8997439041503103322</stp>
        <tr r="U115" s="18"/>
      </tp>
      <tp t="e">
        <v>#N/A</v>
        <stp/>
        <stp>BDH|6077784413269535165</stp>
        <tr r="N85" s="12"/>
      </tp>
      <tp t="e">
        <v>#N/A</v>
        <stp/>
        <stp>BDH|1007550399376261362</stp>
        <tr r="X28" s="17"/>
      </tp>
      <tp t="e">
        <v>#N/A</v>
        <stp/>
        <stp>BDH|1756016790506989679</stp>
        <tr r="M184" s="18"/>
      </tp>
      <tp t="e">
        <v>#N/A</v>
        <stp/>
        <stp>BDH|2151827501477340594</stp>
        <tr r="N28" s="14"/>
      </tp>
      <tp t="e">
        <v>#N/A</v>
        <stp/>
        <stp>BDH|2523566918746401875</stp>
        <tr r="E92" s="24"/>
      </tp>
      <tp t="e">
        <v>#N/A</v>
        <stp/>
        <stp>BDH|7658437085170133399</stp>
        <tr r="G8" s="11"/>
      </tp>
      <tp t="e">
        <v>#N/A</v>
        <stp/>
        <stp>BDH|6435149959393782969</stp>
        <tr r="L11" s="6"/>
      </tp>
      <tp t="e">
        <v>#N/A</v>
        <stp/>
        <stp>BDH|6045312328167590846</stp>
        <tr r="J164" s="18"/>
      </tp>
      <tp t="e">
        <v>#N/A</v>
        <stp/>
        <stp>BDH|9179758068773362376</stp>
        <tr r="T27" s="10"/>
        <tr r="V36" s="13"/>
      </tp>
      <tp t="e">
        <v>#N/A</v>
        <stp/>
        <stp>BDH|2603268206480844860</stp>
        <tr r="Z10" s="22"/>
      </tp>
      <tp t="e">
        <v>#N/A</v>
        <stp/>
        <stp>BDH|1393100229883738959</stp>
        <tr r="P191" s="18"/>
      </tp>
      <tp t="e">
        <v>#N/A</v>
        <stp/>
        <stp>BDH|2370166269904471904</stp>
        <tr r="U67" s="10"/>
      </tp>
      <tp t="e">
        <v>#N/A</v>
        <stp/>
        <stp>BDH|2286774049461534811</stp>
        <tr r="X64" s="18"/>
      </tp>
      <tp t="e">
        <v>#N/A</v>
        <stp/>
        <stp>BDH|7152596096954733713</stp>
        <tr r="G15" s="5"/>
      </tp>
      <tp t="e">
        <v>#N/A</v>
        <stp/>
        <stp>BDH|3270665100568420588</stp>
        <tr r="M48" s="21"/>
      </tp>
      <tp t="e">
        <v>#N/A</v>
        <stp/>
        <stp>BDH|4070841622837925171</stp>
        <tr r="N7" s="28"/>
      </tp>
      <tp t="e">
        <v>#N/A</v>
        <stp/>
        <stp>BDH|3390050932280439885</stp>
        <tr r="K7" s="34"/>
      </tp>
      <tp t="e">
        <v>#N/A</v>
        <stp/>
        <stp>BDH|1329810347633412698</stp>
        <tr r="H64" s="17"/>
      </tp>
      <tp t="e">
        <v>#N/A</v>
        <stp/>
        <stp>BDH|7219197843562381837</stp>
        <tr r="W68" s="10"/>
      </tp>
      <tp t="e">
        <v>#N/A</v>
        <stp/>
        <stp>BDH|6640161356733871969</stp>
        <tr r="O18" s="10"/>
      </tp>
      <tp t="e">
        <v>#N/A</v>
        <stp/>
        <stp>BDH|4747767249327795875</stp>
        <tr r="U9" s="26"/>
      </tp>
      <tp t="e">
        <v>#N/A</v>
        <stp/>
        <stp>BDH|4489046729927425959</stp>
        <tr r="G31" s="24"/>
      </tp>
      <tp t="e">
        <v>#N/A</v>
        <stp/>
        <stp>BDH|6635097551852731910</stp>
        <tr r="F42" s="17"/>
      </tp>
      <tp t="e">
        <v>#N/A</v>
        <stp/>
        <stp>BDH|6552271329509276719</stp>
        <tr r="D20" s="25"/>
      </tp>
      <tp t="e">
        <v>#N/A</v>
        <stp/>
        <stp>BDH|5658558397609469882</stp>
        <tr r="M39" s="24"/>
      </tp>
      <tp t="e">
        <v>#N/A</v>
        <stp/>
        <stp>BDH|9166189137721461220</stp>
        <tr r="C11" s="24"/>
      </tp>
      <tp t="e">
        <v>#N/A</v>
        <stp/>
        <stp>BDH|3192339882898156893</stp>
        <tr r="P15" s="13"/>
      </tp>
      <tp t="e">
        <v>#N/A</v>
        <stp/>
        <stp>BDH|5513565460019985722</stp>
        <tr r="R31" s="5"/>
      </tp>
      <tp t="e">
        <v>#N/A</v>
        <stp/>
        <stp>BDH|7425196724874766864</stp>
        <tr r="J15" s="26"/>
      </tp>
      <tp t="e">
        <v>#N/A</v>
        <stp/>
        <stp>BDH|4567042456371689891</stp>
        <tr r="Q203" s="18"/>
      </tp>
      <tp t="e">
        <v>#N/A</v>
        <stp/>
        <stp>BDH|7100717882148313899</stp>
        <tr r="S26" s="21"/>
      </tp>
      <tp t="e">
        <v>#N/A</v>
        <stp/>
        <stp>BDH|3850527793593604479</stp>
        <tr r="O38" s="26"/>
      </tp>
      <tp t="e">
        <v>#N/A</v>
        <stp/>
        <stp>BDH|1520890243414235144</stp>
        <tr r="C11" s="6"/>
      </tp>
      <tp t="e">
        <v>#N/A</v>
        <stp/>
        <stp>BDH|3091424529434111939</stp>
        <tr r="E20" s="18"/>
      </tp>
      <tp t="e">
        <v>#N/A</v>
        <stp/>
        <stp>BDH|6692072593682858539</stp>
        <tr r="Z187" s="18"/>
      </tp>
      <tp t="e">
        <v>#N/A</v>
        <stp/>
        <stp>BDH|8802003353710517574</stp>
        <tr r="M11" s="3"/>
        <tr r="K50" s="10"/>
        <tr r="K40" s="11"/>
        <tr r="K8" s="7"/>
      </tp>
      <tp t="e">
        <v>#N/A</v>
        <stp/>
        <stp>BDH|3494028962865498890</stp>
        <tr r="I45" s="4"/>
        <tr r="I33" s="10"/>
        <tr r="I23" s="11"/>
        <tr r="K33" s="13"/>
      </tp>
      <tp t="e">
        <v>#N/A</v>
        <stp/>
        <stp>BDH|2382934479273988796</stp>
        <tr r="H25" s="13"/>
      </tp>
      <tp t="e">
        <v>#N/A</v>
        <stp/>
        <stp>BDH|1505965118270044120</stp>
        <tr r="D26" s="10"/>
        <tr r="F35" s="13"/>
      </tp>
      <tp t="e">
        <v>#N/A</v>
        <stp/>
        <stp>BDH|9362456931793923576</stp>
        <tr r="E82" s="18"/>
      </tp>
      <tp t="e">
        <v>#N/A</v>
        <stp/>
        <stp>BDH|7511240697725752181</stp>
        <tr r="S21" s="22"/>
      </tp>
      <tp t="e">
        <v>#N/A</v>
        <stp/>
        <stp>BDH|9153590110237312224</stp>
        <tr r="V48" s="24"/>
      </tp>
      <tp t="e">
        <v>#N/A</v>
        <stp/>
        <stp>BDH|8323050879296002165</stp>
        <tr r="G14" s="29"/>
        <tr r="G23" s="29"/>
        <tr r="G37" s="29"/>
      </tp>
      <tp t="e">
        <v>#N/A</v>
        <stp/>
        <stp>BDH|3433768788350187424</stp>
        <tr r="U160" s="18"/>
      </tp>
      <tp t="e">
        <v>#N/A</v>
        <stp/>
        <stp>BDH|2044714690702071684</stp>
        <tr r="U14" s="2"/>
        <tr r="U11" s="10"/>
      </tp>
      <tp t="e">
        <v>#N/A</v>
        <stp/>
        <stp>BDH|1441954937202867170</stp>
        <tr r="F47" s="6"/>
        <tr r="H6" s="8"/>
      </tp>
      <tp t="e">
        <v>#N/A</v>
        <stp/>
        <stp>BDH|1118794472031639851</stp>
        <tr r="O13" s="7"/>
      </tp>
      <tp t="e">
        <v>#N/A</v>
        <stp/>
        <stp>BDH|1861136503689194108</stp>
        <tr r="U25" s="10"/>
        <tr r="W34" s="13"/>
      </tp>
      <tp t="e">
        <v>#N/A</v>
        <stp/>
        <stp>BDH|1622670788126177112</stp>
        <tr r="R39" s="18"/>
      </tp>
      <tp t="e">
        <v>#N/A</v>
        <stp/>
        <stp>BDH|1261176155795880819</stp>
        <tr r="T28" s="18"/>
      </tp>
      <tp t="e">
        <v>#N/A</v>
        <stp/>
        <stp>BDH|1587694988360981741</stp>
        <tr r="J22" s="10"/>
      </tp>
      <tp t="e">
        <v>#N/A</v>
        <stp/>
        <stp>BDH|9920140368070424688</stp>
        <tr r="P40" s="22"/>
      </tp>
      <tp t="e">
        <v>#N/A</v>
        <stp/>
        <stp>BDH|8904116262995062231</stp>
        <tr r="U45" s="18"/>
      </tp>
      <tp t="e">
        <v>#N/A</v>
        <stp/>
        <stp>BDH|2313789721076061934</stp>
        <tr r="I9" s="3"/>
        <tr r="G51" s="10"/>
        <tr r="G41" s="11"/>
        <tr r="G14" s="7"/>
      </tp>
      <tp t="e">
        <v>#N/A</v>
        <stp/>
        <stp>BDH|7883119073649289015</stp>
        <tr r="Z89" s="18"/>
      </tp>
      <tp t="e">
        <v>#N/A</v>
        <stp/>
        <stp>BDH|2779659359299114030</stp>
        <tr r="O36" s="10"/>
        <tr r="O48" s="10"/>
        <tr r="O26" s="11"/>
        <tr r="O38" s="11"/>
      </tp>
      <tp t="e">
        <v>#N/A</v>
        <stp/>
        <stp>BDH|5850217174550395873</stp>
        <tr r="O22" s="17"/>
      </tp>
      <tp t="e">
        <v>#N/A</v>
        <stp/>
        <stp>BDH|4942518101068828183</stp>
        <tr r="F35" s="21"/>
      </tp>
      <tp t="e">
        <v>#N/A</v>
        <stp/>
        <stp>BDH|6624319913524557886</stp>
        <tr r="D42" s="12"/>
      </tp>
      <tp t="e">
        <v>#N/A</v>
        <stp/>
        <stp>BDH|2976932525806085769</stp>
        <tr r="Y27" s="12"/>
      </tp>
      <tp t="e">
        <v>#N/A</v>
        <stp/>
        <stp>BDH|8038560730574797283</stp>
        <tr r="F70" s="13"/>
      </tp>
      <tp t="e">
        <v>#N/A</v>
        <stp/>
        <stp>BDH|1079373699643261058</stp>
        <tr r="E24" s="14"/>
      </tp>
      <tp t="e">
        <v>#N/A</v>
        <stp/>
        <stp>BDH|4689972948443973296</stp>
        <tr r="N139" s="18"/>
      </tp>
      <tp t="e">
        <v>#N/A</v>
        <stp/>
        <stp>BDH|2145779437166827801</stp>
        <tr r="I14" s="21"/>
      </tp>
      <tp t="e">
        <v>#N/A</v>
        <stp/>
        <stp>BDH|5979326316827113857</stp>
        <tr r="F67" s="17"/>
        <tr r="F18" s="3"/>
      </tp>
      <tp t="e">
        <v>#N/A</v>
        <stp/>
        <stp>BDH|6303728488825663468</stp>
        <tr r="S112" s="18"/>
      </tp>
      <tp t="e">
        <v>#N/A</v>
        <stp/>
        <stp>BDH|9955266944533584470</stp>
        <tr r="U74" s="17"/>
      </tp>
      <tp t="e">
        <v>#N/A</v>
        <stp/>
        <stp>BDH|3881342155255001879</stp>
        <tr r="P37" s="10"/>
        <tr r="P27" s="11"/>
        <tr r="R46" s="13"/>
      </tp>
      <tp t="e">
        <v>#N/A</v>
        <stp/>
        <stp>BDH|8341683525664362036</stp>
        <tr r="M7" s="6"/>
      </tp>
      <tp t="e">
        <v>#N/A</v>
        <stp/>
        <stp>BDH|4048131170449494399</stp>
        <tr r="P99" s="12"/>
      </tp>
      <tp t="e">
        <v>#N/A</v>
        <stp/>
        <stp>BDH|5840764480320422242</stp>
        <tr r="Z95" s="24"/>
      </tp>
      <tp t="e">
        <v>#N/A</v>
        <stp/>
        <stp>BDH|9680873159319692502</stp>
        <tr r="K39" s="6"/>
      </tp>
      <tp t="e">
        <v>#N/A</v>
        <stp/>
        <stp>BDH|9810218466736284334</stp>
        <tr r="Q26" s="34"/>
      </tp>
      <tp t="e">
        <v>#N/A</v>
        <stp/>
        <stp>BDH|9788108738616670573</stp>
        <tr r="S98" s="12"/>
      </tp>
      <tp t="e">
        <v>#N/A</v>
        <stp/>
        <stp>BDH|6248259098036863399</stp>
        <tr r="I7" s="24"/>
      </tp>
      <tp t="e">
        <v>#N/A</v>
        <stp/>
        <stp>BDH|3188891170882668605</stp>
        <tr r="P78" s="34"/>
      </tp>
      <tp t="e">
        <v>#N/A</v>
        <stp/>
        <stp>BDH|8753762064447263690</stp>
        <tr r="O33" s="18"/>
      </tp>
      <tp t="e">
        <v>#N/A</v>
        <stp/>
        <stp>BDH|8123319087779018298</stp>
        <tr r="L25" s="12"/>
      </tp>
      <tp t="e">
        <v>#N/A</v>
        <stp/>
        <stp>BDH|9372970512698931117</stp>
        <tr r="D17" s="12"/>
      </tp>
      <tp t="e">
        <v>#N/A</v>
        <stp/>
        <stp>BDH|2630291837448305353</stp>
        <tr r="Z37" s="18"/>
      </tp>
      <tp t="e">
        <v>#N/A</v>
        <stp/>
        <stp>BDH|6034686495201541067</stp>
        <tr r="O18" s="25"/>
      </tp>
      <tp t="e">
        <v>#N/A</v>
        <stp/>
        <stp>BDH|2584797447008593102</stp>
        <tr r="O25" s="6"/>
      </tp>
      <tp t="e">
        <v>#N/A</v>
        <stp/>
        <stp>BDH|3604180586383550132</stp>
        <tr r="T28" s="27"/>
      </tp>
      <tp t="e">
        <v>#N/A</v>
        <stp/>
        <stp>BDH|9350657653543901120</stp>
        <tr r="X89" s="12"/>
      </tp>
      <tp t="e">
        <v>#N/A</v>
        <stp/>
        <stp>BDH|4865552172049367724</stp>
        <tr r="L181" s="18"/>
      </tp>
      <tp t="e">
        <v>#N/A</v>
        <stp/>
        <stp>BDH|4971467577406626900</stp>
        <tr r="P47" s="21"/>
      </tp>
      <tp t="e">
        <v>#N/A</v>
        <stp/>
        <stp>BDH|8154181611485061560</stp>
        <tr r="I47" s="22"/>
      </tp>
      <tp t="e">
        <v>#N/A</v>
        <stp/>
        <stp>BDH|8849276500363841193</stp>
        <tr r="K46" s="4"/>
        <tr r="K23" s="10"/>
        <tr r="M42" s="13"/>
      </tp>
      <tp t="e">
        <v>#N/A</v>
        <stp/>
        <stp>BDH|7397150569021356925</stp>
        <tr r="E13" s="10"/>
      </tp>
      <tp t="e">
        <v>#N/A</v>
        <stp/>
        <stp>BDH|8145211271027649298</stp>
        <tr r="D32" s="22"/>
      </tp>
      <tp t="e">
        <v>#N/A</v>
        <stp/>
        <stp>BDH|8853186905079326888</stp>
        <tr r="E71" s="10"/>
        <tr r="E61" s="11"/>
      </tp>
      <tp t="e">
        <v>#N/A</v>
        <stp/>
        <stp>BDH|4042101076293047988</stp>
        <tr r="T37" s="22"/>
      </tp>
      <tp t="e">
        <v>#N/A</v>
        <stp/>
        <stp>BDH|6945537291303798122</stp>
        <tr r="P33" s="6"/>
      </tp>
      <tp t="e">
        <v>#N/A</v>
        <stp/>
        <stp>BDH|6855322322916702914</stp>
        <tr r="G9" s="21"/>
      </tp>
      <tp t="e">
        <v>#N/A</v>
        <stp/>
        <stp>BDH|2386750889284000110</stp>
        <tr r="X33" s="6"/>
      </tp>
      <tp t="e">
        <v>#N/A</v>
        <stp/>
        <stp>BDH|2037293762189599702</stp>
        <tr r="V31" s="34"/>
      </tp>
      <tp t="e">
        <v>#N/A</v>
        <stp/>
        <stp>BDH|6491090111956599974</stp>
        <tr r="N109" s="18"/>
      </tp>
      <tp t="e">
        <v>#N/A</v>
        <stp/>
        <stp>BDH|4437896038982940525</stp>
        <tr r="R35" s="18"/>
      </tp>
      <tp t="e">
        <v>#N/A</v>
        <stp/>
        <stp>BDH|4694861037273809417</stp>
        <tr r="E53" s="24"/>
      </tp>
      <tp t="e">
        <v>#N/A</v>
        <stp/>
        <stp>BDH|3475879838312519200</stp>
        <tr r="G30" s="5"/>
        <tr r="G30" s="9"/>
      </tp>
      <tp t="e">
        <v>#N/A</v>
        <stp/>
        <stp>BDH|1598633032095306996</stp>
        <tr r="X66" s="12"/>
      </tp>
      <tp t="e">
        <v>#N/A</v>
        <stp/>
        <stp>BDH|2020949760067360291</stp>
        <tr r="Q91" s="24"/>
      </tp>
      <tp t="e">
        <v>#N/A</v>
        <stp/>
        <stp>BDH|1867631837008025429</stp>
        <tr r="H28" s="17"/>
      </tp>
      <tp t="e">
        <v>#N/A</v>
        <stp/>
        <stp>BDH|2256008913412835976</stp>
        <tr r="F67" s="21"/>
      </tp>
      <tp t="e">
        <v>#N/A</v>
        <stp/>
        <stp>BDH|6730292847978738004</stp>
        <tr r="Y10" s="11"/>
      </tp>
      <tp t="e">
        <v>#N/A</v>
        <stp/>
        <stp>BDH|1045394681792213049</stp>
        <tr r="E30" s="6"/>
      </tp>
      <tp t="e">
        <v>#N/A</v>
        <stp/>
        <stp>BDH|1299653910738053696</stp>
        <tr r="AA158" s="18"/>
      </tp>
      <tp t="e">
        <v>#N/A</v>
        <stp/>
        <stp>BDH|5394263078978582065</stp>
        <tr r="L48" s="6"/>
        <tr r="N9" s="8"/>
      </tp>
      <tp t="e">
        <v>#N/A</v>
        <stp/>
        <stp>BDH|6279832956365044683</stp>
        <tr r="AA91" s="17"/>
      </tp>
      <tp t="e">
        <v>#N/A</v>
        <stp/>
        <stp>BDH|1416576759799379067</stp>
        <tr r="K97" s="12"/>
      </tp>
      <tp t="e">
        <v>#N/A</v>
        <stp/>
        <stp>BDH|1594328106982712899</stp>
        <tr r="N160" s="18"/>
      </tp>
      <tp t="e">
        <v>#N/A</v>
        <stp/>
        <stp>BDH|5544410568809558669</stp>
        <tr r="R20" s="24"/>
      </tp>
      <tp t="e">
        <v>#N/A</v>
        <stp/>
        <stp>BDH|2540816595213731890</stp>
        <tr r="M26" s="7"/>
      </tp>
      <tp t="e">
        <v>#N/A</v>
        <stp/>
        <stp>BDH|1633895092978642049</stp>
        <tr r="H23" s="2"/>
        <tr r="J19" s="21"/>
        <tr r="J23" s="3"/>
      </tp>
      <tp t="e">
        <v>#N/A</v>
        <stp/>
        <stp>BDH|8045447235015998278</stp>
        <tr r="T9" s="14"/>
      </tp>
      <tp t="e">
        <v>#N/A</v>
        <stp/>
        <stp>BDH|9481002868945071231</stp>
        <tr r="Z198" s="18"/>
      </tp>
      <tp t="e">
        <v>#N/A</v>
        <stp/>
        <stp>BDH|4708242634609941415</stp>
        <tr r="W11" s="18"/>
      </tp>
      <tp t="e">
        <v>#N/A</v>
        <stp/>
        <stp>BDH|8385429669046076472</stp>
        <tr r="G53" s="24"/>
      </tp>
      <tp t="e">
        <v>#N/A</v>
        <stp/>
        <stp>BDH|8555197444296100364</stp>
        <tr r="Z42" s="18"/>
      </tp>
      <tp t="e">
        <v>#N/A</v>
        <stp/>
        <stp>BDH|7113277750729971101</stp>
        <tr r="Z30" s="29"/>
        <tr r="Z8" s="29"/>
      </tp>
      <tp t="e">
        <v>#N/A</v>
        <stp/>
        <stp>BDH|2001608352960864950</stp>
        <tr r="Y31" s="21"/>
      </tp>
      <tp t="e">
        <v>#N/A</v>
        <stp/>
        <stp>BDH|1323432509969191477</stp>
        <tr r="M41" s="12"/>
      </tp>
      <tp t="e">
        <v>#N/A</v>
        <stp/>
        <stp>BDH|6304437948757749903</stp>
        <tr r="U54" s="6"/>
      </tp>
      <tp t="e">
        <v>#N/A</v>
        <stp/>
        <stp>BDH|5481210189744517369</stp>
        <tr r="C73" s="24"/>
      </tp>
      <tp t="e">
        <v>#N/A</v>
        <stp/>
        <stp>BDH|5703676487863090081</stp>
        <tr r="U17" s="4"/>
        <tr r="W10" s="3"/>
        <tr r="U56" s="10"/>
        <tr r="U46" s="11"/>
        <tr r="U17" s="7"/>
        <tr r="W61" s="13"/>
      </tp>
      <tp t="e">
        <v>#N/A</v>
        <stp/>
        <stp>BDH|7062091482302315573</stp>
        <tr r="W12" s="3"/>
        <tr r="U55" s="10"/>
        <tr r="U45" s="11"/>
        <tr r="U7" s="7"/>
      </tp>
      <tp t="e">
        <v>#N/A</v>
        <stp/>
        <stp>BDH|5684530041479865533</stp>
        <tr r="L59" s="24"/>
      </tp>
      <tp t="e">
        <v>#N/A</v>
        <stp/>
        <stp>BDH|3831892166844094189</stp>
        <tr r="Q9" s="23"/>
      </tp>
      <tp t="e">
        <v>#N/A</v>
        <stp/>
        <stp>BDH|4294772378319780558</stp>
        <tr r="T75" s="18"/>
      </tp>
      <tp t="e">
        <v>#N/A</v>
        <stp/>
        <stp>BDH|5194488540888674506</stp>
        <tr r="G8" s="2"/>
      </tp>
      <tp t="e">
        <v>#N/A</v>
        <stp/>
        <stp>BDH|1238010085510871119</stp>
        <tr r="Q13" s="30"/>
      </tp>
      <tp t="e">
        <v>#N/A</v>
        <stp/>
        <stp>BDH|3640778399414228152</stp>
        <tr r="O9" s="29"/>
      </tp>
      <tp t="e">
        <v>#N/A</v>
        <stp/>
        <stp>BDH|1793211099082437040</stp>
        <tr r="C39" s="10"/>
        <tr r="C29" s="11"/>
      </tp>
      <tp t="e">
        <v>#N/A</v>
        <stp/>
        <stp>BDH|9538236645825845242</stp>
        <tr r="I70" s="34"/>
      </tp>
      <tp t="e">
        <v>#N/A</v>
        <stp/>
        <stp>BDH|7847114011826120960</stp>
        <tr r="S206" s="18"/>
      </tp>
      <tp t="e">
        <v>#N/A</v>
        <stp/>
        <stp>BDH|1413871378167786133</stp>
        <tr r="U46" s="17"/>
      </tp>
      <tp t="e">
        <v>#N/A</v>
        <stp/>
        <stp>BDH|5296982277171560276</stp>
        <tr r="H93" s="12"/>
      </tp>
      <tp t="e">
        <v>#N/A</v>
        <stp/>
        <stp>BDH|3242883571897401305</stp>
        <tr r="O28" s="24"/>
      </tp>
      <tp t="e">
        <v>#N/A</v>
        <stp/>
        <stp>BDH|1992013747739380438</stp>
        <tr r="F14" s="23"/>
      </tp>
      <tp t="e">
        <v>#N/A</v>
        <stp/>
        <stp>BDH|9008555338910051724</stp>
        <tr r="C62" s="24"/>
      </tp>
      <tp t="e">
        <v>#N/A</v>
        <stp/>
        <stp>BDH|3064639095777947300</stp>
        <tr r="L118" s="18"/>
        <tr r="L6" s="20"/>
      </tp>
      <tp t="e">
        <v>#N/A</v>
        <stp/>
        <stp>BDH|1207372680297854529</stp>
        <tr r="V85" s="17"/>
      </tp>
      <tp t="e">
        <v>#N/A</v>
        <stp/>
        <stp>BDH|8817743672252289234</stp>
        <tr r="C189" s="18"/>
      </tp>
      <tp t="e">
        <v>#N/A</v>
        <stp/>
        <stp>BDH|5310291080837769022</stp>
        <tr r="O10" s="17"/>
      </tp>
      <tp t="e">
        <v>#N/A</v>
        <stp/>
        <stp>BDH|7724328079678675354</stp>
        <tr r="U28" s="10"/>
        <tr r="W37" s="13"/>
      </tp>
      <tp t="e">
        <v>#N/A</v>
        <stp/>
        <stp>BDH|9767491737121695700</stp>
        <tr r="C106" s="18"/>
      </tp>
      <tp t="e">
        <v>#N/A</v>
        <stp/>
        <stp>BDH|9817773734455312078</stp>
        <tr r="Q183" s="18"/>
      </tp>
      <tp t="e">
        <v>#N/A</v>
        <stp/>
        <stp>BDH|8224338447426183189</stp>
        <tr r="Y9" s="29"/>
      </tp>
      <tp t="e">
        <v>#N/A</v>
        <stp/>
        <stp>BDH|2898455280154022220</stp>
        <tr r="F23" s="22"/>
      </tp>
      <tp t="e">
        <v>#N/A</v>
        <stp/>
        <stp>BDH|4964878470790806396</stp>
        <tr r="H30" s="22"/>
      </tp>
      <tp t="e">
        <v>#N/A</v>
        <stp/>
        <stp>BDH|9552904079547590863</stp>
        <tr r="X70" s="18"/>
      </tp>
      <tp t="e">
        <v>#N/A</v>
        <stp/>
        <stp>BDH|7618654509240191940</stp>
        <tr r="T68" s="17"/>
        <tr r="Q8" s="5"/>
        <tr r="Q8" s="9"/>
      </tp>
      <tp t="e">
        <v>#N/A</v>
        <stp/>
        <stp>BDH|6327342277579839378</stp>
        <tr r="X35" s="14"/>
      </tp>
      <tp t="e">
        <v>#N/A</v>
        <stp/>
        <stp>BDH|3877774093686879382</stp>
        <tr r="L46" s="12"/>
      </tp>
      <tp t="e">
        <v>#N/A</v>
        <stp/>
        <stp>BDH|8117174377404573286</stp>
        <tr r="V17" s="10"/>
        <tr r="X16" s="13"/>
        <tr r="X30" s="13"/>
      </tp>
      <tp t="e">
        <v>#N/A</v>
        <stp/>
        <stp>BDH|3457843026771257087</stp>
        <tr r="AA118" s="18"/>
        <tr r="AA6" s="20"/>
      </tp>
      <tp t="e">
        <v>#N/A</v>
        <stp/>
        <stp>BDH|9090652237933646784</stp>
        <tr r="T52" s="34"/>
      </tp>
      <tp t="e">
        <v>#N/A</v>
        <stp/>
        <stp>BDH|4385095293701693436</stp>
        <tr r="D41" s="21"/>
      </tp>
      <tp t="e">
        <v>#N/A</v>
        <stp/>
        <stp>BDH|3793967461931458587</stp>
        <tr r="M19" s="10"/>
      </tp>
      <tp t="e">
        <v>#N/A</v>
        <stp/>
        <stp>BDH|7583606978109984782</stp>
        <tr r="H30" s="6"/>
      </tp>
      <tp t="e">
        <v>#N/A</v>
        <stp/>
        <stp>BDH|9452766871413634290</stp>
        <tr r="E52" s="12"/>
      </tp>
      <tp t="e">
        <v>#N/A</v>
        <stp/>
        <stp>BDH|1241034470497579984</stp>
        <tr r="O68" s="12"/>
      </tp>
      <tp t="e">
        <v>#N/A</v>
        <stp/>
        <stp>BDH|8325556739763364502</stp>
        <tr r="P86" s="17"/>
      </tp>
      <tp t="e">
        <v>#N/A</v>
        <stp/>
        <stp>BDH|1559086423003650841</stp>
        <tr r="Z30" s="12"/>
      </tp>
      <tp t="e">
        <v>#N/A</v>
        <stp/>
        <stp>BDH|2134564822334842917</stp>
        <tr r="V8" s="2"/>
      </tp>
      <tp t="e">
        <v>#N/A</v>
        <stp/>
        <stp>BDH|2828247532112439961</stp>
        <tr r="AA22" s="14"/>
      </tp>
      <tp t="e">
        <v>#N/A</v>
        <stp/>
        <stp>BDH|8892923524132205902</stp>
        <tr r="Q18" s="10"/>
      </tp>
      <tp t="e">
        <v>#N/A</v>
        <stp/>
        <stp>BDH|5601650187240989313</stp>
        <tr r="G61" s="34"/>
      </tp>
      <tp t="e">
        <v>#N/A</v>
        <stp/>
        <stp>BDH|5786889757198185851</stp>
        <tr r="X52" s="6"/>
      </tp>
      <tp t="e">
        <v>#N/A</v>
        <stp/>
        <stp>BDH|2938898474124068184</stp>
        <tr r="R31" s="12"/>
      </tp>
      <tp t="e">
        <v>#N/A</v>
        <stp/>
        <stp>BDH|8658075648842774624</stp>
        <tr r="U24" s="5"/>
      </tp>
      <tp t="e">
        <v>#N/A</v>
        <stp/>
        <stp>BDH|4544249387630353694</stp>
        <tr r="D29" s="29"/>
        <tr r="D7" s="29"/>
      </tp>
      <tp t="e">
        <v>#N/A</v>
        <stp/>
        <stp>BDH|3884077261195333810</stp>
        <tr r="Y53" s="10"/>
        <tr r="Y43" s="11"/>
        <tr r="Y16" s="7"/>
      </tp>
      <tp t="e">
        <v>#N/A</v>
        <stp/>
        <stp>BDH|2582531781183906425</stp>
        <tr r="O15" s="11"/>
      </tp>
      <tp t="e">
        <v>#N/A</v>
        <stp/>
        <stp>BDH|5166498651158240477</stp>
        <tr r="F182" s="18"/>
      </tp>
      <tp t="e">
        <v>#N/A</v>
        <stp/>
        <stp>BDH|8428114435255980750</stp>
        <tr r="H15" s="10"/>
      </tp>
      <tp t="e">
        <v>#N/A</v>
        <stp/>
        <stp>BDH|9349510810762682784</stp>
        <tr r="I137" s="18"/>
      </tp>
      <tp t="e">
        <v>#N/A</v>
        <stp/>
        <stp>BDH|2820754891944252025</stp>
        <tr r="S54" s="12"/>
      </tp>
      <tp t="e">
        <v>#N/A</v>
        <stp/>
        <stp>BDH|6536875039910398549</stp>
        <tr r="O13" s="17"/>
        <tr r="O16" s="28"/>
      </tp>
      <tp t="e">
        <v>#N/A</v>
        <stp/>
        <stp>BDH|8881803289467411790</stp>
        <tr r="X50" s="34"/>
      </tp>
      <tp t="e">
        <v>#N/A</v>
        <stp/>
        <stp>BDH|9643042214425292585</stp>
        <tr r="U8" s="11"/>
      </tp>
      <tp t="e">
        <v>#N/A</v>
        <stp/>
        <stp>BDH|6622665149445425900</stp>
        <tr r="Y50" s="13"/>
      </tp>
      <tp t="e">
        <v>#N/A</v>
        <stp/>
        <stp>BDH|2277823864120122487</stp>
        <tr r="D69" s="12"/>
      </tp>
      <tp t="e">
        <v>#N/A</v>
        <stp/>
        <stp>BDH|1333532514764838915</stp>
        <tr r="D57" s="10"/>
        <tr r="D47" s="11"/>
        <tr r="D18" s="7"/>
        <tr r="F64" s="13"/>
      </tp>
      <tp t="e">
        <v>#N/A</v>
        <stp/>
        <stp>BDH|6007875176217942650</stp>
        <tr r="O18" s="5"/>
        <tr r="O37" s="6"/>
      </tp>
      <tp t="e">
        <v>#N/A</v>
        <stp/>
        <stp>BDH|6451886308327976104</stp>
        <tr r="T73" s="17"/>
      </tp>
      <tp t="e">
        <v>#N/A</v>
        <stp/>
        <stp>BDH|2368102178634566837</stp>
        <tr r="Z59" s="21"/>
        <tr r="Z37" s="25"/>
        <tr r="X31" s="4"/>
        <tr r="X52" s="11"/>
      </tp>
      <tp t="e">
        <v>#N/A</v>
        <stp/>
        <stp>BDH|8947176179407268183</stp>
        <tr r="Q31" s="25"/>
        <tr r="N14" s="5"/>
        <tr r="Q17" s="27"/>
      </tp>
      <tp t="e">
        <v>#N/A</v>
        <stp/>
        <stp>BDH|6903844412250318714</stp>
        <tr r="N97" s="12"/>
      </tp>
      <tp t="e">
        <v>#N/A</v>
        <stp/>
        <stp>BDH|9495334208237282505</stp>
        <tr r="U158" s="18"/>
      </tp>
      <tp t="e">
        <v>#N/A</v>
        <stp/>
        <stp>BDH|1147687741509514202</stp>
        <tr r="Q62" s="13"/>
      </tp>
      <tp t="e">
        <v>#N/A</v>
        <stp/>
        <stp>BDH|6284380927088285725</stp>
        <tr r="K21" s="24"/>
      </tp>
      <tp t="e">
        <v>#N/A</v>
        <stp/>
        <stp>BDH|7859363709239852524</stp>
        <tr r="N21" s="20"/>
      </tp>
      <tp t="e">
        <v>#N/A</v>
        <stp/>
        <stp>BDH|6881132675570794842</stp>
        <tr r="S35" s="6"/>
      </tp>
      <tp t="e">
        <v>#N/A</v>
        <stp/>
        <stp>BDH|8772957007141151890</stp>
        <tr r="Q47" s="18"/>
      </tp>
      <tp t="e">
        <v>#N/A</v>
        <stp/>
        <stp>BDH|1666811459587206316</stp>
        <tr r="E52" s="18"/>
      </tp>
      <tp t="e">
        <v>#N/A</v>
        <stp/>
        <stp>BDH|2725808953153084497</stp>
        <tr r="W174" s="18"/>
      </tp>
      <tp t="e">
        <v>#N/A</v>
        <stp/>
        <stp>BDH|6153621068749321756</stp>
        <tr r="C102" s="12"/>
      </tp>
      <tp t="e">
        <v>#N/A</v>
        <stp/>
        <stp>BDH|9575072572187416193</stp>
        <tr r="N20" s="26"/>
      </tp>
      <tp t="e">
        <v>#N/A</v>
        <stp/>
        <stp>BDH|9900835066207468857</stp>
        <tr r="H12" s="10"/>
      </tp>
      <tp t="e">
        <v>#N/A</v>
        <stp/>
        <stp>BDH|4415057319338492515</stp>
        <tr r="G17" s="24"/>
      </tp>
      <tp t="e">
        <v>#N/A</v>
        <stp/>
        <stp>BDH|7028406627188356199</stp>
        <tr r="D69" s="17"/>
      </tp>
      <tp t="e">
        <v>#N/A</v>
        <stp/>
        <stp>BDH|3843524068330685893</stp>
        <tr r="N75" s="12"/>
      </tp>
      <tp t="e">
        <v>#N/A</v>
        <stp/>
        <stp>BDH|3524428005296928961</stp>
        <tr r="F31" s="12"/>
      </tp>
      <tp t="e">
        <v>#N/A</v>
        <stp/>
        <stp>BDH|8833325306957943480</stp>
        <tr r="T51" s="13"/>
      </tp>
      <tp t="e">
        <v>#N/A</v>
        <stp/>
        <stp>BDH|9747159593191939855</stp>
        <tr r="I16" s="10"/>
      </tp>
      <tp t="e">
        <v>#N/A</v>
        <stp/>
        <stp>BDH|8769130597801762992</stp>
        <tr r="O27" s="25"/>
        <tr r="O13" s="27"/>
      </tp>
      <tp t="e">
        <v>#N/A</v>
        <stp/>
        <stp>BDH|1910238846527710867</stp>
        <tr r="T9" s="3"/>
        <tr r="R51" s="10"/>
        <tr r="R41" s="11"/>
        <tr r="R14" s="7"/>
      </tp>
      <tp t="e">
        <v>#N/A</v>
        <stp/>
        <stp>BDH|7286079063701825839</stp>
        <tr r="T33" s="5"/>
      </tp>
      <tp t="e">
        <v>#N/A</v>
        <stp/>
        <stp>BDH|3128974513617897404</stp>
        <tr r="F45" s="18"/>
      </tp>
      <tp t="e">
        <v>#N/A</v>
        <stp/>
        <stp>BDH|5106844446262883362</stp>
        <tr r="F19" s="11"/>
      </tp>
      <tp t="e">
        <v>#N/A</v>
        <stp/>
        <stp>BDH|2377215837082091984</stp>
        <tr r="F26" s="7"/>
      </tp>
      <tp t="e">
        <v>#N/A</v>
        <stp/>
        <stp>BDH|2591841754527864004</stp>
        <tr r="J11" s="14"/>
      </tp>
      <tp t="e">
        <v>#N/A</v>
        <stp/>
        <stp>BDH|4139847019013326629</stp>
        <tr r="D17" s="29"/>
        <tr r="D40" s="29"/>
      </tp>
      <tp t="e">
        <v>#N/A</v>
        <stp/>
        <stp>BDH|8292359882638096380</stp>
        <tr r="W79" s="12"/>
      </tp>
      <tp t="e">
        <v>#N/A</v>
        <stp/>
        <stp>BDH|8593972110411649994</stp>
        <tr r="O11" s="28"/>
      </tp>
      <tp t="e">
        <v>#N/A</v>
        <stp/>
        <stp>BDH|7188333910769705482</stp>
        <tr r="S105" s="18"/>
      </tp>
      <tp t="e">
        <v>#N/A</v>
        <stp/>
        <stp>BDH|5590660977719017591</stp>
        <tr r="Z25" s="26"/>
      </tp>
      <tp t="e">
        <v>#N/A</v>
        <stp/>
        <stp>BDH|1149909147554108059</stp>
        <tr r="H21" s="11"/>
      </tp>
      <tp t="e">
        <v>#N/A</v>
        <stp/>
        <stp>BDH|9347939252898543550</stp>
        <tr r="G34" s="6"/>
      </tp>
      <tp t="e">
        <v>#N/A</v>
        <stp/>
        <stp>BDH|3714460163489368033</stp>
        <tr r="M34" s="10"/>
        <tr r="M24" s="11"/>
      </tp>
      <tp t="e">
        <v>#N/A</v>
        <stp/>
        <stp>BDH|2794953076636781214</stp>
        <tr r="L17" s="22"/>
      </tp>
      <tp t="e">
        <v>#N/A</v>
        <stp/>
        <stp>BDH|6453375183255064024</stp>
        <tr r="AA170" s="18"/>
      </tp>
      <tp t="e">
        <v>#N/A</v>
        <stp/>
        <stp>BDH|6397361052130208879</stp>
        <tr r="T10" s="2"/>
        <tr r="S11" s="5"/>
        <tr r="S51" s="6"/>
        <tr r="U33" s="29"/>
        <tr r="U42" s="29"/>
      </tp>
      <tp t="e">
        <v>#N/A</v>
        <stp/>
        <stp>BDH|1207946846202264602</stp>
        <tr r="Q39" s="4"/>
        <tr r="Q66" s="10"/>
      </tp>
      <tp t="e">
        <v>#N/A</v>
        <stp/>
        <stp>BDH|9372742874674946587</stp>
        <tr r="R64" s="17"/>
      </tp>
      <tp t="e">
        <v>#N/A</v>
        <stp/>
        <stp>BDH|7925444093256554492</stp>
        <tr r="R195" s="18"/>
      </tp>
      <tp t="e">
        <v>#N/A</v>
        <stp/>
        <stp>BDH|9502685708390609715</stp>
        <tr r="O80" s="12"/>
      </tp>
      <tp t="e">
        <v>#N/A</v>
        <stp/>
        <stp>BDH|5141541597639254825</stp>
        <tr r="Q161" s="18"/>
      </tp>
      <tp t="e">
        <v>#N/A</v>
        <stp/>
        <stp>BDH|3563698563539998241</stp>
        <tr r="G16" s="34"/>
      </tp>
      <tp t="e">
        <v>#N/A</v>
        <stp/>
        <stp>BDH|3643054747388082768</stp>
        <tr r="I32" s="34"/>
      </tp>
      <tp t="e">
        <v>#N/A</v>
        <stp/>
        <stp>BDH|5418966131482689578</stp>
        <tr r="X17" s="20"/>
      </tp>
      <tp t="e">
        <v>#N/A</v>
        <stp/>
        <stp>BDH|8147519177187396566</stp>
        <tr r="S144" s="18"/>
      </tp>
      <tp t="e">
        <v>#N/A</v>
        <stp/>
        <stp>BDH|7662285814659866500</stp>
        <tr r="Z105" s="18"/>
      </tp>
      <tp t="e">
        <v>#N/A</v>
        <stp/>
        <stp>BDH|4720749793932089028</stp>
        <tr r="K38" s="6"/>
      </tp>
      <tp t="e">
        <v>#N/A</v>
        <stp/>
        <stp>BDH|9263398143654883225</stp>
        <tr r="F38" s="18"/>
      </tp>
      <tp t="e">
        <v>#N/A</v>
        <stp/>
        <stp>BDH|4900884402154495058</stp>
        <tr r="P33" s="14"/>
      </tp>
      <tp t="e">
        <v>#N/A</v>
        <stp/>
        <stp>BDH|2298362607801628875</stp>
        <tr r="W21" s="22"/>
      </tp>
      <tp t="e">
        <v>#N/A</v>
        <stp/>
        <stp>BDH|4715518151969748520</stp>
        <tr r="Q101" s="12"/>
      </tp>
      <tp t="e">
        <v>#N/A</v>
        <stp/>
        <stp>BDH|2130817215754318745</stp>
        <tr r="U55" s="24"/>
      </tp>
      <tp t="e">
        <v>#N/A</v>
        <stp/>
        <stp>BDH|7479358222159516748</stp>
        <tr r="N174" s="18"/>
      </tp>
      <tp t="e">
        <v>#N/A</v>
        <stp/>
        <stp>BDH|8397736725734579128</stp>
        <tr r="X46" s="17"/>
      </tp>
      <tp t="e">
        <v>#N/A</v>
        <stp/>
        <stp>BDH|1264167498600806161</stp>
        <tr r="Y21" s="34"/>
      </tp>
      <tp t="e">
        <v>#N/A</v>
        <stp/>
        <stp>BDH|9724006043594711116</stp>
        <tr r="R28" s="22"/>
      </tp>
      <tp t="e">
        <v>#N/A</v>
        <stp/>
        <stp>BDH|6056819202697987184</stp>
        <tr r="C24" s="20"/>
      </tp>
      <tp t="e">
        <v>#N/A</v>
        <stp/>
        <stp>BDH|9172264285983037800</stp>
        <tr r="T10" s="11"/>
      </tp>
      <tp t="e">
        <v>#N/A</v>
        <stp/>
        <stp>BDH|3740786099056731339</stp>
        <tr r="Z38" s="18"/>
      </tp>
      <tp t="e">
        <v>#N/A</v>
        <stp/>
        <stp>BDH|1097925163270021634</stp>
        <tr r="R70" s="13"/>
      </tp>
      <tp t="e">
        <v>#N/A</v>
        <stp/>
        <stp>BDH|5391294669130665972</stp>
        <tr r="C49" s="13"/>
      </tp>
      <tp t="e">
        <v>#N/A</v>
        <stp/>
        <stp>BDH|9873489076726231461</stp>
        <tr r="Q19" s="9"/>
      </tp>
      <tp t="e">
        <v>#N/A</v>
        <stp/>
        <stp>BDH|2112106264545097870</stp>
        <tr r="G38" s="6"/>
      </tp>
      <tp t="e">
        <v>#N/A</v>
        <stp/>
        <stp>BDH|4044286150498991334</stp>
        <tr r="U175" s="18"/>
      </tp>
      <tp t="e">
        <v>#N/A</v>
        <stp/>
        <stp>BDH|8457276569942039683</stp>
        <tr r="S54" s="11"/>
      </tp>
      <tp t="e">
        <v>#N/A</v>
        <stp/>
        <stp>BDH|8230568560023347052</stp>
        <tr r="W11" s="28"/>
      </tp>
      <tp t="e">
        <v>#N/A</v>
        <stp/>
        <stp>BDH|4471667486966678403</stp>
        <tr r="V22" s="10"/>
      </tp>
      <tp t="e">
        <v>#N/A</v>
        <stp/>
        <stp>BDH|9453549558387375695</stp>
        <tr r="O59" s="34"/>
      </tp>
      <tp t="e">
        <v>#N/A</v>
        <stp/>
        <stp>BDH|3641833132431186147</stp>
        <tr r="U34" s="9"/>
      </tp>
      <tp t="e">
        <v>#N/A</v>
        <stp/>
        <stp>BDH|7683769330848322317</stp>
        <tr r="T66" s="12"/>
      </tp>
      <tp t="e">
        <v>#N/A</v>
        <stp/>
        <stp>BDH|8270118975484477200</stp>
        <tr r="R27" s="34"/>
      </tp>
      <tp t="e">
        <v>#N/A</v>
        <stp/>
        <stp>BDH|6079033449918120293</stp>
        <tr r="R136" s="18"/>
      </tp>
      <tp t="e">
        <v>#N/A</v>
        <stp/>
        <stp>BDH|2038270171249278668</stp>
        <tr r="F37" s="18"/>
      </tp>
      <tp t="e">
        <v>#N/A</v>
        <stp/>
        <stp>BDH|7615444263868111522</stp>
        <tr r="I19" s="18"/>
      </tp>
      <tp t="e">
        <v>#N/A</v>
        <stp/>
        <stp>BDH|9072897173167885907</stp>
        <tr r="Y12" s="26"/>
      </tp>
      <tp t="e">
        <v>#N/A</v>
        <stp/>
        <stp>BDH|2696277701261356917</stp>
        <tr r="U99" s="18"/>
      </tp>
      <tp t="e">
        <v>#N/A</v>
        <stp/>
        <stp>BDH|5242453612308551030</stp>
        <tr r="U35" s="21"/>
      </tp>
      <tp t="e">
        <v>#N/A</v>
        <stp/>
        <stp>BDH|9023353558640742793</stp>
        <tr r="F95" s="18"/>
      </tp>
      <tp t="e">
        <v>#N/A</v>
        <stp/>
        <stp>BDH|9818459636271139799</stp>
        <tr r="AA23" s="30"/>
        <tr r="AA25" s="23"/>
      </tp>
      <tp t="e">
        <v>#N/A</v>
        <stp/>
        <stp>BDH|4457050785185140160</stp>
        <tr r="S110" s="18"/>
      </tp>
      <tp t="e">
        <v>#N/A</v>
        <stp/>
        <stp>BDH|9454516400560065463</stp>
        <tr r="R14" s="13"/>
      </tp>
      <tp t="e">
        <v>#N/A</v>
        <stp/>
        <stp>BDH|8777467477125407613</stp>
        <tr r="I61" s="34"/>
      </tp>
      <tp t="e">
        <v>#N/A</v>
        <stp/>
        <stp>BDH|3482678374363639922</stp>
        <tr r="E92" s="18"/>
      </tp>
      <tp t="e">
        <v>#N/A</v>
        <stp/>
        <stp>BDH|1723999422226941468</stp>
        <tr r="L211" s="18"/>
      </tp>
      <tp t="e">
        <v>#N/A</v>
        <stp/>
        <stp>BDH|6132272696096275313</stp>
        <tr r="L12" s="18"/>
      </tp>
      <tp t="e">
        <v>#N/A</v>
        <stp/>
        <stp>BDH|9647934687586210631</stp>
        <tr r="G9" s="26"/>
      </tp>
      <tp t="e">
        <v>#N/A</v>
        <stp/>
        <stp>BDH|5632374967180477816</stp>
        <tr r="K45" s="12"/>
      </tp>
      <tp t="e">
        <v>#N/A</v>
        <stp/>
        <stp>BDH|8376301270067913390</stp>
        <tr r="V154" s="18"/>
      </tp>
      <tp t="e">
        <v>#N/A</v>
        <stp/>
        <stp>BDH|9882268932710621092</stp>
        <tr r="R77" s="24"/>
      </tp>
      <tp t="e">
        <v>#N/A</v>
        <stp/>
        <stp>BDH|9498669667900499126</stp>
        <tr r="Z62" s="34"/>
      </tp>
      <tp t="e">
        <v>#N/A</v>
        <stp/>
        <stp>BDH|2298533681097153026</stp>
        <tr r="L92" s="17"/>
        <tr r="L7" s="27"/>
      </tp>
      <tp t="e">
        <v>#N/A</v>
        <stp/>
        <stp>BDH|8652755439921821512</stp>
        <tr r="Z203" s="18"/>
      </tp>
      <tp t="e">
        <v>#N/A</v>
        <stp/>
        <stp>BDH|1930923424460452289</stp>
        <tr r="H58" s="24"/>
      </tp>
      <tp t="e">
        <v>#N/A</v>
        <stp/>
        <stp>BDH|9355177111361789011</stp>
        <tr r="Q29" s="10"/>
        <tr r="S38" s="13"/>
      </tp>
      <tp t="e">
        <v>#N/A</v>
        <stp/>
        <stp>BDH|8324342266204588171</stp>
        <tr r="S72" s="24"/>
      </tp>
      <tp t="e">
        <v>#N/A</v>
        <stp/>
        <stp>BDH|8666610495978712764</stp>
        <tr r="D104" s="18"/>
      </tp>
      <tp t="e">
        <v>#N/A</v>
        <stp/>
        <stp>BDH|8954391534125372548</stp>
        <tr r="AA42" s="24"/>
      </tp>
      <tp t="e">
        <v>#N/A</v>
        <stp/>
        <stp>BDH|9615424160223526028</stp>
        <tr r="S65" s="17"/>
      </tp>
      <tp t="e">
        <v>#N/A</v>
        <stp/>
        <stp>BDH|3669708217055739851</stp>
        <tr r="R69" s="34"/>
      </tp>
      <tp t="e">
        <v>#N/A</v>
        <stp/>
        <stp>BDH|7962356713414897941</stp>
        <tr r="J76" s="17"/>
        <tr r="G9" s="5"/>
        <tr r="G9" s="9"/>
      </tp>
      <tp t="e">
        <v>#N/A</v>
        <stp/>
        <stp>BDH|7478419597242901080</stp>
        <tr r="W49" s="12"/>
      </tp>
      <tp t="e">
        <v>#N/A</v>
        <stp/>
        <stp>BDH|7269661452438385467</stp>
        <tr r="AA22" s="24"/>
      </tp>
      <tp t="e">
        <v>#N/A</v>
        <stp/>
        <stp>BDH|6693072768121922937</stp>
        <tr r="I32" s="24"/>
      </tp>
      <tp t="e">
        <v>#N/A</v>
        <stp/>
        <stp>BDH|6556088551722954960</stp>
        <tr r="W66" s="21"/>
        <tr r="T27" s="6"/>
      </tp>
      <tp t="e">
        <v>#N/A</v>
        <stp/>
        <stp>BDH|6115838742233647150</stp>
        <tr r="T52" s="12"/>
      </tp>
      <tp t="e">
        <v>#N/A</v>
        <stp/>
        <stp>BDH|1093410853029045112</stp>
        <tr r="I10" s="11"/>
      </tp>
      <tp t="e">
        <v>#N/A</v>
        <stp/>
        <stp>BDH|4359971314340382400</stp>
        <tr r="F14" s="17"/>
        <tr r="F17" s="28"/>
      </tp>
      <tp t="e">
        <v>#N/A</v>
        <stp/>
        <stp>BDH|8723012457842069721</stp>
        <tr r="Y66" s="13"/>
      </tp>
      <tp t="e">
        <v>#N/A</v>
        <stp/>
        <stp>BDH|6021797236243505999</stp>
        <tr r="Z28" s="22"/>
      </tp>
      <tp t="e">
        <v>#N/A</v>
        <stp/>
        <stp>BDH|9182322926501478126</stp>
        <tr r="J16" s="14"/>
      </tp>
      <tp t="e">
        <v>#N/A</v>
        <stp/>
        <stp>BDH|9656547698535816827</stp>
        <tr r="K23" s="22"/>
      </tp>
      <tp t="e">
        <v>#N/A</v>
        <stp/>
        <stp>BDH|2187954506936209504</stp>
        <tr r="T45" s="4"/>
        <tr r="T33" s="10"/>
        <tr r="T23" s="11"/>
        <tr r="V33" s="13"/>
      </tp>
      <tp t="e">
        <v>#N/A</v>
        <stp/>
        <stp>BDH|9349715513453276432</stp>
        <tr r="G113" s="18"/>
      </tp>
      <tp t="e">
        <v>#N/A</v>
        <stp/>
        <stp>BDH|3339512313368114703</stp>
        <tr r="M22" s="10"/>
      </tp>
      <tp t="e">
        <v>#N/A</v>
        <stp/>
        <stp>BDH|5466315882535515327</stp>
        <tr r="X69" s="12"/>
      </tp>
      <tp t="e">
        <v>#N/A</v>
        <stp/>
        <stp>BDH|2095721081705581064</stp>
        <tr r="G20" s="22"/>
      </tp>
      <tp t="e">
        <v>#N/A</v>
        <stp/>
        <stp>BDH|7640794752448916546</stp>
        <tr r="G15" s="34"/>
      </tp>
      <tp t="e">
        <v>#N/A</v>
        <stp/>
        <stp>BDH|9998980471926809983</stp>
        <tr r="S15" s="21"/>
      </tp>
      <tp t="e">
        <v>#N/A</v>
        <stp/>
        <stp>BDH|2141977312563024146</stp>
        <tr r="U40" s="17"/>
      </tp>
      <tp t="e">
        <v>#N/A</v>
        <stp/>
        <stp>BDH|6105161848409725285</stp>
        <tr r="I13" s="26"/>
      </tp>
      <tp t="e">
        <v>#N/A</v>
        <stp/>
        <stp>BDH|3513971395333558824</stp>
        <tr r="R43" s="4"/>
      </tp>
      <tp t="e">
        <v>#N/A</v>
        <stp/>
        <stp>BDH|8400816634099354221</stp>
        <tr r="K12" s="26"/>
      </tp>
      <tp t="e">
        <v>#N/A</v>
        <stp/>
        <stp>BDH|1720672750289662361</stp>
        <tr r="L30" s="6"/>
      </tp>
      <tp t="e">
        <v>#N/A</v>
        <stp/>
        <stp>BDH|2820851958721441615</stp>
        <tr r="M17" s="34"/>
      </tp>
      <tp t="e">
        <v>#N/A</v>
        <stp/>
        <stp>BDH|6537160297067709136</stp>
        <tr r="C67" s="34"/>
      </tp>
      <tp t="e">
        <v>#N/A</v>
        <stp/>
        <stp>BDH|7993915909993478557</stp>
        <tr r="L22" s="10"/>
      </tp>
      <tp t="e">
        <v>#N/A</v>
        <stp/>
        <stp>BDH|4541731784725043622</stp>
        <tr r="O28" s="26"/>
      </tp>
      <tp t="e">
        <v>#N/A</v>
        <stp/>
        <stp>BDH|8927972349025466832</stp>
        <tr r="I40" s="12"/>
      </tp>
      <tp t="e">
        <v>#N/A</v>
        <stp/>
        <stp>BDH|2913862389282364853</stp>
        <tr r="W102" s="12"/>
      </tp>
      <tp t="e">
        <v>#N/A</v>
        <stp/>
        <stp>BDH|9713115156070438543</stp>
        <tr r="F24" s="14"/>
      </tp>
      <tp t="e">
        <v>#N/A</v>
        <stp/>
        <stp>BDH|7971104295143552490</stp>
        <tr r="AA45" s="18"/>
      </tp>
      <tp t="e">
        <v>#N/A</v>
        <stp/>
        <stp>BDH|9727546444224556424</stp>
        <tr r="W15" s="10"/>
      </tp>
      <tp t="e">
        <v>#N/A</v>
        <stp/>
        <stp>BDH|1011901735221737226</stp>
        <tr r="D38" s="6"/>
      </tp>
      <tp t="e">
        <v>#N/A</v>
        <stp/>
        <stp>BDH|8954085246266207254</stp>
        <tr r="C30" s="18"/>
      </tp>
      <tp t="e">
        <v>#N/A</v>
        <stp/>
        <stp>BDH|7945907546341945362</stp>
        <tr r="V52" s="4"/>
        <tr r="X8" s="3"/>
        <tr r="V44" s="10"/>
        <tr r="V34" s="11"/>
        <tr r="X45" s="13"/>
      </tp>
      <tp t="e">
        <v>#N/A</v>
        <stp/>
        <stp>BDH|9579118396451342819</stp>
        <tr r="Q22" s="14"/>
      </tp>
      <tp t="e">
        <v>#N/A</v>
        <stp/>
        <stp>BDH|9677076427837556435</stp>
        <tr r="M10" s="2"/>
        <tr r="L11" s="5"/>
        <tr r="L51" s="6"/>
        <tr r="N33" s="29"/>
        <tr r="N42" s="29"/>
      </tp>
      <tp t="e">
        <v>#N/A</v>
        <stp/>
        <stp>BDH|7465968539344967123</stp>
        <tr r="C9" s="17"/>
      </tp>
      <tp t="e">
        <v>#N/A</v>
        <stp/>
        <stp>BDH|9949449377706319493</stp>
        <tr r="G61" s="18"/>
      </tp>
      <tp t="e">
        <v>#N/A</v>
        <stp/>
        <stp>BDH|2748229525158123216</stp>
        <tr r="Y56" s="18"/>
      </tp>
      <tp t="e">
        <v>#N/A</v>
        <stp/>
        <stp>BDH|2791445322485291939</stp>
        <tr r="I64" s="34"/>
      </tp>
      <tp t="e">
        <v>#N/A</v>
        <stp/>
        <stp>BDH|9378146841622547638</stp>
        <tr r="K15" s="34"/>
      </tp>
      <tp t="e">
        <v>#N/A</v>
        <stp/>
        <stp>BDH|1196026393810892085</stp>
        <tr r="E153" s="18"/>
      </tp>
      <tp t="e">
        <v>#N/A</v>
        <stp/>
        <stp>BDH|3213045235230083835</stp>
        <tr r="X90" s="18"/>
      </tp>
      <tp t="e">
        <v>#N/A</v>
        <stp/>
        <stp>BDH|9517633170352538239</stp>
        <tr r="F18" s="34"/>
      </tp>
      <tp t="e">
        <v>#N/A</v>
        <stp/>
        <stp>BDH|5797176443279549163</stp>
        <tr r="E112" s="18"/>
      </tp>
      <tp t="e">
        <v>#N/A</v>
        <stp/>
        <stp>BDH|5811909942403215387</stp>
        <tr r="T10" s="23"/>
      </tp>
      <tp t="e">
        <v>#N/A</v>
        <stp/>
        <stp>BDH|7587750191636160705</stp>
        <tr r="P51" s="18"/>
      </tp>
      <tp t="e">
        <v>#N/A</v>
        <stp/>
        <stp>BDH|6327565502842041976</stp>
        <tr r="C176" s="18"/>
      </tp>
      <tp t="e">
        <v>#N/A</v>
        <stp/>
        <stp>BDH|9527068587258026147</stp>
        <tr r="Q158" s="18"/>
      </tp>
      <tp t="e">
        <v>#N/A</v>
        <stp/>
        <stp>BDH|9183767666681853191</stp>
        <tr r="R47" s="10"/>
        <tr r="R37" s="11"/>
      </tp>
      <tp t="e">
        <v>#N/A</v>
        <stp/>
        <stp>BDH|9773141721821534371</stp>
        <tr r="T13" s="9"/>
      </tp>
      <tp t="e">
        <v>#N/A</v>
        <stp/>
        <stp>BDH|9371604527755719039</stp>
        <tr r="J18" s="6"/>
      </tp>
      <tp t="e">
        <v>#N/A</v>
        <stp/>
        <stp>BDH|9103794712651878629</stp>
        <tr r="G32" s="21"/>
      </tp>
      <tp t="e">
        <v>#N/A</v>
        <stp/>
        <stp>BDH|4477740633468685054</stp>
        <tr r="M17" s="18"/>
      </tp>
      <tp t="e">
        <v>#N/A</v>
        <stp/>
        <stp>BDH|1323909031555231603</stp>
        <tr r="X21" s="9"/>
      </tp>
      <tp t="e">
        <v>#N/A</v>
        <stp/>
        <stp>BDH|7087373293440092548</stp>
        <tr r="Q55" s="21"/>
      </tp>
      <tp t="e">
        <v>#N/A</v>
        <stp/>
        <stp>BDH|1429679895017779112</stp>
        <tr r="U47" s="34"/>
      </tp>
      <tp t="e">
        <v>#N/A</v>
        <stp/>
        <stp>BDH|8432492544376815602</stp>
        <tr r="D18" s="25"/>
      </tp>
      <tp t="e">
        <v>#N/A</v>
        <stp/>
        <stp>BDH|3468978822736082600</stp>
        <tr r="T101" s="18"/>
      </tp>
      <tp t="e">
        <v>#N/A</v>
        <stp/>
        <stp>BDH|4695923456813153326</stp>
        <tr r="X52" s="18"/>
      </tp>
      <tp t="e">
        <v>#N/A</v>
        <stp/>
        <stp>BDH|9915411249518351930</stp>
        <tr r="Q65" s="12"/>
      </tp>
      <tp t="e">
        <v>#N/A</v>
        <stp/>
        <stp>BDH|2381759621008039762</stp>
        <tr r="Z42" s="34"/>
      </tp>
      <tp t="e">
        <v>#N/A</v>
        <stp/>
        <stp>BDH|9053097885628843150</stp>
        <tr r="X77" s="34"/>
      </tp>
      <tp t="e">
        <v>#N/A</v>
        <stp/>
        <stp>BDH|9683459895264425832</stp>
        <tr r="H91" s="12"/>
      </tp>
      <tp t="e">
        <v>#N/A</v>
        <stp/>
        <stp>BDH|6475171508549313690</stp>
        <tr r="Z67" s="34"/>
      </tp>
      <tp t="e">
        <v>#N/A</v>
        <stp/>
        <stp>BDH|9608925298739509880</stp>
        <tr r="J19" s="10"/>
      </tp>
      <tp t="e">
        <v>#N/A</v>
        <stp/>
        <stp>BDH|3739000857307748966</stp>
        <tr r="F30" s="10"/>
        <tr r="H39" s="13"/>
      </tp>
      <tp t="e">
        <v>#N/A</v>
        <stp/>
        <stp>BDH|1058443997193362713</stp>
        <tr r="U85" s="17"/>
      </tp>
      <tp t="e">
        <v>#N/A</v>
        <stp/>
        <stp>BDH|2920925447233922442</stp>
        <tr r="P71" s="13"/>
      </tp>
      <tp t="e">
        <v>#N/A</v>
        <stp/>
        <stp>BDH|3013810362564216100</stp>
        <tr r="F22" s="22"/>
      </tp>
      <tp t="e">
        <v>#N/A</v>
        <stp/>
        <stp>BDH|9960277518694048677</stp>
        <tr r="K65" s="18"/>
      </tp>
      <tp t="e">
        <v>#N/A</v>
        <stp/>
        <stp>BDH|4599885059883660236</stp>
        <tr r="S64" s="12"/>
      </tp>
      <tp t="e">
        <v>#N/A</v>
        <stp/>
        <stp>BDH|6540820252241078245</stp>
        <tr r="I68" s="24"/>
      </tp>
      <tp t="e">
        <v>#N/A</v>
        <stp/>
        <stp>BDH|8403043955534477105</stp>
        <tr r="I23" s="6"/>
      </tp>
      <tp t="e">
        <v>#N/A</v>
        <stp/>
        <stp>BDH|6506865232294544157</stp>
        <tr r="F19" s="24"/>
      </tp>
      <tp t="e">
        <v>#N/A</v>
        <stp/>
        <stp>BDH|3323188221660983823</stp>
        <tr r="J23" s="21"/>
      </tp>
      <tp t="e">
        <v>#N/A</v>
        <stp/>
        <stp>BDH|1550404259240961842</stp>
        <tr r="N91" s="12"/>
      </tp>
      <tp t="e">
        <v>#N/A</v>
        <stp/>
        <stp>BDH|8752640592447317836</stp>
        <tr r="Q44" s="34"/>
      </tp>
      <tp t="e">
        <v>#N/A</v>
        <stp/>
        <stp>BDH|3251697768869097225</stp>
        <tr r="U56" s="18"/>
      </tp>
      <tp t="e">
        <v>#N/A</v>
        <stp/>
        <stp>BDH|4327845774741753253</stp>
        <tr r="H21" s="27"/>
      </tp>
      <tp t="e">
        <v>#N/A</v>
        <stp/>
        <stp>BDH|9203500297669695429</stp>
        <tr r="Q21" s="11"/>
      </tp>
      <tp t="e">
        <v>#N/A</v>
        <stp/>
        <stp>BDH|4671036385676562248</stp>
        <tr r="P121" s="18"/>
        <tr r="P9" s="20"/>
      </tp>
      <tp t="e">
        <v>#N/A</v>
        <stp/>
        <stp>BDH|6273019020078413466</stp>
        <tr r="I25" s="9"/>
      </tp>
      <tp t="e">
        <v>#N/A</v>
        <stp/>
        <stp>BDH|2370096317329430288</stp>
        <tr r="C6" s="28"/>
      </tp>
      <tp t="e">
        <v>#N/A</v>
        <stp/>
        <stp>BDH|1642749620474771847</stp>
        <tr r="O32" s="21"/>
      </tp>
      <tp t="e">
        <v>#N/A</v>
        <stp/>
        <stp>BDH|3586150780335961784</stp>
        <tr r="Q48" s="17"/>
      </tp>
      <tp t="e">
        <v>#N/A</v>
        <stp/>
        <stp>BDH|8326473620125104348</stp>
        <tr r="E18" s="13"/>
      </tp>
      <tp t="e">
        <v>#N/A</v>
        <stp/>
        <stp>BDH|6579891922476936269</stp>
        <tr r="Y31" s="10"/>
        <tr r="AA40" s="13"/>
      </tp>
      <tp t="e">
        <v>#N/A</v>
        <stp/>
        <stp>BDH|5628935819087485297</stp>
        <tr r="C74" s="34"/>
      </tp>
      <tp t="e">
        <v>#N/A</v>
        <stp/>
        <stp>BDH|8760380504741818228</stp>
        <tr r="K177" s="18"/>
      </tp>
      <tp t="e">
        <v>#N/A</v>
        <stp/>
        <stp>BDH|8484669138693885634</stp>
        <tr r="K38" s="26"/>
      </tp>
      <tp t="e">
        <v>#N/A</v>
        <stp/>
        <stp>BDH|6762397197501869509</stp>
        <tr r="X48" s="6"/>
        <tr r="Z9" s="8"/>
      </tp>
      <tp t="e">
        <v>#N/A</v>
        <stp/>
        <stp>BDH|8793250672215230032</stp>
        <tr r="O25" s="2"/>
        <tr r="Q62" s="21"/>
      </tp>
      <tp t="e">
        <v>#N/A</v>
        <stp/>
        <stp>BDH|1405500546539192126</stp>
        <tr r="Q75" s="24"/>
      </tp>
      <tp t="e">
        <v>#N/A</v>
        <stp/>
        <stp>BDH|9160691709953172414</stp>
        <tr r="T7" s="28"/>
      </tp>
      <tp t="e">
        <v>#N/A</v>
        <stp/>
        <stp>BDH|7791137806118104622</stp>
        <tr r="M47" s="22"/>
      </tp>
      <tp t="e">
        <v>#N/A</v>
        <stp/>
        <stp>BDH|8856353317802336081</stp>
        <tr r="R70" s="24"/>
      </tp>
      <tp t="e">
        <v>#N/A</v>
        <stp/>
        <stp>BDH|9426351371565898093</stp>
        <tr r="W17" s="29"/>
        <tr r="W40" s="29"/>
      </tp>
      <tp t="e">
        <v>#N/A</v>
        <stp/>
        <stp>BDH|3041760855190527978</stp>
        <tr r="S33" s="17"/>
      </tp>
      <tp t="e">
        <v>#N/A</v>
        <stp/>
        <stp>BDH|1020229840937588865</stp>
        <tr r="E71" s="17"/>
      </tp>
      <tp t="e">
        <v>#N/A</v>
        <stp/>
        <stp>BDH|5064206780295459258</stp>
        <tr r="Q9" s="22"/>
      </tp>
      <tp t="e">
        <v>#N/A</v>
        <stp/>
        <stp>BDH|8028459342311259142</stp>
        <tr r="E29" s="13"/>
      </tp>
      <tp t="e">
        <v>#N/A</v>
        <stp/>
        <stp>BDH|7694980926676196289</stp>
        <tr r="C8" s="23"/>
      </tp>
      <tp t="e">
        <v>#N/A</v>
        <stp/>
        <stp>BDH|9081144407741058121</stp>
        <tr r="R68" s="17"/>
        <tr r="O8" s="5"/>
        <tr r="O8" s="9"/>
      </tp>
      <tp t="e">
        <v>#N/A</v>
        <stp/>
        <stp>BDH|3597389297193967228</stp>
        <tr r="Q62" s="12"/>
      </tp>
      <tp t="e">
        <v>#N/A</v>
        <stp/>
        <stp>BDH|1820081331812011804</stp>
        <tr r="J84" s="18"/>
      </tp>
      <tp t="e">
        <v>#N/A</v>
        <stp/>
        <stp>BDH|6453266207815443901</stp>
        <tr r="R43" s="22"/>
      </tp>
      <tp t="e">
        <v>#N/A</v>
        <stp/>
        <stp>BDH|2674403082070164633</stp>
        <tr r="G93" s="12"/>
      </tp>
      <tp t="e">
        <v>#N/A</v>
        <stp/>
        <stp>BDH|5856268201949161683</stp>
        <tr r="AA179" s="18"/>
      </tp>
      <tp t="e">
        <v>#N/A</v>
        <stp/>
        <stp>BDH|1595144053059093445</stp>
        <tr r="Q78" s="12"/>
      </tp>
      <tp t="e">
        <v>#N/A</v>
        <stp/>
        <stp>BDH|7429664534963099907</stp>
        <tr r="M9" s="21"/>
      </tp>
      <tp t="e">
        <v>#N/A</v>
        <stp/>
        <stp>BDH|7041856459261922332</stp>
        <tr r="J32" s="5"/>
      </tp>
      <tp t="e">
        <v>#N/A</v>
        <stp/>
        <stp>BDH|3971974948360863686</stp>
        <tr r="K45" s="17"/>
      </tp>
      <tp t="e">
        <v>#N/A</v>
        <stp/>
        <stp>BDH|8765274670065681009</stp>
        <tr r="S11" s="24"/>
      </tp>
      <tp t="e">
        <v>#N/A</v>
        <stp/>
        <stp>BDH|3593818743025023210</stp>
        <tr r="Y211" s="18"/>
      </tp>
      <tp t="e">
        <v>#N/A</v>
        <stp/>
        <stp>BDH|9050833551745364974</stp>
        <tr r="C17" s="13"/>
      </tp>
      <tp t="e">
        <v>#N/A</v>
        <stp/>
        <stp>BDH|3476727480721636567</stp>
        <tr r="G30" s="17"/>
      </tp>
      <tp t="e">
        <v>#N/A</v>
        <stp/>
        <stp>BDH|5703157635176963983</stp>
        <tr r="W24" s="20"/>
      </tp>
      <tp t="e">
        <v>#N/A</v>
        <stp/>
        <stp>BDH|2477850640426710001</stp>
        <tr r="P12" s="26"/>
      </tp>
      <tp t="e">
        <v>#N/A</v>
        <stp/>
        <stp>BDH|9646893789507526652</stp>
        <tr r="X24" s="17"/>
      </tp>
      <tp t="e">
        <v>#N/A</v>
        <stp/>
        <stp>BDH|1410251527559301037</stp>
        <tr r="G100" s="18"/>
      </tp>
      <tp t="e">
        <v>#N/A</v>
        <stp/>
        <stp>BDH|5249086604235160894</stp>
        <tr r="D24" s="6"/>
      </tp>
      <tp t="e">
        <v>#N/A</v>
        <stp/>
        <stp>BDH|2502021257448649703</stp>
        <tr r="G37" s="17"/>
      </tp>
      <tp t="e">
        <v>#N/A</v>
        <stp/>
        <stp>BDH|9533430317682476630</stp>
        <tr r="Y11" s="7"/>
      </tp>
      <tp t="e">
        <v>#N/A</v>
        <stp/>
        <stp>BDH|9637727410554728351</stp>
        <tr r="I88" s="17"/>
      </tp>
      <tp t="e">
        <v>#N/A</v>
        <stp/>
        <stp>BDH|7466236631197332930</stp>
        <tr r="U33" s="24"/>
      </tp>
      <tp t="e">
        <v>#N/A</v>
        <stp/>
        <stp>BDH|6338965131324786058</stp>
        <tr r="E57" s="18"/>
      </tp>
      <tp t="e">
        <v>#N/A</v>
        <stp/>
        <stp>BDH|9313477169743968022</stp>
        <tr r="K161" s="18"/>
      </tp>
      <tp t="e">
        <v>#N/A</v>
        <stp/>
        <stp>BDH|5797112120796706879</stp>
        <tr r="S35" s="26"/>
      </tp>
      <tp t="e">
        <v>#N/A</v>
        <stp/>
        <stp>BDH|7618824172439061902</stp>
        <tr r="U20" s="17"/>
      </tp>
      <tp t="e">
        <v>#N/A</v>
        <stp/>
        <stp>BDH|3553849035407587777</stp>
        <tr r="L64" s="10"/>
      </tp>
      <tp t="e">
        <v>#N/A</v>
        <stp/>
        <stp>BDH|4245475717599324071</stp>
        <tr r="R96" s="18"/>
      </tp>
      <tp t="e">
        <v>#N/A</v>
        <stp/>
        <stp>BDH|3396310724623216928</stp>
        <tr r="S164" s="18"/>
      </tp>
      <tp t="e">
        <v>#N/A</v>
        <stp/>
        <stp>BDH|7591412796483029144</stp>
        <tr r="G74" s="18"/>
      </tp>
      <tp t="e">
        <v>#N/A</v>
        <stp/>
        <stp>BDH|9283853633918193232</stp>
        <tr r="X67" s="34"/>
      </tp>
      <tp t="e">
        <v>#N/A</v>
        <stp/>
        <stp>BDH|1241917113798049969</stp>
        <tr r="X50" s="17"/>
      </tp>
      <tp t="e">
        <v>#N/A</v>
        <stp/>
        <stp>BDH|4511549542728563501</stp>
        <tr r="W32" s="9"/>
      </tp>
      <tp t="e">
        <v>#N/A</v>
        <stp/>
        <stp>BDH|8694223830315398418</stp>
        <tr r="AA53" s="17"/>
      </tp>
      <tp t="e">
        <v>#N/A</v>
        <stp/>
        <stp>BDH|3508608194112644615</stp>
        <tr r="Y54" s="17"/>
      </tp>
      <tp t="e">
        <v>#N/A</v>
        <stp/>
        <stp>BDH|3768054670868737431</stp>
        <tr r="W41" s="17"/>
        <tr r="W9" s="25"/>
      </tp>
      <tp t="e">
        <v>#N/A</v>
        <stp/>
        <stp>BDH|4307901964655091616</stp>
        <tr r="U106" s="12"/>
      </tp>
      <tp t="e">
        <v>#N/A</v>
        <stp/>
        <stp>BDH|8457416714992788709</stp>
        <tr r="K26" s="13"/>
      </tp>
      <tp t="e">
        <v>#N/A</v>
        <stp/>
        <stp>BDH|7183821850807596503</stp>
        <tr r="C72" s="18"/>
      </tp>
      <tp t="e">
        <v>#N/A</v>
        <stp/>
        <stp>BDH|6333600694559348829</stp>
        <tr r="G72" s="24"/>
      </tp>
      <tp t="e">
        <v>#N/A</v>
        <stp/>
        <stp>BDH|7884186792395300276</stp>
        <tr r="U32" s="34"/>
      </tp>
      <tp t="e">
        <v>#N/A</v>
        <stp/>
        <stp>BDH|3461813273874940093</stp>
        <tr r="E67" s="10"/>
      </tp>
      <tp t="e">
        <v>#N/A</v>
        <stp/>
        <stp>BDH|1425759486412806495</stp>
        <tr r="R10" s="24"/>
      </tp>
      <tp t="e">
        <v>#N/A</v>
        <stp/>
        <stp>BDH|3771334893301694073</stp>
        <tr r="N52" s="12"/>
      </tp>
      <tp t="e">
        <v>#N/A</v>
        <stp/>
        <stp>BDH|3279722728846759895</stp>
        <tr r="R88" s="18"/>
      </tp>
      <tp t="e">
        <v>#N/A</v>
        <stp/>
        <stp>BDH|4700963267207754478</stp>
        <tr r="L47" s="6"/>
        <tr r="N6" s="8"/>
      </tp>
      <tp t="e">
        <v>#N/A</v>
        <stp/>
        <stp>BDH|3386486450649508387</stp>
        <tr r="S45" s="6"/>
      </tp>
      <tp t="e">
        <v>#N/A</v>
        <stp/>
        <stp>BDH|9296057837614428624</stp>
        <tr r="T45" s="24"/>
      </tp>
      <tp t="e">
        <v>#N/A</v>
        <stp/>
        <stp>BDH|9755833235663366957</stp>
        <tr r="L197" s="18"/>
      </tp>
      <tp t="e">
        <v>#N/A</v>
        <stp/>
        <stp>BDH|4482508157354678825</stp>
        <tr r="J88" s="24"/>
      </tp>
      <tp t="e">
        <v>#N/A</v>
        <stp/>
        <stp>BDH|1057145397848117959</stp>
        <tr r="J38" s="25"/>
      </tp>
      <tp t="e">
        <v>#N/A</v>
        <stp/>
        <stp>BDH|9751831821102564973</stp>
        <tr r="K91" s="12"/>
      </tp>
      <tp t="e">
        <v>#N/A</v>
        <stp/>
        <stp>BDH|4075824445704019405</stp>
        <tr r="V47" s="10"/>
        <tr r="V37" s="11"/>
      </tp>
      <tp t="e">
        <v>#N/A</v>
        <stp/>
        <stp>BDH|6079805554683532064</stp>
        <tr r="U19" s="26"/>
      </tp>
      <tp t="e">
        <v>#N/A</v>
        <stp/>
        <stp>BDH|9762271376145015114</stp>
        <tr r="D38" s="34"/>
      </tp>
      <tp t="e">
        <v>#N/A</v>
        <stp/>
        <stp>BDH|9298223425297626649</stp>
        <tr r="Q206" s="18"/>
      </tp>
      <tp t="e">
        <v>#N/A</v>
        <stp/>
        <stp>BDH|3287039094747349511</stp>
        <tr r="D13" s="18"/>
      </tp>
      <tp t="e">
        <v>#N/A</v>
        <stp/>
        <stp>BDH|1252827666444367322</stp>
        <tr r="D16" s="23"/>
      </tp>
      <tp t="e">
        <v>#N/A</v>
        <stp/>
        <stp>BDH|2720402783750103625</stp>
        <tr r="Q186" s="18"/>
      </tp>
      <tp t="e">
        <v>#N/A</v>
        <stp/>
        <stp>BDH|7622439467615068859</stp>
        <tr r="Y64" s="12"/>
      </tp>
      <tp t="e">
        <v>#N/A</v>
        <stp/>
        <stp>BDH|1630522202654712863</stp>
        <tr r="D99" s="12"/>
      </tp>
      <tp t="e">
        <v>#N/A</v>
        <stp/>
        <stp>BDH|7246990429381413513</stp>
        <tr r="L41" s="10"/>
        <tr r="L31" s="11"/>
      </tp>
      <tp t="e">
        <v>#N/A</v>
        <stp/>
        <stp>BDH|3843967120498171885</stp>
        <tr r="E57" s="12"/>
      </tp>
      <tp t="e">
        <v>#N/A</v>
        <stp/>
        <stp>BDH|5826854419760430476</stp>
        <tr r="G103" s="12"/>
      </tp>
      <tp t="e">
        <v>#N/A</v>
        <stp/>
        <stp>BDH|1382760485914402235</stp>
        <tr r="N79" s="34"/>
      </tp>
      <tp t="e">
        <v>#N/A</v>
        <stp/>
        <stp>BDH|1232621665160100937</stp>
        <tr r="C9" s="10"/>
      </tp>
      <tp t="e">
        <v>#N/A</v>
        <stp/>
        <stp>BDH|5657353268090962854</stp>
        <tr r="J59" s="17"/>
      </tp>
      <tp t="e">
        <v>#N/A</v>
        <stp/>
        <stp>BDH|2071829236761163028</stp>
        <tr r="AA88" s="24"/>
      </tp>
      <tp t="e">
        <v>#N/A</v>
        <stp/>
        <stp>BDH|4766355368580510980</stp>
        <tr r="G33" s="22"/>
      </tp>
      <tp t="e">
        <v>#N/A</v>
        <stp/>
        <stp>BDH|9483124769326843002</stp>
        <tr r="R27" s="21"/>
      </tp>
      <tp t="e">
        <v>#N/A</v>
        <stp/>
        <stp>BDH|4497882201054847026</stp>
        <tr r="G19" s="11"/>
      </tp>
      <tp t="e">
        <v>#N/A</v>
        <stp/>
        <stp>BDH|2269756156220426829</stp>
        <tr r="U30" s="17"/>
      </tp>
      <tp t="e">
        <v>#N/A</v>
        <stp/>
        <stp>BDH|1859197116589490046</stp>
        <tr r="I71" s="13"/>
      </tp>
      <tp t="e">
        <v>#N/A</v>
        <stp/>
        <stp>BDH|4091176837489500723</stp>
        <tr r="I7" s="28"/>
      </tp>
      <tp t="e">
        <v>#N/A</v>
        <stp/>
        <stp>BDH|7661472891841532327</stp>
        <tr r="Q20" s="10"/>
      </tp>
      <tp t="e">
        <v>#N/A</v>
        <stp/>
        <stp>BDH|8119492056067087693</stp>
        <tr r="V70" s="12"/>
      </tp>
      <tp t="e">
        <v>#N/A</v>
        <stp/>
        <stp>BDH|3150526150939325273</stp>
        <tr r="W19" s="18"/>
      </tp>
      <tp t="e">
        <v>#N/A</v>
        <stp/>
        <stp>BDH|9056404831391316758</stp>
        <tr r="L67" s="17"/>
        <tr r="L18" s="3"/>
      </tp>
      <tp t="e">
        <v>#N/A</v>
        <stp/>
        <stp>BDH|3725778690172057775</stp>
        <tr r="U30" s="25"/>
        <tr r="U16" s="27"/>
      </tp>
      <tp t="e">
        <v>#N/A</v>
        <stp/>
        <stp>BDH|7027815660114353558</stp>
        <tr r="Z25" s="22"/>
      </tp>
      <tp t="e">
        <v>#N/A</v>
        <stp/>
        <stp>BDH|2334207307681687951</stp>
        <tr r="N21" s="10"/>
      </tp>
      <tp t="e">
        <v>#N/A</v>
        <stp/>
        <stp>BDH|8015148934453103166</stp>
        <tr r="U23" s="22"/>
      </tp>
      <tp t="e">
        <v>#N/A</v>
        <stp/>
        <stp>BDH|1212360387421493301</stp>
        <tr r="H27" s="14"/>
      </tp>
      <tp t="e">
        <v>#N/A</v>
        <stp/>
        <stp>BDH|2604788488523161606</stp>
        <tr r="N88" s="17"/>
      </tp>
      <tp t="e">
        <v>#N/A</v>
        <stp/>
        <stp>BDH|1088511750688542137</stp>
        <tr r="J8" s="2"/>
      </tp>
      <tp t="e">
        <v>#N/A</v>
        <stp/>
        <stp>BDH|2381935661210644507</stp>
        <tr r="G25" s="12"/>
      </tp>
      <tp t="e">
        <v>#N/A</v>
        <stp/>
        <stp>BDH|8823041335775698681</stp>
        <tr r="L21" s="30"/>
      </tp>
      <tp t="e">
        <v>#N/A</v>
        <stp/>
        <stp>BDH|3953688039706965863</stp>
        <tr r="P14" s="12"/>
      </tp>
      <tp t="e">
        <v>#N/A</v>
        <stp/>
        <stp>BDH|2397459390912246532</stp>
        <tr r="L33" s="5"/>
      </tp>
      <tp t="e">
        <v>#N/A</v>
        <stp/>
        <stp>BDH|9590981999348041930</stp>
        <tr r="Z53" s="21"/>
      </tp>
      <tp t="e">
        <v>#N/A</v>
        <stp/>
        <stp>BDH|3991995905407468560</stp>
        <tr r="L19" s="34"/>
      </tp>
      <tp t="e">
        <v>#N/A</v>
        <stp/>
        <stp>BDH|3310701383666007278</stp>
        <tr r="U172" s="18"/>
      </tp>
      <tp t="e">
        <v>#N/A</v>
        <stp/>
        <stp>BDH|5735796199421375238</stp>
        <tr r="I97" s="12"/>
      </tp>
      <tp t="e">
        <v>#N/A</v>
        <stp/>
        <stp>BDH|5651343780092181440</stp>
        <tr r="L179" s="18"/>
      </tp>
      <tp t="e">
        <v>#N/A</v>
        <stp/>
        <stp>BDH|8361470202037754352</stp>
        <tr r="N96" s="12"/>
      </tp>
      <tp t="e">
        <v>#N/A</v>
        <stp/>
        <stp>BDH|7356001527609224421</stp>
        <tr r="U75" s="34"/>
      </tp>
      <tp t="e">
        <v>#N/A</v>
        <stp/>
        <stp>BDH|1314996331365861673</stp>
        <tr r="W20" s="23"/>
      </tp>
      <tp t="e">
        <v>#N/A</v>
        <stp/>
        <stp>BDH|6726842017131317631</stp>
        <tr r="L7" s="23"/>
      </tp>
      <tp t="e">
        <v>#N/A</v>
        <stp/>
        <stp>BDH|9352931385260975080</stp>
        <tr r="Q38" s="6"/>
      </tp>
      <tp t="e">
        <v>#N/A</v>
        <stp/>
        <stp>BDH|9380395159911019674</stp>
        <tr r="D8" s="11"/>
      </tp>
      <tp t="e">
        <v>#N/A</v>
        <stp/>
        <stp>BDH|5317367833769393419</stp>
        <tr r="Z47" s="24"/>
      </tp>
      <tp t="e">
        <v>#N/A</v>
        <stp/>
        <stp>BDH|6657782888806364718</stp>
        <tr r="U161" s="18"/>
      </tp>
      <tp t="e">
        <v>#N/A</v>
        <stp/>
        <stp>BDH|3004164561648612453</stp>
        <tr r="V18" s="5"/>
        <tr r="V37" s="6"/>
      </tp>
      <tp t="e">
        <v>#N/A</v>
        <stp/>
        <stp>BDH|4028224372699265065</stp>
        <tr r="O15" s="30"/>
      </tp>
      <tp t="e">
        <v>#N/A</v>
        <stp/>
        <stp>BDH|6507415040776681869</stp>
        <tr r="K121" s="18"/>
        <tr r="K9" s="20"/>
      </tp>
      <tp t="e">
        <v>#N/A</v>
        <stp/>
        <stp>BDH|9497944513939108067</stp>
        <tr r="N35" s="18"/>
      </tp>
      <tp t="e">
        <v>#N/A</v>
        <stp/>
        <stp>BDH|2180961913690693264</stp>
        <tr r="M42" s="18"/>
      </tp>
      <tp t="e">
        <v>#N/A</v>
        <stp/>
        <stp>BDH|7982650477849911763</stp>
        <tr r="Q15" s="10"/>
      </tp>
      <tp t="e">
        <v>#N/A</v>
        <stp/>
        <stp>BDH|3561819060480794570</stp>
        <tr r="M35" s="4"/>
      </tp>
      <tp t="e">
        <v>#N/A</v>
        <stp/>
        <stp>BDH|8531437887124131844</stp>
        <tr r="R44" s="17"/>
      </tp>
      <tp t="e">
        <v>#N/A</v>
        <stp/>
        <stp>BDH|9607323517722265157</stp>
        <tr r="Y8" s="13"/>
      </tp>
      <tp t="e">
        <v>#N/A</v>
        <stp/>
        <stp>BDH|1539847446350316503</stp>
        <tr r="P21" s="20"/>
      </tp>
      <tp t="e">
        <v>#N/A</v>
        <stp/>
        <stp>BDH|2604845858116712190</stp>
        <tr r="L39" s="17"/>
      </tp>
      <tp t="e">
        <v>#N/A</v>
        <stp/>
        <stp>BDH|9226761240620451244</stp>
        <tr r="T21" s="20"/>
      </tp>
      <tp t="e">
        <v>#N/A</v>
        <stp/>
        <stp>BDH|7047862248347289489</stp>
        <tr r="W70" s="13"/>
      </tp>
      <tp t="e">
        <v>#N/A</v>
        <stp/>
        <stp>BDH|8058232425663708356</stp>
        <tr r="V15" s="26"/>
      </tp>
      <tp t="e">
        <v>#N/A</v>
        <stp/>
        <stp>BDH|5727008428786398983</stp>
        <tr r="O11" s="21"/>
      </tp>
      <tp t="e">
        <v>#N/A</v>
        <stp/>
        <stp>BDH|9456194111470823100</stp>
        <tr r="W55" s="21"/>
      </tp>
      <tp t="e">
        <v>#N/A</v>
        <stp/>
        <stp>BDH|6967043913036201982</stp>
        <tr r="U8" s="23"/>
      </tp>
      <tp t="e">
        <v>#N/A</v>
        <stp/>
        <stp>BDH|7755293828229507673</stp>
        <tr r="S19" s="18"/>
      </tp>
      <tp t="e">
        <v>#N/A</v>
        <stp/>
        <stp>BDH|5719410483533248236</stp>
        <tr r="H126" s="18"/>
      </tp>
      <tp t="e">
        <v>#N/A</v>
        <stp/>
        <stp>BDH|8316866752705503866</stp>
        <tr r="C83" s="12"/>
      </tp>
      <tp t="e">
        <v>#N/A</v>
        <stp/>
        <stp>BDH|9469433945563264240</stp>
        <tr r="O85" s="17"/>
      </tp>
      <tp t="e">
        <v>#N/A</v>
        <stp/>
        <stp>BDH|1093094694317860711</stp>
        <tr r="M29" s="10"/>
        <tr r="O38" s="13"/>
      </tp>
      <tp t="e">
        <v>#N/A</v>
        <stp/>
        <stp>BDH|1731974115210495155</stp>
        <tr r="E128" s="18"/>
      </tp>
      <tp t="e">
        <v>#N/A</v>
        <stp/>
        <stp>BDH|4043617375809878485</stp>
        <tr r="P19" s="18"/>
      </tp>
      <tp t="e">
        <v>#N/A</v>
        <stp/>
        <stp>BDH|9696680051774202696</stp>
        <tr r="M17" s="29"/>
        <tr r="M40" s="29"/>
      </tp>
      <tp t="e">
        <v>#N/A</v>
        <stp/>
        <stp>BDH|3940808818920445219</stp>
        <tr r="K20" s="29"/>
      </tp>
      <tp t="e">
        <v>#N/A</v>
        <stp/>
        <stp>BDH|7746420270678397420</stp>
        <tr r="L71" s="12"/>
      </tp>
      <tp t="e">
        <v>#N/A</v>
        <stp/>
        <stp>BDH|4865309429588298578</stp>
        <tr r="Z100" s="12"/>
      </tp>
      <tp t="e">
        <v>#N/A</v>
        <stp/>
        <stp>BDH|8519094601461998103</stp>
        <tr r="M29" s="21"/>
      </tp>
      <tp t="e">
        <v>#N/A</v>
        <stp/>
        <stp>BDH|8103553321844196309</stp>
        <tr r="F44" s="17"/>
      </tp>
      <tp t="e">
        <v>#N/A</v>
        <stp/>
        <stp>BDH|1423296078515181902</stp>
        <tr r="J18" s="12"/>
      </tp>
      <tp t="e">
        <v>#N/A</v>
        <stp/>
        <stp>BDH|9828461253111987101</stp>
        <tr r="H63" s="21"/>
      </tp>
      <tp t="e">
        <v>#N/A</v>
        <stp/>
        <stp>BDH|3334227328799903248</stp>
        <tr r="S98" s="18"/>
      </tp>
      <tp t="e">
        <v>#N/A</v>
        <stp/>
        <stp>BDH|5398074727918196766</stp>
        <tr r="R153" s="18"/>
      </tp>
      <tp t="e">
        <v>#N/A</v>
        <stp/>
        <stp>BDH|2584086789646165414</stp>
        <tr r="Y73" s="34"/>
      </tp>
      <tp t="e">
        <v>#N/A</v>
        <stp/>
        <stp>BDH|5066246432838263404</stp>
        <tr r="G16" s="2"/>
        <tr r="G32" s="4"/>
        <tr r="G62" s="10"/>
        <tr r="I19" s="13"/>
      </tp>
      <tp t="e">
        <v>#N/A</v>
        <stp/>
        <stp>BDH|8441358997263463962</stp>
        <tr r="L40" s="24"/>
      </tp>
      <tp t="e">
        <v>#N/A</v>
        <stp/>
        <stp>BDH|8715054319634688591</stp>
        <tr r="O118" s="18"/>
        <tr r="O6" s="20"/>
      </tp>
      <tp t="e">
        <v>#N/A</v>
        <stp/>
        <stp>BDH|5124597891442433398</stp>
        <tr r="H178" s="18"/>
      </tp>
      <tp t="e">
        <v>#N/A</v>
        <stp/>
        <stp>BDH|9696352774004554163</stp>
        <tr r="S81" s="18"/>
      </tp>
      <tp t="e">
        <v>#N/A</v>
        <stp/>
        <stp>BDH|4875226893526488191</stp>
        <tr r="D20" s="2"/>
        <tr r="D18" s="4"/>
        <tr r="D58" s="10"/>
        <tr r="D48" s="11"/>
        <tr r="D19" s="7"/>
        <tr r="F74" s="13"/>
      </tp>
      <tp t="e">
        <v>#N/A</v>
        <stp/>
        <stp>BDH|2021552520118884594</stp>
        <tr r="R48" s="6"/>
        <tr r="T9" s="8"/>
      </tp>
      <tp t="e">
        <v>#N/A</v>
        <stp/>
        <stp>BDH|8346409922252700422</stp>
        <tr r="U22" s="10"/>
      </tp>
      <tp t="e">
        <v>#N/A</v>
        <stp/>
        <stp>BDH|6125438027760476856</stp>
        <tr r="E21" s="11"/>
      </tp>
      <tp t="e">
        <v>#N/A</v>
        <stp/>
        <stp>BDH|9961384257264386314</stp>
        <tr r="C14" s="6"/>
      </tp>
      <tp t="e">
        <v>#N/A</v>
        <stp/>
        <stp>BDH|4411428821532190829</stp>
        <tr r="K104" s="12"/>
      </tp>
      <tp t="e">
        <v>#N/A</v>
        <stp/>
        <stp>BDH|6882439918923619816</stp>
        <tr r="K117" s="18"/>
      </tp>
      <tp t="e">
        <v>#N/A</v>
        <stp/>
        <stp>BDH|3573877341145585226</stp>
        <tr r="C96" s="18"/>
      </tp>
      <tp t="e">
        <v>#N/A</v>
        <stp/>
        <stp>BDH|3626654504378394502</stp>
        <tr r="F51" s="18"/>
      </tp>
      <tp t="e">
        <v>#N/A</v>
        <stp/>
        <stp>BDH|1509826605841105070</stp>
        <tr r="Z7" s="28"/>
      </tp>
      <tp t="e">
        <v>#N/A</v>
        <stp/>
        <stp>BDH|4237630316372376916</stp>
        <tr r="V11" s="21"/>
      </tp>
      <tp t="e">
        <v>#N/A</v>
        <stp/>
        <stp>BDH|6093026895454198333</stp>
        <tr r="U29" s="18"/>
      </tp>
      <tp t="e">
        <v>#N/A</v>
        <stp/>
        <stp>BDH|4113865201480759444</stp>
        <tr r="S8" s="10"/>
      </tp>
      <tp t="e">
        <v>#N/A</v>
        <stp/>
        <stp>BDH|9938467137091810754</stp>
        <tr r="J37" s="22"/>
      </tp>
      <tp t="e">
        <v>#N/A</v>
        <stp/>
        <stp>BDH|4506384859668539240</stp>
        <tr r="C30" s="17"/>
      </tp>
      <tp t="e">
        <v>#N/A</v>
        <stp/>
        <stp>BDH|1147836535351745355</stp>
        <tr r="N39" s="34"/>
      </tp>
      <tp t="e">
        <v>#N/A</v>
        <stp/>
        <stp>BDH|6444102488450027790</stp>
        <tr r="S22" s="17"/>
      </tp>
      <tp t="e">
        <v>#N/A</v>
        <stp/>
        <stp>BDH|9926268245736988165</stp>
        <tr r="M47" s="21"/>
      </tp>
      <tp t="e">
        <v>#N/A</v>
        <stp/>
        <stp>BDH|7933117666331213995</stp>
        <tr r="Z45" s="34"/>
      </tp>
      <tp t="e">
        <v>#N/A</v>
        <stp/>
        <stp>BDH|7225120485342175415</stp>
        <tr r="K8" s="34"/>
      </tp>
      <tp t="e">
        <v>#N/A</v>
        <stp/>
        <stp>BDH|8622398288878457365</stp>
        <tr r="L13" s="26"/>
      </tp>
      <tp t="e">
        <v>#N/A</v>
        <stp/>
        <stp>BDH|2916932377617146393</stp>
        <tr r="G51" s="24"/>
      </tp>
      <tp t="e">
        <v>#N/A</v>
        <stp/>
        <stp>BDH|5442096181637062290</stp>
        <tr r="X63" s="21"/>
      </tp>
      <tp t="e">
        <v>#N/A</v>
        <stp/>
        <stp>BDH|1020806013123617301</stp>
        <tr r="Z70" s="18"/>
      </tp>
      <tp t="e">
        <v>#N/A</v>
        <stp/>
        <stp>BDH|8713027346711507534</stp>
        <tr r="V12" s="12"/>
      </tp>
      <tp t="e">
        <v>#N/A</v>
        <stp/>
        <stp>BDH|5405121409068250480</stp>
        <tr r="R45" s="21"/>
      </tp>
      <tp t="e">
        <v>#N/A</v>
        <stp/>
        <stp>BDH|9269375772080731554</stp>
        <tr r="Y163" s="18"/>
      </tp>
      <tp t="e">
        <v>#N/A</v>
        <stp/>
        <stp>BDH|2010034471545310845</stp>
        <tr r="I22" s="17"/>
      </tp>
      <tp t="e">
        <v>#N/A</v>
        <stp/>
        <stp>BDH|9988226122929923851</stp>
        <tr r="R25" s="2"/>
        <tr r="T62" s="21"/>
      </tp>
      <tp t="e">
        <v>#N/A</v>
        <stp/>
        <stp>BDH|7514208805835424817</stp>
        <tr r="N8" s="4"/>
      </tp>
      <tp t="e">
        <v>#N/A</v>
        <stp/>
        <stp>BDH|7842752089601422155</stp>
        <tr r="O11" s="18"/>
      </tp>
      <tp t="e">
        <v>#N/A</v>
        <stp/>
        <stp>BDH|1297270690536521459</stp>
        <tr r="D61" s="21"/>
      </tp>
      <tp t="e">
        <v>#N/A</v>
        <stp/>
        <stp>BDH|8708916444474767903</stp>
        <tr r="F13" s="13"/>
      </tp>
      <tp t="e">
        <v>#N/A</v>
        <stp/>
        <stp>BDH|5154343280707306137</stp>
        <tr r="T18" s="10"/>
      </tp>
      <tp t="e">
        <v>#N/A</v>
        <stp/>
        <stp>BDH|3348636210704206873</stp>
        <tr r="N67" s="21"/>
      </tp>
      <tp t="e">
        <v>#N/A</v>
        <stp/>
        <stp>BDH|3065417986745680248</stp>
        <tr r="N69" s="10"/>
      </tp>
      <tp t="e">
        <v>#N/A</v>
        <stp/>
        <stp>BDH|9391912192653643231</stp>
        <tr r="H150" s="18"/>
      </tp>
      <tp t="e">
        <v>#N/A</v>
        <stp/>
        <stp>BDH|8555634584138681610</stp>
        <tr r="V71" s="34"/>
      </tp>
      <tp t="e">
        <v>#N/A</v>
        <stp/>
        <stp>BDH|3732793576418595386</stp>
        <tr r="C18" s="6"/>
      </tp>
      <tp t="e">
        <v>#N/A</v>
        <stp/>
        <stp>BDH|9897165229795586778</stp>
        <tr r="D69" s="13"/>
      </tp>
      <tp t="e">
        <v>#N/A</v>
        <stp/>
        <stp>BDH|8595090019143856287</stp>
        <tr r="O20" s="2"/>
        <tr r="O18" s="4"/>
        <tr r="O58" s="10"/>
        <tr r="O48" s="11"/>
        <tr r="O19" s="7"/>
        <tr r="Q74" s="13"/>
      </tp>
      <tp t="e">
        <v>#N/A</v>
        <stp/>
        <stp>BDH|2518605836979077667</stp>
        <tr r="AA21" s="34"/>
      </tp>
      <tp t="e">
        <v>#N/A</v>
        <stp/>
        <stp>BDH|3759043828881864865</stp>
        <tr r="X18" s="12"/>
      </tp>
      <tp t="e">
        <v>#N/A</v>
        <stp/>
        <stp>BDH|3715060511293286976</stp>
        <tr r="S50" s="4"/>
      </tp>
      <tp t="e">
        <v>#N/A</v>
        <stp/>
        <stp>BDH|6837502281066858549</stp>
        <tr r="D22" s="34"/>
      </tp>
      <tp t="e">
        <v>#N/A</v>
        <stp/>
        <stp>BDH|5429003480222961789</stp>
        <tr r="T17" s="18"/>
      </tp>
      <tp t="e">
        <v>#N/A</v>
        <stp/>
        <stp>BDH|7453964168090995064</stp>
        <tr r="O23" s="25"/>
        <tr r="M20" s="11"/>
      </tp>
      <tp t="e">
        <v>#N/A</v>
        <stp/>
        <stp>BDH|8812777519264781243</stp>
        <tr r="I76" s="34"/>
      </tp>
      <tp t="e">
        <v>#N/A</v>
        <stp/>
        <stp>BDH|6993764830973982933</stp>
        <tr r="T59" s="24"/>
      </tp>
      <tp t="e">
        <v>#N/A</v>
        <stp/>
        <stp>BDH|2234887417613854009</stp>
        <tr r="G26" s="25"/>
        <tr r="G12" s="27"/>
      </tp>
      <tp t="e">
        <v>#N/A</v>
        <stp/>
        <stp>BDH|7360057787895720235</stp>
        <tr r="Y22" s="22"/>
      </tp>
      <tp t="e">
        <v>#N/A</v>
        <stp/>
        <stp>BDH|95551012489749870</stp>
        <tr r="Z32" s="18"/>
      </tp>
      <tp t="e">
        <v>#N/A</v>
        <stp/>
        <stp>BDH|76314334747076221</stp>
        <tr r="T15" s="30"/>
      </tp>
      <tp t="e">
        <v>#N/A</v>
        <stp/>
        <stp>BDH|88705873454039102</stp>
        <tr r="D69" s="18"/>
      </tp>
      <tp t="e">
        <v>#N/A</v>
        <stp/>
        <stp>BDH|13290456612828070</stp>
        <tr r="V29" s="22"/>
      </tp>
      <tp t="e">
        <v>#N/A</v>
        <stp/>
        <stp>BDH|61091309930123519</stp>
        <tr r="C38" s="18"/>
      </tp>
      <tp t="e">
        <v>#N/A</v>
        <stp/>
        <stp>BDH|19574312896681733</stp>
        <tr r="Y14" s="34"/>
      </tp>
      <tp t="e">
        <v>#N/A</v>
        <stp/>
        <stp>BDH|29491246027320238</stp>
        <tr r="V57" s="10"/>
        <tr r="V47" s="11"/>
        <tr r="V18" s="7"/>
        <tr r="X64" s="13"/>
      </tp>
      <tp t="e">
        <v>#N/A</v>
        <stp/>
        <stp>BDH|39120171264562793</stp>
        <tr r="K60" s="12"/>
      </tp>
      <tp t="e">
        <v>#N/A</v>
        <stp/>
        <stp>BDH|89524125355418792</stp>
        <tr r="E8" s="13"/>
      </tp>
      <tp t="e">
        <v>#N/A</v>
        <stp/>
        <stp>BDH|82557533874872744</stp>
        <tr r="Y36" s="21"/>
      </tp>
      <tp t="e">
        <v>#N/A</v>
        <stp/>
        <stp>BDH|81679542964530394</stp>
        <tr r="S45" s="17"/>
      </tp>
      <tp t="e">
        <v>#N/A</v>
        <stp/>
        <stp>BDH|6600091316138062637</stp>
        <tr r="J26" s="25"/>
        <tr r="J12" s="27"/>
      </tp>
      <tp t="e">
        <v>#N/A</v>
        <stp/>
        <stp>BDH|9816522812202552675</stp>
        <tr r="P9" s="2"/>
        <tr r="R8" s="25"/>
        <tr r="O10" s="5"/>
      </tp>
      <tp t="e">
        <v>#N/A</v>
        <stp/>
        <stp>BDH|2805847907502704163</stp>
        <tr r="Y154" s="18"/>
      </tp>
      <tp t="e">
        <v>#N/A</v>
        <stp/>
        <stp>BDH|6786775100681289983</stp>
        <tr r="J130" s="18"/>
      </tp>
      <tp t="e">
        <v>#N/A</v>
        <stp/>
        <stp>BDH|2149453973550404892</stp>
        <tr r="AA15" s="30"/>
      </tp>
      <tp t="e">
        <v>#N/A</v>
        <stp/>
        <stp>BDH|8954332863784666056</stp>
        <tr r="P20" s="25"/>
      </tp>
      <tp t="e">
        <v>#N/A</v>
        <stp/>
        <stp>BDH|7234415961558156496</stp>
        <tr r="O43" s="18"/>
      </tp>
      <tp t="e">
        <v>#N/A</v>
        <stp/>
        <stp>BDH|8978111794280646903</stp>
        <tr r="J31" s="12"/>
      </tp>
      <tp t="e">
        <v>#N/A</v>
        <stp/>
        <stp>BDH|7956315784456358352</stp>
        <tr r="K35" s="25"/>
      </tp>
      <tp t="e">
        <v>#N/A</v>
        <stp/>
        <stp>BDH|9229600158483419044</stp>
        <tr r="Z57" s="18"/>
      </tp>
      <tp t="e">
        <v>#N/A</v>
        <stp/>
        <stp>BDH|2364085992011568367</stp>
        <tr r="L23" s="25"/>
        <tr r="J20" s="11"/>
      </tp>
      <tp t="e">
        <v>#N/A</v>
        <stp/>
        <stp>BDH|1334928412822883219</stp>
        <tr r="T159" s="18"/>
      </tp>
      <tp t="e">
        <v>#N/A</v>
        <stp/>
        <stp>BDH|1259188189834066591</stp>
        <tr r="K15" s="25"/>
      </tp>
      <tp t="e">
        <v>#N/A</v>
        <stp/>
        <stp>BDH|2449872809961799274</stp>
        <tr r="O63" s="18"/>
      </tp>
      <tp t="e">
        <v>#N/A</v>
        <stp/>
        <stp>BDH|3212921546767848041</stp>
        <tr r="L35" s="14"/>
      </tp>
      <tp t="e">
        <v>#N/A</v>
        <stp/>
        <stp>BDH|9784477288628544478</stp>
        <tr r="N56" s="13"/>
      </tp>
      <tp t="e">
        <v>#N/A</v>
        <stp/>
        <stp>BDH|7002317848911684853</stp>
        <tr r="V39" s="10"/>
        <tr r="V29" s="11"/>
      </tp>
      <tp t="e">
        <v>#N/A</v>
        <stp/>
        <stp>BDH|5240022828279719751</stp>
        <tr r="H12" s="25"/>
      </tp>
      <tp t="e">
        <v>#N/A</v>
        <stp/>
        <stp>BDH|7128292206485077944</stp>
        <tr r="L18" s="34"/>
      </tp>
      <tp t="e">
        <v>#N/A</v>
        <stp/>
        <stp>BDH|9759462738196772146</stp>
        <tr r="E15" s="17"/>
        <tr r="E18" s="28"/>
      </tp>
      <tp t="e">
        <v>#N/A</v>
        <stp/>
        <stp>BDH|2605968509413627158</stp>
        <tr r="P23" s="18"/>
      </tp>
      <tp t="e">
        <v>#N/A</v>
        <stp/>
        <stp>BDH|5403452493617101692</stp>
        <tr r="I46" s="17"/>
      </tp>
      <tp t="e">
        <v>#N/A</v>
        <stp/>
        <stp>BDH|5382384150422469858</stp>
        <tr r="F15" s="5"/>
      </tp>
      <tp t="e">
        <v>#N/A</v>
        <stp/>
        <stp>BDH|1653421930596869961</stp>
        <tr r="H7" s="6"/>
      </tp>
      <tp t="e">
        <v>#N/A</v>
        <stp/>
        <stp>BDH|5229917126053766485</stp>
        <tr r="M28" s="26"/>
      </tp>
      <tp t="e">
        <v>#N/A</v>
        <stp/>
        <stp>BDH|1187996117478661835</stp>
        <tr r="I49" s="24"/>
      </tp>
      <tp t="e">
        <v>#N/A</v>
        <stp/>
        <stp>BDH|3966285411931379894</stp>
        <tr r="O113" s="18"/>
      </tp>
      <tp t="e">
        <v>#N/A</v>
        <stp/>
        <stp>BDH|8431753966766886657</stp>
        <tr r="W42" s="18"/>
      </tp>
      <tp t="e">
        <v>#N/A</v>
        <stp/>
        <stp>BDH|3400193286163510049</stp>
        <tr r="W128" s="18"/>
      </tp>
      <tp t="e">
        <v>#N/A</v>
        <stp/>
        <stp>BDH|8673050708979955881</stp>
        <tr r="U135" s="18"/>
      </tp>
      <tp t="e">
        <v>#N/A</v>
        <stp/>
        <stp>BDH|3646998327918765959</stp>
        <tr r="D39" s="34"/>
      </tp>
      <tp t="e">
        <v>#N/A</v>
        <stp/>
        <stp>BDH|8874054142803227673</stp>
        <tr r="D30" s="5"/>
        <tr r="D30" s="9"/>
      </tp>
      <tp t="e">
        <v>#N/A</v>
        <stp/>
        <stp>BDH|2543378578409215623</stp>
        <tr r="C155" s="18"/>
      </tp>
      <tp t="e">
        <v>#N/A</v>
        <stp/>
        <stp>BDH|8899674319923484581</stp>
        <tr r="S25" s="27"/>
      </tp>
      <tp t="e">
        <v>#N/A</v>
        <stp/>
        <stp>BDH|1734572739817608955</stp>
        <tr r="E207" s="18"/>
      </tp>
      <tp t="e">
        <v>#N/A</v>
        <stp/>
        <stp>BDH|5349569882025973445</stp>
        <tr r="R29" s="6"/>
      </tp>
      <tp t="e">
        <v>#N/A</v>
        <stp/>
        <stp>BDH|3648858074291933442</stp>
        <tr r="S59" s="18"/>
      </tp>
      <tp t="e">
        <v>#N/A</v>
        <stp/>
        <stp>BDH|2690746772073203881</stp>
        <tr r="G23" s="12"/>
      </tp>
      <tp t="e">
        <v>#N/A</v>
        <stp/>
        <stp>BDH|8161364600964585692</stp>
        <tr r="L133" s="18"/>
      </tp>
      <tp t="e">
        <v>#N/A</v>
        <stp/>
        <stp>BDH|8122340008884034668</stp>
        <tr r="K21" s="10"/>
      </tp>
      <tp t="e">
        <v>#N/A</v>
        <stp/>
        <stp>BDH|2772606806275965834</stp>
        <tr r="M25" s="25"/>
        <tr r="M10" s="27"/>
      </tp>
      <tp t="e">
        <v>#N/A</v>
        <stp/>
        <stp>BDH|4441065548560566942</stp>
        <tr r="N44" s="22"/>
      </tp>
      <tp t="e">
        <v>#N/A</v>
        <stp/>
        <stp>BDH|1917756043728512311</stp>
        <tr r="F26" s="17"/>
      </tp>
      <tp t="e">
        <v>#N/A</v>
        <stp/>
        <stp>BDH|4418612081203993068</stp>
        <tr r="Z17" s="13"/>
      </tp>
      <tp t="e">
        <v>#N/A</v>
        <stp/>
        <stp>BDH|7397184485217179048</stp>
        <tr r="F60" s="34"/>
      </tp>
      <tp t="e">
        <v>#N/A</v>
        <stp/>
        <stp>BDH|2856377609370970845</stp>
        <tr r="S9" s="22"/>
      </tp>
      <tp t="e">
        <v>#N/A</v>
        <stp/>
        <stp>BDH|1568425467792307887</stp>
        <tr r="U35" s="34"/>
      </tp>
      <tp t="e">
        <v>#N/A</v>
        <stp/>
        <stp>BDH|1651959529475528649</stp>
        <tr r="AA63" s="21"/>
      </tp>
      <tp t="e">
        <v>#N/A</v>
        <stp/>
        <stp>BDH|9106046432451902250</stp>
        <tr r="I18" s="11"/>
      </tp>
      <tp t="e">
        <v>#N/A</v>
        <stp/>
        <stp>BDH|8510463237702762481</stp>
        <tr r="K42" s="21"/>
      </tp>
      <tp t="e">
        <v>#N/A</v>
        <stp/>
        <stp>BDH|4216920120335835333</stp>
        <tr r="R93" s="18"/>
      </tp>
      <tp t="e">
        <v>#N/A</v>
        <stp/>
        <stp>BDH|5839716511273516964</stp>
        <tr r="N8" s="12"/>
      </tp>
      <tp t="e">
        <v>#N/A</v>
        <stp/>
        <stp>BDH|2709757913489303491</stp>
        <tr r="N11" s="14"/>
      </tp>
      <tp t="e">
        <v>#N/A</v>
        <stp/>
        <stp>BDH|6644099455979763367</stp>
        <tr r="K76" s="18"/>
      </tp>
      <tp t="e">
        <v>#N/A</v>
        <stp/>
        <stp>BDH|5884460630813171842</stp>
        <tr r="M35" s="24"/>
      </tp>
      <tp t="e">
        <v>#N/A</v>
        <stp/>
        <stp>BDH|6903699626702829959</stp>
        <tr r="X20" s="29"/>
      </tp>
      <tp t="e">
        <v>#N/A</v>
        <stp/>
        <stp>BDH|9304984993712311206</stp>
        <tr r="U12" s="14"/>
      </tp>
      <tp t="e">
        <v>#N/A</v>
        <stp/>
        <stp>BDH|4449137569173722924</stp>
        <tr r="L20" s="26"/>
      </tp>
      <tp t="e">
        <v>#N/A</v>
        <stp/>
        <stp>BDH|9482779710065038386</stp>
        <tr r="K68" s="10"/>
      </tp>
      <tp t="e">
        <v>#N/A</v>
        <stp/>
        <stp>BDH|2667803744242041594</stp>
        <tr r="N21" s="34"/>
      </tp>
      <tp t="e">
        <v>#N/A</v>
        <stp/>
        <stp>BDH|7300549623179864079</stp>
        <tr r="U45" s="34"/>
      </tp>
      <tp t="e">
        <v>#N/A</v>
        <stp/>
        <stp>BDH|8511613654874891634</stp>
        <tr r="O28" s="27"/>
      </tp>
      <tp t="e">
        <v>#N/A</v>
        <stp/>
        <stp>BDH|6277989722921758545</stp>
        <tr r="E135" s="18"/>
      </tp>
      <tp t="e">
        <v>#N/A</v>
        <stp/>
        <stp>BDH|4533515527573165993</stp>
        <tr r="S57" s="10"/>
        <tr r="S47" s="11"/>
        <tr r="S18" s="7"/>
        <tr r="U64" s="13"/>
      </tp>
      <tp t="e">
        <v>#N/A</v>
        <stp/>
        <stp>BDH|7644290694446052303</stp>
        <tr r="O190" s="18"/>
      </tp>
      <tp t="e">
        <v>#N/A</v>
        <stp/>
        <stp>BDH|2845391058209516470</stp>
        <tr r="N87" s="24"/>
      </tp>
      <tp t="e">
        <v>#N/A</v>
        <stp/>
        <stp>BDH|9625484860355276774</stp>
        <tr r="J12" s="26"/>
      </tp>
      <tp t="e">
        <v>#N/A</v>
        <stp/>
        <stp>BDH|7803891075817972667</stp>
        <tr r="AA78" s="24"/>
      </tp>
      <tp t="e">
        <v>#N/A</v>
        <stp/>
        <stp>BDH|6771879366508558987</stp>
        <tr r="G23" s="24"/>
      </tp>
      <tp t="e">
        <v>#N/A</v>
        <stp/>
        <stp>BDH|8118449024526864120</stp>
        <tr r="R18" s="6"/>
      </tp>
      <tp t="e">
        <v>#N/A</v>
        <stp/>
        <stp>BDH|3970676895044088103</stp>
        <tr r="P75" s="18"/>
      </tp>
      <tp t="e">
        <v>#N/A</v>
        <stp/>
        <stp>BDH|7363129148818446369</stp>
        <tr r="Q15" s="26"/>
      </tp>
      <tp t="e">
        <v>#N/A</v>
        <stp/>
        <stp>BDH|3270635816268939559</stp>
        <tr r="G9" s="23"/>
      </tp>
      <tp t="e">
        <v>#N/A</v>
        <stp/>
        <stp>BDH|8054011549933125622</stp>
        <tr r="Y7" s="8"/>
      </tp>
      <tp t="e">
        <v>#N/A</v>
        <stp/>
        <stp>BDH|5156975147923820227</stp>
        <tr r="U148" s="18"/>
      </tp>
      <tp t="e">
        <v>#N/A</v>
        <stp/>
        <stp>BDH|1976759411148416622</stp>
        <tr r="N22" s="17"/>
      </tp>
      <tp t="e">
        <v>#N/A</v>
        <stp/>
        <stp>BDH|6185074398914106249</stp>
        <tr r="K22" s="6"/>
      </tp>
      <tp t="e">
        <v>#N/A</v>
        <stp/>
        <stp>BDH|5058280830745487875</stp>
        <tr r="AA17" s="23"/>
      </tp>
      <tp t="e">
        <v>#N/A</v>
        <stp/>
        <stp>BDH|5343086501268599446</stp>
        <tr r="R37" s="22"/>
      </tp>
      <tp t="e">
        <v>#N/A</v>
        <stp/>
        <stp>BDH|1462564606229823443</stp>
        <tr r="X10" s="17"/>
      </tp>
      <tp t="e">
        <v>#N/A</v>
        <stp/>
        <stp>BDH|3644191402779431210</stp>
        <tr r="Q87" s="18"/>
      </tp>
      <tp t="e">
        <v>#N/A</v>
        <stp/>
        <stp>BDH|6413383852709507034</stp>
        <tr r="N72" s="17"/>
      </tp>
      <tp t="e">
        <v>#N/A</v>
        <stp/>
        <stp>BDH|8578378956673512498</stp>
        <tr r="Y86" s="24"/>
      </tp>
      <tp t="e">
        <v>#N/A</v>
        <stp/>
        <stp>BDH|4300048822969416690</stp>
        <tr r="W33" s="22"/>
      </tp>
      <tp t="e">
        <v>#N/A</v>
        <stp/>
        <stp>BDH|9886444304393087707</stp>
        <tr r="V53" s="21"/>
      </tp>
      <tp t="e">
        <v>#N/A</v>
        <stp/>
        <stp>BDH|5837454645205905996</stp>
        <tr r="P17" s="17"/>
        <tr r="P20" s="28"/>
      </tp>
      <tp t="e">
        <v>#N/A</v>
        <stp/>
        <stp>BDH|3066298821943701974</stp>
        <tr r="Q42" s="10"/>
        <tr r="Q32" s="11"/>
      </tp>
      <tp t="e">
        <v>#N/A</v>
        <stp/>
        <stp>BDH|1607910842171465495</stp>
        <tr r="O74" s="17"/>
      </tp>
      <tp t="e">
        <v>#N/A</v>
        <stp/>
        <stp>BDH|3267403629409219512</stp>
        <tr r="J13" s="6"/>
      </tp>
      <tp t="e">
        <v>#N/A</v>
        <stp/>
        <stp>BDH|7566564138528573064</stp>
        <tr r="C28" s="6"/>
      </tp>
      <tp t="e">
        <v>#N/A</v>
        <stp/>
        <stp>BDH|7858271840340568825</stp>
        <tr r="Y45" s="12"/>
      </tp>
      <tp t="e">
        <v>#N/A</v>
        <stp/>
        <stp>BDH|2188889203561095229</stp>
        <tr r="V42" s="17"/>
      </tp>
      <tp t="e">
        <v>#N/A</v>
        <stp/>
        <stp>BDH|7899709790721426142</stp>
        <tr r="R77" s="18"/>
      </tp>
      <tp t="e">
        <v>#N/A</v>
        <stp/>
        <stp>BDH|3818541898052907456</stp>
        <tr r="K73" s="10"/>
        <tr r="K63" s="11"/>
      </tp>
      <tp t="e">
        <v>#N/A</v>
        <stp/>
        <stp>BDH|7621876699419016608</stp>
        <tr r="D24" s="18"/>
      </tp>
      <tp t="e">
        <v>#N/A</v>
        <stp/>
        <stp>BDH|5468043475099996245</stp>
        <tr r="G23" s="22"/>
      </tp>
      <tp t="e">
        <v>#N/A</v>
        <stp/>
        <stp>BDH|2212439294256874055</stp>
        <tr r="Q24" s="9"/>
      </tp>
      <tp t="e">
        <v>#N/A</v>
        <stp/>
        <stp>BDH|9160217319967794469</stp>
        <tr r="N11" s="17"/>
      </tp>
      <tp t="e">
        <v>#N/A</v>
        <stp/>
        <stp>BDH|6986310354598655120</stp>
        <tr r="L23" s="18"/>
      </tp>
      <tp t="e">
        <v>#N/A</v>
        <stp/>
        <stp>BDH|3227536422984803936</stp>
        <tr r="Q10" s="2"/>
        <tr r="P11" s="5"/>
        <tr r="P51" s="6"/>
        <tr r="R33" s="29"/>
        <tr r="R42" s="29"/>
      </tp>
      <tp t="e">
        <v>#N/A</v>
        <stp/>
        <stp>BDH|8474748125630845457</stp>
        <tr r="Y14" s="2"/>
        <tr r="Y11" s="10"/>
      </tp>
      <tp t="e">
        <v>#N/A</v>
        <stp/>
        <stp>BDH|6183967274198376983</stp>
        <tr r="G51" s="17"/>
        <tr r="G17" s="3"/>
      </tp>
      <tp t="e">
        <v>#N/A</v>
        <stp/>
        <stp>BDH|1832615104636398863</stp>
        <tr r="Z14" s="34"/>
      </tp>
      <tp t="e">
        <v>#N/A</v>
        <stp/>
        <stp>BDH|6372958215576210196</stp>
        <tr r="D23" s="17"/>
      </tp>
      <tp t="e">
        <v>#N/A</v>
        <stp/>
        <stp>BDH|5037548429318309365</stp>
        <tr r="R66" s="12"/>
      </tp>
      <tp t="e">
        <v>#N/A</v>
        <stp/>
        <stp>BDH|1693230452939880674</stp>
        <tr r="V32" s="14"/>
      </tp>
      <tp t="e">
        <v>#N/A</v>
        <stp/>
        <stp>BDH|6723030089427680032</stp>
        <tr r="O7" s="17"/>
      </tp>
      <tp t="e">
        <v>#N/A</v>
        <stp/>
        <stp>BDH|7090722561418806733</stp>
        <tr r="W92" s="18"/>
      </tp>
      <tp t="e">
        <v>#N/A</v>
        <stp/>
        <stp>BDH|7237496805988515231</stp>
        <tr r="N64" s="12"/>
      </tp>
      <tp t="e">
        <v>#N/A</v>
        <stp/>
        <stp>BDH|5136814867101830379</stp>
        <tr r="O25" s="27"/>
      </tp>
      <tp t="e">
        <v>#N/A</v>
        <stp/>
        <stp>BDH|7629053784961916765</stp>
        <tr r="C10" s="8"/>
      </tp>
      <tp t="e">
        <v>#N/A</v>
        <stp/>
        <stp>BDH|8673199844146394209</stp>
        <tr r="I94" s="24"/>
      </tp>
      <tp t="e">
        <v>#N/A</v>
        <stp/>
        <stp>BDH|1430608113427816870</stp>
        <tr r="N15" s="21"/>
      </tp>
      <tp t="e">
        <v>#N/A</v>
        <stp/>
        <stp>BDH|7991940826733149624</stp>
        <tr r="V47" s="21"/>
      </tp>
      <tp t="e">
        <v>#N/A</v>
        <stp/>
        <stp>BDH|8756019121572653192</stp>
        <tr r="L8" s="17"/>
      </tp>
      <tp t="e">
        <v>#N/A</v>
        <stp/>
        <stp>BDH|4535092115448699472</stp>
        <tr r="T15" s="22"/>
      </tp>
      <tp t="e">
        <v>#N/A</v>
        <stp/>
        <stp>BDH|5672608147738917618</stp>
        <tr r="X14" s="13"/>
      </tp>
      <tp t="e">
        <v>#N/A</v>
        <stp/>
        <stp>BDH|2669985954810720748</stp>
        <tr r="R19" s="24"/>
      </tp>
      <tp t="e">
        <v>#N/A</v>
        <stp/>
        <stp>BDH|8256752318714555334</stp>
        <tr r="S37" s="21"/>
      </tp>
      <tp t="e">
        <v>#N/A</v>
        <stp/>
        <stp>BDH|9953055624487313524</stp>
        <tr r="I68" s="34"/>
      </tp>
      <tp t="e">
        <v>#N/A</v>
        <stp/>
        <stp>BDH|3422518683967999069</stp>
        <tr r="E83" s="12"/>
      </tp>
      <tp t="e">
        <v>#N/A</v>
        <stp/>
        <stp>BDH|3057229227123481987</stp>
        <tr r="W184" s="18"/>
      </tp>
      <tp t="e">
        <v>#N/A</v>
        <stp/>
        <stp>BDH|8398628676812989273</stp>
        <tr r="Z65" s="24"/>
      </tp>
      <tp t="e">
        <v>#N/A</v>
        <stp/>
        <stp>BDH|5952813721780658661</stp>
        <tr r="AA172" s="18"/>
      </tp>
      <tp t="e">
        <v>#N/A</v>
        <stp/>
        <stp>BDH|8603969819891202824</stp>
        <tr r="J52" s="24"/>
      </tp>
      <tp t="e">
        <v>#N/A</v>
        <stp/>
        <stp>BDH|8571667338171414565</stp>
        <tr r="S6" s="15"/>
        <tr r="S12" s="2"/>
        <tr r="S11" s="4"/>
        <tr r="S6" s="10"/>
      </tp>
      <tp t="e">
        <v>#N/A</v>
        <stp/>
        <stp>BDH|3103235781193972336</stp>
        <tr r="H7" s="34"/>
      </tp>
      <tp t="e">
        <v>#N/A</v>
        <stp/>
        <stp>BDH|8230738450984156792</stp>
        <tr r="Q58" s="34"/>
      </tp>
      <tp t="e">
        <v>#N/A</v>
        <stp/>
        <stp>BDH|6452284595904951099</stp>
        <tr r="T176" s="18"/>
      </tp>
      <tp t="e">
        <v>#N/A</v>
        <stp/>
        <stp>BDH|3905092294750980349</stp>
        <tr r="K70" s="12"/>
      </tp>
      <tp t="e">
        <v>#N/A</v>
        <stp/>
        <stp>BDH|1442738360818720191</stp>
        <tr r="K50" s="34"/>
      </tp>
      <tp t="e">
        <v>#N/A</v>
        <stp/>
        <stp>BDH|9716719562284495594</stp>
        <tr r="E19" s="5"/>
        <tr r="E42" s="6"/>
      </tp>
      <tp t="e">
        <v>#N/A</v>
        <stp/>
        <stp>BDH|7470414247398351682</stp>
        <tr r="AA67" s="34"/>
      </tp>
      <tp t="e">
        <v>#N/A</v>
        <stp/>
        <stp>BDH|6207914585048912663</stp>
        <tr r="Y177" s="18"/>
      </tp>
      <tp t="e">
        <v>#N/A</v>
        <stp/>
        <stp>BDH|1056303638461046910</stp>
        <tr r="K93" s="18"/>
      </tp>
      <tp t="e">
        <v>#N/A</v>
        <stp/>
        <stp>BDH|8530293474292728669</stp>
        <tr r="S35" s="4"/>
      </tp>
      <tp t="e">
        <v>#N/A</v>
        <stp/>
        <stp>BDH|1416393052439572738</stp>
        <tr r="K7" s="28"/>
      </tp>
      <tp t="e">
        <v>#N/A</v>
        <stp/>
        <stp>BDH|4326916289935440961</stp>
        <tr r="H56" s="24"/>
      </tp>
      <tp t="e">
        <v>#N/A</v>
        <stp/>
        <stp>BDH|5839870075737754449</stp>
        <tr r="W33" s="18"/>
      </tp>
      <tp t="e">
        <v>#N/A</v>
        <stp/>
        <stp>BDH|7533844845953910147</stp>
        <tr r="F55" s="18"/>
      </tp>
      <tp t="e">
        <v>#N/A</v>
        <stp/>
        <stp>BDH|2876072998022669088</stp>
        <tr r="U26" s="34"/>
      </tp>
      <tp t="e">
        <v>#N/A</v>
        <stp/>
        <stp>BDH|4725547489862441273</stp>
        <tr r="I67" s="17"/>
        <tr r="I18" s="3"/>
      </tp>
      <tp t="e">
        <v>#N/A</v>
        <stp/>
        <stp>BDH|2817073046806956995</stp>
        <tr r="O7" s="10"/>
      </tp>
      <tp t="e">
        <v>#N/A</v>
        <stp/>
        <stp>BDH|8196294394358131247</stp>
        <tr r="Q49" s="21"/>
      </tp>
      <tp t="e">
        <v>#N/A</v>
        <stp/>
        <stp>BDH|8717182700193590336</stp>
        <tr r="I111" s="18"/>
      </tp>
      <tp t="e">
        <v>#N/A</v>
        <stp/>
        <stp>BDH|5769051904989724580</stp>
        <tr r="V34" s="22"/>
      </tp>
      <tp t="e">
        <v>#N/A</v>
        <stp/>
        <stp>BDH|8984706750275039603</stp>
        <tr r="R16" s="12"/>
      </tp>
      <tp t="e">
        <v>#N/A</v>
        <stp/>
        <stp>BDH|1303764217799276798</stp>
        <tr r="T30" s="22"/>
      </tp>
      <tp t="e">
        <v>#N/A</v>
        <stp/>
        <stp>BDH|2244458712249953754</stp>
        <tr r="R9" s="14"/>
      </tp>
      <tp t="e">
        <v>#N/A</v>
        <stp/>
        <stp>BDH|8813009873401645747</stp>
        <tr r="S41" s="10"/>
        <tr r="S31" s="11"/>
      </tp>
      <tp t="e">
        <v>#N/A</v>
        <stp/>
        <stp>BDH|3469299687214324400</stp>
        <tr r="I45" s="21"/>
      </tp>
      <tp t="e">
        <v>#N/A</v>
        <stp/>
        <stp>BDH|7990239494743501629</stp>
        <tr r="N16" s="26"/>
      </tp>
      <tp t="e">
        <v>#N/A</v>
        <stp/>
        <stp>BDH|4091124007388289497</stp>
        <tr r="T97" s="18"/>
      </tp>
      <tp t="e">
        <v>#N/A</v>
        <stp/>
        <stp>BDH|3025319358448796406</stp>
        <tr r="T31" s="5"/>
      </tp>
      <tp t="e">
        <v>#N/A</v>
        <stp/>
        <stp>BDH|8908280024249237891</stp>
        <tr r="C7" s="4"/>
      </tp>
      <tp t="e">
        <v>#N/A</v>
        <stp/>
        <stp>BDH|2425955074883950629</stp>
        <tr r="I8" s="2"/>
      </tp>
      <tp t="e">
        <v>#N/A</v>
        <stp/>
        <stp>BDH|2090399784784601455</stp>
        <tr r="S30" s="21"/>
      </tp>
      <tp t="e">
        <v>#N/A</v>
        <stp/>
        <stp>BDH|2668981303245751742</stp>
        <tr r="H140" s="18"/>
      </tp>
      <tp t="e">
        <v>#N/A</v>
        <stp/>
        <stp>BDH|4806076761723626866</stp>
        <tr r="H75" s="17"/>
      </tp>
      <tp t="e">
        <v>#N/A</v>
        <stp/>
        <stp>BDH|5267899345511493146</stp>
        <tr r="V9" s="29"/>
      </tp>
      <tp t="e">
        <v>#N/A</v>
        <stp/>
        <stp>BDH|9059582404296518371</stp>
        <tr r="M6" s="15"/>
        <tr r="M12" s="2"/>
        <tr r="M11" s="4"/>
        <tr r="M6" s="10"/>
      </tp>
      <tp t="e">
        <v>#N/A</v>
        <stp/>
        <stp>BDH|6352338958338682103</stp>
        <tr r="Y24" s="4"/>
        <tr r="Y55" s="11"/>
      </tp>
      <tp t="e">
        <v>#N/A</v>
        <stp/>
        <stp>BDH|4378936979556660516</stp>
        <tr r="Q41" s="21"/>
      </tp>
      <tp t="e">
        <v>#N/A</v>
        <stp/>
        <stp>BDH|5728207299053213420</stp>
        <tr r="D29" s="17"/>
      </tp>
      <tp t="e">
        <v>#N/A</v>
        <stp/>
        <stp>BDH|9891344599498980225</stp>
        <tr r="W14" s="6"/>
      </tp>
      <tp t="e">
        <v>#N/A</v>
        <stp/>
        <stp>BDH|9908090423152931046</stp>
        <tr r="W154" s="18"/>
      </tp>
      <tp t="e">
        <v>#N/A</v>
        <stp/>
        <stp>BDH|2983822887389494267</stp>
        <tr r="Q28" s="4"/>
      </tp>
      <tp t="e">
        <v>#N/A</v>
        <stp/>
        <stp>BDH|4074838463675990677</stp>
        <tr r="U35" s="24"/>
      </tp>
      <tp t="e">
        <v>#N/A</v>
        <stp/>
        <stp>BDH|6962557113438807392</stp>
        <tr r="R18" s="22"/>
      </tp>
      <tp t="e">
        <v>#N/A</v>
        <stp/>
        <stp>BDH|9038072662212903424</stp>
        <tr r="Y15" s="17"/>
        <tr r="Y18" s="28"/>
      </tp>
      <tp t="e">
        <v>#N/A</v>
        <stp/>
        <stp>BDH|1600912435660917253</stp>
        <tr r="X188" s="18"/>
      </tp>
      <tp t="e">
        <v>#N/A</v>
        <stp/>
        <stp>BDH|8966779836502749718</stp>
        <tr r="J59" s="24"/>
      </tp>
      <tp t="e">
        <v>#N/A</v>
        <stp/>
        <stp>BDH|3862943603732175103</stp>
        <tr r="N68" s="10"/>
      </tp>
      <tp t="e">
        <v>#N/A</v>
        <stp/>
        <stp>BDH|3670990056215787304</stp>
        <tr r="H67" s="10"/>
      </tp>
      <tp t="e">
        <v>#N/A</v>
        <stp/>
        <stp>BDH|8860139750617066256</stp>
        <tr r="Z45" s="22"/>
      </tp>
      <tp t="e">
        <v>#N/A</v>
        <stp/>
        <stp>BDH|5589914178260736254</stp>
        <tr r="N193" s="18"/>
      </tp>
      <tp t="e">
        <v>#N/A</v>
        <stp/>
        <stp>BDH|8828333124361336128</stp>
        <tr r="P13" s="34"/>
      </tp>
      <tp t="e">
        <v>#N/A</v>
        <stp/>
        <stp>BDH|3380258949088908488</stp>
        <tr r="AA7" s="17"/>
      </tp>
      <tp t="e">
        <v>#N/A</v>
        <stp/>
        <stp>BDH|9291644688777724973</stp>
        <tr r="D65" s="13"/>
      </tp>
      <tp t="e">
        <v>#N/A</v>
        <stp/>
        <stp>BDH|7571782430403686952</stp>
        <tr r="X7" s="11"/>
      </tp>
      <tp t="e">
        <v>#N/A</v>
        <stp/>
        <stp>BDH|5553684985974276644</stp>
        <tr r="R9" s="34"/>
      </tp>
      <tp t="e">
        <v>#N/A</v>
        <stp/>
        <stp>BDH|2677996924139338969</stp>
        <tr r="N135" s="18"/>
      </tp>
      <tp t="e">
        <v>#N/A</v>
        <stp/>
        <stp>BDH|3594879335656094795</stp>
        <tr r="W32" s="24"/>
      </tp>
      <tp t="e">
        <v>#N/A</v>
        <stp/>
        <stp>BDH|7546658925193840934</stp>
        <tr r="J19" s="6"/>
      </tp>
      <tp t="e">
        <v>#N/A</v>
        <stp/>
        <stp>BDH|2064283277269088712</stp>
        <tr r="J187" s="18"/>
      </tp>
      <tp t="e">
        <v>#N/A</v>
        <stp/>
        <stp>BDH|3519232792549329898</stp>
        <tr r="M19" s="6"/>
      </tp>
      <tp t="e">
        <v>#N/A</v>
        <stp/>
        <stp>BDH|6174586283511694321</stp>
        <tr r="N77" s="18"/>
      </tp>
      <tp t="e">
        <v>#N/A</v>
        <stp/>
        <stp>BDH|4385236148312621900</stp>
        <tr r="G87" s="12"/>
      </tp>
      <tp t="e">
        <v>#N/A</v>
        <stp/>
        <stp>BDH|1903529558378458090</stp>
        <tr r="V19" s="9"/>
      </tp>
      <tp t="e">
        <v>#N/A</v>
        <stp/>
        <stp>BDH|6238958288409920782</stp>
        <tr r="Y25" s="14"/>
      </tp>
      <tp t="e">
        <v>#N/A</v>
        <stp/>
        <stp>BDH|8324191371351089657</stp>
        <tr r="R151" s="18"/>
      </tp>
      <tp t="e">
        <v>#N/A</v>
        <stp/>
        <stp>BDH|5132314442439893244</stp>
        <tr r="N37" s="21"/>
      </tp>
      <tp t="e">
        <v>#N/A</v>
        <stp/>
        <stp>BDH|2511274280927953657</stp>
        <tr r="S21" s="3"/>
      </tp>
      <tp t="e">
        <v>#N/A</v>
        <stp/>
        <stp>BDH|1152754980350993735</stp>
        <tr r="N45" s="22"/>
      </tp>
      <tp t="e">
        <v>#N/A</v>
        <stp/>
        <stp>BDH|6806874382417196838</stp>
        <tr r="Q59" s="21"/>
        <tr r="Q37" s="25"/>
        <tr r="O31" s="4"/>
        <tr r="O52" s="11"/>
      </tp>
      <tp t="e">
        <v>#N/A</v>
        <stp/>
        <stp>BDH|9187017225843829124</stp>
        <tr r="R12" s="10"/>
      </tp>
      <tp t="e">
        <v>#N/A</v>
        <stp/>
        <stp>BDH|5710483761846522848</stp>
        <tr r="D117" s="18"/>
      </tp>
      <tp t="e">
        <v>#N/A</v>
        <stp/>
        <stp>BDH|3529896647251473702</stp>
        <tr r="M49" s="6"/>
        <tr r="O10" s="8"/>
      </tp>
      <tp t="e">
        <v>#N/A</v>
        <stp/>
        <stp>BDH|4641402355704818843</stp>
        <tr r="F40" s="6"/>
      </tp>
      <tp t="e">
        <v>#N/A</v>
        <stp/>
        <stp>BDH|1890942746461785425</stp>
        <tr r="V82" s="17"/>
        <tr r="V20" s="3"/>
        <tr r="T6" s="7"/>
      </tp>
      <tp t="e">
        <v>#N/A</v>
        <stp/>
        <stp>BDH|9886135583600203959</stp>
        <tr r="R8" s="6"/>
      </tp>
      <tp t="e">
        <v>#N/A</v>
        <stp/>
        <stp>BDH|2874500087753812583</stp>
        <tr r="U209" s="18"/>
      </tp>
      <tp t="e">
        <v>#N/A</v>
        <stp/>
        <stp>BDH|9575959576758148688</stp>
        <tr r="Y74" s="18"/>
      </tp>
      <tp t="e">
        <v>#N/A</v>
        <stp/>
        <stp>BDH|8066639272185992572</stp>
        <tr r="V146" s="18"/>
      </tp>
      <tp t="e">
        <v>#N/A</v>
        <stp/>
        <stp>BDH|1114404106098063486</stp>
        <tr r="Y6" s="15"/>
        <tr r="Y12" s="2"/>
        <tr r="Y11" s="4"/>
        <tr r="Y6" s="10"/>
      </tp>
      <tp t="e">
        <v>#N/A</v>
        <stp/>
        <stp>BDH|3473945709512560135</stp>
        <tr r="T88" s="12"/>
      </tp>
      <tp t="e">
        <v>#N/A</v>
        <stp/>
        <stp>BDH|1963334206468600352</stp>
        <tr r="N100" s="12"/>
      </tp>
      <tp t="e">
        <v>#N/A</v>
        <stp/>
        <stp>BDH|9014697537477546242</stp>
        <tr r="Q18" s="11"/>
      </tp>
      <tp t="e">
        <v>#N/A</v>
        <stp/>
        <stp>BDH|8642000361400972713</stp>
        <tr r="W13" s="18"/>
      </tp>
      <tp t="e">
        <v>#N/A</v>
        <stp/>
        <stp>BDH|4704398454063192846</stp>
        <tr r="N15" s="18"/>
      </tp>
      <tp t="e">
        <v>#N/A</v>
        <stp/>
        <stp>BDH|2219894572282331653</stp>
        <tr r="D35" s="10"/>
        <tr r="D25" s="11"/>
      </tp>
      <tp t="e">
        <v>#N/A</v>
        <stp/>
        <stp>BDH|3684390448975802806</stp>
        <tr r="I75" s="18"/>
      </tp>
      <tp t="e">
        <v>#N/A</v>
        <stp/>
        <stp>BDH|3776608125007816959</stp>
        <tr r="U72" s="17"/>
      </tp>
      <tp t="e">
        <v>#N/A</v>
        <stp/>
        <stp>BDH|5101741917252912845</stp>
        <tr r="X18" s="24"/>
      </tp>
      <tp t="e">
        <v>#N/A</v>
        <stp/>
        <stp>BDH|2713686440679725075</stp>
        <tr r="T16" s="2"/>
        <tr r="T32" s="4"/>
        <tr r="T62" s="10"/>
        <tr r="V19" s="13"/>
      </tp>
      <tp t="e">
        <v>#N/A</v>
        <stp/>
        <stp>BDH|7365163320208813520</stp>
        <tr r="E14" s="4"/>
      </tp>
      <tp t="e">
        <v>#N/A</v>
        <stp/>
        <stp>BDH|5209643662355914927</stp>
        <tr r="U18" s="29"/>
        <tr r="U41" s="29"/>
      </tp>
      <tp t="e">
        <v>#N/A</v>
        <stp/>
        <stp>BDH|2712994576596319348</stp>
        <tr r="Y30" s="29"/>
        <tr r="Y8" s="29"/>
      </tp>
      <tp t="e">
        <v>#N/A</v>
        <stp/>
        <stp>BDH|8641708581376910817</stp>
        <tr r="L8" s="4"/>
      </tp>
      <tp t="e">
        <v>#N/A</v>
        <stp/>
        <stp>BDH|1424891406816074644</stp>
        <tr r="D13" s="13"/>
      </tp>
      <tp t="e">
        <v>#N/A</v>
        <stp/>
        <stp>BDH|7678519983312919124</stp>
        <tr r="AA34" s="24"/>
      </tp>
      <tp t="e">
        <v>#N/A</v>
        <stp/>
        <stp>BDH|6734280965753394866</stp>
        <tr r="E11" s="28"/>
      </tp>
      <tp t="e">
        <v>#N/A</v>
        <stp/>
        <stp>BDH|4537045828956615904</stp>
        <tr r="O34" s="5"/>
        <tr r="Q32" s="29"/>
      </tp>
      <tp t="e">
        <v>#N/A</v>
        <stp/>
        <stp>BDH|6463398152781223821</stp>
        <tr r="W27" s="10"/>
        <tr r="Y36" s="13"/>
      </tp>
      <tp t="e">
        <v>#N/A</v>
        <stp/>
        <stp>BDH|7129269087276649290</stp>
        <tr r="AA29" s="12"/>
      </tp>
      <tp t="e">
        <v>#N/A</v>
        <stp/>
        <stp>BDH|6116755696931525083</stp>
        <tr r="F9" s="10"/>
      </tp>
      <tp t="e">
        <v>#N/A</v>
        <stp/>
        <stp>BDH|1351118398570547000</stp>
        <tr r="G18" s="20"/>
      </tp>
      <tp t="e">
        <v>#N/A</v>
        <stp/>
        <stp>BDH|9116362792948817227</stp>
        <tr r="S43" s="12"/>
      </tp>
      <tp t="e">
        <v>#N/A</v>
        <stp/>
        <stp>BDH|7832432188894457680</stp>
        <tr r="Q80" s="12"/>
      </tp>
      <tp t="e">
        <v>#N/A</v>
        <stp/>
        <stp>BDH|4916371199166998114</stp>
        <tr r="L71" s="17"/>
      </tp>
      <tp t="e">
        <v>#N/A</v>
        <stp/>
        <stp>BDH|7398201945121116987</stp>
        <tr r="I18" s="21"/>
      </tp>
      <tp t="e">
        <v>#N/A</v>
        <stp/>
        <stp>BDH|9975136202644015579</stp>
        <tr r="Z46" s="21"/>
      </tp>
      <tp t="e">
        <v>#N/A</v>
        <stp/>
        <stp>BDH|7317388805014345923</stp>
        <tr r="W47" s="12"/>
      </tp>
      <tp t="e">
        <v>#N/A</v>
        <stp/>
        <stp>BDH|5814651893556155531</stp>
        <tr r="L13" s="10"/>
      </tp>
      <tp t="e">
        <v>#N/A</v>
        <stp/>
        <stp>BDH|2318902248522741403</stp>
        <tr r="V78" s="34"/>
      </tp>
      <tp t="e">
        <v>#N/A</v>
        <stp/>
        <stp>BDH|3189830026939000980</stp>
        <tr r="U66" s="12"/>
      </tp>
      <tp t="e">
        <v>#N/A</v>
        <stp/>
        <stp>BDH|2041541229855182905</stp>
        <tr r="U168" s="18"/>
      </tp>
      <tp t="e">
        <v>#N/A</v>
        <stp/>
        <stp>BDH|4233422679036303861</stp>
        <tr r="Z107" s="18"/>
      </tp>
      <tp t="e">
        <v>#N/A</v>
        <stp/>
        <stp>BDH|9631293663940205429</stp>
        <tr r="S8" s="2"/>
      </tp>
      <tp t="e">
        <v>#N/A</v>
        <stp/>
        <stp>BDH|2005096385996091506</stp>
        <tr r="J39" s="4"/>
        <tr r="J66" s="10"/>
      </tp>
      <tp t="e">
        <v>#N/A</v>
        <stp/>
        <stp>BDH|7028852328221076515</stp>
        <tr r="H18" s="26"/>
      </tp>
      <tp t="e">
        <v>#N/A</v>
        <stp/>
        <stp>BDH|9666770042483961064</stp>
        <tr r="L115" s="18"/>
      </tp>
      <tp t="e">
        <v>#N/A</v>
        <stp/>
        <stp>BDH|5019700577474257893</stp>
        <tr r="H13" s="30"/>
      </tp>
      <tp t="e">
        <v>#N/A</v>
        <stp/>
        <stp>BDH|3243087505003462977</stp>
        <tr r="F6" s="2"/>
        <tr r="E6" s="5"/>
        <tr r="E6" s="9"/>
        <tr r="G12" s="8"/>
        <tr r="G10" s="29"/>
        <tr r="G19" s="29"/>
        <tr r="G25" s="29"/>
      </tp>
      <tp t="e">
        <v>#N/A</v>
        <stp/>
        <stp>BDH|5128195765888145309</stp>
        <tr r="N32" s="10"/>
        <tr r="P41" s="13"/>
      </tp>
      <tp t="e">
        <v>#N/A</v>
        <stp/>
        <stp>BDH|6895807344400295321</stp>
        <tr r="S84" s="18"/>
      </tp>
      <tp t="e">
        <v>#N/A</v>
        <stp/>
        <stp>BDH|4969457653665455970</stp>
        <tr r="L45" s="34"/>
      </tp>
      <tp t="e">
        <v>#N/A</v>
        <stp/>
        <stp>BDH|2876924041601078770</stp>
        <tr r="Z69" s="34"/>
      </tp>
      <tp t="e">
        <v>#N/A</v>
        <stp/>
        <stp>BDH|6707305291097834223</stp>
        <tr r="S23" s="22"/>
      </tp>
      <tp t="e">
        <v>#N/A</v>
        <stp/>
        <stp>BDH|6312164885476463083</stp>
        <tr r="G58" s="34"/>
      </tp>
      <tp t="e">
        <v>#N/A</v>
        <stp/>
        <stp>BDH|5634482560018509675</stp>
        <tr r="Q45" s="22"/>
      </tp>
      <tp t="e">
        <v>#N/A</v>
        <stp/>
        <stp>BDH|6685329234497849847</stp>
        <tr r="S53" s="21"/>
      </tp>
      <tp t="e">
        <v>#N/A</v>
        <stp/>
        <stp>BDH|1567098315428697135</stp>
        <tr r="J25" s="13"/>
      </tp>
      <tp t="e">
        <v>#N/A</v>
        <stp/>
        <stp>BDH|5942767687963281064</stp>
        <tr r="E90" s="24"/>
      </tp>
      <tp t="e">
        <v>#N/A</v>
        <stp/>
        <stp>BDH|2238550483626831000</stp>
        <tr r="W18" s="11"/>
      </tp>
      <tp t="e">
        <v>#N/A</v>
        <stp/>
        <stp>BDH|3510361306688863116</stp>
        <tr r="Q156" s="18"/>
      </tp>
      <tp t="e">
        <v>#N/A</v>
        <stp/>
        <stp>BDH|2691909500934891629</stp>
        <tr r="H47" s="22"/>
      </tp>
      <tp t="e">
        <v>#N/A</v>
        <stp/>
        <stp>BDH|3108816923331740188</stp>
        <tr r="AA8" s="14"/>
      </tp>
      <tp t="e">
        <v>#N/A</v>
        <stp/>
        <stp>BDH|8933278700126208503</stp>
        <tr r="V19" s="5"/>
        <tr r="V42" s="6"/>
      </tp>
      <tp t="e">
        <v>#N/A</v>
        <stp/>
        <stp>BDH|2726944511144990776</stp>
        <tr r="L17" s="20"/>
      </tp>
      <tp t="e">
        <v>#N/A</v>
        <stp/>
        <stp>BDH|9273083069947637196</stp>
        <tr r="L72" s="12"/>
      </tp>
      <tp t="e">
        <v>#N/A</v>
        <stp/>
        <stp>BDH|7749028722864360888</stp>
        <tr r="O158" s="18"/>
      </tp>
      <tp t="e">
        <v>#N/A</v>
        <stp/>
        <stp>BDH|1453951576347287192</stp>
        <tr r="J95" s="24"/>
      </tp>
      <tp t="e">
        <v>#N/A</v>
        <stp/>
        <stp>BDH|4491422295859894977</stp>
        <tr r="D18" s="5"/>
        <tr r="D37" s="6"/>
      </tp>
      <tp t="e">
        <v>#N/A</v>
        <stp/>
        <stp>BDH|5941572440895350816</stp>
        <tr r="AA10" s="34"/>
      </tp>
      <tp t="e">
        <v>#N/A</v>
        <stp/>
        <stp>BDH|5469697382532412078</stp>
        <tr r="W21" s="3"/>
      </tp>
      <tp t="e">
        <v>#N/A</v>
        <stp/>
        <stp>BDH|7597859111610587782</stp>
        <tr r="E88" s="24"/>
      </tp>
      <tp t="e">
        <v>#N/A</v>
        <stp/>
        <stp>BDH|9090801503641661994</stp>
        <tr r="P25" s="34"/>
      </tp>
      <tp t="e">
        <v>#N/A</v>
        <stp/>
        <stp>BDH|6225955358904624750</stp>
        <tr r="K30" s="21"/>
      </tp>
      <tp t="e">
        <v>#N/A</v>
        <stp/>
        <stp>BDH|7969012100727472908</stp>
        <tr r="K173" s="18"/>
      </tp>
      <tp t="e">
        <v>#N/A</v>
        <stp/>
        <stp>BDH|2436451019866402804</stp>
        <tr r="L9" s="11"/>
      </tp>
      <tp t="e">
        <v>#N/A</v>
        <stp/>
        <stp>BDH|5253487881256692617</stp>
        <tr r="X87" s="12"/>
      </tp>
      <tp t="e">
        <v>#N/A</v>
        <stp/>
        <stp>BDH|8449519251589068880</stp>
        <tr r="H20" s="2"/>
        <tr r="H18" s="4"/>
        <tr r="H58" s="10"/>
        <tr r="H48" s="11"/>
        <tr r="H19" s="7"/>
        <tr r="J74" s="13"/>
      </tp>
      <tp t="e">
        <v>#N/A</v>
        <stp/>
        <stp>BDH|2260024226409875030</stp>
        <tr r="I8" s="28"/>
      </tp>
      <tp t="e">
        <v>#N/A</v>
        <stp/>
        <stp>BDH|9215994316830683865</stp>
        <tr r="Q70" s="24"/>
      </tp>
      <tp t="e">
        <v>#N/A</v>
        <stp/>
        <stp>BDH|3133311769449077641</stp>
        <tr r="AA20" s="24"/>
      </tp>
      <tp t="e">
        <v>#N/A</v>
        <stp/>
        <stp>BDH|4932547994433133253</stp>
        <tr r="M9" s="18"/>
      </tp>
      <tp t="e">
        <v>#N/A</v>
        <stp/>
        <stp>BDH|2186730619809605403</stp>
        <tr r="W12" s="17"/>
      </tp>
      <tp t="e">
        <v>#N/A</v>
        <stp/>
        <stp>BDH|6373949703813806515</stp>
        <tr r="Y48" s="24"/>
      </tp>
      <tp t="e">
        <v>#N/A</v>
        <stp/>
        <stp>BDH|3046879121728291891</stp>
        <tr r="Z34" s="26"/>
      </tp>
      <tp t="e">
        <v>#N/A</v>
        <stp/>
        <stp>BDH|5377521989494697539</stp>
        <tr r="U72" s="18"/>
      </tp>
      <tp t="e">
        <v>#N/A</v>
        <stp/>
        <stp>BDH|2916336553204439904</stp>
        <tr r="G7" s="17"/>
      </tp>
      <tp t="e">
        <v>#N/A</v>
        <stp/>
        <stp>BDH|7448578189534031778</stp>
        <tr r="U42" s="22"/>
      </tp>
      <tp t="e">
        <v>#N/A</v>
        <stp/>
        <stp>BDH|5359940348683135235</stp>
        <tr r="Z10" s="13"/>
      </tp>
      <tp t="e">
        <v>#N/A</v>
        <stp/>
        <stp>BDH|3347430071079950054</stp>
        <tr r="C10" s="2"/>
        <tr r="D33" s="29"/>
        <tr r="D42" s="29"/>
      </tp>
      <tp t="e">
        <v>#N/A</v>
        <stp/>
        <stp>BDH|2669370218470161951</stp>
        <tr r="V90" s="24"/>
      </tp>
      <tp t="e">
        <v>#N/A</v>
        <stp/>
        <stp>BDH|5787161085626891312</stp>
        <tr r="L11" s="3"/>
        <tr r="J50" s="10"/>
        <tr r="J40" s="11"/>
        <tr r="J8" s="7"/>
      </tp>
      <tp t="e">
        <v>#N/A</v>
        <stp/>
        <stp>BDH|6427794892538202907</stp>
        <tr r="U78" s="34"/>
      </tp>
      <tp t="e">
        <v>#N/A</v>
        <stp/>
        <stp>BDH|9070352253686833034</stp>
        <tr r="K64" s="24"/>
      </tp>
      <tp t="e">
        <v>#N/A</v>
        <stp/>
        <stp>BDH|1634565672503730987</stp>
        <tr r="Q24" s="10"/>
      </tp>
      <tp t="e">
        <v>#N/A</v>
        <stp/>
        <stp>BDH|2843483849442757931</stp>
        <tr r="D8" s="8"/>
      </tp>
      <tp t="e">
        <v>#N/A</v>
        <stp/>
        <stp>BDH|6107036528325434830</stp>
        <tr r="E29" s="18"/>
      </tp>
      <tp t="e">
        <v>#N/A</v>
        <stp/>
        <stp>BDH|9663342466731167483</stp>
        <tr r="Q120" s="18"/>
        <tr r="Q8" s="20"/>
      </tp>
      <tp t="e">
        <v>#N/A</v>
        <stp/>
        <stp>BDH|9029792150305640721</stp>
        <tr r="S74" s="24"/>
      </tp>
      <tp t="e">
        <v>#N/A</v>
        <stp/>
        <stp>BDH|6910649556398155478</stp>
        <tr r="C27" s="7"/>
      </tp>
      <tp t="e">
        <v>#N/A</v>
        <stp/>
        <stp>BDH|6970982568138492804</stp>
        <tr r="X40" s="12"/>
      </tp>
      <tp t="e">
        <v>#N/A</v>
        <stp/>
        <stp>BDH|1163506459991543904</stp>
        <tr r="G17" s="17"/>
        <tr r="G20" s="28"/>
      </tp>
      <tp t="e">
        <v>#N/A</v>
        <stp/>
        <stp>BDH|3751884716387686423</stp>
        <tr r="K92" s="18"/>
      </tp>
      <tp t="e">
        <v>#N/A</v>
        <stp/>
        <stp>BDH|7821824568984919466</stp>
        <tr r="I49" s="12"/>
      </tp>
      <tp t="e">
        <v>#N/A</v>
        <stp/>
        <stp>BDH|2773893251931073722</stp>
        <tr r="F161" s="18"/>
      </tp>
      <tp t="e">
        <v>#N/A</v>
        <stp/>
        <stp>BDH|8717718449543277100</stp>
        <tr r="M55" s="21"/>
      </tp>
      <tp t="e">
        <v>#N/A</v>
        <stp/>
        <stp>BDH|2952246549678881516</stp>
        <tr r="I65" s="18"/>
      </tp>
      <tp t="e">
        <v>#N/A</v>
        <stp/>
        <stp>BDH|2146125198054038769</stp>
        <tr r="P46" s="18"/>
      </tp>
      <tp t="e">
        <v>#N/A</v>
        <stp/>
        <stp>BDH|9270966592992927220</stp>
        <tr r="E22" s="4"/>
      </tp>
      <tp t="e">
        <v>#N/A</v>
        <stp/>
        <stp>BDH|7038892792638039769</stp>
        <tr r="F20" s="24"/>
      </tp>
      <tp t="e">
        <v>#N/A</v>
        <stp/>
        <stp>BDH|8301562400870954412</stp>
        <tr r="U57" s="11"/>
        <tr r="W15" s="23"/>
      </tp>
      <tp t="e">
        <v>#N/A</v>
        <stp/>
        <stp>BDH|4949567450714483961</stp>
        <tr r="F53" s="18"/>
      </tp>
      <tp t="e">
        <v>#N/A</v>
        <stp/>
        <stp>BDH|7899424805433524977</stp>
        <tr r="X129" s="18"/>
      </tp>
      <tp t="e">
        <v>#N/A</v>
        <stp/>
        <stp>BDH|1823413821057291974</stp>
        <tr r="R79" s="34"/>
      </tp>
      <tp t="e">
        <v>#N/A</v>
        <stp/>
        <stp>BDH|6662090923458984585</stp>
        <tr r="M86" s="17"/>
      </tp>
      <tp t="e">
        <v>#N/A</v>
        <stp/>
        <stp>BDH|3321873519443228029</stp>
        <tr r="D10" s="21"/>
      </tp>
      <tp t="e">
        <v>#N/A</v>
        <stp/>
        <stp>BDH|2000317885933951305</stp>
        <tr r="W8" s="22"/>
      </tp>
      <tp t="e">
        <v>#N/A</v>
        <stp/>
        <stp>BDH|6835745319299729007</stp>
        <tr r="W139" s="18"/>
      </tp>
      <tp t="e">
        <v>#N/A</v>
        <stp/>
        <stp>BDH|7224848504944630260</stp>
        <tr r="AA81" s="24"/>
      </tp>
      <tp t="e">
        <v>#N/A</v>
        <stp/>
        <stp>BDH|1796988748094744126</stp>
        <tr r="N22" s="20"/>
      </tp>
      <tp t="e">
        <v>#N/A</v>
        <stp/>
        <stp>BDH|1504669590567869099</stp>
        <tr r="Y58" s="34"/>
      </tp>
      <tp t="e">
        <v>#N/A</v>
        <stp/>
        <stp>BDH|2154653312345348972</stp>
        <tr r="R22" s="20"/>
      </tp>
      <tp t="e">
        <v>#N/A</v>
        <stp/>
        <stp>BDH|6528128294736466159</stp>
        <tr r="N30" s="18"/>
      </tp>
      <tp t="e">
        <v>#N/A</v>
        <stp/>
        <stp>BDH|9275876967019802783</stp>
        <tr r="L44" s="21"/>
      </tp>
      <tp t="e">
        <v>#N/A</v>
        <stp/>
        <stp>BDH|1141038228192182897</stp>
        <tr r="S53" s="12"/>
      </tp>
      <tp t="e">
        <v>#N/A</v>
        <stp/>
        <stp>BDH|2222184617053914862</stp>
        <tr r="K7" s="11"/>
      </tp>
      <tp t="e">
        <v>#N/A</v>
        <stp/>
        <stp>BDH|2161243296617002716</stp>
        <tr r="K18" s="9"/>
      </tp>
      <tp t="e">
        <v>#N/A</v>
        <stp/>
        <stp>BDH|5722672483050279232</stp>
        <tr r="H66" s="21"/>
        <tr r="E27" s="6"/>
      </tp>
      <tp t="e">
        <v>#N/A</v>
        <stp/>
        <stp>BDH|2525133497533796049</stp>
        <tr r="G14" s="17"/>
        <tr r="G17" s="28"/>
      </tp>
      <tp t="e">
        <v>#N/A</v>
        <stp/>
        <stp>BDH|5550996486468947517</stp>
        <tr r="C8" s="8"/>
      </tp>
      <tp t="e">
        <v>#N/A</v>
        <stp/>
        <stp>BDH|9891549239267733106</stp>
        <tr r="Q55" s="24"/>
      </tp>
      <tp t="e">
        <v>#N/A</v>
        <stp/>
        <stp>BDH|6659373913355212823</stp>
        <tr r="P13" s="22"/>
      </tp>
      <tp t="e">
        <v>#N/A</v>
        <stp/>
        <stp>BDH|9874792476434244472</stp>
        <tr r="O48" s="6"/>
        <tr r="Q9" s="8"/>
      </tp>
      <tp t="e">
        <v>#N/A</v>
        <stp/>
        <stp>BDH|9977486969007829524</stp>
        <tr r="O9" s="28"/>
      </tp>
      <tp t="e">
        <v>#N/A</v>
        <stp/>
        <stp>BDH|7147656337302024914</stp>
        <tr r="F16" s="29"/>
        <tr r="F39" s="29"/>
      </tp>
      <tp t="e">
        <v>#N/A</v>
        <stp/>
        <stp>BDH|5184240851938753313</stp>
        <tr r="D11" s="9"/>
      </tp>
      <tp t="e">
        <v>#N/A</v>
        <stp/>
        <stp>BDH|4023336386485662311</stp>
        <tr r="S20" s="22"/>
      </tp>
      <tp t="e">
        <v>#N/A</v>
        <stp/>
        <stp>BDH|3316913621128605975</stp>
        <tr r="V93" s="24"/>
      </tp>
      <tp t="e">
        <v>#N/A</v>
        <stp/>
        <stp>BDH|5871084419474200991</stp>
        <tr r="S83" s="24"/>
      </tp>
      <tp t="e">
        <v>#N/A</v>
        <stp/>
        <stp>BDH|8022212425278143970</stp>
        <tr r="C16" s="21"/>
      </tp>
      <tp t="e">
        <v>#N/A</v>
        <stp/>
        <stp>BDH|3075979081523488805</stp>
        <tr r="K25" s="34"/>
      </tp>
      <tp t="e">
        <v>#N/A</v>
        <stp/>
        <stp>BDH|7012571307738749355</stp>
        <tr r="K24" s="22"/>
      </tp>
      <tp t="e">
        <v>#N/A</v>
        <stp/>
        <stp>BDH|8447971827158571235</stp>
        <tr r="R12" s="13"/>
      </tp>
      <tp t="e">
        <v>#N/A</v>
        <stp/>
        <stp>BDH|4164378191166406116</stp>
        <tr r="O62" s="34"/>
      </tp>
      <tp t="e">
        <v>#N/A</v>
        <stp/>
        <stp>BDH|9052469376974187737</stp>
        <tr r="I19" s="30"/>
      </tp>
      <tp t="e">
        <v>#N/A</v>
        <stp/>
        <stp>BDH|2088434546068761300</stp>
        <tr r="V64" s="21"/>
      </tp>
      <tp t="e">
        <v>#N/A</v>
        <stp/>
        <stp>BDH|8327030114736107678</stp>
        <tr r="I162" s="18"/>
      </tp>
      <tp t="e">
        <v>#N/A</v>
        <stp/>
        <stp>BDH|4310949225601303732</stp>
        <tr r="W10" s="12"/>
      </tp>
      <tp t="e">
        <v>#N/A</v>
        <stp/>
        <stp>BDH|9229424542585440548</stp>
        <tr r="T50" s="24"/>
      </tp>
      <tp t="e">
        <v>#N/A</v>
        <stp/>
        <stp>BDH|2599953000691570374</stp>
        <tr r="K85" s="17"/>
      </tp>
      <tp t="e">
        <v>#N/A</v>
        <stp/>
        <stp>BDH|2009976340885023352</stp>
        <tr r="L91" s="17"/>
      </tp>
      <tp t="e">
        <v>#N/A</v>
        <stp/>
        <stp>BDH|8156715403567695172</stp>
        <tr r="H22" s="18"/>
      </tp>
      <tp t="e">
        <v>#N/A</v>
        <stp/>
        <stp>BDH|6863658219049678107</stp>
        <tr r="I48" s="24"/>
      </tp>
      <tp t="e">
        <v>#N/A</v>
        <stp/>
        <stp>BDH|7199813267629144946</stp>
        <tr r="G45" s="18"/>
      </tp>
      <tp t="e">
        <v>#N/A</v>
        <stp/>
        <stp>BDH|7835185606636089946</stp>
        <tr r="V95" s="18"/>
      </tp>
      <tp t="e">
        <v>#N/A</v>
        <stp/>
        <stp>BDH|3152985633767113787</stp>
        <tr r="AA134" s="18"/>
      </tp>
      <tp t="e">
        <v>#N/A</v>
        <stp/>
        <stp>BDH|5083272807508482676</stp>
        <tr r="M32" s="26"/>
      </tp>
      <tp t="e">
        <v>#N/A</v>
        <stp/>
        <stp>BDH|5430525767357135836</stp>
        <tr r="Y32" s="22"/>
      </tp>
      <tp t="e">
        <v>#N/A</v>
        <stp/>
        <stp>BDH|1043611841232239814</stp>
        <tr r="E9" s="12"/>
      </tp>
      <tp t="e">
        <v>#N/A</v>
        <stp/>
        <stp>BDH|7113728328018090380</stp>
        <tr r="L39" s="25"/>
        <tr r="L7" s="3"/>
        <tr r="J17" s="11"/>
        <tr r="L22" s="13"/>
        <tr r="L7" s="13"/>
      </tp>
      <tp t="e">
        <v>#N/A</v>
        <stp/>
        <stp>BDH|7069201972089731264</stp>
        <tr r="L73" s="13"/>
      </tp>
      <tp t="e">
        <v>#N/A</v>
        <stp/>
        <stp>BDH|7980699811810583971</stp>
        <tr r="T18" s="20"/>
      </tp>
      <tp t="e">
        <v>#N/A</v>
        <stp/>
        <stp>BDH|8207974321388504224</stp>
        <tr r="R124" s="18"/>
        <tr r="R13" s="20"/>
      </tp>
      <tp t="e">
        <v>#N/A</v>
        <stp/>
        <stp>BDH|3861141198411087379</stp>
        <tr r="I64" s="12"/>
      </tp>
      <tp t="e">
        <v>#N/A</v>
        <stp/>
        <stp>BDH|9852739723934859132</stp>
        <tr r="O16" s="23"/>
      </tp>
      <tp t="e">
        <v>#N/A</v>
        <stp/>
        <stp>BDH|2162886210604235680</stp>
        <tr r="D109" s="18"/>
      </tp>
      <tp t="e">
        <v>#N/A</v>
        <stp/>
        <stp>BDH|4981886346584486506</stp>
        <tr r="F69" s="18"/>
      </tp>
      <tp t="e">
        <v>#N/A</v>
        <stp/>
        <stp>BDH|9103623874109113856</stp>
        <tr r="G67" s="21"/>
      </tp>
      <tp t="e">
        <v>#N/A</v>
        <stp/>
        <stp>BDH|9674029414006729749</stp>
        <tr r="P20" s="34"/>
      </tp>
      <tp t="e">
        <v>#N/A</v>
        <stp/>
        <stp>BDH|8087989694270852172</stp>
        <tr r="O62" s="24"/>
      </tp>
      <tp t="e">
        <v>#N/A</v>
        <stp/>
        <stp>BDH|2589389012639800043</stp>
        <tr r="C23" s="13"/>
      </tp>
      <tp t="e">
        <v>#N/A</v>
        <stp/>
        <stp>BDH|8649683044335155686</stp>
        <tr r="H204" s="18"/>
      </tp>
      <tp t="e">
        <v>#N/A</v>
        <stp/>
        <stp>BDH|5736516193685057561</stp>
        <tr r="M47" s="10"/>
        <tr r="M37" s="11"/>
      </tp>
      <tp t="e">
        <v>#N/A</v>
        <stp/>
        <stp>BDH|5660731344929615649</stp>
        <tr r="S76" s="12"/>
      </tp>
      <tp t="e">
        <v>#N/A</v>
        <stp/>
        <stp>BDH|4975221162271252887</stp>
        <tr r="V30" s="26"/>
      </tp>
      <tp t="e">
        <v>#N/A</v>
        <stp/>
        <stp>BDH|8108623837512208650</stp>
        <tr r="O37" s="12"/>
      </tp>
      <tp t="e">
        <v>#N/A</v>
        <stp/>
        <stp>BDH|7989726218591898984</stp>
        <tr r="M49" s="18"/>
      </tp>
      <tp t="e">
        <v>#N/A</v>
        <stp/>
        <stp>BDH|6139509076978135556</stp>
        <tr r="T19" s="9"/>
      </tp>
      <tp t="e">
        <v>#N/A</v>
        <stp/>
        <stp>BDH|3382707093714774046</stp>
        <tr r="AA33" s="21"/>
      </tp>
      <tp t="e">
        <v>#N/A</v>
        <stp/>
        <stp>BDH|5543569978516812800</stp>
        <tr r="M31" s="21"/>
      </tp>
      <tp t="e">
        <v>#N/A</v>
        <stp/>
        <stp>BDH|8540510967247164519</stp>
        <tr r="R6" s="2"/>
        <tr r="Q6" s="5"/>
        <tr r="Q6" s="9"/>
        <tr r="S12" s="8"/>
        <tr r="S10" s="29"/>
        <tr r="S19" s="29"/>
        <tr r="S25" s="29"/>
      </tp>
      <tp t="e">
        <v>#N/A</v>
        <stp/>
        <stp>BDH|3080187291670885229</stp>
        <tr r="Y108" s="18"/>
      </tp>
      <tp t="e">
        <v>#N/A</v>
        <stp/>
        <stp>BDH|5669864643258698861</stp>
        <tr r="Z15" s="12"/>
      </tp>
      <tp t="e">
        <v>#N/A</v>
        <stp/>
        <stp>BDH|7052368781390735535</stp>
        <tr r="N67" s="12"/>
      </tp>
      <tp t="e">
        <v>#N/A</v>
        <stp/>
        <stp>BDH|9673962024963073870</stp>
        <tr r="O81" s="18"/>
      </tp>
      <tp t="e">
        <v>#N/A</v>
        <stp/>
        <stp>BDH|6210084121368840509</stp>
        <tr r="H24" s="14"/>
      </tp>
      <tp t="e">
        <v>#N/A</v>
        <stp/>
        <stp>BDH|1284963321986713518</stp>
        <tr r="W32" s="17"/>
      </tp>
      <tp t="e">
        <v>#N/A</v>
        <stp/>
        <stp>BDH|4085310795313016470</stp>
        <tr r="H35" s="18"/>
      </tp>
      <tp t="e">
        <v>#N/A</v>
        <stp/>
        <stp>BDH|6047098685221736687</stp>
        <tr r="C81" s="12"/>
      </tp>
      <tp t="e">
        <v>#N/A</v>
        <stp/>
        <stp>BDH|5490982849970483120</stp>
        <tr r="Q52" s="12"/>
      </tp>
      <tp t="e">
        <v>#N/A</v>
        <stp/>
        <stp>BDH|6714329185437229314</stp>
        <tr r="R41" s="12"/>
      </tp>
      <tp t="e">
        <v>#N/A</v>
        <stp/>
        <stp>BDH|1372058573467774810</stp>
        <tr r="U79" s="34"/>
      </tp>
      <tp t="e">
        <v>#N/A</v>
        <stp/>
        <stp>BDH|3386113403132064920</stp>
        <tr r="P93" s="24"/>
      </tp>
      <tp t="e">
        <v>#N/A</v>
        <stp/>
        <stp>BDH|5140718020648766140</stp>
        <tr r="W47" s="24"/>
      </tp>
      <tp t="e">
        <v>#N/A</v>
        <stp/>
        <stp>BDH|7388529822680994992</stp>
        <tr r="I16" s="14"/>
      </tp>
      <tp t="e">
        <v>#N/A</v>
        <stp/>
        <stp>BDH|8277346854777526048</stp>
        <tr r="Y150" s="18"/>
      </tp>
      <tp t="e">
        <v>#N/A</v>
        <stp/>
        <stp>BDH|8489607574294715443</stp>
        <tr r="K22" s="7"/>
      </tp>
      <tp t="e">
        <v>#N/A</v>
        <stp/>
        <stp>BDH|6912016109948515770</stp>
        <tr r="P71" s="12"/>
      </tp>
      <tp t="e">
        <v>#N/A</v>
        <stp/>
        <stp>BDH|6284792999563596248</stp>
        <tr r="M50" s="34"/>
      </tp>
      <tp t="e">
        <v>#N/A</v>
        <stp/>
        <stp>BDH|4291832691069429577</stp>
        <tr r="M60" s="34"/>
      </tp>
      <tp t="e">
        <v>#N/A</v>
        <stp/>
        <stp>BDH|9283462801724599005</stp>
        <tr r="O80" s="18"/>
      </tp>
      <tp t="e">
        <v>#N/A</v>
        <stp/>
        <stp>BDH|5287433282918066835</stp>
        <tr r="Y25" s="34"/>
      </tp>
      <tp t="e">
        <v>#N/A</v>
        <stp/>
        <stp>BDH|9634196418381245153</stp>
        <tr r="G78" s="34"/>
      </tp>
      <tp t="e">
        <v>#N/A</v>
        <stp/>
        <stp>BDH|6269737697448378952</stp>
        <tr r="J94" s="17"/>
      </tp>
      <tp t="e">
        <v>#N/A</v>
        <stp/>
        <stp>BDH|9464703657932382007</stp>
        <tr r="N81" s="18"/>
      </tp>
      <tp t="e">
        <v>#N/A</v>
        <stp/>
        <stp>BDH|7212648890934540537</stp>
        <tr r="G20" s="25"/>
      </tp>
      <tp t="e">
        <v>#N/A</v>
        <stp/>
        <stp>BDH|1140954555294906081</stp>
        <tr r="V71" s="18"/>
      </tp>
      <tp t="e">
        <v>#N/A</v>
        <stp/>
        <stp>BDH|5358740716742860896</stp>
        <tr r="K21" s="2"/>
      </tp>
      <tp t="e">
        <v>#N/A</v>
        <stp/>
        <stp>BDH|9752933805418018116</stp>
        <tr r="V11" s="13"/>
      </tp>
      <tp t="e">
        <v>#N/A</v>
        <stp/>
        <stp>BDH|7238971545032121115</stp>
        <tr r="H75" s="24"/>
      </tp>
      <tp t="e">
        <v>#N/A</v>
        <stp/>
        <stp>BDH|8322022241415445044</stp>
        <tr r="U147" s="18"/>
      </tp>
      <tp t="e">
        <v>#N/A</v>
        <stp/>
        <stp>BDH|9127034893269315021</stp>
        <tr r="Y7" s="4"/>
      </tp>
      <tp t="e">
        <v>#N/A</v>
        <stp/>
        <stp>BDH|9688269166240025465</stp>
        <tr r="C19" s="34"/>
      </tp>
      <tp t="e">
        <v>#N/A</v>
        <stp/>
        <stp>BDH|7129451284005802787</stp>
        <tr r="Q9" s="27"/>
      </tp>
      <tp t="e">
        <v>#N/A</v>
        <stp/>
        <stp>BDH|3159798547720784986</stp>
        <tr r="K42" s="4"/>
      </tp>
      <tp t="e">
        <v>#N/A</v>
        <stp/>
        <stp>BDH|4779065314894698837</stp>
        <tr r="T71" s="10"/>
        <tr r="T61" s="11"/>
      </tp>
      <tp t="e">
        <v>#N/A</v>
        <stp/>
        <stp>BDH|8508310303677257554</stp>
        <tr r="P35" s="6"/>
      </tp>
      <tp t="e">
        <v>#N/A</v>
        <stp/>
        <stp>BDH|5037917511227232323</stp>
        <tr r="Q27" s="21"/>
      </tp>
      <tp t="e">
        <v>#N/A</v>
        <stp/>
        <stp>BDH|9653904856018357432</stp>
        <tr r="Q8" s="34"/>
      </tp>
      <tp t="e">
        <v>#N/A</v>
        <stp/>
        <stp>BDH|1320297151788807734</stp>
        <tr r="Z207" s="18"/>
      </tp>
      <tp t="e">
        <v>#N/A</v>
        <stp/>
        <stp>BDH|5111465827882089802</stp>
        <tr r="E42" s="4"/>
      </tp>
      <tp t="e">
        <v>#N/A</v>
        <stp/>
        <stp>BDH|1528859154191499405</stp>
        <tr r="M52" s="6"/>
      </tp>
      <tp t="e">
        <v>#N/A</v>
        <stp/>
        <stp>BDH|7886286689996970206</stp>
        <tr r="F177" s="18"/>
      </tp>
      <tp t="e">
        <v>#N/A</v>
        <stp/>
        <stp>BDH|1567832733336464518</stp>
        <tr r="K41" s="10"/>
        <tr r="K31" s="11"/>
      </tp>
      <tp t="e">
        <v>#N/A</v>
        <stp/>
        <stp>BDH|5582450579127955805</stp>
        <tr r="L57" s="10"/>
        <tr r="L47" s="11"/>
        <tr r="L18" s="7"/>
        <tr r="N64" s="13"/>
      </tp>
      <tp t="e">
        <v>#N/A</v>
        <stp/>
        <stp>BDH|3397383598770364002</stp>
        <tr r="S75" s="17"/>
      </tp>
      <tp t="e">
        <v>#N/A</v>
        <stp/>
        <stp>BDH|8068162038944626786</stp>
        <tr r="F53" s="13"/>
      </tp>
      <tp t="e">
        <v>#N/A</v>
        <stp/>
        <stp>BDH|7025626209530893830</stp>
        <tr r="Q73" s="10"/>
        <tr r="Q63" s="11"/>
      </tp>
      <tp t="e">
        <v>#N/A</v>
        <stp/>
        <stp>BDH|8814706625502425698</stp>
        <tr r="O191" s="18"/>
      </tp>
      <tp t="e">
        <v>#N/A</v>
        <stp/>
        <stp>BDH|6099410741878909799</stp>
        <tr r="I104" s="18"/>
      </tp>
      <tp t="e">
        <v>#N/A</v>
        <stp/>
        <stp>BDH|8814397335709219868</stp>
        <tr r="H62" s="34"/>
      </tp>
      <tp t="e">
        <v>#N/A</v>
        <stp/>
        <stp>BDH|9658432615567697260</stp>
        <tr r="M33" s="22"/>
      </tp>
      <tp t="e">
        <v>#N/A</v>
        <stp/>
        <stp>BDH|4698832514484707065</stp>
        <tr r="V68" s="24"/>
      </tp>
      <tp t="e">
        <v>#N/A</v>
        <stp/>
        <stp>BDH|1733735812456290841</stp>
        <tr r="H29" s="29"/>
        <tr r="H7" s="29"/>
      </tp>
      <tp t="e">
        <v>#N/A</v>
        <stp/>
        <stp>BDH|8700532449867918741</stp>
        <tr r="X8" s="6"/>
      </tp>
      <tp t="e">
        <v>#N/A</v>
        <stp/>
        <stp>BDH|3756289038749542222</stp>
        <tr r="O13" s="21"/>
      </tp>
      <tp t="e">
        <v>#N/A</v>
        <stp/>
        <stp>BDH|4016875017996204220</stp>
        <tr r="W115" s="18"/>
      </tp>
      <tp t="e">
        <v>#N/A</v>
        <stp/>
        <stp>BDH|2730126821881044945</stp>
        <tr r="F50" s="34"/>
      </tp>
      <tp t="e">
        <v>#N/A</v>
        <stp/>
        <stp>BDH|9420028257256623376</stp>
        <tr r="D61" s="17"/>
      </tp>
      <tp t="e">
        <v>#N/A</v>
        <stp/>
        <stp>BDH|5325806662710093216</stp>
        <tr r="T14" s="28"/>
      </tp>
      <tp t="e">
        <v>#N/A</v>
        <stp/>
        <stp>BDH|9269314810002490077</stp>
        <tr r="C18" s="22"/>
      </tp>
      <tp t="e">
        <v>#N/A</v>
        <stp/>
        <stp>BDH|9581264006494339667</stp>
        <tr r="N9" s="34"/>
      </tp>
      <tp t="e">
        <v>#N/A</v>
        <stp/>
        <stp>BDH|3135233844819265542</stp>
        <tr r="P32" s="9"/>
      </tp>
      <tp t="e">
        <v>#N/A</v>
        <stp/>
        <stp>BDH|1982943246467311281</stp>
        <tr r="C50" s="12"/>
      </tp>
      <tp t="e">
        <v>#N/A</v>
        <stp/>
        <stp>BDH|3733749693792302632</stp>
        <tr r="F27" s="12"/>
      </tp>
      <tp t="e">
        <v>#N/A</v>
        <stp/>
        <stp>BDH|2663081434988350094</stp>
        <tr r="L31" s="18"/>
      </tp>
      <tp t="e">
        <v>#N/A</v>
        <stp/>
        <stp>BDH|4671802774596690446</stp>
        <tr r="J166" s="18"/>
      </tp>
      <tp t="e">
        <v>#N/A</v>
        <stp/>
        <stp>BDH|2847510246572674898</stp>
        <tr r="H16" s="12"/>
      </tp>
      <tp t="e">
        <v>#N/A</v>
        <stp/>
        <stp>BDH|3744269181726260622</stp>
        <tr r="D53" s="6"/>
      </tp>
      <tp t="e">
        <v>#N/A</v>
        <stp/>
        <stp>BDH|2009501383935258313</stp>
        <tr r="K27" s="12"/>
      </tp>
      <tp t="e">
        <v>#N/A</v>
        <stp/>
        <stp>BDH|5164307374820434814</stp>
        <tr r="W86" s="24"/>
      </tp>
      <tp t="e">
        <v>#N/A</v>
        <stp/>
        <stp>BDH|8533714366659597976</stp>
        <tr r="AA64" s="21"/>
      </tp>
      <tp t="e">
        <v>#N/A</v>
        <stp/>
        <stp>BDH|1410039713791693828</stp>
        <tr r="D25" s="27"/>
      </tp>
      <tp t="e">
        <v>#N/A</v>
        <stp/>
        <stp>BDH|9399558509122977769</stp>
        <tr r="Z42" s="21"/>
      </tp>
      <tp t="e">
        <v>#N/A</v>
        <stp/>
        <stp>BDH|8177315754046213172</stp>
        <tr r="Q82" s="24"/>
      </tp>
      <tp t="e">
        <v>#N/A</v>
        <stp/>
        <stp>BDH|2862366729743453923</stp>
        <tr r="V30" s="29"/>
        <tr r="V8" s="29"/>
      </tp>
      <tp t="e">
        <v>#N/A</v>
        <stp/>
        <stp>BDH|6648743113030701976</stp>
        <tr r="X178" s="18"/>
      </tp>
      <tp t="e">
        <v>#N/A</v>
        <stp/>
        <stp>BDH|1345806283029251137</stp>
        <tr r="M8" s="24"/>
      </tp>
      <tp t="e">
        <v>#N/A</v>
        <stp/>
        <stp>BDH|8427756435376573300</stp>
        <tr r="T26" s="13"/>
      </tp>
      <tp t="e">
        <v>#N/A</v>
        <stp/>
        <stp>BDH|3432107961088712535</stp>
        <tr r="AA161" s="18"/>
      </tp>
      <tp t="e">
        <v>#N/A</v>
        <stp/>
        <stp>BDH|4467372982025415345</stp>
        <tr r="E33" s="17"/>
      </tp>
      <tp t="e">
        <v>#N/A</v>
        <stp/>
        <stp>BDH|1430201542849795700</stp>
        <tr r="H11" s="6"/>
      </tp>
      <tp t="e">
        <v>#N/A</v>
        <stp/>
        <stp>BDH|8848795860308845885</stp>
        <tr r="X23" s="6"/>
      </tp>
      <tp t="e">
        <v>#N/A</v>
        <stp/>
        <stp>BDH|2700134241519230761</stp>
        <tr r="O58" s="18"/>
      </tp>
      <tp t="e">
        <v>#N/A</v>
        <stp/>
        <stp>BDH|4101804844390314174</stp>
        <tr r="W73" s="18"/>
      </tp>
      <tp t="e">
        <v>#N/A</v>
        <stp/>
        <stp>BDH|4310860283128409532</stp>
        <tr r="U15" s="17"/>
        <tr r="U18" s="28"/>
      </tp>
      <tp t="e">
        <v>#N/A</v>
        <stp/>
        <stp>BDH|6846804986036856977</stp>
        <tr r="D88" s="12"/>
      </tp>
      <tp t="e">
        <v>#N/A</v>
        <stp/>
        <stp>BDH|4972085624849278668</stp>
        <tr r="L167" s="18"/>
      </tp>
      <tp t="e">
        <v>#N/A</v>
        <stp/>
        <stp>BDH|5318940894115138936</stp>
        <tr r="O107" s="18"/>
      </tp>
      <tp t="e">
        <v>#N/A</v>
        <stp/>
        <stp>BDH|7037087146943890970</stp>
        <tr r="M174" s="18"/>
      </tp>
      <tp t="e">
        <v>#N/A</v>
        <stp/>
        <stp>BDH|8353215126442614331</stp>
        <tr r="K48" s="13"/>
      </tp>
      <tp t="e">
        <v>#N/A</v>
        <stp/>
        <stp>BDH|3860293087694667411</stp>
        <tr r="H47" s="18"/>
      </tp>
      <tp t="e">
        <v>#N/A</v>
        <stp/>
        <stp>BDH|8391213116897369563</stp>
        <tr r="U28" s="18"/>
      </tp>
      <tp t="e">
        <v>#N/A</v>
        <stp/>
        <stp>BDH|6208805922516941383</stp>
        <tr r="F91" s="24"/>
      </tp>
      <tp t="e">
        <v>#N/A</v>
        <stp/>
        <stp>BDH|8011318654487325078</stp>
        <tr r="O10" s="4"/>
        <tr r="N6" s="16"/>
        <tr r="Q6" s="3"/>
        <tr r="O6" s="11"/>
      </tp>
      <tp t="e">
        <v>#N/A</v>
        <stp/>
        <stp>BDH|3779353865258480728</stp>
        <tr r="V50" s="12"/>
      </tp>
      <tp t="e">
        <v>#N/A</v>
        <stp/>
        <stp>BDH|9089245830801532000</stp>
        <tr r="E6" s="2"/>
        <tr r="D6" s="5"/>
        <tr r="D6" s="9"/>
        <tr r="F12" s="8"/>
        <tr r="F10" s="29"/>
        <tr r="F19" s="29"/>
        <tr r="F25" s="29"/>
      </tp>
      <tp t="e">
        <v>#N/A</v>
        <stp/>
        <stp>BDH|2331996949643643541</stp>
        <tr r="M182" s="18"/>
      </tp>
      <tp t="e">
        <v>#N/A</v>
        <stp/>
        <stp>BDH|9714621833447447236</stp>
        <tr r="U202" s="18"/>
      </tp>
      <tp t="e">
        <v>#N/A</v>
        <stp/>
        <stp>BDH|9477291682913866961</stp>
        <tr r="Z92" s="18"/>
      </tp>
      <tp t="e">
        <v>#N/A</v>
        <stp/>
        <stp>BDH|1980252538200202970</stp>
        <tr r="W169" s="18"/>
      </tp>
      <tp t="e">
        <v>#N/A</v>
        <stp/>
        <stp>BDH|5131532018950925822</stp>
        <tr r="P61" s="17"/>
      </tp>
      <tp t="e">
        <v>#N/A</v>
        <stp/>
        <stp>BDH|4253609284156537526</stp>
        <tr r="N138" s="18"/>
      </tp>
      <tp t="e">
        <v>#N/A</v>
        <stp/>
        <stp>BDH|8735431048285480490</stp>
        <tr r="I12" s="22"/>
      </tp>
      <tp t="e">
        <v>#N/A</v>
        <stp/>
        <stp>BDH|2639901437610054109</stp>
        <tr r="N153" s="18"/>
      </tp>
      <tp t="e">
        <v>#N/A</v>
        <stp/>
        <stp>BDH|3057374591032619218</stp>
        <tr r="K93" s="17"/>
        <tr r="K13" s="28"/>
      </tp>
      <tp t="e">
        <v>#N/A</v>
        <stp/>
        <stp>BDH|3542564686920350777</stp>
        <tr r="L75" s="24"/>
      </tp>
      <tp t="e">
        <v>#N/A</v>
        <stp/>
        <stp>BDH|7981148540862462985</stp>
        <tr r="J36" s="18"/>
      </tp>
      <tp t="e">
        <v>#N/A</v>
        <stp/>
        <stp>BDH|9366872446275286915</stp>
        <tr r="T84" s="24"/>
      </tp>
      <tp t="e">
        <v>#N/A</v>
        <stp/>
        <stp>BDH|7346705803238310129</stp>
        <tr r="F39" s="34"/>
      </tp>
      <tp t="e">
        <v>#N/A</v>
        <stp/>
        <stp>BDH|4556102490511186450</stp>
        <tr r="V24" s="17"/>
      </tp>
      <tp t="e">
        <v>#N/A</v>
        <stp/>
        <stp>BDH|1543376564864146964</stp>
        <tr r="M94" s="18"/>
      </tp>
      <tp t="e">
        <v>#N/A</v>
        <stp/>
        <stp>BDH|4872983154881259073</stp>
        <tr r="G32" s="14"/>
      </tp>
      <tp t="e">
        <v>#N/A</v>
        <stp/>
        <stp>BDH|5120910176754082670</stp>
        <tr r="Z77" s="34"/>
      </tp>
      <tp t="e">
        <v>#N/A</v>
        <stp/>
        <stp>BDH|1719238530440081958</stp>
        <tr r="K92" s="17"/>
        <tr r="K7" s="27"/>
      </tp>
      <tp t="e">
        <v>#N/A</v>
        <stp/>
        <stp>BDH|2378570271960362974</stp>
        <tr r="P25" s="26"/>
      </tp>
      <tp t="e">
        <v>#N/A</v>
        <stp/>
        <stp>BDH|3121213500979645173</stp>
        <tr r="J39" s="18"/>
      </tp>
      <tp t="e">
        <v>#N/A</v>
        <stp/>
        <stp>BDH|2058356982956269643</stp>
        <tr r="E20" s="25"/>
      </tp>
      <tp t="e">
        <v>#N/A</v>
        <stp/>
        <stp>BDH|1117354872354512828</stp>
        <tr r="M24" s="21"/>
      </tp>
      <tp t="e">
        <v>#N/A</v>
        <stp/>
        <stp>BDH|4448958113422460771</stp>
        <tr r="W155" s="18"/>
      </tp>
      <tp t="e">
        <v>#N/A</v>
        <stp/>
        <stp>BDH|9788628706887032125</stp>
        <tr r="X15" s="10"/>
      </tp>
      <tp t="e">
        <v>#N/A</v>
        <stp/>
        <stp>BDH|1696946763052542555</stp>
        <tr r="P74" s="12"/>
      </tp>
      <tp t="e">
        <v>#N/A</v>
        <stp/>
        <stp>BDH|4442172651749764036</stp>
        <tr r="D37" s="21"/>
      </tp>
      <tp t="e">
        <v>#N/A</v>
        <stp/>
        <stp>BDH|5864816536143849414</stp>
        <tr r="M9" s="30"/>
      </tp>
      <tp t="e">
        <v>#N/A</v>
        <stp/>
        <stp>BDH|7979924963493616287</stp>
        <tr r="R107" s="18"/>
      </tp>
      <tp t="e">
        <v>#N/A</v>
        <stp/>
        <stp>BDH|7026806436834091105</stp>
        <tr r="M10" s="10"/>
      </tp>
      <tp t="e">
        <v>#N/A</v>
        <stp/>
        <stp>BDH|6444574032259223050</stp>
        <tr r="S178" s="18"/>
      </tp>
      <tp t="e">
        <v>#N/A</v>
        <stp/>
        <stp>BDH|1643132317731405902</stp>
        <tr r="Y79" s="24"/>
      </tp>
      <tp t="e">
        <v>#N/A</v>
        <stp/>
        <stp>BDH|9512303198143907920</stp>
        <tr r="N19" s="18"/>
      </tp>
      <tp t="e">
        <v>#N/A</v>
        <stp/>
        <stp>BDH|9871621149840187245</stp>
        <tr r="S7" s="11"/>
      </tp>
      <tp t="e">
        <v>#N/A</v>
        <stp/>
        <stp>BDH|3724094798403386038</stp>
        <tr r="Z12" s="18"/>
      </tp>
      <tp t="e">
        <v>#N/A</v>
        <stp/>
        <stp>BDH|5002668383735152728</stp>
        <tr r="D20" s="29"/>
      </tp>
      <tp t="e">
        <v>#N/A</v>
        <stp/>
        <stp>BDH|1721519818428982415</stp>
        <tr r="V38" s="34"/>
      </tp>
      <tp t="e">
        <v>#N/A</v>
        <stp/>
        <stp>BDH|5613072177413967894</stp>
        <tr r="S61" s="12"/>
      </tp>
      <tp t="e">
        <v>#N/A</v>
        <stp/>
        <stp>BDH|2657447894267374133</stp>
        <tr r="S22" s="21"/>
      </tp>
      <tp t="e">
        <v>#N/A</v>
        <stp/>
        <stp>BDH|9322275570540758553</stp>
        <tr r="D58" s="13"/>
      </tp>
      <tp t="e">
        <v>#N/A</v>
        <stp/>
        <stp>BDH|8161708147934613661</stp>
        <tr r="I39" s="26"/>
      </tp>
      <tp t="e">
        <v>#N/A</v>
        <stp/>
        <stp>BDH|4857593443835091941</stp>
        <tr r="X61" s="12"/>
      </tp>
      <tp t="e">
        <v>#N/A</v>
        <stp/>
        <stp>BDH|6501653363689459616</stp>
        <tr r="Z62" s="18"/>
      </tp>
      <tp t="e">
        <v>#N/A</v>
        <stp/>
        <stp>BDH|2888055814702724881</stp>
        <tr r="F18" s="6"/>
      </tp>
      <tp t="e">
        <v>#N/A</v>
        <stp/>
        <stp>BDH|8340754740932691069</stp>
        <tr r="P30" s="18"/>
      </tp>
      <tp t="e">
        <v>#N/A</v>
        <stp/>
        <stp>BDH|4353152094680539519</stp>
        <tr r="R16" s="10"/>
      </tp>
      <tp t="e">
        <v>#N/A</v>
        <stp/>
        <stp>BDH|4772857657637189725</stp>
        <tr r="G25" s="27"/>
      </tp>
      <tp t="e">
        <v>#N/A</v>
        <stp/>
        <stp>BDH|6368447790471162308</stp>
        <tr r="M30" s="24"/>
      </tp>
      <tp t="e">
        <v>#N/A</v>
        <stp/>
        <stp>BDH|6098515564584770844</stp>
        <tr r="G79" s="34"/>
      </tp>
      <tp t="e">
        <v>#N/A</v>
        <stp/>
        <stp>BDH|5933869609424374033</stp>
        <tr r="X191" s="18"/>
      </tp>
      <tp t="e">
        <v>#N/A</v>
        <stp/>
        <stp>BDH|1503342993363640128</stp>
        <tr r="T44" s="17"/>
      </tp>
      <tp t="e">
        <v>#N/A</v>
        <stp/>
        <stp>BDH|5519744084806151525</stp>
        <tr r="E78" s="24"/>
      </tp>
      <tp t="e">
        <v>#N/A</v>
        <stp/>
        <stp>BDH|9453334524699296873</stp>
        <tr r="S8" s="18"/>
      </tp>
      <tp t="e">
        <v>#N/A</v>
        <stp/>
        <stp>BDH|5663050004675684974</stp>
        <tr r="T80" s="34"/>
      </tp>
      <tp t="e">
        <v>#N/A</v>
        <stp/>
        <stp>BDH|2531081472468921408</stp>
        <tr r="N23" s="25"/>
        <tr r="L20" s="11"/>
      </tp>
      <tp t="e">
        <v>#N/A</v>
        <stp/>
        <stp>BDH|7272088176358230181</stp>
        <tr r="W22" s="30"/>
        <tr r="W24" s="23"/>
      </tp>
      <tp t="e">
        <v>#N/A</v>
        <stp/>
        <stp>BDH|1997615398101279644</stp>
        <tr r="R146" s="18"/>
      </tp>
      <tp t="e">
        <v>#N/A</v>
        <stp/>
        <stp>BDH|7814577169508849596</stp>
        <tr r="V13" s="18"/>
      </tp>
      <tp t="e">
        <v>#N/A</v>
        <stp/>
        <stp>BDH|8860095956555716176</stp>
        <tr r="V13" s="11"/>
      </tp>
      <tp t="e">
        <v>#N/A</v>
        <stp/>
        <stp>BDH|8317012094419733164</stp>
        <tr r="W7" s="30"/>
      </tp>
      <tp t="e">
        <v>#N/A</v>
        <stp/>
        <stp>BDH|9295158254411160553</stp>
        <tr r="F93" s="17"/>
        <tr r="F13" s="28"/>
      </tp>
      <tp t="e">
        <v>#N/A</v>
        <stp/>
        <stp>BDH|9901582512806696223</stp>
        <tr r="Z168" s="18"/>
      </tp>
      <tp t="e">
        <v>#N/A</v>
        <stp/>
        <stp>BDH|3962890905704198638</stp>
        <tr r="H35" s="25"/>
      </tp>
      <tp t="e">
        <v>#N/A</v>
        <stp/>
        <stp>BDH|4320617824221224835</stp>
        <tr r="D51" s="17"/>
        <tr r="D17" s="3"/>
      </tp>
      <tp t="e">
        <v>#N/A</v>
        <stp/>
        <stp>BDH|8767241105764529742</stp>
        <tr r="H32" s="25"/>
        <tr r="H18" s="27"/>
      </tp>
      <tp t="e">
        <v>#N/A</v>
        <stp/>
        <stp>BDH|2240227887092430342</stp>
        <tr r="V70" s="34"/>
      </tp>
      <tp t="e">
        <v>#N/A</v>
        <stp/>
        <stp>BDH|9179214804156561461</stp>
        <tr r="W147" s="18"/>
      </tp>
      <tp t="e">
        <v>#N/A</v>
        <stp/>
        <stp>BDH|8156760661850703068</stp>
        <tr r="W18" s="10"/>
      </tp>
      <tp t="e">
        <v>#N/A</v>
        <stp/>
        <stp>BDH|8395726296099628668</stp>
        <tr r="E88" s="12"/>
      </tp>
      <tp t="e">
        <v>#N/A</v>
        <stp/>
        <stp>BDH|2062225242459562424</stp>
        <tr r="G9" s="2"/>
        <tr r="I8" s="25"/>
        <tr r="F10" s="5"/>
      </tp>
      <tp t="e">
        <v>#N/A</v>
        <stp/>
        <stp>BDH|2326284408339626022</stp>
        <tr r="N8" s="8"/>
      </tp>
      <tp t="e">
        <v>#N/A</v>
        <stp/>
        <stp>BDH|9016674737345744007</stp>
        <tr r="V72" s="18"/>
      </tp>
      <tp t="e">
        <v>#N/A</v>
        <stp/>
        <stp>BDH|5205949640384078518</stp>
        <tr r="E69" s="24"/>
      </tp>
      <tp t="e">
        <v>#N/A</v>
        <stp/>
        <stp>BDH|9010024952564453130</stp>
        <tr r="O26" s="26"/>
      </tp>
      <tp t="e">
        <v>#N/A</v>
        <stp/>
        <stp>BDH|6312590812353768880</stp>
        <tr r="H54" s="12"/>
      </tp>
      <tp t="e">
        <v>#N/A</v>
        <stp/>
        <stp>BDH|4246000610628050453</stp>
        <tr r="F25" s="25"/>
        <tr r="F10" s="27"/>
      </tp>
      <tp t="e">
        <v>#N/A</v>
        <stp/>
        <stp>BDH|1076366652457369907</stp>
        <tr r="P60" s="17"/>
      </tp>
      <tp t="e">
        <v>#N/A</v>
        <stp/>
        <stp>BDH|8540793619280732752</stp>
        <tr r="C71" s="10"/>
        <tr r="C61" s="11"/>
      </tp>
      <tp t="e">
        <v>#N/A</v>
        <stp/>
        <stp>BDH|5446960982735027875</stp>
        <tr r="M16" s="17"/>
        <tr r="M19" s="28"/>
      </tp>
      <tp t="e">
        <v>#N/A</v>
        <stp/>
        <stp>BDH|2223877748206831123</stp>
        <tr r="W13" s="22"/>
      </tp>
      <tp t="e">
        <v>#N/A</v>
        <stp/>
        <stp>BDH|3187797470152707889</stp>
        <tr r="G35" s="25"/>
      </tp>
      <tp t="e">
        <v>#N/A</v>
        <stp/>
        <stp>BDH|9683832923662821899</stp>
        <tr r="J63" s="34"/>
      </tp>
      <tp t="e">
        <v>#N/A</v>
        <stp/>
        <stp>BDH|7973973960655030496</stp>
        <tr r="J62" s="13"/>
      </tp>
      <tp t="e">
        <v>#N/A</v>
        <stp/>
        <stp>BDH|4290459484048254963</stp>
        <tr r="L7" s="10"/>
      </tp>
      <tp t="e">
        <v>#N/A</v>
        <stp/>
        <stp>BDH|8555550332535241272</stp>
        <tr r="D25" s="25"/>
        <tr r="D10" s="27"/>
      </tp>
      <tp t="e">
        <v>#N/A</v>
        <stp/>
        <stp>BDH|8427093913393002394</stp>
        <tr r="F6" s="27"/>
      </tp>
      <tp t="e">
        <v>#N/A</v>
        <stp/>
        <stp>BDH|2454546420325763900</stp>
        <tr r="F164" s="18"/>
      </tp>
      <tp t="e">
        <v>#N/A</v>
        <stp/>
        <stp>BDH|9327621607467019110</stp>
        <tr r="T10" s="18"/>
      </tp>
      <tp t="e">
        <v>#N/A</v>
        <stp/>
        <stp>BDH|5071295708007733918</stp>
        <tr r="D17" s="21"/>
      </tp>
      <tp t="e">
        <v>#N/A</v>
        <stp/>
        <stp>BDH|5177490537939804207</stp>
        <tr r="K23" s="21"/>
      </tp>
      <tp t="e">
        <v>#N/A</v>
        <stp/>
        <stp>BDH|7063718561287562823</stp>
        <tr r="J12" s="10"/>
      </tp>
      <tp t="e">
        <v>#N/A</v>
        <stp/>
        <stp>BDH|2199036719312442881</stp>
        <tr r="L63" s="21"/>
      </tp>
      <tp t="e">
        <v>#N/A</v>
        <stp/>
        <stp>BDH|2190133389357582599</stp>
        <tr r="R71" s="17"/>
      </tp>
      <tp t="e">
        <v>#N/A</v>
        <stp/>
        <stp>BDH|7011599093706833454</stp>
        <tr r="L23" s="6"/>
      </tp>
      <tp t="e">
        <v>#N/A</v>
        <stp/>
        <stp>BDH|1294320401069105271</stp>
        <tr r="Q56" s="12"/>
      </tp>
      <tp t="e">
        <v>#N/A</v>
        <stp/>
        <stp>BDH|8241390148283072549</stp>
        <tr r="L63" s="12"/>
      </tp>
      <tp t="e">
        <v>#N/A</v>
        <stp/>
        <stp>BDH|6301620597096216639</stp>
        <tr r="Q38" s="25"/>
      </tp>
      <tp t="e">
        <v>#N/A</v>
        <stp/>
        <stp>BDH|1347852531940014305</stp>
        <tr r="T25" s="7"/>
      </tp>
      <tp t="e">
        <v>#N/A</v>
        <stp/>
        <stp>BDH|1372679183760006602</stp>
        <tr r="Q28" s="27"/>
      </tp>
      <tp t="e">
        <v>#N/A</v>
        <stp/>
        <stp>BDH|5109837305637733379</stp>
        <tr r="Q19" s="18"/>
      </tp>
      <tp t="e">
        <v>#N/A</v>
        <stp/>
        <stp>BDH|8148968038348808305</stp>
        <tr r="N12" s="21"/>
      </tp>
      <tp t="e">
        <v>#N/A</v>
        <stp/>
        <stp>BDH|8264625170377326748</stp>
        <tr r="R10" s="26"/>
      </tp>
      <tp t="e">
        <v>#N/A</v>
        <stp/>
        <stp>BDH|2984695700318259551</stp>
        <tr r="U133" s="18"/>
      </tp>
      <tp t="e">
        <v>#N/A</v>
        <stp/>
        <stp>BDH|2956366598009772879</stp>
        <tr r="Y61" s="17"/>
      </tp>
      <tp t="e">
        <v>#N/A</v>
        <stp/>
        <stp>BDH|9901263928614216429</stp>
        <tr r="W8" s="2"/>
      </tp>
      <tp t="e">
        <v>#N/A</v>
        <stp/>
        <stp>BDH|8572168756981226409</stp>
        <tr r="U23" s="2"/>
        <tr r="W19" s="21"/>
        <tr r="W23" s="3"/>
      </tp>
      <tp t="e">
        <v>#N/A</v>
        <stp/>
        <stp>BDH|8848716925007285396</stp>
        <tr r="C37" s="26"/>
      </tp>
      <tp t="e">
        <v>#N/A</v>
        <stp/>
        <stp>BDH|5153147897943628735</stp>
        <tr r="W42" s="21"/>
      </tp>
      <tp t="e">
        <v>#N/A</v>
        <stp/>
        <stp>BDH|3517772450790217879</stp>
        <tr r="AA48" s="17"/>
      </tp>
      <tp t="e">
        <v>#N/A</v>
        <stp/>
        <stp>BDH|1387812414026870792</stp>
        <tr r="W7" s="34"/>
      </tp>
      <tp t="e">
        <v>#N/A</v>
        <stp/>
        <stp>BDH|2465459883532254570</stp>
        <tr r="R18" s="34"/>
      </tp>
      <tp t="e">
        <v>#N/A</v>
        <stp/>
        <stp>BDH|9508756364717183627</stp>
        <tr r="U30" s="29"/>
        <tr r="U8" s="29"/>
      </tp>
      <tp t="e">
        <v>#N/A</v>
        <stp/>
        <stp>BDH|1756607624238087479</stp>
        <tr r="Q33" s="17"/>
      </tp>
      <tp t="e">
        <v>#N/A</v>
        <stp/>
        <stp>BDH|4082136882841429515</stp>
        <tr r="M104" s="12"/>
      </tp>
      <tp t="e">
        <v>#N/A</v>
        <stp/>
        <stp>BDH|1113982758417035355</stp>
        <tr r="O68" s="13"/>
      </tp>
      <tp t="e">
        <v>#N/A</v>
        <stp/>
        <stp>BDH|8271516076480779363</stp>
        <tr r="J49" s="13"/>
      </tp>
      <tp t="e">
        <v>#N/A</v>
        <stp/>
        <stp>BDH|5559704278835185980</stp>
        <tr r="P83" s="18"/>
      </tp>
      <tp t="e">
        <v>#N/A</v>
        <stp/>
        <stp>BDH|7000264073413500840</stp>
        <tr r="K35" s="21"/>
      </tp>
      <tp t="e">
        <v>#N/A</v>
        <stp/>
        <stp>BDH|3028786696064917035</stp>
        <tr r="S80" s="12"/>
      </tp>
      <tp t="e">
        <v>#N/A</v>
        <stp/>
        <stp>BDH|8581534966051685324</stp>
        <tr r="M27" s="14"/>
      </tp>
      <tp t="e">
        <v>#N/A</v>
        <stp/>
        <stp>BDH|8737336793499563267</stp>
        <tr r="X11" s="21"/>
      </tp>
      <tp t="e">
        <v>#N/A</v>
        <stp/>
        <stp>BDH|3526656254171565850</stp>
        <tr r="H62" s="17"/>
      </tp>
      <tp t="e">
        <v>#N/A</v>
        <stp/>
        <stp>BDH|8605078152304792001</stp>
        <tr r="L18" s="23"/>
      </tp>
      <tp t="e">
        <v>#N/A</v>
        <stp/>
        <stp>BDH|7199529267055400843</stp>
        <tr r="E109" s="18"/>
      </tp>
      <tp t="e">
        <v>#N/A</v>
        <stp/>
        <stp>BDH|8044615383977686805</stp>
        <tr r="E164" s="18"/>
      </tp>
      <tp t="e">
        <v>#N/A</v>
        <stp/>
        <stp>BDH|7837154798177672175</stp>
        <tr r="X56" s="13"/>
      </tp>
      <tp t="e">
        <v>#N/A</v>
        <stp/>
        <stp>BDH|6353004597394629264</stp>
        <tr r="N95" s="17"/>
      </tp>
      <tp t="e">
        <v>#N/A</v>
        <stp/>
        <stp>BDH|8996857619859565144</stp>
        <tr r="W58" s="12"/>
      </tp>
      <tp t="e">
        <v>#N/A</v>
        <stp/>
        <stp>BDH|7504334834088575637</stp>
        <tr r="H77" s="17"/>
        <tr r="H19" s="3"/>
      </tp>
      <tp t="e">
        <v>#N/A</v>
        <stp/>
        <stp>BDH|9012605343034116663</stp>
        <tr r="L17" s="18"/>
      </tp>
      <tp t="e">
        <v>#N/A</v>
        <stp/>
        <stp>BDH|3969311344925088880</stp>
        <tr r="T19" s="26"/>
      </tp>
      <tp t="e">
        <v>#N/A</v>
        <stp/>
        <stp>BDH|2005939236951200039</stp>
        <tr r="G13" s="29"/>
        <tr r="G22" s="29"/>
        <tr r="G36" s="29"/>
      </tp>
      <tp t="e">
        <v>#N/A</v>
        <stp/>
        <stp>BDH|1664304380991466264</stp>
        <tr r="O94" s="24"/>
      </tp>
      <tp t="e">
        <v>#N/A</v>
        <stp/>
        <stp>BDH|5526872076475658668</stp>
        <tr r="Z32" s="22"/>
      </tp>
      <tp t="e">
        <v>#N/A</v>
        <stp/>
        <stp>BDH|9983179186899970056</stp>
        <tr r="Z106" s="12"/>
      </tp>
      <tp t="e">
        <v>#N/A</v>
        <stp/>
        <stp>BDH|3863494292317493033</stp>
        <tr r="V54" s="12"/>
      </tp>
      <tp t="e">
        <v>#N/A</v>
        <stp/>
        <stp>BDH|2990695963778243354</stp>
        <tr r="S12" s="12"/>
      </tp>
      <tp t="e">
        <v>#N/A</v>
        <stp/>
        <stp>BDH|8829540620861826703</stp>
        <tr r="N154" s="18"/>
      </tp>
      <tp t="e">
        <v>#N/A</v>
        <stp/>
        <stp>BDH|2694869715813305122</stp>
        <tr r="N183" s="18"/>
      </tp>
      <tp t="e">
        <v>#N/A</v>
        <stp/>
        <stp>BDH|2120973319534288791</stp>
        <tr r="U91" s="18"/>
      </tp>
      <tp t="e">
        <v>#N/A</v>
        <stp/>
        <stp>BDH|6286030836984354808</stp>
        <tr r="AA50" s="18"/>
      </tp>
      <tp t="e">
        <v>#N/A</v>
        <stp/>
        <stp>BDH|9257775102311565669</stp>
        <tr r="K37" s="26"/>
      </tp>
      <tp t="e">
        <v>#N/A</v>
        <stp/>
        <stp>BDH|3987405429474711837</stp>
        <tr r="X105" s="12"/>
      </tp>
      <tp t="e">
        <v>#N/A</v>
        <stp/>
        <stp>BDH|5667658312453121847</stp>
        <tr r="E21" s="30"/>
      </tp>
      <tp t="e">
        <v>#N/A</v>
        <stp/>
        <stp>BDH|6650752396233922288</stp>
        <tr r="J11" s="7"/>
      </tp>
      <tp t="e">
        <v>#N/A</v>
        <stp/>
        <stp>BDH|9794310172411727570</stp>
        <tr r="L9" s="10"/>
      </tp>
      <tp t="e">
        <v>#N/A</v>
        <stp/>
        <stp>BDH|5810157723606291987</stp>
        <tr r="P19" s="10"/>
      </tp>
      <tp t="e">
        <v>#N/A</v>
        <stp/>
        <stp>BDH|8429461063322384166</stp>
        <tr r="L66" s="13"/>
      </tp>
      <tp t="e">
        <v>#N/A</v>
        <stp/>
        <stp>BDH|9487569673610609239</stp>
        <tr r="C42" s="17"/>
      </tp>
      <tp t="e">
        <v>#N/A</v>
        <stp/>
        <stp>BDH|6083994769494499410</stp>
        <tr r="W7" s="21"/>
      </tp>
      <tp t="e">
        <v>#N/A</v>
        <stp/>
        <stp>BDH|5680275279968574182</stp>
        <tr r="S12" s="6"/>
      </tp>
      <tp t="e">
        <v>#N/A</v>
        <stp/>
        <stp>BDH|2230575555949663238</stp>
        <tr r="F13" s="22"/>
      </tp>
      <tp t="e">
        <v>#N/A</v>
        <stp/>
        <stp>BDH|4640523864728446615</stp>
        <tr r="M10" s="11"/>
      </tp>
      <tp t="e">
        <v>#N/A</v>
        <stp/>
        <stp>BDH|9528065321267247550</stp>
        <tr r="J8" s="34"/>
      </tp>
      <tp t="e">
        <v>#N/A</v>
        <stp/>
        <stp>BDH|8924094922755663616</stp>
        <tr r="H71" s="12"/>
      </tp>
      <tp t="e">
        <v>#N/A</v>
        <stp/>
        <stp>BDH|1164846581639242132</stp>
        <tr r="T49" s="6"/>
        <tr r="V10" s="8"/>
      </tp>
      <tp t="e">
        <v>#N/A</v>
        <stp/>
        <stp>BDH|5035506486259748843</stp>
        <tr r="L13" s="2"/>
      </tp>
      <tp t="e">
        <v>#N/A</v>
        <stp/>
        <stp>BDH|8410431940454541570</stp>
        <tr r="V82" s="24"/>
      </tp>
      <tp t="e">
        <v>#N/A</v>
        <stp/>
        <stp>BDH|9302994049084514935</stp>
        <tr r="S32" s="21"/>
      </tp>
      <tp t="e">
        <v>#N/A</v>
        <stp/>
        <stp>BDH|4102376097787675026</stp>
        <tr r="N59" s="11"/>
      </tp>
      <tp t="e">
        <v>#N/A</v>
        <stp/>
        <stp>BDH|5791475140644311868</stp>
        <tr r="T45" s="6"/>
      </tp>
      <tp t="e">
        <v>#N/A</v>
        <stp/>
        <stp>BDH|2208007696371937384</stp>
        <tr r="O57" s="17"/>
      </tp>
      <tp t="e">
        <v>#N/A</v>
        <stp/>
        <stp>BDH|6668915249427260592</stp>
        <tr r="L9" s="29"/>
      </tp>
      <tp t="e">
        <v>#N/A</v>
        <stp/>
        <stp>BDH|2238159454366493923</stp>
        <tr r="X46" s="4"/>
        <tr r="X23" s="10"/>
        <tr r="Z42" s="13"/>
      </tp>
      <tp t="e">
        <v>#N/A</v>
        <stp/>
        <stp>BDH|9476905973056223803</stp>
        <tr r="Z70" s="13"/>
      </tp>
      <tp t="e">
        <v>#N/A</v>
        <stp/>
        <stp>BDH|7708268126496494867</stp>
        <tr r="AA37" s="26"/>
      </tp>
      <tp t="e">
        <v>#N/A</v>
        <stp/>
        <stp>BDH|7445686284088453895</stp>
        <tr r="P18" s="9"/>
      </tp>
      <tp t="e">
        <v>#N/A</v>
        <stp/>
        <stp>BDH|2239980319941783210</stp>
        <tr r="M13" s="10"/>
      </tp>
      <tp t="e">
        <v>#N/A</v>
        <stp/>
        <stp>BDH|5334327496591117732</stp>
        <tr r="Y45" s="24"/>
      </tp>
      <tp t="e">
        <v>#N/A</v>
        <stp/>
        <stp>BDH|5883180086405269018</stp>
        <tr r="E25" s="14"/>
      </tp>
      <tp t="e">
        <v>#N/A</v>
        <stp/>
        <stp>BDH|8929320109491766305</stp>
        <tr r="J16" s="20"/>
      </tp>
      <tp t="e">
        <v>#N/A</v>
        <stp/>
        <stp>BDH|9129341656092163471</stp>
        <tr r="M52" s="12"/>
      </tp>
      <tp t="e">
        <v>#N/A</v>
        <stp/>
        <stp>BDH|9890150743351867438</stp>
        <tr r="F48" s="17"/>
      </tp>
      <tp t="e">
        <v>#N/A</v>
        <stp/>
        <stp>BDH|9937997090105754524</stp>
        <tr r="T106" s="18"/>
      </tp>
      <tp t="e">
        <v>#N/A</v>
        <stp/>
        <stp>BDH|8638547544167193728</stp>
        <tr r="V16" s="24"/>
      </tp>
      <tp t="e">
        <v>#N/A</v>
        <stp/>
        <stp>BDH|2448613733439649750</stp>
        <tr r="M121" s="18"/>
        <tr r="M9" s="20"/>
      </tp>
      <tp t="e">
        <v>#N/A</v>
        <stp/>
        <stp>BDH|6909635006768128187</stp>
        <tr r="Y31" s="25"/>
        <tr r="V14" s="5"/>
        <tr r="Y17" s="27"/>
      </tp>
      <tp t="e">
        <v>#N/A</v>
        <stp/>
        <stp>BDH|2960721010364655986</stp>
        <tr r="R71" s="24"/>
      </tp>
      <tp t="e">
        <v>#N/A</v>
        <stp/>
        <stp>BDH|9406347159564472282</stp>
        <tr r="P107" s="18"/>
      </tp>
      <tp t="e">
        <v>#N/A</v>
        <stp/>
        <stp>BDH|1949978590870325881</stp>
        <tr r="W16" s="29"/>
        <tr r="W39" s="29"/>
      </tp>
      <tp t="e">
        <v>#N/A</v>
        <stp/>
        <stp>BDH|9434955873736501826</stp>
        <tr r="T35" s="34"/>
      </tp>
      <tp t="e">
        <v>#N/A</v>
        <stp/>
        <stp>BDH|2377520955219100202</stp>
        <tr r="M55" s="18"/>
      </tp>
      <tp t="e">
        <v>#N/A</v>
        <stp/>
        <stp>BDH|9148070807273660326</stp>
        <tr r="G126" s="18"/>
      </tp>
      <tp t="e">
        <v>#N/A</v>
        <stp/>
        <stp>BDH|7220597956369886708</stp>
        <tr r="O22" s="18"/>
      </tp>
      <tp t="e">
        <v>#N/A</v>
        <stp/>
        <stp>BDH|5234348551513461961</stp>
        <tr r="W61" s="24"/>
      </tp>
      <tp t="e">
        <v>#N/A</v>
        <stp/>
        <stp>BDH|6531120003979355726</stp>
        <tr r="R11" s="11"/>
      </tp>
      <tp t="e">
        <v>#N/A</v>
        <stp/>
        <stp>BDH|7728978514674073212</stp>
        <tr r="Y54" s="12"/>
      </tp>
      <tp t="e">
        <v>#N/A</v>
        <stp/>
        <stp>BDH|4353622491116680436</stp>
        <tr r="T128" s="18"/>
      </tp>
      <tp t="e">
        <v>#N/A</v>
        <stp/>
        <stp>BDH|5601209249363333991</stp>
        <tr r="W25" s="17"/>
      </tp>
      <tp t="e">
        <v>#N/A</v>
        <stp/>
        <stp>BDH|9372613917940869783</stp>
        <tr r="R77" s="12"/>
      </tp>
      <tp t="e">
        <v>#N/A</v>
        <stp/>
        <stp>BDH|7205324609065587894</stp>
        <tr r="V23" s="22"/>
      </tp>
      <tp t="e">
        <v>#N/A</v>
        <stp/>
        <stp>BDH|9388065770311160610</stp>
        <tr r="H24" s="27"/>
      </tp>
      <tp t="e">
        <v>#N/A</v>
        <stp/>
        <stp>BDH|5134553354719540508</stp>
        <tr r="L9" s="3"/>
        <tr r="J51" s="10"/>
        <tr r="J41" s="11"/>
        <tr r="J14" s="7"/>
      </tp>
      <tp t="e">
        <v>#N/A</v>
        <stp/>
        <stp>BDH|2260565196263092472</stp>
        <tr r="T43" s="24"/>
      </tp>
      <tp t="e">
        <v>#N/A</v>
        <stp/>
        <stp>BDH|8178482305867828215</stp>
        <tr r="R15" s="26"/>
      </tp>
      <tp t="e">
        <v>#N/A</v>
        <stp/>
        <stp>BDH|7751570909262499984</stp>
        <tr r="M139" s="18"/>
      </tp>
      <tp t="e">
        <v>#N/A</v>
        <stp/>
        <stp>BDH|6284052207796064951</stp>
        <tr r="R94" s="17"/>
      </tp>
      <tp t="e">
        <v>#N/A</v>
        <stp/>
        <stp>BDH|8042086379883669521</stp>
        <tr r="H33" s="21"/>
      </tp>
      <tp t="e">
        <v>#N/A</v>
        <stp/>
        <stp>BDH|8657711391056305908</stp>
        <tr r="Z15" s="26"/>
      </tp>
      <tp t="e">
        <v>#N/A</v>
        <stp/>
        <stp>BDH|8164422034710585677</stp>
        <tr r="C69" s="13"/>
      </tp>
      <tp t="e">
        <v>#N/A</v>
        <stp/>
        <stp>BDH|1222530201618600538</stp>
        <tr r="D59" s="17"/>
      </tp>
      <tp t="e">
        <v>#N/A</v>
        <stp/>
        <stp>BDH|6253332993970515523</stp>
        <tr r="AA69" s="12"/>
      </tp>
      <tp t="e">
        <v>#N/A</v>
        <stp/>
        <stp>BDH|4030017578423569999</stp>
        <tr r="M21" s="9"/>
      </tp>
      <tp t="e">
        <v>#N/A</v>
        <stp/>
        <stp>BDH|5572979772870599200</stp>
        <tr r="L8" s="23"/>
      </tp>
      <tp t="e">
        <v>#N/A</v>
        <stp/>
        <stp>BDH|7446801054292299170</stp>
        <tr r="V18" s="9"/>
      </tp>
      <tp t="e">
        <v>#N/A</v>
        <stp/>
        <stp>BDH|2891415499337177146</stp>
        <tr r="Z145" s="18"/>
      </tp>
      <tp t="e">
        <v>#N/A</v>
        <stp/>
        <stp>BDH|89292488657022977</stp>
        <tr r="T62" s="17"/>
      </tp>
      <tp t="e">
        <v>#N/A</v>
        <stp/>
        <stp>BDH|53267665427799713</stp>
        <tr r="D120" s="18"/>
        <tr r="D8" s="20"/>
      </tp>
      <tp t="e">
        <v>#N/A</v>
        <stp/>
        <stp>BDH|45141472277053539</stp>
        <tr r="K12" s="12"/>
      </tp>
      <tp t="e">
        <v>#N/A</v>
        <stp/>
        <stp>BDH|42515877332729421</stp>
        <tr r="C19" s="26"/>
      </tp>
      <tp t="e">
        <v>#N/A</v>
        <stp/>
        <stp>BDH|80479325285416761</stp>
        <tr r="D32" s="14"/>
      </tp>
      <tp t="e">
        <v>#N/A</v>
        <stp/>
        <stp>BDH|58478836881822274</stp>
        <tr r="T121" s="18"/>
        <tr r="T9" s="20"/>
      </tp>
      <tp t="e">
        <v>#N/A</v>
        <stp/>
        <stp>BDH|91385362049010827</stp>
        <tr r="H10" s="34"/>
      </tp>
      <tp t="e">
        <v>#N/A</v>
        <stp/>
        <stp>BDH|7102047102798992548</stp>
        <tr r="AA59" s="34"/>
      </tp>
      <tp t="e">
        <v>#N/A</v>
        <stp/>
        <stp>BDH|9958629845617399673</stp>
        <tr r="AA43" s="18"/>
      </tp>
      <tp t="e">
        <v>#N/A</v>
        <stp/>
        <stp>BDH|9540751878716160534</stp>
        <tr r="V64" s="34"/>
      </tp>
      <tp t="e">
        <v>#N/A</v>
        <stp/>
        <stp>BDH|9543598190568430729</stp>
        <tr r="R31" s="29"/>
      </tp>
      <tp t="e">
        <v>#N/A</v>
        <stp/>
        <stp>BDH|9916101200430638254</stp>
        <tr r="W59" s="21"/>
        <tr r="W37" s="25"/>
        <tr r="U31" s="4"/>
        <tr r="U52" s="11"/>
      </tp>
      <tp t="e">
        <v>#N/A</v>
        <stp/>
        <stp>BDH|1681630991306798290</stp>
        <tr r="J20" s="27"/>
      </tp>
      <tp t="e">
        <v>#N/A</v>
        <stp/>
        <stp>BDH|9209020362981080483</stp>
        <tr r="G40" s="10"/>
        <tr r="G30" s="11"/>
      </tp>
      <tp t="e">
        <v>#N/A</v>
        <stp/>
        <stp>BDH|4007275951011533894</stp>
        <tr r="M88" s="12"/>
      </tp>
      <tp t="e">
        <v>#N/A</v>
        <stp/>
        <stp>BDH|2584603500276786884</stp>
        <tr r="U71" s="24"/>
      </tp>
      <tp t="e">
        <v>#N/A</v>
        <stp/>
        <stp>BDH|4343849338763077658</stp>
        <tr r="Z12" s="13"/>
      </tp>
      <tp t="e">
        <v>#N/A</v>
        <stp/>
        <stp>BDH|5041966425733867716</stp>
        <tr r="R70" s="34"/>
      </tp>
      <tp t="e">
        <v>#N/A</v>
        <stp/>
        <stp>BDH|5887579243527786919</stp>
        <tr r="C33" s="13"/>
      </tp>
      <tp t="e">
        <v>#N/A</v>
        <stp/>
        <stp>BDH|4206096656832381943</stp>
        <tr r="P96" s="12"/>
      </tp>
      <tp t="e">
        <v>#N/A</v>
        <stp/>
        <stp>BDH|5675992337576553371</stp>
        <tr r="M191" s="18"/>
      </tp>
      <tp t="e">
        <v>#N/A</v>
        <stp/>
        <stp>BDH|8024242509489164966</stp>
        <tr r="T24" s="4"/>
        <tr r="T55" s="11"/>
      </tp>
      <tp t="e">
        <v>#N/A</v>
        <stp/>
        <stp>BDH|5979251526269715672</stp>
        <tr r="U95" s="24"/>
      </tp>
      <tp t="e">
        <v>#N/A</v>
        <stp/>
        <stp>BDH|1975719130296594972</stp>
        <tr r="G55" s="18"/>
      </tp>
      <tp t="e">
        <v>#N/A</v>
        <stp/>
        <stp>BDH|7624867023597159083</stp>
        <tr r="M51" s="13"/>
      </tp>
      <tp t="e">
        <v>#N/A</v>
        <stp/>
        <stp>BDH|6423194228026754985</stp>
        <tr r="I122" s="18"/>
        <tr r="I11" s="20"/>
      </tp>
      <tp t="e">
        <v>#N/A</v>
        <stp/>
        <stp>BDH|9744031771042606693</stp>
        <tr r="Y50" s="34"/>
      </tp>
      <tp t="e">
        <v>#N/A</v>
        <stp/>
        <stp>BDH|1902783309908356416</stp>
        <tr r="Y67" s="13"/>
      </tp>
      <tp t="e">
        <v>#N/A</v>
        <stp/>
        <stp>BDH|7730998604065811183</stp>
        <tr r="K19" s="34"/>
      </tp>
      <tp t="e">
        <v>#N/A</v>
        <stp/>
        <stp>BDH|8832392476036498091</stp>
        <tr r="O69" s="34"/>
      </tp>
      <tp t="e">
        <v>#N/A</v>
        <stp/>
        <stp>BDH|3978228071555447947</stp>
        <tr r="C20" s="23"/>
      </tp>
      <tp t="e">
        <v>#N/A</v>
        <stp/>
        <stp>BDH|8913508181306219902</stp>
        <tr r="I11" s="6"/>
      </tp>
      <tp t="e">
        <v>#N/A</v>
        <stp/>
        <stp>BDH|4348884549390080283</stp>
        <tr r="N18" s="12"/>
      </tp>
      <tp t="e">
        <v>#N/A</v>
        <stp/>
        <stp>BDH|7921089902658878512</stp>
        <tr r="F137" s="18"/>
      </tp>
      <tp t="e">
        <v>#N/A</v>
        <stp/>
        <stp>BDH|8727819086591819327</stp>
        <tr r="R130" s="18"/>
      </tp>
      <tp t="e">
        <v>#N/A</v>
        <stp/>
        <stp>BDH|2905792102998123792</stp>
        <tr r="M12" s="13"/>
      </tp>
      <tp t="e">
        <v>#N/A</v>
        <stp/>
        <stp>BDH|2049856420032992061</stp>
        <tr r="X12" s="14"/>
      </tp>
      <tp t="e">
        <v>#N/A</v>
        <stp/>
        <stp>BDH|7097318492133982405</stp>
        <tr r="I28" s="21"/>
      </tp>
      <tp t="e">
        <v>#N/A</v>
        <stp/>
        <stp>BDH|7966103270889680258</stp>
        <tr r="J68" s="10"/>
      </tp>
      <tp t="e">
        <v>#N/A</v>
        <stp/>
        <stp>BDH|1863649950109638101</stp>
        <tr r="G22" s="30"/>
        <tr r="G24" s="23"/>
      </tp>
      <tp t="e">
        <v>#N/A</v>
        <stp/>
        <stp>BDH|8687569720392860728</stp>
        <tr r="X45" s="21"/>
      </tp>
      <tp t="e">
        <v>#N/A</v>
        <stp/>
        <stp>BDH|8498152777020877440</stp>
        <tr r="K57" s="17"/>
      </tp>
      <tp t="e">
        <v>#N/A</v>
        <stp/>
        <stp>BDH|6878427723129779349</stp>
        <tr r="I38" s="22"/>
      </tp>
      <tp t="e">
        <v>#N/A</v>
        <stp/>
        <stp>BDH|4227876418773747409</stp>
        <tr r="D27" s="12"/>
      </tp>
      <tp t="e">
        <v>#N/A</v>
        <stp/>
        <stp>BDH|1901303286368393878</stp>
        <tr r="K95" s="17"/>
      </tp>
      <tp t="e">
        <v>#N/A</v>
        <stp/>
        <stp>BDH|2385999420724833794</stp>
        <tr r="G17" s="12"/>
      </tp>
      <tp t="e">
        <v>#N/A</v>
        <stp/>
        <stp>BDH|1863922318055100684</stp>
        <tr r="H72" s="18"/>
      </tp>
      <tp t="e">
        <v>#N/A</v>
        <stp/>
        <stp>BDH|3946622800066778971</stp>
        <tr r="W9" s="14"/>
      </tp>
      <tp t="e">
        <v>#N/A</v>
        <stp/>
        <stp>BDH|3272623194951848779</stp>
        <tr r="P50" s="4"/>
      </tp>
      <tp t="e">
        <v>#N/A</v>
        <stp/>
        <stp>BDH|9875456465800736149</stp>
        <tr r="Y17" s="12"/>
      </tp>
      <tp t="e">
        <v>#N/A</v>
        <stp/>
        <stp>BDH|2560797894192700443</stp>
        <tr r="E16" s="20"/>
      </tp>
      <tp t="e">
        <v>#N/A</v>
        <stp/>
        <stp>BDH|5456911640063909177</stp>
        <tr r="C73" s="12"/>
      </tp>
      <tp t="e">
        <v>#N/A</v>
        <stp/>
        <stp>BDH|5746398192902228754</stp>
        <tr r="G20" s="6"/>
      </tp>
      <tp t="e">
        <v>#N/A</v>
        <stp/>
        <stp>BDH|5794004196863910536</stp>
        <tr r="N90" s="17"/>
        <tr r="N34" s="25"/>
      </tp>
      <tp t="e">
        <v>#N/A</v>
        <stp/>
        <stp>BDH|2102557882211536484</stp>
        <tr r="V101" s="12"/>
      </tp>
      <tp t="e">
        <v>#N/A</v>
        <stp/>
        <stp>BDH|9993970014099233238</stp>
        <tr r="D169" s="18"/>
      </tp>
      <tp t="e">
        <v>#N/A</v>
        <stp/>
        <stp>BDH|2069054425283373982</stp>
        <tr r="K51" s="34"/>
      </tp>
      <tp t="e">
        <v>#N/A</v>
        <stp/>
        <stp>BDH|3062603237074870847</stp>
        <tr r="Q190" s="18"/>
      </tp>
      <tp t="e">
        <v>#N/A</v>
        <stp/>
        <stp>BDH|1700991704793710162</stp>
        <tr r="Q35" s="34"/>
      </tp>
      <tp t="e">
        <v>#N/A</v>
        <stp/>
        <stp>BDH|1539586863061383969</stp>
        <tr r="X59" s="17"/>
      </tp>
      <tp t="e">
        <v>#N/A</v>
        <stp/>
        <stp>BDH|3507377404098855256</stp>
        <tr r="P136" s="18"/>
      </tp>
      <tp t="e">
        <v>#N/A</v>
        <stp/>
        <stp>BDH|5394880271099250938</stp>
        <tr r="X18" s="18"/>
      </tp>
      <tp t="e">
        <v>#N/A</v>
        <stp/>
        <stp>BDH|6150291664908089071</stp>
        <tr r="D67" s="13"/>
      </tp>
      <tp t="e">
        <v>#N/A</v>
        <stp/>
        <stp>BDH|9869565426977361308</stp>
        <tr r="K76" s="34"/>
      </tp>
      <tp t="e">
        <v>#N/A</v>
        <stp/>
        <stp>BDH|1452051730131865924</stp>
        <tr r="G24" s="24"/>
      </tp>
      <tp t="e">
        <v>#N/A</v>
        <stp/>
        <stp>BDH|8702210821094818646</stp>
        <tr r="AA77" s="34"/>
      </tp>
      <tp t="e">
        <v>#N/A</v>
        <stp/>
        <stp>BDH|7359281764489182051</stp>
        <tr r="Z51" s="13"/>
      </tp>
      <tp t="e">
        <v>#N/A</v>
        <stp/>
        <stp>BDH|9951246619883920360</stp>
        <tr r="H37" s="26"/>
      </tp>
      <tp t="e">
        <v>#N/A</v>
        <stp/>
        <stp>BDH|7773918640232532286</stp>
        <tr r="R13" s="9"/>
      </tp>
      <tp t="e">
        <v>#N/A</v>
        <stp/>
        <stp>BDH|8476968745748907750</stp>
        <tr r="F7" s="34"/>
      </tp>
      <tp t="e">
        <v>#N/A</v>
        <stp/>
        <stp>BDH|9165808680846965538</stp>
        <tr r="L48" s="22"/>
      </tp>
      <tp t="e">
        <v>#N/A</v>
        <stp/>
        <stp>BDH|4715666808339641148</stp>
        <tr r="I55" s="24"/>
      </tp>
      <tp t="e">
        <v>#N/A</v>
        <stp/>
        <stp>BDH|7864834952835275505</stp>
        <tr r="AA171" s="18"/>
      </tp>
      <tp t="e">
        <v>#N/A</v>
        <stp/>
        <stp>BDH|1303362859039118468</stp>
        <tr r="P19" s="24"/>
      </tp>
      <tp t="e">
        <v>#N/A</v>
        <stp/>
        <stp>BDH|7788115029046310877</stp>
        <tr r="M52" s="24"/>
      </tp>
      <tp t="e">
        <v>#N/A</v>
        <stp/>
        <stp>BDH|5621114416847838826</stp>
        <tr r="C92" s="17"/>
        <tr r="C7" s="27"/>
      </tp>
      <tp t="e">
        <v>#N/A</v>
        <stp/>
        <stp>BDH|5759086341712194947</stp>
        <tr r="X10" s="23"/>
      </tp>
      <tp t="e">
        <v>#N/A</v>
        <stp/>
        <stp>BDH|4052050089635380346</stp>
        <tr r="I23" s="17"/>
      </tp>
      <tp t="e">
        <v>#N/A</v>
        <stp/>
        <stp>BDH|1775008159519527705</stp>
        <tr r="AA73" s="12"/>
      </tp>
      <tp t="e">
        <v>#N/A</v>
        <stp/>
        <stp>BDH|5460069332694379882</stp>
        <tr r="T50" s="13"/>
      </tp>
      <tp t="e">
        <v>#N/A</v>
        <stp/>
        <stp>BDH|7546865221927838017</stp>
        <tr r="M68" s="13"/>
      </tp>
      <tp t="e">
        <v>#N/A</v>
        <stp/>
        <stp>BDH|8771993467279628448</stp>
        <tr r="E18" s="12"/>
      </tp>
      <tp t="e">
        <v>#N/A</v>
        <stp/>
        <stp>BDH|1940638997316244244</stp>
        <tr r="X71" s="12"/>
      </tp>
      <tp t="e">
        <v>#N/A</v>
        <stp/>
        <stp>BDH|6699920478740532222</stp>
        <tr r="Z29" s="18"/>
      </tp>
      <tp t="e">
        <v>#N/A</v>
        <stp/>
        <stp>BDH|4786006068371185965</stp>
        <tr r="I54" s="6"/>
      </tp>
      <tp t="e">
        <v>#N/A</v>
        <stp/>
        <stp>BDH|9095432368571076039</stp>
        <tr r="F55" s="17"/>
      </tp>
      <tp t="e">
        <v>#N/A</v>
        <stp/>
        <stp>BDH|9220977786043224197</stp>
        <tr r="E43" s="29"/>
      </tp>
      <tp t="e">
        <v>#N/A</v>
        <stp/>
        <stp>BDH|4865828104047182175</stp>
        <tr r="S54" s="6"/>
      </tp>
      <tp t="e">
        <v>#N/A</v>
        <stp/>
        <stp>BDH|6507889551497569618</stp>
        <tr r="P186" s="18"/>
      </tp>
      <tp t="e">
        <v>#N/A</v>
        <stp/>
        <stp>BDH|6090242268178287066</stp>
        <tr r="K140" s="18"/>
      </tp>
      <tp t="e">
        <v>#N/A</v>
        <stp/>
        <stp>BDH|2510275103439921306</stp>
        <tr r="R23" s="30"/>
        <tr r="R25" s="23"/>
      </tp>
      <tp t="e">
        <v>#N/A</v>
        <stp/>
        <stp>BDH|5683061285141949648</stp>
        <tr r="J63" s="21"/>
      </tp>
      <tp t="e">
        <v>#N/A</v>
        <stp/>
        <stp>BDH|4658618040534855879</stp>
        <tr r="O70" s="34"/>
      </tp>
      <tp t="e">
        <v>#N/A</v>
        <stp/>
        <stp>BDH|1014897046026673116</stp>
        <tr r="Y22" s="24"/>
      </tp>
      <tp t="e">
        <v>#N/A</v>
        <stp/>
        <stp>BDH|2531660494930886775</stp>
        <tr r="I87" s="17"/>
      </tp>
      <tp t="e">
        <v>#N/A</v>
        <stp/>
        <stp>BDH|5921915472274422560</stp>
        <tr r="V9" s="2"/>
        <tr r="X8" s="25"/>
        <tr r="U10" s="5"/>
      </tp>
      <tp t="e">
        <v>#N/A</v>
        <stp/>
        <stp>BDH|8848775507673582658</stp>
        <tr r="S36" s="4"/>
      </tp>
      <tp t="e">
        <v>#N/A</v>
        <stp/>
        <stp>BDH|4328355057938096091</stp>
        <tr r="Q35" s="6"/>
      </tp>
      <tp t="e">
        <v>#N/A</v>
        <stp/>
        <stp>BDH|3547371335949656090</stp>
        <tr r="V35" s="14"/>
      </tp>
      <tp t="e">
        <v>#N/A</v>
        <stp/>
        <stp>BDH|9113554265501812118</stp>
        <tr r="D105" s="12"/>
      </tp>
      <tp t="e">
        <v>#N/A</v>
        <stp/>
        <stp>BDH|5007920799368589762</stp>
        <tr r="K33" s="24"/>
      </tp>
      <tp t="e">
        <v>#N/A</v>
        <stp/>
        <stp>BDH|9320959798870017369</stp>
        <tr r="U100" s="12"/>
      </tp>
      <tp t="e">
        <v>#N/A</v>
        <stp/>
        <stp>BDH|9766430139472612638</stp>
        <tr r="H22" s="34"/>
      </tp>
      <tp t="e">
        <v>#N/A</v>
        <stp/>
        <stp>BDH|9651794805794693045</stp>
        <tr r="R58" s="11"/>
        <tr r="T19" s="23"/>
      </tp>
      <tp t="e">
        <v>#N/A</v>
        <stp/>
        <stp>BDH|2745558999220653451</stp>
        <tr r="D63" s="13"/>
      </tp>
      <tp t="e">
        <v>#N/A</v>
        <stp/>
        <stp>BDH|3100155398029206868</stp>
        <tr r="I53" s="12"/>
      </tp>
      <tp t="e">
        <v>#N/A</v>
        <stp/>
        <stp>BDH|8028898220631738962</stp>
        <tr r="D49" s="18"/>
      </tp>
      <tp t="e">
        <v>#N/A</v>
        <stp/>
        <stp>BDH|8843488827864989060</stp>
        <tr r="F43" s="17"/>
      </tp>
      <tp t="e">
        <v>#N/A</v>
        <stp/>
        <stp>BDH|9100016629891828093</stp>
        <tr r="X9" s="23"/>
      </tp>
      <tp t="e">
        <v>#N/A</v>
        <stp/>
        <stp>BDH|4483269382177860317</stp>
        <tr r="I95" s="17"/>
      </tp>
      <tp t="e">
        <v>#N/A</v>
        <stp/>
        <stp>BDH|7242613263559952406</stp>
        <tr r="K91" s="18"/>
      </tp>
      <tp t="e">
        <v>#N/A</v>
        <stp/>
        <stp>BDH|8721279019193695262</stp>
        <tr r="AA11" s="24"/>
      </tp>
      <tp t="e">
        <v>#N/A</v>
        <stp/>
        <stp>BDH|1460863868701040437</stp>
        <tr r="U26" s="10"/>
        <tr r="W35" s="13"/>
      </tp>
      <tp t="e">
        <v>#N/A</v>
        <stp/>
        <stp>BDH|3348212195256755490</stp>
        <tr r="F35" s="25"/>
      </tp>
      <tp t="e">
        <v>#N/A</v>
        <stp/>
        <stp>BDH|9498273241713992625</stp>
        <tr r="L17" s="23"/>
      </tp>
      <tp t="e">
        <v>#N/A</v>
        <stp/>
        <stp>BDH|6315455259765415822</stp>
        <tr r="I31" s="34"/>
      </tp>
      <tp t="e">
        <v>#N/A</v>
        <stp/>
        <stp>BDH|8765790646639004810</stp>
        <tr r="D16" s="21"/>
      </tp>
      <tp t="e">
        <v>#N/A</v>
        <stp/>
        <stp>BDH|5763000486654982318</stp>
        <tr r="G29" s="17"/>
      </tp>
      <tp t="e">
        <v>#N/A</v>
        <stp/>
        <stp>BDH|5109028192694168298</stp>
        <tr r="R18" s="9"/>
      </tp>
      <tp t="e">
        <v>#N/A</v>
        <stp/>
        <stp>BDH|4420586134410370824</stp>
        <tr r="N49" s="21"/>
      </tp>
      <tp t="e">
        <v>#N/A</v>
        <stp/>
        <stp>BDH|8286538319644022217</stp>
        <tr r="G63" s="21"/>
      </tp>
      <tp t="e">
        <v>#N/A</v>
        <stp/>
        <stp>BDH|3134646955502118883</stp>
        <tr r="V25" s="26"/>
      </tp>
      <tp t="e">
        <v>#N/A</v>
        <stp/>
        <stp>BDH|2668878009872929286</stp>
        <tr r="F108" s="18"/>
      </tp>
      <tp t="e">
        <v>#N/A</v>
        <stp/>
        <stp>BDH|4878337922339657663</stp>
        <tr r="U104" s="18"/>
      </tp>
      <tp t="e">
        <v>#N/A</v>
        <stp/>
        <stp>BDH|9045805968675438851</stp>
        <tr r="W161" s="18"/>
      </tp>
      <tp t="e">
        <v>#N/A</v>
        <stp/>
        <stp>BDH|8299749787418921513</stp>
        <tr r="Y28" s="4"/>
      </tp>
      <tp t="e">
        <v>#N/A</v>
        <stp/>
        <stp>BDH|1692697543180390963</stp>
        <tr r="S14" s="6"/>
      </tp>
      <tp t="e">
        <v>#N/A</v>
        <stp/>
        <stp>BDH|8829184411866093482</stp>
        <tr r="K34" s="21"/>
      </tp>
      <tp t="e">
        <v>#N/A</v>
        <stp/>
        <stp>BDH|6802778947138493755</stp>
        <tr r="M21" s="30"/>
      </tp>
      <tp t="e">
        <v>#N/A</v>
        <stp/>
        <stp>BDH|4010303698844687076</stp>
        <tr r="Z78" s="34"/>
      </tp>
      <tp t="e">
        <v>#N/A</v>
        <stp/>
        <stp>BDH|1884862538548795882</stp>
        <tr r="W30" s="21"/>
      </tp>
      <tp t="e">
        <v>#N/A</v>
        <stp/>
        <stp>BDH|1125947664543973710</stp>
        <tr r="R20" s="26"/>
      </tp>
      <tp t="e">
        <v>#N/A</v>
        <stp/>
        <stp>BDH|2140856162460647695</stp>
        <tr r="J50" s="13"/>
      </tp>
      <tp t="e">
        <v>#N/A</v>
        <stp/>
        <stp>BDH|1563711316329201493</stp>
        <tr r="P71" s="18"/>
      </tp>
      <tp t="e">
        <v>#N/A</v>
        <stp/>
        <stp>BDH|6601976610787154393</stp>
        <tr r="N76" s="12"/>
      </tp>
      <tp t="e">
        <v>#N/A</v>
        <stp/>
        <stp>BDH|6179846719587443216</stp>
        <tr r="AA13" s="24"/>
      </tp>
      <tp t="e">
        <v>#N/A</v>
        <stp/>
        <stp>BDH|4581196384143562440</stp>
        <tr r="AA22" s="18"/>
      </tp>
      <tp t="e">
        <v>#N/A</v>
        <stp/>
        <stp>BDH|9828414611957461151</stp>
        <tr r="Z27" s="21"/>
      </tp>
      <tp t="e">
        <v>#N/A</v>
        <stp/>
        <stp>BDH|4136365903694427999</stp>
        <tr r="N25" s="7"/>
      </tp>
      <tp t="e">
        <v>#N/A</v>
        <stp/>
        <stp>BDH|5274188101109664743</stp>
        <tr r="I23" s="22"/>
      </tp>
      <tp t="e">
        <v>#N/A</v>
        <stp/>
        <stp>BDH|4947544075294411858</stp>
        <tr r="I29" s="14"/>
      </tp>
      <tp t="e">
        <v>#N/A</v>
        <stp/>
        <stp>BDH|4460428038740413932</stp>
        <tr r="S63" s="24"/>
      </tp>
      <tp t="e">
        <v>#N/A</v>
        <stp/>
        <stp>BDH|8496710372284971676</stp>
        <tr r="G45" s="21"/>
      </tp>
      <tp t="e">
        <v>#N/A</v>
        <stp/>
        <stp>BDH|2237263907923345997</stp>
        <tr r="H15" s="17"/>
        <tr r="H18" s="28"/>
      </tp>
      <tp t="e">
        <v>#N/A</v>
        <stp/>
        <stp>BDH|1863533830875083828</stp>
        <tr r="C187" s="18"/>
      </tp>
      <tp t="e">
        <v>#N/A</v>
        <stp/>
        <stp>BDH|8208895762659180516</stp>
        <tr r="E15" s="25"/>
      </tp>
      <tp t="e">
        <v>#N/A</v>
        <stp/>
        <stp>BDH|1204041337841857900</stp>
        <tr r="R31" s="10"/>
        <tr r="T40" s="13"/>
      </tp>
      <tp t="e">
        <v>#N/A</v>
        <stp/>
        <stp>BDH|9801809326920376948</stp>
        <tr r="F53" s="10"/>
        <tr r="F43" s="11"/>
        <tr r="F16" s="7"/>
      </tp>
      <tp t="e">
        <v>#N/A</v>
        <stp/>
        <stp>BDH|9297108786173878958</stp>
        <tr r="AA106" s="18"/>
      </tp>
      <tp t="e">
        <v>#N/A</v>
        <stp/>
        <stp>BDH|4846783616978839073</stp>
        <tr r="T62" s="24"/>
      </tp>
      <tp t="e">
        <v>#N/A</v>
        <stp/>
        <stp>BDH|4542726398261406151</stp>
        <tr r="U72" s="24"/>
      </tp>
      <tp t="e">
        <v>#N/A</v>
        <stp/>
        <stp>BDH|8874410865645252505</stp>
        <tr r="R150" s="18"/>
      </tp>
      <tp t="e">
        <v>#N/A</v>
        <stp/>
        <stp>BDH|3443391106359742322</stp>
        <tr r="P89" s="18"/>
      </tp>
      <tp t="e">
        <v>#N/A</v>
        <stp/>
        <stp>BDH|1152317659509715405</stp>
        <tr r="E42" s="12"/>
      </tp>
      <tp t="e">
        <v>#N/A</v>
        <stp/>
        <stp>BDH|8666496205485267361</stp>
        <tr r="W38" s="34"/>
      </tp>
      <tp t="e">
        <v>#N/A</v>
        <stp/>
        <stp>BDH|9361293572462507433</stp>
        <tr r="V69" s="18"/>
      </tp>
      <tp t="e">
        <v>#N/A</v>
        <stp/>
        <stp>BDH|9831521500255121350</stp>
        <tr r="I42" s="34"/>
      </tp>
      <tp t="e">
        <v>#N/A</v>
        <stp/>
        <stp>BDH|5948830498828881646</stp>
        <tr r="X23" s="21"/>
      </tp>
      <tp t="e">
        <v>#N/A</v>
        <stp/>
        <stp>BDH|3166816652505478180</stp>
        <tr r="P209" s="18"/>
      </tp>
      <tp t="e">
        <v>#N/A</v>
        <stp/>
        <stp>BDH|5531246592756465291</stp>
        <tr r="D46" s="18"/>
      </tp>
      <tp t="e">
        <v>#N/A</v>
        <stp/>
        <stp>BDH|7064955266222552081</stp>
        <tr r="J131" s="18"/>
      </tp>
      <tp t="e">
        <v>#N/A</v>
        <stp/>
        <stp>BDH|5087260669363590847</stp>
        <tr r="L46" s="34"/>
      </tp>
      <tp t="e">
        <v>#N/A</v>
        <stp/>
        <stp>BDH|4957047425768624402</stp>
        <tr r="Q13" s="25"/>
      </tp>
      <tp t="e">
        <v>#N/A</v>
        <stp/>
        <stp>BDH|2584106281915868424</stp>
        <tr r="AA15" s="34"/>
      </tp>
      <tp t="e">
        <v>#N/A</v>
        <stp/>
        <stp>BDH|8744360876002175486</stp>
        <tr r="U81" s="24"/>
      </tp>
      <tp t="e">
        <v>#N/A</v>
        <stp/>
        <stp>BDH|7679202589333419453</stp>
        <tr r="Q180" s="18"/>
      </tp>
      <tp t="e">
        <v>#N/A</v>
        <stp/>
        <stp>BDH|5491027548932115912</stp>
        <tr r="V98" s="12"/>
      </tp>
      <tp t="e">
        <v>#N/A</v>
        <stp/>
        <stp>BDH|3326182053604135971</stp>
        <tr r="M46" s="18"/>
      </tp>
      <tp t="e">
        <v>#N/A</v>
        <stp/>
        <stp>BDH|5914348696373568608</stp>
        <tr r="H25" s="9"/>
      </tp>
      <tp t="e">
        <v>#N/A</v>
        <stp/>
        <stp>BDH|2629374443617537894</stp>
        <tr r="F24" s="21"/>
      </tp>
      <tp t="e">
        <v>#N/A</v>
        <stp/>
        <stp>BDH|8491557877927988719</stp>
        <tr r="X25" s="25"/>
        <tr r="X10" s="27"/>
      </tp>
      <tp t="e">
        <v>#N/A</v>
        <stp/>
        <stp>BDH|1069729445159115187</stp>
        <tr r="U57" s="34"/>
      </tp>
      <tp t="e">
        <v>#N/A</v>
        <stp/>
        <stp>BDH|6286407338292430905</stp>
        <tr r="I56" s="18"/>
      </tp>
      <tp t="e">
        <v>#N/A</v>
        <stp/>
        <stp>BDH|4682085386592577434</stp>
        <tr r="H104" s="12"/>
      </tp>
      <tp t="e">
        <v>#N/A</v>
        <stp/>
        <stp>BDH|9142453910942310494</stp>
        <tr r="F100" s="12"/>
      </tp>
      <tp t="e">
        <v>#N/A</v>
        <stp/>
        <stp>BDH|8652254593821876862</stp>
        <tr r="T18" s="6"/>
      </tp>
      <tp t="e">
        <v>#N/A</v>
        <stp/>
        <stp>BDH|8574086711545133638</stp>
        <tr r="X177" s="18"/>
      </tp>
      <tp t="e">
        <v>#N/A</v>
        <stp/>
        <stp>BDH|9451198944586527025</stp>
        <tr r="H52" s="34"/>
      </tp>
      <tp t="e">
        <v>#N/A</v>
        <stp/>
        <stp>BDH|5091899420340090575</stp>
        <tr r="T49" s="4"/>
      </tp>
      <tp t="e">
        <v>#N/A</v>
        <stp/>
        <stp>BDH|9009141643760815618</stp>
        <tr r="J7" s="17"/>
      </tp>
      <tp t="e">
        <v>#N/A</v>
        <stp/>
        <stp>BDH|9682388363893046533</stp>
        <tr r="T27" s="17"/>
      </tp>
      <tp t="e">
        <v>#N/A</v>
        <stp/>
        <stp>BDH|9545533678898565956</stp>
        <tr r="U51" s="13"/>
      </tp>
      <tp t="e">
        <v>#N/A</v>
        <stp/>
        <stp>BDH|3669529118535602845</stp>
        <tr r="S9" s="12"/>
      </tp>
      <tp t="e">
        <v>#N/A</v>
        <stp/>
        <stp>BDH|7674395619826909915</stp>
        <tr r="D38" s="17"/>
      </tp>
      <tp t="e">
        <v>#N/A</v>
        <stp/>
        <stp>BDH|2495552130579927762</stp>
        <tr r="S51" s="24"/>
      </tp>
      <tp t="e">
        <v>#N/A</v>
        <stp/>
        <stp>BDH|7847728915299560246</stp>
        <tr r="M25" s="17"/>
      </tp>
      <tp t="e">
        <v>#N/A</v>
        <stp/>
        <stp>BDH|7746796683840736247</stp>
        <tr r="M67" s="17"/>
        <tr r="M18" s="3"/>
      </tp>
      <tp t="e">
        <v>#N/A</v>
        <stp/>
        <stp>BDH|9633925539839248014</stp>
        <tr r="L37" s="26"/>
      </tp>
      <tp t="e">
        <v>#N/A</v>
        <stp/>
        <stp>BDH|9652279798530058872</stp>
        <tr r="P98" s="12"/>
      </tp>
      <tp t="e">
        <v>#N/A</v>
        <stp/>
        <stp>BDH|8738691636906621107</stp>
        <tr r="Y93" s="18"/>
      </tp>
      <tp t="e">
        <v>#N/A</v>
        <stp/>
        <stp>BDH|1642743476328322387</stp>
        <tr r="S20" s="27"/>
      </tp>
      <tp t="e">
        <v>#N/A</v>
        <stp/>
        <stp>BDH|1536393266259516702</stp>
        <tr r="C107" s="18"/>
      </tp>
      <tp t="e">
        <v>#N/A</v>
        <stp/>
        <stp>BDH|2716655091362820544</stp>
        <tr r="T125" s="18"/>
        <tr r="T14" s="20"/>
      </tp>
      <tp t="e">
        <v>#N/A</v>
        <stp/>
        <stp>BDH|6987586229849501227</stp>
        <tr r="K24" s="20"/>
      </tp>
      <tp t="e">
        <v>#N/A</v>
        <stp/>
        <stp>BDH|5525856205093948430</stp>
        <tr r="Z8" s="21"/>
      </tp>
      <tp t="e">
        <v>#N/A</v>
        <stp/>
        <stp>BDH|4698274842978440080</stp>
        <tr r="C24" s="13"/>
      </tp>
      <tp t="e">
        <v>#N/A</v>
        <stp/>
        <stp>BDH|8960853240599780748</stp>
        <tr r="G80" s="24"/>
      </tp>
      <tp t="e">
        <v>#N/A</v>
        <stp/>
        <stp>BDH|4404983037306270264</stp>
        <tr r="J32" s="22"/>
      </tp>
      <tp t="e">
        <v>#N/A</v>
        <stp/>
        <stp>BDH|7081799756129252626</stp>
        <tr r="C41" s="24"/>
      </tp>
      <tp t="e">
        <v>#N/A</v>
        <stp/>
        <stp>BDH|8806223566634646252</stp>
        <tr r="M18" s="20"/>
      </tp>
      <tp t="e">
        <v>#N/A</v>
        <stp/>
        <stp>BDH|3104885038757972577</stp>
        <tr r="L17" s="9"/>
      </tp>
      <tp t="e">
        <v>#N/A</v>
        <stp/>
        <stp>BDH|9144614061346839565</stp>
        <tr r="P41" s="17"/>
        <tr r="P9" s="25"/>
      </tp>
      <tp t="e">
        <v>#N/A</v>
        <stp/>
        <stp>BDH|6524182940498618141</stp>
        <tr r="T20" s="34"/>
      </tp>
      <tp t="e">
        <v>#N/A</v>
        <stp/>
        <stp>BDH|1686162749417006969</stp>
        <tr r="Q39" s="34"/>
      </tp>
      <tp t="e">
        <v>#N/A</v>
        <stp/>
        <stp>BDH|8274758922046899121</stp>
        <tr r="R6" s="28"/>
      </tp>
      <tp t="e">
        <v>#N/A</v>
        <stp/>
        <stp>BDH|8807815205238546264</stp>
        <tr r="P22" s="21"/>
      </tp>
      <tp t="e">
        <v>#N/A</v>
        <stp/>
        <stp>BDH|1897833814952102014</stp>
        <tr r="Q38" s="34"/>
      </tp>
      <tp t="e">
        <v>#N/A</v>
        <stp/>
        <stp>BDH|6822424346178494478</stp>
        <tr r="M204" s="18"/>
      </tp>
      <tp t="e">
        <v>#N/A</v>
        <stp/>
        <stp>BDH|8646253551616592381</stp>
        <tr r="I14" s="24"/>
      </tp>
      <tp t="e">
        <v>#N/A</v>
        <stp/>
        <stp>BDH|9997864035688734021</stp>
        <tr r="Y7" s="10"/>
      </tp>
      <tp t="e">
        <v>#N/A</v>
        <stp/>
        <stp>BDH|4110848846786864440</stp>
        <tr r="V189" s="18"/>
      </tp>
      <tp t="e">
        <v>#N/A</v>
        <stp/>
        <stp>BDH|7715738541667913936</stp>
        <tr r="L34" s="22"/>
      </tp>
      <tp t="e">
        <v>#N/A</v>
        <stp/>
        <stp>BDH|4380176076129810156</stp>
        <tr r="O56" s="18"/>
      </tp>
      <tp t="e">
        <v>#N/A</v>
        <stp/>
        <stp>BDH|1828762146118601019</stp>
        <tr r="D8" s="18"/>
      </tp>
      <tp t="e">
        <v>#N/A</v>
        <stp/>
        <stp>BDH|1442267458819574507</stp>
        <tr r="P13" s="25"/>
      </tp>
      <tp t="e">
        <v>#N/A</v>
        <stp/>
        <stp>BDH|2602338183124842716</stp>
        <tr r="R25" s="6"/>
      </tp>
      <tp t="e">
        <v>#N/A</v>
        <stp/>
        <stp>BDH|5132226778888775231</stp>
        <tr r="N125" s="18"/>
        <tr r="N14" s="20"/>
      </tp>
      <tp t="e">
        <v>#N/A</v>
        <stp/>
        <stp>BDH|5711847829366296377</stp>
        <tr r="AA41" s="24"/>
      </tp>
      <tp t="e">
        <v>#N/A</v>
        <stp/>
        <stp>BDH|7751815349453595257</stp>
        <tr r="L17" s="10"/>
        <tr r="N16" s="13"/>
        <tr r="N30" s="13"/>
      </tp>
      <tp t="e">
        <v>#N/A</v>
        <stp/>
        <stp>BDH|1974128747719124726</stp>
        <tr r="Y106" s="12"/>
      </tp>
      <tp t="e">
        <v>#N/A</v>
        <stp/>
        <stp>BDH|4967963463806130722</stp>
        <tr r="E84" s="17"/>
      </tp>
      <tp t="e">
        <v>#N/A</v>
        <stp/>
        <stp>BDH|1127975626283906369</stp>
        <tr r="X99" s="18"/>
      </tp>
      <tp t="e">
        <v>#N/A</v>
        <stp/>
        <stp>BDH|2188938254764228084</stp>
        <tr r="V115" s="18"/>
      </tp>
      <tp t="e">
        <v>#N/A</v>
        <stp/>
        <stp>BDH|8288735976570881231</stp>
        <tr r="Q22" s="20"/>
      </tp>
      <tp t="e">
        <v>#N/A</v>
        <stp/>
        <stp>BDH|9189723314604942128</stp>
        <tr r="C9" s="30"/>
      </tp>
      <tp t="e">
        <v>#N/A</v>
        <stp/>
        <stp>BDH|5204675608560630973</stp>
        <tr r="Z12" s="26"/>
      </tp>
      <tp t="e">
        <v>#N/A</v>
        <stp/>
        <stp>BDH|7066543782677900733</stp>
        <tr r="Y73" s="17"/>
      </tp>
      <tp t="e">
        <v>#N/A</v>
        <stp/>
        <stp>BDH|9979984552169668694</stp>
        <tr r="K64" s="34"/>
      </tp>
      <tp t="e">
        <v>#N/A</v>
        <stp/>
        <stp>BDH|7343742989845367718</stp>
        <tr r="K19" s="6"/>
      </tp>
      <tp t="e">
        <v>#N/A</v>
        <stp/>
        <stp>BDH|3155960921000369290</stp>
        <tr r="N47" s="22"/>
      </tp>
      <tp t="e">
        <v>#N/A</v>
        <stp/>
        <stp>BDH|7248765418532136914</stp>
        <tr r="K52" s="12"/>
      </tp>
      <tp t="e">
        <v>#N/A</v>
        <stp/>
        <stp>BDH|5798065336174286896</stp>
        <tr r="J65" s="21"/>
        <tr r="H23" s="7"/>
      </tp>
      <tp t="e">
        <v>#N/A</v>
        <stp/>
        <stp>BDH|8609053655540224781</stp>
        <tr r="D18" s="29"/>
        <tr r="D41" s="29"/>
      </tp>
      <tp t="e">
        <v>#N/A</v>
        <stp/>
        <stp>BDH|6199982031415491303</stp>
        <tr r="G111" s="18"/>
      </tp>
      <tp t="e">
        <v>#N/A</v>
        <stp/>
        <stp>BDH|3187625789997662007</stp>
        <tr r="AA18" s="13"/>
      </tp>
      <tp t="e">
        <v>#N/A</v>
        <stp/>
        <stp>BDH|9000398705234775479</stp>
        <tr r="K14" s="23"/>
      </tp>
      <tp t="e">
        <v>#N/A</v>
        <stp/>
        <stp>BDH|1933870073361249530</stp>
        <tr r="R27" s="22"/>
      </tp>
      <tp t="e">
        <v>#N/A</v>
        <stp/>
        <stp>BDH|8344192021760362140</stp>
        <tr r="R30" s="17"/>
      </tp>
      <tp t="e">
        <v>#N/A</v>
        <stp/>
        <stp>BDH|1691478062071934865</stp>
        <tr r="T72" s="13"/>
      </tp>
      <tp t="e">
        <v>#N/A</v>
        <stp/>
        <stp>BDH|8734022669711251524</stp>
        <tr r="C18" s="9"/>
      </tp>
      <tp t="e">
        <v>#N/A</v>
        <stp/>
        <stp>BDH|8811547744844008749</stp>
        <tr r="M25" s="3"/>
      </tp>
      <tp t="e">
        <v>#N/A</v>
        <stp/>
        <stp>BDH|9259600158699747911</stp>
        <tr r="S53" s="6"/>
      </tp>
      <tp t="e">
        <v>#N/A</v>
        <stp/>
        <stp>BDH|9183697424907230023</stp>
        <tr r="V43" s="24"/>
      </tp>
      <tp t="e">
        <v>#N/A</v>
        <stp/>
        <stp>BDH|7174878983168811519</stp>
        <tr r="W22" s="21"/>
      </tp>
      <tp t="e">
        <v>#N/A</v>
        <stp/>
        <stp>BDH|4984525685332400167</stp>
        <tr r="D16" s="20"/>
      </tp>
      <tp t="e">
        <v>#N/A</v>
        <stp/>
        <stp>BDH|7385907768195670710</stp>
        <tr r="Y86" s="18"/>
      </tp>
      <tp t="e">
        <v>#N/A</v>
        <stp/>
        <stp>BDH|4754161480226964148</stp>
        <tr r="E73" s="18"/>
      </tp>
      <tp t="e">
        <v>#N/A</v>
        <stp/>
        <stp>BDH|3706512712449886406</stp>
        <tr r="V46" s="4"/>
        <tr r="V23" s="10"/>
        <tr r="X42" s="13"/>
      </tp>
      <tp t="e">
        <v>#N/A</v>
        <stp/>
        <stp>BDH|9133539871994928569</stp>
        <tr r="L58" s="24"/>
      </tp>
      <tp t="e">
        <v>#N/A</v>
        <stp/>
        <stp>BDH|3466937982958178084</stp>
        <tr r="R69" s="17"/>
      </tp>
      <tp t="e">
        <v>#N/A</v>
        <stp/>
        <stp>BDH|7113607509623537819</stp>
        <tr r="W101" s="12"/>
      </tp>
      <tp t="e">
        <v>#N/A</v>
        <stp/>
        <stp>BDH|1925117092312391152</stp>
        <tr r="G12" s="21"/>
      </tp>
      <tp t="e">
        <v>#N/A</v>
        <stp/>
        <stp>BDH|9370648478367544565</stp>
        <tr r="C30" s="12"/>
      </tp>
      <tp t="e">
        <v>#N/A</v>
        <stp/>
        <stp>BDH|2841222817663544849</stp>
        <tr r="K18" s="24"/>
      </tp>
      <tp t="e">
        <v>#N/A</v>
        <stp/>
        <stp>BDH|6888466809899332188</stp>
        <tr r="H74" s="17"/>
      </tp>
      <tp t="e">
        <v>#N/A</v>
        <stp/>
        <stp>BDH|9103497423924459134</stp>
        <tr r="M107" s="18"/>
      </tp>
      <tp t="e">
        <v>#N/A</v>
        <stp/>
        <stp>BDH|2632640041589900369</stp>
        <tr r="G181" s="18"/>
      </tp>
      <tp t="e">
        <v>#N/A</v>
        <stp/>
        <stp>BDH|8366345869012485564</stp>
        <tr r="O14" s="11"/>
      </tp>
      <tp t="e">
        <v>#N/A</v>
        <stp/>
        <stp>BDH|7128468028473424872</stp>
        <tr r="X10" s="26"/>
      </tp>
      <tp t="e">
        <v>#N/A</v>
        <stp/>
        <stp>BDH|8212596225237670253</stp>
        <tr r="H168" s="18"/>
      </tp>
      <tp t="e">
        <v>#N/A</v>
        <stp/>
        <stp>BDH|2674822459185565053</stp>
        <tr r="T147" s="18"/>
      </tp>
      <tp t="e">
        <v>#N/A</v>
        <stp/>
        <stp>BDH|5218808726366137388</stp>
        <tr r="Z22" s="22"/>
      </tp>
      <tp t="e">
        <v>#N/A</v>
        <stp/>
        <stp>BDH|6948679122998678072</stp>
        <tr r="AA44" s="22"/>
      </tp>
      <tp t="e">
        <v>#N/A</v>
        <stp/>
        <stp>BDH|6479230586680498688</stp>
        <tr r="D93" s="17"/>
        <tr r="D13" s="28"/>
      </tp>
      <tp t="e">
        <v>#N/A</v>
        <stp/>
        <stp>BDH|9712277325761852207</stp>
        <tr r="K49" s="21"/>
      </tp>
      <tp t="e">
        <v>#N/A</v>
        <stp/>
        <stp>BDH|4735144678860693805</stp>
        <tr r="U26" s="29"/>
      </tp>
      <tp t="e">
        <v>#N/A</v>
        <stp/>
        <stp>BDH|9555425339671251510</stp>
        <tr r="T167" s="18"/>
      </tp>
      <tp t="e">
        <v>#N/A</v>
        <stp/>
        <stp>BDH|2475485511009003401</stp>
        <tr r="AA73" s="17"/>
      </tp>
      <tp t="e">
        <v>#N/A</v>
        <stp/>
        <stp>BDH|5064631890692658286</stp>
        <tr r="Z66" s="12"/>
      </tp>
      <tp t="e">
        <v>#N/A</v>
        <stp/>
        <stp>BDH|2722182694687566735</stp>
        <tr r="W16" s="21"/>
      </tp>
      <tp t="e">
        <v>#N/A</v>
        <stp/>
        <stp>BDH|4938019695301759678</stp>
        <tr r="K28" s="34"/>
      </tp>
      <tp t="e">
        <v>#N/A</v>
        <stp/>
        <stp>BDH|9613453824340826524</stp>
        <tr r="Z9" s="23"/>
      </tp>
      <tp t="e">
        <v>#N/A</v>
        <stp/>
        <stp>BDH|4254581806389334222</stp>
        <tr r="O58" s="17"/>
      </tp>
      <tp t="e">
        <v>#N/A</v>
        <stp/>
        <stp>BDH|1951100175525363820</stp>
        <tr r="S38" s="26"/>
      </tp>
      <tp t="e">
        <v>#N/A</v>
        <stp/>
        <stp>BDH|6073998826154509377</stp>
        <tr r="L45" s="18"/>
      </tp>
      <tp t="e">
        <v>#N/A</v>
        <stp/>
        <stp>BDH|9883230255381649556</stp>
        <tr r="C53" s="10"/>
        <tr r="C43" s="11"/>
        <tr r="C16" s="7"/>
      </tp>
      <tp t="e">
        <v>#N/A</v>
        <stp/>
        <stp>BDH|2855719282233168471</stp>
        <tr r="AA73" s="34"/>
      </tp>
      <tp t="e">
        <v>#N/A</v>
        <stp/>
        <stp>BDH|3936695149903667822</stp>
        <tr r="O66" s="18"/>
      </tp>
      <tp t="e">
        <v>#N/A</v>
        <stp/>
        <stp>BDH|4796392687762334774</stp>
        <tr r="P9" s="12"/>
      </tp>
      <tp t="e">
        <v>#N/A</v>
        <stp/>
        <stp>BDH|9983877807218417307</stp>
        <tr r="E141" s="18"/>
      </tp>
      <tp t="e">
        <v>#N/A</v>
        <stp/>
        <stp>BDH|4023094502489281741</stp>
        <tr r="P16" s="10"/>
      </tp>
      <tp t="e">
        <v>#N/A</v>
        <stp/>
        <stp>BDH|4527912217250997671</stp>
        <tr r="T8" s="8"/>
      </tp>
      <tp t="e">
        <v>#N/A</v>
        <stp/>
        <stp>BDH|6145958524645493299</stp>
        <tr r="F169" s="18"/>
      </tp>
      <tp t="e">
        <v>#N/A</v>
        <stp/>
        <stp>BDH|5928835060740323148</stp>
        <tr r="S11" s="30"/>
      </tp>
      <tp t="e">
        <v>#N/A</v>
        <stp/>
        <stp>BDH|8803570764892035361</stp>
        <tr r="Y9" s="3"/>
        <tr r="W51" s="10"/>
        <tr r="W41" s="11"/>
        <tr r="W14" s="7"/>
      </tp>
      <tp t="e">
        <v>#N/A</v>
        <stp/>
        <stp>BDH|3339881083181382866</stp>
        <tr r="O41" s="10"/>
        <tr r="O31" s="11"/>
      </tp>
      <tp t="e">
        <v>#N/A</v>
        <stp/>
        <stp>BDH|4884307181381172456</stp>
        <tr r="P17" s="13"/>
      </tp>
      <tp t="e">
        <v>#N/A</v>
        <stp/>
        <stp>BDH|5984940145127676532</stp>
        <tr r="D67" s="34"/>
      </tp>
      <tp t="e">
        <v>#N/A</v>
        <stp/>
        <stp>BDH|6714304571771877939</stp>
        <tr r="W31" s="18"/>
      </tp>
      <tp t="e">
        <v>#N/A</v>
        <stp/>
        <stp>BDH|9701271741961431487</stp>
        <tr r="J82" s="17"/>
        <tr r="J20" s="3"/>
        <tr r="H6" s="7"/>
      </tp>
      <tp t="e">
        <v>#N/A</v>
        <stp/>
        <stp>BDH|8363218253395887049</stp>
        <tr r="J38" s="4"/>
        <tr r="J56" s="11"/>
        <tr r="L13" s="23"/>
      </tp>
      <tp t="e">
        <v>#N/A</v>
        <stp/>
        <stp>BDH|1919209288647561697</stp>
        <tr r="T60" s="21"/>
        <tr r="R53" s="11"/>
      </tp>
      <tp t="e">
        <v>#N/A</v>
        <stp/>
        <stp>BDH|5843531540807760915</stp>
        <tr r="D142" s="18"/>
      </tp>
      <tp t="e">
        <v>#N/A</v>
        <stp/>
        <stp>BDH|7903854032867672155</stp>
        <tr r="Z8" s="8"/>
      </tp>
      <tp t="e">
        <v>#N/A</v>
        <stp/>
        <stp>BDH|8273811708968082269</stp>
        <tr r="D24" s="17"/>
      </tp>
      <tp t="e">
        <v>#N/A</v>
        <stp/>
        <stp>BDH|2939082410790634954</stp>
        <tr r="O47" s="12"/>
      </tp>
      <tp t="e">
        <v>#N/A</v>
        <stp/>
        <stp>BDH|1227785063123977920</stp>
        <tr r="J41" s="18"/>
      </tp>
      <tp t="e">
        <v>#N/A</v>
        <stp/>
        <stp>BDH|8196484341793238189</stp>
        <tr r="S85" s="17"/>
      </tp>
      <tp t="e">
        <v>#N/A</v>
        <stp/>
        <stp>BDH|5976100673619964017</stp>
        <tr r="E81" s="12"/>
      </tp>
      <tp t="e">
        <v>#N/A</v>
        <stp/>
        <stp>BDH|8388479555631455272</stp>
        <tr r="R78" s="24"/>
      </tp>
      <tp t="e">
        <v>#N/A</v>
        <stp/>
        <stp>BDH|3932392740667437967</stp>
        <tr r="AA12" s="24"/>
      </tp>
      <tp t="e">
        <v>#N/A</v>
        <stp/>
        <stp>BDH|1409554086684794228</stp>
        <tr r="C24" s="21"/>
      </tp>
      <tp t="e">
        <v>#N/A</v>
        <stp/>
        <stp>BDH|3470811442005232076</stp>
        <tr r="T24" s="2"/>
      </tp>
      <tp t="e">
        <v>#N/A</v>
        <stp/>
        <stp>BDH|3883112299117592671</stp>
        <tr r="F27" s="34"/>
      </tp>
      <tp t="e">
        <v>#N/A</v>
        <stp/>
        <stp>BDH|8360535166815504419</stp>
        <tr r="R43" s="18"/>
      </tp>
      <tp t="e">
        <v>#N/A</v>
        <stp/>
        <stp>BDH|3304151568346452885</stp>
        <tr r="D56" s="13"/>
      </tp>
      <tp t="e">
        <v>#N/A</v>
        <stp/>
        <stp>BDH|9963439301737197084</stp>
        <tr r="O59" s="12"/>
      </tp>
      <tp t="e">
        <v>#N/A</v>
        <stp/>
        <stp>BDH|3649485844250804906</stp>
        <tr r="R72" s="12"/>
      </tp>
      <tp t="e">
        <v>#N/A</v>
        <stp/>
        <stp>BDH|7562952579076372586</stp>
        <tr r="Z8" s="22"/>
      </tp>
      <tp t="e">
        <v>#N/A</v>
        <stp/>
        <stp>BDH|9965616212495030182</stp>
        <tr r="R25" s="18"/>
      </tp>
      <tp t="e">
        <v>#N/A</v>
        <stp/>
        <stp>BDH|9954327948634337022</stp>
        <tr r="Q20" s="9"/>
      </tp>
      <tp t="e">
        <v>#N/A</v>
        <stp/>
        <stp>BDH|1117856349280817771</stp>
        <tr r="O86" s="12"/>
      </tp>
      <tp t="e">
        <v>#N/A</v>
        <stp/>
        <stp>BDH|8730076290153683848</stp>
        <tr r="AA8" s="12"/>
      </tp>
      <tp t="e">
        <v>#N/A</v>
        <stp/>
        <stp>BDH|8409564645591313264</stp>
        <tr r="Q13" s="2"/>
      </tp>
      <tp t="e">
        <v>#N/A</v>
        <stp/>
        <stp>BDH|1082846277277000318</stp>
        <tr r="T87" s="17"/>
      </tp>
      <tp t="e">
        <v>#N/A</v>
        <stp/>
        <stp>BDH|7326072431159155760</stp>
        <tr r="K72" s="12"/>
      </tp>
      <tp t="e">
        <v>#N/A</v>
        <stp/>
        <stp>BDH|4885455109792467828</stp>
        <tr r="M7" s="28"/>
      </tp>
      <tp t="e">
        <v>#N/A</v>
        <stp/>
        <stp>BDH|2239966237915227739</stp>
        <tr r="W82" s="12"/>
      </tp>
      <tp t="e">
        <v>#N/A</v>
        <stp/>
        <stp>BDH|1739152351876193907</stp>
        <tr r="P45" s="6"/>
      </tp>
      <tp t="e">
        <v>#N/A</v>
        <stp/>
        <stp>BDH|5232818147881525237</stp>
        <tr r="R52" s="17"/>
        <tr r="R10" s="25"/>
      </tp>
      <tp t="e">
        <v>#N/A</v>
        <stp/>
        <stp>BDH|1638680831987551989</stp>
        <tr r="K8" s="26"/>
        <tr r="H10" s="9"/>
      </tp>
      <tp t="e">
        <v>#N/A</v>
        <stp/>
        <stp>BDH|8389785479264001606</stp>
        <tr r="X44" s="12"/>
      </tp>
      <tp t="e">
        <v>#N/A</v>
        <stp/>
        <stp>BDH|4862588577545758927</stp>
        <tr r="L21" s="24"/>
      </tp>
      <tp t="e">
        <v>#N/A</v>
        <stp/>
        <stp>BDH|1083826125866076759</stp>
        <tr r="J17" s="20"/>
      </tp>
      <tp t="e">
        <v>#N/A</v>
        <stp/>
        <stp>BDH|8417701082959041445</stp>
        <tr r="O65" s="12"/>
      </tp>
      <tp t="e">
        <v>#N/A</v>
        <stp/>
        <stp>BDH|1184216064947778818</stp>
        <tr r="F179" s="18"/>
      </tp>
      <tp t="e">
        <v>#N/A</v>
        <stp/>
        <stp>BDH|5843716205591873968</stp>
        <tr r="M57" s="18"/>
      </tp>
      <tp t="e">
        <v>#N/A</v>
        <stp/>
        <stp>BDH|7756091166278385395</stp>
        <tr r="P41" s="10"/>
        <tr r="P31" s="11"/>
      </tp>
      <tp t="e">
        <v>#N/A</v>
        <stp/>
        <stp>BDH|4352954126060425568</stp>
        <tr r="W46" s="18"/>
      </tp>
      <tp t="e">
        <v>#N/A</v>
        <stp/>
        <stp>BDH|1247383981390176088</stp>
        <tr r="S11" s="28"/>
      </tp>
      <tp t="e">
        <v>#N/A</v>
        <stp/>
        <stp>BDH|4062062546442180833</stp>
        <tr r="J10" s="14"/>
      </tp>
      <tp t="e">
        <v>#N/A</v>
        <stp/>
        <stp>BDH|7755436174546531878</stp>
        <tr r="I52" s="24"/>
      </tp>
      <tp t="e">
        <v>#N/A</v>
        <stp/>
        <stp>BDH|5968459424369384099</stp>
        <tr r="C55" s="12"/>
      </tp>
      <tp t="e">
        <v>#N/A</v>
        <stp/>
        <stp>BDH|8934774872593882166</stp>
        <tr r="X38" s="6"/>
      </tp>
      <tp t="e">
        <v>#N/A</v>
        <stp/>
        <stp>BDH|2275518654710552801</stp>
        <tr r="C69" s="24"/>
      </tp>
      <tp t="e">
        <v>#N/A</v>
        <stp/>
        <stp>BDH|3021899743763867605</stp>
        <tr r="F42" s="22"/>
      </tp>
      <tp t="e">
        <v>#N/A</v>
        <stp/>
        <stp>BDH|3276676827499232428</stp>
        <tr r="T49" s="17"/>
      </tp>
      <tp t="e">
        <v>#N/A</v>
        <stp/>
        <stp>BDH|5855709340084968834</stp>
        <tr r="V178" s="18"/>
      </tp>
      <tp t="e">
        <v>#N/A</v>
        <stp/>
        <stp>BDH|8225762026365151218</stp>
        <tr r="T20" s="22"/>
      </tp>
      <tp t="e">
        <v>#N/A</v>
        <stp/>
        <stp>BDH|9549827002248361349</stp>
        <tr r="I14" s="10"/>
      </tp>
      <tp t="e">
        <v>#N/A</v>
        <stp/>
        <stp>BDH|1940179815243093898</stp>
        <tr r="G22" s="34"/>
      </tp>
      <tp t="e">
        <v>#N/A</v>
        <stp/>
        <stp>BDH|9573744675765373642</stp>
        <tr r="C28" s="25"/>
        <tr r="C14" s="27"/>
      </tp>
      <tp t="e">
        <v>#N/A</v>
        <stp/>
        <stp>BDH|5178275780073219672</stp>
        <tr r="O32" s="26"/>
      </tp>
      <tp t="e">
        <v>#N/A</v>
        <stp/>
        <stp>BDH|6219468344695474978</stp>
        <tr r="I40" s="6"/>
      </tp>
      <tp t="e">
        <v>#N/A</v>
        <stp/>
        <stp>BDH|3498144996549105848</stp>
        <tr r="Q53" s="18"/>
      </tp>
      <tp t="e">
        <v>#N/A</v>
        <stp/>
        <stp>BDH|6527680748128712612</stp>
        <tr r="S69" s="12"/>
      </tp>
      <tp t="e">
        <v>#N/A</v>
        <stp/>
        <stp>BDH|7988012332207001998</stp>
        <tr r="D43" s="10"/>
        <tr r="D33" s="11"/>
      </tp>
      <tp t="e">
        <v>#N/A</v>
        <stp/>
        <stp>BDH|7741868960883440063</stp>
        <tr r="I48" s="12"/>
      </tp>
      <tp t="e">
        <v>#N/A</v>
        <stp/>
        <stp>BDH|8083682645320826068</stp>
        <tr r="G19" s="17"/>
      </tp>
      <tp t="e">
        <v>#N/A</v>
        <stp/>
        <stp>BDH|9277766316394392128</stp>
        <tr r="O79" s="18"/>
      </tp>
      <tp t="e">
        <v>#N/A</v>
        <stp/>
        <stp>BDH|3919780890896482162</stp>
        <tr r="D47" s="21"/>
      </tp>
      <tp t="e">
        <v>#N/A</v>
        <stp/>
        <stp>BDH|1040705980851699552</stp>
        <tr r="T19" s="20"/>
      </tp>
      <tp t="e">
        <v>#N/A</v>
        <stp/>
        <stp>BDH|5812841059574032664</stp>
        <tr r="Q39" s="10"/>
        <tr r="Q29" s="11"/>
      </tp>
      <tp t="e">
        <v>#N/A</v>
        <stp/>
        <stp>BDH|1766990753055629286</stp>
        <tr r="Y34" s="21"/>
      </tp>
      <tp t="e">
        <v>#N/A</v>
        <stp/>
        <stp>BDH|6393578164129044631</stp>
        <tr r="S52" s="34"/>
      </tp>
      <tp t="e">
        <v>#N/A</v>
        <stp/>
        <stp>BDH|1054654482116644321</stp>
        <tr r="F94" s="12"/>
      </tp>
      <tp t="e">
        <v>#N/A</v>
        <stp/>
        <stp>BDH|5093738093609173825</stp>
        <tr r="Z27" s="22"/>
      </tp>
      <tp t="e">
        <v>#N/A</v>
        <stp/>
        <stp>BDH|1822920233681226083</stp>
        <tr r="R25" s="21"/>
      </tp>
      <tp t="e">
        <v>#N/A</v>
        <stp/>
        <stp>BDH|6451820820261237771</stp>
        <tr r="Y25" s="25"/>
        <tr r="Y10" s="27"/>
      </tp>
      <tp t="e">
        <v>#N/A</v>
        <stp/>
        <stp>BDH|5985974874032018399</stp>
        <tr r="I76" s="18"/>
      </tp>
      <tp t="e">
        <v>#N/A</v>
        <stp/>
        <stp>BDH|8469581137502878601</stp>
        <tr r="F8" s="21"/>
      </tp>
      <tp t="e">
        <v>#N/A</v>
        <stp/>
        <stp>BDH|8561347728647203483</stp>
        <tr r="K12" s="25"/>
      </tp>
      <tp t="e">
        <v>#N/A</v>
        <stp/>
        <stp>BDH|9870627930404858215</stp>
        <tr r="Q55" s="12"/>
      </tp>
      <tp t="e">
        <v>#N/A</v>
        <stp/>
        <stp>BDH|7263904228424911203</stp>
        <tr r="E15" s="11"/>
      </tp>
      <tp t="e">
        <v>#N/A</v>
        <stp/>
        <stp>BDH|4250911844147262467</stp>
        <tr r="C19" s="17"/>
      </tp>
      <tp t="e">
        <v>#N/A</v>
        <stp/>
        <stp>BDH|9430462563677346614</stp>
        <tr r="L51" s="24"/>
      </tp>
      <tp t="e">
        <v>#N/A</v>
        <stp/>
        <stp>BDH|1824187242628165602</stp>
        <tr r="N87" s="12"/>
      </tp>
      <tp t="e">
        <v>#N/A</v>
        <stp/>
        <stp>BDH|4222774991525168562</stp>
        <tr r="P45" s="22"/>
      </tp>
      <tp t="e">
        <v>#N/A</v>
        <stp/>
        <stp>BDH|8661320550055600111</stp>
        <tr r="E186" s="18"/>
      </tp>
      <tp t="e">
        <v>#N/A</v>
        <stp/>
        <stp>BDH|5200949222123288757</stp>
        <tr r="AA72" s="24"/>
      </tp>
      <tp t="e">
        <v>#N/A</v>
        <stp/>
        <stp>BDH|3902188896407023649</stp>
        <tr r="U73" s="24"/>
      </tp>
      <tp t="e">
        <v>#N/A</v>
        <stp/>
        <stp>BDH|5347625483555259437</stp>
        <tr r="N28" s="24"/>
      </tp>
      <tp t="e">
        <v>#N/A</v>
        <stp/>
        <stp>BDH|7404027298625512189</stp>
        <tr r="O48" s="13"/>
      </tp>
      <tp t="e">
        <v>#N/A</v>
        <stp/>
        <stp>BDH|1939860461031520489</stp>
        <tr r="M116" s="18"/>
      </tp>
      <tp t="e">
        <v>#N/A</v>
        <stp/>
        <stp>BDH|6297280734184556985</stp>
        <tr r="P27" s="7"/>
      </tp>
      <tp t="e">
        <v>#N/A</v>
        <stp/>
        <stp>BDH|6599057298275272093</stp>
        <tr r="L157" s="18"/>
      </tp>
      <tp t="e">
        <v>#N/A</v>
        <stp/>
        <stp>BDH|1192840889573757881</stp>
        <tr r="Q25" s="25"/>
        <tr r="Q10" s="27"/>
      </tp>
      <tp t="e">
        <v>#N/A</v>
        <stp/>
        <stp>BDH|2536955414051043179</stp>
        <tr r="G71" s="12"/>
      </tp>
      <tp t="e">
        <v>#N/A</v>
        <stp/>
        <stp>BDH|5178643256845251922</stp>
        <tr r="G21" s="5"/>
      </tp>
      <tp t="e">
        <v>#N/A</v>
        <stp/>
        <stp>BDH|6084809484914425830</stp>
        <tr r="Y60" s="34"/>
      </tp>
      <tp t="e">
        <v>#N/A</v>
        <stp/>
        <stp>BDH|7696959326867674105</stp>
        <tr r="O9" s="27"/>
      </tp>
      <tp t="e">
        <v>#N/A</v>
        <stp/>
        <stp>BDH|4888076081575527383</stp>
        <tr r="F18" s="9"/>
      </tp>
      <tp t="e">
        <v>#N/A</v>
        <stp/>
        <stp>BDH|8289458674634897585</stp>
        <tr r="G31" s="10"/>
        <tr r="I40" s="13"/>
      </tp>
      <tp t="e">
        <v>#N/A</v>
        <stp/>
        <stp>BDH|4245304696855024177</stp>
        <tr r="D9" s="30"/>
      </tp>
      <tp t="e">
        <v>#N/A</v>
        <stp/>
        <stp>BDH|3606526241418488027</stp>
        <tr r="Q9" s="26"/>
      </tp>
      <tp t="e">
        <v>#N/A</v>
        <stp/>
        <stp>BDH|8452278730231448246</stp>
        <tr r="T151" s="18"/>
      </tp>
      <tp t="e">
        <v>#N/A</v>
        <stp/>
        <stp>BDH|7647828940118750905</stp>
        <tr r="I23" s="12"/>
      </tp>
      <tp t="e">
        <v>#N/A</v>
        <stp/>
        <stp>BDH|2652162674266789800</stp>
        <tr r="Z35" s="22"/>
      </tp>
      <tp t="e">
        <v>#N/A</v>
        <stp/>
        <stp>BDH|2134475997894514173</stp>
        <tr r="K14" s="24"/>
      </tp>
      <tp t="e">
        <v>#N/A</v>
        <stp/>
        <stp>BDH|4436703136532515848</stp>
        <tr r="N13" s="25"/>
      </tp>
      <tp t="e">
        <v>#N/A</v>
        <stp/>
        <stp>BDH|5169754594998308907</stp>
        <tr r="W18" s="23"/>
      </tp>
      <tp t="e">
        <v>#N/A</v>
        <stp/>
        <stp>BDH|1487097509099024271</stp>
        <tr r="S169" s="18"/>
      </tp>
      <tp t="e">
        <v>#N/A</v>
        <stp/>
        <stp>BDH|1211213306521586830</stp>
        <tr r="E144" s="18"/>
      </tp>
      <tp t="e">
        <v>#N/A</v>
        <stp/>
        <stp>BDH|4614754085445666438</stp>
        <tr r="E79" s="24"/>
      </tp>
      <tp t="e">
        <v>#N/A</v>
        <stp/>
        <stp>BDH|6481632333431186869</stp>
        <tr r="F11" s="13"/>
      </tp>
      <tp t="e">
        <v>#N/A</v>
        <stp/>
        <stp>BDH|9571610244623192227</stp>
        <tr r="M187" s="18"/>
      </tp>
      <tp t="e">
        <v>#N/A</v>
        <stp/>
        <stp>BDH|9209809445009761630</stp>
        <tr r="W44" s="21"/>
      </tp>
      <tp t="e">
        <v>#N/A</v>
        <stp/>
        <stp>BDH|8375296408438520849</stp>
        <tr r="P14" s="11"/>
      </tp>
      <tp t="e">
        <v>#N/A</v>
        <stp/>
        <stp>BDH|3027469257269306128</stp>
        <tr r="H209" s="18"/>
      </tp>
      <tp t="e">
        <v>#N/A</v>
        <stp/>
        <stp>BDH|1480899028177280679</stp>
        <tr r="V40" s="22"/>
      </tp>
      <tp t="e">
        <v>#N/A</v>
        <stp/>
        <stp>BDH|1579812435486127602</stp>
        <tr r="C30" s="21"/>
      </tp>
      <tp t="e">
        <v>#N/A</v>
        <stp/>
        <stp>BDH|3576066473719359732</stp>
        <tr r="H8" s="23"/>
      </tp>
      <tp t="e">
        <v>#N/A</v>
        <stp/>
        <stp>BDH|1632023383220454337</stp>
        <tr r="F13" s="7"/>
      </tp>
      <tp t="e">
        <v>#N/A</v>
        <stp/>
        <stp>BDH|1774882996089157380</stp>
        <tr r="F44" s="24"/>
      </tp>
      <tp t="e">
        <v>#N/A</v>
        <stp/>
        <stp>BDH|3723853621277613451</stp>
        <tr r="P31" s="29"/>
      </tp>
      <tp t="e">
        <v>#N/A</v>
        <stp/>
        <stp>BDH|8113745361125431605</stp>
        <tr r="W10" s="18"/>
      </tp>
      <tp t="e">
        <v>#N/A</v>
        <stp/>
        <stp>BDH|4978382576348771202</stp>
        <tr r="S10" s="22"/>
      </tp>
      <tp t="e">
        <v>#N/A</v>
        <stp/>
        <stp>BDH|4606289295894828136</stp>
        <tr r="S49" s="24"/>
      </tp>
      <tp t="e">
        <v>#N/A</v>
        <stp/>
        <stp>BDH|2192329222318616176</stp>
        <tr r="Z43" s="24"/>
      </tp>
      <tp t="e">
        <v>#N/A</v>
        <stp/>
        <stp>BDH|4600815574255230410</stp>
        <tr r="F24" s="5"/>
      </tp>
      <tp t="e">
        <v>#N/A</v>
        <stp/>
        <stp>BDH|2410124869439906665</stp>
        <tr r="J38" s="34"/>
      </tp>
      <tp t="e">
        <v>#N/A</v>
        <stp/>
        <stp>BDH|9102621772695931780</stp>
        <tr r="G24" s="20"/>
      </tp>
      <tp t="e">
        <v>#N/A</v>
        <stp/>
        <stp>BDH|3740953525593522124</stp>
        <tr r="H27" s="17"/>
      </tp>
      <tp t="e">
        <v>#N/A</v>
        <stp/>
        <stp>BDH|7439383684411150796</stp>
        <tr r="W76" s="12"/>
      </tp>
      <tp t="e">
        <v>#N/A</v>
        <stp/>
        <stp>BDH|7886977627695177399</stp>
        <tr r="AA119" s="18"/>
        <tr r="AA7" s="20"/>
      </tp>
      <tp t="e">
        <v>#N/A</v>
        <stp/>
        <stp>BDH|2746651907948232678</stp>
        <tr r="I63" s="18"/>
      </tp>
      <tp t="e">
        <v>#N/A</v>
        <stp/>
        <stp>BDH|2162843697840435968</stp>
        <tr r="N25" s="21"/>
      </tp>
      <tp t="e">
        <v>#N/A</v>
        <stp/>
        <stp>BDH|3277909971234484372</stp>
        <tr r="V47" s="34"/>
      </tp>
      <tp t="e">
        <v>#N/A</v>
        <stp/>
        <stp>BDH|1407995706226819430</stp>
        <tr r="E17" s="34"/>
      </tp>
      <tp t="e">
        <v>#N/A</v>
        <stp/>
        <stp>BDH|1703722632458661719</stp>
        <tr r="H24" s="13"/>
      </tp>
      <tp t="e">
        <v>#N/A</v>
        <stp/>
        <stp>BDH|1498773376378702320</stp>
        <tr r="C42" s="24"/>
      </tp>
      <tp t="e">
        <v>#N/A</v>
        <stp/>
        <stp>BDH|1533309683199016963</stp>
        <tr r="D82" s="12"/>
      </tp>
      <tp t="e">
        <v>#N/A</v>
        <stp/>
        <stp>BDH|3318113742694692865</stp>
        <tr r="O25" s="3"/>
      </tp>
      <tp t="e">
        <v>#N/A</v>
        <stp/>
        <stp>BDH|8089307867910486735</stp>
        <tr r="O14" s="8"/>
      </tp>
      <tp t="e">
        <v>#N/A</v>
        <stp/>
        <stp>BDH|6201025892961257402</stp>
        <tr r="D41" s="24"/>
      </tp>
      <tp t="e">
        <v>#N/A</v>
        <stp/>
        <stp>BDH|5571679097325055552</stp>
        <tr r="I60" s="34"/>
      </tp>
      <tp t="e">
        <v>#N/A</v>
        <stp/>
        <stp>BDH|7371667226450560968</stp>
        <tr r="S24" s="27"/>
      </tp>
      <tp t="e">
        <v>#N/A</v>
        <stp/>
        <stp>BDH|1123910250181988691</stp>
        <tr r="J42" s="10"/>
        <tr r="J32" s="11"/>
      </tp>
      <tp t="e">
        <v>#N/A</v>
        <stp/>
        <stp>BDH|7591164002339871593</stp>
        <tr r="I9" s="18"/>
      </tp>
      <tp t="e">
        <v>#N/A</v>
        <stp/>
        <stp>BDH|4398947005102274502</stp>
        <tr r="Q31" s="10"/>
        <tr r="S40" s="13"/>
      </tp>
      <tp t="e">
        <v>#N/A</v>
        <stp/>
        <stp>BDH|3228843860366072168</stp>
        <tr r="P24" s="10"/>
      </tp>
      <tp t="e">
        <v>#N/A</v>
        <stp/>
        <stp>BDH|3000419154949390165</stp>
        <tr r="O149" s="18"/>
      </tp>
      <tp t="e">
        <v>#N/A</v>
        <stp/>
        <stp>BDH|8890362917784974407</stp>
        <tr r="W49" s="17"/>
      </tp>
      <tp t="e">
        <v>#N/A</v>
        <stp/>
        <stp>BDH|3825706727885688998</stp>
        <tr r="C21" s="10"/>
      </tp>
      <tp t="e">
        <v>#N/A</v>
        <stp/>
        <stp>BDH|1781038287695382601</stp>
        <tr r="V74" s="24"/>
      </tp>
      <tp t="e">
        <v>#N/A</v>
        <stp/>
        <stp>BDH|6393963134510370626</stp>
        <tr r="L192" s="18"/>
      </tp>
      <tp t="e">
        <v>#N/A</v>
        <stp/>
        <stp>BDH|7186811390098001407</stp>
        <tr r="F62" s="17"/>
      </tp>
      <tp t="e">
        <v>#N/A</v>
        <stp/>
        <stp>BDH|3952197382469717946</stp>
        <tr r="X79" s="34"/>
      </tp>
      <tp t="e">
        <v>#N/A</v>
        <stp/>
        <stp>BDH|9546642154526176655</stp>
        <tr r="D14" s="8"/>
      </tp>
      <tp t="e">
        <v>#N/A</v>
        <stp/>
        <stp>BDH|3864315387473811176</stp>
        <tr r="S43" s="24"/>
      </tp>
      <tp t="e">
        <v>#N/A</v>
        <stp/>
        <stp>BDH|6668510496697608760</stp>
        <tr r="G95" s="12"/>
      </tp>
      <tp t="e">
        <v>#N/A</v>
        <stp/>
        <stp>BDH|9151134297782105956</stp>
        <tr r="M9" s="3"/>
        <tr r="K51" s="10"/>
        <tr r="K41" s="11"/>
        <tr r="K14" s="7"/>
      </tp>
      <tp t="e">
        <v>#N/A</v>
        <stp/>
        <stp>BDH|6918692337229462027</stp>
        <tr r="W8" s="17"/>
      </tp>
      <tp t="e">
        <v>#N/A</v>
        <stp/>
        <stp>BDH|9389179225377689769</stp>
        <tr r="W35" s="10"/>
        <tr r="W25" s="11"/>
      </tp>
      <tp t="e">
        <v>#N/A</v>
        <stp/>
        <stp>BDH|3968631495645925370</stp>
        <tr r="M24" s="20"/>
      </tp>
      <tp t="e">
        <v>#N/A</v>
        <stp/>
        <stp>BDH|3696933224985093709</stp>
        <tr r="S188" s="18"/>
      </tp>
      <tp t="e">
        <v>#N/A</v>
        <stp/>
        <stp>BDH|7195242082933312451</stp>
        <tr r="M43" s="18"/>
      </tp>
      <tp t="e">
        <v>#N/A</v>
        <stp/>
        <stp>BDH|6844692882587055524</stp>
        <tr r="O181" s="18"/>
      </tp>
      <tp t="e">
        <v>#N/A</v>
        <stp/>
        <stp>BDH|2710903807344617572</stp>
        <tr r="N60" s="21"/>
        <tr r="L53" s="11"/>
      </tp>
      <tp t="e">
        <v>#N/A</v>
        <stp/>
        <stp>BDH|7705314734924197921</stp>
        <tr r="J16" s="2"/>
        <tr r="J32" s="4"/>
        <tr r="J62" s="10"/>
        <tr r="L19" s="13"/>
      </tp>
      <tp t="e">
        <v>#N/A</v>
        <stp/>
        <stp>BDH|9557038252300487613</stp>
        <tr r="E60" s="12"/>
      </tp>
      <tp t="e">
        <v>#N/A</v>
        <stp/>
        <stp>BDH|4141236916039106447</stp>
        <tr r="C115" s="18"/>
      </tp>
      <tp t="e">
        <v>#N/A</v>
        <stp/>
        <stp>BDH|7161297888415863296</stp>
        <tr r="F21" s="30"/>
      </tp>
      <tp t="e">
        <v>#N/A</v>
        <stp/>
        <stp>BDH|9193597676677655699</stp>
        <tr r="V31" s="21"/>
      </tp>
      <tp t="e">
        <v>#N/A</v>
        <stp/>
        <stp>BDH|5393434103923440864</stp>
        <tr r="W29" s="12"/>
      </tp>
      <tp t="e">
        <v>#N/A</v>
        <stp/>
        <stp>BDH|1376918000242190020</stp>
        <tr r="Q48" s="24"/>
      </tp>
      <tp t="e">
        <v>#N/A</v>
        <stp/>
        <stp>BDH|8476064972723549647</stp>
        <tr r="W94" s="18"/>
      </tp>
      <tp t="e">
        <v>#N/A</v>
        <stp/>
        <stp>BDH|4531835600044436232</stp>
        <tr r="C190" s="18"/>
      </tp>
      <tp t="e">
        <v>#N/A</v>
        <stp/>
        <stp>BDH|5429493898060525214</stp>
        <tr r="W109" s="18"/>
      </tp>
      <tp t="e">
        <v>#N/A</v>
        <stp/>
        <stp>BDH|9412511826180575470</stp>
        <tr r="Z38" s="34"/>
      </tp>
      <tp t="e">
        <v>#N/A</v>
        <stp/>
        <stp>BDH|4251771637739658350</stp>
        <tr r="Z189" s="18"/>
      </tp>
      <tp t="e">
        <v>#N/A</v>
        <stp/>
        <stp>BDH|8188191674207517382</stp>
        <tr r="C20" s="27"/>
      </tp>
      <tp t="e">
        <v>#N/A</v>
        <stp/>
        <stp>BDH|8386714249833373299</stp>
        <tr r="K23" s="6"/>
      </tp>
      <tp t="e">
        <v>#N/A</v>
        <stp/>
        <stp>BDH|6400375081917130025</stp>
        <tr r="D25" s="13"/>
      </tp>
      <tp t="e">
        <v>#N/A</v>
        <stp/>
        <stp>BDH|9757403404255482261</stp>
        <tr r="Z41" s="21"/>
      </tp>
      <tp t="e">
        <v>#N/A</v>
        <stp/>
        <stp>BDH|5123922541437703549</stp>
        <tr r="R43" s="12"/>
      </tp>
      <tp t="e">
        <v>#N/A</v>
        <stp/>
        <stp>BDH|3406150405818412014</stp>
        <tr r="T94" s="18"/>
      </tp>
      <tp t="e">
        <v>#N/A</v>
        <stp/>
        <stp>BDH|1281913306277326577</stp>
        <tr r="G16" s="24"/>
      </tp>
      <tp t="e">
        <v>#N/A</v>
        <stp/>
        <stp>BDH|2785928075183453558</stp>
        <tr r="Y16" s="24"/>
      </tp>
      <tp t="e">
        <v>#N/A</v>
        <stp/>
        <stp>BDH|5322675285062282320</stp>
        <tr r="E27" s="24"/>
      </tp>
      <tp t="e">
        <v>#N/A</v>
        <stp/>
        <stp>BDH|2781710388714951365</stp>
        <tr r="E25" s="26"/>
      </tp>
      <tp t="e">
        <v>#N/A</v>
        <stp/>
        <stp>BDH|9025721410671738449</stp>
        <tr r="Y85" s="12"/>
      </tp>
      <tp t="e">
        <v>#N/A</v>
        <stp/>
        <stp>BDH|9734048200581000221</stp>
        <tr r="H33" s="5"/>
      </tp>
      <tp t="e">
        <v>#N/A</v>
        <stp/>
        <stp>BDH|8078788597525765993</stp>
        <tr r="T15" s="10"/>
      </tp>
      <tp t="e">
        <v>#N/A</v>
        <stp/>
        <stp>BDH|8200383043942971713</stp>
        <tr r="P29" s="4"/>
      </tp>
      <tp t="e">
        <v>#N/A</v>
        <stp/>
        <stp>BDH|2898959006081260088</stp>
        <tr r="Q16" s="34"/>
      </tp>
      <tp t="e">
        <v>#N/A</v>
        <stp/>
        <stp>BDH|9118602007985142060</stp>
        <tr r="I161" s="18"/>
      </tp>
      <tp t="e">
        <v>#N/A</v>
        <stp/>
        <stp>BDH|9217353914769083823</stp>
        <tr r="F30" s="24"/>
      </tp>
      <tp t="e">
        <v>#N/A</v>
        <stp/>
        <stp>BDH|6450139085274197156</stp>
        <tr r="P72" s="17"/>
      </tp>
      <tp t="e">
        <v>#N/A</v>
        <stp/>
        <stp>BDH|3449219088045280694</stp>
        <tr r="AA92" s="12"/>
      </tp>
      <tp t="e">
        <v>#N/A</v>
        <stp/>
        <stp>BDH|6163422515750148916</stp>
        <tr r="H14" s="11"/>
      </tp>
      <tp t="e">
        <v>#N/A</v>
        <stp/>
        <stp>BDH|4846308774879944330</stp>
        <tr r="J70" s="10"/>
        <tr r="J60" s="11"/>
        <tr r="J20" s="7"/>
      </tp>
      <tp t="e">
        <v>#N/A</v>
        <stp/>
        <stp>BDH|5407969441817298578</stp>
        <tr r="W31" s="9"/>
      </tp>
      <tp t="e">
        <v>#N/A</v>
        <stp/>
        <stp>BDH|5052930052456101562</stp>
        <tr r="O15" s="22"/>
      </tp>
      <tp t="e">
        <v>#N/A</v>
        <stp/>
        <stp>BDH|9886557022290880416</stp>
        <tr r="S147" s="18"/>
      </tp>
      <tp t="e">
        <v>#N/A</v>
        <stp/>
        <stp>BDH|8126129522802218351</stp>
        <tr r="U88" s="12"/>
      </tp>
      <tp t="e">
        <v>#N/A</v>
        <stp/>
        <stp>BDH|2382921600566366748</stp>
        <tr r="K17" s="6"/>
      </tp>
      <tp t="e">
        <v>#N/A</v>
        <stp/>
        <stp>BDH|6296400447124326808</stp>
        <tr r="W28" s="22"/>
      </tp>
      <tp t="e">
        <v>#N/A</v>
        <stp/>
        <stp>BDH|7141007087195588058</stp>
        <tr r="AA186" s="18"/>
      </tp>
      <tp t="e">
        <v>#N/A</v>
        <stp/>
        <stp>BDH|2276998285841801805</stp>
        <tr r="W54" s="18"/>
      </tp>
      <tp t="e">
        <v>#N/A</v>
        <stp/>
        <stp>BDH|7540430291784175406</stp>
        <tr r="P38" s="21"/>
        <tr r="P24" s="3"/>
      </tp>
      <tp t="e">
        <v>#N/A</v>
        <stp/>
        <stp>BDH|7393456034252088840</stp>
        <tr r="P27" s="26"/>
      </tp>
      <tp t="e">
        <v>#N/A</v>
        <stp/>
        <stp>BDH|7403916285318464427</stp>
        <tr r="N142" s="18"/>
      </tp>
      <tp t="e">
        <v>#N/A</v>
        <stp/>
        <stp>BDH|8503661576497709441</stp>
        <tr r="X47" s="17"/>
      </tp>
      <tp t="e">
        <v>#N/A</v>
        <stp/>
        <stp>BDH|3476644716378957691</stp>
        <tr r="C31" s="26"/>
      </tp>
      <tp t="e">
        <v>#N/A</v>
        <stp/>
        <stp>BDH|1802337194758063991</stp>
        <tr r="AA34" s="12"/>
      </tp>
      <tp t="e">
        <v>#N/A</v>
        <stp/>
        <stp>BDH|7976017748729456025</stp>
        <tr r="W27" s="17"/>
      </tp>
      <tp t="e">
        <v>#N/A</v>
        <stp/>
        <stp>BDH|9773362447254435043</stp>
        <tr r="C10" s="3"/>
        <tr r="C61" s="13"/>
      </tp>
      <tp t="e">
        <v>#N/A</v>
        <stp/>
        <stp>BDH|1820989844143088524</stp>
        <tr r="U71" s="12"/>
      </tp>
      <tp t="e">
        <v>#N/A</v>
        <stp/>
        <stp>BDH|7136804736747126104</stp>
        <tr r="K58" s="11"/>
        <tr r="M19" s="23"/>
      </tp>
      <tp t="e">
        <v>#N/A</v>
        <stp/>
        <stp>BDH|2181777367709593028</stp>
        <tr r="H202" s="18"/>
      </tp>
      <tp t="e">
        <v>#N/A</v>
        <stp/>
        <stp>BDH|3585743480775139366</stp>
        <tr r="N44" s="17"/>
      </tp>
      <tp t="e">
        <v>#N/A</v>
        <stp/>
        <stp>BDH|5058749625923454939</stp>
        <tr r="AA185" s="18"/>
      </tp>
      <tp t="e">
        <v>#N/A</v>
        <stp/>
        <stp>BDH|3555474891717598307</stp>
        <tr r="C31" s="5"/>
      </tp>
      <tp t="e">
        <v>#N/A</v>
        <stp/>
        <stp>BDH|9266237375847013120</stp>
        <tr r="AA10" s="28"/>
      </tp>
      <tp t="e">
        <v>#N/A</v>
        <stp/>
        <stp>BDH|8975016815406364588</stp>
        <tr r="Q17" s="24"/>
      </tp>
      <tp t="e">
        <v>#N/A</v>
        <stp/>
        <stp>BDH|5177171188050982614</stp>
        <tr r="T11" s="17"/>
      </tp>
      <tp t="e">
        <v>#N/A</v>
        <stp/>
        <stp>BDH|6371119695186227237</stp>
        <tr r="M22" s="12"/>
      </tp>
      <tp t="e">
        <v>#N/A</v>
        <stp/>
        <stp>BDH|5213219802559227455</stp>
        <tr r="AA31" s="25"/>
        <tr r="X14" s="5"/>
        <tr r="AA17" s="27"/>
      </tp>
      <tp t="e">
        <v>#N/A</v>
        <stp/>
        <stp>BDH|2015951294818430036</stp>
        <tr r="W42" s="12"/>
      </tp>
      <tp t="e">
        <v>#N/A</v>
        <stp/>
        <stp>BDH|9552693259944573464</stp>
        <tr r="R18" s="5"/>
        <tr r="R37" s="6"/>
      </tp>
      <tp t="e">
        <v>#N/A</v>
        <stp/>
        <stp>BDH|4765161015829037720</stp>
        <tr r="C169" s="18"/>
      </tp>
      <tp t="e">
        <v>#N/A</v>
        <stp/>
        <stp>BDH|3018979234677654437</stp>
        <tr r="N162" s="18"/>
      </tp>
      <tp t="e">
        <v>#N/A</v>
        <stp/>
        <stp>BDH|7547437686440011169</stp>
        <tr r="T50" s="34"/>
      </tp>
      <tp t="e">
        <v>#N/A</v>
        <stp/>
        <stp>BDH|9573305677614522319</stp>
        <tr r="K25" s="13"/>
      </tp>
      <tp t="e">
        <v>#N/A</v>
        <stp/>
        <stp>BDH|1636644098950564496</stp>
        <tr r="G88" s="17"/>
      </tp>
      <tp t="e">
        <v>#N/A</v>
        <stp/>
        <stp>BDH|2597064234613069813</stp>
        <tr r="M63" s="10"/>
      </tp>
      <tp t="e">
        <v>#N/A</v>
        <stp/>
        <stp>BDH|5153727324119765374</stp>
        <tr r="T51" s="18"/>
      </tp>
      <tp t="e">
        <v>#N/A</v>
        <stp/>
        <stp>BDH|9316328272780280767</stp>
        <tr r="N14" s="28"/>
      </tp>
      <tp t="e">
        <v>#N/A</v>
        <stp/>
        <stp>BDH|8652709452328589866</stp>
        <tr r="L14" s="12"/>
      </tp>
      <tp t="e">
        <v>#N/A</v>
        <stp/>
        <stp>BDH|8004307971506705013</stp>
        <tr r="T41" s="17"/>
        <tr r="T9" s="25"/>
      </tp>
      <tp t="e">
        <v>#N/A</v>
        <stp/>
        <stp>BDH|4364777107191765837</stp>
        <tr r="C11" s="17"/>
      </tp>
      <tp t="e">
        <v>#N/A</v>
        <stp/>
        <stp>BDH|3559016958645302985</stp>
        <tr r="AA59" s="12"/>
      </tp>
      <tp t="e">
        <v>#N/A</v>
        <stp/>
        <stp>BDH|8226849063495489967</stp>
        <tr r="C171" s="18"/>
      </tp>
      <tp t="e">
        <v>#N/A</v>
        <stp/>
        <stp>BDH|7125160638658915715</stp>
        <tr r="Z182" s="18"/>
      </tp>
      <tp t="e">
        <v>#N/A</v>
        <stp/>
        <stp>BDH|5026444121701262804</stp>
        <tr r="W26" s="24"/>
      </tp>
      <tp t="e">
        <v>#N/A</v>
        <stp/>
        <stp>BDH|6909445758159173430</stp>
        <tr r="S122" s="18"/>
        <tr r="S11" s="20"/>
      </tp>
      <tp t="e">
        <v>#N/A</v>
        <stp/>
        <stp>BDH|8786084350012980516</stp>
        <tr r="AA91" s="18"/>
      </tp>
      <tp t="e">
        <v>#N/A</v>
        <stp/>
        <stp>BDH|2867114988011622002</stp>
        <tr r="E155" s="18"/>
      </tp>
      <tp t="e">
        <v>#N/A</v>
        <stp/>
        <stp>BDH|5347889248525487605</stp>
        <tr r="O49" s="13"/>
      </tp>
      <tp t="e">
        <v>#N/A</v>
        <stp/>
        <stp>BDH|2444403787666775232</stp>
        <tr r="F7" s="2"/>
        <tr r="E7" s="5"/>
        <tr r="E7" s="9"/>
        <tr r="H14" s="3"/>
      </tp>
      <tp t="e">
        <v>#N/A</v>
        <stp/>
        <stp>BDH|4983871801766933019</stp>
        <tr r="F19" s="25"/>
      </tp>
      <tp t="e">
        <v>#N/A</v>
        <stp/>
        <stp>BDH|9622265976277843195</stp>
        <tr r="F31" s="26"/>
        <tr r="C14" s="9"/>
      </tp>
      <tp t="e">
        <v>#N/A</v>
        <stp/>
        <stp>BDH|2431306588484376782</stp>
        <tr r="N50" s="17"/>
      </tp>
      <tp t="e">
        <v>#N/A</v>
        <stp/>
        <stp>BDH|4047985659135138777</stp>
        <tr r="T17" s="22"/>
      </tp>
      <tp t="e">
        <v>#N/A</v>
        <stp/>
        <stp>BDH|3127572181202843681</stp>
        <tr r="M9" s="23"/>
      </tp>
      <tp t="e">
        <v>#N/A</v>
        <stp/>
        <stp>BDH|3627927004399019971</stp>
        <tr r="V31" s="5"/>
      </tp>
      <tp t="e">
        <v>#N/A</v>
        <stp/>
        <stp>BDH|4648000191603007404</stp>
        <tr r="R78" s="18"/>
      </tp>
      <tp t="e">
        <v>#N/A</v>
        <stp/>
        <stp>BDH|3069931709016537682</stp>
        <tr r="X183" s="18"/>
      </tp>
      <tp t="e">
        <v>#N/A</v>
        <stp/>
        <stp>BDH|7429290328329123435</stp>
        <tr r="M11" s="29"/>
      </tp>
      <tp t="e">
        <v>#N/A</v>
        <stp/>
        <stp>BDH|9201464722347780266</stp>
        <tr r="W28" s="12"/>
      </tp>
      <tp t="e">
        <v>#N/A</v>
        <stp/>
        <stp>BDH|8544771295818729476</stp>
        <tr r="Z51" s="18"/>
      </tp>
      <tp t="e">
        <v>#N/A</v>
        <stp/>
        <stp>BDH|6834361645303595890</stp>
        <tr r="N126" s="18"/>
      </tp>
      <tp t="e">
        <v>#N/A</v>
        <stp/>
        <stp>BDH|1505882517862976045</stp>
        <tr r="Q14" s="2"/>
        <tr r="Q11" s="10"/>
      </tp>
      <tp t="e">
        <v>#N/A</v>
        <stp/>
        <stp>BDH|6430912632070811688</stp>
        <tr r="Q51" s="24"/>
      </tp>
      <tp t="e">
        <v>#N/A</v>
        <stp/>
        <stp>BDH|7894991805292518663</stp>
        <tr r="D180" s="18"/>
      </tp>
      <tp t="e">
        <v>#N/A</v>
        <stp/>
        <stp>BDH|3042454693507861398</stp>
        <tr r="T28" s="26"/>
      </tp>
      <tp t="e">
        <v>#N/A</v>
        <stp/>
        <stp>BDH|8003301596189298132</stp>
        <tr r="T23" s="24"/>
      </tp>
      <tp t="e">
        <v>#N/A</v>
        <stp/>
        <stp>BDH|5291864071544678444</stp>
        <tr r="O33" s="14"/>
      </tp>
      <tp t="e">
        <v>#N/A</v>
        <stp/>
        <stp>BDH|2321849007119448934</stp>
        <tr r="C55" s="18"/>
      </tp>
      <tp t="e">
        <v>#N/A</v>
        <stp/>
        <stp>BDH|5690115935049126444</stp>
        <tr r="H18" s="14"/>
      </tp>
      <tp t="e">
        <v>#N/A</v>
        <stp/>
        <stp>BDH|6987095210055797809</stp>
        <tr r="H70" s="17"/>
      </tp>
      <tp t="e">
        <v>#N/A</v>
        <stp/>
        <stp>BDH|7503534235359597213</stp>
        <tr r="X89" s="18"/>
      </tp>
      <tp t="e">
        <v>#N/A</v>
        <stp/>
        <stp>BDH|8968858469659278503</stp>
        <tr r="O65" s="24"/>
      </tp>
      <tp t="e">
        <v>#N/A</v>
        <stp/>
        <stp>BDH|1114691697640013488</stp>
        <tr r="L12" s="14"/>
      </tp>
      <tp t="e">
        <v>#N/A</v>
        <stp/>
        <stp>BDH|1582607616554118854</stp>
        <tr r="D28" s="12"/>
      </tp>
      <tp t="e">
        <v>#N/A</v>
        <stp/>
        <stp>BDH|6017353995965352341</stp>
        <tr r="Q7" s="28"/>
      </tp>
      <tp t="e">
        <v>#N/A</v>
        <stp/>
        <stp>BDH|9669668461512306154</stp>
        <tr r="L44" s="17"/>
      </tp>
      <tp t="e">
        <v>#N/A</v>
        <stp/>
        <stp>BDH|1193620766952485966</stp>
        <tr r="W123" s="18"/>
        <tr r="W12" s="20"/>
      </tp>
      <tp t="e">
        <v>#N/A</v>
        <stp/>
        <stp>BDH|3268710047882362806</stp>
        <tr r="G99" s="18"/>
      </tp>
      <tp t="e">
        <v>#N/A</v>
        <stp/>
        <stp>BDH|2067975321713123037</stp>
        <tr r="E32" s="18"/>
      </tp>
      <tp t="e">
        <v>#N/A</v>
        <stp/>
        <stp>BDH|1442251667419195638</stp>
        <tr r="R12" s="21"/>
      </tp>
      <tp t="e">
        <v>#N/A</v>
        <stp/>
        <stp>BDH|6273865171762869193</stp>
        <tr r="S23" s="13"/>
      </tp>
      <tp t="e">
        <v>#N/A</v>
        <stp/>
        <stp>BDH|9308026154922092416</stp>
        <tr r="Q101" s="18"/>
      </tp>
      <tp t="e">
        <v>#N/A</v>
        <stp/>
        <stp>BDH|8689813060759156529</stp>
        <tr r="R38" s="17"/>
      </tp>
      <tp t="e">
        <v>#N/A</v>
        <stp/>
        <stp>BDH|6452264487704642271</stp>
        <tr r="T91" s="17"/>
      </tp>
      <tp t="e">
        <v>#N/A</v>
        <stp/>
        <stp>BDH|7374993067756187488</stp>
        <tr r="L87" s="17"/>
      </tp>
      <tp t="e">
        <v>#N/A</v>
        <stp/>
        <stp>BDH|4940194041278337362</stp>
        <tr r="G86" s="18"/>
      </tp>
      <tp t="e">
        <v>#N/A</v>
        <stp/>
        <stp>BDH|8755761723773054465</stp>
        <tr r="X8" s="12"/>
      </tp>
      <tp t="e">
        <v>#N/A</v>
        <stp/>
        <stp>BDH|9785293820565399694</stp>
        <tr r="M59" s="21"/>
        <tr r="M37" s="25"/>
        <tr r="K31" s="4"/>
        <tr r="K52" s="11"/>
      </tp>
      <tp t="e">
        <v>#N/A</v>
        <stp/>
        <stp>BDH|8962585731507456300</stp>
        <tr r="G30" s="24"/>
      </tp>
      <tp t="e">
        <v>#N/A</v>
        <stp/>
        <stp>BDH|9054834099387927573</stp>
        <tr r="Y13" s="30"/>
      </tp>
      <tp t="e">
        <v>#N/A</v>
        <stp/>
        <stp>BDH|9006681690258893448</stp>
        <tr r="M49" s="4"/>
      </tp>
      <tp t="e">
        <v>#N/A</v>
        <stp/>
        <stp>BDH|3465810360624705362</stp>
        <tr r="M84" s="18"/>
      </tp>
      <tp t="e">
        <v>#N/A</v>
        <stp/>
        <stp>BDH|7939804548810455118</stp>
        <tr r="O162" s="18"/>
      </tp>
      <tp t="e">
        <v>#N/A</v>
        <stp/>
        <stp>BDH|9771035169905009099</stp>
        <tr r="S45" s="18"/>
      </tp>
      <tp t="e">
        <v>#N/A</v>
        <stp/>
        <stp>BDH|9359491778699233944</stp>
        <tr r="J16" s="17"/>
        <tr r="J19" s="28"/>
      </tp>
      <tp t="e">
        <v>#N/A</v>
        <stp/>
        <stp>BDH|5443960254617426465</stp>
        <tr r="C20" s="26"/>
      </tp>
      <tp t="e">
        <v>#N/A</v>
        <stp/>
        <stp>BDH|7539252599586545085</stp>
        <tr r="O37" s="34"/>
      </tp>
      <tp t="e">
        <v>#N/A</v>
        <stp/>
        <stp>BDH|6975413725798918207</stp>
        <tr r="AA53" s="21"/>
      </tp>
      <tp t="e">
        <v>#N/A</v>
        <stp/>
        <stp>BDH|9501737829841891733</stp>
        <tr r="R17" s="14"/>
      </tp>
      <tp t="e">
        <v>#N/A</v>
        <stp/>
        <stp>BDH|8579417572556614741</stp>
        <tr r="X36" s="34"/>
      </tp>
      <tp t="e">
        <v>#N/A</v>
        <stp/>
        <stp>BDH|3425237397896514419</stp>
        <tr r="C180" s="18"/>
      </tp>
      <tp t="e">
        <v>#N/A</v>
        <stp/>
        <stp>BDH|1851080224820122918</stp>
        <tr r="X36" s="21"/>
      </tp>
      <tp t="e">
        <v>#N/A</v>
        <stp/>
        <stp>BDH|2678129942934525973</stp>
        <tr r="J27" s="7"/>
      </tp>
      <tp t="e">
        <v>#N/A</v>
        <stp/>
        <stp>BDH|6631356764041665855</stp>
        <tr r="Y13" s="29"/>
        <tr r="Y22" s="29"/>
        <tr r="Y36" s="29"/>
      </tp>
      <tp t="e">
        <v>#N/A</v>
        <stp/>
        <stp>BDH|3602041646799282428</stp>
        <tr r="C15" s="30"/>
      </tp>
      <tp t="e">
        <v>#N/A</v>
        <stp/>
        <stp>BDH|9615629697194485837</stp>
        <tr r="AA71" s="13"/>
      </tp>
      <tp t="e">
        <v>#N/A</v>
        <stp/>
        <stp>BDH|4918207732468911765</stp>
        <tr r="K31" s="26"/>
        <tr r="H14" s="9"/>
      </tp>
      <tp t="e">
        <v>#N/A</v>
        <stp/>
        <stp>BDH|7793849252156199640</stp>
        <tr r="V39" s="26"/>
      </tp>
      <tp t="e">
        <v>#N/A</v>
        <stp/>
        <stp>BDH|9270829372059122577</stp>
        <tr r="P8" s="21"/>
      </tp>
      <tp t="e">
        <v>#N/A</v>
        <stp/>
        <stp>BDH|9903328279453030464</stp>
        <tr r="D70" s="18"/>
      </tp>
      <tp t="e">
        <v>#N/A</v>
        <stp/>
        <stp>BDH|6476571332059296374</stp>
        <tr r="E95" s="12"/>
      </tp>
      <tp t="e">
        <v>#N/A</v>
        <stp/>
        <stp>BDH|6676871232427597020</stp>
        <tr r="Q31" s="21"/>
      </tp>
      <tp t="e">
        <v>#N/A</v>
        <stp/>
        <stp>BDH|8677414338186294390</stp>
        <tr r="Y80" s="12"/>
      </tp>
      <tp t="e">
        <v>#N/A</v>
        <stp/>
        <stp>BDH|3739573103904068875</stp>
        <tr r="N191" s="18"/>
      </tp>
      <tp t="e">
        <v>#N/A</v>
        <stp/>
        <stp>BDH|9369837143256389946</stp>
        <tr r="N43" s="10"/>
        <tr r="N33" s="11"/>
      </tp>
      <tp t="e">
        <v>#N/A</v>
        <stp/>
        <stp>BDH|2755839440632505657</stp>
        <tr r="U38" s="21"/>
        <tr r="U24" s="3"/>
      </tp>
      <tp t="e">
        <v>#N/A</v>
        <stp/>
        <stp>BDH|2085962087988297177</stp>
        <tr r="K23" s="20"/>
      </tp>
      <tp t="e">
        <v>#N/A</v>
        <stp/>
        <stp>BDH|1728327097904013560</stp>
        <tr r="P180" s="18"/>
      </tp>
      <tp t="e">
        <v>#N/A</v>
        <stp/>
        <stp>BDH|2818988376877789155</stp>
        <tr r="V35" s="24"/>
      </tp>
      <tp t="e">
        <v>#N/A</v>
        <stp/>
        <stp>BDH|7115489798542000251</stp>
        <tr r="S44" s="22"/>
      </tp>
      <tp t="e">
        <v>#N/A</v>
        <stp/>
        <stp>BDH|6189054782801389513</stp>
        <tr r="Z167" s="18"/>
      </tp>
      <tp t="e">
        <v>#N/A</v>
        <stp/>
        <stp>BDH|2115519296296405265</stp>
        <tr r="J49" s="18"/>
      </tp>
      <tp t="e">
        <v>#N/A</v>
        <stp/>
        <stp>BDH|1033113044258251639</stp>
        <tr r="D27" s="24"/>
      </tp>
      <tp t="e">
        <v>#N/A</v>
        <stp/>
        <stp>BDH|9845244593308892034</stp>
        <tr r="S63" s="13"/>
      </tp>
      <tp t="e">
        <v>#N/A</v>
        <stp/>
        <stp>BDH|4533716301578499157</stp>
        <tr r="C10" s="24"/>
      </tp>
      <tp t="e">
        <v>#N/A</v>
        <stp/>
        <stp>BDH|4823282486376142226</stp>
        <tr r="U25" s="18"/>
      </tp>
      <tp t="e">
        <v>#N/A</v>
        <stp/>
        <stp>BDH|5009871111010537663</stp>
        <tr r="Z41" s="18"/>
      </tp>
      <tp t="e">
        <v>#N/A</v>
        <stp/>
        <stp>BDH|6728854265653565177</stp>
        <tr r="H85" s="18"/>
      </tp>
      <tp t="e">
        <v>#N/A</v>
        <stp/>
        <stp>BDH|8162047615772516107</stp>
        <tr r="G76" s="17"/>
        <tr r="D9" s="5"/>
        <tr r="D9" s="9"/>
      </tp>
      <tp t="e">
        <v>#N/A</v>
        <stp/>
        <stp>BDH|2184180980855947454</stp>
        <tr r="L12" s="25"/>
      </tp>
      <tp t="e">
        <v>#N/A</v>
        <stp/>
        <stp>BDH|8625391790669813127</stp>
        <tr r="H18" s="2"/>
        <tr r="H53" s="4"/>
        <tr r="H46" s="10"/>
        <tr r="H36" s="11"/>
        <tr r="J58" s="13"/>
      </tp>
      <tp t="e">
        <v>#N/A</v>
        <stp/>
        <stp>BDH|2079708137189080525</stp>
        <tr r="G41" s="17"/>
        <tr r="G9" s="25"/>
      </tp>
      <tp t="e">
        <v>#N/A</v>
        <stp/>
        <stp>BDH|9639065173417038362</stp>
        <tr r="V69" s="13"/>
      </tp>
      <tp t="e">
        <v>#N/A</v>
        <stp/>
        <stp>BDH|2497339506588431305</stp>
        <tr r="P9" s="6"/>
      </tp>
      <tp t="e">
        <v>#N/A</v>
        <stp/>
        <stp>BDH|5418358855450894996</stp>
        <tr r="AA71" s="24"/>
      </tp>
      <tp t="e">
        <v>#N/A</v>
        <stp/>
        <stp>BDH|5121854344342434114</stp>
        <tr r="E37" s="18"/>
      </tp>
      <tp t="e">
        <v>#N/A</v>
        <stp/>
        <stp>BDH|8685458033712137746</stp>
        <tr r="O109" s="18"/>
      </tp>
      <tp t="e">
        <v>#N/A</v>
        <stp/>
        <stp>BDH|1235855279563889739</stp>
        <tr r="P59" s="24"/>
      </tp>
      <tp t="e">
        <v>#N/A</v>
        <stp/>
        <stp>BDH|4935362413225868917</stp>
        <tr r="P100" s="12"/>
      </tp>
      <tp t="e">
        <v>#N/A</v>
        <stp/>
        <stp>BDH|8327118407115261628</stp>
        <tr r="C18" s="24"/>
      </tp>
      <tp t="e">
        <v>#N/A</v>
        <stp/>
        <stp>BDH|6596805366830568237</stp>
        <tr r="J32" s="21"/>
      </tp>
      <tp t="e">
        <v>#N/A</v>
        <stp/>
        <stp>BDH|1529666360218410322</stp>
        <tr r="G22" s="14"/>
      </tp>
      <tp t="e">
        <v>#N/A</v>
        <stp/>
        <stp>BDH|6753111716475324966</stp>
        <tr r="Y140" s="18"/>
      </tp>
      <tp t="e">
        <v>#N/A</v>
        <stp/>
        <stp>BDH|5724742708539724190</stp>
        <tr r="Z13" s="12"/>
      </tp>
      <tp t="e">
        <v>#N/A</v>
        <stp/>
        <stp>BDH|4519346594363444747</stp>
        <tr r="K11" s="29"/>
      </tp>
      <tp t="e">
        <v>#N/A</v>
        <stp/>
        <stp>BDH|9649353087110347825</stp>
        <tr r="F13" s="8"/>
      </tp>
      <tp t="e">
        <v>#N/A</v>
        <stp/>
        <stp>BDH|8264664004735412112</stp>
        <tr r="U25" s="9"/>
      </tp>
      <tp t="e">
        <v>#N/A</v>
        <stp/>
        <stp>BDH|3106934422832387062</stp>
        <tr r="M178" s="18"/>
      </tp>
      <tp t="e">
        <v>#N/A</v>
        <stp/>
        <stp>BDH|9761741837143575447</stp>
        <tr r="S38" s="34"/>
      </tp>
      <tp t="e">
        <v>#N/A</v>
        <stp/>
        <stp>BDH|3493529594781787409</stp>
        <tr r="G67" s="18"/>
      </tp>
      <tp t="e">
        <v>#N/A</v>
        <stp/>
        <stp>BDH|8996701210881855543</stp>
        <tr r="M64" s="21"/>
      </tp>
      <tp t="e">
        <v>#N/A</v>
        <stp/>
        <stp>BDH|9781636521097631064</stp>
        <tr r="V64" s="18"/>
      </tp>
      <tp t="e">
        <v>#N/A</v>
        <stp/>
        <stp>BDH|2054657843733254919</stp>
        <tr r="U123" s="18"/>
        <tr r="U12" s="20"/>
      </tp>
      <tp t="e">
        <v>#N/A</v>
        <stp/>
        <stp>BDH|8785629211201185403</stp>
        <tr r="I20" s="24"/>
      </tp>
      <tp t="e">
        <v>#N/A</v>
        <stp/>
        <stp>BDH|2540996160694955309</stp>
        <tr r="E53" s="21"/>
      </tp>
      <tp t="e">
        <v>#N/A</v>
        <stp/>
        <stp>BDH|6819306135134163898</stp>
        <tr r="K99" s="18"/>
      </tp>
      <tp t="e">
        <v>#N/A</v>
        <stp/>
        <stp>BDH|7960216109597193854</stp>
        <tr r="X7" s="14"/>
      </tp>
      <tp t="e">
        <v>#N/A</v>
        <stp/>
        <stp>BDH|6458784346699956668</stp>
        <tr r="D12" s="7"/>
      </tp>
      <tp t="e">
        <v>#N/A</v>
        <stp/>
        <stp>BDH|6597028800238378419</stp>
        <tr r="R52" s="6"/>
      </tp>
      <tp t="e">
        <v>#N/A</v>
        <stp/>
        <stp>BDH|7997604133741960961</stp>
        <tr r="I28" s="26"/>
      </tp>
      <tp t="e">
        <v>#N/A</v>
        <stp/>
        <stp>BDH|5985098334884317824</stp>
        <tr r="Q62" s="18"/>
      </tp>
      <tp t="e">
        <v>#N/A</v>
        <stp/>
        <stp>BDH|7502281890011142798</stp>
        <tr r="P11" s="28"/>
      </tp>
      <tp t="e">
        <v>#N/A</v>
        <stp/>
        <stp>BDH|1900913135802115396</stp>
        <tr r="Y69" s="10"/>
      </tp>
      <tp t="e">
        <v>#N/A</v>
        <stp/>
        <stp>BDH|9424883001703831809</stp>
        <tr r="U118" s="18"/>
        <tr r="U6" s="20"/>
      </tp>
      <tp t="e">
        <v>#N/A</v>
        <stp/>
        <stp>BDH|4876325823398999754</stp>
        <tr r="V41" s="10"/>
        <tr r="V31" s="11"/>
      </tp>
      <tp t="e">
        <v>#N/A</v>
        <stp/>
        <stp>BDH|6205743409873200884</stp>
        <tr r="M82" s="12"/>
      </tp>
      <tp t="e">
        <v>#N/A</v>
        <stp/>
        <stp>BDH|8289070540800174619</stp>
        <tr r="C26" s="34"/>
      </tp>
      <tp t="e">
        <v>#N/A</v>
        <stp/>
        <stp>BDH|8589721752853380337</stp>
        <tr r="S25" s="17"/>
      </tp>
      <tp t="e">
        <v>#N/A</v>
        <stp/>
        <stp>BDH|60027960291657036</stp>
        <tr r="Q153" s="18"/>
      </tp>
      <tp t="e">
        <v>#N/A</v>
        <stp/>
        <stp>BDH|12295901087230299</stp>
        <tr r="W23" s="22"/>
      </tp>
      <tp t="e">
        <v>#N/A</v>
        <stp/>
        <stp>BDH|67296946438675959</stp>
        <tr r="Q25" s="12"/>
      </tp>
      <tp t="e">
        <v>#N/A</v>
        <stp/>
        <stp>BDH|27398866581523316</stp>
        <tr r="L70" s="12"/>
      </tp>
      <tp t="e">
        <v>#N/A</v>
        <stp/>
        <stp>BDH|17392308600246480</stp>
        <tr r="F16" s="21"/>
      </tp>
      <tp t="e">
        <v>#N/A</v>
        <stp/>
        <stp>BDH|4041882616523117553</stp>
        <tr r="Q52" s="17"/>
        <tr r="Q10" s="25"/>
      </tp>
      <tp t="e">
        <v>#N/A</v>
        <stp/>
        <stp>BDH|6469702212539535293</stp>
        <tr r="F35" s="6"/>
      </tp>
      <tp t="e">
        <v>#N/A</v>
        <stp/>
        <stp>BDH|8425290756667734364</stp>
        <tr r="N55" s="13"/>
      </tp>
      <tp t="e">
        <v>#N/A</v>
        <stp/>
        <stp>BDH|7784777384231795297</stp>
        <tr r="I60" s="18"/>
      </tp>
      <tp t="e">
        <v>#N/A</v>
        <stp/>
        <stp>BDH|5852914574177548727</stp>
        <tr r="X94" s="17"/>
      </tp>
      <tp t="e">
        <v>#N/A</v>
        <stp/>
        <stp>BDH|8308553715122195588</stp>
        <tr r="Q48" s="6"/>
        <tr r="S9" s="8"/>
      </tp>
      <tp t="e">
        <v>#N/A</v>
        <stp/>
        <stp>BDH|6809961747431748143</stp>
        <tr r="H22" s="12"/>
      </tp>
      <tp t="e">
        <v>#N/A</v>
        <stp/>
        <stp>BDH|6440885626412535554</stp>
        <tr r="Y129" s="18"/>
      </tp>
      <tp t="e">
        <v>#N/A</v>
        <stp/>
        <stp>BDH|2290339227101551996</stp>
        <tr r="N8" s="14"/>
      </tp>
      <tp t="e">
        <v>#N/A</v>
        <stp/>
        <stp>BDH|4931118588237829129</stp>
        <tr r="V15" s="12"/>
      </tp>
      <tp t="e">
        <v>#N/A</v>
        <stp/>
        <stp>BDH|9436380825812585161</stp>
        <tr r="R22" s="24"/>
      </tp>
      <tp t="e">
        <v>#N/A</v>
        <stp/>
        <stp>BDH|6398381092636220119</stp>
        <tr r="N75" s="17"/>
      </tp>
      <tp t="e">
        <v>#N/A</v>
        <stp/>
        <stp>BDH|6853225044549150254</stp>
        <tr r="H27" s="25"/>
        <tr r="H13" s="27"/>
      </tp>
      <tp t="e">
        <v>#N/A</v>
        <stp/>
        <stp>BDH|5219322999325473173</stp>
        <tr r="AA135" s="18"/>
      </tp>
      <tp t="e">
        <v>#N/A</v>
        <stp/>
        <stp>BDH|5039981067681620031</stp>
        <tr r="H30" s="17"/>
      </tp>
      <tp t="e">
        <v>#N/A</v>
        <stp/>
        <stp>BDH|9421494741103674107</stp>
        <tr r="C109" s="18"/>
      </tp>
      <tp t="e">
        <v>#N/A</v>
        <stp/>
        <stp>BDH|8757667013593141794</stp>
        <tr r="E71" s="13"/>
      </tp>
      <tp t="e">
        <v>#N/A</v>
        <stp/>
        <stp>BDH|4159974755472161184</stp>
        <tr r="L201" s="18"/>
      </tp>
      <tp t="e">
        <v>#N/A</v>
        <stp/>
        <stp>BDH|8605335736605030696</stp>
        <tr r="L15" s="34"/>
      </tp>
      <tp t="e">
        <v>#N/A</v>
        <stp/>
        <stp>BDH|7914707357888703638</stp>
        <tr r="L28" s="34"/>
      </tp>
      <tp t="e">
        <v>#N/A</v>
        <stp/>
        <stp>BDH|3494837232634925762</stp>
        <tr r="G18" s="26"/>
      </tp>
      <tp t="e">
        <v>#N/A</v>
        <stp/>
        <stp>BDH|1842085440886211880</stp>
        <tr r="E31" s="17"/>
      </tp>
      <tp t="e">
        <v>#N/A</v>
        <stp/>
        <stp>BDH|6259751002668724288</stp>
        <tr r="K57" s="11"/>
        <tr r="M15" s="23"/>
      </tp>
      <tp t="e">
        <v>#N/A</v>
        <stp/>
        <stp>BDH|9142766622952607591</stp>
        <tr r="P187" s="18"/>
      </tp>
      <tp t="e">
        <v>#N/A</v>
        <stp/>
        <stp>BDH|1018681693093837699</stp>
        <tr r="O25" s="7"/>
      </tp>
      <tp t="e">
        <v>#N/A</v>
        <stp/>
        <stp>BDH|1780122423070901950</stp>
        <tr r="N41" s="17"/>
        <tr r="N9" s="25"/>
      </tp>
      <tp t="e">
        <v>#N/A</v>
        <stp/>
        <stp>BDH|1401345562279136699</stp>
        <tr r="AA37" s="18"/>
      </tp>
      <tp t="e">
        <v>#N/A</v>
        <stp/>
        <stp>BDH|4898962165203773363</stp>
        <tr r="G35" s="12"/>
      </tp>
      <tp t="e">
        <v>#N/A</v>
        <stp/>
        <stp>BDH|6921904058166895732</stp>
        <tr r="Q71" s="13"/>
      </tp>
      <tp t="e">
        <v>#N/A</v>
        <stp/>
        <stp>BDH|8903564755964420743</stp>
        <tr r="R59" s="21"/>
        <tr r="R37" s="25"/>
        <tr r="P31" s="4"/>
        <tr r="P52" s="11"/>
      </tp>
      <tp t="e">
        <v>#N/A</v>
        <stp/>
        <stp>BDH|5074533589877902493</stp>
        <tr r="C59" s="17"/>
      </tp>
      <tp t="e">
        <v>#N/A</v>
        <stp/>
        <stp>BDH|8318588357971589237</stp>
        <tr r="Z129" s="18"/>
      </tp>
      <tp t="e">
        <v>#N/A</v>
        <stp/>
        <stp>BDH|8359504158767312428</stp>
        <tr r="Q22" s="10"/>
      </tp>
      <tp t="e">
        <v>#N/A</v>
        <stp/>
        <stp>BDH|9621220318966558731</stp>
        <tr r="Q36" s="18"/>
      </tp>
      <tp t="e">
        <v>#N/A</v>
        <stp/>
        <stp>BDH|1306155733830737880</stp>
        <tr r="E19" s="18"/>
      </tp>
      <tp t="e">
        <v>#N/A</v>
        <stp/>
        <stp>BDH|2496653288250767740</stp>
        <tr r="F89" s="18"/>
      </tp>
      <tp t="e">
        <v>#N/A</v>
        <stp/>
        <stp>BDH|6919506408441259987</stp>
        <tr r="C42" s="10"/>
        <tr r="C32" s="11"/>
      </tp>
      <tp t="e">
        <v>#N/A</v>
        <stp/>
        <stp>BDH|1017470032424941971</stp>
        <tr r="G17" s="5"/>
        <tr r="G32" s="6"/>
      </tp>
      <tp t="e">
        <v>#N/A</v>
        <stp/>
        <stp>BDH|8011158508564344658</stp>
        <tr r="S28" s="25"/>
        <tr r="S14" s="27"/>
      </tp>
      <tp t="e">
        <v>#N/A</v>
        <stp/>
        <stp>BDH|2496491227816585948</stp>
        <tr r="L12" s="12"/>
      </tp>
      <tp t="e">
        <v>#N/A</v>
        <stp/>
        <stp>BDH|3111098593815133411</stp>
        <tr r="R110" s="18"/>
      </tp>
      <tp t="e">
        <v>#N/A</v>
        <stp/>
        <stp>BDH|7995812231930472766</stp>
        <tr r="E52" s="17"/>
        <tr r="E10" s="25"/>
      </tp>
      <tp t="e">
        <v>#N/A</v>
        <stp/>
        <stp>BDH|5630810108060187658</stp>
        <tr r="X29" s="14"/>
      </tp>
      <tp t="e">
        <v>#N/A</v>
        <stp/>
        <stp>BDH|9936042592533123855</stp>
        <tr r="P135" s="18"/>
      </tp>
      <tp t="e">
        <v>#N/A</v>
        <stp/>
        <stp>BDH|5501891250761232257</stp>
        <tr r="P31" s="12"/>
      </tp>
      <tp t="e">
        <v>#N/A</v>
        <stp/>
        <stp>BDH|8806255909705970467</stp>
        <tr r="P104" s="12"/>
      </tp>
      <tp t="e">
        <v>#N/A</v>
        <stp/>
        <stp>BDH|6207900518417887299</stp>
        <tr r="N40" s="17"/>
      </tp>
      <tp t="e">
        <v>#N/A</v>
        <stp/>
        <stp>BDH|7806830577811096274</stp>
        <tr r="L33" s="9"/>
      </tp>
      <tp t="e">
        <v>#N/A</v>
        <stp/>
        <stp>BDH|3273810646374727093</stp>
        <tr r="R13" s="24"/>
      </tp>
      <tp t="e">
        <v>#N/A</v>
        <stp/>
        <stp>BDH|2451786118738672796</stp>
        <tr r="G44" s="24"/>
      </tp>
      <tp t="e">
        <v>#N/A</v>
        <stp/>
        <stp>BDH|8062147827385141593</stp>
        <tr r="U127" s="18"/>
      </tp>
      <tp t="e">
        <v>#N/A</v>
        <stp/>
        <stp>BDH|1864224563948478669</stp>
        <tr r="E25" s="2"/>
        <tr r="G62" s="21"/>
      </tp>
      <tp t="e">
        <v>#N/A</v>
        <stp/>
        <stp>BDH|8552978185027894540</stp>
        <tr r="H69" s="10"/>
      </tp>
      <tp t="e">
        <v>#N/A</v>
        <stp/>
        <stp>BDH|5942237940479956186</stp>
        <tr r="N30" s="5"/>
        <tr r="N30" s="9"/>
      </tp>
      <tp t="e">
        <v>#N/A</v>
        <stp/>
        <stp>BDH|8947407691576156824</stp>
        <tr r="F103" s="18"/>
      </tp>
      <tp t="e">
        <v>#N/A</v>
        <stp/>
        <stp>BDH|3467769189917844085</stp>
        <tr r="AA196" s="18"/>
      </tp>
      <tp t="e">
        <v>#N/A</v>
        <stp/>
        <stp>BDH|1140294895649141875</stp>
        <tr r="P35" s="24"/>
      </tp>
      <tp t="e">
        <v>#N/A</v>
        <stp/>
        <stp>BDH|9050889579399211489</stp>
        <tr r="AA139" s="18"/>
      </tp>
      <tp t="e">
        <v>#N/A</v>
        <stp/>
        <stp>BDH|4823543920679374147</stp>
        <tr r="E25" s="27"/>
      </tp>
      <tp t="e">
        <v>#N/A</v>
        <stp/>
        <stp>BDH|3375185823753645857</stp>
        <tr r="C61" s="17"/>
      </tp>
      <tp t="e">
        <v>#N/A</v>
        <stp/>
        <stp>BDH|6710732888707047576</stp>
        <tr r="H76" s="12"/>
      </tp>
      <tp t="e">
        <v>#N/A</v>
        <stp/>
        <stp>BDH|8299587559172978111</stp>
        <tr r="G13" s="18"/>
      </tp>
      <tp t="e">
        <v>#N/A</v>
        <stp/>
        <stp>BDH|7365768638240718814</stp>
        <tr r="O9" s="34"/>
      </tp>
      <tp t="e">
        <v>#N/A</v>
        <stp/>
        <stp>BDH|8182142070461832465</stp>
        <tr r="R20" s="22"/>
      </tp>
      <tp t="e">
        <v>#N/A</v>
        <stp/>
        <stp>BDH|1131762815889913500</stp>
        <tr r="U22" s="14"/>
      </tp>
      <tp t="e">
        <v>#N/A</v>
        <stp/>
        <stp>BDH|2021826359701792571</stp>
        <tr r="N45" s="17"/>
      </tp>
      <tp t="e">
        <v>#N/A</v>
        <stp/>
        <stp>BDH|3683066913171043880</stp>
        <tr r="O77" s="17"/>
        <tr r="O19" s="3"/>
      </tp>
      <tp t="e">
        <v>#N/A</v>
        <stp/>
        <stp>BDH|2401049895060768095</stp>
        <tr r="J52" s="17"/>
        <tr r="J10" s="25"/>
      </tp>
      <tp t="e">
        <v>#N/A</v>
        <stp/>
        <stp>BDH|4712425522648589190</stp>
        <tr r="K25" s="17"/>
      </tp>
      <tp t="e">
        <v>#N/A</v>
        <stp/>
        <stp>BDH|9451575812456376099</stp>
        <tr r="Q154" s="18"/>
      </tp>
      <tp t="e">
        <v>#N/A</v>
        <stp/>
        <stp>BDH|3752177279378192635</stp>
        <tr r="G24" s="22"/>
      </tp>
      <tp t="e">
        <v>#N/A</v>
        <stp/>
        <stp>BDH|4890828120892135707</stp>
        <tr r="O7" s="8"/>
      </tp>
      <tp t="e">
        <v>#N/A</v>
        <stp/>
        <stp>BDH|3027507292917175387</stp>
        <tr r="U20" s="2"/>
        <tr r="U18" s="4"/>
        <tr r="U58" s="10"/>
        <tr r="U48" s="11"/>
        <tr r="U19" s="7"/>
        <tr r="W74" s="13"/>
      </tp>
      <tp t="e">
        <v>#N/A</v>
        <stp/>
        <stp>BDH|3049477121077961949</stp>
        <tr r="Q42" s="12"/>
      </tp>
      <tp t="e">
        <v>#N/A</v>
        <stp/>
        <stp>BDH|9917108326499745835</stp>
        <tr r="S35" s="10"/>
        <tr r="S25" s="11"/>
      </tp>
      <tp t="e">
        <v>#N/A</v>
        <stp/>
        <stp>BDH|2587915330095809672</stp>
        <tr r="T51" s="12"/>
      </tp>
      <tp t="e">
        <v>#N/A</v>
        <stp/>
        <stp>BDH|4799200948558423101</stp>
        <tr r="AA25" s="25"/>
        <tr r="AA10" s="27"/>
      </tp>
      <tp t="e">
        <v>#N/A</v>
        <stp/>
        <stp>BDH|1614288367408516672</stp>
        <tr r="X75" s="24"/>
      </tp>
      <tp t="e">
        <v>#N/A</v>
        <stp/>
        <stp>BDH|5356288212009142408</stp>
        <tr r="G32" s="17"/>
      </tp>
      <tp t="e">
        <v>#N/A</v>
        <stp/>
        <stp>BDH|3383748328989680410</stp>
        <tr r="E46" s="18"/>
      </tp>
      <tp t="e">
        <v>#N/A</v>
        <stp/>
        <stp>BDH|9310473488186564814</stp>
        <tr r="R11" s="13"/>
      </tp>
      <tp t="e">
        <v>#N/A</v>
        <stp/>
        <stp>BDH|9337990006032313972</stp>
        <tr r="H99" s="12"/>
      </tp>
      <tp t="e">
        <v>#N/A</v>
        <stp/>
        <stp>BDH|5672194197217902191</stp>
        <tr r="X155" s="18"/>
      </tp>
      <tp t="e">
        <v>#N/A</v>
        <stp/>
        <stp>BDH|2588187038439915249</stp>
        <tr r="P39" s="24"/>
      </tp>
      <tp t="e">
        <v>#N/A</v>
        <stp/>
        <stp>BDH|5549790887706115720</stp>
        <tr r="J13" s="18"/>
      </tp>
      <tp t="e">
        <v>#N/A</v>
        <stp/>
        <stp>BDH|9013650825802995412</stp>
        <tr r="T9" s="24"/>
      </tp>
      <tp t="e">
        <v>#N/A</v>
        <stp/>
        <stp>BDH|7729985049128864962</stp>
        <tr r="C35" s="25"/>
      </tp>
      <tp t="e">
        <v>#N/A</v>
        <stp/>
        <stp>BDH|2736060649625709877</stp>
        <tr r="H50" s="34"/>
      </tp>
      <tp t="e">
        <v>#N/A</v>
        <stp/>
        <stp>BDH|4770611683638800955</stp>
        <tr r="Y20" s="12"/>
      </tp>
      <tp t="e">
        <v>#N/A</v>
        <stp/>
        <stp>BDH|5714447597665862643</stp>
        <tr r="W83" s="12"/>
      </tp>
      <tp t="e">
        <v>#N/A</v>
        <stp/>
        <stp>BDH|3136892037606241556</stp>
        <tr r="Q79" s="18"/>
      </tp>
      <tp t="e">
        <v>#N/A</v>
        <stp/>
        <stp>BDH|9264681593334250934</stp>
        <tr r="T19" s="17"/>
      </tp>
      <tp t="e">
        <v>#N/A</v>
        <stp/>
        <stp>BDH|9735556474162810261</stp>
        <tr r="V71" s="24"/>
      </tp>
      <tp t="e">
        <v>#N/A</v>
        <stp/>
        <stp>BDH|1113903639192320235</stp>
        <tr r="G183" s="18"/>
      </tp>
      <tp t="e">
        <v>#N/A</v>
        <stp/>
        <stp>BDH|6662907515437258294</stp>
        <tr r="P93" s="17"/>
        <tr r="P13" s="28"/>
      </tp>
      <tp t="e">
        <v>#N/A</v>
        <stp/>
        <stp>BDH|1490889555732404550</stp>
        <tr r="P9" s="23"/>
      </tp>
      <tp t="e">
        <v>#N/A</v>
        <stp/>
        <stp>BDH|4943943670760142142</stp>
        <tr r="E9" s="10"/>
      </tp>
      <tp t="e">
        <v>#N/A</v>
        <stp/>
        <stp>BDH|7292332178481481951</stp>
        <tr r="R13" s="10"/>
      </tp>
      <tp t="e">
        <v>#N/A</v>
        <stp/>
        <stp>BDH|9003191481808557355</stp>
        <tr r="T17" s="6"/>
      </tp>
      <tp t="e">
        <v>#N/A</v>
        <stp/>
        <stp>BDH|8015693763364397711</stp>
        <tr r="O18" s="11"/>
      </tp>
      <tp t="e">
        <v>#N/A</v>
        <stp/>
        <stp>BDH|8928188977126800362</stp>
        <tr r="M20" s="10"/>
      </tp>
      <tp t="e">
        <v>#N/A</v>
        <stp/>
        <stp>BDH|2052284997654387646</stp>
        <tr r="T38" s="24"/>
      </tp>
      <tp t="e">
        <v>#N/A</v>
        <stp/>
        <stp>BDH|9423801455969038690</stp>
        <tr r="Q13" s="12"/>
      </tp>
      <tp t="e">
        <v>#N/A</v>
        <stp/>
        <stp>BDH|3915296353618230798</stp>
        <tr r="S24" s="9"/>
      </tp>
      <tp t="e">
        <v>#N/A</v>
        <stp/>
        <stp>BDH|7170766758389798701</stp>
        <tr r="F204" s="18"/>
      </tp>
      <tp t="e">
        <v>#N/A</v>
        <stp/>
        <stp>BDH|9830781713114905029</stp>
        <tr r="J53" s="24"/>
      </tp>
      <tp t="e">
        <v>#N/A</v>
        <stp/>
        <stp>BDH|4805218784240211576</stp>
        <tr r="P120" s="18"/>
        <tr r="P8" s="20"/>
      </tp>
      <tp t="e">
        <v>#N/A</v>
        <stp/>
        <stp>BDH|7525005022777852978</stp>
        <tr r="O17" s="13"/>
      </tp>
      <tp t="e">
        <v>#N/A</v>
        <stp/>
        <stp>BDH|9413873365844644882</stp>
        <tr r="L58" s="34"/>
      </tp>
      <tp t="e">
        <v>#N/A</v>
        <stp/>
        <stp>BDH|1199909270266180286</stp>
        <tr r="K68" s="13"/>
      </tp>
      <tp t="e">
        <v>#N/A</v>
        <stp/>
        <stp>BDH|4807961284106681847</stp>
        <tr r="L57" s="34"/>
      </tp>
      <tp t="e">
        <v>#N/A</v>
        <stp/>
        <stp>BDH|7499936933933997550</stp>
        <tr r="D11" s="3"/>
      </tp>
      <tp t="e">
        <v>#N/A</v>
        <stp/>
        <stp>BDH|9959614265834642632</stp>
        <tr r="Z62" s="13"/>
      </tp>
      <tp t="e">
        <v>#N/A</v>
        <stp/>
        <stp>BDH|9135529494679942766</stp>
        <tr r="V65" s="21"/>
        <tr r="T23" s="7"/>
      </tp>
      <tp t="e">
        <v>#N/A</v>
        <stp/>
        <stp>BDH|2810847261925066257</stp>
        <tr r="Q30" s="29"/>
        <tr r="Q8" s="29"/>
      </tp>
      <tp t="e">
        <v>#N/A</v>
        <stp/>
        <stp>BDH|4733424299977351575</stp>
        <tr r="I159" s="18"/>
      </tp>
      <tp t="e">
        <v>#N/A</v>
        <stp/>
        <stp>BDH|8635305831965617690</stp>
        <tr r="T10" s="13"/>
      </tp>
      <tp t="e">
        <v>#N/A</v>
        <stp/>
        <stp>BDH|5235534382382833139</stp>
        <tr r="G28" s="25"/>
        <tr r="G14" s="27"/>
      </tp>
      <tp t="e">
        <v>#N/A</v>
        <stp/>
        <stp>BDH|5438912559027679537</stp>
        <tr r="V124" s="18"/>
        <tr r="V13" s="20"/>
      </tp>
      <tp t="e">
        <v>#N/A</v>
        <stp/>
        <stp>BDH|3514626532609451485</stp>
        <tr r="H8" s="28"/>
      </tp>
      <tp t="e">
        <v>#N/A</v>
        <stp/>
        <stp>BDH|6955832777666798438</stp>
        <tr r="I184" s="18"/>
      </tp>
      <tp t="e">
        <v>#N/A</v>
        <stp/>
        <stp>BDH|6848365783356732031</stp>
        <tr r="I21" s="20"/>
      </tp>
      <tp t="e">
        <v>#N/A</v>
        <stp/>
        <stp>BDH|5379716515449721197</stp>
        <tr r="C17" s="21"/>
      </tp>
      <tp t="e">
        <v>#N/A</v>
        <stp/>
        <stp>BDH|2110062395332860235</stp>
        <tr r="L19" s="30"/>
      </tp>
      <tp t="e">
        <v>#N/A</v>
        <stp/>
        <stp>BDH|9431940675125896948</stp>
        <tr r="X16" s="14"/>
      </tp>
      <tp t="e">
        <v>#N/A</v>
        <stp/>
        <stp>BDH|2169937282778114084</stp>
        <tr r="P21" s="30"/>
      </tp>
      <tp t="e">
        <v>#N/A</v>
        <stp/>
        <stp>BDH|1027706489117457242</stp>
        <tr r="Z25" s="13"/>
      </tp>
      <tp t="e">
        <v>#N/A</v>
        <stp/>
        <stp>BDH|5339824339785122000</stp>
        <tr r="F105" s="18"/>
      </tp>
      <tp t="e">
        <v>#N/A</v>
        <stp/>
        <stp>BDH|4478081794481978787</stp>
        <tr r="E16" s="14"/>
      </tp>
      <tp t="e">
        <v>#N/A</v>
        <stp/>
        <stp>BDH|6966555622529062375</stp>
        <tr r="Y45" s="34"/>
      </tp>
      <tp t="e">
        <v>#N/A</v>
        <stp/>
        <stp>BDH|5987174482653267479</stp>
        <tr r="AA41" s="12"/>
      </tp>
      <tp t="e">
        <v>#N/A</v>
        <stp/>
        <stp>BDH|3728846378552523576</stp>
        <tr r="R37" s="34"/>
      </tp>
      <tp t="e">
        <v>#N/A</v>
        <stp/>
        <stp>BDH|5993498688605248737</stp>
        <tr r="O61" s="18"/>
      </tp>
      <tp t="e">
        <v>#N/A</v>
        <stp/>
        <stp>BDH|2079484674713014951</stp>
        <tr r="G62" s="13"/>
      </tp>
      <tp t="e">
        <v>#N/A</v>
        <stp/>
        <stp>BDH|3376725856259739394</stp>
        <tr r="O172" s="18"/>
      </tp>
      <tp t="e">
        <v>#N/A</v>
        <stp/>
        <stp>BDH|2045298921808215132</stp>
        <tr r="Q91" s="17"/>
      </tp>
      <tp t="e">
        <v>#N/A</v>
        <stp/>
        <stp>BDH|1859982298399477355</stp>
        <tr r="G22" s="22"/>
      </tp>
      <tp t="e">
        <v>#N/A</v>
        <stp/>
        <stp>BDH|7392165061748995344</stp>
        <tr r="D31" s="21"/>
      </tp>
      <tp t="e">
        <v>#N/A</v>
        <stp/>
        <stp>BDH|1252787261958098324</stp>
        <tr r="K18" s="5"/>
        <tr r="K37" s="6"/>
      </tp>
      <tp t="e">
        <v>#N/A</v>
        <stp/>
        <stp>BDH|8692625727524368399</stp>
        <tr r="E21" s="5"/>
      </tp>
      <tp t="e">
        <v>#N/A</v>
        <stp/>
        <stp>BDH|3491654298741742676</stp>
        <tr r="C65" s="17"/>
      </tp>
      <tp t="e">
        <v>#N/A</v>
        <stp/>
        <stp>BDH|1327023032888927133</stp>
        <tr r="K63" s="21"/>
      </tp>
      <tp t="e">
        <v>#N/A</v>
        <stp/>
        <stp>BDH|7533779918863199920</stp>
        <tr r="F43" s="22"/>
      </tp>
      <tp t="e">
        <v>#N/A</v>
        <stp/>
        <stp>BDH|7746199511555776914</stp>
        <tr r="W31" s="17"/>
      </tp>
      <tp t="e">
        <v>#N/A</v>
        <stp/>
        <stp>BDH|1817302186171480031</stp>
        <tr r="AA17" s="18"/>
      </tp>
      <tp t="e">
        <v>#N/A</v>
        <stp/>
        <stp>BDH|7434859204567843340</stp>
        <tr r="V67" s="34"/>
      </tp>
      <tp t="e">
        <v>#N/A</v>
        <stp/>
        <stp>BDH|8704581832126687323</stp>
        <tr r="C23" s="5"/>
        <tr r="C23" s="9"/>
      </tp>
      <tp t="e">
        <v>#N/A</v>
        <stp/>
        <stp>BDH|1524671065313623988</stp>
        <tr r="K8" s="12"/>
      </tp>
      <tp t="e">
        <v>#N/A</v>
        <stp/>
        <stp>BDH|5942808269773909301</stp>
        <tr r="R9" s="17"/>
      </tp>
      <tp t="e">
        <v>#N/A</v>
        <stp/>
        <stp>BDH|5921529593751126303</stp>
        <tr r="Q50" s="4"/>
      </tp>
      <tp t="e">
        <v>#N/A</v>
        <stp/>
        <stp>BDH|5010934555815786788</stp>
        <tr r="D24" s="10"/>
      </tp>
      <tp t="e">
        <v>#N/A</v>
        <stp/>
        <stp>BDH|8206659066767175495</stp>
        <tr r="J83" s="24"/>
      </tp>
      <tp t="e">
        <v>#N/A</v>
        <stp/>
        <stp>BDH|3673709698920680613</stp>
        <tr r="L9" s="26"/>
      </tp>
      <tp t="e">
        <v>#N/A</v>
        <stp/>
        <stp>BDH|8450259211781028195</stp>
        <tr r="E20" s="34"/>
      </tp>
      <tp t="e">
        <v>#N/A</v>
        <stp/>
        <stp>BDH|3527823609243176368</stp>
        <tr r="X8" s="23"/>
      </tp>
      <tp t="e">
        <v>#N/A</v>
        <stp/>
        <stp>BDH|6252767569835529914</stp>
        <tr r="V36" s="34"/>
      </tp>
      <tp t="e">
        <v>#N/A</v>
        <stp/>
        <stp>BDH|1540886825738104809</stp>
        <tr r="Y21" s="3"/>
      </tp>
      <tp t="e">
        <v>#N/A</v>
        <stp/>
        <stp>BDH|6948593391876166795</stp>
        <tr r="L88" s="17"/>
      </tp>
      <tp t="e">
        <v>#N/A</v>
        <stp/>
        <stp>BDH|9798650620533896539</stp>
        <tr r="D76" s="12"/>
      </tp>
      <tp t="e">
        <v>#N/A</v>
        <stp/>
        <stp>BDH|6312901821703289590</stp>
        <tr r="N28" s="18"/>
      </tp>
      <tp t="e">
        <v>#N/A</v>
        <stp/>
        <stp>BDH|6009080121549127618</stp>
        <tr r="L52" s="17"/>
        <tr r="L10" s="25"/>
      </tp>
      <tp t="e">
        <v>#N/A</v>
        <stp/>
        <stp>BDH|7429884519467256296</stp>
        <tr r="O23" s="17"/>
      </tp>
      <tp t="e">
        <v>#N/A</v>
        <stp/>
        <stp>BDH|3130048522832041897</stp>
        <tr r="Y39" s="18"/>
      </tp>
      <tp t="e">
        <v>#N/A</v>
        <stp/>
        <stp>BDH|6763190216194325955</stp>
        <tr r="X12" s="10"/>
      </tp>
      <tp t="e">
        <v>#N/A</v>
        <stp/>
        <stp>BDH|2430502209529465571</stp>
        <tr r="E8" s="24"/>
      </tp>
      <tp t="e">
        <v>#N/A</v>
        <stp/>
        <stp>BDH|2427851718040362046</stp>
        <tr r="H152" s="18"/>
      </tp>
      <tp t="e">
        <v>#N/A</v>
        <stp/>
        <stp>BDH|4331776635108626395</stp>
        <tr r="Z123" s="18"/>
        <tr r="Z12" s="20"/>
      </tp>
      <tp t="e">
        <v>#N/A</v>
        <stp/>
        <stp>BDH|4816765811670664977</stp>
        <tr r="H188" s="18"/>
      </tp>
      <tp t="e">
        <v>#N/A</v>
        <stp/>
        <stp>BDH|1499078298262142144</stp>
        <tr r="W60" s="34"/>
      </tp>
      <tp t="e">
        <v>#N/A</v>
        <stp/>
        <stp>BDH|1898597489517599030</stp>
        <tr r="R26" s="26"/>
      </tp>
      <tp t="e">
        <v>#N/A</v>
        <stp/>
        <stp>BDH|2023071380210056196</stp>
        <tr r="T52" s="13"/>
      </tp>
      <tp t="e">
        <v>#N/A</v>
        <stp/>
        <stp>BDH|8623341549231659531</stp>
        <tr r="W14" s="11"/>
      </tp>
      <tp t="e">
        <v>#N/A</v>
        <stp/>
        <stp>BDH|8037130983173748992</stp>
        <tr r="P69" s="13"/>
      </tp>
      <tp t="e">
        <v>#N/A</v>
        <stp/>
        <stp>BDH|8490784057068595900</stp>
        <tr r="E39" s="25"/>
        <tr r="E7" s="3"/>
        <tr r="C17" s="11"/>
        <tr r="E22" s="13"/>
        <tr r="E7" s="13"/>
      </tp>
      <tp t="e">
        <v>#N/A</v>
        <stp/>
        <stp>BDH|8195573358680915399</stp>
        <tr r="J66" s="12"/>
      </tp>
      <tp t="e">
        <v>#N/A</v>
        <stp/>
        <stp>BDH|2721744631105591899</stp>
        <tr r="P20" s="17"/>
      </tp>
      <tp t="e">
        <v>#N/A</v>
        <stp/>
        <stp>BDH|6119622464764875914</stp>
        <tr r="E167" s="18"/>
      </tp>
      <tp t="e">
        <v>#N/A</v>
        <stp/>
        <stp>BDH|1031314082590431196</stp>
        <tr r="K39" s="18"/>
      </tp>
      <tp t="e">
        <v>#N/A</v>
        <stp/>
        <stp>BDH|1221873837957586697</stp>
        <tr r="V16" s="29"/>
        <tr r="V39" s="29"/>
      </tp>
      <tp t="e">
        <v>#N/A</v>
        <stp/>
        <stp>BDH|9607363734747940536</stp>
        <tr r="K29" s="22"/>
      </tp>
      <tp t="e">
        <v>#N/A</v>
        <stp/>
        <stp>BDH|2195756462679191196</stp>
        <tr r="U39" s="18"/>
      </tp>
      <tp t="e">
        <v>#N/A</v>
        <stp/>
        <stp>BDH|5773528759608463669</stp>
        <tr r="W9" s="12"/>
      </tp>
      <tp t="e">
        <v>#N/A</v>
        <stp/>
        <stp>BDH|4153775882777322793</stp>
        <tr r="U43" s="24"/>
      </tp>
      <tp t="e">
        <v>#N/A</v>
        <stp/>
        <stp>BDH|5201461743096171880</stp>
        <tr r="R47" s="12"/>
      </tp>
      <tp t="e">
        <v>#N/A</v>
        <stp/>
        <stp>BDH|3073534317014986832</stp>
        <tr r="U94" s="24"/>
      </tp>
      <tp t="e">
        <v>#N/A</v>
        <stp/>
        <stp>BDH|6084527065708088699</stp>
        <tr r="L16" s="17"/>
        <tr r="L19" s="28"/>
      </tp>
      <tp t="e">
        <v>#N/A</v>
        <stp/>
        <stp>BDH|6288308368669383177</stp>
        <tr r="J86" s="12"/>
      </tp>
      <tp t="e">
        <v>#N/A</v>
        <stp/>
        <stp>BDH|9665593557162248048</stp>
        <tr r="Y41" s="12"/>
      </tp>
      <tp t="e">
        <v>#N/A</v>
        <stp/>
        <stp>BDH|3653588382583040624</stp>
        <tr r="Q7" s="11"/>
      </tp>
      <tp t="e">
        <v>#N/A</v>
        <stp/>
        <stp>BDH|7586573379746074850</stp>
        <tr r="T27" s="14"/>
      </tp>
      <tp t="e">
        <v>#N/A</v>
        <stp/>
        <stp>BDH|5810467853076057938</stp>
        <tr r="F83" s="12"/>
      </tp>
      <tp t="e">
        <v>#N/A</v>
        <stp/>
        <stp>BDH|5575046385923353597</stp>
        <tr r="E54" s="11"/>
      </tp>
      <tp t="e">
        <v>#N/A</v>
        <stp/>
        <stp>BDH|4155513149018384644</stp>
        <tr r="AA24" s="22"/>
      </tp>
      <tp t="e">
        <v>#N/A</v>
        <stp/>
        <stp>BDH|4266835568443759208</stp>
        <tr r="K70" s="13"/>
      </tp>
      <tp t="e">
        <v>#N/A</v>
        <stp/>
        <stp>BDH|9128297961056290051</stp>
        <tr r="Y87" s="12"/>
      </tp>
      <tp t="e">
        <v>#N/A</v>
        <stp/>
        <stp>BDH|8327092784473991890</stp>
        <tr r="W24" s="9"/>
      </tp>
      <tp t="e">
        <v>#N/A</v>
        <stp/>
        <stp>BDH|5808056902409583747</stp>
        <tr r="Y81" s="24"/>
      </tp>
      <tp t="e">
        <v>#N/A</v>
        <stp/>
        <stp>BDH|2860224510093183957</stp>
        <tr r="W22" s="22"/>
      </tp>
      <tp t="e">
        <v>#N/A</v>
        <stp/>
        <stp>BDH|9964298050125932070</stp>
        <tr r="M17" s="6"/>
      </tp>
      <tp t="e">
        <v>#N/A</v>
        <stp/>
        <stp>BDH|7366397135229151509</stp>
        <tr r="Z48" s="18"/>
      </tp>
      <tp t="e">
        <v>#N/A</v>
        <stp/>
        <stp>BDH|4306049916359825776</stp>
        <tr r="S61" s="24"/>
      </tp>
      <tp t="e">
        <v>#N/A</v>
        <stp/>
        <stp>BDH|3657447464308830213</stp>
        <tr r="T73" s="34"/>
      </tp>
      <tp t="e">
        <v>#N/A</v>
        <stp/>
        <stp>BDH|1098023984693046199</stp>
        <tr r="K168" s="18"/>
      </tp>
      <tp t="e">
        <v>#N/A</v>
        <stp/>
        <stp>BDH|9328690396664464973</stp>
        <tr r="AA108" s="18"/>
      </tp>
      <tp t="e">
        <v>#N/A</v>
        <stp/>
        <stp>BDH|3954450295562611701</stp>
        <tr r="E40" s="10"/>
        <tr r="E30" s="11"/>
      </tp>
      <tp t="e">
        <v>#N/A</v>
        <stp/>
        <stp>BDH|3425572859998306069</stp>
        <tr r="P8" s="22"/>
      </tp>
      <tp t="e">
        <v>#N/A</v>
        <stp/>
        <stp>BDH|4629183440189758365</stp>
        <tr r="V25" s="7"/>
      </tp>
      <tp t="e">
        <v>#N/A</v>
        <stp/>
        <stp>BDH|6624990011691875493</stp>
        <tr r="G9" s="34"/>
      </tp>
      <tp t="e">
        <v>#N/A</v>
        <stp/>
        <stp>BDH|5210888261685073548</stp>
        <tr r="H19" s="6"/>
      </tp>
      <tp t="e">
        <v>#N/A</v>
        <stp/>
        <stp>BDH|4457446506092847914</stp>
        <tr r="I25" s="4"/>
        <tr r="I65" s="10"/>
      </tp>
      <tp t="e">
        <v>#N/A</v>
        <stp/>
        <stp>BDH|1608995430226548651</stp>
        <tr r="R13" s="22"/>
      </tp>
      <tp t="e">
        <v>#N/A</v>
        <stp/>
        <stp>BDH|8317517025610910413</stp>
        <tr r="L103" s="18"/>
      </tp>
      <tp t="e">
        <v>#N/A</v>
        <stp/>
        <stp>BDH|9247038649606403038</stp>
        <tr r="M34" s="26"/>
      </tp>
      <tp t="e">
        <v>#N/A</v>
        <stp/>
        <stp>BDH|2927679531918368436</stp>
        <tr r="R52" s="10"/>
        <tr r="R42" s="11"/>
        <tr r="R15" s="7"/>
      </tp>
      <tp t="e">
        <v>#N/A</v>
        <stp/>
        <stp>BDH|6666736480616948430</stp>
        <tr r="N29" s="12"/>
      </tp>
      <tp t="e">
        <v>#N/A</v>
        <stp/>
        <stp>BDH|2957021496887796750</stp>
        <tr r="L38" s="24"/>
      </tp>
      <tp t="e">
        <v>#N/A</v>
        <stp/>
        <stp>BDH|3316695632644564920</stp>
        <tr r="P43" s="34"/>
      </tp>
      <tp t="e">
        <v>#N/A</v>
        <stp/>
        <stp>BDH|4963421396923080122</stp>
        <tr r="K21" s="17"/>
        <tr r="K15" s="3"/>
      </tp>
      <tp t="e">
        <v>#N/A</v>
        <stp/>
        <stp>BDH|1693089161335619965</stp>
        <tr r="F8" s="17"/>
      </tp>
      <tp t="e">
        <v>#N/A</v>
        <stp/>
        <stp>BDH|7962661727909491131</stp>
        <tr r="D7" s="2"/>
        <tr r="C7" s="5"/>
        <tr r="C7" s="9"/>
        <tr r="F14" s="3"/>
      </tp>
      <tp t="e">
        <v>#N/A</v>
        <stp/>
        <stp>BDH|2300422687682137781</stp>
        <tr r="R11" s="14"/>
      </tp>
      <tp t="e">
        <v>#N/A</v>
        <stp/>
        <stp>BDH|8394670314576664293</stp>
        <tr r="O50" s="24"/>
      </tp>
      <tp t="e">
        <v>#N/A</v>
        <stp/>
        <stp>BDH|5089473096043828060</stp>
        <tr r="D39" s="18"/>
      </tp>
      <tp t="e">
        <v>#N/A</v>
        <stp/>
        <stp>BDH|6330450908698546148</stp>
        <tr r="O194" s="18"/>
      </tp>
      <tp t="e">
        <v>#N/A</v>
        <stp/>
        <stp>BDH|9854896280711987375</stp>
        <tr r="Y47" s="24"/>
      </tp>
      <tp t="e">
        <v>#N/A</v>
        <stp/>
        <stp>BDH|2530620149319326229</stp>
        <tr r="D97" s="12"/>
      </tp>
      <tp t="e">
        <v>#N/A</v>
        <stp/>
        <stp>BDH|8027034578306000248</stp>
        <tr r="S88" s="17"/>
      </tp>
      <tp t="e">
        <v>#N/A</v>
        <stp/>
        <stp>BDH|7576550016030099893</stp>
        <tr r="E100" s="18"/>
      </tp>
      <tp t="e">
        <v>#N/A</v>
        <stp/>
        <stp>BDH|7951606700129363358</stp>
        <tr r="L106" s="12"/>
      </tp>
      <tp t="e">
        <v>#N/A</v>
        <stp/>
        <stp>BDH|8317677307455571099</stp>
        <tr r="R52" s="34"/>
      </tp>
      <tp t="e">
        <v>#N/A</v>
        <stp/>
        <stp>BDH|7337096636667098836</stp>
        <tr r="G62" s="24"/>
      </tp>
      <tp t="e">
        <v>#N/A</v>
        <stp/>
        <stp>BDH|1577203450984244986</stp>
        <tr r="I48" s="17"/>
      </tp>
      <tp t="e">
        <v>#N/A</v>
        <stp/>
        <stp>BDH|6313899841451304072</stp>
        <tr r="X58" s="24"/>
      </tp>
      <tp t="e">
        <v>#N/A</v>
        <stp/>
        <stp>BDH|5927347389822186795</stp>
        <tr r="H65" s="17"/>
      </tp>
      <tp t="e">
        <v>#N/A</v>
        <stp/>
        <stp>BDH|9071906591380819250</stp>
        <tr r="M176" s="18"/>
      </tp>
      <tp t="e">
        <v>#N/A</v>
        <stp/>
        <stp>BDH|2578365458098232752</stp>
        <tr r="U33" s="21"/>
      </tp>
      <tp t="e">
        <v>#N/A</v>
        <stp/>
        <stp>BDH|2268258063219995416</stp>
        <tr r="U25" s="27"/>
      </tp>
      <tp t="e">
        <v>#N/A</v>
        <stp/>
        <stp>BDH|3119597080741153457</stp>
        <tr r="Y123" s="18"/>
        <tr r="Y12" s="20"/>
      </tp>
      <tp t="e">
        <v>#N/A</v>
        <stp/>
        <stp>BDH|6124295722659273444</stp>
        <tr r="M22" s="4"/>
      </tp>
      <tp t="e">
        <v>#N/A</v>
        <stp/>
        <stp>BDH|9084652341298130899</stp>
        <tr r="I18" s="26"/>
      </tp>
      <tp t="e">
        <v>#N/A</v>
        <stp/>
        <stp>BDH|6962975805594349040</stp>
        <tr r="H20" s="27"/>
      </tp>
      <tp t="e">
        <v>#N/A</v>
        <stp/>
        <stp>BDH|8574483702202757546</stp>
        <tr r="W9" s="6"/>
      </tp>
      <tp t="e">
        <v>#N/A</v>
        <stp/>
        <stp>BDH|7786084384275232158</stp>
        <tr r="Q50" s="13"/>
      </tp>
      <tp t="e">
        <v>#N/A</v>
        <stp/>
        <stp>BDH|1430384047999130469</stp>
        <tr r="D31" s="10"/>
        <tr r="F40" s="13"/>
      </tp>
      <tp t="e">
        <v>#N/A</v>
        <stp/>
        <stp>BDH|4000482565394467953</stp>
        <tr r="C24" s="24"/>
      </tp>
      <tp t="e">
        <v>#N/A</v>
        <stp/>
        <stp>BDH|4292185990367201048</stp>
        <tr r="AA21" s="24"/>
      </tp>
      <tp t="e">
        <v>#N/A</v>
        <stp/>
        <stp>BDH|4983287474919994309</stp>
        <tr r="G86" s="17"/>
      </tp>
      <tp t="e">
        <v>#N/A</v>
        <stp/>
        <stp>BDH|7816459701511822989</stp>
        <tr r="J79" s="24"/>
      </tp>
      <tp t="e">
        <v>#N/A</v>
        <stp/>
        <stp>BDH|7515646772838803576</stp>
        <tr r="W51" s="18"/>
      </tp>
      <tp t="e">
        <v>#N/A</v>
        <stp/>
        <stp>BDH|2704585319828900535</stp>
        <tr r="G202" s="18"/>
      </tp>
      <tp t="e">
        <v>#N/A</v>
        <stp/>
        <stp>BDH|3833969271806320008</stp>
        <tr r="K20" s="23"/>
      </tp>
      <tp t="e">
        <v>#N/A</v>
        <stp/>
        <stp>BDH|5398272045811930948</stp>
        <tr r="L26" s="24"/>
      </tp>
      <tp t="e">
        <v>#N/A</v>
        <stp/>
        <stp>BDH|8617937736190849978</stp>
        <tr r="D15" s="9"/>
      </tp>
      <tp t="e">
        <v>#N/A</v>
        <stp/>
        <stp>BDH|8323671539963393528</stp>
        <tr r="AA42" s="21"/>
      </tp>
      <tp t="e">
        <v>#N/A</v>
        <stp/>
        <stp>BDH|1746816526759571998</stp>
        <tr r="C54" s="24"/>
      </tp>
      <tp t="e">
        <v>#N/A</v>
        <stp/>
        <stp>BDH|5347288895544028121</stp>
        <tr r="L42" s="18"/>
      </tp>
      <tp t="e">
        <v>#N/A</v>
        <stp/>
        <stp>BDH|3525820555851699489</stp>
        <tr r="E13" s="12"/>
      </tp>
      <tp t="e">
        <v>#N/A</v>
        <stp/>
        <stp>BDH|8692937913369811226</stp>
        <tr r="C14" s="21"/>
      </tp>
      <tp t="e">
        <v>#N/A</v>
        <stp/>
        <stp>BDH|4828429206512446940</stp>
        <tr r="I10" s="10"/>
      </tp>
      <tp t="e">
        <v>#N/A</v>
        <stp/>
        <stp>BDH|6604782395223087075</stp>
        <tr r="H14" s="23"/>
      </tp>
      <tp t="e">
        <v>#N/A</v>
        <stp/>
        <stp>BDH|2769337739821235837</stp>
        <tr r="O23" s="23"/>
      </tp>
      <tp t="e">
        <v>#N/A</v>
        <stp/>
        <stp>BDH|9953064324239179969</stp>
        <tr r="Y23" s="21"/>
      </tp>
      <tp t="e">
        <v>#N/A</v>
        <stp/>
        <stp>BDH|1719440038789227458</stp>
        <tr r="V34" s="14"/>
      </tp>
      <tp t="e">
        <v>#N/A</v>
        <stp/>
        <stp>BDH|5404358826959295694</stp>
        <tr r="P134" s="18"/>
      </tp>
      <tp t="e">
        <v>#N/A</v>
        <stp/>
        <stp>BDH|1958927066760299533</stp>
        <tr r="N62" s="24"/>
      </tp>
      <tp t="e">
        <v>#N/A</v>
        <stp/>
        <stp>BDH|9294402059504163767</stp>
        <tr r="D21" s="5"/>
      </tp>
      <tp t="e">
        <v>#N/A</v>
        <stp/>
        <stp>BDH|7685329858093395937</stp>
        <tr r="C32" s="5"/>
      </tp>
      <tp t="e">
        <v>#N/A</v>
        <stp/>
        <stp>BDH|3084316658436654831</stp>
        <tr r="H55" s="21"/>
      </tp>
      <tp t="e">
        <v>#N/A</v>
        <stp/>
        <stp>BDH|8267246178933593561</stp>
        <tr r="M11" s="14"/>
      </tp>
      <tp t="e">
        <v>#N/A</v>
        <stp/>
        <stp>BDH|8774208586178866149</stp>
        <tr r="H38" s="26"/>
      </tp>
      <tp t="e">
        <v>#N/A</v>
        <stp/>
        <stp>BDH|9212256150474231180</stp>
        <tr r="D9" s="18"/>
      </tp>
      <tp t="e">
        <v>#N/A</v>
        <stp/>
        <stp>BDH|3352920013508895879</stp>
        <tr r="E86" s="24"/>
      </tp>
      <tp t="e">
        <v>#N/A</v>
        <stp/>
        <stp>BDH|7814610480493247161</stp>
        <tr r="S25" s="9"/>
      </tp>
      <tp t="e">
        <v>#N/A</v>
        <stp/>
        <stp>BDH|2254760655448542396</stp>
        <tr r="F10" s="4"/>
        <tr r="E6" s="16"/>
        <tr r="H6" s="3"/>
        <tr r="F6" s="11"/>
      </tp>
      <tp t="e">
        <v>#N/A</v>
        <stp/>
        <stp>BDH|8273898280203373059</stp>
        <tr r="W17" s="13"/>
      </tp>
      <tp t="e">
        <v>#N/A</v>
        <stp/>
        <stp>BDH|6970893029613399478</stp>
        <tr r="D30" s="21"/>
      </tp>
      <tp t="e">
        <v>#N/A</v>
        <stp/>
        <stp>BDH|3915961933430302226</stp>
        <tr r="C131" s="18"/>
      </tp>
      <tp t="e">
        <v>#N/A</v>
        <stp/>
        <stp>BDH|8099059234747942751</stp>
        <tr r="F13" s="24"/>
      </tp>
      <tp t="e">
        <v>#N/A</v>
        <stp/>
        <stp>BDH|5304937288378159743</stp>
        <tr r="F18" s="18"/>
      </tp>
      <tp t="e">
        <v>#N/A</v>
        <stp/>
        <stp>BDH|4333837642462948166</stp>
        <tr r="X44" s="22"/>
      </tp>
      <tp t="e">
        <v>#N/A</v>
        <stp/>
        <stp>BDH|2142016291615890548</stp>
        <tr r="J42" s="21"/>
      </tp>
      <tp t="e">
        <v>#N/A</v>
        <stp/>
        <stp>BDH|3122620699905276259</stp>
        <tr r="Q30" s="10"/>
        <tr r="S39" s="13"/>
      </tp>
      <tp t="e">
        <v>#N/A</v>
        <stp/>
        <stp>BDH|9507494947254613602</stp>
        <tr r="E51" s="17"/>
        <tr r="E17" s="3"/>
      </tp>
      <tp t="e">
        <v>#N/A</v>
        <stp/>
        <stp>BDH|7072783944916681970</stp>
        <tr r="U103" s="12"/>
      </tp>
      <tp t="e">
        <v>#N/A</v>
        <stp/>
        <stp>BDH|3840246723979691146</stp>
        <tr r="N22" s="34"/>
      </tp>
      <tp t="e">
        <v>#N/A</v>
        <stp/>
        <stp>BDH|4378313674362973927</stp>
        <tr r="K82" s="24"/>
      </tp>
      <tp t="e">
        <v>#N/A</v>
        <stp/>
        <stp>BDH|6214854789444753942</stp>
        <tr r="S70" s="12"/>
      </tp>
      <tp t="e">
        <v>#N/A</v>
        <stp/>
        <stp>BDH|2699633890847106194</stp>
        <tr r="F52" s="10"/>
        <tr r="F42" s="11"/>
        <tr r="F15" s="7"/>
      </tp>
      <tp t="e">
        <v>#N/A</v>
        <stp/>
        <stp>BDH|4967632590783714304</stp>
        <tr r="F33" s="9"/>
      </tp>
      <tp t="e">
        <v>#N/A</v>
        <stp/>
        <stp>BDH|2785949305683357384</stp>
        <tr r="Y39" s="22"/>
      </tp>
      <tp t="e">
        <v>#N/A</v>
        <stp/>
        <stp>BDH|4482119919236203935</stp>
        <tr r="D11" s="24"/>
      </tp>
      <tp t="e">
        <v>#N/A</v>
        <stp/>
        <stp>BDH|6986280467501289893</stp>
        <tr r="G37" s="10"/>
        <tr r="G27" s="11"/>
        <tr r="I46" s="13"/>
      </tp>
      <tp t="e">
        <v>#N/A</v>
        <stp/>
        <stp>BDH|2960963687650737829</stp>
        <tr r="E8" s="6"/>
      </tp>
      <tp t="e">
        <v>#N/A</v>
        <stp/>
        <stp>BDH|6198494544488982588</stp>
        <tr r="T58" s="17"/>
      </tp>
      <tp t="e">
        <v>#N/A</v>
        <stp/>
        <stp>BDH|8486407968326653770</stp>
        <tr r="T13" s="22"/>
      </tp>
      <tp t="e">
        <v>#N/A</v>
        <stp/>
        <stp>BDH|1481541883417651081</stp>
        <tr r="Z34" s="24"/>
      </tp>
      <tp t="e">
        <v>#N/A</v>
        <stp/>
        <stp>BDH|5148355105464455989</stp>
        <tr r="U52" s="17"/>
        <tr r="U10" s="25"/>
      </tp>
      <tp t="e">
        <v>#N/A</v>
        <stp/>
        <stp>BDH|9252701606971955400</stp>
        <tr r="T60" s="17"/>
      </tp>
      <tp t="e">
        <v>#N/A</v>
        <stp/>
        <stp>BDH|1001719159778156043</stp>
        <tr r="M43" s="21"/>
      </tp>
      <tp t="e">
        <v>#N/A</v>
        <stp/>
        <stp>BDH|2028989655986893380</stp>
        <tr r="D73" s="12"/>
      </tp>
      <tp t="e">
        <v>#N/A</v>
        <stp/>
        <stp>BDH|8297514734654805120</stp>
        <tr r="Y144" s="18"/>
      </tp>
      <tp t="e">
        <v>#N/A</v>
        <stp/>
        <stp>BDH|5105268047900534888</stp>
        <tr r="T25" s="34"/>
      </tp>
      <tp t="e">
        <v>#N/A</v>
        <stp/>
        <stp>BDH|5616136538204581857</stp>
        <tr r="V93" s="12"/>
      </tp>
      <tp t="e">
        <v>#N/A</v>
        <stp/>
        <stp>BDH|3752891063902616461</stp>
        <tr r="J97" s="18"/>
      </tp>
      <tp t="e">
        <v>#N/A</v>
        <stp/>
        <stp>BDH|2323618715828366699</stp>
        <tr r="J163" s="18"/>
      </tp>
      <tp t="e">
        <v>#N/A</v>
        <stp/>
        <stp>BDH|5695817728467029325</stp>
        <tr r="E12" s="3"/>
        <tr r="C55" s="10"/>
        <tr r="C45" s="11"/>
        <tr r="C7" s="7"/>
      </tp>
      <tp t="e">
        <v>#N/A</v>
        <stp/>
        <stp>BDH|6800817285064525949</stp>
        <tr r="W27" s="22"/>
      </tp>
      <tp t="e">
        <v>#N/A</v>
        <stp/>
        <stp>BDH|3253367897297772598</stp>
        <tr r="AA27" s="17"/>
      </tp>
      <tp t="e">
        <v>#N/A</v>
        <stp/>
        <stp>BDH|9662520206994801370</stp>
        <tr r="R94" s="12"/>
      </tp>
      <tp t="e">
        <v>#N/A</v>
        <stp/>
        <stp>BDH|3262374038840162812</stp>
        <tr r="N24" s="2"/>
      </tp>
      <tp t="e">
        <v>#N/A</v>
        <stp/>
        <stp>BDH|7901804354325298420</stp>
        <tr r="Y32" s="17"/>
      </tp>
      <tp t="e">
        <v>#N/A</v>
        <stp/>
        <stp>BDH|9778445553131032221</stp>
        <tr r="H59" s="24"/>
      </tp>
      <tp t="e">
        <v>#N/A</v>
        <stp/>
        <stp>BDH|6326879009232903769</stp>
        <tr r="I65" s="24"/>
      </tp>
      <tp t="e">
        <v>#N/A</v>
        <stp/>
        <stp>BDH|9335296242276257282</stp>
        <tr r="P68" s="10"/>
      </tp>
      <tp t="e">
        <v>#N/A</v>
        <stp/>
        <stp>BDH|5004580549069777647</stp>
        <tr r="M112" s="18"/>
      </tp>
      <tp t="e">
        <v>#N/A</v>
        <stp/>
        <stp>BDH|9365448165400836089</stp>
        <tr r="T26" s="26"/>
      </tp>
      <tp t="e">
        <v>#N/A</v>
        <stp/>
        <stp>BDH|3324689649699345339</stp>
        <tr r="U87" s="24"/>
      </tp>
      <tp t="e">
        <v>#N/A</v>
        <stp/>
        <stp>BDH|6127044715294606844</stp>
        <tr r="E67" s="12"/>
      </tp>
      <tp t="e">
        <v>#N/A</v>
        <stp/>
        <stp>BDH|1793702163499183277</stp>
        <tr r="G55" s="21"/>
      </tp>
      <tp t="e">
        <v>#N/A</v>
        <stp/>
        <stp>BDH|6388175040349196177</stp>
        <tr r="O21" s="11"/>
      </tp>
      <tp t="e">
        <v>#N/A</v>
        <stp/>
        <stp>BDH|9463333324025674671</stp>
        <tr r="H43" s="34"/>
      </tp>
      <tp t="e">
        <v>#N/A</v>
        <stp/>
        <stp>BDH|3622063592053402242</stp>
        <tr r="U45" s="4"/>
        <tr r="U33" s="10"/>
        <tr r="U23" s="11"/>
        <tr r="W33" s="13"/>
      </tp>
      <tp t="e">
        <v>#N/A</v>
        <stp/>
        <stp>BDH|9723731955136389609</stp>
        <tr r="Q25" s="6"/>
      </tp>
      <tp t="e">
        <v>#N/A</v>
        <stp/>
        <stp>BDH|8412769003223582761</stp>
        <tr r="N48" s="21"/>
      </tp>
      <tp t="e">
        <v>#N/A</v>
        <stp/>
        <stp>BDH|4531929633441144478</stp>
        <tr r="T152" s="18"/>
      </tp>
      <tp t="e">
        <v>#N/A</v>
        <stp/>
        <stp>BDH|5738292158619332076</stp>
        <tr r="W34" s="26"/>
      </tp>
      <tp t="e">
        <v>#N/A</v>
        <stp/>
        <stp>BDH|4230750900659077150</stp>
        <tr r="Q201" s="18"/>
      </tp>
      <tp t="e">
        <v>#N/A</v>
        <stp/>
        <stp>BDH|9675124223017571601</stp>
        <tr r="X37" s="18"/>
      </tp>
      <tp t="e">
        <v>#N/A</v>
        <stp/>
        <stp>BDH|8825459046344850718</stp>
        <tr r="I37" s="18"/>
      </tp>
      <tp t="e">
        <v>#N/A</v>
        <stp/>
        <stp>BDH|8223064041866537128</stp>
        <tr r="M33" s="24"/>
      </tp>
      <tp t="e">
        <v>#N/A</v>
        <stp/>
        <stp>BDH|9559983408789137267</stp>
        <tr r="O54" s="12"/>
      </tp>
      <tp t="e">
        <v>#N/A</v>
        <stp/>
        <stp>BDH|2628312201882241869</stp>
        <tr r="R40" s="10"/>
        <tr r="R30" s="11"/>
      </tp>
      <tp t="e">
        <v>#N/A</v>
        <stp/>
        <stp>BDH|9134336912111050124</stp>
        <tr r="S17" s="5"/>
        <tr r="S32" s="6"/>
      </tp>
      <tp t="e">
        <v>#N/A</v>
        <stp/>
        <stp>BDH|9559441004752256453</stp>
        <tr r="S27" s="10"/>
        <tr r="U36" s="13"/>
      </tp>
      <tp t="e">
        <v>#N/A</v>
        <stp/>
        <stp>BDH|1372824511827486467</stp>
        <tr r="T72" s="18"/>
      </tp>
      <tp t="e">
        <v>#N/A</v>
        <stp/>
        <stp>BDH|8148032461083190608</stp>
        <tr r="X11" s="24"/>
      </tp>
      <tp t="e">
        <v>#N/A</v>
        <stp/>
        <stp>BDH|2034199023369167398</stp>
        <tr r="U106" s="18"/>
      </tp>
      <tp t="e">
        <v>#N/A</v>
        <stp/>
        <stp>BDH|8473723738951598693</stp>
        <tr r="W42" s="10"/>
        <tr r="W32" s="11"/>
      </tp>
      <tp t="e">
        <v>#N/A</v>
        <stp/>
        <stp>BDH|9827693661540514273</stp>
        <tr r="V100" s="18"/>
      </tp>
      <tp t="e">
        <v>#N/A</v>
        <stp/>
        <stp>BDH|1498272553269469469</stp>
        <tr r="D106" s="12"/>
      </tp>
      <tp t="e">
        <v>#N/A</v>
        <stp/>
        <stp>BDH|5595086812929576687</stp>
        <tr r="I93" s="17"/>
        <tr r="I13" s="28"/>
      </tp>
      <tp t="e">
        <v>#N/A</v>
        <stp/>
        <stp>BDH|6046089579933445979</stp>
        <tr r="T7" s="8"/>
      </tp>
      <tp t="e">
        <v>#N/A</v>
        <stp/>
        <stp>BDH|9758007864823436751</stp>
        <tr r="H18" s="12"/>
      </tp>
      <tp t="e">
        <v>#N/A</v>
        <stp/>
        <stp>BDH|8191530624036745236</stp>
        <tr r="I27" s="14"/>
      </tp>
      <tp t="e">
        <v>#N/A</v>
        <stp/>
        <stp>BDH|2313626812748693672</stp>
        <tr r="I26" s="21"/>
      </tp>
      <tp t="e">
        <v>#N/A</v>
        <stp/>
        <stp>BDH|4925971878861197058</stp>
        <tr r="V92" s="17"/>
        <tr r="V7" s="27"/>
      </tp>
      <tp t="e">
        <v>#N/A</v>
        <stp/>
        <stp>BDH|1059812807030585212</stp>
        <tr r="C18" s="10"/>
      </tp>
      <tp t="e">
        <v>#N/A</v>
        <stp/>
        <stp>BDH|1951069568004487819</stp>
        <tr r="K35" s="22"/>
      </tp>
      <tp t="e">
        <v>#N/A</v>
        <stp/>
        <stp>BDH|7993690083146504445</stp>
        <tr r="M60" s="17"/>
      </tp>
      <tp t="e">
        <v>#N/A</v>
        <stp/>
        <stp>BDH|8663517191178059748</stp>
        <tr r="AA16" s="12"/>
      </tp>
      <tp t="e">
        <v>#N/A</v>
        <stp/>
        <stp>BDH|7036579093047029765</stp>
        <tr r="J13" s="34"/>
      </tp>
      <tp t="e">
        <v>#N/A</v>
        <stp/>
        <stp>BDH|7554413269817944966</stp>
        <tr r="M19" s="9"/>
      </tp>
      <tp t="e">
        <v>#N/A</v>
        <stp/>
        <stp>BDH|7513905406426592346</stp>
        <tr r="S108" s="18"/>
      </tp>
      <tp t="e">
        <v>#N/A</v>
        <stp/>
        <stp>BDH|3621947229912102182</stp>
        <tr r="S13" s="13"/>
      </tp>
      <tp t="e">
        <v>#N/A</v>
        <stp/>
        <stp>BDH|4872284276943105954</stp>
        <tr r="H66" s="12"/>
      </tp>
      <tp t="e">
        <v>#N/A</v>
        <stp/>
        <stp>BDH|6554436595833384332</stp>
        <tr r="W29" s="13"/>
      </tp>
      <tp t="e">
        <v>#N/A</v>
        <stp/>
        <stp>BDH|3511109394857330712</stp>
        <tr r="U8" s="26"/>
        <tr r="R10" s="9"/>
      </tp>
      <tp t="e">
        <v>#N/A</v>
        <stp/>
        <stp>BDH|9511613514570364500</stp>
        <tr r="V197" s="18"/>
      </tp>
      <tp t="e">
        <v>#N/A</v>
        <stp/>
        <stp>BDH|8628496073134843470</stp>
        <tr r="O32" s="25"/>
        <tr r="O18" s="27"/>
      </tp>
      <tp t="e">
        <v>#N/A</v>
        <stp/>
        <stp>BDH|3098833070595676268</stp>
        <tr r="D28" s="13"/>
      </tp>
      <tp t="e">
        <v>#N/A</v>
        <stp/>
        <stp>BDH|4824810281479861630</stp>
        <tr r="I19" s="5"/>
        <tr r="I42" s="6"/>
      </tp>
      <tp t="e">
        <v>#N/A</v>
        <stp/>
        <stp>BDH|3534117396654070415</stp>
        <tr r="V77" s="18"/>
      </tp>
      <tp t="e">
        <v>#N/A</v>
        <stp/>
        <stp>BDH|5344450194857699475</stp>
        <tr r="F17" s="18"/>
      </tp>
      <tp t="e">
        <v>#N/A</v>
        <stp/>
        <stp>BDH|5216236514365471820</stp>
        <tr r="F68" s="10"/>
      </tp>
      <tp t="e">
        <v>#N/A</v>
        <stp/>
        <stp>BDH|6550697169799669400</stp>
        <tr r="X14" s="12"/>
      </tp>
      <tp t="e">
        <v>#N/A</v>
        <stp/>
        <stp>BDH|4059710023779330322</stp>
        <tr r="Z49" s="21"/>
      </tp>
      <tp t="e">
        <v>#N/A</v>
        <stp/>
        <stp>BDH|3328923205849081872</stp>
        <tr r="Y131" s="18"/>
      </tp>
      <tp t="e">
        <v>#N/A</v>
        <stp/>
        <stp>BDH|3365950514982091215</stp>
        <tr r="N87" s="18"/>
      </tp>
      <tp t="e">
        <v>#N/A</v>
        <stp/>
        <stp>BDH|6943947278495601604</stp>
        <tr r="E20" s="2"/>
        <tr r="E18" s="4"/>
        <tr r="E58" s="10"/>
        <tr r="E48" s="11"/>
        <tr r="E19" s="7"/>
        <tr r="G74" s="13"/>
      </tp>
      <tp t="e">
        <v>#N/A</v>
        <stp/>
        <stp>BDH|2104924370642410541</stp>
        <tr r="N20" s="18"/>
      </tp>
      <tp t="e">
        <v>#N/A</v>
        <stp/>
        <stp>BDH|9004483911376923130</stp>
        <tr r="Z11" s="13"/>
      </tp>
      <tp t="e">
        <v>#N/A</v>
        <stp/>
        <stp>BDH|5632167972690188808</stp>
        <tr r="O18" s="22"/>
      </tp>
      <tp t="e">
        <v>#N/A</v>
        <stp/>
        <stp>BDH|3282285821899941114</stp>
        <tr r="M26" s="10"/>
        <tr r="O35" s="13"/>
      </tp>
      <tp t="e">
        <v>#N/A</v>
        <stp/>
        <stp>BDH|5509607585240502060</stp>
        <tr r="Y11" s="14"/>
      </tp>
      <tp t="e">
        <v>#N/A</v>
        <stp/>
        <stp>BDH|9350452047900090220</stp>
        <tr r="N8" s="26"/>
        <tr r="K10" s="9"/>
      </tp>
      <tp t="e">
        <v>#N/A</v>
        <stp/>
        <stp>BDH|8431893349078054772</stp>
        <tr r="J42" s="34"/>
      </tp>
      <tp t="e">
        <v>#N/A</v>
        <stp/>
        <stp>BDH|3302880888548450047</stp>
        <tr r="K75" s="12"/>
      </tp>
      <tp t="e">
        <v>#N/A</v>
        <stp/>
        <stp>BDH|6684781557499382692</stp>
        <tr r="S7" s="8"/>
      </tp>
      <tp t="e">
        <v>#N/A</v>
        <stp/>
        <stp>BDH|1134891128429425972</stp>
        <tr r="G28" s="22"/>
      </tp>
      <tp t="e">
        <v>#N/A</v>
        <stp/>
        <stp>BDH|1061868249247829148</stp>
        <tr r="Y12" s="14"/>
      </tp>
      <tp t="e">
        <v>#N/A</v>
        <stp/>
        <stp>BDH|5758879268319882931</stp>
        <tr r="U68" s="13"/>
      </tp>
      <tp t="e">
        <v>#N/A</v>
        <stp/>
        <stp>BDH|8248765833777090046</stp>
        <tr r="H14" s="4"/>
      </tp>
      <tp t="e">
        <v>#N/A</v>
        <stp/>
        <stp>BDH|6209074651871429936</stp>
        <tr r="U38" s="18"/>
      </tp>
      <tp t="e">
        <v>#N/A</v>
        <stp/>
        <stp>BDH|8267125033076692762</stp>
        <tr r="AA103" s="12"/>
      </tp>
      <tp t="e">
        <v>#N/A</v>
        <stp/>
        <stp>BDH|8696460841142147134</stp>
        <tr r="K190" s="18"/>
      </tp>
      <tp t="e">
        <v>#N/A</v>
        <stp/>
        <stp>BDH|5022813161198394801</stp>
        <tr r="N7" s="30"/>
      </tp>
      <tp t="e">
        <v>#N/A</v>
        <stp/>
        <stp>BDH|7181825151672008313</stp>
        <tr r="X72" s="24"/>
      </tp>
      <tp t="e">
        <v>#N/A</v>
        <stp/>
        <stp>BDH|5595276240191066910</stp>
        <tr r="T13" s="26"/>
      </tp>
      <tp t="e">
        <v>#N/A</v>
        <stp/>
        <stp>BDH|5807659236839180292</stp>
        <tr r="S27" s="13"/>
      </tp>
      <tp t="e">
        <v>#N/A</v>
        <stp/>
        <stp>BDH|2151496613619195597</stp>
        <tr r="S61" s="34"/>
      </tp>
      <tp t="e">
        <v>#N/A</v>
        <stp/>
        <stp>BDH|1485884141111638785</stp>
        <tr r="U109" s="18"/>
      </tp>
      <tp t="e">
        <v>#N/A</v>
        <stp/>
        <stp>BDH|4157945277800443156</stp>
        <tr r="K75" s="24"/>
      </tp>
      <tp t="e">
        <v>#N/A</v>
        <stp/>
        <stp>BDH|7305766935241776949</stp>
        <tr r="AA71" s="18"/>
      </tp>
      <tp t="e">
        <v>#N/A</v>
        <stp/>
        <stp>BDH|8797435536680052412</stp>
        <tr r="X199" s="18"/>
      </tp>
      <tp t="e">
        <v>#N/A</v>
        <stp/>
        <stp>BDH|6821853674374365698</stp>
        <tr r="K67" s="12"/>
      </tp>
      <tp t="e">
        <v>#N/A</v>
        <stp/>
        <stp>BDH|4772577202638281232</stp>
        <tr r="J51" s="34"/>
      </tp>
      <tp t="e">
        <v>#N/A</v>
        <stp/>
        <stp>BDH|1059502522915199808</stp>
        <tr r="P7" s="14"/>
      </tp>
      <tp t="e">
        <v>#N/A</v>
        <stp/>
        <stp>BDH|9093385232730864212</stp>
        <tr r="C211" s="18"/>
      </tp>
      <tp t="e">
        <v>#N/A</v>
        <stp/>
        <stp>BDH|4867381703858014401</stp>
        <tr r="Y37" s="18"/>
      </tp>
      <tp t="e">
        <v>#N/A</v>
        <stp/>
        <stp>BDH|7997018927967930954</stp>
        <tr r="H38" s="6"/>
      </tp>
      <tp t="e">
        <v>#N/A</v>
        <stp/>
        <stp>BDH|4724386319879476415</stp>
        <tr r="P9" s="26"/>
      </tp>
      <tp t="e">
        <v>#N/A</v>
        <stp/>
        <stp>BDH|6388236333449048500</stp>
        <tr r="M59" s="18"/>
      </tp>
      <tp t="e">
        <v>#N/A</v>
        <stp/>
        <stp>BDH|5912755182181881053</stp>
        <tr r="J25" s="24"/>
      </tp>
      <tp t="e">
        <v>#N/A</v>
        <stp/>
        <stp>BDH|6412725365254571860</stp>
        <tr r="E93" s="24"/>
      </tp>
      <tp t="e">
        <v>#N/A</v>
        <stp/>
        <stp>BDH|7434663360614003827</stp>
        <tr r="AA65" s="12"/>
      </tp>
      <tp t="e">
        <v>#N/A</v>
        <stp/>
        <stp>BDH|4560424995375502770</stp>
        <tr r="K57" s="12"/>
      </tp>
      <tp t="e">
        <v>#N/A</v>
        <stp/>
        <stp>BDH|8153115340184151215</stp>
        <tr r="D7" s="28"/>
      </tp>
      <tp t="e">
        <v>#N/A</v>
        <stp/>
        <stp>BDH|6026664080755295648</stp>
        <tr r="M28" s="21"/>
      </tp>
      <tp t="e">
        <v>#N/A</v>
        <stp/>
        <stp>BDH|9086617665442122059</stp>
        <tr r="K14" s="29"/>
        <tr r="K23" s="29"/>
        <tr r="K37" s="29"/>
      </tp>
      <tp t="e">
        <v>#N/A</v>
        <stp/>
        <stp>BDH|4024144671270075953</stp>
        <tr r="H27" s="7"/>
      </tp>
      <tp t="e">
        <v>#N/A</v>
        <stp/>
        <stp>BDH|5665711480014162561</stp>
        <tr r="Z19" s="24"/>
      </tp>
      <tp t="e">
        <v>#N/A</v>
        <stp/>
        <stp>BDH|9711763852747211714</stp>
        <tr r="AA50" s="34"/>
      </tp>
      <tp t="e">
        <v>#N/A</v>
        <stp/>
        <stp>BDH|4840342628689310771</stp>
        <tr r="D50" s="12"/>
      </tp>
      <tp t="e">
        <v>#N/A</v>
        <stp/>
        <stp>BDH|8274006073693113706</stp>
        <tr r="R10" s="34"/>
      </tp>
      <tp t="e">
        <v>#N/A</v>
        <stp/>
        <stp>BDH|8233960948936482882</stp>
        <tr r="P25" s="22"/>
      </tp>
      <tp t="e">
        <v>#N/A</v>
        <stp/>
        <stp>BDH|6514803415615717176</stp>
        <tr r="S16" s="18"/>
      </tp>
      <tp t="e">
        <v>#N/A</v>
        <stp/>
        <stp>BDH|2372321004823291974</stp>
        <tr r="O44" s="24"/>
      </tp>
      <tp t="e">
        <v>#N/A</v>
        <stp/>
        <stp>BDH|3563176080807128639</stp>
        <tr r="V15" s="11"/>
      </tp>
      <tp t="e">
        <v>#N/A</v>
        <stp/>
        <stp>BDH|2958293603942558968</stp>
        <tr r="L57" s="17"/>
      </tp>
      <tp t="e">
        <v>#N/A</v>
        <stp/>
        <stp>BDH|5128246016028059533</stp>
        <tr r="G85" s="17"/>
      </tp>
      <tp t="e">
        <v>#N/A</v>
        <stp/>
        <stp>BDH|3510542635188173657</stp>
        <tr r="H125" s="18"/>
        <tr r="H14" s="20"/>
      </tp>
      <tp t="e">
        <v>#N/A</v>
        <stp/>
        <stp>BDH|6247848502040592510</stp>
        <tr r="I100" s="12"/>
      </tp>
      <tp t="e">
        <v>#N/A</v>
        <stp/>
        <stp>BDH|6697441217381780926</stp>
        <tr r="AA12" s="21"/>
      </tp>
      <tp t="e">
        <v>#N/A</v>
        <stp/>
        <stp>BDH|5371584828288069131</stp>
        <tr r="J38" s="21"/>
        <tr r="J24" s="3"/>
      </tp>
      <tp t="e">
        <v>#N/A</v>
        <stp/>
        <stp>BDH|5096196369170162911</stp>
        <tr r="C32" s="17"/>
      </tp>
      <tp t="e">
        <v>#N/A</v>
        <stp/>
        <stp>BDH|2187034014601412923</stp>
        <tr r="N84" s="12"/>
      </tp>
      <tp t="e">
        <v>#N/A</v>
        <stp/>
        <stp>BDH|8779268021285761673</stp>
        <tr r="K145" s="18"/>
      </tp>
      <tp t="e">
        <v>#N/A</v>
        <stp/>
        <stp>BDH|4479859003045253203</stp>
        <tr r="Y72" s="17"/>
      </tp>
      <tp t="e">
        <v>#N/A</v>
        <stp/>
        <stp>BDH|3951943128897471411</stp>
        <tr r="C47" s="12"/>
      </tp>
      <tp t="e">
        <v>#N/A</v>
        <stp/>
        <stp>BDH|8982872546808903719</stp>
        <tr r="Q51" s="17"/>
        <tr r="Q17" s="3"/>
      </tp>
      <tp t="e">
        <v>#N/A</v>
        <stp/>
        <stp>BDH|3143708916299028777</stp>
        <tr r="Q27" s="25"/>
        <tr r="Q13" s="27"/>
      </tp>
      <tp t="e">
        <v>#N/A</v>
        <stp/>
        <stp>BDH|3247934385581677829</stp>
        <tr r="W159" s="18"/>
      </tp>
      <tp t="e">
        <v>#N/A</v>
        <stp/>
        <stp>BDH|9640357215914578436</stp>
        <tr r="P19" s="12"/>
      </tp>
      <tp t="e">
        <v>#N/A</v>
        <stp/>
        <stp>BDH|2198866546712703762</stp>
        <tr r="Z44" s="12"/>
      </tp>
      <tp t="e">
        <v>#N/A</v>
        <stp/>
        <stp>BDH|5343571887061185227</stp>
        <tr r="H14" s="8"/>
      </tp>
      <tp t="e">
        <v>#N/A</v>
        <stp/>
        <stp>BDH|9658423527525589166</stp>
        <tr r="I183" s="18"/>
      </tp>
      <tp t="e">
        <v>#N/A</v>
        <stp/>
        <stp>BDH|4986555203092843874</stp>
        <tr r="J17" s="18"/>
      </tp>
      <tp t="e">
        <v>#N/A</v>
        <stp/>
        <stp>BDH|8495466896038434601</stp>
        <tr r="V12" s="3"/>
        <tr r="T55" s="10"/>
        <tr r="T45" s="11"/>
        <tr r="T7" s="7"/>
      </tp>
      <tp t="e">
        <v>#N/A</v>
        <stp/>
        <stp>BDH|1816434796920837753</stp>
        <tr r="M8" s="4"/>
      </tp>
      <tp t="e">
        <v>#N/A</v>
        <stp/>
        <stp>BDH|6074389758443103816</stp>
        <tr r="S84" s="24"/>
      </tp>
      <tp t="e">
        <v>#N/A</v>
        <stp/>
        <stp>BDH|3503450212495400868</stp>
        <tr r="U12" s="18"/>
      </tp>
      <tp t="e">
        <v>#N/A</v>
        <stp/>
        <stp>BDH|4201222180411114418</stp>
        <tr r="I28" s="17"/>
      </tp>
      <tp t="e">
        <v>#N/A</v>
        <stp/>
        <stp>BDH|5829885852013611049</stp>
        <tr r="L17" s="17"/>
        <tr r="L20" s="28"/>
      </tp>
      <tp t="e">
        <v>#N/A</v>
        <stp/>
        <stp>BDH|9486223905435685558</stp>
        <tr r="Z69" s="17"/>
      </tp>
      <tp t="e">
        <v>#N/A</v>
        <stp/>
        <stp>BDH|7504374483473573449</stp>
        <tr r="W150" s="18"/>
      </tp>
      <tp t="e">
        <v>#N/A</v>
        <stp/>
        <stp>BDH|4150154283691533735</stp>
        <tr r="J18" s="23"/>
      </tp>
      <tp t="e">
        <v>#N/A</v>
        <stp/>
        <stp>BDH|6301441007220726961</stp>
        <tr r="M36" s="10"/>
        <tr r="M48" s="10"/>
        <tr r="M26" s="11"/>
        <tr r="M38" s="11"/>
      </tp>
      <tp t="e">
        <v>#N/A</v>
        <stp/>
        <stp>BDH|8281515542155956799</stp>
        <tr r="K64" s="21"/>
      </tp>
      <tp t="e">
        <v>#N/A</v>
        <stp/>
        <stp>BDH|6007664680860060379</stp>
        <tr r="X88" s="17"/>
      </tp>
      <tp t="e">
        <v>#N/A</v>
        <stp/>
        <stp>BDH|7332062916548110536</stp>
        <tr r="X9" s="2"/>
        <tr r="Z8" s="25"/>
        <tr r="W10" s="5"/>
      </tp>
      <tp t="e">
        <v>#N/A</v>
        <stp/>
        <stp>BDH|7675604397447326437</stp>
        <tr r="X81" s="18"/>
      </tp>
      <tp t="e">
        <v>#N/A</v>
        <stp/>
        <stp>BDH|4424771986336617623</stp>
        <tr r="R149" s="18"/>
      </tp>
      <tp t="e">
        <v>#N/A</v>
        <stp/>
        <stp>BDH|6208125345630333872</stp>
        <tr r="K20" s="25"/>
      </tp>
      <tp t="e">
        <v>#N/A</v>
        <stp/>
        <stp>BDH|3818167930803830978</stp>
        <tr r="Q21" s="17"/>
        <tr r="Q15" s="3"/>
      </tp>
      <tp t="e">
        <v>#N/A</v>
        <stp/>
        <stp>BDH|4132604833278096239</stp>
        <tr r="T13" s="29"/>
        <tr r="T22" s="29"/>
        <tr r="T36" s="29"/>
      </tp>
      <tp t="e">
        <v>#N/A</v>
        <stp/>
        <stp>BDH|1809696309884022898</stp>
        <tr r="F32" s="17"/>
      </tp>
      <tp t="e">
        <v>#N/A</v>
        <stp/>
        <stp>BDH|7507830635177346011</stp>
        <tr r="L90" s="17"/>
        <tr r="L34" s="25"/>
      </tp>
      <tp t="e">
        <v>#N/A</v>
        <stp/>
        <stp>BDH|4178935475304711514</stp>
        <tr r="S19" s="30"/>
      </tp>
      <tp t="e">
        <v>#N/A</v>
        <stp/>
        <stp>BDH|5130606772197383818</stp>
        <tr r="R37" s="17"/>
      </tp>
      <tp t="e">
        <v>#N/A</v>
        <stp/>
        <stp>BDH|7020086781041029582</stp>
        <tr r="O25" s="10"/>
        <tr r="Q34" s="13"/>
      </tp>
      <tp t="e">
        <v>#N/A</v>
        <stp/>
        <stp>BDH|8864771918206129370</stp>
        <tr r="U17" s="24"/>
      </tp>
      <tp t="e">
        <v>#N/A</v>
        <stp/>
        <stp>BDH|2645071453455746942</stp>
        <tr r="R50" s="13"/>
      </tp>
      <tp t="e">
        <v>#N/A</v>
        <stp/>
        <stp>BDH|4449801847397574476</stp>
        <tr r="L75" s="12"/>
      </tp>
      <tp t="e">
        <v>#N/A</v>
        <stp/>
        <stp>BDH|4528713684274800494</stp>
        <tr r="S92" s="17"/>
        <tr r="S7" s="27"/>
      </tp>
      <tp t="e">
        <v>#N/A</v>
        <stp/>
        <stp>BDH|1677540654349110363</stp>
        <tr r="L100" s="12"/>
      </tp>
      <tp t="e">
        <v>#N/A</v>
        <stp/>
        <stp>BDH|5404741500321822896</stp>
        <tr r="Y11" s="18"/>
      </tp>
      <tp t="e">
        <v>#N/A</v>
        <stp/>
        <stp>BDH|9080828693351487242</stp>
        <tr r="Q152" s="18"/>
      </tp>
      <tp t="e">
        <v>#N/A</v>
        <stp/>
        <stp>BDH|6290293497772463492</stp>
        <tr r="AA83" s="17"/>
      </tp>
      <tp t="e">
        <v>#N/A</v>
        <stp/>
        <stp>BDH|6919009939067194908</stp>
        <tr r="H57" s="10"/>
        <tr r="H47" s="11"/>
        <tr r="H18" s="7"/>
        <tr r="J64" s="13"/>
      </tp>
      <tp t="e">
        <v>#N/A</v>
        <stp/>
        <stp>BDH|8321103709186893430</stp>
        <tr r="R19" s="17"/>
      </tp>
      <tp t="e">
        <v>#N/A</v>
        <stp/>
        <stp>BDH|1664964771976701273</stp>
        <tr r="I35" s="21"/>
      </tp>
      <tp t="e">
        <v>#N/A</v>
        <stp/>
        <stp>BDH|5571808402541179775</stp>
        <tr r="W53" s="18"/>
      </tp>
      <tp t="e">
        <v>#N/A</v>
        <stp/>
        <stp>BDH|8101753842009282953</stp>
        <tr r="T8" s="17"/>
      </tp>
      <tp t="e">
        <v>#N/A</v>
        <stp/>
        <stp>BDH|9958970458989750702</stp>
        <tr r="D71" s="10"/>
        <tr r="D61" s="11"/>
      </tp>
      <tp t="e">
        <v>#N/A</v>
        <stp/>
        <stp>BDH|9433542540355004619</stp>
        <tr r="F58" s="18"/>
      </tp>
      <tp t="e">
        <v>#N/A</v>
        <stp/>
        <stp>BDH|3662877279835151287</stp>
        <tr r="C24" s="5"/>
      </tp>
      <tp t="e">
        <v>#N/A</v>
        <stp/>
        <stp>BDH|9843134241586862138</stp>
        <tr r="T62" s="34"/>
      </tp>
      <tp t="e">
        <v>#N/A</v>
        <stp/>
        <stp>BDH|6327988438224135331</stp>
        <tr r="D8" s="3"/>
        <tr r="D45" s="13"/>
      </tp>
      <tp t="e">
        <v>#N/A</v>
        <stp/>
        <stp>BDH|1847848589919694326</stp>
        <tr r="C15" s="23"/>
      </tp>
      <tp t="e">
        <v>#N/A</v>
        <stp/>
        <stp>BDH|7715641575455685816</stp>
        <tr r="D23" s="18"/>
      </tp>
      <tp t="e">
        <v>#N/A</v>
        <stp/>
        <stp>BDH|8804146230375585480</stp>
        <tr r="U39" s="26"/>
      </tp>
      <tp t="e">
        <v>#N/A</v>
        <stp/>
        <stp>BDH|7287077097007667255</stp>
        <tr r="X17" s="14"/>
      </tp>
      <tp t="e">
        <v>#N/A</v>
        <stp/>
        <stp>BDH|5109318157518235042</stp>
        <tr r="S43" s="18"/>
      </tp>
      <tp t="e">
        <v>#N/A</v>
        <stp/>
        <stp>BDH|3260727766489411038</stp>
        <tr r="G36" s="21"/>
      </tp>
      <tp t="e">
        <v>#N/A</v>
        <stp/>
        <stp>BDH|9609409171343463220</stp>
        <tr r="Z10" s="14"/>
      </tp>
      <tp t="e">
        <v>#N/A</v>
        <stp/>
        <stp>BDH|6693573147699093579</stp>
        <tr r="Y125" s="18"/>
        <tr r="Y14" s="20"/>
      </tp>
      <tp t="e">
        <v>#N/A</v>
        <stp/>
        <stp>BDH|4413809181179752633</stp>
        <tr r="K20" s="12"/>
      </tp>
      <tp t="e">
        <v>#N/A</v>
        <stp/>
        <stp>BDH|6711888823356942141</stp>
        <tr r="P25" s="18"/>
      </tp>
      <tp t="e">
        <v>#N/A</v>
        <stp/>
        <stp>BDH|8729175167743175778</stp>
        <tr r="Q9" s="21"/>
      </tp>
      <tp t="e">
        <v>#N/A</v>
        <stp/>
        <stp>BDH|7724429883552079277</stp>
        <tr r="Y7" s="14"/>
      </tp>
      <tp t="e">
        <v>#N/A</v>
        <stp/>
        <stp>BDH|9036461566351612101</stp>
        <tr r="H43" s="29"/>
      </tp>
      <tp t="e">
        <v>#N/A</v>
        <stp/>
        <stp>BDH|6820912749421343151</stp>
        <tr r="D28" s="18"/>
      </tp>
      <tp t="e">
        <v>#N/A</v>
        <stp/>
        <stp>BDH|3958914343144998148</stp>
        <tr r="V75" s="24"/>
      </tp>
      <tp t="e">
        <v>#N/A</v>
        <stp/>
        <stp>BDH|8046249612966508655</stp>
        <tr r="Q19" s="20"/>
      </tp>
      <tp t="e">
        <v>#N/A</v>
        <stp/>
        <stp>BDH|2308007182093279251</stp>
        <tr r="E95" s="24"/>
      </tp>
      <tp t="e">
        <v>#N/A</v>
        <stp/>
        <stp>BDH|1826154307602950955</stp>
        <tr r="J62" s="24"/>
      </tp>
      <tp t="e">
        <v>#N/A</v>
        <stp/>
        <stp>BDH|1127362678459122786</stp>
        <tr r="R100" s="12"/>
      </tp>
      <tp t="e">
        <v>#N/A</v>
        <stp/>
        <stp>BDH|6835617327639100091</stp>
        <tr r="E8" s="17"/>
      </tp>
      <tp t="e">
        <v>#N/A</v>
        <stp/>
        <stp>BDH|6879806626356182199</stp>
        <tr r="F115" s="18"/>
      </tp>
      <tp t="e">
        <v>#N/A</v>
        <stp/>
        <stp>BDH|6460934703443366712</stp>
        <tr r="I24" s="10"/>
      </tp>
      <tp t="e">
        <v>#N/A</v>
        <stp/>
        <stp>BDH|2531984719772016323</stp>
        <tr r="K25" s="26"/>
      </tp>
      <tp t="e">
        <v>#N/A</v>
        <stp/>
        <stp>BDH|3093188060317773897</stp>
        <tr r="I66" s="17"/>
      </tp>
      <tp t="e">
        <v>#N/A</v>
        <stp/>
        <stp>BDH|9369296977520923725</stp>
        <tr r="U25" s="6"/>
      </tp>
      <tp t="e">
        <v>#N/A</v>
        <stp/>
        <stp>BDH|5109923133794764017</stp>
        <tr r="R51" s="17"/>
        <tr r="R17" s="3"/>
      </tp>
      <tp t="e">
        <v>#N/A</v>
        <stp/>
        <stp>BDH|9081128631531331163</stp>
        <tr r="U9" s="21"/>
      </tp>
      <tp t="e">
        <v>#N/A</v>
        <stp/>
        <stp>BDH|2795495691534086094</stp>
        <tr r="U18" s="20"/>
      </tp>
      <tp t="e">
        <v>#N/A</v>
        <stp/>
        <stp>BDH|3915539851220478898</stp>
        <tr r="N21" s="9"/>
      </tp>
      <tp t="e">
        <v>#N/A</v>
        <stp/>
        <stp>BDH|1169951676327053344</stp>
        <tr r="AA87" s="12"/>
      </tp>
      <tp t="e">
        <v>#N/A</v>
        <stp/>
        <stp>BDH|6609308848168049288</stp>
        <tr r="Q131" s="18"/>
      </tp>
      <tp t="e">
        <v>#N/A</v>
        <stp/>
        <stp>BDH|1991581796977059111</stp>
        <tr r="P13" s="7"/>
      </tp>
      <tp t="e">
        <v>#N/A</v>
        <stp/>
        <stp>BDH|8127713078824798794</stp>
        <tr r="F68" s="13"/>
      </tp>
      <tp t="e">
        <v>#N/A</v>
        <stp/>
        <stp>BDH|9142449071486754758</stp>
        <tr r="R22" s="12"/>
      </tp>
      <tp t="e">
        <v>#N/A</v>
        <stp/>
        <stp>BDH|8304258035047599505</stp>
        <tr r="W15" s="13"/>
      </tp>
      <tp t="e">
        <v>#N/A</v>
        <stp/>
        <stp>BDH|2753651071308639030</stp>
        <tr r="C38" s="34"/>
      </tp>
      <tp t="e">
        <v>#N/A</v>
        <stp/>
        <stp>BDH|9044066044076172052</stp>
        <tr r="H11" s="21"/>
      </tp>
      <tp t="e">
        <v>#N/A</v>
        <stp/>
        <stp>BDH|6403910055465348457</stp>
        <tr r="M13" s="13"/>
      </tp>
      <tp t="e">
        <v>#N/A</v>
        <stp/>
        <stp>BDH|4447540271724637916</stp>
        <tr r="J192" s="18"/>
      </tp>
      <tp t="e">
        <v>#N/A</v>
        <stp/>
        <stp>BDH|8351040110995733769</stp>
        <tr r="V17" s="6"/>
      </tp>
      <tp t="e">
        <v>#N/A</v>
        <stp/>
        <stp>BDH|3655356748378484791</stp>
        <tr r="J6" s="6"/>
      </tp>
      <tp t="e">
        <v>#N/A</v>
        <stp/>
        <stp>BDH|8234100906820373215</stp>
        <tr r="R23" s="21"/>
      </tp>
      <tp t="e">
        <v>#N/A</v>
        <stp/>
        <stp>BDH|6165529349789936552</stp>
        <tr r="F51" s="34"/>
      </tp>
      <tp t="e">
        <v>#N/A</v>
        <stp/>
        <stp>BDH|1240568286626478105</stp>
        <tr r="K48" s="18"/>
      </tp>
      <tp t="e">
        <v>#N/A</v>
        <stp/>
        <stp>BDH|4750898360753966217</stp>
        <tr r="W27" s="7"/>
      </tp>
      <tp t="e">
        <v>#N/A</v>
        <stp/>
        <stp>BDH|7078248462669268124</stp>
        <tr r="Y11" s="29"/>
      </tp>
      <tp t="e">
        <v>#N/A</v>
        <stp/>
        <stp>BDH|9108450576405260469</stp>
        <tr r="N30" s="12"/>
      </tp>
      <tp t="e">
        <v>#N/A</v>
        <stp/>
        <stp>BDH|5539556533160475818</stp>
        <tr r="M65" s="17"/>
      </tp>
      <tp t="e">
        <v>#N/A</v>
        <stp/>
        <stp>BDH|4116099540203776897</stp>
        <tr r="J14" s="24"/>
      </tp>
      <tp t="e">
        <v>#N/A</v>
        <stp/>
        <stp>BDH|1616765763303559808</stp>
        <tr r="P11" s="29"/>
      </tp>
      <tp t="e">
        <v>#N/A</v>
        <stp/>
        <stp>BDH|6545677841578096752</stp>
        <tr r="E40" s="24"/>
      </tp>
      <tp t="e">
        <v>#N/A</v>
        <stp/>
        <stp>BDH|4476973779913917250</stp>
        <tr r="O39" s="24"/>
      </tp>
      <tp t="e">
        <v>#N/A</v>
        <stp/>
        <stp>BDH|6232443034543484901</stp>
        <tr r="I13" s="34"/>
      </tp>
      <tp t="e">
        <v>#N/A</v>
        <stp/>
        <stp>BDH|3681955410031228173</stp>
        <tr r="AA18" s="18"/>
      </tp>
      <tp t="e">
        <v>#N/A</v>
        <stp/>
        <stp>BDH|2352628124169745447</stp>
        <tr r="X67" s="21"/>
      </tp>
      <tp t="e">
        <v>#N/A</v>
        <stp/>
        <stp>BDH|4632969220142319655</stp>
        <tr r="C8" s="17"/>
      </tp>
      <tp t="e">
        <v>#N/A</v>
        <stp/>
        <stp>BDH|2850367396204778798</stp>
        <tr r="R208" s="18"/>
      </tp>
      <tp t="e">
        <v>#N/A</v>
        <stp/>
        <stp>BDH|8983467459976345423</stp>
        <tr r="H31" s="21"/>
      </tp>
      <tp t="e">
        <v>#N/A</v>
        <stp/>
        <stp>BDH|1389923570160334458</stp>
        <tr r="S14" s="24"/>
      </tp>
      <tp t="e">
        <v>#N/A</v>
        <stp/>
        <stp>BDH|5499226325866453802</stp>
        <tr r="H10" s="28"/>
      </tp>
      <tp t="e">
        <v>#N/A</v>
        <stp/>
        <stp>BDH|7372052440221752961</stp>
        <tr r="E18" s="24"/>
      </tp>
      <tp t="e">
        <v>#N/A</v>
        <stp/>
        <stp>BDH|8579416927466401306</stp>
        <tr r="C89" s="18"/>
      </tp>
      <tp t="e">
        <v>#N/A</v>
        <stp/>
        <stp>BDH|8463932165049174541</stp>
        <tr r="R52" s="24"/>
      </tp>
      <tp t="e">
        <v>#N/A</v>
        <stp/>
        <stp>BDH|1924882071500649513</stp>
        <tr r="V35" s="12"/>
      </tp>
      <tp t="e">
        <v>#N/A</v>
        <stp/>
        <stp>BDH|2449153574658413762</stp>
        <tr r="X42" s="22"/>
      </tp>
      <tp t="e">
        <v>#N/A</v>
        <stp/>
        <stp>BDH|8518817081357466461</stp>
        <tr r="Q10" s="21"/>
      </tp>
      <tp t="e">
        <v>#N/A</v>
        <stp/>
        <stp>BDH|6363110423338611601</stp>
        <tr r="C15" s="4"/>
      </tp>
      <tp t="e">
        <v>#N/A</v>
        <stp/>
        <stp>BDH|7153317191071410726</stp>
        <tr r="Z31" s="17"/>
      </tp>
      <tp t="e">
        <v>#N/A</v>
        <stp/>
        <stp>BDH|2159092908571241853</stp>
        <tr r="U80" s="18"/>
      </tp>
      <tp t="e">
        <v>#N/A</v>
        <stp/>
        <stp>BDH|1492127170955141906</stp>
        <tr r="S52" s="12"/>
      </tp>
      <tp t="e">
        <v>#N/A</v>
        <stp/>
        <stp>BDH|9357402048241893349</stp>
        <tr r="Q21" s="34"/>
      </tp>
      <tp t="e">
        <v>#N/A</v>
        <stp/>
        <stp>BDH|1197372390855742562</stp>
        <tr r="U27" s="14"/>
      </tp>
      <tp t="e">
        <v>#N/A</v>
        <stp/>
        <stp>BDH|5431802050982784144</stp>
        <tr r="U10" s="28"/>
      </tp>
      <tp t="e">
        <v>#N/A</v>
        <stp/>
        <stp>BDH|9514339151647815389</stp>
        <tr r="Y38" s="4"/>
        <tr r="Y56" s="11"/>
        <tr r="AA13" s="23"/>
      </tp>
      <tp t="e">
        <v>#N/A</v>
        <stp/>
        <stp>BDH|2601442124067348820</stp>
        <tr r="Q7" s="4"/>
      </tp>
      <tp t="e">
        <v>#N/A</v>
        <stp/>
        <stp>BDH|6962458389978068927</stp>
        <tr r="P9" s="22"/>
      </tp>
      <tp t="e">
        <v>#N/A</v>
        <stp/>
        <stp>BDH|8286257725291021259</stp>
        <tr r="U42" s="34"/>
      </tp>
      <tp t="e">
        <v>#N/A</v>
        <stp/>
        <stp>BDH|2188065564856242967</stp>
        <tr r="P32" s="24"/>
      </tp>
      <tp t="e">
        <v>#N/A</v>
        <stp/>
        <stp>BDH|1855925357805882329</stp>
        <tr r="L99" s="18"/>
      </tp>
      <tp t="e">
        <v>#N/A</v>
        <stp/>
        <stp>BDH|8569339019792077386</stp>
        <tr r="U74" s="24"/>
      </tp>
      <tp t="e">
        <v>#N/A</v>
        <stp/>
        <stp>BDH|6403798591390950326</stp>
        <tr r="K20" s="18"/>
      </tp>
      <tp t="e">
        <v>#N/A</v>
        <stp/>
        <stp>BDH|9264160526187783627</stp>
        <tr r="Q67" s="13"/>
      </tp>
      <tp t="e">
        <v>#N/A</v>
        <stp/>
        <stp>BDH|5822162584416581187</stp>
        <tr r="F25" s="18"/>
      </tp>
      <tp t="e">
        <v>#N/A</v>
        <stp/>
        <stp>BDH|2221808804603828295</stp>
        <tr r="S18" s="13"/>
      </tp>
      <tp t="e">
        <v>#N/A</v>
        <stp/>
        <stp>BDH|4351506582272727019</stp>
        <tr r="K70" s="18"/>
      </tp>
      <tp t="e">
        <v>#N/A</v>
        <stp/>
        <stp>BDH|9213230559564680196</stp>
        <tr r="N8" s="11"/>
      </tp>
      <tp t="e">
        <v>#N/A</v>
        <stp/>
        <stp>BDH|9791253884411800994</stp>
        <tr r="D85" s="18"/>
      </tp>
      <tp t="e">
        <v>#N/A</v>
        <stp/>
        <stp>BDH|8629338195118573121</stp>
        <tr r="N77" s="34"/>
      </tp>
      <tp t="e">
        <v>#N/A</v>
        <stp/>
        <stp>BDH|8879665959788018808</stp>
        <tr r="Q15" s="11"/>
      </tp>
      <tp t="e">
        <v>#N/A</v>
        <stp/>
        <stp>BDH|5941783935818408273</stp>
        <tr r="V38" s="25"/>
      </tp>
      <tp t="e">
        <v>#N/A</v>
        <stp/>
        <stp>BDH|1233993664177190297</stp>
        <tr r="U17" s="22"/>
      </tp>
      <tp t="e">
        <v>#N/A</v>
        <stp/>
        <stp>BDH|5642440230989066054</stp>
        <tr r="J34" s="29"/>
      </tp>
      <tp t="e">
        <v>#N/A</v>
        <stp/>
        <stp>BDH|6519227255978286278</stp>
        <tr r="G90" s="18"/>
      </tp>
      <tp t="e">
        <v>#N/A</v>
        <stp/>
        <stp>BDH|9262521835214480062</stp>
        <tr r="H84" s="18"/>
      </tp>
      <tp t="e">
        <v>#N/A</v>
        <stp/>
        <stp>BDH|7978076795823579690</stp>
        <tr r="C30" s="24"/>
      </tp>
      <tp t="e">
        <v>#N/A</v>
        <stp/>
        <stp>BDH|1597942712063392143</stp>
        <tr r="J88" s="17"/>
      </tp>
      <tp t="e">
        <v>#N/A</v>
        <stp/>
        <stp>BDH|5560568761968555533</stp>
        <tr r="E21" s="24"/>
      </tp>
      <tp t="e">
        <v>#N/A</v>
        <stp/>
        <stp>BDH|1970020332771994848</stp>
        <tr r="M157" s="18"/>
      </tp>
      <tp t="e">
        <v>#N/A</v>
        <stp/>
        <stp>BDH|6757157634626204904</stp>
        <tr r="Y88" s="12"/>
      </tp>
      <tp t="e">
        <v>#N/A</v>
        <stp/>
        <stp>BDH|2386460857260038869</stp>
        <tr r="S120" s="18"/>
        <tr r="S8" s="20"/>
      </tp>
      <tp t="e">
        <v>#N/A</v>
        <stp/>
        <stp>BDH|6681618152758527645</stp>
        <tr r="Q27" s="26"/>
      </tp>
      <tp t="e">
        <v>#N/A</v>
        <stp/>
        <stp>BDH|6124866772203503145</stp>
        <tr r="X203" s="18"/>
      </tp>
      <tp t="e">
        <v>#N/A</v>
        <stp/>
        <stp>BDH|9604973395654379631</stp>
        <tr r="Z32" s="26"/>
      </tp>
      <tp t="e">
        <v>#N/A</v>
        <stp/>
        <stp>BDH|5713582025020805961</stp>
        <tr r="J6" s="2"/>
        <tr r="I6" s="5"/>
        <tr r="I6" s="9"/>
        <tr r="K12" s="8"/>
        <tr r="K10" s="29"/>
        <tr r="K19" s="29"/>
        <tr r="K25" s="29"/>
      </tp>
      <tp t="e">
        <v>#N/A</v>
        <stp/>
        <stp>BDH|9345293372206503197</stp>
        <tr r="G13" s="13"/>
      </tp>
      <tp t="e">
        <v>#N/A</v>
        <stp/>
        <stp>BDH|9826396476652537463</stp>
        <tr r="F191" s="18"/>
      </tp>
      <tp t="e">
        <v>#N/A</v>
        <stp/>
        <stp>BDH|3137652850299795278</stp>
        <tr r="T9" s="28"/>
      </tp>
      <tp t="e">
        <v>#N/A</v>
        <stp/>
        <stp>BDH|9271328424025458648</stp>
        <tr r="Z9" s="21"/>
      </tp>
      <tp t="e">
        <v>#N/A</v>
        <stp/>
        <stp>BDH|6299375576831107866</stp>
        <tr r="F67" s="18"/>
      </tp>
      <tp t="e">
        <v>#N/A</v>
        <stp/>
        <stp>BDH|4019080749238729324</stp>
        <tr r="J27" s="13"/>
      </tp>
      <tp t="e">
        <v>#N/A</v>
        <stp/>
        <stp>BDH|8147770375222102163</stp>
        <tr r="F15" s="22"/>
      </tp>
      <tp t="e">
        <v>#N/A</v>
        <stp/>
        <stp>BDH|2182158112360730955</stp>
        <tr r="V37" s="10"/>
        <tr r="V27" s="11"/>
        <tr r="X46" s="13"/>
      </tp>
      <tp t="e">
        <v>#N/A</v>
        <stp/>
        <stp>BDH|8778511076168433901</stp>
        <tr r="W20" s="9"/>
      </tp>
      <tp t="e">
        <v>#N/A</v>
        <stp/>
        <stp>BDH|5087967723796981385</stp>
        <tr r="Z73" s="17"/>
      </tp>
      <tp t="e">
        <v>#N/A</v>
        <stp/>
        <stp>BDH|8389642594894744802</stp>
        <tr r="Y92" s="17"/>
        <tr r="Y7" s="27"/>
      </tp>
      <tp t="e">
        <v>#N/A</v>
        <stp/>
        <stp>BDH|1253744374778232242</stp>
        <tr r="AA35" s="34"/>
      </tp>
      <tp t="e">
        <v>#N/A</v>
        <stp/>
        <stp>BDH|6415434090156326601</stp>
        <tr r="F18" s="17"/>
      </tp>
      <tp t="e">
        <v>#N/A</v>
        <stp/>
        <stp>BDH|5454578311358282241</stp>
        <tr r="S100" s="12"/>
      </tp>
      <tp t="e">
        <v>#N/A</v>
        <stp/>
        <stp>BDH|7858800628784767233</stp>
        <tr r="O55" s="18"/>
      </tp>
      <tp t="e">
        <v>#N/A</v>
        <stp/>
        <stp>BDH|1594721303054375936</stp>
        <tr r="V14" s="21"/>
      </tp>
      <tp t="e">
        <v>#N/A</v>
        <stp/>
        <stp>BDH|8172986498726767529</stp>
        <tr r="V112" s="18"/>
      </tp>
      <tp t="e">
        <v>#N/A</v>
        <stp/>
        <stp>BDH|8756279537381366300</stp>
        <tr r="Q67" s="10"/>
      </tp>
      <tp t="e">
        <v>#N/A</v>
        <stp/>
        <stp>BDH|3565814970610146719</stp>
        <tr r="H87" s="24"/>
      </tp>
      <tp t="e">
        <v>#N/A</v>
        <stp/>
        <stp>BDH|3236428190213001641</stp>
        <tr r="V24" s="13"/>
      </tp>
      <tp t="e">
        <v>#N/A</v>
        <stp/>
        <stp>BDH|4262291580186693397</stp>
        <tr r="O23" s="21"/>
      </tp>
      <tp t="e">
        <v>#N/A</v>
        <stp/>
        <stp>BDH|5536563022988392168</stp>
        <tr r="S85" s="24"/>
      </tp>
      <tp t="e">
        <v>#N/A</v>
        <stp/>
        <stp>BDH|1621231871296488941</stp>
        <tr r="Q102" s="12"/>
      </tp>
      <tp t="e">
        <v>#N/A</v>
        <stp/>
        <stp>BDH|6760178938239943650</stp>
        <tr r="M9" s="28"/>
      </tp>
      <tp t="e">
        <v>#N/A</v>
        <stp/>
        <stp>BDH|5280980783549528687</stp>
        <tr r="O43" s="29"/>
      </tp>
      <tp t="e">
        <v>#N/A</v>
        <stp/>
        <stp>BDH|7485792668159081418</stp>
        <tr r="F47" s="10"/>
        <tr r="F37" s="11"/>
      </tp>
      <tp t="e">
        <v>#N/A</v>
        <stp/>
        <stp>BDH|9874729958024756410</stp>
        <tr r="G34" s="29"/>
      </tp>
      <tp t="e">
        <v>#N/A</v>
        <stp/>
        <stp>BDH|7806499580682520207</stp>
        <tr r="D37" s="26"/>
      </tp>
      <tp t="e">
        <v>#N/A</v>
        <stp/>
        <stp>BDH|6064009288520408587</stp>
        <tr r="Z43" s="29"/>
      </tp>
      <tp t="e">
        <v>#N/A</v>
        <stp/>
        <stp>BDH|3236692389962727416</stp>
        <tr r="Q56" s="17"/>
      </tp>
      <tp t="e">
        <v>#N/A</v>
        <stp/>
        <stp>BDH|9720217109017814738</stp>
        <tr r="Z43" s="34"/>
      </tp>
      <tp t="e">
        <v>#N/A</v>
        <stp/>
        <stp>BDH|9874137373130549499</stp>
        <tr r="H7" s="21"/>
      </tp>
      <tp t="e">
        <v>#N/A</v>
        <stp/>
        <stp>BDH|4678485208353154838</stp>
        <tr r="U42" s="17"/>
      </tp>
      <tp t="e">
        <v>#N/A</v>
        <stp/>
        <stp>BDH|2946874169643001439</stp>
        <tr r="K72" s="34"/>
      </tp>
      <tp t="e">
        <v>#N/A</v>
        <stp/>
        <stp>BDH|5736922715451296763</stp>
        <tr r="X46" s="18"/>
      </tp>
      <tp t="e">
        <v>#N/A</v>
        <stp/>
        <stp>BDH|8501447225894257125</stp>
        <tr r="D56" s="18"/>
      </tp>
      <tp t="e">
        <v>#N/A</v>
        <stp/>
        <stp>BDH|4022737194857018633</stp>
        <tr r="Z45" s="24"/>
      </tp>
      <tp t="e">
        <v>#N/A</v>
        <stp/>
        <stp>BDH|8391699951554634499</stp>
        <tr r="P43" s="17"/>
      </tp>
      <tp t="e">
        <v>#N/A</v>
        <stp/>
        <stp>BDH|1595464874030444976</stp>
        <tr r="P57" s="17"/>
      </tp>
      <tp t="e">
        <v>#N/A</v>
        <stp/>
        <stp>BDH|8487910732361021837</stp>
        <tr r="S38" s="24"/>
      </tp>
      <tp t="e">
        <v>#N/A</v>
        <stp/>
        <stp>BDH|3369848892310231930</stp>
        <tr r="I67" s="21"/>
      </tp>
      <tp t="e">
        <v>#N/A</v>
        <stp/>
        <stp>BDH|5099914444256860597</stp>
        <tr r="N86" s="12"/>
      </tp>
      <tp t="e">
        <v>#N/A</v>
        <stp/>
        <stp>BDH|3068665308199256796</stp>
        <tr r="Y20" s="24"/>
      </tp>
      <tp t="e">
        <v>#N/A</v>
        <stp/>
        <stp>BDH|6651661172905693915</stp>
        <tr r="J26" s="18"/>
      </tp>
      <tp t="e">
        <v>#N/A</v>
        <stp/>
        <stp>BDH|7253009669298866269</stp>
        <tr r="H18" s="29"/>
        <tr r="H41" s="29"/>
      </tp>
      <tp t="e">
        <v>#N/A</v>
        <stp/>
        <stp>BDH|4514215586315355042</stp>
        <tr r="H28" s="18"/>
      </tp>
      <tp t="e">
        <v>#N/A</v>
        <stp/>
        <stp>BDH|1493968255420775652</stp>
        <tr r="V109" s="18"/>
      </tp>
      <tp t="e">
        <v>#N/A</v>
        <stp/>
        <stp>BDH|8060743527602669405</stp>
        <tr r="G12" s="6"/>
      </tp>
      <tp t="e">
        <v>#N/A</v>
        <stp/>
        <stp>BDH|9061650970842574159</stp>
        <tr r="W53" s="13"/>
      </tp>
      <tp t="e">
        <v>#N/A</v>
        <stp/>
        <stp>BDH|4157567630241662845</stp>
        <tr r="X182" s="18"/>
      </tp>
      <tp t="e">
        <v>#N/A</v>
        <stp/>
        <stp>BDH|6295280211877678985</stp>
        <tr r="X34" s="12"/>
      </tp>
      <tp t="e">
        <v>#N/A</v>
        <stp/>
        <stp>BDH|8563242120403664024</stp>
        <tr r="N38" s="10"/>
        <tr r="N28" s="11"/>
        <tr r="P47" s="13"/>
      </tp>
      <tp t="e">
        <v>#N/A</v>
        <stp/>
        <stp>BDH|9754974753149701712</stp>
        <tr r="W14" s="4"/>
      </tp>
      <tp t="e">
        <v>#N/A</v>
        <stp/>
        <stp>BDH|6200132132949082661</stp>
        <tr r="K12" s="7"/>
      </tp>
      <tp t="e">
        <v>#N/A</v>
        <stp/>
        <stp>BDH|6137951074025677637</stp>
        <tr r="K141" s="18"/>
      </tp>
      <tp t="e">
        <v>#N/A</v>
        <stp/>
        <stp>BDH|2328612706469137605</stp>
        <tr r="M15" s="11"/>
      </tp>
      <tp t="e">
        <v>#N/A</v>
        <stp/>
        <stp>BDH|9475920380595787648</stp>
        <tr r="E22" s="20"/>
      </tp>
      <tp t="e">
        <v>#N/A</v>
        <stp/>
        <stp>BDH|1003028090850104365</stp>
        <tr r="Q35" s="14"/>
      </tp>
      <tp t="e">
        <v>#N/A</v>
        <stp/>
        <stp>BDH|8912878761788991532</stp>
        <tr r="N59" s="18"/>
      </tp>
      <tp t="e">
        <v>#N/A</v>
        <stp/>
        <stp>BDH|3815645905437520997</stp>
        <tr r="Z23" s="25"/>
        <tr r="X20" s="11"/>
      </tp>
      <tp t="e">
        <v>#N/A</v>
        <stp/>
        <stp>BDH|7449081964082540884</stp>
        <tr r="O13" s="9"/>
      </tp>
      <tp t="e">
        <v>#N/A</v>
        <stp/>
        <stp>BDH|7709481320019962332</stp>
        <tr r="H106" s="18"/>
      </tp>
      <tp t="e">
        <v>#N/A</v>
        <stp/>
        <stp>BDH|1075104504428123301</stp>
        <tr r="X38" s="22"/>
      </tp>
      <tp t="e">
        <v>#N/A</v>
        <stp/>
        <stp>BDH|3610719752239065308</stp>
        <tr r="Z72" s="24"/>
      </tp>
      <tp t="e">
        <v>#N/A</v>
        <stp/>
        <stp>BDH|5119012916516613953</stp>
        <tr r="T33" s="24"/>
      </tp>
      <tp t="e">
        <v>#N/A</v>
        <stp/>
        <stp>BDH|8552803601622674973</stp>
        <tr r="R28" s="10"/>
        <tr r="T37" s="13"/>
      </tp>
      <tp t="e">
        <v>#N/A</v>
        <stp/>
        <stp>BDH|9209550433884399025</stp>
        <tr r="W17" s="5"/>
        <tr r="W32" s="6"/>
      </tp>
      <tp t="e">
        <v>#N/A</v>
        <stp/>
        <stp>BDH|2600905065794330255</stp>
        <tr r="L65" s="24"/>
      </tp>
      <tp t="e">
        <v>#N/A</v>
        <stp/>
        <stp>BDH|3286990289748315149</stp>
        <tr r="AA55" s="17"/>
      </tp>
      <tp t="e">
        <v>#N/A</v>
        <stp/>
        <stp>BDH|6945849139530972688</stp>
        <tr r="C18" s="26"/>
      </tp>
      <tp t="e">
        <v>#N/A</v>
        <stp/>
        <stp>BDH|7635904115405058161</stp>
        <tr r="F11" s="9"/>
      </tp>
      <tp t="e">
        <v>#N/A</v>
        <stp/>
        <stp>BDH|3222052490518460965</stp>
        <tr r="M75" s="34"/>
      </tp>
      <tp t="e">
        <v>#N/A</v>
        <stp/>
        <stp>BDH|9340207942843568714</stp>
        <tr r="V32" s="26"/>
      </tp>
      <tp t="e">
        <v>#N/A</v>
        <stp/>
        <stp>BDH|1893876022262952211</stp>
        <tr r="N45" s="18"/>
      </tp>
      <tp t="e">
        <v>#N/A</v>
        <stp/>
        <stp>BDH|9218650915304499132</stp>
        <tr r="F14" s="6"/>
      </tp>
      <tp t="e">
        <v>#N/A</v>
        <stp/>
        <stp>BDH|1048594995915955304</stp>
        <tr r="AA39" s="24"/>
      </tp>
      <tp t="e">
        <v>#N/A</v>
        <stp/>
        <stp>BDH|7258328727255445863</stp>
        <tr r="I44" s="21"/>
      </tp>
      <tp t="e">
        <v>#N/A</v>
        <stp/>
        <stp>BDH|2580130891560707155</stp>
        <tr r="K68" s="18"/>
      </tp>
      <tp t="e">
        <v>#N/A</v>
        <stp/>
        <stp>BDH|6428729283396956496</stp>
        <tr r="Q25" s="5"/>
      </tp>
      <tp t="e">
        <v>#N/A</v>
        <stp/>
        <stp>BDH|6809392828804570896</stp>
        <tr r="G82" s="17"/>
        <tr r="G20" s="3"/>
        <tr r="E6" s="7"/>
      </tp>
      <tp t="e">
        <v>#N/A</v>
        <stp/>
        <stp>BDH|1140020970964735915</stp>
        <tr r="C50" s="24"/>
      </tp>
      <tp t="e">
        <v>#N/A</v>
        <stp/>
        <stp>BDH|1087936374747644347</stp>
        <tr r="Z38" s="17"/>
      </tp>
      <tp t="e">
        <v>#N/A</v>
        <stp/>
        <stp>BDH|2322917706675495550</stp>
        <tr r="R11" s="7"/>
      </tp>
      <tp t="e">
        <v>#N/A</v>
        <stp/>
        <stp>BDH|3228328005393606863</stp>
        <tr r="H37" s="22"/>
      </tp>
      <tp t="e">
        <v>#N/A</v>
        <stp/>
        <stp>BDH|8563853585461053209</stp>
        <tr r="K25" s="21"/>
      </tp>
      <tp t="e">
        <v>#N/A</v>
        <stp/>
        <stp>BDH|6959561219808353104</stp>
        <tr r="T135" s="18"/>
      </tp>
      <tp t="e">
        <v>#N/A</v>
        <stp/>
        <stp>BDH|9327663902564610048</stp>
        <tr r="Y63" s="24"/>
      </tp>
      <tp t="e">
        <v>#N/A</v>
        <stp/>
        <stp>BDH|3284183482149915847</stp>
        <tr r="Z23" s="14"/>
      </tp>
      <tp t="e">
        <v>#N/A</v>
        <stp/>
        <stp>BDH|5901993050472598002</stp>
        <tr r="X195" s="18"/>
      </tp>
      <tp t="e">
        <v>#N/A</v>
        <stp/>
        <stp>BDH|1493577359088808271</stp>
        <tr r="T17" s="9"/>
      </tp>
      <tp t="e">
        <v>#N/A</v>
        <stp/>
        <stp>BDH|1766475462149752109</stp>
        <tr r="G12" s="7"/>
      </tp>
      <tp t="e">
        <v>#N/A</v>
        <stp/>
        <stp>BDH|6001763795204190776</stp>
        <tr r="M25" s="14"/>
      </tp>
      <tp t="e">
        <v>#N/A</v>
        <stp/>
        <stp>BDH|7458862612625475018</stp>
        <tr r="Q117" s="18"/>
      </tp>
      <tp t="e">
        <v>#N/A</v>
        <stp/>
        <stp>BDH|3508713981792823588</stp>
        <tr r="T10" s="22"/>
      </tp>
      <tp t="e">
        <v>#N/A</v>
        <stp/>
        <stp>BDH|46275145761269162</stp>
        <tr r="K31" s="24"/>
      </tp>
      <tp t="e">
        <v>#N/A</v>
        <stp/>
        <stp>BDH|79794564631410651</stp>
        <tr r="AA7" s="28"/>
      </tp>
      <tp t="e">
        <v>#N/A</v>
        <stp/>
        <stp>BDH|28299507241033530</stp>
        <tr r="D31" s="12"/>
      </tp>
      <tp t="e">
        <v>#N/A</v>
        <stp/>
        <stp>BDH|35773868202792529</stp>
        <tr r="H22" s="22"/>
      </tp>
      <tp t="e">
        <v>#N/A</v>
        <stp/>
        <stp>BDH|34386020002798566</stp>
        <tr r="C77" s="24"/>
      </tp>
      <tp t="e">
        <v>#N/A</v>
        <stp/>
        <stp>BDH|6282615005451881540</stp>
        <tr r="T8" s="24"/>
      </tp>
      <tp t="e">
        <v>#N/A</v>
        <stp/>
        <stp>BDH|8321350156082300893</stp>
        <tr r="N61" s="21"/>
      </tp>
      <tp t="e">
        <v>#N/A</v>
        <stp/>
        <stp>BDH|9424625485084922704</stp>
        <tr r="J80" s="18"/>
      </tp>
      <tp t="e">
        <v>#N/A</v>
        <stp/>
        <stp>BDH|3884287162213980015</stp>
        <tr r="M16" s="25"/>
      </tp>
      <tp t="e">
        <v>#N/A</v>
        <stp/>
        <stp>BDH|5172825180131031090</stp>
        <tr r="Q21" s="24"/>
      </tp>
      <tp t="e">
        <v>#N/A</v>
        <stp/>
        <stp>BDH|6057259940821920566</stp>
        <tr r="E8" s="14"/>
      </tp>
      <tp t="e">
        <v>#N/A</v>
        <stp/>
        <stp>BDH|8805417215029053061</stp>
        <tr r="T64" s="10"/>
      </tp>
      <tp t="e">
        <v>#N/A</v>
        <stp/>
        <stp>BDH|5761497413346546225</stp>
        <tr r="V52" s="34"/>
      </tp>
      <tp t="e">
        <v>#N/A</v>
        <stp/>
        <stp>BDH|6296784311550687473</stp>
        <tr r="T168" s="18"/>
      </tp>
      <tp t="e">
        <v>#N/A</v>
        <stp/>
        <stp>BDH|1703707039648535910</stp>
        <tr r="J49" s="6"/>
        <tr r="L10" s="8"/>
      </tp>
      <tp t="e">
        <v>#N/A</v>
        <stp/>
        <stp>BDH|5609859689987815684</stp>
        <tr r="H53" s="12"/>
      </tp>
      <tp t="e">
        <v>#N/A</v>
        <stp/>
        <stp>BDH|2432116288777657813</stp>
        <tr r="Y25" s="24"/>
      </tp>
      <tp t="e">
        <v>#N/A</v>
        <stp/>
        <stp>BDH|4967330132636409664</stp>
        <tr r="N70" s="17"/>
      </tp>
      <tp t="e">
        <v>#N/A</v>
        <stp/>
        <stp>BDH|7078526020125003184</stp>
        <tr r="I10" s="26"/>
      </tp>
      <tp t="e">
        <v>#N/A</v>
        <stp/>
        <stp>BDH|1135985950718379101</stp>
        <tr r="Z31" s="29"/>
      </tp>
      <tp t="e">
        <v>#N/A</v>
        <stp/>
        <stp>BDH|1576324366027372783</stp>
        <tr r="L43" s="18"/>
      </tp>
      <tp t="e">
        <v>#N/A</v>
        <stp/>
        <stp>BDH|8056364301319943641</stp>
        <tr r="K8" s="17"/>
      </tp>
      <tp t="e">
        <v>#N/A</v>
        <stp/>
        <stp>BDH|2572185976918588844</stp>
        <tr r="L69" s="17"/>
      </tp>
      <tp t="e">
        <v>#N/A</v>
        <stp/>
        <stp>BDH|8360897227432003472</stp>
        <tr r="I28" s="22"/>
      </tp>
      <tp t="e">
        <v>#N/A</v>
        <stp/>
        <stp>BDH|5906831992259446960</stp>
        <tr r="V190" s="18"/>
      </tp>
      <tp t="e">
        <v>#N/A</v>
        <stp/>
        <stp>BDH|8724936825046922121</stp>
        <tr r="H52" s="24"/>
      </tp>
      <tp t="e">
        <v>#N/A</v>
        <stp/>
        <stp>BDH|6810227311252365324</stp>
        <tr r="AA54" s="17"/>
      </tp>
      <tp t="e">
        <v>#N/A</v>
        <stp/>
        <stp>BDH|7025524741837004597</stp>
        <tr r="S69" s="18"/>
      </tp>
      <tp t="e">
        <v>#N/A</v>
        <stp/>
        <stp>BDH|4957147978913806572</stp>
        <tr r="K24" s="12"/>
      </tp>
      <tp t="e">
        <v>#N/A</v>
        <stp/>
        <stp>BDH|8387814054482826343</stp>
        <tr r="Z25" s="18"/>
      </tp>
      <tp t="e">
        <v>#N/A</v>
        <stp/>
        <stp>BDH|3497073459682010004</stp>
        <tr r="L193" s="18"/>
      </tp>
      <tp t="e">
        <v>#N/A</v>
        <stp/>
        <stp>BDH|7612531600522946469</stp>
        <tr r="S33" s="21"/>
      </tp>
      <tp t="e">
        <v>#N/A</v>
        <stp/>
        <stp>BDH|1519383236406097317</stp>
        <tr r="C102" s="18"/>
      </tp>
      <tp t="e">
        <v>#N/A</v>
        <stp/>
        <stp>BDH|7833461136204236009</stp>
        <tr r="T18" s="13"/>
      </tp>
      <tp t="e">
        <v>#N/A</v>
        <stp/>
        <stp>BDH|1982947717678562555</stp>
        <tr r="S19" s="34"/>
      </tp>
      <tp t="e">
        <v>#N/A</v>
        <stp/>
        <stp>BDH|4572438772171633287</stp>
        <tr r="Q59" s="12"/>
      </tp>
      <tp t="e">
        <v>#N/A</v>
        <stp/>
        <stp>BDH|6483709731045981363</stp>
        <tr r="U46" s="4"/>
        <tr r="U23" s="10"/>
        <tr r="W42" s="13"/>
      </tp>
      <tp t="e">
        <v>#N/A</v>
        <stp/>
        <stp>BDH|7270480081349410658</stp>
        <tr r="W39" s="24"/>
      </tp>
      <tp t="e">
        <v>#N/A</v>
        <stp/>
        <stp>BDH|7843818074665143963</stp>
        <tr r="V26" s="25"/>
        <tr r="V12" s="27"/>
      </tp>
      <tp t="e">
        <v>#N/A</v>
        <stp/>
        <stp>BDH|8834643494947264402</stp>
        <tr r="AA33" s="17"/>
      </tp>
      <tp t="e">
        <v>#N/A</v>
        <stp/>
        <stp>BDH|1556681721394432529</stp>
        <tr r="X36" s="18"/>
      </tp>
      <tp t="e">
        <v>#N/A</v>
        <stp/>
        <stp>BDH|5972530045061797122</stp>
        <tr r="L23" s="17"/>
      </tp>
      <tp t="e">
        <v>#N/A</v>
        <stp/>
        <stp>BDH|9794123661379876361</stp>
        <tr r="S129" s="18"/>
      </tp>
      <tp t="e">
        <v>#N/A</v>
        <stp/>
        <stp>BDH|8805819074701750205</stp>
        <tr r="U90" s="17"/>
        <tr r="U34" s="25"/>
      </tp>
      <tp t="e">
        <v>#N/A</v>
        <stp/>
        <stp>BDH|5570375256715682283</stp>
        <tr r="P101" s="12"/>
      </tp>
      <tp t="e">
        <v>#N/A</v>
        <stp/>
        <stp>BDH|5873199622007114581</stp>
        <tr r="E29" s="34"/>
      </tp>
      <tp t="e">
        <v>#N/A</v>
        <stp/>
        <stp>BDH|6595676307945767191</stp>
        <tr r="M53" s="21"/>
      </tp>
      <tp t="e">
        <v>#N/A</v>
        <stp/>
        <stp>BDH|9453894324077131033</stp>
        <tr r="X30" s="25"/>
        <tr r="X16" s="27"/>
      </tp>
      <tp t="e">
        <v>#N/A</v>
        <stp/>
        <stp>BDH|1511309517633860419</stp>
        <tr r="U25" s="17"/>
      </tp>
      <tp t="e">
        <v>#N/A</v>
        <stp/>
        <stp>BDH|3223493367922089771</stp>
        <tr r="Q40" s="17"/>
      </tp>
      <tp t="e">
        <v>#N/A</v>
        <stp/>
        <stp>BDH|1773272347324821744</stp>
        <tr r="O72" s="24"/>
      </tp>
      <tp t="e">
        <v>#N/A</v>
        <stp/>
        <stp>BDH|3808744576176173102</stp>
        <tr r="E26" s="13"/>
      </tp>
      <tp t="e">
        <v>#N/A</v>
        <stp/>
        <stp>BDH|1175398010962750540</stp>
        <tr r="T29" s="13"/>
      </tp>
      <tp t="e">
        <v>#N/A</v>
        <stp/>
        <stp>BDH|4142271483608758295</stp>
        <tr r="W14" s="2"/>
        <tr r="W11" s="10"/>
      </tp>
      <tp t="e">
        <v>#N/A</v>
        <stp/>
        <stp>BDH|4463226096182905923</stp>
        <tr r="M28" s="12"/>
      </tp>
      <tp t="e">
        <v>#N/A</v>
        <stp/>
        <stp>BDH|9208274606339002685</stp>
        <tr r="F8" s="28"/>
      </tp>
      <tp t="e">
        <v>#N/A</v>
        <stp/>
        <stp>BDH|7293429213252849403</stp>
        <tr r="V106" s="18"/>
      </tp>
      <tp t="e">
        <v>#N/A</v>
        <stp/>
        <stp>BDH|3602686846421758443</stp>
        <tr r="W28" s="10"/>
        <tr r="Y37" s="13"/>
      </tp>
      <tp t="e">
        <v>#N/A</v>
        <stp/>
        <stp>BDH|8751577573958991616</stp>
        <tr r="C27" s="14"/>
      </tp>
      <tp t="e">
        <v>#N/A</v>
        <stp/>
        <stp>BDH|1239897856419262142</stp>
        <tr r="J25" s="4"/>
        <tr r="J65" s="10"/>
      </tp>
      <tp t="e">
        <v>#N/A</v>
        <stp/>
        <stp>BDH|3001756991618917165</stp>
        <tr r="L94" s="12"/>
      </tp>
      <tp t="e">
        <v>#N/A</v>
        <stp/>
        <stp>BDH|5373965387285926506</stp>
        <tr r="F19" s="18"/>
      </tp>
      <tp t="e">
        <v>#N/A</v>
        <stp/>
        <stp>BDH|9147207729518379505</stp>
        <tr r="T22" s="7"/>
      </tp>
      <tp t="e">
        <v>#N/A</v>
        <stp/>
        <stp>BDH|7613045953557336196</stp>
        <tr r="Q20" s="2"/>
        <tr r="Q18" s="4"/>
        <tr r="Q58" s="10"/>
        <tr r="Q48" s="11"/>
        <tr r="Q19" s="7"/>
        <tr r="S74" s="13"/>
      </tp>
      <tp t="e">
        <v>#N/A</v>
        <stp/>
        <stp>BDH|7937143835778451976</stp>
        <tr r="M58" s="17"/>
      </tp>
      <tp t="e">
        <v>#N/A</v>
        <stp/>
        <stp>BDH|7574725755142121386</stp>
        <tr r="J22" s="4"/>
      </tp>
      <tp t="e">
        <v>#N/A</v>
        <stp/>
        <stp>BDH|7871305133456635562</stp>
        <tr r="G163" s="18"/>
      </tp>
      <tp t="e">
        <v>#N/A</v>
        <stp/>
        <stp>BDH|6235653634623850404</stp>
        <tr r="AA54" s="13"/>
      </tp>
      <tp t="e">
        <v>#N/A</v>
        <stp/>
        <stp>BDH|3744106003510887678</stp>
        <tr r="T31" s="10"/>
        <tr r="V40" s="13"/>
      </tp>
      <tp t="e">
        <v>#N/A</v>
        <stp/>
        <stp>BDH|6904504176691770132</stp>
        <tr r="H61" s="18"/>
      </tp>
      <tp t="e">
        <v>#N/A</v>
        <stp/>
        <stp>BDH|9947979784169132509</stp>
        <tr r="K17" s="24"/>
      </tp>
      <tp t="e">
        <v>#N/A</v>
        <stp/>
        <stp>BDH|7391799192455473875</stp>
        <tr r="D62" s="12"/>
      </tp>
      <tp t="e">
        <v>#N/A</v>
        <stp/>
        <stp>BDH|7972807840247020826</stp>
        <tr r="C37" s="12"/>
      </tp>
      <tp t="e">
        <v>#N/A</v>
        <stp/>
        <stp>BDH|8840353954702440862</stp>
        <tr r="H10" s="21"/>
      </tp>
      <tp t="e">
        <v>#N/A</v>
        <stp/>
        <stp>BDH|9487595007250457853</stp>
        <tr r="N122" s="18"/>
        <tr r="N11" s="20"/>
      </tp>
      <tp t="e">
        <v>#N/A</v>
        <stp/>
        <stp>BDH|8201781856838003670</stp>
        <tr r="H67" s="21"/>
      </tp>
      <tp t="e">
        <v>#N/A</v>
        <stp/>
        <stp>BDH|3260201011965161190</stp>
        <tr r="K33" s="18"/>
      </tp>
      <tp t="e">
        <v>#N/A</v>
        <stp/>
        <stp>BDH|1772009220070977751</stp>
        <tr r="I85" s="18"/>
      </tp>
      <tp t="e">
        <v>#N/A</v>
        <stp/>
        <stp>BDH|2748743408173888285</stp>
        <tr r="G17" s="18"/>
      </tp>
      <tp t="e">
        <v>#N/A</v>
        <stp/>
        <stp>BDH|5410568859302367337</stp>
        <tr r="K85" s="18"/>
      </tp>
      <tp t="e">
        <v>#N/A</v>
        <stp/>
        <stp>BDH|7008472778568443808</stp>
        <tr r="R13" s="21"/>
      </tp>
      <tp t="e">
        <v>#N/A</v>
        <stp/>
        <stp>BDH|7314281374955157356</stp>
        <tr r="N73" s="34"/>
      </tp>
      <tp t="e">
        <v>#N/A</v>
        <stp/>
        <stp>BDH|5519739603307978171</stp>
        <tr r="W57" s="11"/>
        <tr r="Y15" s="23"/>
      </tp>
      <tp t="e">
        <v>#N/A</v>
        <stp/>
        <stp>BDH|4514432700850965440</stp>
        <tr r="O71" s="17"/>
      </tp>
      <tp t="e">
        <v>#N/A</v>
        <stp/>
        <stp>BDH|7418605787529883404</stp>
        <tr r="N57" s="11"/>
        <tr r="P15" s="23"/>
      </tp>
      <tp t="e">
        <v>#N/A</v>
        <stp/>
        <stp>BDH|6978989988793329017</stp>
        <tr r="V208" s="18"/>
      </tp>
      <tp t="e">
        <v>#N/A</v>
        <stp/>
        <stp>BDH|5135679539360214464</stp>
        <tr r="I55" s="17"/>
      </tp>
      <tp t="e">
        <v>#N/A</v>
        <stp/>
        <stp>BDH|1540028741036919741</stp>
        <tr r="X14" s="2"/>
        <tr r="X11" s="10"/>
      </tp>
      <tp t="e">
        <v>#N/A</v>
        <stp/>
        <stp>BDH|6876201907834421400</stp>
        <tr r="T39" s="25"/>
        <tr r="T7" s="3"/>
        <tr r="R17" s="11"/>
        <tr r="T22" s="13"/>
        <tr r="T7" s="13"/>
      </tp>
      <tp t="e">
        <v>#N/A</v>
        <stp/>
        <stp>BDH|4205356025672188384</stp>
        <tr r="U38" s="4"/>
        <tr r="U56" s="11"/>
        <tr r="W13" s="23"/>
      </tp>
      <tp t="e">
        <v>#N/A</v>
        <stp/>
        <stp>BDH|1384418523462297182</stp>
        <tr r="Q25" s="18"/>
      </tp>
      <tp t="e">
        <v>#N/A</v>
        <stp/>
        <stp>BDH|4153754314560933629</stp>
        <tr r="H14" s="13"/>
      </tp>
      <tp t="e">
        <v>#N/A</v>
        <stp/>
        <stp>BDH|3460042169352426354</stp>
        <tr r="U15" s="21"/>
      </tp>
      <tp t="e">
        <v>#N/A</v>
        <stp/>
        <stp>BDH|7232986162155772973</stp>
        <tr r="X37" s="22"/>
      </tp>
      <tp t="e">
        <v>#N/A</v>
        <stp/>
        <stp>BDH|9203222549369629273</stp>
        <tr r="K11" s="6"/>
      </tp>
      <tp t="e">
        <v>#N/A</v>
        <stp/>
        <stp>BDH|7213384975060526727</stp>
        <tr r="L13" s="6"/>
      </tp>
      <tp t="e">
        <v>#N/A</v>
        <stp/>
        <stp>BDH|6623515374761223191</stp>
        <tr r="H84" s="17"/>
      </tp>
      <tp t="e">
        <v>#N/A</v>
        <stp/>
        <stp>BDH|4890176627940162313</stp>
        <tr r="AA37" s="21"/>
      </tp>
      <tp t="e">
        <v>#N/A</v>
        <stp/>
        <stp>BDH|8423533481521926075</stp>
        <tr r="K12" s="24"/>
      </tp>
      <tp t="e">
        <v>#N/A</v>
        <stp/>
        <stp>BDH|5101254239473059356</stp>
        <tr r="AA18" s="14"/>
      </tp>
      <tp t="e">
        <v>#N/A</v>
        <stp/>
        <stp>BDH|8547788317598022228</stp>
        <tr r="E79" s="12"/>
      </tp>
      <tp t="e">
        <v>#N/A</v>
        <stp/>
        <stp>BDH|8716617487444143684</stp>
        <tr r="H82" s="18"/>
      </tp>
      <tp t="e">
        <v>#N/A</v>
        <stp/>
        <stp>BDH|6177193193709087339</stp>
        <tr r="H7" s="2"/>
        <tr r="G7" s="5"/>
        <tr r="G7" s="9"/>
        <tr r="J14" s="3"/>
      </tp>
      <tp t="e">
        <v>#N/A</v>
        <stp/>
        <stp>BDH|6002522154481632380</stp>
        <tr r="J8" s="26"/>
        <tr r="G10" s="9"/>
      </tp>
      <tp t="e">
        <v>#N/A</v>
        <stp/>
        <stp>BDH|8213156580455808076</stp>
        <tr r="X41" s="24"/>
      </tp>
      <tp t="e">
        <v>#N/A</v>
        <stp/>
        <stp>BDH|1747610489239454237</stp>
        <tr r="G36" s="18"/>
      </tp>
      <tp t="e">
        <v>#N/A</v>
        <stp/>
        <stp>BDH|1974534431674238712</stp>
        <tr r="X47" s="22"/>
      </tp>
      <tp t="e">
        <v>#N/A</v>
        <stp/>
        <stp>BDH|7621689148415981470</stp>
        <tr r="J158" s="18"/>
      </tp>
      <tp t="e">
        <v>#N/A</v>
        <stp/>
        <stp>BDH|6083342402732635389</stp>
        <tr r="Y53" s="17"/>
      </tp>
      <tp t="e">
        <v>#N/A</v>
        <stp/>
        <stp>BDH|3790574435818966944</stp>
        <tr r="X111" s="18"/>
      </tp>
      <tp t="e">
        <v>#N/A</v>
        <stp/>
        <stp>BDH|2156206983405366996</stp>
        <tr r="L64" s="17"/>
      </tp>
      <tp t="e">
        <v>#N/A</v>
        <stp/>
        <stp>BDH|4416122032480545294</stp>
        <tr r="W97" s="12"/>
      </tp>
      <tp t="e">
        <v>#N/A</v>
        <stp/>
        <stp>BDH|2125393811554975085</stp>
        <tr r="V9" s="34"/>
      </tp>
      <tp t="e">
        <v>#N/A</v>
        <stp/>
        <stp>BDH|7147375929347340540</stp>
        <tr r="K33" s="22"/>
      </tp>
      <tp t="e">
        <v>#N/A</v>
        <stp/>
        <stp>BDH|3961376345792370206</stp>
        <tr r="X58" s="17"/>
      </tp>
      <tp t="e">
        <v>#N/A</v>
        <stp/>
        <stp>BDH|1612025162831921277</stp>
        <tr r="V94" s="12"/>
      </tp>
      <tp t="e">
        <v>#N/A</v>
        <stp/>
        <stp>BDH|8570141369003560859</stp>
        <tr r="J11" s="3"/>
        <tr r="H50" s="10"/>
        <tr r="H40" s="11"/>
        <tr r="H8" s="7"/>
      </tp>
      <tp t="e">
        <v>#N/A</v>
        <stp/>
        <stp>BDH|3017828004046618981</stp>
        <tr r="H32" s="12"/>
      </tp>
      <tp t="e">
        <v>#N/A</v>
        <stp/>
        <stp>BDH|9231607287642931149</stp>
        <tr r="C38" s="24"/>
      </tp>
      <tp t="e">
        <v>#N/A</v>
        <stp/>
        <stp>BDH|9858328202747058905</stp>
        <tr r="C55" s="13"/>
      </tp>
      <tp t="e">
        <v>#N/A</v>
        <stp/>
        <stp>BDH|2175974582962586598</stp>
        <tr r="F35" s="24"/>
      </tp>
      <tp t="e">
        <v>#N/A</v>
        <stp/>
        <stp>BDH|1862379576780332121</stp>
        <tr r="E69" s="17"/>
      </tp>
      <tp t="e">
        <v>#N/A</v>
        <stp/>
        <stp>BDH|9755499992118543813</stp>
        <tr r="V20" s="18"/>
      </tp>
      <tp t="e">
        <v>#N/A</v>
        <stp/>
        <stp>BDH|7796736827770870635</stp>
        <tr r="N63" s="34"/>
      </tp>
      <tp t="e">
        <v>#N/A</v>
        <stp/>
        <stp>BDH|1989297912487277181</stp>
        <tr r="S22" s="34"/>
      </tp>
      <tp t="e">
        <v>#N/A</v>
        <stp/>
        <stp>BDH|2975259121240415612</stp>
        <tr r="R55" s="17"/>
      </tp>
      <tp t="e">
        <v>#N/A</v>
        <stp/>
        <stp>BDH|3688385941003431331</stp>
        <tr r="X39" s="26"/>
      </tp>
      <tp t="e">
        <v>#N/A</v>
        <stp/>
        <stp>BDH|6512616702497899364</stp>
        <tr r="H128" s="18"/>
      </tp>
      <tp t="e">
        <v>#N/A</v>
        <stp/>
        <stp>BDH|3868367047009885997</stp>
        <tr r="E38" s="22"/>
      </tp>
      <tp t="e">
        <v>#N/A</v>
        <stp/>
        <stp>BDH|2739936565108023198</stp>
        <tr r="Y77" s="18"/>
      </tp>
      <tp t="e">
        <v>#N/A</v>
        <stp/>
        <stp>BDH|3918279025476246116</stp>
        <tr r="R57" s="34"/>
      </tp>
      <tp t="e">
        <v>#N/A</v>
        <stp/>
        <stp>BDH|2655105091438960673</stp>
        <tr r="Q66" s="21"/>
        <tr r="N27" s="6"/>
      </tp>
      <tp t="e">
        <v>#N/A</v>
        <stp/>
        <stp>BDH|7406027571295850161</stp>
        <tr r="I40" s="22"/>
      </tp>
      <tp t="e">
        <v>#N/A</v>
        <stp/>
        <stp>BDH|9831955264730090208</stp>
        <tr r="Z25" s="21"/>
      </tp>
      <tp t="e">
        <v>#N/A</v>
        <stp/>
        <stp>BDH|6162723032486144095</stp>
        <tr r="L11" s="30"/>
      </tp>
      <tp t="e">
        <v>#N/A</v>
        <stp/>
        <stp>BDH|2865613777580595729</stp>
        <tr r="I33" s="6"/>
      </tp>
      <tp t="e">
        <v>#N/A</v>
        <stp/>
        <stp>BDH|3859011200020543750</stp>
        <tr r="E70" s="18"/>
      </tp>
      <tp t="e">
        <v>#N/A</v>
        <stp/>
        <stp>BDH|2753771647435824061</stp>
        <tr r="K12" s="18"/>
      </tp>
      <tp t="e">
        <v>#N/A</v>
        <stp/>
        <stp>BDH|3834815844378355373</stp>
        <tr r="Q30" s="34"/>
      </tp>
      <tp t="e">
        <v>#N/A</v>
        <stp/>
        <stp>BDH|8193905831743810518</stp>
        <tr r="O77" s="18"/>
      </tp>
      <tp t="e">
        <v>#N/A</v>
        <stp/>
        <stp>BDH|2475429126979869913</stp>
        <tr r="Z26" s="24"/>
      </tp>
      <tp t="e">
        <v>#N/A</v>
        <stp/>
        <stp>BDH|4426356713113828132</stp>
        <tr r="V31" s="22"/>
      </tp>
      <tp t="e">
        <v>#N/A</v>
        <stp/>
        <stp>BDH|4263584209526921331</stp>
        <tr r="I34" s="12"/>
      </tp>
      <tp t="e">
        <v>#N/A</v>
        <stp/>
        <stp>BDH|2154981623615028834</stp>
        <tr r="Z32" s="14"/>
      </tp>
      <tp t="e">
        <v>#N/A</v>
        <stp/>
        <stp>BDH|7813520143201222326</stp>
        <tr r="P55" s="12"/>
      </tp>
      <tp t="e">
        <v>#N/A</v>
        <stp/>
        <stp>BDH|2476128319701387757</stp>
        <tr r="H196" s="18"/>
      </tp>
      <tp t="e">
        <v>#N/A</v>
        <stp/>
        <stp>BDH|5535395051570660722</stp>
        <tr r="V95" s="24"/>
      </tp>
      <tp t="e">
        <v>#N/A</v>
        <stp/>
        <stp>BDH|5646926696439380889</stp>
        <tr r="X83" s="24"/>
      </tp>
      <tp t="e">
        <v>#N/A</v>
        <stp/>
        <stp>BDH|9479182469433525994</stp>
        <tr r="AA159" s="18"/>
      </tp>
      <tp t="e">
        <v>#N/A</v>
        <stp/>
        <stp>BDH|1173761530427910675</stp>
        <tr r="T56" s="12"/>
      </tp>
      <tp t="e">
        <v>#N/A</v>
        <stp/>
        <stp>BDH|3883312195245042855</stp>
        <tr r="K19" s="12"/>
      </tp>
      <tp t="e">
        <v>#N/A</v>
        <stp/>
        <stp>BDH|9956225306898389779</stp>
        <tr r="S142" s="18"/>
      </tp>
      <tp t="e">
        <v>#N/A</v>
        <stp/>
        <stp>BDH|5951029060781701652</stp>
        <tr r="G10" s="23"/>
      </tp>
      <tp t="e">
        <v>#N/A</v>
        <stp/>
        <stp>BDH|1290213179274463476</stp>
        <tr r="R53" s="21"/>
      </tp>
      <tp t="e">
        <v>#N/A</v>
        <stp/>
        <stp>BDH|7517760034966864166</stp>
        <tr r="T69" s="18"/>
      </tp>
      <tp t="e">
        <v>#N/A</v>
        <stp/>
        <stp>BDH|7234921411902924912</stp>
        <tr r="K42" s="12"/>
      </tp>
      <tp t="e">
        <v>#N/A</v>
        <stp/>
        <stp>BDH|7510493455116683460</stp>
        <tr r="G103" s="18"/>
      </tp>
      <tp t="e">
        <v>#N/A</v>
        <stp/>
        <stp>BDH|3994521970627510274</stp>
        <tr r="O18" s="6"/>
      </tp>
      <tp t="e">
        <v>#N/A</v>
        <stp/>
        <stp>BDH|6692370206362842364</stp>
        <tr r="Z8" s="18"/>
      </tp>
      <tp t="e">
        <v>#N/A</v>
        <stp/>
        <stp>BDH|5869440403382780717</stp>
        <tr r="U102" s="12"/>
      </tp>
      <tp t="e">
        <v>#N/A</v>
        <stp/>
        <stp>BDH|9435311996982263587</stp>
        <tr r="O23" s="5"/>
        <tr r="O23" s="9"/>
      </tp>
      <tp t="e">
        <v>#N/A</v>
        <stp/>
        <stp>BDH|1257298756321563312</stp>
        <tr r="X86" s="12"/>
      </tp>
      <tp t="e">
        <v>#N/A</v>
        <stp/>
        <stp>BDH|8478639052036918955</stp>
        <tr r="P102" s="12"/>
      </tp>
      <tp t="e">
        <v>#N/A</v>
        <stp/>
        <stp>BDH|3479388513072777712</stp>
        <tr r="D55" s="21"/>
      </tp>
      <tp t="e">
        <v>#N/A</v>
        <stp/>
        <stp>BDH|3871402242191582666</stp>
        <tr r="Z24" s="13"/>
      </tp>
      <tp t="e">
        <v>#N/A</v>
        <stp/>
        <stp>BDH|9303528688841899183</stp>
        <tr r="R62" s="18"/>
      </tp>
      <tp t="e">
        <v>#N/A</v>
        <stp/>
        <stp>BDH|3790425050384572292</stp>
        <tr r="H14" s="21"/>
      </tp>
      <tp t="e">
        <v>#N/A</v>
        <stp/>
        <stp>BDH|9321746402969469381</stp>
        <tr r="M32" s="22"/>
      </tp>
      <tp t="e">
        <v>#N/A</v>
        <stp/>
        <stp>BDH|3290399321953562562</stp>
        <tr r="Q76" s="18"/>
      </tp>
      <tp t="e">
        <v>#N/A</v>
        <stp/>
        <stp>BDH|1980477524333167027</stp>
        <tr r="AA24" s="20"/>
      </tp>
      <tp t="e">
        <v>#N/A</v>
        <stp/>
        <stp>BDH|9300959659289019866</stp>
        <tr r="Z75" s="18"/>
      </tp>
      <tp t="e">
        <v>#N/A</v>
        <stp/>
        <stp>BDH|4802672612627287060</stp>
        <tr r="AA9" s="21"/>
      </tp>
      <tp t="e">
        <v>#N/A</v>
        <stp/>
        <stp>BDH|8102046606415364998</stp>
        <tr r="T28" s="6"/>
      </tp>
      <tp t="e">
        <v>#N/A</v>
        <stp/>
        <stp>BDH|7095740676607310481</stp>
        <tr r="W16" s="14"/>
      </tp>
      <tp t="e">
        <v>#N/A</v>
        <stp/>
        <stp>BDH|6963503891968401653</stp>
        <tr r="W71" s="24"/>
      </tp>
      <tp t="e">
        <v>#N/A</v>
        <stp/>
        <stp>BDH|6822201401697937799</stp>
        <tr r="J36" s="21"/>
      </tp>
      <tp t="e">
        <v>#N/A</v>
        <stp/>
        <stp>BDH|9837773981840360240</stp>
        <tr r="E31" s="25"/>
        <tr r="E17" s="27"/>
      </tp>
      <tp t="e">
        <v>#N/A</v>
        <stp/>
        <stp>BDH|5279247009801988283</stp>
        <tr r="L66" s="21"/>
        <tr r="I27" s="6"/>
      </tp>
      <tp t="e">
        <v>#N/A</v>
        <stp/>
        <stp>BDH|6355625629062059466</stp>
        <tr r="O45" s="6"/>
      </tp>
      <tp t="e">
        <v>#N/A</v>
        <stp/>
        <stp>BDH|7422709359826716740</stp>
        <tr r="H47" s="34"/>
      </tp>
      <tp t="e">
        <v>#N/A</v>
        <stp/>
        <stp>BDH|2515928289035832288</stp>
        <tr r="U33" s="6"/>
      </tp>
      <tp t="e">
        <v>#N/A</v>
        <stp/>
        <stp>BDH|2842778731932767071</stp>
        <tr r="D66" s="17"/>
      </tp>
      <tp t="e">
        <v>#N/A</v>
        <stp/>
        <stp>BDH|9515195561082309806</stp>
        <tr r="L29" s="10"/>
        <tr r="N38" s="13"/>
      </tp>
      <tp t="e">
        <v>#N/A</v>
        <stp/>
        <stp>BDH|3978094164995382490</stp>
        <tr r="M29" s="22"/>
      </tp>
      <tp t="e">
        <v>#N/A</v>
        <stp/>
        <stp>BDH|4307503033675757395</stp>
        <tr r="S12" s="13"/>
      </tp>
      <tp t="e">
        <v>#N/A</v>
        <stp/>
        <stp>BDH|5958997346708096489</stp>
        <tr r="F67" s="12"/>
      </tp>
      <tp t="e">
        <v>#N/A</v>
        <stp/>
        <stp>BDH|1339594167135222311</stp>
        <tr r="W21" s="11"/>
      </tp>
      <tp t="e">
        <v>#N/A</v>
        <stp/>
        <stp>BDH|4751988880830230133</stp>
        <tr r="H18" s="11"/>
      </tp>
      <tp t="e">
        <v>#N/A</v>
        <stp/>
        <stp>BDH|5394517248562384277</stp>
        <tr r="R99" s="12"/>
      </tp>
      <tp t="e">
        <v>#N/A</v>
        <stp/>
        <stp>BDH|8980609332320035955</stp>
        <tr r="S31" s="25"/>
        <tr r="P14" s="5"/>
        <tr r="S17" s="27"/>
      </tp>
      <tp t="e">
        <v>#N/A</v>
        <stp/>
        <stp>BDH|3199162813003374498</stp>
        <tr r="F103" s="12"/>
      </tp>
      <tp t="e">
        <v>#N/A</v>
        <stp/>
        <stp>BDH|7325988992525325649</stp>
        <tr r="J48" s="17"/>
      </tp>
      <tp t="e">
        <v>#N/A</v>
        <stp/>
        <stp>BDH|2606199460550439158</stp>
        <tr r="Z51" s="12"/>
      </tp>
      <tp t="e">
        <v>#N/A</v>
        <stp/>
        <stp>BDH|2925176373770735046</stp>
        <tr r="L105" s="12"/>
      </tp>
      <tp t="e">
        <v>#N/A</v>
        <stp/>
        <stp>BDH|1472453734222236093</stp>
        <tr r="U183" s="18"/>
      </tp>
      <tp t="e">
        <v>#N/A</v>
        <stp/>
        <stp>BDH|3211047218560337639</stp>
        <tr r="Q8" s="22"/>
      </tp>
      <tp t="e">
        <v>#N/A</v>
        <stp/>
        <stp>BDH|5493600387476438997</stp>
        <tr r="U134" s="18"/>
      </tp>
      <tp t="e">
        <v>#N/A</v>
        <stp/>
        <stp>BDH|8676264900868661684</stp>
        <tr r="Y45" s="17"/>
      </tp>
      <tp t="e">
        <v>#N/A</v>
        <stp/>
        <stp>BDH|5875222551523088551</stp>
        <tr r="X205" s="18"/>
      </tp>
      <tp t="e">
        <v>#N/A</v>
        <stp/>
        <stp>BDH|6403232620554864619</stp>
        <tr r="I20" s="34"/>
      </tp>
      <tp t="e">
        <v>#N/A</v>
        <stp/>
        <stp>BDH|6222618361434430685</stp>
        <tr r="I66" s="12"/>
      </tp>
      <tp t="e">
        <v>#N/A</v>
        <stp/>
        <stp>BDH|5187531612954808168</stp>
        <tr r="F152" s="18"/>
      </tp>
      <tp t="e">
        <v>#N/A</v>
        <stp/>
        <stp>BDH|8152440822979114385</stp>
        <tr r="H57" s="34"/>
      </tp>
      <tp t="e">
        <v>#N/A</v>
        <stp/>
        <stp>BDH|7292387215615915482</stp>
        <tr r="AA39" s="22"/>
      </tp>
      <tp t="e">
        <v>#N/A</v>
        <stp/>
        <stp>BDH|9311299090786702034</stp>
        <tr r="I49" s="6"/>
        <tr r="K10" s="8"/>
      </tp>
      <tp t="e">
        <v>#N/A</v>
        <stp/>
        <stp>BDH|9990216939625624991</stp>
        <tr r="N22" s="22"/>
      </tp>
      <tp t="e">
        <v>#N/A</v>
        <stp/>
        <stp>BDH|5884622297999006739</stp>
        <tr r="T10" s="34"/>
      </tp>
      <tp t="e">
        <v>#N/A</v>
        <stp/>
        <stp>BDH|7983736901321368566</stp>
        <tr r="T27" s="22"/>
      </tp>
      <tp t="e">
        <v>#N/A</v>
        <stp/>
        <stp>BDH|1816633235385995595</stp>
        <tr r="D11" s="28"/>
      </tp>
      <tp t="e">
        <v>#N/A</v>
        <stp/>
        <stp>BDH|8822947071045719748</stp>
        <tr r="U44" s="6"/>
      </tp>
      <tp t="e">
        <v>#N/A</v>
        <stp/>
        <stp>BDH|3632187535852168746</stp>
        <tr r="U76" s="18"/>
      </tp>
      <tp t="e">
        <v>#N/A</v>
        <stp/>
        <stp>BDH|1001598117311143010</stp>
        <tr r="S194" s="18"/>
      </tp>
      <tp t="e">
        <v>#N/A</v>
        <stp/>
        <stp>BDH|8332784116882776847</stp>
        <tr r="AA10" s="26"/>
      </tp>
      <tp t="e">
        <v>#N/A</v>
        <stp/>
        <stp>BDH|4883091867671072787</stp>
        <tr r="X31" s="17"/>
      </tp>
      <tp t="e">
        <v>#N/A</v>
        <stp/>
        <stp>BDH|3486647569462511524</stp>
        <tr r="Z60" s="17"/>
      </tp>
      <tp t="e">
        <v>#N/A</v>
        <stp/>
        <stp>BDH|2360094011922551500</stp>
        <tr r="U124" s="18"/>
        <tr r="U13" s="20"/>
      </tp>
      <tp t="e">
        <v>#N/A</v>
        <stp/>
        <stp>BDH|8909707408149910269</stp>
        <tr r="X54" s="12"/>
      </tp>
      <tp t="e">
        <v>#N/A</v>
        <stp/>
        <stp>BDH|9689302978961907882</stp>
        <tr r="O21" s="17"/>
        <tr r="O15" s="3"/>
      </tp>
      <tp t="e">
        <v>#N/A</v>
        <stp/>
        <stp>BDH|8527814802034921005</stp>
        <tr r="G49" s="6"/>
        <tr r="I10" s="8"/>
      </tp>
      <tp t="e">
        <v>#N/A</v>
        <stp/>
        <stp>BDH|9953984809441140560</stp>
        <tr r="T42" s="10"/>
        <tr r="T32" s="11"/>
      </tp>
      <tp t="e">
        <v>#N/A</v>
        <stp/>
        <stp>BDH|5556400648680400162</stp>
        <tr r="T13" s="13"/>
      </tp>
      <tp t="e">
        <v>#N/A</v>
        <stp/>
        <stp>BDH|9357736380221772386</stp>
        <tr r="D23" s="24"/>
      </tp>
      <tp t="e">
        <v>#N/A</v>
        <stp/>
        <stp>BDH|6411446819162009565</stp>
        <tr r="M54" s="13"/>
      </tp>
      <tp t="e">
        <v>#N/A</v>
        <stp/>
        <stp>BDH|6367506709761660633</stp>
        <tr r="J53" s="13"/>
      </tp>
      <tp t="e">
        <v>#N/A</v>
        <stp/>
        <stp>BDH|6596721638700881685</stp>
        <tr r="R82" s="17"/>
        <tr r="R20" s="3"/>
        <tr r="P6" s="7"/>
      </tp>
      <tp t="e">
        <v>#N/A</v>
        <stp/>
        <stp>BDH|6764330988141628857</stp>
        <tr r="V33" s="18"/>
      </tp>
      <tp t="e">
        <v>#N/A</v>
        <stp/>
        <stp>BDH|7225388612644698517</stp>
        <tr r="N61" s="34"/>
      </tp>
      <tp t="e">
        <v>#N/A</v>
        <stp/>
        <stp>BDH|7347305319197542606</stp>
        <tr r="X14" s="17"/>
        <tr r="X17" s="28"/>
      </tp>
      <tp t="e">
        <v>#N/A</v>
        <stp/>
        <stp>BDH|3928128353235531629</stp>
        <tr r="P12" s="25"/>
      </tp>
      <tp t="e">
        <v>#N/A</v>
        <stp/>
        <stp>BDH|5151315193972980954</stp>
        <tr r="U11" s="7"/>
      </tp>
      <tp t="e">
        <v>#N/A</v>
        <stp/>
        <stp>BDH|2683742106808833934</stp>
        <tr r="F28" s="34"/>
      </tp>
      <tp t="e">
        <v>#N/A</v>
        <stp/>
        <stp>BDH|1096521408876478612</stp>
        <tr r="L72" s="13"/>
      </tp>
      <tp t="e">
        <v>#N/A</v>
        <stp/>
        <stp>BDH|7566202928332543176</stp>
        <tr r="O18" s="23"/>
      </tp>
      <tp t="e">
        <v>#N/A</v>
        <stp/>
        <stp>BDH|7421225376321708781</stp>
        <tr r="V59" s="24"/>
      </tp>
      <tp t="e">
        <v>#N/A</v>
        <stp/>
        <stp>BDH|1062763240923004598</stp>
        <tr r="C61" s="34"/>
      </tp>
      <tp t="e">
        <v>#N/A</v>
        <stp/>
        <stp>BDH|8310559646338883577</stp>
        <tr r="Y34" s="12"/>
      </tp>
      <tp t="e">
        <v>#N/A</v>
        <stp/>
        <stp>BDH|7511911699714581778</stp>
        <tr r="X43" s="6"/>
      </tp>
      <tp t="e">
        <v>#N/A</v>
        <stp/>
        <stp>BDH|3176345255508924962</stp>
        <tr r="K34" s="26"/>
      </tp>
      <tp t="e">
        <v>#N/A</v>
        <stp/>
        <stp>BDH|1823184559022429323</stp>
        <tr r="J191" s="18"/>
      </tp>
      <tp t="e">
        <v>#N/A</v>
        <stp/>
        <stp>BDH|8902367494561120756</stp>
        <tr r="I15" s="26"/>
      </tp>
      <tp t="e">
        <v>#N/A</v>
        <stp/>
        <stp>BDH|6239199965462398721</stp>
        <tr r="E53" s="10"/>
        <tr r="E43" s="11"/>
        <tr r="E16" s="7"/>
      </tp>
      <tp t="e">
        <v>#N/A</v>
        <stp/>
        <stp>BDH|4210797848116826543</stp>
        <tr r="I143" s="18"/>
      </tp>
      <tp t="e">
        <v>#N/A</v>
        <stp/>
        <stp>BDH|6595280304398070864</stp>
        <tr r="Z98" s="18"/>
      </tp>
      <tp t="e">
        <v>#N/A</v>
        <stp/>
        <stp>BDH|6261288124110311226</stp>
        <tr r="W23" s="21"/>
      </tp>
      <tp t="e">
        <v>#N/A</v>
        <stp/>
        <stp>BDH|3059275539700087617</stp>
        <tr r="H173" s="18"/>
      </tp>
      <tp t="e">
        <v>#N/A</v>
        <stp/>
        <stp>BDH|4195510571720932276</stp>
        <tr r="W50" s="12"/>
      </tp>
      <tp t="e">
        <v>#N/A</v>
        <stp/>
        <stp>BDH|4027199337847612579</stp>
        <tr r="S69" s="13"/>
      </tp>
      <tp t="e">
        <v>#N/A</v>
        <stp/>
        <stp>BDH|7327295834054789664</stp>
        <tr r="C28" s="24"/>
      </tp>
      <tp t="e">
        <v>#N/A</v>
        <stp/>
        <stp>BDH|1920349174429307855</stp>
        <tr r="AA73" s="13"/>
      </tp>
      <tp t="e">
        <v>#N/A</v>
        <stp/>
        <stp>BDH|2387283541203667335</stp>
        <tr r="X80" s="12"/>
      </tp>
      <tp t="e">
        <v>#N/A</v>
        <stp/>
        <stp>BDH|5917642242854327733</stp>
        <tr r="I11" s="7"/>
      </tp>
      <tp t="e">
        <v>#N/A</v>
        <stp/>
        <stp>BDH|7842543050030692354</stp>
        <tr r="Z60" s="34"/>
      </tp>
      <tp t="e">
        <v>#N/A</v>
        <stp/>
        <stp>BDH|2387676725567977571</stp>
        <tr r="K12" s="21"/>
      </tp>
      <tp t="e">
        <v>#N/A</v>
        <stp/>
        <stp>BDH|3160912013376926958</stp>
        <tr r="H9" s="14"/>
      </tp>
      <tp t="e">
        <v>#N/A</v>
        <stp/>
        <stp>BDH|3968463750822510451</stp>
        <tr r="W65" s="24"/>
      </tp>
      <tp t="e">
        <v>#N/A</v>
        <stp/>
        <stp>BDH|5296396166497623344</stp>
        <tr r="R62" s="12"/>
      </tp>
      <tp t="e">
        <v>#N/A</v>
        <stp/>
        <stp>BDH|2702047458823132050</stp>
        <tr r="R14" s="12"/>
      </tp>
      <tp t="e">
        <v>#N/A</v>
        <stp/>
        <stp>BDH|8882649714718083372</stp>
        <tr r="I19" s="11"/>
      </tp>
      <tp t="e">
        <v>#N/A</v>
        <stp/>
        <stp>BDH|9674439770417803926</stp>
        <tr r="R46" s="34"/>
      </tp>
      <tp t="e">
        <v>#N/A</v>
        <stp/>
        <stp>BDH|5446838876638738696</stp>
        <tr r="C57" s="17"/>
      </tp>
      <tp t="e">
        <v>#N/A</v>
        <stp/>
        <stp>BDH|5246525103992470680</stp>
        <tr r="R45" s="24"/>
      </tp>
      <tp t="e">
        <v>#N/A</v>
        <stp/>
        <stp>BDH|6498415869424239414</stp>
        <tr r="E62" s="12"/>
      </tp>
      <tp t="e">
        <v>#N/A</v>
        <stp/>
        <stp>BDH|7360306076770979701</stp>
        <tr r="Q63" s="34"/>
      </tp>
      <tp t="e">
        <v>#N/A</v>
        <stp/>
        <stp>BDH|1769373118211406606</stp>
        <tr r="H155" s="18"/>
      </tp>
      <tp t="e">
        <v>#N/A</v>
        <stp/>
        <stp>BDH|7315582542090551207</stp>
        <tr r="M45" s="12"/>
      </tp>
      <tp t="e">
        <v>#N/A</v>
        <stp/>
        <stp>BDH|5066446122340259787</stp>
        <tr r="F71" s="12"/>
      </tp>
      <tp t="e">
        <v>#N/A</v>
        <stp/>
        <stp>BDH|4233243625113758384</stp>
        <tr r="P193" s="18"/>
      </tp>
      <tp t="e">
        <v>#N/A</v>
        <stp/>
        <stp>BDH|1175235399227099979</stp>
        <tr r="T39" s="26"/>
      </tp>
      <tp t="e">
        <v>#N/A</v>
        <stp/>
        <stp>BDH|1049372041583222182</stp>
        <tr r="P21" s="22"/>
      </tp>
      <tp t="e">
        <v>#N/A</v>
        <stp/>
        <stp>BDH|3860540452790405762</stp>
        <tr r="N65" s="13"/>
      </tp>
      <tp t="e">
        <v>#N/A</v>
        <stp/>
        <stp>BDH|5969754642185292708</stp>
        <tr r="L68" s="12"/>
      </tp>
      <tp t="e">
        <v>#N/A</v>
        <stp/>
        <stp>BDH|6396209499330444925</stp>
        <tr r="G49" s="12"/>
      </tp>
      <tp t="e">
        <v>#N/A</v>
        <stp/>
        <stp>BDH|7766729747243664389</stp>
        <tr r="F14" s="10"/>
      </tp>
      <tp t="e">
        <v>#N/A</v>
        <stp/>
        <stp>BDH|1694015061851913237</stp>
        <tr r="L9" s="30"/>
      </tp>
      <tp t="e">
        <v>#N/A</v>
        <stp/>
        <stp>BDH|4029703469393496219</stp>
        <tr r="H44" s="21"/>
      </tp>
      <tp t="e">
        <v>#N/A</v>
        <stp/>
        <stp>BDH|8515327686496910141</stp>
        <tr r="Q44" s="21"/>
      </tp>
      <tp t="e">
        <v>#N/A</v>
        <stp/>
        <stp>BDH|1317642185298914372</stp>
        <tr r="Y91" s="18"/>
      </tp>
      <tp t="e">
        <v>#N/A</v>
        <stp/>
        <stp>BDH|3278091980069310643</stp>
        <tr r="N18" s="6"/>
      </tp>
      <tp t="e">
        <v>#N/A</v>
        <stp/>
        <stp>BDH|9910662067748147554</stp>
        <tr r="E136" s="18"/>
      </tp>
      <tp t="e">
        <v>#N/A</v>
        <stp/>
        <stp>BDH|5650485042743438240</stp>
        <tr r="N30" s="34"/>
      </tp>
      <tp t="e">
        <v>#N/A</v>
        <stp/>
        <stp>BDH|4297457439373420468</stp>
        <tr r="O9" s="17"/>
      </tp>
      <tp t="e">
        <v>#N/A</v>
        <stp/>
        <stp>BDH|9914234377161117903</stp>
        <tr r="O111" s="18"/>
      </tp>
      <tp t="e">
        <v>#N/A</v>
        <stp/>
        <stp>BDH|5035197282389475136</stp>
        <tr r="Y26" s="13"/>
      </tp>
      <tp t="e">
        <v>#N/A</v>
        <stp/>
        <stp>BDH|6308594546330604361</stp>
        <tr r="P105" s="18"/>
      </tp>
      <tp t="e">
        <v>#N/A</v>
        <stp/>
        <stp>BDH|4846431088764825879</stp>
        <tr r="AA28" s="21"/>
      </tp>
      <tp t="e">
        <v>#N/A</v>
        <stp/>
        <stp>BDH|8609486969797284990</stp>
        <tr r="U128" s="18"/>
      </tp>
      <tp t="e">
        <v>#N/A</v>
        <stp/>
        <stp>BDH|8594528708800645955</stp>
        <tr r="I13" s="25"/>
      </tp>
      <tp t="e">
        <v>#N/A</v>
        <stp/>
        <stp>BDH|7867132821874528436</stp>
        <tr r="O13" s="13"/>
      </tp>
      <tp t="e">
        <v>#N/A</v>
        <stp/>
        <stp>BDH|7888168914272429128</stp>
        <tr r="E71" s="18"/>
      </tp>
      <tp t="e">
        <v>#N/A</v>
        <stp/>
        <stp>BDH|4474386530833056307</stp>
        <tr r="L26" s="27"/>
      </tp>
      <tp t="e">
        <v>#N/A</v>
        <stp/>
        <stp>BDH|7743690533057466159</stp>
        <tr r="D115" s="18"/>
      </tp>
      <tp t="e">
        <v>#N/A</v>
        <stp/>
        <stp>BDH|6996345907778181978</stp>
        <tr r="Z20" s="25"/>
      </tp>
      <tp t="e">
        <v>#N/A</v>
        <stp/>
        <stp>BDH|4957935533399090351</stp>
        <tr r="M24" s="17"/>
      </tp>
      <tp t="e">
        <v>#N/A</v>
        <stp/>
        <stp>BDH|4187791531322486618</stp>
        <tr r="L85" s="18"/>
      </tp>
      <tp t="e">
        <v>#N/A</v>
        <stp/>
        <stp>BDH|1862325266213391332</stp>
        <tr r="K19" s="5"/>
        <tr r="K42" s="6"/>
      </tp>
      <tp t="e">
        <v>#N/A</v>
        <stp/>
        <stp>BDH|2976965394104694210</stp>
        <tr r="S64" s="34"/>
      </tp>
      <tp t="e">
        <v>#N/A</v>
        <stp/>
        <stp>BDH|6949728845419641846</stp>
        <tr r="K116" s="18"/>
      </tp>
      <tp t="e">
        <v>#N/A</v>
        <stp/>
        <stp>BDH|7365734848565345579</stp>
        <tr r="O17" s="22"/>
      </tp>
      <tp t="e">
        <v>#N/A</v>
        <stp/>
        <stp>BDH|8106282953229432229</stp>
        <tr r="N7" s="23"/>
      </tp>
      <tp t="e">
        <v>#N/A</v>
        <stp/>
        <stp>BDH|4483330351017929130</stp>
        <tr r="V12" s="22"/>
      </tp>
      <tp t="e">
        <v>#N/A</v>
        <stp/>
        <stp>BDH|1369172677140686390</stp>
        <tr r="T20" s="17"/>
      </tp>
      <tp t="e">
        <v>#N/A</v>
        <stp/>
        <stp>BDH|4682758559412099060</stp>
        <tr r="E65" s="13"/>
      </tp>
      <tp t="e">
        <v>#N/A</v>
        <stp/>
        <stp>BDH|3492535432542159381</stp>
        <tr r="W167" s="18"/>
      </tp>
      <tp t="e">
        <v>#N/A</v>
        <stp/>
        <stp>BDH|1382569515089898844</stp>
        <tr r="D108" s="18"/>
      </tp>
      <tp t="e">
        <v>#N/A</v>
        <stp/>
        <stp>BDH|7390660443458983939</stp>
        <tr r="Z177" s="18"/>
      </tp>
      <tp t="e">
        <v>#N/A</v>
        <stp/>
        <stp>BDH|7694385437194291778</stp>
        <tr r="Y16" s="10"/>
      </tp>
      <tp t="e">
        <v>#N/A</v>
        <stp/>
        <stp>BDH|3006278612540832411</stp>
        <tr r="J54" s="12"/>
      </tp>
      <tp t="e">
        <v>#N/A</v>
        <stp/>
        <stp>BDH|8226929462364952772</stp>
        <tr r="R32" s="14"/>
      </tp>
      <tp t="e">
        <v>#N/A</v>
        <stp/>
        <stp>BDH|6147326250340889476</stp>
        <tr r="Y34" s="10"/>
        <tr r="Y24" s="11"/>
      </tp>
      <tp t="e">
        <v>#N/A</v>
        <stp/>
        <stp>BDH|7177853139381449942</stp>
        <tr r="I65" s="17"/>
      </tp>
      <tp t="e">
        <v>#N/A</v>
        <stp/>
        <stp>BDH|2314502352936485083</stp>
        <tr r="Q14" s="8"/>
      </tp>
      <tp t="e">
        <v>#N/A</v>
        <stp/>
        <stp>BDH|1950214214276877095</stp>
        <tr r="AA17" s="12"/>
      </tp>
      <tp t="e">
        <v>#N/A</v>
        <stp/>
        <stp>BDH|1595545229891227377</stp>
        <tr r="P27" s="21"/>
      </tp>
      <tp t="e">
        <v>#N/A</v>
        <stp/>
        <stp>BDH|7738360424544112696</stp>
        <tr r="N16" s="34"/>
      </tp>
      <tp t="e">
        <v>#N/A</v>
        <stp/>
        <stp>BDH|5085448251786148693</stp>
        <tr r="K17" s="21"/>
      </tp>
      <tp t="e">
        <v>#N/A</v>
        <stp/>
        <stp>BDH|5259017621920782383</stp>
        <tr r="T40" s="17"/>
      </tp>
      <tp t="e">
        <v>#N/A</v>
        <stp/>
        <stp>BDH|6124075646687823153</stp>
        <tr r="T67" s="18"/>
      </tp>
      <tp t="e">
        <v>#N/A</v>
        <stp/>
        <stp>BDH|4757813244688757486</stp>
        <tr r="U75" s="17"/>
      </tp>
      <tp t="e">
        <v>#N/A</v>
        <stp/>
        <stp>BDH|2642035592328943734</stp>
        <tr r="W32" s="21"/>
      </tp>
      <tp t="e">
        <v>#N/A</v>
        <stp/>
        <stp>BDH|3633144842423814150</stp>
        <tr r="N158" s="18"/>
      </tp>
      <tp t="e">
        <v>#N/A</v>
        <stp/>
        <stp>BDH|7936126602845603729</stp>
        <tr r="Y50" s="17"/>
      </tp>
      <tp t="e">
        <v>#N/A</v>
        <stp/>
        <stp>BDH|1263702099053646804</stp>
        <tr r="V8" s="11"/>
      </tp>
      <tp t="e">
        <v>#N/A</v>
        <stp/>
        <stp>BDH|9407303297204765393</stp>
        <tr r="G10" s="34"/>
      </tp>
      <tp t="e">
        <v>#N/A</v>
        <stp/>
        <stp>BDH|3848840520545754860</stp>
        <tr r="M7" s="23"/>
      </tp>
      <tp t="e">
        <v>#N/A</v>
        <stp/>
        <stp>BDH|6041113278600316477</stp>
        <tr r="Y210" s="18"/>
      </tp>
      <tp t="e">
        <v>#N/A</v>
        <stp/>
        <stp>BDH|8567542309920333969</stp>
        <tr r="L42" s="4"/>
      </tp>
      <tp t="e">
        <v>#N/A</v>
        <stp/>
        <stp>BDH|6311606286274155897</stp>
        <tr r="X84" s="17"/>
      </tp>
      <tp t="e">
        <v>#N/A</v>
        <stp/>
        <stp>BDH|1414232067931599084</stp>
        <tr r="Y61" s="18"/>
      </tp>
      <tp t="e">
        <v>#N/A</v>
        <stp/>
        <stp>BDH|2523107775755527586</stp>
        <tr r="M23" s="13"/>
      </tp>
      <tp t="e">
        <v>#N/A</v>
        <stp/>
        <stp>BDH|6841130430277465726</stp>
        <tr r="U60" s="34"/>
      </tp>
      <tp t="e">
        <v>#N/A</v>
        <stp/>
        <stp>BDH|7048380249787530396</stp>
        <tr r="P63" s="12"/>
      </tp>
      <tp t="e">
        <v>#N/A</v>
        <stp/>
        <stp>BDH|9556584531139979281</stp>
        <tr r="R62" s="13"/>
      </tp>
      <tp t="e">
        <v>#N/A</v>
        <stp/>
        <stp>BDH|6524995447919645603</stp>
        <tr r="Y134" s="18"/>
      </tp>
      <tp t="e">
        <v>#N/A</v>
        <stp/>
        <stp>BDH|5665353480612794892</stp>
        <tr r="S23" s="14"/>
      </tp>
      <tp t="e">
        <v>#N/A</v>
        <stp/>
        <stp>BDH|9473578997991867018</stp>
        <tr r="L78" s="18"/>
      </tp>
      <tp t="e">
        <v>#N/A</v>
        <stp/>
        <stp>BDH|7456885075695768938</stp>
        <tr r="Z83" s="12"/>
      </tp>
      <tp t="e">
        <v>#N/A</v>
        <stp/>
        <stp>BDH|2542773015720992031</stp>
        <tr r="N52" s="6"/>
      </tp>
      <tp t="e">
        <v>#N/A</v>
        <stp/>
        <stp>BDH|4914633906911420751</stp>
        <tr r="U12" s="10"/>
      </tp>
      <tp t="e">
        <v>#N/A</v>
        <stp/>
        <stp>BDH|3116738239391273245</stp>
        <tr r="V173" s="18"/>
      </tp>
      <tp t="e">
        <v>#N/A</v>
        <stp/>
        <stp>BDH|3553719608896055619</stp>
        <tr r="J119" s="18"/>
        <tr r="J7" s="20"/>
      </tp>
      <tp t="e">
        <v>#N/A</v>
        <stp/>
        <stp>BDH|2894615940362421605</stp>
        <tr r="AA26" s="18"/>
      </tp>
      <tp t="e">
        <v>#N/A</v>
        <stp/>
        <stp>BDH|5339488910354220041</stp>
        <tr r="O72" s="34"/>
      </tp>
      <tp t="e">
        <v>#N/A</v>
        <stp/>
        <stp>BDH|1717297596579293771</stp>
        <tr r="I150" s="18"/>
      </tp>
      <tp t="e">
        <v>#N/A</v>
        <stp/>
        <stp>BDH|7035529942670576280</stp>
        <tr r="F57" s="10"/>
        <tr r="F47" s="11"/>
        <tr r="F18" s="7"/>
        <tr r="H64" s="13"/>
      </tp>
      <tp t="e">
        <v>#N/A</v>
        <stp/>
        <stp>BDH|5552084218622858209</stp>
        <tr r="S17" s="4"/>
        <tr r="U10" s="3"/>
        <tr r="S56" s="10"/>
        <tr r="S46" s="11"/>
        <tr r="S17" s="7"/>
        <tr r="U61" s="13"/>
      </tp>
      <tp t="e">
        <v>#N/A</v>
        <stp/>
        <stp>BDH|6010553845944877757</stp>
        <tr r="N21" s="4"/>
      </tp>
      <tp t="e">
        <v>#N/A</v>
        <stp/>
        <stp>BDH|1399110388225382949</stp>
        <tr r="K211" s="18"/>
      </tp>
      <tp t="e">
        <v>#N/A</v>
        <stp/>
        <stp>BDH|4086750316452994478</stp>
        <tr r="R53" s="6"/>
      </tp>
      <tp t="e">
        <v>#N/A</v>
        <stp/>
        <stp>BDH|5971603425995308020</stp>
        <tr r="M83" s="12"/>
      </tp>
      <tp t="e">
        <v>#N/A</v>
        <stp/>
        <stp>BDH|4281608816904959301</stp>
        <tr r="E22" s="7"/>
      </tp>
      <tp t="e">
        <v>#N/A</v>
        <stp/>
        <stp>BDH|9634996044248330859</stp>
        <tr r="D133" s="18"/>
      </tp>
      <tp t="e">
        <v>#N/A</v>
        <stp/>
        <stp>BDH|1935676734834520422</stp>
        <tr r="Y70" s="18"/>
      </tp>
      <tp t="e">
        <v>#N/A</v>
        <stp/>
        <stp>BDH|1102556936000985363</stp>
        <tr r="Z8" s="27"/>
      </tp>
      <tp t="e">
        <v>#N/A</v>
        <stp/>
        <stp>BDH|8466151118384205869</stp>
        <tr r="D21" s="4"/>
      </tp>
      <tp t="e">
        <v>#N/A</v>
        <stp/>
        <stp>BDH|1932349749325133786</stp>
        <tr r="Z68" s="12"/>
      </tp>
      <tp t="e">
        <v>#N/A</v>
        <stp/>
        <stp>BDH|2896292473204847771</stp>
        <tr r="J64" s="18"/>
      </tp>
      <tp t="e">
        <v>#N/A</v>
        <stp/>
        <stp>BDH|5352353246567597186</stp>
        <tr r="P92" s="24"/>
      </tp>
      <tp t="e">
        <v>#N/A</v>
        <stp/>
        <stp>BDH|7512384085880112840</stp>
        <tr r="X19" s="12"/>
      </tp>
      <tp t="e">
        <v>#N/A</v>
        <stp/>
        <stp>BDH|8265651088544142639</stp>
        <tr r="U31" s="24"/>
      </tp>
      <tp t="e">
        <v>#N/A</v>
        <stp/>
        <stp>BDH|2846006660179498915</stp>
        <tr r="W31" s="22"/>
      </tp>
      <tp t="e">
        <v>#N/A</v>
        <stp/>
        <stp>BDH|6411556805231822618</stp>
        <tr r="Z174" s="18"/>
      </tp>
      <tp t="e">
        <v>#N/A</v>
        <stp/>
        <stp>BDH|5521321555550888771</stp>
        <tr r="AA48" s="24"/>
      </tp>
      <tp t="e">
        <v>#N/A</v>
        <stp/>
        <stp>BDH|4927875497931723032</stp>
        <tr r="L6" s="19"/>
        <tr r="L34" s="17"/>
        <tr r="L16" s="3"/>
      </tp>
      <tp t="e">
        <v>#N/A</v>
        <stp/>
        <stp>BDH|1564002444181422089</stp>
        <tr r="Y10" s="12"/>
      </tp>
      <tp t="e">
        <v>#N/A</v>
        <stp/>
        <stp>BDH|7487687258622407228</stp>
        <tr r="J53" s="21"/>
      </tp>
      <tp t="e">
        <v>#N/A</v>
        <stp/>
        <stp>BDH|2504483679200502531</stp>
        <tr r="F95" s="24"/>
      </tp>
      <tp t="e">
        <v>#N/A</v>
        <stp/>
        <stp>BDH|3721602318460438097</stp>
        <tr r="L96" s="12"/>
      </tp>
      <tp t="e">
        <v>#N/A</v>
        <stp/>
        <stp>BDH|1815812698286694258</stp>
        <tr r="O63" s="13"/>
      </tp>
      <tp t="e">
        <v>#N/A</v>
        <stp/>
        <stp>BDH|7189091871022834639</stp>
        <tr r="K69" s="13"/>
      </tp>
      <tp t="e">
        <v>#N/A</v>
        <stp/>
        <stp>BDH|5028008837655094756</stp>
        <tr r="K74" s="17"/>
      </tp>
      <tp t="e">
        <v>#N/A</v>
        <stp/>
        <stp>BDH|2635122495217393909</stp>
        <tr r="X25" s="24"/>
      </tp>
      <tp t="e">
        <v>#N/A</v>
        <stp/>
        <stp>BDH|7862626914151931551</stp>
        <tr r="AA32" s="25"/>
        <tr r="AA18" s="27"/>
      </tp>
      <tp t="e">
        <v>#N/A</v>
        <stp/>
        <stp>BDH|2227165436395642162</stp>
        <tr r="Q13" s="24"/>
      </tp>
      <tp t="e">
        <v>#N/A</v>
        <stp/>
        <stp>BDH|9562536190622546317</stp>
        <tr r="Q16" s="17"/>
        <tr r="Q19" s="28"/>
      </tp>
      <tp t="e">
        <v>#N/A</v>
        <stp/>
        <stp>BDH|6879781607261064456</stp>
        <tr r="X17" s="22"/>
      </tp>
      <tp t="e">
        <v>#N/A</v>
        <stp/>
        <stp>BDH|2141176178091472181</stp>
        <tr r="S48" s="18"/>
      </tp>
      <tp t="e">
        <v>#N/A</v>
        <stp/>
        <stp>BDH|5652711043915090763</stp>
        <tr r="N32" s="14"/>
      </tp>
      <tp t="e">
        <v>#N/A</v>
        <stp/>
        <stp>BDH|7613422861808151969</stp>
        <tr r="T34" s="14"/>
      </tp>
      <tp t="e">
        <v>#N/A</v>
        <stp/>
        <stp>BDH|5642557270275742663</stp>
        <tr r="D25" s="12"/>
      </tp>
      <tp t="e">
        <v>#N/A</v>
        <stp/>
        <stp>BDH|9670943482368422463</stp>
        <tr r="Y67" s="21"/>
      </tp>
      <tp t="e">
        <v>#N/A</v>
        <stp/>
        <stp>BDH|8567948934586757008</stp>
        <tr r="E165" s="18"/>
      </tp>
      <tp t="e">
        <v>#N/A</v>
        <stp/>
        <stp>BDH|9577264696490102661</stp>
        <tr r="Y21" s="20"/>
      </tp>
      <tp t="e">
        <v>#N/A</v>
        <stp/>
        <stp>BDH|3659408587518469377</stp>
        <tr r="O74" s="18"/>
      </tp>
      <tp t="e">
        <v>#N/A</v>
        <stp/>
        <stp>BDH|3691372842568017816</stp>
        <tr r="Z20" s="24"/>
      </tp>
      <tp t="e">
        <v>#N/A</v>
        <stp/>
        <stp>BDH|1858912665399662389</stp>
        <tr r="L22" s="17"/>
      </tp>
      <tp t="e">
        <v>#N/A</v>
        <stp/>
        <stp>BDH|9459403523718681332</stp>
        <tr r="U60" s="21"/>
        <tr r="S53" s="11"/>
      </tp>
      <tp t="e">
        <v>#N/A</v>
        <stp/>
        <stp>BDH|2607971434928729401</stp>
        <tr r="R35" s="26"/>
      </tp>
      <tp t="e">
        <v>#N/A</v>
        <stp/>
        <stp>BDH|7180667576366719446</stp>
        <tr r="H72" s="24"/>
      </tp>
      <tp t="e">
        <v>#N/A</v>
        <stp/>
        <stp>BDH|2403319657404572450</stp>
        <tr r="O17" s="4"/>
        <tr r="Q10" s="3"/>
        <tr r="O56" s="10"/>
        <tr r="O46" s="11"/>
        <tr r="O17" s="7"/>
        <tr r="Q61" s="13"/>
      </tp>
      <tp t="e">
        <v>#N/A</v>
        <stp/>
        <stp>BDH|5282130274762351540</stp>
        <tr r="H42" s="12"/>
      </tp>
      <tp t="e">
        <v>#N/A</v>
        <stp/>
        <stp>BDH|2110027401044793275</stp>
        <tr r="H21" s="22"/>
      </tp>
      <tp t="e">
        <v>#N/A</v>
        <stp/>
        <stp>BDH|8491604044436649847</stp>
        <tr r="H31" s="17"/>
      </tp>
      <tp t="e">
        <v>#N/A</v>
        <stp/>
        <stp>BDH|4705893487610215099</stp>
        <tr r="G38" s="4"/>
        <tr r="G56" s="11"/>
        <tr r="I13" s="23"/>
      </tp>
      <tp t="e">
        <v>#N/A</v>
        <stp/>
        <stp>BDH|4659815695616483743</stp>
        <tr r="T26" s="17"/>
      </tp>
      <tp t="e">
        <v>#N/A</v>
        <stp/>
        <stp>BDH|3700326483049186552</stp>
        <tr r="P150" s="18"/>
      </tp>
      <tp t="e">
        <v>#N/A</v>
        <stp/>
        <stp>BDH|3067134071795482442</stp>
        <tr r="K60" s="17"/>
      </tp>
      <tp t="e">
        <v>#N/A</v>
        <stp/>
        <stp>BDH|6372117078231199594</stp>
        <tr r="N59" s="21"/>
        <tr r="N37" s="25"/>
        <tr r="L31" s="4"/>
        <tr r="L52" s="11"/>
      </tp>
      <tp t="e">
        <v>#N/A</v>
        <stp/>
        <stp>BDH|7936182418302889135</stp>
        <tr r="X123" s="18"/>
        <tr r="X12" s="20"/>
      </tp>
      <tp t="e">
        <v>#N/A</v>
        <stp/>
        <stp>BDH|5085695225031940477</stp>
        <tr r="X84" s="12"/>
      </tp>
      <tp t="e">
        <v>#N/A</v>
        <stp/>
        <stp>BDH|9246852205130083501</stp>
        <tr r="X23" s="24"/>
      </tp>
      <tp t="e">
        <v>#N/A</v>
        <stp/>
        <stp>BDH|8020980622104986315</stp>
        <tr r="AA26" s="26"/>
      </tp>
      <tp t="e">
        <v>#N/A</v>
        <stp/>
        <stp>BDH|2110457544205339319</stp>
        <tr r="U198" s="18"/>
      </tp>
      <tp t="e">
        <v>#N/A</v>
        <stp/>
        <stp>BDH|1766622067042636776</stp>
        <tr r="F36" s="34"/>
      </tp>
      <tp t="e">
        <v>#N/A</v>
        <stp/>
        <stp>BDH|4087703262979777864</stp>
        <tr r="G30" s="18"/>
      </tp>
      <tp t="e">
        <v>#N/A</v>
        <stp/>
        <stp>BDH|7045231444455673027</stp>
        <tr r="U28" s="34"/>
      </tp>
      <tp t="e">
        <v>#N/A</v>
        <stp/>
        <stp>BDH|7453072051690409650</stp>
        <tr r="J43" s="17"/>
      </tp>
      <tp t="e">
        <v>#N/A</v>
        <stp/>
        <stp>BDH|5202672969966722788</stp>
        <tr r="E8" s="22"/>
      </tp>
      <tp t="e">
        <v>#N/A</v>
        <stp/>
        <stp>BDH|4309209914804709730</stp>
        <tr r="P22" s="20"/>
      </tp>
      <tp t="e">
        <v>#N/A</v>
        <stp/>
        <stp>BDH|1280109724655034354</stp>
        <tr r="X19" s="20"/>
      </tp>
      <tp t="e">
        <v>#N/A</v>
        <stp/>
        <stp>BDH|1894200224444990164</stp>
        <tr r="L42" s="21"/>
      </tp>
      <tp t="e">
        <v>#N/A</v>
        <stp/>
        <stp>BDH|7673962037340118957</stp>
        <tr r="T84" s="18"/>
      </tp>
      <tp t="e">
        <v>#N/A</v>
        <stp/>
        <stp>BDH|3085726583650081823</stp>
        <tr r="S28" s="26"/>
      </tp>
      <tp t="e">
        <v>#N/A</v>
        <stp/>
        <stp>BDH|5098701801853302513</stp>
        <tr r="K77" s="18"/>
      </tp>
      <tp t="e">
        <v>#N/A</v>
        <stp/>
        <stp>BDH|3512147238540835523</stp>
        <tr r="T142" s="18"/>
      </tp>
      <tp t="e">
        <v>#N/A</v>
        <stp/>
        <stp>BDH|5409151713595035414</stp>
        <tr r="O15" s="25"/>
      </tp>
      <tp t="e">
        <v>#N/A</v>
        <stp/>
        <stp>BDH|3730481047017344084</stp>
        <tr r="O8" s="24"/>
      </tp>
      <tp t="e">
        <v>#N/A</v>
        <stp/>
        <stp>BDH|7564605402753470601</stp>
        <tr r="P47" s="12"/>
      </tp>
      <tp t="e">
        <v>#N/A</v>
        <stp/>
        <stp>BDH|2203712376792744413</stp>
        <tr r="N69" s="13"/>
      </tp>
      <tp t="e">
        <v>#N/A</v>
        <stp/>
        <stp>BDH|6064127135362653222</stp>
        <tr r="J32" s="14"/>
      </tp>
      <tp t="e">
        <v>#N/A</v>
        <stp/>
        <stp>BDH|9984093195982311656</stp>
        <tr r="L68" s="34"/>
      </tp>
      <tp t="e">
        <v>#N/A</v>
        <stp/>
        <stp>BDH|6704804923480603814</stp>
        <tr r="J88" s="12"/>
      </tp>
      <tp t="e">
        <v>#N/A</v>
        <stp/>
        <stp>BDH|2555575676527376346</stp>
        <tr r="K17" s="34"/>
      </tp>
      <tp t="e">
        <v>#N/A</v>
        <stp/>
        <stp>BDH|4582687540273611188</stp>
        <tr r="AA23" s="14"/>
      </tp>
      <tp t="e">
        <v>#N/A</v>
        <stp/>
        <stp>BDH|5817704809724147232</stp>
        <tr r="X49" s="24"/>
      </tp>
      <tp t="e">
        <v>#N/A</v>
        <stp/>
        <stp>BDH|1297260447931426245</stp>
        <tr r="E40" s="22"/>
      </tp>
      <tp t="e">
        <v>#N/A</v>
        <stp/>
        <stp>BDH|2757737115055063523</stp>
        <tr r="D26" s="26"/>
      </tp>
      <tp t="e">
        <v>#N/A</v>
        <stp/>
        <stp>BDH|8026534991051599148</stp>
        <tr r="Y84" s="17"/>
      </tp>
      <tp t="e">
        <v>#N/A</v>
        <stp/>
        <stp>BDH|1852265470489932940</stp>
        <tr r="Q45" s="21"/>
      </tp>
      <tp t="e">
        <v>#N/A</v>
        <stp/>
        <stp>BDH|4007126947033799619</stp>
        <tr r="Z36" s="34"/>
      </tp>
      <tp t="e">
        <v>#N/A</v>
        <stp/>
        <stp>BDH|5181582034103947479</stp>
        <tr r="N60" s="12"/>
      </tp>
      <tp t="e">
        <v>#N/A</v>
        <stp/>
        <stp>BDH|4459050166875028349</stp>
        <tr r="E69" s="18"/>
      </tp>
      <tp t="e">
        <v>#N/A</v>
        <stp/>
        <stp>BDH|8477862250278885999</stp>
        <tr r="F32" s="12"/>
      </tp>
      <tp t="e">
        <v>#N/A</v>
        <stp/>
        <stp>BDH|9631769185706087463</stp>
        <tr r="F49" s="4"/>
      </tp>
      <tp t="e">
        <v>#N/A</v>
        <stp/>
        <stp>BDH|6262741502061221453</stp>
        <tr r="Q7" s="30"/>
      </tp>
      <tp t="e">
        <v>#N/A</v>
        <stp/>
        <stp>BDH|1552124734545063204</stp>
        <tr r="U90" s="18"/>
      </tp>
      <tp t="e">
        <v>#N/A</v>
        <stp/>
        <stp>BDH|1532673230794076416</stp>
        <tr r="C7" s="21"/>
      </tp>
      <tp t="e">
        <v>#N/A</v>
        <stp/>
        <stp>BDH|7102151500514049676</stp>
        <tr r="U16" s="11"/>
      </tp>
      <tp t="e">
        <v>#N/A</v>
        <stp/>
        <stp>BDH|7287297908224431547</stp>
        <tr r="V181" s="18"/>
      </tp>
      <tp t="e">
        <v>#N/A</v>
        <stp/>
        <stp>BDH|2282460558410754781</stp>
        <tr r="S27" s="12"/>
      </tp>
      <tp t="e">
        <v>#N/A</v>
        <stp/>
        <stp>BDH|7215863307533077808</stp>
        <tr r="H95" s="12"/>
      </tp>
      <tp t="e">
        <v>#N/A</v>
        <stp/>
        <stp>BDH|7003138410326806583</stp>
        <tr r="Q23" s="12"/>
      </tp>
      <tp t="e">
        <v>#N/A</v>
        <stp/>
        <stp>BDH|8617001989892939653</stp>
        <tr r="W33" s="17"/>
      </tp>
      <tp t="e">
        <v>#N/A</v>
        <stp/>
        <stp>BDH|7356992746819964762</stp>
        <tr r="I103" s="12"/>
      </tp>
      <tp t="e">
        <v>#N/A</v>
        <stp/>
        <stp>BDH|6141386161225896233</stp>
        <tr r="S45" s="21"/>
      </tp>
      <tp t="e">
        <v>#N/A</v>
        <stp/>
        <stp>BDH|8717469381272634253</stp>
        <tr r="AA62" s="34"/>
      </tp>
      <tp t="e">
        <v>#N/A</v>
        <stp/>
        <stp>BDH|1836992068999343396</stp>
        <tr r="I10" s="28"/>
      </tp>
      <tp t="e">
        <v>#N/A</v>
        <stp/>
        <stp>BDH|4322473055836458766</stp>
        <tr r="H8" s="11"/>
      </tp>
      <tp t="e">
        <v>#N/A</v>
        <stp/>
        <stp>BDH|5878626712902274492</stp>
        <tr r="K34" s="5"/>
        <tr r="M32" s="29"/>
      </tp>
      <tp t="e">
        <v>#N/A</v>
        <stp/>
        <stp>BDH|2072903678118304089</stp>
        <tr r="I13" s="5"/>
      </tp>
      <tp t="e">
        <v>#N/A</v>
        <stp/>
        <stp>BDH|1296578907145246538</stp>
        <tr r="G15" s="9"/>
      </tp>
      <tp t="e">
        <v>#N/A</v>
        <stp/>
        <stp>BDH|3585336864724537646</stp>
        <tr r="S167" s="18"/>
      </tp>
      <tp t="e">
        <v>#N/A</v>
        <stp/>
        <stp>BDH|6524759886404724921</stp>
        <tr r="X31" s="22"/>
      </tp>
      <tp t="e">
        <v>#N/A</v>
        <stp/>
        <stp>BDH|1997105707805809158</stp>
        <tr r="S25" s="22"/>
      </tp>
      <tp t="e">
        <v>#N/A</v>
        <stp/>
        <stp>BDH|2558475957887348053</stp>
        <tr r="E15" s="10"/>
      </tp>
      <tp t="e">
        <v>#N/A</v>
        <stp/>
        <stp>BDH|6063485312831050691</stp>
        <tr r="R104" s="12"/>
      </tp>
      <tp t="e">
        <v>#N/A</v>
        <stp/>
        <stp>BDH|1062623842255098230</stp>
        <tr r="C39" s="25"/>
        <tr r="C7" s="3"/>
        <tr r="C22" s="13"/>
        <tr r="C7" s="13"/>
      </tp>
      <tp t="e">
        <v>#N/A</v>
        <stp/>
        <stp>BDH|5438150710993341210</stp>
        <tr r="I74" s="34"/>
      </tp>
      <tp t="e">
        <v>#N/A</v>
        <stp/>
        <stp>BDH|8463750084877748414</stp>
        <tr r="I149" s="18"/>
      </tp>
      <tp t="e">
        <v>#N/A</v>
        <stp/>
        <stp>BDH|8390447075368769765</stp>
        <tr r="Z9" s="24"/>
      </tp>
      <tp t="e">
        <v>#N/A</v>
        <stp/>
        <stp>BDH|5823639706137484093</stp>
        <tr r="F11" s="6"/>
      </tp>
      <tp t="e">
        <v>#N/A</v>
        <stp/>
        <stp>BDH|9209524077766153967</stp>
        <tr r="R7" s="21"/>
      </tp>
      <tp t="e">
        <v>#N/A</v>
        <stp/>
        <stp>BDH|1258928343401486970</stp>
        <tr r="N30" s="10"/>
        <tr r="P39" s="13"/>
      </tp>
      <tp t="e">
        <v>#N/A</v>
        <stp/>
        <stp>BDH|6298928269219803412</stp>
        <tr r="N6" s="2"/>
        <tr r="M6" s="5"/>
        <tr r="M6" s="9"/>
        <tr r="O12" s="8"/>
        <tr r="O10" s="29"/>
        <tr r="O19" s="29"/>
        <tr r="O25" s="29"/>
      </tp>
      <tp t="e">
        <v>#N/A</v>
        <stp/>
        <stp>BDH|7789387101851945172</stp>
        <tr r="P50" s="34"/>
      </tp>
      <tp t="e">
        <v>#N/A</v>
        <stp/>
        <stp>BDH|2836215195304417984</stp>
        <tr r="H31" s="34"/>
      </tp>
      <tp t="e">
        <v>#N/A</v>
        <stp/>
        <stp>BDH|5054939862587084911</stp>
        <tr r="AA90" s="17"/>
        <tr r="AA34" s="25"/>
      </tp>
      <tp t="e">
        <v>#N/A</v>
        <stp/>
        <stp>BDH|5618486339756209053</stp>
        <tr r="S7" s="17"/>
      </tp>
      <tp t="e">
        <v>#N/A</v>
        <stp/>
        <stp>BDH|3772670140426421342</stp>
        <tr r="Z54" s="18"/>
      </tp>
      <tp t="e">
        <v>#N/A</v>
        <stp/>
        <stp>BDH|6059874412362533902</stp>
        <tr r="G67" s="13"/>
      </tp>
      <tp t="e">
        <v>#N/A</v>
        <stp/>
        <stp>BDH|4779565977236348457</stp>
        <tr r="G77" s="17"/>
        <tr r="G19" s="3"/>
      </tp>
      <tp t="e">
        <v>#N/A</v>
        <stp/>
        <stp>BDH|5516139308153985373</stp>
        <tr r="U10" s="4"/>
        <tr r="T6" s="16"/>
        <tr r="W6" s="3"/>
        <tr r="U6" s="11"/>
      </tp>
      <tp t="e">
        <v>#N/A</v>
        <stp/>
        <stp>BDH|5419560796615338871</stp>
        <tr r="H102" s="12"/>
      </tp>
      <tp t="e">
        <v>#N/A</v>
        <stp/>
        <stp>BDH|8221945305954125129</stp>
        <tr r="U13" s="17"/>
        <tr r="U16" s="28"/>
      </tp>
      <tp t="e">
        <v>#N/A</v>
        <stp/>
        <stp>BDH|8020955192444318847</stp>
        <tr r="D9" s="12"/>
      </tp>
      <tp t="e">
        <v>#N/A</v>
        <stp/>
        <stp>BDH|3731365907747534337</stp>
        <tr r="H13" s="34"/>
      </tp>
      <tp t="e">
        <v>#N/A</v>
        <stp/>
        <stp>BDH|2566331953885022559</stp>
        <tr r="Q74" s="34"/>
      </tp>
      <tp t="e">
        <v>#N/A</v>
        <stp/>
        <stp>BDH|2648021614236918192</stp>
        <tr r="S182" s="18"/>
      </tp>
      <tp t="e">
        <v>#N/A</v>
        <stp/>
        <stp>BDH|2705044174979786802</stp>
        <tr r="I7" s="17"/>
      </tp>
      <tp t="e">
        <v>#N/A</v>
        <stp/>
        <stp>BDH|1364178137043617458</stp>
        <tr r="AA53" s="13"/>
      </tp>
      <tp t="e">
        <v>#N/A</v>
        <stp/>
        <stp>BDH|5784568130154946382</stp>
        <tr r="M49" s="12"/>
      </tp>
      <tp t="e">
        <v>#N/A</v>
        <stp/>
        <stp>BDH|2537831180502657405</stp>
        <tr r="C53" s="12"/>
      </tp>
      <tp t="e">
        <v>#N/A</v>
        <stp/>
        <stp>BDH|7030750840193172342</stp>
        <tr r="X8" s="8"/>
      </tp>
      <tp t="e">
        <v>#N/A</v>
        <stp/>
        <stp>BDH|1734603754592306402</stp>
        <tr r="T28" s="10"/>
        <tr r="V37" s="13"/>
      </tp>
      <tp t="e">
        <v>#N/A</v>
        <stp/>
        <stp>BDH|4998180664520620739</stp>
        <tr r="P72" s="12"/>
      </tp>
      <tp t="e">
        <v>#N/A</v>
        <stp/>
        <stp>BDH|7187357462982782419</stp>
        <tr r="D65" s="12"/>
      </tp>
      <tp t="e">
        <v>#N/A</v>
        <stp/>
        <stp>BDH|7752683919090780418</stp>
        <tr r="U16" s="17"/>
        <tr r="U19" s="28"/>
      </tp>
      <tp t="e">
        <v>#N/A</v>
        <stp/>
        <stp>BDH|5017754376223218210</stp>
        <tr r="Z13" s="8"/>
      </tp>
      <tp t="e">
        <v>#N/A</v>
        <stp/>
        <stp>BDH|3351266872821565324</stp>
        <tr r="Q28" s="24"/>
      </tp>
      <tp t="e">
        <v>#N/A</v>
        <stp/>
        <stp>BDH|4714179500621824084</stp>
        <tr r="W38" s="10"/>
        <tr r="W28" s="11"/>
        <tr r="Y47" s="13"/>
      </tp>
      <tp t="e">
        <v>#N/A</v>
        <stp/>
        <stp>BDH|4796623067196720651</stp>
        <tr r="H15" s="9"/>
      </tp>
      <tp t="e">
        <v>#N/A</v>
        <stp/>
        <stp>BDH|9373823333835467361</stp>
        <tr r="W112" s="18"/>
      </tp>
      <tp t="e">
        <v>#N/A</v>
        <stp/>
        <stp>BDH|2578486649116028049</stp>
        <tr r="K20" s="2"/>
        <tr r="K18" s="4"/>
        <tr r="K58" s="10"/>
        <tr r="K48" s="11"/>
        <tr r="K19" s="7"/>
        <tr r="M74" s="13"/>
      </tp>
      <tp t="e">
        <v>#N/A</v>
        <stp/>
        <stp>BDH|2663469201697406552</stp>
        <tr r="D43" s="22"/>
      </tp>
      <tp t="e">
        <v>#N/A</v>
        <stp/>
        <stp>BDH|5619194757907016286</stp>
        <tr r="Z30" s="18"/>
      </tp>
      <tp t="e">
        <v>#N/A</v>
        <stp/>
        <stp>BDH|6725170720786292727</stp>
        <tr r="K24" s="29"/>
      </tp>
      <tp t="e">
        <v>#N/A</v>
        <stp/>
        <stp>BDH|9710920983829650507</stp>
        <tr r="M42" s="34"/>
      </tp>
      <tp t="e">
        <v>#N/A</v>
        <stp/>
        <stp>BDH|1988089754519488916</stp>
        <tr r="P68" s="13"/>
      </tp>
      <tp t="e">
        <v>#N/A</v>
        <stp/>
        <stp>BDH|9766732054709705679</stp>
        <tr r="R32" s="22"/>
      </tp>
      <tp t="e">
        <v>#N/A</v>
        <stp/>
        <stp>BDH|9582003672792411830</stp>
        <tr r="AA68" s="34"/>
      </tp>
      <tp t="e">
        <v>#N/A</v>
        <stp/>
        <stp>BDH|2974761148582364748</stp>
        <tr r="N88" s="18"/>
      </tp>
      <tp t="e">
        <v>#N/A</v>
        <stp/>
        <stp>BDH|6246264103960472032</stp>
        <tr r="D7" s="4"/>
      </tp>
      <tp t="e">
        <v>#N/A</v>
        <stp/>
        <stp>BDH|6731262701527007708</stp>
        <tr r="V113" s="18"/>
      </tp>
      <tp t="e">
        <v>#N/A</v>
        <stp/>
        <stp>BDH|7368411965576047779</stp>
        <tr r="G16" s="12"/>
      </tp>
      <tp t="e">
        <v>#N/A</v>
        <stp/>
        <stp>BDH|6209548771992017261</stp>
        <tr r="Y10" s="24"/>
      </tp>
      <tp t="e">
        <v>#N/A</v>
        <stp/>
        <stp>BDH|5180318423861487160</stp>
        <tr r="J184" s="18"/>
      </tp>
      <tp t="e">
        <v>#N/A</v>
        <stp/>
        <stp>BDH|5754035776432547460</stp>
        <tr r="V60" s="17"/>
      </tp>
      <tp t="e">
        <v>#N/A</v>
        <stp/>
        <stp>BDH|3616600314077306702</stp>
        <tr r="T18" s="23"/>
      </tp>
      <tp t="e">
        <v>#N/A</v>
        <stp/>
        <stp>BDH|5771489886345890807</stp>
        <tr r="D119" s="18"/>
        <tr r="D7" s="20"/>
      </tp>
      <tp t="e">
        <v>#N/A</v>
        <stp/>
        <stp>BDH|5783391862472487696</stp>
        <tr r="Q115" s="18"/>
      </tp>
      <tp t="e">
        <v>#N/A</v>
        <stp/>
        <stp>BDH|1247702463174303035</stp>
        <tr r="Y17" s="17"/>
        <tr r="Y20" s="28"/>
      </tp>
      <tp t="e">
        <v>#N/A</v>
        <stp/>
        <stp>BDH|7216851681297159465</stp>
        <tr r="O22" s="22"/>
      </tp>
      <tp t="e">
        <v>#N/A</v>
        <stp/>
        <stp>BDH|8678655718173358894</stp>
        <tr r="V75" s="12"/>
      </tp>
      <tp t="e">
        <v>#N/A</v>
        <stp/>
        <stp>BDH|3651670891979962188</stp>
        <tr r="X28" s="22"/>
      </tp>
      <tp t="e">
        <v>#N/A</v>
        <stp/>
        <stp>BDH|6288425546413391142</stp>
        <tr r="Z79" s="12"/>
      </tp>
      <tp t="e">
        <v>#N/A</v>
        <stp/>
        <stp>BDH|3782205111075512129</stp>
        <tr r="M69" s="24"/>
      </tp>
      <tp t="e">
        <v>#N/A</v>
        <stp/>
        <stp>BDH|6211556217393599548</stp>
        <tr r="M52" s="17"/>
        <tr r="M10" s="25"/>
      </tp>
      <tp t="e">
        <v>#N/A</v>
        <stp/>
        <stp>BDH|4564574037517269164</stp>
        <tr r="F51" s="17"/>
        <tr r="F17" s="3"/>
      </tp>
      <tp t="e">
        <v>#N/A</v>
        <stp/>
        <stp>BDH|5933338529382152238</stp>
        <tr r="W58" s="24"/>
      </tp>
      <tp t="e">
        <v>#N/A</v>
        <stp/>
        <stp>BDH|7730803374569769556</stp>
        <tr r="K26" s="18"/>
      </tp>
      <tp t="e">
        <v>#N/A</v>
        <stp/>
        <stp>BDH|7853735541117253790</stp>
        <tr r="H26" s="29"/>
      </tp>
      <tp t="e">
        <v>#N/A</v>
        <stp/>
        <stp>BDH|1961044935015968300</stp>
        <tr r="AA44" s="21"/>
      </tp>
      <tp t="e">
        <v>#N/A</v>
        <stp/>
        <stp>BDH|1132447352602457620</stp>
        <tr r="K16" s="21"/>
      </tp>
      <tp t="e">
        <v>#N/A</v>
        <stp/>
        <stp>BDH|4713331357876570078</stp>
        <tr r="Q75" s="18"/>
      </tp>
      <tp t="e">
        <v>#N/A</v>
        <stp/>
        <stp>BDH|6665106275734644044</stp>
        <tr r="W25" s="21"/>
      </tp>
      <tp t="e">
        <v>#N/A</v>
        <stp/>
        <stp>BDH|6006693142866252689</stp>
        <tr r="Q18" s="14"/>
      </tp>
      <tp t="e">
        <v>#N/A</v>
        <stp/>
        <stp>BDH|3308667571167271176</stp>
        <tr r="Z80" s="24"/>
      </tp>
      <tp t="e">
        <v>#N/A</v>
        <stp/>
        <stp>BDH|7323555126515348121</stp>
        <tr r="G104" s="18"/>
      </tp>
      <tp t="e">
        <v>#N/A</v>
        <stp/>
        <stp>BDH|4230348946544099311</stp>
        <tr r="E108" s="18"/>
      </tp>
      <tp t="e">
        <v>#N/A</v>
        <stp/>
        <stp>BDH|7327342546144970090</stp>
        <tr r="P62" s="13"/>
      </tp>
      <tp t="e">
        <v>#N/A</v>
        <stp/>
        <stp>BDH|2328742886581616862</stp>
        <tr r="S52" s="4"/>
        <tr r="U8" s="3"/>
        <tr r="S44" s="10"/>
        <tr r="S34" s="11"/>
        <tr r="U45" s="13"/>
      </tp>
      <tp t="e">
        <v>#N/A</v>
        <stp/>
        <stp>BDH|5983843879876052850</stp>
        <tr r="U197" s="18"/>
      </tp>
      <tp t="e">
        <v>#N/A</v>
        <stp/>
        <stp>BDH|8470849875564657728</stp>
        <tr r="W61" s="17"/>
      </tp>
      <tp t="e">
        <v>#N/A</v>
        <stp/>
        <stp>BDH|9097167984573512763</stp>
        <tr r="D31" s="26"/>
      </tp>
      <tp t="e">
        <v>#N/A</v>
        <stp/>
        <stp>BDH|2081676102067302776</stp>
        <tr r="J22" s="14"/>
      </tp>
      <tp t="e">
        <v>#N/A</v>
        <stp/>
        <stp>BDH|6759365405880535103</stp>
        <tr r="J203" s="18"/>
      </tp>
      <tp t="e">
        <v>#N/A</v>
        <stp/>
        <stp>BDH|4205319528692340393</stp>
        <tr r="J27" s="17"/>
      </tp>
      <tp t="e">
        <v>#N/A</v>
        <stp/>
        <stp>BDH|4113521746262039349</stp>
        <tr r="W192" s="18"/>
      </tp>
      <tp t="e">
        <v>#N/A</v>
        <stp/>
        <stp>BDH|8124899453162352394</stp>
        <tr r="O150" s="18"/>
      </tp>
      <tp t="e">
        <v>#N/A</v>
        <stp/>
        <stp>BDH|7630304014607291613</stp>
        <tr r="O52" s="4"/>
        <tr r="Q8" s="3"/>
        <tr r="O44" s="10"/>
        <tr r="O34" s="11"/>
        <tr r="Q45" s="13"/>
      </tp>
      <tp t="e">
        <v>#N/A</v>
        <stp/>
        <stp>BDH|7909555378996772720</stp>
        <tr r="X40" s="18"/>
      </tp>
      <tp t="e">
        <v>#N/A</v>
        <stp/>
        <stp>BDH|2552381172353958179</stp>
        <tr r="T11" s="11"/>
      </tp>
      <tp t="e">
        <v>#N/A</v>
        <stp/>
        <stp>BDH|5169337785609190375</stp>
        <tr r="R22" s="14"/>
      </tp>
      <tp t="e">
        <v>#N/A</v>
        <stp/>
        <stp>BDH|7261455007735185206</stp>
        <tr r="J87" s="17"/>
      </tp>
      <tp t="e">
        <v>#N/A</v>
        <stp/>
        <stp>BDH|1057160627157595157</stp>
        <tr r="AA43" s="17"/>
      </tp>
      <tp t="e">
        <v>#N/A</v>
        <stp/>
        <stp>BDH|3260147827874555056</stp>
        <tr r="I18" s="23"/>
      </tp>
      <tp t="e">
        <v>#N/A</v>
        <stp/>
        <stp>BDH|3219274906336783353</stp>
        <tr r="V28" s="17"/>
      </tp>
      <tp t="e">
        <v>#N/A</v>
        <stp/>
        <stp>BDH|4009066834244799740</stp>
        <tr r="Y56" s="24"/>
      </tp>
      <tp t="e">
        <v>#N/A</v>
        <stp/>
        <stp>BDH|3996061687096008994</stp>
        <tr r="AA149" s="18"/>
      </tp>
      <tp t="e">
        <v>#N/A</v>
        <stp/>
        <stp>BDH|8494969315272688606</stp>
        <tr r="F14" s="22"/>
      </tp>
      <tp t="e">
        <v>#N/A</v>
        <stp/>
        <stp>BDH|8335348091597736101</stp>
        <tr r="L33" s="21"/>
      </tp>
      <tp t="e">
        <v>#N/A</v>
        <stp/>
        <stp>BDH|8316571712628695010</stp>
        <tr r="D18" s="17"/>
      </tp>
      <tp t="e">
        <v>#N/A</v>
        <stp/>
        <stp>BDH|6032018775524070156</stp>
        <tr r="N37" s="10"/>
        <tr r="N27" s="11"/>
        <tr r="P46" s="13"/>
      </tp>
      <tp t="e">
        <v>#N/A</v>
        <stp/>
        <stp>BDH|8118735776544073859</stp>
        <tr r="R101" s="12"/>
      </tp>
      <tp t="e">
        <v>#N/A</v>
        <stp/>
        <stp>BDH|4993219117905637684</stp>
        <tr r="O141" s="18"/>
      </tp>
      <tp t="e">
        <v>#N/A</v>
        <stp/>
        <stp>BDH|9511518283663705311</stp>
        <tr r="Q129" s="18"/>
      </tp>
      <tp t="e">
        <v>#N/A</v>
        <stp/>
        <stp>BDH|3836729012559092898</stp>
        <tr r="P85" s="24"/>
      </tp>
      <tp t="e">
        <v>#N/A</v>
        <stp/>
        <stp>BDH|5055338777495029055</stp>
        <tr r="S23" s="17"/>
      </tp>
      <tp t="e">
        <v>#N/A</v>
        <stp/>
        <stp>BDH|1563038896538654470</stp>
        <tr r="S22" s="30"/>
        <tr r="S24" s="23"/>
      </tp>
      <tp t="e">
        <v>#N/A</v>
        <stp/>
        <stp>BDH|9991765665739309585</stp>
        <tr r="K36" s="21"/>
      </tp>
      <tp t="e">
        <v>#N/A</v>
        <stp/>
        <stp>BDH|3313036451882331032</stp>
        <tr r="O71" s="18"/>
      </tp>
      <tp t="e">
        <v>#N/A</v>
        <stp/>
        <stp>BDH|3765882229019806485</stp>
        <tr r="N44" s="12"/>
      </tp>
      <tp t="e">
        <v>#N/A</v>
        <stp/>
        <stp>BDH|1176909504578497473</stp>
        <tr r="W144" s="18"/>
      </tp>
      <tp t="e">
        <v>#N/A</v>
        <stp/>
        <stp>BDH|8774332423545717860</stp>
        <tr r="P24" s="4"/>
        <tr r="P55" s="11"/>
      </tp>
      <tp t="e">
        <v>#N/A</v>
        <stp/>
        <stp>BDH|2408264406253735754</stp>
        <tr r="R65" s="13"/>
      </tp>
      <tp t="e">
        <v>#N/A</v>
        <stp/>
        <stp>BDH|8532988658816478674</stp>
        <tr r="P43" s="4"/>
      </tp>
      <tp t="e">
        <v>#N/A</v>
        <stp/>
        <stp>BDH|2416355946796139700</stp>
        <tr r="V33" s="9"/>
      </tp>
      <tp t="e">
        <v>#N/A</v>
        <stp/>
        <stp>BDH|1439330377505053463</stp>
        <tr r="O17" s="9"/>
      </tp>
      <tp t="e">
        <v>#N/A</v>
        <stp/>
        <stp>BDH|8866989793035397965</stp>
        <tr r="H73" s="24"/>
      </tp>
      <tp t="e">
        <v>#N/A</v>
        <stp/>
        <stp>BDH|1048314994138244716</stp>
        <tr r="D27" s="7"/>
      </tp>
      <tp t="e">
        <v>#N/A</v>
        <stp/>
        <stp>BDH|2970201113350422584</stp>
        <tr r="Z42" s="24"/>
      </tp>
      <tp t="e">
        <v>#N/A</v>
        <stp/>
        <stp>BDH|4915205039359357851</stp>
        <tr r="T54" s="18"/>
      </tp>
      <tp t="e">
        <v>#N/A</v>
        <stp/>
        <stp>BDH|3426542772117078245</stp>
        <tr r="C47" s="10"/>
        <tr r="C37" s="11"/>
      </tp>
      <tp t="e">
        <v>#N/A</v>
        <stp/>
        <stp>BDH|4636536022773558444</stp>
        <tr r="W54" s="24"/>
      </tp>
      <tp t="e">
        <v>#N/A</v>
        <stp/>
        <stp>BDH|9433634283435428662</stp>
        <tr r="L102" s="18"/>
      </tp>
      <tp t="e">
        <v>#N/A</v>
        <stp/>
        <stp>BDH|4167566769390949315</stp>
        <tr r="G15" s="14"/>
      </tp>
      <tp t="e">
        <v>#N/A</v>
        <stp/>
        <stp>BDH|1623800583505317004</stp>
        <tr r="V21" s="2"/>
      </tp>
      <tp t="e">
        <v>#N/A</v>
        <stp/>
        <stp>BDH|2081105059864604697</stp>
        <tr r="W26" s="26"/>
      </tp>
      <tp t="e">
        <v>#N/A</v>
        <stp/>
        <stp>BDH|3937500138702155363</stp>
        <tr r="W37" s="21"/>
      </tp>
      <tp t="e">
        <v>#N/A</v>
        <stp/>
        <stp>BDH|5557514910926134339</stp>
        <tr r="AA13" s="25"/>
      </tp>
      <tp t="e">
        <v>#N/A</v>
        <stp/>
        <stp>BDH|9665863367685687679</stp>
        <tr r="G39" s="4"/>
        <tr r="G66" s="10"/>
      </tp>
      <tp t="e">
        <v>#N/A</v>
        <stp/>
        <stp>BDH|2726132055372328044</stp>
        <tr r="Z65" s="13"/>
      </tp>
      <tp t="e">
        <v>#N/A</v>
        <stp/>
        <stp>BDH|8091885708997025362</stp>
        <tr r="K22" s="14"/>
      </tp>
      <tp t="e">
        <v>#N/A</v>
        <stp/>
        <stp>BDH|5547203280293192828</stp>
        <tr r="R21" s="24"/>
      </tp>
      <tp t="e">
        <v>#N/A</v>
        <stp/>
        <stp>BDH|4018091393531967857</stp>
        <tr r="H94" s="12"/>
      </tp>
      <tp t="e">
        <v>#N/A</v>
        <stp/>
        <stp>BDH|5536505498299921422</stp>
        <tr r="AA16" s="17"/>
        <tr r="AA19" s="28"/>
      </tp>
      <tp t="e">
        <v>#N/A</v>
        <stp/>
        <stp>BDH|8412503982241838084</stp>
        <tr r="M58" s="11"/>
        <tr r="O19" s="23"/>
      </tp>
      <tp t="e">
        <v>#N/A</v>
        <stp/>
        <stp>BDH|2260246057075414436</stp>
        <tr r="V39" s="6"/>
      </tp>
      <tp t="e">
        <v>#N/A</v>
        <stp/>
        <stp>BDH|9272581039553628836</stp>
        <tr r="X96" s="12"/>
      </tp>
      <tp t="e">
        <v>#N/A</v>
        <stp/>
        <stp>BDH|3706166006300203633</stp>
        <tr r="Q92" s="17"/>
        <tr r="Q7" s="27"/>
      </tp>
      <tp t="e">
        <v>#N/A</v>
        <stp/>
        <stp>BDH|2270902154003445948</stp>
        <tr r="K142" s="18"/>
      </tp>
      <tp t="e">
        <v>#N/A</v>
        <stp/>
        <stp>BDH|1330134269653917169</stp>
        <tr r="F66" s="18"/>
      </tp>
      <tp t="e">
        <v>#N/A</v>
        <stp/>
        <stp>BDH|9819442292063992313</stp>
        <tr r="Q21" s="9"/>
      </tp>
      <tp t="e">
        <v>#N/A</v>
        <stp/>
        <stp>BDH|7927684115275249109</stp>
        <tr r="R165" s="18"/>
      </tp>
      <tp t="e">
        <v>#N/A</v>
        <stp/>
        <stp>BDH|7186534034632430741</stp>
        <tr r="F109" s="18"/>
      </tp>
      <tp t="e">
        <v>#N/A</v>
        <stp/>
        <stp>BDH|2681318459865915511</stp>
        <tr r="C23" s="22"/>
      </tp>
      <tp t="e">
        <v>#N/A</v>
        <stp/>
        <stp>BDH|4471436259260939118</stp>
        <tr r="L47" s="34"/>
      </tp>
      <tp t="e">
        <v>#N/A</v>
        <stp/>
        <stp>BDH|1087136448157468791</stp>
        <tr r="Z19" s="20"/>
      </tp>
      <tp t="e">
        <v>#N/A</v>
        <stp/>
        <stp>BDH|9811935794489980400</stp>
        <tr r="P13" s="10"/>
      </tp>
      <tp t="e">
        <v>#N/A</v>
        <stp/>
        <stp>BDH|4078781838263667709</stp>
        <tr r="M8" s="18"/>
      </tp>
      <tp t="e">
        <v>#N/A</v>
        <stp/>
        <stp>BDH|5686081619448976881</stp>
        <tr r="H13" s="24"/>
      </tp>
      <tp t="e">
        <v>#N/A</v>
        <stp/>
        <stp>BDH|2715905897346298043</stp>
        <tr r="W177" s="18"/>
      </tp>
      <tp t="e">
        <v>#N/A</v>
        <stp/>
        <stp>BDH|2300115561268730929</stp>
        <tr r="C65" s="24"/>
      </tp>
      <tp t="e">
        <v>#N/A</v>
        <stp/>
        <stp>BDH|5073540631956263115</stp>
        <tr r="U11" s="29"/>
      </tp>
      <tp t="e">
        <v>#N/A</v>
        <stp/>
        <stp>BDH|7650974942547686931</stp>
        <tr r="O69" s="13"/>
      </tp>
      <tp t="e">
        <v>#N/A</v>
        <stp/>
        <stp>BDH|3850607475605817339</stp>
        <tr r="Y133" s="18"/>
      </tp>
      <tp t="e">
        <v>#N/A</v>
        <stp/>
        <stp>BDH|3288057510700314625</stp>
        <tr r="F47" s="18"/>
      </tp>
      <tp t="e">
        <v>#N/A</v>
        <stp/>
        <stp>BDH|9278659093493653141</stp>
        <tr r="R35" s="22"/>
      </tp>
      <tp t="e">
        <v>#N/A</v>
        <stp/>
        <stp>BDH|9992037938048542614</stp>
        <tr r="V21" s="34"/>
      </tp>
      <tp t="e">
        <v>#N/A</v>
        <stp/>
        <stp>BDH|9514188877348406384</stp>
        <tr r="J6" s="19"/>
        <tr r="J34" s="17"/>
        <tr r="J16" s="3"/>
      </tp>
      <tp t="e">
        <v>#N/A</v>
        <stp/>
        <stp>BDH|6049275155200691524</stp>
        <tr r="M100" s="18"/>
      </tp>
      <tp t="e">
        <v>#N/A</v>
        <stp/>
        <stp>BDH|4577538106977717206</stp>
        <tr r="J197" s="18"/>
      </tp>
      <tp t="e">
        <v>#N/A</v>
        <stp/>
        <stp>BDH|5652104233481625246</stp>
        <tr r="W40" s="22"/>
      </tp>
      <tp t="e">
        <v>#N/A</v>
        <stp/>
        <stp>BDH|1161541262222956490</stp>
        <tr r="I68" s="13"/>
      </tp>
      <tp t="e">
        <v>#N/A</v>
        <stp/>
        <stp>BDH|2326158724135535008</stp>
        <tr r="E39" s="6"/>
      </tp>
      <tp t="e">
        <v>#N/A</v>
        <stp/>
        <stp>BDH|8508507430049219306</stp>
        <tr r="X44" s="24"/>
      </tp>
      <tp t="e">
        <v>#N/A</v>
        <stp/>
        <stp>BDH|4340323730929398957</stp>
        <tr r="R13" s="18"/>
      </tp>
      <tp t="e">
        <v>#N/A</v>
        <stp/>
        <stp>BDH|3515464627421435071</stp>
        <tr r="Q43" s="24"/>
      </tp>
      <tp t="e">
        <v>#N/A</v>
        <stp/>
        <stp>BDH|9064871107562737702</stp>
        <tr r="D19" s="25"/>
      </tp>
      <tp t="e">
        <v>#N/A</v>
        <stp/>
        <stp>BDH|1562942335636484979</stp>
        <tr r="T23" s="20"/>
      </tp>
      <tp t="e">
        <v>#N/A</v>
        <stp/>
        <stp>BDH|2674503396252465833</stp>
        <tr r="Q111" s="18"/>
      </tp>
      <tp t="e">
        <v>#N/A</v>
        <stp/>
        <stp>BDH|7462848176098299434</stp>
        <tr r="Z25" s="24"/>
      </tp>
      <tp t="e">
        <v>#N/A</v>
        <stp/>
        <stp>BDH|8959573983368800927</stp>
        <tr r="X13" s="6"/>
      </tp>
      <tp t="e">
        <v>#N/A</v>
        <stp/>
        <stp>BDH|1566293379492661245</stp>
        <tr r="J28" s="21"/>
      </tp>
      <tp t="e">
        <v>#N/A</v>
        <stp/>
        <stp>BDH|9800492253675385968</stp>
        <tr r="X13" s="26"/>
      </tp>
      <tp t="e">
        <v>#N/A</v>
        <stp/>
        <stp>BDH|5398388444423006581</stp>
        <tr r="X72" s="10"/>
        <tr r="X62" s="11"/>
      </tp>
      <tp t="e">
        <v>#N/A</v>
        <stp/>
        <stp>BDH|7869484513887654128</stp>
        <tr r="H35" s="26"/>
      </tp>
      <tp t="e">
        <v>#N/A</v>
        <stp/>
        <stp>BDH|2233802626018166420</stp>
        <tr r="F28" s="13"/>
      </tp>
      <tp t="e">
        <v>#N/A</v>
        <stp/>
        <stp>BDH|9548130477358524332</stp>
        <tr r="O47" s="22"/>
      </tp>
      <tp t="e">
        <v>#N/A</v>
        <stp/>
        <stp>BDH|1691889949769454045</stp>
        <tr r="I24" s="4"/>
        <tr r="I55" s="11"/>
      </tp>
      <tp t="e">
        <v>#N/A</v>
        <stp/>
        <stp>BDH|2434777014271389139</stp>
        <tr r="S62" s="17"/>
      </tp>
      <tp t="e">
        <v>#N/A</v>
        <stp/>
        <stp>BDH|2229226654854121529</stp>
        <tr r="X82" s="17"/>
        <tr r="X20" s="3"/>
        <tr r="V6" s="7"/>
      </tp>
      <tp t="e">
        <v>#N/A</v>
        <stp/>
        <stp>BDH|3910690909395846460</stp>
        <tr r="J122" s="18"/>
        <tr r="J11" s="20"/>
      </tp>
      <tp t="e">
        <v>#N/A</v>
        <stp/>
        <stp>BDH|7373589964988055884</stp>
        <tr r="O78" s="18"/>
      </tp>
      <tp t="e">
        <v>#N/A</v>
        <stp/>
        <stp>BDH|9830660925780936951</stp>
        <tr r="Z28" s="13"/>
      </tp>
      <tp t="e">
        <v>#N/A</v>
        <stp/>
        <stp>BDH|6073113738440870061</stp>
        <tr r="G47" s="18"/>
      </tp>
      <tp t="e">
        <v>#N/A</v>
        <stp/>
        <stp>BDH|8054761221708257120</stp>
        <tr r="J12" s="6"/>
      </tp>
      <tp t="e">
        <v>#N/A</v>
        <stp/>
        <stp>BDH|3076433504797998493</stp>
        <tr r="O197" s="18"/>
      </tp>
      <tp t="e">
        <v>#N/A</v>
        <stp/>
        <stp>BDH|9002043074159128369</stp>
        <tr r="Q87" s="24"/>
      </tp>
      <tp t="e">
        <v>#N/A</v>
        <stp/>
        <stp>BDH|9646939214574766116</stp>
        <tr r="O28" s="4"/>
      </tp>
      <tp t="e">
        <v>#N/A</v>
        <stp/>
        <stp>BDH|1455527986281089970</stp>
        <tr r="T63" s="10"/>
      </tp>
      <tp t="e">
        <v>#N/A</v>
        <stp/>
        <stp>BDH|4159675872635697454</stp>
        <tr r="E55" s="18"/>
      </tp>
      <tp t="e">
        <v>#N/A</v>
        <stp/>
        <stp>BDH|7544976254238290732</stp>
        <tr r="I9" s="24"/>
      </tp>
      <tp t="e">
        <v>#N/A</v>
        <stp/>
        <stp>BDH|7592697764570867376</stp>
        <tr r="P57" s="24"/>
      </tp>
      <tp t="e">
        <v>#N/A</v>
        <stp/>
        <stp>BDH|8861124318138387460</stp>
        <tr r="AA163" s="18"/>
      </tp>
      <tp t="e">
        <v>#N/A</v>
        <stp/>
        <stp>BDH|4014302224130595160</stp>
        <tr r="F176" s="18"/>
      </tp>
      <tp t="e">
        <v>#N/A</v>
        <stp/>
        <stp>BDH|5034711146331295323</stp>
        <tr r="E169" s="18"/>
      </tp>
      <tp t="e">
        <v>#N/A</v>
        <stp/>
        <stp>BDH|4050371860743381630</stp>
        <tr r="M26" s="18"/>
      </tp>
      <tp t="e">
        <v>#N/A</v>
        <stp/>
        <stp>BDH|5757055311328691820</stp>
        <tr r="D144" s="18"/>
      </tp>
      <tp t="e">
        <v>#N/A</v>
        <stp/>
        <stp>BDH|7009868963595553872</stp>
        <tr r="G42" s="24"/>
      </tp>
      <tp t="e">
        <v>#N/A</v>
        <stp/>
        <stp>BDH|4198697322140973445</stp>
        <tr r="G59" s="21"/>
        <tr r="G37" s="25"/>
        <tr r="E31" s="4"/>
        <tr r="E52" s="11"/>
      </tp>
      <tp t="e">
        <v>#N/A</v>
        <stp/>
        <stp>BDH|2099643399628820123</stp>
        <tr r="I57" s="18"/>
      </tp>
      <tp t="e">
        <v>#N/A</v>
        <stp/>
        <stp>BDH|6642932124619758018</stp>
        <tr r="U31" s="22"/>
      </tp>
      <tp t="e">
        <v>#N/A</v>
        <stp/>
        <stp>BDH|1214389909103126556</stp>
        <tr r="R129" s="18"/>
      </tp>
      <tp t="e">
        <v>#N/A</v>
        <stp/>
        <stp>BDH|9939311408408425638</stp>
        <tr r="Q15" s="18"/>
      </tp>
      <tp t="e">
        <v>#N/A</v>
        <stp/>
        <stp>BDH|3749718446027242357</stp>
        <tr r="N75" s="34"/>
      </tp>
      <tp t="e">
        <v>#N/A</v>
        <stp/>
        <stp>BDH|5214711454636592551</stp>
        <tr r="X14" s="6"/>
      </tp>
      <tp t="e">
        <v>#N/A</v>
        <stp/>
        <stp>BDH|3716314612371843483</stp>
        <tr r="P44" s="22"/>
      </tp>
      <tp t="e">
        <v>#N/A</v>
        <stp/>
        <stp>BDH|4160348839964969410</stp>
        <tr r="X36" s="4"/>
      </tp>
      <tp t="e">
        <v>#N/A</v>
        <stp/>
        <stp>BDH|7782050957851302721</stp>
        <tr r="J49" s="22"/>
      </tp>
      <tp t="e">
        <v>#N/A</v>
        <stp/>
        <stp>BDH|7289833391053224169</stp>
        <tr r="N29" s="4"/>
      </tp>
      <tp t="e">
        <v>#N/A</v>
        <stp/>
        <stp>BDH|8387642675318685502</stp>
        <tr r="I29" s="18"/>
      </tp>
      <tp t="e">
        <v>#N/A</v>
        <stp/>
        <stp>BDH|8955464418719375002</stp>
        <tr r="T35" s="21"/>
      </tp>
      <tp t="e">
        <v>#N/A</v>
        <stp/>
        <stp>BDH|6720037054452112553</stp>
        <tr r="T184" s="18"/>
      </tp>
      <tp t="e">
        <v>#N/A</v>
        <stp/>
        <stp>BDH|2567330639535952325</stp>
        <tr r="K104" s="18"/>
      </tp>
      <tp t="e">
        <v>#N/A</v>
        <stp/>
        <stp>BDH|7417572407440627666</stp>
        <tr r="Q134" s="18"/>
      </tp>
      <tp t="e">
        <v>#N/A</v>
        <stp/>
        <stp>BDH|8537530179846203898</stp>
        <tr r="J20" s="22"/>
      </tp>
      <tp t="e">
        <v>#N/A</v>
        <stp/>
        <stp>BDH|2427141676042188238</stp>
        <tr r="J35" s="25"/>
      </tp>
      <tp t="e">
        <v>#N/A</v>
        <stp/>
        <stp>BDH|5752490098888784456</stp>
        <tr r="Y12" s="11"/>
      </tp>
      <tp t="e">
        <v>#N/A</v>
        <stp/>
        <stp>BDH|9135146353458578175</stp>
        <tr r="L131" s="18"/>
      </tp>
      <tp t="e">
        <v>#N/A</v>
        <stp/>
        <stp>BDH|2511288958494995586</stp>
        <tr r="L8" s="28"/>
      </tp>
      <tp t="e">
        <v>#N/A</v>
        <stp/>
        <stp>BDH|2734115905582705501</stp>
        <tr r="X104" s="12"/>
      </tp>
      <tp t="e">
        <v>#N/A</v>
        <stp/>
        <stp>BDH|2872583976226659241</stp>
        <tr r="I33" s="12"/>
      </tp>
      <tp t="e">
        <v>#N/A</v>
        <stp/>
        <stp>BDH|7017222058157910371</stp>
        <tr r="J69" s="12"/>
      </tp>
      <tp t="e">
        <v>#N/A</v>
        <stp/>
        <stp>BDH|8523634105108070275</stp>
        <tr r="J90" s="17"/>
        <tr r="J34" s="25"/>
      </tp>
      <tp t="e">
        <v>#N/A</v>
        <stp/>
        <stp>BDH|4802592741568348976</stp>
        <tr r="N49" s="24"/>
      </tp>
      <tp t="e">
        <v>#N/A</v>
        <stp/>
        <stp>BDH|3648470011436378473</stp>
        <tr r="U25" s="12"/>
      </tp>
      <tp t="e">
        <v>#N/A</v>
        <stp/>
        <stp>BDH|5261284633109474990</stp>
        <tr r="I30" s="21"/>
      </tp>
      <tp t="e">
        <v>#N/A</v>
        <stp/>
        <stp>BDH|8728925860060465355</stp>
        <tr r="M25" s="21"/>
      </tp>
      <tp t="e">
        <v>#N/A</v>
        <stp/>
        <stp>BDH|4170676826672601623</stp>
        <tr r="U23" s="25"/>
        <tr r="S20" s="11"/>
      </tp>
      <tp t="e">
        <v>#N/A</v>
        <stp/>
        <stp>BDH|5789653116961341732</stp>
        <tr r="S24" s="2"/>
      </tp>
      <tp t="e">
        <v>#N/A</v>
        <stp/>
        <stp>BDH|1268958699765951038</stp>
        <tr r="D44" s="17"/>
      </tp>
      <tp t="e">
        <v>#N/A</v>
        <stp/>
        <stp>BDH|1631200887659238671</stp>
        <tr r="R60" s="12"/>
      </tp>
      <tp t="e">
        <v>#N/A</v>
        <stp/>
        <stp>BDH|7213667340852689361</stp>
        <tr r="Q20" s="18"/>
      </tp>
      <tp t="e">
        <v>#N/A</v>
        <stp/>
        <stp>BDH|5907426651661705196</stp>
        <tr r="J11" s="11"/>
      </tp>
      <tp t="e">
        <v>#N/A</v>
        <stp/>
        <stp>BDH|4060522760760162373</stp>
        <tr r="H24" s="20"/>
      </tp>
      <tp t="e">
        <v>#N/A</v>
        <stp/>
        <stp>BDH|8141806104254146002</stp>
        <tr r="I191" s="18"/>
      </tp>
      <tp t="e">
        <v>#N/A</v>
        <stp/>
        <stp>BDH|3825881870891299964</stp>
        <tr r="X84" s="24"/>
      </tp>
      <tp t="e">
        <v>#N/A</v>
        <stp/>
        <stp>BDH|8631830551725319433</stp>
        <tr r="K6" s="15"/>
        <tr r="K12" s="2"/>
        <tr r="K11" s="4"/>
        <tr r="K6" s="10"/>
      </tp>
      <tp t="e">
        <v>#N/A</v>
        <stp/>
        <stp>BDH|4731306181518269300</stp>
        <tr r="F69" s="12"/>
      </tp>
      <tp t="e">
        <v>#N/A</v>
        <stp/>
        <stp>BDH|2498128004401541637</stp>
        <tr r="W28" s="6"/>
      </tp>
      <tp t="e">
        <v>#N/A</v>
        <stp/>
        <stp>BDH|8332357999782909425</stp>
        <tr r="J17" s="5"/>
        <tr r="J32" s="6"/>
      </tp>
      <tp t="e">
        <v>#N/A</v>
        <stp/>
        <stp>BDH|7214045696793220967</stp>
        <tr r="C10" s="12"/>
      </tp>
      <tp t="e">
        <v>#N/A</v>
        <stp/>
        <stp>BDH|7367899151789875779</stp>
        <tr r="S54" s="24"/>
      </tp>
      <tp t="e">
        <v>#N/A</v>
        <stp/>
        <stp>BDH|6958643458581921088</stp>
        <tr r="G75" s="18"/>
      </tp>
      <tp t="e">
        <v>#N/A</v>
        <stp/>
        <stp>BDH|1142203335923855782</stp>
        <tr r="G71" s="10"/>
        <tr r="G61" s="11"/>
      </tp>
      <tp t="e">
        <v>#N/A</v>
        <stp/>
        <stp>BDH|4815378918354655656</stp>
        <tr r="L42" s="12"/>
      </tp>
      <tp t="e">
        <v>#N/A</v>
        <stp/>
        <stp>BDH|1483315849597838502</stp>
        <tr r="K13" s="29"/>
        <tr r="K22" s="29"/>
        <tr r="K36" s="29"/>
      </tp>
      <tp t="e">
        <v>#N/A</v>
        <stp/>
        <stp>BDH|7960715808845076144</stp>
        <tr r="I37" s="12"/>
      </tp>
      <tp t="e">
        <v>#N/A</v>
        <stp/>
        <stp>BDH|7994692480124267967</stp>
        <tr r="T28" s="12"/>
      </tp>
      <tp t="e">
        <v>#N/A</v>
        <stp/>
        <stp>BDH|1108274109802924525</stp>
        <tr r="AA9" s="12"/>
      </tp>
      <tp t="e">
        <v>#N/A</v>
        <stp/>
        <stp>BDH|4210472560124119608</stp>
        <tr r="J57" s="11"/>
        <tr r="L15" s="23"/>
      </tp>
      <tp t="e">
        <v>#N/A</v>
        <stp/>
        <stp>BDH|3741509163621978597</stp>
        <tr r="T30" s="25"/>
        <tr r="T16" s="27"/>
      </tp>
      <tp t="e">
        <v>#N/A</v>
        <stp/>
        <stp>BDH|4598022152511612474</stp>
        <tr r="C17" s="23"/>
      </tp>
      <tp t="e">
        <v>#N/A</v>
        <stp/>
        <stp>BDH|7508724922381359728</stp>
        <tr r="C41" s="21"/>
      </tp>
      <tp t="e">
        <v>#N/A</v>
        <stp/>
        <stp>BDH|3398454972724271027</stp>
        <tr r="C17" s="24"/>
      </tp>
      <tp t="e">
        <v>#N/A</v>
        <stp/>
        <stp>BDH|8071918911022228667</stp>
        <tr r="V126" s="18"/>
      </tp>
      <tp t="e">
        <v>#N/A</v>
        <stp/>
        <stp>BDH|9781267353672477824</stp>
        <tr r="U20" s="27"/>
      </tp>
      <tp t="e">
        <v>#N/A</v>
        <stp/>
        <stp>BDH|2628699959861718458</stp>
        <tr r="H12" s="14"/>
      </tp>
      <tp t="e">
        <v>#N/A</v>
        <stp/>
        <stp>BDH|3681275636231071735</stp>
        <tr r="S85" s="12"/>
      </tp>
      <tp t="e">
        <v>#N/A</v>
        <stp/>
        <stp>BDH|6191159032857471762</stp>
        <tr r="I51" s="18"/>
      </tp>
      <tp t="e">
        <v>#N/A</v>
        <stp/>
        <stp>BDH|6826865368039236509</stp>
        <tr r="J52" s="18"/>
      </tp>
      <tp t="e">
        <v>#N/A</v>
        <stp/>
        <stp>BDH|5472706540002389034</stp>
        <tr r="Y45" s="18"/>
      </tp>
      <tp t="e">
        <v>#N/A</v>
        <stp/>
        <stp>BDH|1708778472466073367</stp>
        <tr r="L16" s="34"/>
      </tp>
      <tp t="e">
        <v>#N/A</v>
        <stp/>
        <stp>BDH|2055940395566077058</stp>
        <tr r="Q90" s="18"/>
      </tp>
      <tp t="e">
        <v>#N/A</v>
        <stp/>
        <stp>BDH|1451337462260070018</stp>
        <tr r="X73" s="10"/>
        <tr r="X63" s="11"/>
      </tp>
      <tp t="e">
        <v>#N/A</v>
        <stp/>
        <stp>BDH|4278344947484587301</stp>
        <tr r="W54" s="6"/>
      </tp>
      <tp t="e">
        <v>#N/A</v>
        <stp/>
        <stp>BDH|6886573278877645746</stp>
        <tr r="L93" s="12"/>
      </tp>
      <tp t="e">
        <v>#N/A</v>
        <stp/>
        <stp>BDH|4304319520839395849</stp>
        <tr r="C24" s="6"/>
      </tp>
      <tp t="e">
        <v>#N/A</v>
        <stp/>
        <stp>BDH|5255628850587695530</stp>
        <tr r="C118" s="18"/>
        <tr r="C6" s="20"/>
      </tp>
      <tp t="e">
        <v>#N/A</v>
        <stp/>
        <stp>BDH|1414038936972478406</stp>
        <tr r="Z34" s="21"/>
      </tp>
      <tp t="e">
        <v>#N/A</v>
        <stp/>
        <stp>BDH|5744304122714328434</stp>
        <tr r="E15" s="26"/>
      </tp>
      <tp t="e">
        <v>#N/A</v>
        <stp/>
        <stp>BDH|4888285654450010719</stp>
        <tr r="W8" s="11"/>
      </tp>
      <tp t="e">
        <v>#N/A</v>
        <stp/>
        <stp>BDH|2094491232959806862</stp>
        <tr r="C18" s="11"/>
      </tp>
      <tp t="e">
        <v>#N/A</v>
        <stp/>
        <stp>BDH|5275519612447500219</stp>
        <tr r="J30" s="6"/>
      </tp>
      <tp t="e">
        <v>#N/A</v>
        <stp/>
        <stp>BDH|9471270939694870875</stp>
        <tr r="D7" s="14"/>
      </tp>
      <tp t="e">
        <v>#N/A</v>
        <stp/>
        <stp>BDH|9946447452198808421</stp>
        <tr r="P17" s="4"/>
        <tr r="R10" s="3"/>
        <tr r="P56" s="10"/>
        <tr r="P46" s="11"/>
        <tr r="P17" s="7"/>
        <tr r="R61" s="13"/>
      </tp>
      <tp t="e">
        <v>#N/A</v>
        <stp/>
        <stp>BDH|2382264191675890891</stp>
        <tr r="Y81" s="12"/>
      </tp>
      <tp t="e">
        <v>#N/A</v>
        <stp/>
        <stp>BDH|1121943827267409931</stp>
        <tr r="Q43" s="4"/>
      </tp>
      <tp t="e">
        <v>#N/A</v>
        <stp/>
        <stp>BDH|6425072559113957466</stp>
        <tr r="T199" s="18"/>
      </tp>
      <tp t="e">
        <v>#N/A</v>
        <stp/>
        <stp>BDH|2603075038875568099</stp>
        <tr r="U12" s="17"/>
      </tp>
      <tp t="e">
        <v>#N/A</v>
        <stp/>
        <stp>BDH|8419990568751233227</stp>
        <tr r="E38" s="10"/>
        <tr r="E28" s="11"/>
        <tr r="G47" s="13"/>
      </tp>
      <tp t="e">
        <v>#N/A</v>
        <stp/>
        <stp>BDH|1923589226895563777</stp>
        <tr r="K43" s="4"/>
      </tp>
      <tp t="e">
        <v>#N/A</v>
        <stp/>
        <stp>BDH|2709755715358469865</stp>
        <tr r="AA41" s="18"/>
      </tp>
      <tp t="e">
        <v>#N/A</v>
        <stp/>
        <stp>BDH|5573795458402013113</stp>
        <tr r="E35" s="25"/>
      </tp>
      <tp t="e">
        <v>#N/A</v>
        <stp/>
        <stp>BDH|5820516544890108098</stp>
        <tr r="R16" s="29"/>
        <tr r="R39" s="29"/>
      </tp>
      <tp t="e">
        <v>#N/A</v>
        <stp/>
        <stp>BDH|8695903674472521028</stp>
        <tr r="F26" s="26"/>
      </tp>
      <tp t="e">
        <v>#N/A</v>
        <stp/>
        <stp>BDH|1828647324501928046</stp>
        <tr r="Y95" s="17"/>
      </tp>
      <tp t="e">
        <v>#N/A</v>
        <stp/>
        <stp>BDH|5033380838278711924</stp>
        <tr r="D55" s="12"/>
      </tp>
      <tp t="e">
        <v>#N/A</v>
        <stp/>
        <stp>BDH|5560631923424326135</stp>
        <tr r="N18" s="5"/>
        <tr r="N37" s="6"/>
      </tp>
      <tp t="e">
        <v>#N/A</v>
        <stp/>
        <stp>BDH|8202919471090287255</stp>
        <tr r="M10" s="18"/>
      </tp>
      <tp t="e">
        <v>#N/A</v>
        <stp/>
        <stp>BDH|8828469732832046990</stp>
        <tr r="Y26" s="18"/>
      </tp>
      <tp t="e">
        <v>#N/A</v>
        <stp/>
        <stp>BDH|5603984698778416974</stp>
        <tr r="U44" s="17"/>
      </tp>
      <tp t="e">
        <v>#N/A</v>
        <stp/>
        <stp>BDH|6569301975375202372</stp>
        <tr r="C59" s="24"/>
      </tp>
      <tp t="e">
        <v>#N/A</v>
        <stp/>
        <stp>BDH|2480174937177998382</stp>
        <tr r="I82" s="12"/>
      </tp>
      <tp t="e">
        <v>#N/A</v>
        <stp/>
        <stp>BDH|2963468588203431969</stp>
        <tr r="O47" s="17"/>
      </tp>
      <tp t="e">
        <v>#N/A</v>
        <stp/>
        <stp>BDH|6531120217765245776</stp>
        <tr r="N71" s="34"/>
      </tp>
      <tp t="e">
        <v>#N/A</v>
        <stp/>
        <stp>BDH|7070950907063612910</stp>
        <tr r="E15" s="18"/>
      </tp>
      <tp t="e">
        <v>#N/A</v>
        <stp/>
        <stp>BDH|3089140184918721625</stp>
        <tr r="R17" s="23"/>
      </tp>
      <tp t="e">
        <v>#N/A</v>
        <stp/>
        <stp>BDH|4890441826630792681</stp>
        <tr r="S39" s="18"/>
      </tp>
      <tp t="e">
        <v>#N/A</v>
        <stp/>
        <stp>BDH|4995114678056305064</stp>
        <tr r="R105" s="12"/>
      </tp>
      <tp t="e">
        <v>#N/A</v>
        <stp/>
        <stp>BDH|4985604726382370691</stp>
        <tr r="K22" s="12"/>
      </tp>
      <tp t="e">
        <v>#N/A</v>
        <stp/>
        <stp>BDH|3692235550424161416</stp>
        <tr r="I49" s="17"/>
      </tp>
      <tp t="e">
        <v>#N/A</v>
        <stp/>
        <stp>BDH|1866030668503036068</stp>
        <tr r="W13" s="2"/>
      </tp>
      <tp t="e">
        <v>#N/A</v>
        <stp/>
        <stp>BDH|5444005169773194497</stp>
        <tr r="X33" s="22"/>
      </tp>
      <tp t="e">
        <v>#N/A</v>
        <stp/>
        <stp>BDH|6292656716875485007</stp>
        <tr r="L22" s="12"/>
      </tp>
      <tp t="e">
        <v>#N/A</v>
        <stp/>
        <stp>BDH|5571040805333647278</stp>
        <tr r="I89" s="17"/>
      </tp>
      <tp t="e">
        <v>#N/A</v>
        <stp/>
        <stp>BDH|7615258916024800481</stp>
        <tr r="E25" s="17"/>
      </tp>
      <tp t="e">
        <v>#N/A</v>
        <stp/>
        <stp>BDH|9438520652038184503</stp>
        <tr r="P22" s="14"/>
      </tp>
      <tp t="e">
        <v>#N/A</v>
        <stp/>
        <stp>BDH|5290331004681023304</stp>
        <tr r="Q33" s="21"/>
      </tp>
      <tp t="e">
        <v>#N/A</v>
        <stp/>
        <stp>BDH|3723418223779550853</stp>
        <tr r="O8" s="6"/>
      </tp>
      <tp t="e">
        <v>#N/A</v>
        <stp/>
        <stp>BDH|5017670272942366235</stp>
        <tr r="H115" s="18"/>
      </tp>
      <tp t="e">
        <v>#N/A</v>
        <stp/>
        <stp>BDH|6172270683339576158</stp>
        <tr r="E86" s="12"/>
      </tp>
      <tp t="e">
        <v>#N/A</v>
        <stp/>
        <stp>BDH|4044169987669345074</stp>
        <tr r="L22" s="4"/>
      </tp>
      <tp t="e">
        <v>#N/A</v>
        <stp/>
        <stp>BDH|5539533973562998197</stp>
        <tr r="R13" s="25"/>
      </tp>
      <tp t="e">
        <v>#N/A</v>
        <stp/>
        <stp>BDH|6389826462924757819</stp>
        <tr r="Q123" s="18"/>
        <tr r="Q12" s="20"/>
      </tp>
      <tp t="e">
        <v>#N/A</v>
        <stp/>
        <stp>BDH|8083842497494370953</stp>
        <tr r="K7" s="14"/>
      </tp>
      <tp t="e">
        <v>#N/A</v>
        <stp/>
        <stp>BDH|5373256448882976524</stp>
        <tr r="X48" s="12"/>
      </tp>
      <tp t="e">
        <v>#N/A</v>
        <stp/>
        <stp>BDH|6324660046879628902</stp>
        <tr r="K79" s="18"/>
      </tp>
      <tp t="e">
        <v>#N/A</v>
        <stp/>
        <stp>BDH|6305493817992922515</stp>
        <tr r="L26" s="7"/>
      </tp>
      <tp t="e">
        <v>#N/A</v>
        <stp/>
        <stp>BDH|4590955468259451696</stp>
        <tr r="C85" s="18"/>
      </tp>
      <tp t="e">
        <v>#N/A</v>
        <stp/>
        <stp>BDH|5172212523915737412</stp>
        <tr r="S14" s="17"/>
        <tr r="S17" s="28"/>
      </tp>
      <tp t="e">
        <v>#N/A</v>
        <stp/>
        <stp>BDH|6675079844504124214</stp>
        <tr r="J19" s="18"/>
      </tp>
      <tp t="e">
        <v>#N/A</v>
        <stp/>
        <stp>BDH|1464108370702075112</stp>
        <tr r="V18" s="22"/>
      </tp>
      <tp t="e">
        <v>#N/A</v>
        <stp/>
        <stp>BDH|8468477856548380532</stp>
        <tr r="F74" s="17"/>
      </tp>
      <tp t="e">
        <v>#N/A</v>
        <stp/>
        <stp>BDH|4189033773745364274</stp>
        <tr r="Q35" s="22"/>
      </tp>
      <tp t="e">
        <v>#N/A</v>
        <stp/>
        <stp>BDH|75308426979384127</stp>
        <tr r="N16" s="25"/>
      </tp>
      <tp t="e">
        <v>#N/A</v>
        <stp/>
        <stp>BDH|57806064632284533</stp>
        <tr r="AA8" s="21"/>
      </tp>
      <tp t="e">
        <v>#N/A</v>
        <stp/>
        <stp>BDH|24760086950720651</stp>
        <tr r="C17" s="18"/>
      </tp>
      <tp t="e">
        <v>#N/A</v>
        <stp/>
        <stp>BDH|80877176993125523</stp>
        <tr r="Q9" s="13"/>
      </tp>
      <tp t="e">
        <v>#N/A</v>
        <stp/>
        <stp>BDH|50466644778678173</stp>
        <tr r="U71" s="17"/>
      </tp>
      <tp t="e">
        <v>#N/A</v>
        <stp/>
        <stp>BDH|63765857672623947</stp>
        <tr r="L38" s="26"/>
      </tp>
      <tp t="e">
        <v>#N/A</v>
        <stp/>
        <stp>BDH|76681292105192308</stp>
        <tr r="P32" s="17"/>
      </tp>
      <tp t="e">
        <v>#N/A</v>
        <stp/>
        <stp>BDH|33002969548384723</stp>
        <tr r="D24" s="22"/>
      </tp>
      <tp t="e">
        <v>#N/A</v>
        <stp/>
        <stp>BDH|73726019588148721</stp>
        <tr r="Q9" s="18"/>
      </tp>
      <tp t="e">
        <v>#N/A</v>
        <stp/>
        <stp>BDH|92522189062033628</stp>
        <tr r="J41" s="22"/>
      </tp>
      <tp t="e">
        <v>#N/A</v>
        <stp/>
        <stp>BDH|9694836298948572520</stp>
        <tr r="O94" s="17"/>
      </tp>
      <tp t="e">
        <v>#N/A</v>
        <stp/>
        <stp>BDH|3158386535356592038</stp>
        <tr r="F25" s="17"/>
      </tp>
      <tp t="e">
        <v>#N/A</v>
        <stp/>
        <stp>BDH|4412906884848964838</stp>
        <tr r="X55" s="18"/>
      </tp>
      <tp t="e">
        <v>#N/A</v>
        <stp/>
        <stp>BDH|5244691865469401901</stp>
        <tr r="R17" s="9"/>
      </tp>
      <tp t="e">
        <v>#N/A</v>
        <stp/>
        <stp>BDH|6190830640547874808</stp>
        <tr r="Y165" s="18"/>
      </tp>
      <tp t="e">
        <v>#N/A</v>
        <stp/>
        <stp>BDH|7961161710231405316</stp>
        <tr r="G16" s="14"/>
      </tp>
      <tp t="e">
        <v>#N/A</v>
        <stp/>
        <stp>BDH|6262037435811624188</stp>
        <tr r="Y42" s="24"/>
      </tp>
      <tp t="e">
        <v>#N/A</v>
        <stp/>
        <stp>BDH|9831677397374618745</stp>
        <tr r="G10" s="12"/>
      </tp>
      <tp t="e">
        <v>#N/A</v>
        <stp/>
        <stp>BDH|1446307030891691581</stp>
        <tr r="Q43" s="6"/>
      </tp>
      <tp t="e">
        <v>#N/A</v>
        <stp/>
        <stp>BDH|5035293969300867426</stp>
        <tr r="G85" s="24"/>
      </tp>
      <tp t="e">
        <v>#N/A</v>
        <stp/>
        <stp>BDH|1771524280308867174</stp>
        <tr r="N50" s="4"/>
      </tp>
      <tp t="e">
        <v>#N/A</v>
        <stp/>
        <stp>BDH|6035559645910247285</stp>
        <tr r="V141" s="18"/>
      </tp>
      <tp t="e">
        <v>#N/A</v>
        <stp/>
        <stp>BDH|8896602379629877538</stp>
        <tr r="O34" s="14"/>
      </tp>
      <tp t="e">
        <v>#N/A</v>
        <stp/>
        <stp>BDH|2927665117406724653</stp>
        <tr r="Q33" s="14"/>
      </tp>
      <tp t="e">
        <v>#N/A</v>
        <stp/>
        <stp>BDH|4723212428687146650</stp>
        <tr r="X8" s="10"/>
      </tp>
      <tp t="e">
        <v>#N/A</v>
        <stp/>
        <stp>BDH|1002185275026679410</stp>
        <tr r="R161" s="18"/>
      </tp>
      <tp t="e">
        <v>#N/A</v>
        <stp/>
        <stp>BDH|2526036267626325785</stp>
        <tr r="C76" s="12"/>
      </tp>
      <tp t="e">
        <v>#N/A</v>
        <stp/>
        <stp>BDH|7124367651030902450</stp>
        <tr r="J17" s="17"/>
        <tr r="J20" s="28"/>
      </tp>
      <tp t="e">
        <v>#N/A</v>
        <stp/>
        <stp>BDH|1088078483399834564</stp>
        <tr r="R41" s="21"/>
      </tp>
      <tp t="e">
        <v>#N/A</v>
        <stp/>
        <stp>BDH|5649754025107948251</stp>
        <tr r="E38" s="21"/>
        <tr r="E24" s="3"/>
      </tp>
      <tp t="e">
        <v>#N/A</v>
        <stp/>
        <stp>BDH|4848215430232705247</stp>
        <tr r="G55" s="24"/>
      </tp>
      <tp t="e">
        <v>#N/A</v>
        <stp/>
        <stp>BDH|8717068198263187724</stp>
        <tr r="U8" s="22"/>
      </tp>
      <tp t="e">
        <v>#N/A</v>
        <stp/>
        <stp>BDH|9773006030067925844</stp>
        <tr r="G16" s="25"/>
      </tp>
      <tp t="e">
        <v>#N/A</v>
        <stp/>
        <stp>BDH|4591043377142559499</stp>
        <tr r="N53" s="12"/>
      </tp>
      <tp t="e">
        <v>#N/A</v>
        <stp/>
        <stp>BDH|5314455924413858503</stp>
        <tr r="X73" s="34"/>
      </tp>
      <tp t="e">
        <v>#N/A</v>
        <stp/>
        <stp>BDH|6465322961300524683</stp>
        <tr r="P106" s="12"/>
      </tp>
      <tp t="e">
        <v>#N/A</v>
        <stp/>
        <stp>BDH|3085770677313376595</stp>
        <tr r="R8" s="8"/>
      </tp>
      <tp t="e">
        <v>#N/A</v>
        <stp/>
        <stp>BDH|6705447420130087597</stp>
        <tr r="D43" s="12"/>
      </tp>
      <tp t="e">
        <v>#N/A</v>
        <stp/>
        <stp>BDH|4970737042985637743</stp>
        <tr r="N195" s="18"/>
      </tp>
      <tp t="e">
        <v>#N/A</v>
        <stp/>
        <stp>BDH|9573305482966909142</stp>
        <tr r="I19" s="25"/>
      </tp>
      <tp t="e">
        <v>#N/A</v>
        <stp/>
        <stp>BDH|9451905033832527482</stp>
        <tr r="G53" s="12"/>
      </tp>
      <tp t="e">
        <v>#N/A</v>
        <stp/>
        <stp>BDH|5408866134262553999</stp>
        <tr r="J17" s="24"/>
      </tp>
      <tp t="e">
        <v>#N/A</v>
        <stp/>
        <stp>BDH|2080376108204139047</stp>
        <tr r="E13" s="9"/>
      </tp>
      <tp t="e">
        <v>#N/A</v>
        <stp/>
        <stp>BDH|8582764395034957752</stp>
        <tr r="O19" s="18"/>
      </tp>
      <tp t="e">
        <v>#N/A</v>
        <stp/>
        <stp>BDH|8376642034540030898</stp>
        <tr r="G93" s="18"/>
      </tp>
      <tp t="e">
        <v>#N/A</v>
        <stp/>
        <stp>BDH|2422816905569920638</stp>
        <tr r="U69" s="24"/>
      </tp>
      <tp t="e">
        <v>#N/A</v>
        <stp/>
        <stp>BDH|2157526135960852142</stp>
        <tr r="Z75" s="17"/>
      </tp>
      <tp t="e">
        <v>#N/A</v>
        <stp/>
        <stp>BDH|3643458214366969544</stp>
        <tr r="C95" s="12"/>
      </tp>
      <tp t="e">
        <v>#N/A</v>
        <stp/>
        <stp>BDH|7588803516369914204</stp>
        <tr r="I16" s="29"/>
        <tr r="I39" s="29"/>
      </tp>
      <tp t="e">
        <v>#N/A</v>
        <stp/>
        <stp>BDH|2694762240151307596</stp>
        <tr r="O13" s="8"/>
      </tp>
      <tp t="e">
        <v>#N/A</v>
        <stp/>
        <stp>BDH|7322962434929804135</stp>
        <tr r="V16" s="22"/>
      </tp>
      <tp t="e">
        <v>#N/A</v>
        <stp/>
        <stp>BDH|2838937553569099224</stp>
        <tr r="D53" s="18"/>
      </tp>
      <tp t="e">
        <v>#N/A</v>
        <stp/>
        <stp>BDH|2094889072890565852</stp>
        <tr r="X17" s="21"/>
      </tp>
      <tp t="e">
        <v>#N/A</v>
        <stp/>
        <stp>BDH|3572460831002086380</stp>
        <tr r="V96" s="18"/>
      </tp>
      <tp t="e">
        <v>#N/A</v>
        <stp/>
        <stp>BDH|4154357754686838129</stp>
        <tr r="M14" s="10"/>
      </tp>
      <tp t="e">
        <v>#N/A</v>
        <stp/>
        <stp>BDH|5346707359864738676</stp>
        <tr r="K43" s="6"/>
      </tp>
      <tp t="e">
        <v>#N/A</v>
        <stp/>
        <stp>BDH|7730627949859596924</stp>
        <tr r="G21" s="22"/>
      </tp>
      <tp t="e">
        <v>#N/A</v>
        <stp/>
        <stp>BDH|1985272170844374565</stp>
        <tr r="M74" s="18"/>
      </tp>
      <tp t="e">
        <v>#N/A</v>
        <stp/>
        <stp>BDH|4903950496004202530</stp>
        <tr r="N48" s="24"/>
      </tp>
      <tp t="e">
        <v>#N/A</v>
        <stp/>
        <stp>BDH|4656882635619983399</stp>
        <tr r="G90" s="12"/>
      </tp>
      <tp t="e">
        <v>#N/A</v>
        <stp/>
        <stp>BDH|7534733893029743594</stp>
        <tr r="X9" s="24"/>
      </tp>
      <tp t="e">
        <v>#N/A</v>
        <stp/>
        <stp>BDH|9327957914787919300</stp>
        <tr r="N18" s="24"/>
      </tp>
      <tp t="e">
        <v>#N/A</v>
        <stp/>
        <stp>BDH|7973741456565282529</stp>
        <tr r="AA67" s="18"/>
      </tp>
      <tp t="e">
        <v>#N/A</v>
        <stp/>
        <stp>BDH|3136680810700372111</stp>
        <tr r="V28" s="10"/>
        <tr r="X37" s="13"/>
      </tp>
      <tp t="e">
        <v>#N/A</v>
        <stp/>
        <stp>BDH|6940110529606259685</stp>
        <tr r="R30" s="6"/>
      </tp>
      <tp t="e">
        <v>#N/A</v>
        <stp/>
        <stp>BDH|6565786345682426276</stp>
        <tr r="I19" s="9"/>
      </tp>
      <tp t="e">
        <v>#N/A</v>
        <stp/>
        <stp>BDH|5464784736691271531</stp>
        <tr r="W7" s="4"/>
      </tp>
      <tp t="e">
        <v>#N/A</v>
        <stp/>
        <stp>BDH|8007204894090600691</stp>
        <tr r="Y62" s="17"/>
      </tp>
      <tp t="e">
        <v>#N/A</v>
        <stp/>
        <stp>BDH|6515288965077148028</stp>
        <tr r="W97" s="18"/>
      </tp>
      <tp t="e">
        <v>#N/A</v>
        <stp/>
        <stp>BDH|9753382551882422818</stp>
        <tr r="L42" s="17"/>
      </tp>
      <tp t="e">
        <v>#N/A</v>
        <stp/>
        <stp>BDH|1439724067371317490</stp>
        <tr r="V39" s="18"/>
      </tp>
      <tp t="e">
        <v>#N/A</v>
        <stp/>
        <stp>BDH|9131603693943854018</stp>
        <tr r="Q25" s="26"/>
      </tp>
      <tp t="e">
        <v>#N/A</v>
        <stp/>
        <stp>BDH|6650997930290540910</stp>
        <tr r="J179" s="18"/>
      </tp>
      <tp t="e">
        <v>#N/A</v>
        <stp/>
        <stp>BDH|4287973879536720908</stp>
        <tr r="P87" s="12"/>
      </tp>
      <tp t="e">
        <v>#N/A</v>
        <stp/>
        <stp>BDH|7172533350744109687</stp>
        <tr r="L11" s="9"/>
      </tp>
      <tp t="e">
        <v>#N/A</v>
        <stp/>
        <stp>BDH|3699285966852648054</stp>
        <tr r="H6" s="27"/>
      </tp>
      <tp t="e">
        <v>#N/A</v>
        <stp/>
        <stp>BDH|8613782794161179201</stp>
        <tr r="M66" s="21"/>
        <tr r="J27" s="6"/>
      </tp>
      <tp t="e">
        <v>#N/A</v>
        <stp/>
        <stp>BDH|5529702818356070063</stp>
        <tr r="I23" s="20"/>
      </tp>
      <tp t="e">
        <v>#N/A</v>
        <stp/>
        <stp>BDH|9901656397656915596</stp>
        <tr r="K47" s="10"/>
        <tr r="K37" s="11"/>
      </tp>
      <tp t="e">
        <v>#N/A</v>
        <stp/>
        <stp>BDH|7662294064491885789</stp>
        <tr r="Y25" s="21"/>
      </tp>
      <tp t="e">
        <v>#N/A</v>
        <stp/>
        <stp>BDH|8678916054078060980</stp>
        <tr r="V23" s="24"/>
      </tp>
      <tp t="e">
        <v>#N/A</v>
        <stp/>
        <stp>BDH|6655111412925698683</stp>
        <tr r="Z12" s="21"/>
      </tp>
      <tp t="e">
        <v>#N/A</v>
        <stp/>
        <stp>BDH|3290483352951228617</stp>
        <tr r="M85" s="17"/>
      </tp>
      <tp t="e">
        <v>#N/A</v>
        <stp/>
        <stp>BDH|7961781589784344902</stp>
        <tr r="O171" s="18"/>
      </tp>
      <tp t="e">
        <v>#N/A</v>
        <stp/>
        <stp>BDH|5396446616570321591</stp>
        <tr r="R31" s="21"/>
      </tp>
      <tp t="e">
        <v>#N/A</v>
        <stp/>
        <stp>BDH|4021620139590666468</stp>
        <tr r="X131" s="18"/>
      </tp>
      <tp t="e">
        <v>#N/A</v>
        <stp/>
        <stp>BDH|5551932891255893545</stp>
        <tr r="P32" s="12"/>
      </tp>
      <tp t="e">
        <v>#N/A</v>
        <stp/>
        <stp>BDH|3920968791245542304</stp>
        <tr r="K34" s="22"/>
      </tp>
      <tp t="e">
        <v>#N/A</v>
        <stp/>
        <stp>BDH|2972303300335581177</stp>
        <tr r="G18" s="24"/>
      </tp>
      <tp t="e">
        <v>#N/A</v>
        <stp/>
        <stp>BDH|6996327544217421306</stp>
        <tr r="F23" s="24"/>
      </tp>
      <tp t="e">
        <v>#N/A</v>
        <stp/>
        <stp>BDH|7216131648434288304</stp>
        <tr r="AA72" s="34"/>
      </tp>
      <tp t="e">
        <v>#N/A</v>
        <stp/>
        <stp>BDH|9668661869309564579</stp>
        <tr r="O38" s="6"/>
      </tp>
      <tp t="e">
        <v>#N/A</v>
        <stp/>
        <stp>BDH|7252456759170415318</stp>
        <tr r="P55" s="21"/>
      </tp>
      <tp t="e">
        <v>#N/A</v>
        <stp/>
        <stp>BDH|4632685272113581324</stp>
        <tr r="S32" s="22"/>
      </tp>
      <tp t="e">
        <v>#N/A</v>
        <stp/>
        <stp>BDH|3919998796770422697</stp>
        <tr r="Q7" s="14"/>
      </tp>
      <tp t="e">
        <v>#N/A</v>
        <stp/>
        <stp>BDH|6072642023696519198</stp>
        <tr r="S70" s="34"/>
      </tp>
      <tp t="e">
        <v>#N/A</v>
        <stp/>
        <stp>BDH|6626705119082196754</stp>
        <tr r="O8" s="13"/>
      </tp>
      <tp t="e">
        <v>#N/A</v>
        <stp/>
        <stp>BDH|8382175053418448187</stp>
        <tr r="E77" s="34"/>
      </tp>
      <tp t="e">
        <v>#N/A</v>
        <stp/>
        <stp>BDH|6987811294024147660</stp>
        <tr r="C34" s="13"/>
      </tp>
      <tp t="e">
        <v>#N/A</v>
        <stp/>
        <stp>BDH|9866877975384196706</stp>
        <tr r="M13" s="5"/>
      </tp>
      <tp t="e">
        <v>#N/A</v>
        <stp/>
        <stp>BDH|4408034374490058688</stp>
        <tr r="G20" s="2"/>
        <tr r="G18" s="4"/>
        <tr r="G58" s="10"/>
        <tr r="G48" s="11"/>
        <tr r="G19" s="7"/>
        <tr r="I74" s="13"/>
      </tp>
      <tp t="e">
        <v>#N/A</v>
        <stp/>
        <stp>BDH|8525288914386405866</stp>
        <tr r="E47" s="34"/>
      </tp>
      <tp t="e">
        <v>#N/A</v>
        <stp/>
        <stp>BDH|1694692579157470293</stp>
        <tr r="AA64" s="17"/>
      </tp>
      <tp t="e">
        <v>#N/A</v>
        <stp/>
        <stp>BDH|1575462629823370124</stp>
        <tr r="R82" s="18"/>
      </tp>
      <tp t="e">
        <v>#N/A</v>
        <stp/>
        <stp>BDH|7649608369563610126</stp>
        <tr r="G25" s="34"/>
      </tp>
      <tp t="e">
        <v>#N/A</v>
        <stp/>
        <stp>BDH|2343738118393256214</stp>
        <tr r="S30" s="24"/>
      </tp>
      <tp t="e">
        <v>#N/A</v>
        <stp/>
        <stp>BDH|5395656569433638326</stp>
        <tr r="H58" s="34"/>
      </tp>
      <tp t="e">
        <v>#N/A</v>
        <stp/>
        <stp>BDH|3848400836229376850</stp>
        <tr r="J13" s="29"/>
        <tr r="J22" s="29"/>
        <tr r="J36" s="29"/>
      </tp>
      <tp t="e">
        <v>#N/A</v>
        <stp/>
        <stp>BDH|5558914498192633222</stp>
        <tr r="I8" s="34"/>
      </tp>
      <tp t="e">
        <v>#N/A</v>
        <stp/>
        <stp>BDH|1493546131961904307</stp>
        <tr r="T36" s="21"/>
      </tp>
      <tp t="e">
        <v>#N/A</v>
        <stp/>
        <stp>BDH|1900478235125591663</stp>
        <tr r="V30" s="10"/>
        <tr r="X39" s="13"/>
      </tp>
      <tp t="e">
        <v>#N/A</v>
        <stp/>
        <stp>BDH|3714228457970915132</stp>
        <tr r="G65" s="17"/>
      </tp>
      <tp t="e">
        <v>#N/A</v>
        <stp/>
        <stp>BDH|6852070919445634781</stp>
        <tr r="H75" s="12"/>
      </tp>
      <tp t="e">
        <v>#N/A</v>
        <stp/>
        <stp>BDH|9737039608858616421</stp>
        <tr r="F159" s="18"/>
      </tp>
      <tp t="e">
        <v>#N/A</v>
        <stp/>
        <stp>BDH|5785042966503456598</stp>
        <tr r="J54" s="6"/>
      </tp>
      <tp t="e">
        <v>#N/A</v>
        <stp/>
        <stp>BDH|1254036116466658390</stp>
        <tr r="O48" s="12"/>
      </tp>
      <tp t="e">
        <v>#N/A</v>
        <stp/>
        <stp>BDH|2892617663930713753</stp>
        <tr r="T17" s="4"/>
        <tr r="V10" s="3"/>
        <tr r="T56" s="10"/>
        <tr r="T46" s="11"/>
        <tr r="T17" s="7"/>
        <tr r="V61" s="13"/>
      </tp>
      <tp t="e">
        <v>#N/A</v>
        <stp/>
        <stp>BDH|6284846403848831350</stp>
        <tr r="H19" s="20"/>
      </tp>
      <tp t="e">
        <v>#N/A</v>
        <stp/>
        <stp>BDH|4626264539616405655</stp>
        <tr r="Z11" s="17"/>
      </tp>
      <tp t="e">
        <v>#N/A</v>
        <stp/>
        <stp>BDH|3054038285568682685</stp>
        <tr r="P39" s="34"/>
      </tp>
      <tp t="e">
        <v>#N/A</v>
        <stp/>
        <stp>BDH|9863674794456715543</stp>
        <tr r="E12" s="24"/>
      </tp>
      <tp t="e">
        <v>#N/A</v>
        <stp/>
        <stp>BDH|2779610859050309440</stp>
        <tr r="M14" s="13"/>
      </tp>
      <tp t="e">
        <v>#N/A</v>
        <stp/>
        <stp>BDH|9645666918442507951</stp>
        <tr r="Z192" s="18"/>
      </tp>
      <tp t="e">
        <v>#N/A</v>
        <stp/>
        <stp>BDH|5254782248650310396</stp>
        <tr r="S20" s="29"/>
      </tp>
      <tp t="e">
        <v>#N/A</v>
        <stp/>
        <stp>BDH|1058013409600154413</stp>
        <tr r="Q28" s="6"/>
      </tp>
      <tp t="e">
        <v>#N/A</v>
        <stp/>
        <stp>BDH|9196756556996262886</stp>
        <tr r="E35" s="24"/>
      </tp>
      <tp t="e">
        <v>#N/A</v>
        <stp/>
        <stp>BDH|7834711224560479716</stp>
        <tr r="D38" s="13"/>
      </tp>
      <tp t="e">
        <v>#N/A</v>
        <stp/>
        <stp>BDH|9420815164251046398</stp>
        <tr r="J20" s="6"/>
      </tp>
      <tp t="e">
        <v>#N/A</v>
        <stp/>
        <stp>BDH|3674756124557846478</stp>
        <tr r="N157" s="18"/>
      </tp>
      <tp t="e">
        <v>#N/A</v>
        <stp/>
        <stp>BDH|4515876279716385800</stp>
        <tr r="O27" s="17"/>
      </tp>
      <tp t="e">
        <v>#N/A</v>
        <stp/>
        <stp>BDH|7379939268738354534</stp>
        <tr r="W15" s="34"/>
      </tp>
      <tp t="e">
        <v>#N/A</v>
        <stp/>
        <stp>BDH|5807138323634433746</stp>
        <tr r="F25" s="4"/>
        <tr r="F65" s="10"/>
      </tp>
      <tp t="e">
        <v>#N/A</v>
        <stp/>
        <stp>BDH|7969828464795676915</stp>
        <tr r="P34" s="21"/>
      </tp>
      <tp t="e">
        <v>#N/A</v>
        <stp/>
        <stp>BDH|4839549305617131304</stp>
        <tr r="H30" s="34"/>
      </tp>
      <tp t="e">
        <v>#N/A</v>
        <stp/>
        <stp>BDH|1774171927041682695</stp>
        <tr r="R92" s="17"/>
        <tr r="R7" s="27"/>
      </tp>
      <tp t="e">
        <v>#N/A</v>
        <stp/>
        <stp>BDH|6589252536726919476</stp>
        <tr r="S24" s="18"/>
      </tp>
      <tp t="e">
        <v>#N/A</v>
        <stp/>
        <stp>BDH|1047731252647891110</stp>
        <tr r="H81" s="24"/>
      </tp>
      <tp t="e">
        <v>#N/A</v>
        <stp/>
        <stp>BDH|2209620966011947679</stp>
        <tr r="Z117" s="18"/>
      </tp>
      <tp t="e">
        <v>#N/A</v>
        <stp/>
        <stp>BDH|6168196994499499200</stp>
        <tr r="AA79" s="18"/>
      </tp>
      <tp t="e">
        <v>#N/A</v>
        <stp/>
        <stp>BDH|9972990058972544257</stp>
        <tr r="X45" s="24"/>
      </tp>
      <tp t="e">
        <v>#N/A</v>
        <stp/>
        <stp>BDH|2350012580117998832</stp>
        <tr r="W50" s="17"/>
      </tp>
      <tp t="e">
        <v>#N/A</v>
        <stp/>
        <stp>BDH|7213602953270089195</stp>
        <tr r="H39" s="17"/>
      </tp>
      <tp t="e">
        <v>#N/A</v>
        <stp/>
        <stp>BDH|3351353412645881144</stp>
        <tr r="D28" s="10"/>
        <tr r="F37" s="13"/>
      </tp>
      <tp t="e">
        <v>#N/A</v>
        <stp/>
        <stp>BDH|5730163126970627397</stp>
        <tr r="Y25" s="12"/>
      </tp>
      <tp t="e">
        <v>#N/A</v>
        <stp/>
        <stp>BDH|9932461435149081227</stp>
        <tr r="U73" s="10"/>
        <tr r="U63" s="11"/>
      </tp>
      <tp t="e">
        <v>#N/A</v>
        <stp/>
        <stp>BDH|2320314263321023398</stp>
        <tr r="W32" s="34"/>
      </tp>
      <tp t="e">
        <v>#N/A</v>
        <stp/>
        <stp>BDH|5605388366901885486</stp>
        <tr r="U89" s="17"/>
      </tp>
      <tp t="e">
        <v>#N/A</v>
        <stp/>
        <stp>BDH|8090462959459134563</stp>
        <tr r="L23" s="30"/>
        <tr r="L25" s="23"/>
      </tp>
      <tp t="e">
        <v>#N/A</v>
        <stp/>
        <stp>BDH|7872242975301412659</stp>
        <tr r="K14" s="10"/>
      </tp>
      <tp t="e">
        <v>#N/A</v>
        <stp/>
        <stp>BDH|1725843948189225103</stp>
        <tr r="W48" s="6"/>
        <tr r="Y9" s="8"/>
      </tp>
      <tp t="e">
        <v>#N/A</v>
        <stp/>
        <stp>BDH|9952532321478600343</stp>
        <tr r="M9" s="2"/>
        <tr r="O8" s="25"/>
        <tr r="L10" s="5"/>
      </tp>
      <tp t="e">
        <v>#N/A</v>
        <stp/>
        <stp>BDH|6073607936586745081</stp>
        <tr r="S12" s="21"/>
      </tp>
      <tp t="e">
        <v>#N/A</v>
        <stp/>
        <stp>BDH|4721356930292971322</stp>
        <tr r="U53" s="13"/>
      </tp>
      <tp t="e">
        <v>#N/A</v>
        <stp/>
        <stp>BDH|1324720239868591840</stp>
        <tr r="Y66" s="12"/>
      </tp>
      <tp t="e">
        <v>#N/A</v>
        <stp/>
        <stp>BDH|6655135077361221492</stp>
        <tr r="C67" s="21"/>
      </tp>
      <tp t="e">
        <v>#N/A</v>
        <stp/>
        <stp>BDH|6350272493138834066</stp>
        <tr r="Q141" s="18"/>
      </tp>
      <tp t="e">
        <v>#N/A</v>
        <stp/>
        <stp>BDH|2462757744236418281</stp>
        <tr r="O95" s="17"/>
      </tp>
      <tp t="e">
        <v>#N/A</v>
        <stp/>
        <stp>BDH|6922258100962441315</stp>
        <tr r="H47" s="17"/>
      </tp>
      <tp t="e">
        <v>#N/A</v>
        <stp/>
        <stp>BDH|2045166407444969212</stp>
        <tr r="U37" s="18"/>
      </tp>
      <tp t="e">
        <v>#N/A</v>
        <stp/>
        <stp>BDH|6197590936915410033</stp>
        <tr r="H13" s="7"/>
      </tp>
      <tp t="e">
        <v>#N/A</v>
        <stp/>
        <stp>BDH|6056084427178518934</stp>
        <tr r="N11" s="9"/>
      </tp>
      <tp t="e">
        <v>#N/A</v>
        <stp/>
        <stp>BDH|5004099475384381367</stp>
        <tr r="C47" s="21"/>
      </tp>
      <tp t="e">
        <v>#N/A</v>
        <stp/>
        <stp>BDH|9138337204508743780</stp>
        <tr r="E48" s="17"/>
      </tp>
      <tp t="e">
        <v>#N/A</v>
        <stp/>
        <stp>BDH|6748695335916391014</stp>
        <tr r="E174" s="18"/>
      </tp>
      <tp t="e">
        <v>#N/A</v>
        <stp/>
        <stp>BDH|5556802189851696132</stp>
        <tr r="F35" s="26"/>
      </tp>
      <tp t="e">
        <v>#N/A</v>
        <stp/>
        <stp>BDH|9493993132744596233</stp>
        <tr r="Q11" s="13"/>
      </tp>
      <tp t="e">
        <v>#N/A</v>
        <stp/>
        <stp>BDH|4349226639652928281</stp>
        <tr r="L25" s="14"/>
      </tp>
      <tp t="e">
        <v>#N/A</v>
        <stp/>
        <stp>BDH|4580381049177898156</stp>
        <tr r="H68" s="24"/>
      </tp>
      <tp t="e">
        <v>#N/A</v>
        <stp/>
        <stp>BDH|6314433834662445697</stp>
        <tr r="C87" s="18"/>
      </tp>
      <tp t="e">
        <v>#N/A</v>
        <stp/>
        <stp>BDH|3252320018350116401</stp>
        <tr r="W74" s="18"/>
      </tp>
      <tp t="e">
        <v>#N/A</v>
        <stp/>
        <stp>BDH|6823014003131089239</stp>
        <tr r="C140" s="18"/>
      </tp>
      <tp t="e">
        <v>#N/A</v>
        <stp/>
        <stp>BDH|6921716362445084731</stp>
        <tr r="P65" s="12"/>
      </tp>
      <tp t="e">
        <v>#N/A</v>
        <stp/>
        <stp>BDH|1879141851963724334</stp>
        <tr r="E25" s="13"/>
      </tp>
      <tp t="e">
        <v>#N/A</v>
        <stp/>
        <stp>BDH|2271420625835527494</stp>
        <tr r="K208" s="18"/>
      </tp>
      <tp t="e">
        <v>#N/A</v>
        <stp/>
        <stp>BDH|2304396228210393685</stp>
        <tr r="S46" s="21"/>
      </tp>
      <tp t="e">
        <v>#N/A</v>
        <stp/>
        <stp>BDH|1327104131353843539</stp>
        <tr r="L9" s="13"/>
      </tp>
      <tp t="e">
        <v>#N/A</v>
        <stp/>
        <stp>BDH|6928361852316391371</stp>
        <tr r="P102" s="18"/>
      </tp>
      <tp t="e">
        <v>#N/A</v>
        <stp/>
        <stp>BDH|6907343031300531308</stp>
        <tr r="R90" s="17"/>
        <tr r="R34" s="25"/>
      </tp>
      <tp t="e">
        <v>#N/A</v>
        <stp/>
        <stp>BDH|4097902937328944377</stp>
        <tr r="M76" s="17"/>
        <tr r="J9" s="5"/>
        <tr r="J9" s="9"/>
      </tp>
      <tp t="e">
        <v>#N/A</v>
        <stp/>
        <stp>BDH|3924510432924058435</stp>
        <tr r="Z31" s="26"/>
        <tr r="W14" s="9"/>
      </tp>
      <tp t="e">
        <v>#N/A</v>
        <stp/>
        <stp>BDH|7255423325632430689</stp>
        <tr r="I128" s="18"/>
      </tp>
      <tp t="e">
        <v>#N/A</v>
        <stp/>
        <stp>BDH|3213895326838053443</stp>
        <tr r="F33" s="12"/>
      </tp>
      <tp t="e">
        <v>#N/A</v>
        <stp/>
        <stp>BDH|5321119878461641751</stp>
        <tr r="R18" s="26"/>
      </tp>
      <tp t="e">
        <v>#N/A</v>
        <stp/>
        <stp>BDH|3712393923714004348</stp>
        <tr r="E134" s="18"/>
      </tp>
      <tp t="e">
        <v>#N/A</v>
        <stp/>
        <stp>BDH|7789581907361800696</stp>
        <tr r="P108" s="18"/>
      </tp>
      <tp t="e">
        <v>#N/A</v>
        <stp/>
        <stp>BDH|6895818232078048029</stp>
        <tr r="AA21" s="17"/>
        <tr r="AA15" s="3"/>
      </tp>
      <tp t="e">
        <v>#N/A</v>
        <stp/>
        <stp>BDH|9641676667119941568</stp>
        <tr r="V6" s="6"/>
      </tp>
      <tp t="e">
        <v>#N/A</v>
        <stp/>
        <stp>BDH|5769096301827564731</stp>
        <tr r="M63" s="24"/>
      </tp>
      <tp t="e">
        <v>#N/A</v>
        <stp/>
        <stp>BDH|6572148707967150592</stp>
        <tr r="F15" s="34"/>
      </tp>
      <tp t="e">
        <v>#N/A</v>
        <stp/>
        <stp>BDH|6129161145772420487</stp>
        <tr r="D10" s="24"/>
      </tp>
      <tp t="e">
        <v>#N/A</v>
        <stp/>
        <stp>BDH|4799423250869309982</stp>
        <tr r="X15" s="14"/>
      </tp>
      <tp t="e">
        <v>#N/A</v>
        <stp/>
        <stp>BDH|5846840185148736806</stp>
        <tr r="L31" s="24"/>
      </tp>
      <tp t="e">
        <v>#N/A</v>
        <stp/>
        <stp>BDH|4733897530038272223</stp>
        <tr r="W158" s="18"/>
      </tp>
      <tp t="e">
        <v>#N/A</v>
        <stp/>
        <stp>BDH|8748997636341379657</stp>
        <tr r="O15" s="13"/>
      </tp>
      <tp t="e">
        <v>#N/A</v>
        <stp/>
        <stp>BDH|2527441574445802134</stp>
        <tr r="T175" s="18"/>
      </tp>
      <tp t="e">
        <v>#N/A</v>
        <stp/>
        <stp>BDH|7013493752225720621</stp>
        <tr r="N47" s="24"/>
      </tp>
      <tp t="e">
        <v>#N/A</v>
        <stp/>
        <stp>BDH|5216035575746870127</stp>
        <tr r="D8" s="23"/>
      </tp>
      <tp t="e">
        <v>#N/A</v>
        <stp/>
        <stp>BDH|9026092214005631851</stp>
        <tr r="C50" s="21"/>
      </tp>
      <tp t="e">
        <v>#N/A</v>
        <stp/>
        <stp>BDH|9724915850880143099</stp>
        <tr r="T12" s="14"/>
      </tp>
      <tp t="e">
        <v>#N/A</v>
        <stp/>
        <stp>BDH|8314625203373430886</stp>
        <tr r="X62" s="17"/>
      </tp>
      <tp t="e">
        <v>#N/A</v>
        <stp/>
        <stp>BDH|5643764968275104470</stp>
        <tr r="C12" s="11"/>
      </tp>
      <tp t="e">
        <v>#N/A</v>
        <stp/>
        <stp>BDH|3850070972795604457</stp>
        <tr r="M16" s="26"/>
      </tp>
      <tp t="e">
        <v>#N/A</v>
        <stp/>
        <stp>BDH|1124696067701559543</stp>
        <tr r="S19" s="20"/>
      </tp>
      <tp t="e">
        <v>#N/A</v>
        <stp/>
        <stp>BDH|7617689855339688834</stp>
        <tr r="K89" s="12"/>
      </tp>
      <tp t="e">
        <v>#N/A</v>
        <stp/>
        <stp>BDH|9391861141309255989</stp>
        <tr r="U11" s="6"/>
      </tp>
      <tp t="e">
        <v>#N/A</v>
        <stp/>
        <stp>BDH|3401689425043676119</stp>
        <tr r="J147" s="18"/>
      </tp>
      <tp t="e">
        <v>#N/A</v>
        <stp/>
        <stp>BDH|1381563329081057229</stp>
        <tr r="Y126" s="18"/>
      </tp>
      <tp t="e">
        <v>#N/A</v>
        <stp/>
        <stp>BDH|6053112929764344453</stp>
        <tr r="I50" s="21"/>
      </tp>
      <tp t="e">
        <v>#N/A</v>
        <stp/>
        <stp>BDH|3952770376254550234</stp>
        <tr r="L21" s="27"/>
      </tp>
      <tp t="e">
        <v>#N/A</v>
        <stp/>
        <stp>BDH|5973340276724577001</stp>
        <tr r="H69" s="12"/>
      </tp>
      <tp t="e">
        <v>#N/A</v>
        <stp/>
        <stp>BDH|1969258220701691546</stp>
        <tr r="R7" s="8"/>
      </tp>
      <tp t="e">
        <v>#N/A</v>
        <stp/>
        <stp>BDH|3932872745799427312</stp>
        <tr r="R52" s="13"/>
      </tp>
      <tp t="e">
        <v>#N/A</v>
        <stp/>
        <stp>BDH|3307519445761909607</stp>
        <tr r="AA95" s="17"/>
      </tp>
      <tp t="e">
        <v>#N/A</v>
        <stp/>
        <stp>BDH|2374183326216598266</stp>
        <tr r="L22" s="7"/>
      </tp>
      <tp t="e">
        <v>#N/A</v>
        <stp/>
        <stp>BDH|1036260804485574398</stp>
        <tr r="F22" s="14"/>
      </tp>
      <tp t="e">
        <v>#N/A</v>
        <stp/>
        <stp>BDH|4452385725787494736</stp>
        <tr r="I8" s="11"/>
      </tp>
      <tp t="e">
        <v>#N/A</v>
        <stp/>
        <stp>BDH|9498311900639307685</stp>
        <tr r="M26" s="21"/>
      </tp>
      <tp t="e">
        <v>#N/A</v>
        <stp/>
        <stp>BDH|1720526638264142629</stp>
        <tr r="Y93" s="17"/>
        <tr r="Y13" s="28"/>
      </tp>
      <tp t="e">
        <v>#N/A</v>
        <stp/>
        <stp>BDH|1098586802763738230</stp>
        <tr r="W153" s="18"/>
      </tp>
      <tp t="e">
        <v>#N/A</v>
        <stp/>
        <stp>BDH|6502098980379126232</stp>
        <tr r="P15" s="29"/>
        <tr r="P38" s="29"/>
      </tp>
      <tp t="e">
        <v>#N/A</v>
        <stp/>
        <stp>BDH|5996604155996595576</stp>
        <tr r="U157" s="18"/>
      </tp>
      <tp t="e">
        <v>#N/A</v>
        <stp/>
        <stp>BDH|1815153640801145024</stp>
        <tr r="X27" s="10"/>
        <tr r="Z36" s="13"/>
      </tp>
      <tp t="e">
        <v>#N/A</v>
        <stp/>
        <stp>BDH|1030818998072079776</stp>
        <tr r="Q43" s="34"/>
      </tp>
      <tp t="e">
        <v>#N/A</v>
        <stp/>
        <stp>BDH|2795165758460454330</stp>
        <tr r="Z67" s="21"/>
      </tp>
      <tp t="e">
        <v>#N/A</v>
        <stp/>
        <stp>BDH|6336757860830952214</stp>
        <tr r="J144" s="18"/>
      </tp>
      <tp t="e">
        <v>#N/A</v>
        <stp/>
        <stp>BDH|5085692904502705442</stp>
        <tr r="P35" s="34"/>
      </tp>
      <tp t="e">
        <v>#N/A</v>
        <stp/>
        <stp>BDH|7605204543953367787</stp>
        <tr r="K150" s="18"/>
      </tp>
      <tp t="e">
        <v>#N/A</v>
        <stp/>
        <stp>BDH|1807773140680881791</stp>
        <tr r="G173" s="18"/>
      </tp>
      <tp t="e">
        <v>#N/A</v>
        <stp/>
        <stp>BDH|1004278434401539483</stp>
        <tr r="I164" s="18"/>
      </tp>
      <tp t="e">
        <v>#N/A</v>
        <stp/>
        <stp>BDH|9658720729639085037</stp>
        <tr r="W10" s="21"/>
      </tp>
      <tp t="e">
        <v>#N/A</v>
        <stp/>
        <stp>BDH|2885896300027611890</stp>
        <tr r="L184" s="18"/>
      </tp>
      <tp t="e">
        <v>#N/A</v>
        <stp/>
        <stp>BDH|3692551126438841937</stp>
        <tr r="Z197" s="18"/>
      </tp>
      <tp t="e">
        <v>#N/A</v>
        <stp/>
        <stp>BDH|8420512488942560261</stp>
        <tr r="F70" s="34"/>
      </tp>
      <tp t="e">
        <v>#N/A</v>
        <stp/>
        <stp>BDH|6240098987963658851</stp>
        <tr r="E7" s="17"/>
      </tp>
      <tp t="e">
        <v>#N/A</v>
        <stp/>
        <stp>BDH|8285480651838187459</stp>
        <tr r="E9" s="27"/>
      </tp>
      <tp t="e">
        <v>#N/A</v>
        <stp/>
        <stp>BDH|8881658386672468101</stp>
        <tr r="U77" s="18"/>
      </tp>
      <tp t="e">
        <v>#N/A</v>
        <stp/>
        <stp>BDH|1879242848390347283</stp>
        <tr r="W16" s="20"/>
      </tp>
      <tp t="e">
        <v>#N/A</v>
        <stp/>
        <stp>BDH|7888548005875589230</stp>
        <tr r="T17" s="20"/>
      </tp>
      <tp t="e">
        <v>#N/A</v>
        <stp/>
        <stp>BDH|7827453257232561105</stp>
        <tr r="V63" s="24"/>
      </tp>
      <tp t="e">
        <v>#N/A</v>
        <stp/>
        <stp>BDH|5755582744057635624</stp>
        <tr r="C40" s="24"/>
      </tp>
      <tp t="e">
        <v>#N/A</v>
        <stp/>
        <stp>BDH|6666904114112475994</stp>
        <tr r="Q44" s="17"/>
      </tp>
      <tp t="e">
        <v>#N/A</v>
        <stp/>
        <stp>BDH|9604052897284873134</stp>
        <tr r="N25" s="4"/>
        <tr r="N65" s="10"/>
      </tp>
      <tp t="e">
        <v>#N/A</v>
        <stp/>
        <stp>BDH|6233772929870283612</stp>
        <tr r="L164" s="18"/>
      </tp>
      <tp t="e">
        <v>#N/A</v>
        <stp/>
        <stp>BDH|4754836128013122823</stp>
        <tr r="J45" s="21"/>
      </tp>
      <tp t="e">
        <v>#N/A</v>
        <stp/>
        <stp>BDH|3200824970391653890</stp>
        <tr r="G67" s="17"/>
        <tr r="G18" s="3"/>
      </tp>
      <tp t="e">
        <v>#N/A</v>
        <stp/>
        <stp>BDH|5665799176937479723</stp>
        <tr r="G68" s="10"/>
      </tp>
      <tp t="e">
        <v>#N/A</v>
        <stp/>
        <stp>BDH|3040476329154320424</stp>
        <tr r="M75" s="24"/>
      </tp>
      <tp t="e">
        <v>#N/A</v>
        <stp/>
        <stp>BDH|9969858405627058368</stp>
        <tr r="G34" s="9"/>
      </tp>
      <tp t="e">
        <v>#N/A</v>
        <stp/>
        <stp>BDH|8201962589144653843</stp>
        <tr r="Y23" s="18"/>
      </tp>
      <tp t="e">
        <v>#N/A</v>
        <stp/>
        <stp>BDH|6884934655896706961</stp>
        <tr r="V52" s="10"/>
        <tr r="V42" s="11"/>
        <tr r="V15" s="7"/>
      </tp>
      <tp t="e">
        <v>#N/A</v>
        <stp/>
        <stp>BDH|4207243709081327234</stp>
        <tr r="F12" s="25"/>
      </tp>
      <tp t="e">
        <v>#N/A</v>
        <stp/>
        <stp>BDH|7530235212180950127</stp>
        <tr r="H17" s="24"/>
      </tp>
      <tp t="e">
        <v>#N/A</v>
        <stp/>
        <stp>BDH|1856605634863554269</stp>
        <tr r="E15" s="14"/>
      </tp>
      <tp t="e">
        <v>#N/A</v>
        <stp/>
        <stp>BDH|9195896171822368155</stp>
        <tr r="C12" s="13"/>
      </tp>
      <tp t="e">
        <v>#N/A</v>
        <stp/>
        <stp>BDH|4311433281454807961</stp>
        <tr r="J40" s="22"/>
      </tp>
      <tp t="e">
        <v>#N/A</v>
        <stp/>
        <stp>BDH|3953713132577641531</stp>
        <tr r="K42" s="24"/>
      </tp>
      <tp t="e">
        <v>#N/A</v>
        <stp/>
        <stp>BDH|2600303740577130783</stp>
        <tr r="G24" s="6"/>
      </tp>
      <tp t="e">
        <v>#N/A</v>
        <stp/>
        <stp>BDH|2986007300944587337</stp>
        <tr r="V34" s="12"/>
      </tp>
      <tp t="e">
        <v>#N/A</v>
        <stp/>
        <stp>BDH|6892737864457601563</stp>
        <tr r="G64" s="10"/>
      </tp>
      <tp t="e">
        <v>#N/A</v>
        <stp/>
        <stp>BDH|1295081362762308047</stp>
        <tr r="G38" s="24"/>
      </tp>
      <tp t="e">
        <v>#N/A</v>
        <stp/>
        <stp>BDH|1575422368892175412</stp>
        <tr r="F92" s="12"/>
      </tp>
      <tp t="e">
        <v>#N/A</v>
        <stp/>
        <stp>BDH|3028928795872908419</stp>
        <tr r="R48" s="18"/>
      </tp>
      <tp t="e">
        <v>#N/A</v>
        <stp/>
        <stp>BDH|8573444575438294695</stp>
        <tr r="E101" s="12"/>
      </tp>
      <tp t="e">
        <v>#N/A</v>
        <stp/>
        <stp>BDH|1892055132560719772</stp>
        <tr r="J26" s="21"/>
      </tp>
      <tp t="e">
        <v>#N/A</v>
        <stp/>
        <stp>BDH|3563153516060082691</stp>
        <tr r="H20" s="22"/>
      </tp>
      <tp t="e">
        <v>#N/A</v>
        <stp/>
        <stp>BDH|1188191063442200161</stp>
        <tr r="G107" s="18"/>
      </tp>
      <tp t="e">
        <v>#N/A</v>
        <stp/>
        <stp>BDH|2218704419998069946</stp>
        <tr r="H99" s="18"/>
      </tp>
      <tp t="e">
        <v>#N/A</v>
        <stp/>
        <stp>BDH|2437776493190886970</stp>
        <tr r="S27" s="21"/>
      </tp>
      <tp t="e">
        <v>#N/A</v>
        <stp/>
        <stp>BDH|2096247253689102994</stp>
        <tr r="H176" s="18"/>
      </tp>
      <tp t="e">
        <v>#N/A</v>
        <stp/>
        <stp>BDH|5394532249068728915</stp>
        <tr r="H85" s="17"/>
      </tp>
      <tp t="e">
        <v>#N/A</v>
        <stp/>
        <stp>BDH|5568146134232271089</stp>
        <tr r="D46" s="21"/>
      </tp>
      <tp t="e">
        <v>#N/A</v>
        <stp/>
        <stp>BDH|6563635899658933499</stp>
        <tr r="K68" s="24"/>
      </tp>
      <tp t="e">
        <v>#N/A</v>
        <stp/>
        <stp>BDH|7985271024011011356</stp>
        <tr r="I63" s="34"/>
      </tp>
      <tp t="e">
        <v>#N/A</v>
        <stp/>
        <stp>BDH|5836007227810512253</stp>
        <tr r="L210" s="18"/>
      </tp>
      <tp t="e">
        <v>#N/A</v>
        <stp/>
        <stp>BDH|6480236582310874924</stp>
        <tr r="T145" s="18"/>
      </tp>
      <tp t="e">
        <v>#N/A</v>
        <stp/>
        <stp>BDH|8117813565567897420</stp>
        <tr r="H13" s="18"/>
      </tp>
      <tp t="e">
        <v>#N/A</v>
        <stp/>
        <stp>BDH|5945700995288198621</stp>
        <tr r="V38" s="10"/>
        <tr r="V28" s="11"/>
        <tr r="X47" s="13"/>
      </tp>
      <tp t="e">
        <v>#N/A</v>
        <stp/>
        <stp>BDH|8522388906249003746</stp>
        <tr r="V99" s="18"/>
      </tp>
      <tp t="e">
        <v>#N/A</v>
        <stp/>
        <stp>BDH|5009306629725329462</stp>
        <tr r="P32" s="10"/>
        <tr r="R41" s="13"/>
      </tp>
      <tp t="e">
        <v>#N/A</v>
        <stp/>
        <stp>BDH|9381867059745482441</stp>
        <tr r="W25" s="12"/>
      </tp>
      <tp t="e">
        <v>#N/A</v>
        <stp/>
        <stp>BDH|7548176735628931826</stp>
        <tr r="E82" s="12"/>
      </tp>
      <tp t="e">
        <v>#N/A</v>
        <stp/>
        <stp>BDH|7365242912359106886</stp>
        <tr r="G87" s="17"/>
      </tp>
      <tp t="e">
        <v>#N/A</v>
        <stp/>
        <stp>BDH|4547221728408208910</stp>
        <tr r="Y22" s="20"/>
      </tp>
      <tp t="e">
        <v>#N/A</v>
        <stp/>
        <stp>BDH|8728787366688629430</stp>
        <tr r="D39" s="17"/>
      </tp>
      <tp t="e">
        <v>#N/A</v>
        <stp/>
        <stp>BDH|8935887068675569605</stp>
        <tr r="E41" s="21"/>
      </tp>
      <tp t="e">
        <v>#N/A</v>
        <stp/>
        <stp>BDH|9597639949189050734</stp>
        <tr r="T90" s="17"/>
        <tr r="T34" s="25"/>
      </tp>
      <tp t="e">
        <v>#N/A</v>
        <stp/>
        <stp>BDH|3174234200426713296</stp>
        <tr r="G46" s="21"/>
      </tp>
      <tp t="e">
        <v>#N/A</v>
        <stp/>
        <stp>BDH|6524492479793809317</stp>
        <tr r="Z43" s="17"/>
      </tp>
      <tp t="e">
        <v>#N/A</v>
        <stp/>
        <stp>BDH|9265822701536418290</stp>
        <tr r="L142" s="18"/>
      </tp>
      <tp t="e">
        <v>#N/A</v>
        <stp/>
        <stp>BDH|7968620247675506550</stp>
        <tr r="W21" s="27"/>
      </tp>
      <tp t="e">
        <v>#N/A</v>
        <stp/>
        <stp>BDH|8844037604374233910</stp>
        <tr r="Q67" s="21"/>
      </tp>
      <tp t="e">
        <v>#N/A</v>
        <stp/>
        <stp>BDH|3991519317292229013</stp>
        <tr r="X7" s="4"/>
      </tp>
      <tp t="e">
        <v>#N/A</v>
        <stp/>
        <stp>BDH|5050862769419118721</stp>
        <tr r="I132" s="18"/>
      </tp>
      <tp t="e">
        <v>#N/A</v>
        <stp/>
        <stp>BDH|9104813145915812519</stp>
        <tr r="E94" s="17"/>
      </tp>
      <tp t="e">
        <v>#N/A</v>
        <stp/>
        <stp>BDH|4563155234705156693</stp>
        <tr r="I89" s="18"/>
      </tp>
      <tp t="e">
        <v>#N/A</v>
        <stp/>
        <stp>BDH|3511435658000256703</stp>
        <tr r="G81" s="12"/>
      </tp>
      <tp t="e">
        <v>#N/A</v>
        <stp/>
        <stp>BDH|2168100331964557198</stp>
        <tr r="I86" s="17"/>
      </tp>
      <tp t="e">
        <v>#N/A</v>
        <stp/>
        <stp>BDH|2103126512522944540</stp>
        <tr r="X32" s="9"/>
      </tp>
      <tp t="e">
        <v>#N/A</v>
        <stp/>
        <stp>BDH|2095399520815072358</stp>
        <tr r="N56" s="12"/>
      </tp>
      <tp t="e">
        <v>#N/A</v>
        <stp/>
        <stp>BDH|4528490864073544011</stp>
        <tr r="H182" s="18"/>
      </tp>
      <tp t="e">
        <v>#N/A</v>
        <stp/>
        <stp>BDH|8961398981894959244</stp>
        <tr r="O89" s="17"/>
      </tp>
      <tp t="e">
        <v>#N/A</v>
        <stp/>
        <stp>BDH|6243036921511502090</stp>
        <tr r="U17" s="20"/>
      </tp>
      <tp t="e">
        <v>#N/A</v>
        <stp/>
        <stp>BDH|6729797272591079200</stp>
        <tr r="G27" s="12"/>
      </tp>
      <tp t="e">
        <v>#N/A</v>
        <stp/>
        <stp>BDH|7320172849274657371</stp>
        <tr r="AA80" s="18"/>
      </tp>
      <tp t="e">
        <v>#N/A</v>
        <stp/>
        <stp>BDH|1961922275658193232</stp>
        <tr r="D64" s="17"/>
      </tp>
      <tp t="e">
        <v>#N/A</v>
        <stp/>
        <stp>BDH|6462567108837380158</stp>
        <tr r="S22" s="6"/>
      </tp>
      <tp t="e">
        <v>#N/A</v>
        <stp/>
        <stp>BDH|7355352215308655898</stp>
        <tr r="Q17" s="23"/>
      </tp>
      <tp t="e">
        <v>#N/A</v>
        <stp/>
        <stp>BDH|1461611352845357282</stp>
        <tr r="O84" s="12"/>
      </tp>
      <tp t="e">
        <v>#N/A</v>
        <stp/>
        <stp>BDH|5077689165190800097</stp>
        <tr r="U45" s="21"/>
      </tp>
      <tp t="e">
        <v>#N/A</v>
        <stp/>
        <stp>BDH|1415560927861133282</stp>
        <tr r="N12" s="6"/>
      </tp>
      <tp t="e">
        <v>#N/A</v>
        <stp/>
        <stp>BDH|1930107924511611678</stp>
        <tr r="K9" s="18"/>
      </tp>
      <tp t="e">
        <v>#N/A</v>
        <stp/>
        <stp>BDH|1584153807705949023</stp>
        <tr r="K30" s="6"/>
      </tp>
      <tp t="e">
        <v>#N/A</v>
        <stp/>
        <stp>BDH|3233689982781024944</stp>
        <tr r="Q102" s="18"/>
      </tp>
      <tp t="e">
        <v>#N/A</v>
        <stp/>
        <stp>BDH|5690687753343715067</stp>
        <tr r="J15" s="9"/>
      </tp>
      <tp t="e">
        <v>#N/A</v>
        <stp/>
        <stp>BDH|5781216233086846711</stp>
        <tr r="F89" s="12"/>
      </tp>
      <tp t="e">
        <v>#N/A</v>
        <stp/>
        <stp>BDH|4176895982003006269</stp>
        <tr r="J71" s="18"/>
      </tp>
      <tp t="e">
        <v>#N/A</v>
        <stp/>
        <stp>BDH|1101874198271143438</stp>
        <tr r="E41" s="22"/>
      </tp>
      <tp t="e">
        <v>#N/A</v>
        <stp/>
        <stp>BDH|8883586454519028483</stp>
        <tr r="C36" s="34"/>
      </tp>
      <tp t="e">
        <v>#N/A</v>
        <stp/>
        <stp>BDH|5179363102657981407</stp>
        <tr r="X175" s="18"/>
      </tp>
      <tp t="e">
        <v>#N/A</v>
        <stp/>
        <stp>BDH|6304926668455592907</stp>
        <tr r="Q99" s="18"/>
      </tp>
      <tp t="e">
        <v>#N/A</v>
        <stp/>
        <stp>BDH|4066476069365682647</stp>
        <tr r="P7" s="23"/>
      </tp>
      <tp t="e">
        <v>#N/A</v>
        <stp/>
        <stp>BDH|8485876677625177790</stp>
        <tr r="N12" s="26"/>
      </tp>
      <tp t="e">
        <v>#N/A</v>
        <stp/>
        <stp>BDH|3930250823922378402</stp>
        <tr r="O48" s="24"/>
      </tp>
      <tp t="e">
        <v>#N/A</v>
        <stp/>
        <stp>BDH|2428499606231274251</stp>
        <tr r="S20" s="2"/>
        <tr r="S18" s="4"/>
        <tr r="S58" s="10"/>
        <tr r="S48" s="11"/>
        <tr r="S19" s="7"/>
        <tr r="U74" s="13"/>
      </tp>
      <tp t="e">
        <v>#N/A</v>
        <stp/>
        <stp>BDH|1478683667312195661</stp>
        <tr r="N34" s="12"/>
      </tp>
      <tp t="e">
        <v>#N/A</v>
        <stp/>
        <stp>BDH|2065077619052676448</stp>
        <tr r="AA17" s="21"/>
      </tp>
      <tp t="e">
        <v>#N/A</v>
        <stp/>
        <stp>BDH|6274297005735011437</stp>
        <tr r="I30" s="18"/>
      </tp>
      <tp t="e">
        <v>#N/A</v>
        <stp/>
        <stp>BDH|6599347813995918467</stp>
        <tr r="I58" s="17"/>
      </tp>
      <tp t="e">
        <v>#N/A</v>
        <stp/>
        <stp>BDH|2423674919032240253</stp>
        <tr r="J30" s="25"/>
        <tr r="J16" s="27"/>
      </tp>
      <tp t="e">
        <v>#N/A</v>
        <stp/>
        <stp>BDH|1876344401601100615</stp>
        <tr r="N20" s="27"/>
      </tp>
      <tp t="e">
        <v>#N/A</v>
        <stp/>
        <stp>BDH|5750576115090825401</stp>
        <tr r="N41" s="22"/>
      </tp>
      <tp t="e">
        <v>#N/A</v>
        <stp/>
        <stp>BDH|4238414416652893608</stp>
        <tr r="E17" s="6"/>
      </tp>
      <tp t="e">
        <v>#N/A</v>
        <stp/>
        <stp>BDH|9445848904351982507</stp>
        <tr r="M67" s="13"/>
      </tp>
      <tp t="e">
        <v>#N/A</v>
        <stp/>
        <stp>BDH|4983643668552954318</stp>
        <tr r="Z109" s="18"/>
      </tp>
      <tp t="e">
        <v>#N/A</v>
        <stp/>
        <stp>BDH|5143541614157454382</stp>
        <tr r="T205" s="18"/>
      </tp>
      <tp t="e">
        <v>#N/A</v>
        <stp/>
        <stp>BDH|3079337822370405780</stp>
        <tr r="U73" s="17"/>
      </tp>
      <tp t="e">
        <v>#N/A</v>
        <stp/>
        <stp>BDH|2121299314013682771</stp>
        <tr r="O25" s="26"/>
      </tp>
      <tp t="e">
        <v>#N/A</v>
        <stp/>
        <stp>BDH|8154425637283859915</stp>
        <tr r="Z16" s="29"/>
        <tr r="Z39" s="29"/>
      </tp>
      <tp t="e">
        <v>#N/A</v>
        <stp/>
        <stp>BDH|7462469935901255481</stp>
        <tr r="W24" s="24"/>
      </tp>
      <tp t="e">
        <v>#N/A</v>
        <stp/>
        <stp>BDH|5578585016535634106</stp>
        <tr r="S8" s="4"/>
      </tp>
      <tp t="e">
        <v>#N/A</v>
        <stp/>
        <stp>BDH|8139561793747851612</stp>
        <tr r="K165" s="18"/>
      </tp>
      <tp t="e">
        <v>#N/A</v>
        <stp/>
        <stp>BDH|4507986103630127827</stp>
        <tr r="V35" s="4"/>
      </tp>
      <tp t="e">
        <v>#N/A</v>
        <stp/>
        <stp>BDH|6598595409923191599</stp>
        <tr r="Q38" s="18"/>
      </tp>
      <tp t="e">
        <v>#N/A</v>
        <stp/>
        <stp>BDH|5936342832338258803</stp>
        <tr r="Q23" s="30"/>
        <tr r="Q25" s="23"/>
      </tp>
      <tp t="e">
        <v>#N/A</v>
        <stp/>
        <stp>BDH|2856018120625172058</stp>
        <tr r="P24" s="5"/>
      </tp>
      <tp t="e">
        <v>#N/A</v>
        <stp/>
        <stp>BDH|6805604708086423392</stp>
        <tr r="T59" s="17"/>
      </tp>
      <tp t="e">
        <v>#N/A</v>
        <stp/>
        <stp>BDH|2069375528297504176</stp>
        <tr r="U8" s="13"/>
      </tp>
      <tp t="e">
        <v>#N/A</v>
        <stp/>
        <stp>BDH|1332487506594340432</stp>
        <tr r="U23" s="18"/>
      </tp>
      <tp t="e">
        <v>#N/A</v>
        <stp/>
        <stp>BDH|3698463559717389073</stp>
        <tr r="V28" s="12"/>
      </tp>
      <tp t="e">
        <v>#N/A</v>
        <stp/>
        <stp>BDH|2405752749626071255</stp>
        <tr r="I38" s="4"/>
        <tr r="I56" s="11"/>
        <tr r="K13" s="23"/>
      </tp>
      <tp t="e">
        <v>#N/A</v>
        <stp/>
        <stp>BDH|8470275254252366890</stp>
        <tr r="U140" s="18"/>
      </tp>
      <tp t="e">
        <v>#N/A</v>
        <stp/>
        <stp>BDH|8079899602664679106</stp>
        <tr r="D139" s="18"/>
      </tp>
      <tp t="e">
        <v>#N/A</v>
        <stp/>
        <stp>BDH|5569102978831860783</stp>
        <tr r="S14" s="34"/>
      </tp>
      <tp t="e">
        <v>#N/A</v>
        <stp/>
        <stp>BDH|6329739639396045145</stp>
        <tr r="I32" s="17"/>
      </tp>
      <tp t="e">
        <v>#N/A</v>
        <stp/>
        <stp>BDH|3366749016267964753</stp>
        <tr r="P20" s="12"/>
      </tp>
      <tp t="e">
        <v>#N/A</v>
        <stp/>
        <stp>BDH|5501522973357999500</stp>
        <tr r="E9" s="11"/>
      </tp>
      <tp t="e">
        <v>#N/A</v>
        <stp/>
        <stp>BDH|1419419083271213993</stp>
        <tr r="Q43" s="12"/>
      </tp>
      <tp t="e">
        <v>#N/A</v>
        <stp/>
        <stp>BDH|6596415319291323734</stp>
        <tr r="D107" s="18"/>
      </tp>
      <tp t="e">
        <v>#N/A</v>
        <stp/>
        <stp>BDH|3958376742822456356</stp>
        <tr r="N25" s="34"/>
      </tp>
      <tp t="e">
        <v>#N/A</v>
        <stp/>
        <stp>BDH|3078010439295395067</stp>
        <tr r="V11" s="18"/>
      </tp>
      <tp t="e">
        <v>#N/A</v>
        <stp/>
        <stp>BDH|9655856823961997748</stp>
        <tr r="L11" s="29"/>
      </tp>
      <tp t="e">
        <v>#N/A</v>
        <stp/>
        <stp>BDH|9462408726339960361</stp>
        <tr r="F87" s="17"/>
      </tp>
      <tp t="e">
        <v>#N/A</v>
        <stp/>
        <stp>BDH|3403223033513921419</stp>
        <tr r="D13" s="34"/>
      </tp>
      <tp t="e">
        <v>#N/A</v>
        <stp/>
        <stp>BDH|3032492506440389210</stp>
        <tr r="Y13" s="25"/>
      </tp>
      <tp t="e">
        <v>#N/A</v>
        <stp/>
        <stp>BDH|6797201613488893818</stp>
        <tr r="O23" s="18"/>
      </tp>
      <tp t="e">
        <v>#N/A</v>
        <stp/>
        <stp>BDH|3252519101630813377</stp>
        <tr r="N12" s="17"/>
      </tp>
      <tp t="e">
        <v>#N/A</v>
        <stp/>
        <stp>BDH|1099136529805791202</stp>
        <tr r="T17" s="17"/>
        <tr r="T20" s="28"/>
      </tp>
      <tp t="e">
        <v>#N/A</v>
        <stp/>
        <stp>BDH|9889923402970282576</stp>
        <tr r="M66" s="12"/>
      </tp>
      <tp t="e">
        <v>#N/A</v>
        <stp/>
        <stp>BDH|3182396594479322527</stp>
        <tr r="W9" s="22"/>
      </tp>
      <tp t="e">
        <v>#N/A</v>
        <stp/>
        <stp>BDH|3793573134317011797</stp>
        <tr r="C25" s="27"/>
      </tp>
      <tp t="e">
        <v>#N/A</v>
        <stp/>
        <stp>BDH|9936691741017945958</stp>
        <tr r="C74" s="24"/>
      </tp>
      <tp t="e">
        <v>#N/A</v>
        <stp/>
        <stp>BDH|2837059620385815086</stp>
        <tr r="P6" s="6"/>
      </tp>
      <tp t="e">
        <v>#N/A</v>
        <stp/>
        <stp>BDH|4798302150215220285</stp>
        <tr r="S47" s="24"/>
      </tp>
      <tp t="e">
        <v>#N/A</v>
        <stp/>
        <stp>BDH|9556437133828225359</stp>
        <tr r="Y175" s="18"/>
      </tp>
      <tp t="e">
        <v>#N/A</v>
        <stp/>
        <stp>BDH|4087543952976634720</stp>
        <tr r="D9" s="3"/>
      </tp>
      <tp t="e">
        <v>#N/A</v>
        <stp/>
        <stp>BDH|5798517352066070668</stp>
        <tr r="K48" s="12"/>
      </tp>
      <tp t="e">
        <v>#N/A</v>
        <stp/>
        <stp>BDH|7925386843704749177</stp>
        <tr r="R68" s="10"/>
      </tp>
      <tp t="e">
        <v>#N/A</v>
        <stp/>
        <stp>BDH|4489376631136889787</stp>
        <tr r="L24" s="14"/>
      </tp>
      <tp t="e">
        <v>#N/A</v>
        <stp/>
        <stp>BDH|2654429467454717169</stp>
        <tr r="E11" s="29"/>
      </tp>
      <tp t="e">
        <v>#N/A</v>
        <stp/>
        <stp>BDH|1172591724633688088</stp>
        <tr r="J31" s="24"/>
      </tp>
      <tp t="e">
        <v>#N/A</v>
        <stp/>
        <stp>BDH|2902190104680321654</stp>
        <tr r="H71" s="18"/>
      </tp>
      <tp t="e">
        <v>#N/A</v>
        <stp/>
        <stp>BDH|2219948638265592892</stp>
        <tr r="P79" s="24"/>
      </tp>
      <tp t="e">
        <v>#N/A</v>
        <stp/>
        <stp>BDH|5779541646181723007</stp>
        <tr r="S42" s="18"/>
      </tp>
      <tp t="e">
        <v>#N/A</v>
        <stp/>
        <stp>BDH|6746017523758510927</stp>
        <tr r="K66" s="12"/>
      </tp>
      <tp t="e">
        <v>#N/A</v>
        <stp/>
        <stp>BDH|9423352475881282942</stp>
        <tr r="T48" s="18"/>
      </tp>
      <tp t="e">
        <v>#N/A</v>
        <stp/>
        <stp>BDH|7319234692671976896</stp>
        <tr r="H141" s="18"/>
      </tp>
      <tp t="e">
        <v>#N/A</v>
        <stp/>
        <stp>BDH|2623970752109374221</stp>
        <tr r="W63" s="21"/>
      </tp>
      <tp t="e">
        <v>#N/A</v>
        <stp/>
        <stp>BDH|2669136867238463841</stp>
        <tr r="W35" s="14"/>
      </tp>
      <tp t="e">
        <v>#N/A</v>
        <stp/>
        <stp>BDH|5674860137118559306</stp>
        <tr r="G14" s="2"/>
        <tr r="G11" s="10"/>
      </tp>
      <tp t="e">
        <v>#N/A</v>
        <stp/>
        <stp>BDH|2485022272474789413</stp>
        <tr r="Z9" s="12"/>
      </tp>
      <tp t="e">
        <v>#N/A</v>
        <stp/>
        <stp>BDH|5184062525856944492</stp>
        <tr r="W11" s="7"/>
      </tp>
      <tp t="e">
        <v>#N/A</v>
        <stp/>
        <stp>BDH|3801275605567878303</stp>
        <tr r="N35" s="34"/>
      </tp>
      <tp t="e">
        <v>#N/A</v>
        <stp/>
        <stp>BDH|7180457545977128520</stp>
        <tr r="F52" s="17"/>
        <tr r="F10" s="25"/>
      </tp>
      <tp t="e">
        <v>#N/A</v>
        <stp/>
        <stp>BDH|2799720917256457749</stp>
        <tr r="X46" s="34"/>
      </tp>
      <tp t="e">
        <v>#N/A</v>
        <stp/>
        <stp>BDH|1265313727380683509</stp>
        <tr r="J7" s="6"/>
      </tp>
      <tp t="e">
        <v>#N/A</v>
        <stp/>
        <stp>BDH|9124800810350600556</stp>
        <tr r="F82" s="24"/>
      </tp>
      <tp t="e">
        <v>#N/A</v>
        <stp/>
        <stp>BDH|5308206764051321563</stp>
        <tr r="G14" s="24"/>
      </tp>
      <tp t="e">
        <v>#N/A</v>
        <stp/>
        <stp>BDH|9514627861098391479</stp>
        <tr r="P114" s="18"/>
      </tp>
      <tp t="e">
        <v>#N/A</v>
        <stp/>
        <stp>BDH|1603242661862592245</stp>
        <tr r="W12" s="25"/>
      </tp>
      <tp t="e">
        <v>#N/A</v>
        <stp/>
        <stp>BDH|8552964520645541345</stp>
        <tr r="Q7" s="34"/>
      </tp>
      <tp t="e">
        <v>#N/A</v>
        <stp/>
        <stp>BDH|1015070518136430395</stp>
        <tr r="Z9" s="29"/>
      </tp>
      <tp t="e">
        <v>#N/A</v>
        <stp/>
        <stp>BDH|8769759383414458678</stp>
        <tr r="E43" s="12"/>
      </tp>
      <tp t="e">
        <v>#N/A</v>
        <stp/>
        <stp>BDH|2938705875191683689</stp>
        <tr r="E19" s="34"/>
      </tp>
      <tp t="e">
        <v>#N/A</v>
        <stp/>
        <stp>BDH|3513831805898981689</stp>
        <tr r="H37" s="21"/>
      </tp>
      <tp t="e">
        <v>#N/A</v>
        <stp/>
        <stp>BDH|3409160961971338023</stp>
        <tr r="E48" s="22"/>
      </tp>
      <tp t="e">
        <v>#N/A</v>
        <stp/>
        <stp>BDH|5028259700667171563</stp>
        <tr r="Z16" s="17"/>
        <tr r="Z19" s="28"/>
      </tp>
      <tp t="e">
        <v>#N/A</v>
        <stp/>
        <stp>BDH|7211459366200032031</stp>
        <tr r="E67" s="21"/>
      </tp>
      <tp t="e">
        <v>#N/A</v>
        <stp/>
        <stp>BDH|1761678005667766506</stp>
        <tr r="Q30" s="24"/>
      </tp>
      <tp t="e">
        <v>#N/A</v>
        <stp/>
        <stp>BDH|5389351254705543352</stp>
        <tr r="E59" s="17"/>
      </tp>
      <tp t="e">
        <v>#N/A</v>
        <stp/>
        <stp>BDH|2482924445283154900</stp>
        <tr r="T7" s="14"/>
      </tp>
      <tp t="e">
        <v>#N/A</v>
        <stp/>
        <stp>BDH|3726419142742749413</stp>
        <tr r="U146" s="18"/>
      </tp>
      <tp t="e">
        <v>#N/A</v>
        <stp/>
        <stp>BDH|2743834794337085121</stp>
        <tr r="N92" s="18"/>
      </tp>
      <tp t="e">
        <v>#N/A</v>
        <stp/>
        <stp>BDH|3729669551082219700</stp>
        <tr r="L98" s="12"/>
      </tp>
      <tp t="e">
        <v>#N/A</v>
        <stp/>
        <stp>BDH|8564895955969356985</stp>
        <tr r="J33" s="18"/>
      </tp>
      <tp t="e">
        <v>#N/A</v>
        <stp/>
        <stp>BDH|9492859769935928731</stp>
        <tr r="W24" s="13"/>
      </tp>
      <tp t="e">
        <v>#N/A</v>
        <stp/>
        <stp>BDH|5987337827729636891</stp>
        <tr r="S40" s="12"/>
      </tp>
      <tp t="e">
        <v>#N/A</v>
        <stp/>
        <stp>BDH|2139082607224461389</stp>
        <tr r="C141" s="18"/>
      </tp>
      <tp t="e">
        <v>#N/A</v>
        <stp/>
        <stp>BDH|5620524623135302268</stp>
        <tr r="G43" s="24"/>
      </tp>
      <tp t="e">
        <v>#N/A</v>
        <stp/>
        <stp>BDH|8495756503248777275</stp>
        <tr r="G80" s="18"/>
      </tp>
      <tp t="e">
        <v>#N/A</v>
        <stp/>
        <stp>BDH|6098871499631945355</stp>
        <tr r="J74" s="34"/>
      </tp>
      <tp t="e">
        <v>#N/A</v>
        <stp/>
        <stp>BDH|8693441393808133832</stp>
        <tr r="T12" s="22"/>
      </tp>
      <tp t="e">
        <v>#N/A</v>
        <stp/>
        <stp>BDH|4708153873185005223</stp>
        <tr r="Z65" s="21"/>
        <tr r="X23" s="7"/>
      </tp>
      <tp t="e">
        <v>#N/A</v>
        <stp/>
        <stp>BDH|9578770050579331720</stp>
        <tr r="K16" s="2"/>
        <tr r="K32" s="4"/>
        <tr r="K62" s="10"/>
        <tr r="M19" s="13"/>
      </tp>
      <tp t="e">
        <v>#N/A</v>
        <stp/>
        <stp>BDH|6318152361722661623</stp>
        <tr r="F7" s="17"/>
      </tp>
      <tp t="e">
        <v>#N/A</v>
        <stp/>
        <stp>BDH|6480485473395595596</stp>
        <tr r="N45" s="4"/>
        <tr r="N33" s="10"/>
        <tr r="N23" s="11"/>
        <tr r="P33" s="13"/>
      </tp>
      <tp t="e">
        <v>#N/A</v>
        <stp/>
        <stp>BDH|4413952753574025914</stp>
        <tr r="I207" s="18"/>
      </tp>
      <tp t="e">
        <v>#N/A</v>
        <stp/>
        <stp>BDH|4657470847038262973</stp>
        <tr r="D100" s="18"/>
      </tp>
      <tp t="e">
        <v>#N/A</v>
        <stp/>
        <stp>BDH|7754451054001642233</stp>
        <tr r="H14" s="22"/>
      </tp>
      <tp t="e">
        <v>#N/A</v>
        <stp/>
        <stp>BDH|8317907716470700511</stp>
        <tr r="R24" s="29"/>
      </tp>
      <tp t="e">
        <v>#N/A</v>
        <stp/>
        <stp>BDH|7818190514036332451</stp>
        <tr r="J8" s="6"/>
      </tp>
      <tp t="e">
        <v>#N/A</v>
        <stp/>
        <stp>BDH|2942525452135853227</stp>
        <tr r="G39" s="18"/>
      </tp>
      <tp t="e">
        <v>#N/A</v>
        <stp/>
        <stp>BDH|7674476643263726163</stp>
        <tr r="I24" s="6"/>
      </tp>
      <tp t="e">
        <v>#N/A</v>
        <stp/>
        <stp>BDH|8603473307161084858</stp>
        <tr r="K55" s="12"/>
      </tp>
      <tp t="e">
        <v>#N/A</v>
        <stp/>
        <stp>BDH|1791460669325209398</stp>
        <tr r="P17" s="34"/>
      </tp>
      <tp t="e">
        <v>#N/A</v>
        <stp/>
        <stp>BDH|1557245076515108457</stp>
        <tr r="Z61" s="24"/>
      </tp>
      <tp t="e">
        <v>#N/A</v>
        <stp/>
        <stp>BDH|3337202131085476254</stp>
        <tr r="Q30" s="5"/>
        <tr r="Q30" s="9"/>
      </tp>
      <tp t="e">
        <v>#N/A</v>
        <stp/>
        <stp>BDH|7663463970533569263</stp>
        <tr r="N107" s="18"/>
      </tp>
      <tp t="e">
        <v>#N/A</v>
        <stp/>
        <stp>BDH|1107112414537763304</stp>
        <tr r="AA189" s="18"/>
      </tp>
      <tp t="e">
        <v>#N/A</v>
        <stp/>
        <stp>BDH|3129678355366850389</stp>
        <tr r="J132" s="18"/>
      </tp>
      <tp t="e">
        <v>#N/A</v>
        <stp/>
        <stp>BDH|9731003228498494688</stp>
        <tr r="P50" s="17"/>
      </tp>
      <tp t="e">
        <v>#N/A</v>
        <stp/>
        <stp>BDH|7895790433280791667</stp>
        <tr r="X64" s="12"/>
      </tp>
      <tp t="e">
        <v>#N/A</v>
        <stp/>
        <stp>BDH|9106157429698602784</stp>
        <tr r="I34" s="5"/>
        <tr r="K32" s="29"/>
      </tp>
      <tp t="e">
        <v>#N/A</v>
        <stp/>
        <stp>BDH|6588273242166491377</stp>
        <tr r="V157" s="18"/>
      </tp>
      <tp t="e">
        <v>#N/A</v>
        <stp/>
        <stp>BDH|2817525920374922401</stp>
        <tr r="E87" s="17"/>
      </tp>
      <tp t="e">
        <v>#N/A</v>
        <stp/>
        <stp>BDH|7496078144633013540</stp>
        <tr r="U86" s="24"/>
      </tp>
      <tp t="e">
        <v>#N/A</v>
        <stp/>
        <stp>BDH|9420350210329472760</stp>
        <tr r="T38" s="26"/>
      </tp>
      <tp t="e">
        <v>#N/A</v>
        <stp/>
        <stp>BDH|9854893322193650564</stp>
        <tr r="X29" s="4"/>
      </tp>
      <tp t="e">
        <v>#N/A</v>
        <stp/>
        <stp>BDH|7374570536091633572</stp>
        <tr r="D13" s="29"/>
        <tr r="D22" s="29"/>
        <tr r="D36" s="29"/>
      </tp>
      <tp t="e">
        <v>#N/A</v>
        <stp/>
        <stp>BDH|2429195053094881756</stp>
        <tr r="H63" s="12"/>
      </tp>
      <tp t="e">
        <v>#N/A</v>
        <stp/>
        <stp>BDH|8250755687941363306</stp>
        <tr r="I36" s="4"/>
      </tp>
      <tp t="e">
        <v>#N/A</v>
        <stp/>
        <stp>BDH|2148363501634003058</stp>
        <tr r="F49" s="22"/>
      </tp>
      <tp t="e">
        <v>#N/A</v>
        <stp/>
        <stp>BDH|9237911646892460325</stp>
        <tr r="C13" s="11"/>
      </tp>
      <tp t="e">
        <v>#N/A</v>
        <stp/>
        <stp>BDH|5592227832968487926</stp>
        <tr r="P47" s="17"/>
      </tp>
      <tp t="e">
        <v>#N/A</v>
        <stp/>
        <stp>BDH|8096464586713506261</stp>
        <tr r="S193" s="18"/>
      </tp>
      <tp t="e">
        <v>#N/A</v>
        <stp/>
        <stp>BDH|3239544815931224327</stp>
        <tr r="O78" s="34"/>
      </tp>
      <tp t="e">
        <v>#N/A</v>
        <stp/>
        <stp>BDH|5367802250758817589</stp>
        <tr r="E35" s="22"/>
      </tp>
      <tp t="e">
        <v>#N/A</v>
        <stp/>
        <stp>BDH|4071926141904503853</stp>
        <tr r="Y44" s="22"/>
      </tp>
      <tp t="e">
        <v>#N/A</v>
        <stp/>
        <stp>BDH|1118985852101879909</stp>
        <tr r="Z24" s="17"/>
      </tp>
      <tp t="e">
        <v>#N/A</v>
        <stp/>
        <stp>BDH|7910744825075389287</stp>
        <tr r="AA9" s="28"/>
      </tp>
      <tp t="e">
        <v>#N/A</v>
        <stp/>
        <stp>BDH|7088866771664749936</stp>
        <tr r="F12" s="21"/>
      </tp>
      <tp t="e">
        <v>#N/A</v>
        <stp/>
        <stp>BDH|3429570941845676277</stp>
        <tr r="S84" s="12"/>
      </tp>
      <tp t="e">
        <v>#N/A</v>
        <stp/>
        <stp>BDH|5244255715585160608</stp>
        <tr r="V29" s="29"/>
        <tr r="V7" s="29"/>
      </tp>
      <tp t="e">
        <v>#N/A</v>
        <stp/>
        <stp>BDH|3185941747223535845</stp>
        <tr r="Y23" s="17"/>
      </tp>
      <tp t="e">
        <v>#N/A</v>
        <stp/>
        <stp>BDH|4036749166561177105</stp>
        <tr r="Z21" s="24"/>
      </tp>
      <tp t="e">
        <v>#N/A</v>
        <stp/>
        <stp>BDH|7696567701216106131</stp>
        <tr r="S10" s="14"/>
      </tp>
      <tp t="e">
        <v>#N/A</v>
        <stp/>
        <stp>BDH|1922905091113923729</stp>
        <tr r="V44" s="6"/>
      </tp>
      <tp t="e">
        <v>#N/A</v>
        <stp/>
        <stp>BDH|6593351217985455409</stp>
        <tr r="E159" s="18"/>
      </tp>
      <tp t="e">
        <v>#N/A</v>
        <stp/>
        <stp>BDH|5207186929965505652</stp>
        <tr r="J10" s="28"/>
      </tp>
      <tp t="e">
        <v>#N/A</v>
        <stp/>
        <stp>BDH|2419629506530141124</stp>
        <tr r="H49" s="13"/>
      </tp>
      <tp t="e">
        <v>#N/A</v>
        <stp/>
        <stp>BDH|5227273660496080260</stp>
        <tr r="Z18" s="22"/>
      </tp>
      <tp t="e">
        <v>#N/A</v>
        <stp/>
        <stp>BDH|7014133289922016996</stp>
        <tr r="Y43" s="29"/>
      </tp>
      <tp t="e">
        <v>#N/A</v>
        <stp/>
        <stp>BDH|5122208153686760166</stp>
        <tr r="R50" s="24"/>
      </tp>
      <tp t="e">
        <v>#N/A</v>
        <stp/>
        <stp>BDH|1072729163313434661</stp>
        <tr r="R197" s="18"/>
      </tp>
      <tp t="e">
        <v>#N/A</v>
        <stp/>
        <stp>BDH|8832310391575987221</stp>
        <tr r="R46" s="21"/>
      </tp>
      <tp t="e">
        <v>#N/A</v>
        <stp/>
        <stp>BDH|9623749795247379571</stp>
        <tr r="C67" s="10"/>
      </tp>
      <tp t="e">
        <v>#N/A</v>
        <stp/>
        <stp>BDH|7880079522209843969</stp>
        <tr r="T34" s="24"/>
      </tp>
      <tp t="e">
        <v>#N/A</v>
        <stp/>
        <stp>BDH|6930800485200967369</stp>
        <tr r="J93" s="17"/>
        <tr r="J13" s="28"/>
      </tp>
      <tp t="e">
        <v>#N/A</v>
        <stp/>
        <stp>BDH|2778226173772362051</stp>
        <tr r="G66" s="17"/>
      </tp>
      <tp t="e">
        <v>#N/A</v>
        <stp/>
        <stp>BDH|4456854575878608628</stp>
        <tr r="I68" s="18"/>
      </tp>
      <tp t="e">
        <v>#N/A</v>
        <stp/>
        <stp>BDH|2630086228350118576</stp>
        <tr r="G68" s="17"/>
        <tr r="D8" s="5"/>
        <tr r="D8" s="9"/>
      </tp>
      <tp t="e">
        <v>#N/A</v>
        <stp/>
        <stp>BDH|8323055161818263359</stp>
        <tr r="Z17" s="29"/>
        <tr r="Z40" s="29"/>
      </tp>
      <tp t="e">
        <v>#N/A</v>
        <stp/>
        <stp>BDH|5413316675482242627</stp>
        <tr r="V27" s="14"/>
      </tp>
      <tp t="e">
        <v>#N/A</v>
        <stp/>
        <stp>BDH|3558607716293371204</stp>
        <tr r="H122" s="18"/>
        <tr r="H11" s="20"/>
      </tp>
      <tp t="e">
        <v>#N/A</v>
        <stp/>
        <stp>BDH|4240304320166217603</stp>
        <tr r="Q24" s="5"/>
      </tp>
      <tp t="e">
        <v>#N/A</v>
        <stp/>
        <stp>BDH|5313728981896320930</stp>
        <tr r="S35" s="21"/>
      </tp>
      <tp t="e">
        <v>#N/A</v>
        <stp/>
        <stp>BDH|7151141793363701915</stp>
        <tr r="D12" s="3"/>
      </tp>
      <tp t="e">
        <v>#N/A</v>
        <stp/>
        <stp>BDH|1033427413641454052</stp>
        <tr r="O32" s="34"/>
      </tp>
      <tp t="e">
        <v>#N/A</v>
        <stp/>
        <stp>BDH|1620432110827183645</stp>
        <tr r="L80" s="12"/>
      </tp>
      <tp t="e">
        <v>#N/A</v>
        <stp/>
        <stp>BDH|2830889583672300509</stp>
        <tr r="H42" s="4"/>
      </tp>
      <tp t="e">
        <v>#N/A</v>
        <stp/>
        <stp>BDH|3152996913729945725</stp>
        <tr r="G14" s="34"/>
      </tp>
      <tp t="e">
        <v>#N/A</v>
        <stp/>
        <stp>BDH|8116307444258529203</stp>
        <tr r="G29" s="13"/>
      </tp>
      <tp t="e">
        <v>#N/A</v>
        <stp/>
        <stp>BDH|2885379801035647180</stp>
        <tr r="W78" s="18"/>
      </tp>
      <tp t="e">
        <v>#N/A</v>
        <stp/>
        <stp>BDH|3104031742614678665</stp>
        <tr r="W160" s="18"/>
      </tp>
      <tp t="e">
        <v>#N/A</v>
        <stp/>
        <stp>BDH|4773658974584294447</stp>
        <tr r="X40" s="24"/>
      </tp>
      <tp t="e">
        <v>#N/A</v>
        <stp/>
        <stp>BDH|2303345632055191248</stp>
        <tr r="Z22" s="30"/>
        <tr r="Z24" s="23"/>
      </tp>
      <tp t="e">
        <v>#N/A</v>
        <stp/>
        <stp>BDH|5084596651811832101</stp>
        <tr r="AA198" s="18"/>
      </tp>
      <tp t="e">
        <v>#N/A</v>
        <stp/>
        <stp>BDH|2154717510323760273</stp>
        <tr r="W57" s="10"/>
        <tr r="W47" s="11"/>
        <tr r="W18" s="7"/>
        <tr r="Y64" s="13"/>
      </tp>
      <tp t="e">
        <v>#N/A</v>
        <stp/>
        <stp>BDH|1197535802026413749</stp>
        <tr r="G55" s="13"/>
      </tp>
      <tp t="e">
        <v>#N/A</v>
        <stp/>
        <stp>BDH|4532780225684141095</stp>
        <tr r="C19" s="20"/>
      </tp>
      <tp t="e">
        <v>#N/A</v>
        <stp/>
        <stp>BDH|5540238125214612458</stp>
        <tr r="AA57" s="24"/>
      </tp>
      <tp t="e">
        <v>#N/A</v>
        <stp/>
        <stp>BDH|2787797876966889108</stp>
        <tr r="V58" s="18"/>
      </tp>
      <tp t="e">
        <v>#N/A</v>
        <stp/>
        <stp>BDH|8132453266569528671</stp>
        <tr r="R114" s="18"/>
      </tp>
      <tp t="e">
        <v>#N/A</v>
        <stp/>
        <stp>BDH|5839121739055040730</stp>
        <tr r="AA9" s="22"/>
      </tp>
      <tp t="e">
        <v>#N/A</v>
        <stp/>
        <stp>BDH|6664622519574990041</stp>
        <tr r="R49" s="13"/>
      </tp>
      <tp t="e">
        <v>#N/A</v>
        <stp/>
        <stp>BDH|1783152233423944583</stp>
        <tr r="E49" s="22"/>
      </tp>
      <tp t="e">
        <v>#N/A</v>
        <stp/>
        <stp>BDH|2758430975272384626</stp>
        <tr r="C28" s="13"/>
      </tp>
      <tp t="e">
        <v>#N/A</v>
        <stp/>
        <stp>BDH|1986097048419108992</stp>
        <tr r="T23" s="12"/>
      </tp>
      <tp t="e">
        <v>#N/A</v>
        <stp/>
        <stp>BDH|1298816267503012942</stp>
        <tr r="P27" s="24"/>
      </tp>
      <tp t="e">
        <v>#N/A</v>
        <stp/>
        <stp>BDH|7017134143442808588</stp>
        <tr r="C133" s="18"/>
      </tp>
      <tp t="e">
        <v>#N/A</v>
        <stp/>
        <stp>BDH|3150740700322091357</stp>
        <tr r="X138" s="18"/>
      </tp>
      <tp t="e">
        <v>#N/A</v>
        <stp/>
        <stp>BDH|3093312830494760261</stp>
        <tr r="T69" s="34"/>
      </tp>
      <tp t="e">
        <v>#N/A</v>
        <stp/>
        <stp>BDH|6019059012103034172</stp>
        <tr r="S203" s="18"/>
      </tp>
      <tp t="e">
        <v>#N/A</v>
        <stp/>
        <stp>BDH|3838040409640580605</stp>
        <tr r="K18" s="11"/>
      </tp>
      <tp t="e">
        <v>#N/A</v>
        <stp/>
        <stp>BDH|2312131832954036122</stp>
        <tr r="I7" s="34"/>
      </tp>
      <tp t="e">
        <v>#N/A</v>
        <stp/>
        <stp>BDH|4269163802082042269</stp>
        <tr r="AA94" s="17"/>
      </tp>
      <tp t="e">
        <v>#N/A</v>
        <stp/>
        <stp>BDH|4719188252295994049</stp>
        <tr r="K20" s="26"/>
      </tp>
      <tp t="e">
        <v>#N/A</v>
        <stp/>
        <stp>BDH|3441488752121655683</stp>
        <tr r="K61" s="21"/>
      </tp>
      <tp t="e">
        <v>#N/A</v>
        <stp/>
        <stp>BDH|5073815672298398703</stp>
        <tr r="T60" s="12"/>
      </tp>
      <tp t="e">
        <v>#N/A</v>
        <stp/>
        <stp>BDH|6053561276114484547</stp>
        <tr r="X58" s="12"/>
      </tp>
      <tp t="e">
        <v>#N/A</v>
        <stp/>
        <stp>BDH|9251029237367572822</stp>
        <tr r="T47" s="10"/>
        <tr r="T37" s="11"/>
      </tp>
      <tp t="e">
        <v>#N/A</v>
        <stp/>
        <stp>BDH|6551172613903726066</stp>
        <tr r="G67" s="12"/>
      </tp>
      <tp t="e">
        <v>#N/A</v>
        <stp/>
        <stp>BDH|2234618585230750916</stp>
        <tr r="R94" s="24"/>
      </tp>
      <tp t="e">
        <v>#N/A</v>
        <stp/>
        <stp>BDH|7162641934304368328</stp>
        <tr r="H27" s="12"/>
      </tp>
      <tp t="e">
        <v>#N/A</v>
        <stp/>
        <stp>BDH|9788911300735514035</stp>
        <tr r="K9" s="21"/>
      </tp>
      <tp t="e">
        <v>#N/A</v>
        <stp/>
        <stp>BDH|3362529116664046670</stp>
        <tr r="T57" s="17"/>
      </tp>
      <tp t="e">
        <v>#N/A</v>
        <stp/>
        <stp>BDH|4344587761045964738</stp>
        <tr r="AA60" s="18"/>
      </tp>
      <tp t="e">
        <v>#N/A</v>
        <stp/>
        <stp>BDH|6748400285736176939</stp>
        <tr r="F16" s="2"/>
        <tr r="F32" s="4"/>
        <tr r="F62" s="10"/>
        <tr r="H19" s="13"/>
      </tp>
      <tp t="e">
        <v>#N/A</v>
        <stp/>
        <stp>BDH|5255069927332335001</stp>
        <tr r="S40" s="6"/>
      </tp>
      <tp t="e">
        <v>#N/A</v>
        <stp/>
        <stp>BDH|2038376464872525063</stp>
        <tr r="P26" s="27"/>
      </tp>
      <tp t="e">
        <v>#N/A</v>
        <stp/>
        <stp>BDH|5063216782129673359</stp>
        <tr r="F25" s="12"/>
      </tp>
      <tp t="e">
        <v>#N/A</v>
        <stp/>
        <stp>BDH|6519301354073878698</stp>
        <tr r="X23" s="2"/>
        <tr r="Z19" s="21"/>
        <tr r="Z23" s="3"/>
      </tp>
      <tp t="e">
        <v>#N/A</v>
        <stp/>
        <stp>BDH|7209802782415993790</stp>
        <tr r="E45" s="6"/>
      </tp>
      <tp t="e">
        <v>#N/A</v>
        <stp/>
        <stp>BDH|7045900325628442118</stp>
        <tr r="M28" s="17"/>
      </tp>
      <tp t="e">
        <v>#N/A</v>
        <stp/>
        <stp>BDH|6060279679322773495</stp>
        <tr r="Y30" s="17"/>
      </tp>
      <tp t="e">
        <v>#N/A</v>
        <stp/>
        <stp>BDH|3412104972007296742</stp>
        <tr r="N80" s="24"/>
      </tp>
      <tp t="e">
        <v>#N/A</v>
        <stp/>
        <stp>BDH|5949782461868275927</stp>
        <tr r="X15" s="30"/>
      </tp>
      <tp t="e">
        <v>#N/A</v>
        <stp/>
        <stp>BDH|7715747661760343304</stp>
        <tr r="C47" s="18"/>
      </tp>
      <tp t="e">
        <v>#N/A</v>
        <stp/>
        <stp>BDH|1921667510653866064</stp>
        <tr r="R91" s="17"/>
      </tp>
      <tp t="e">
        <v>#N/A</v>
        <stp/>
        <stp>BDH|3024495320261964113</stp>
        <tr r="U50" s="21"/>
      </tp>
      <tp t="e">
        <v>#N/A</v>
        <stp/>
        <stp>BDH|7571244017266531722</stp>
        <tr r="J11" s="9"/>
      </tp>
      <tp t="e">
        <v>#N/A</v>
        <stp/>
        <stp>BDH|3540747071283589549</stp>
        <tr r="W52" s="24"/>
      </tp>
      <tp t="e">
        <v>#N/A</v>
        <stp/>
        <stp>BDH|1298153716926070204</stp>
        <tr r="Q8" s="6"/>
      </tp>
      <tp t="e">
        <v>#N/A</v>
        <stp/>
        <stp>BDH|5243454457347448657</stp>
        <tr r="G42" s="18"/>
      </tp>
      <tp t="e">
        <v>#N/A</v>
        <stp/>
        <stp>BDH|7145043208424421682</stp>
        <tr r="C29" s="18"/>
      </tp>
      <tp t="e">
        <v>#N/A</v>
        <stp/>
        <stp>BDH|6051310101624662477</stp>
        <tr r="F32" s="5"/>
      </tp>
      <tp t="e">
        <v>#N/A</v>
        <stp/>
        <stp>BDH|8175934585064064867</stp>
        <tr r="L27" s="26"/>
      </tp>
      <tp t="e">
        <v>#N/A</v>
        <stp/>
        <stp>BDH|2045170351415548626</stp>
        <tr r="AA82" s="24"/>
      </tp>
      <tp t="e">
        <v>#N/A</v>
        <stp/>
        <stp>BDH|2513332177645323632</stp>
        <tr r="J21" s="20"/>
      </tp>
      <tp t="e">
        <v>#N/A</v>
        <stp/>
        <stp>BDH|6245135344417210161</stp>
        <tr r="N78" s="12"/>
      </tp>
      <tp t="e">
        <v>#N/A</v>
        <stp/>
        <stp>BDH|3588187377102826239</stp>
        <tr r="Z178" s="18"/>
      </tp>
      <tp t="e">
        <v>#N/A</v>
        <stp/>
        <stp>BDH|6422439263188665939</stp>
        <tr r="M12" s="26"/>
      </tp>
      <tp t="e">
        <v>#N/A</v>
        <stp/>
        <stp>BDH|5012525071342768054</stp>
        <tr r="F12" s="18"/>
      </tp>
      <tp t="e">
        <v>#N/A</v>
        <stp/>
        <stp>BDH|4941982243605257911</stp>
        <tr r="H68" s="17"/>
        <tr r="E8" s="5"/>
        <tr r="E8" s="9"/>
      </tp>
      <tp t="e">
        <v>#N/A</v>
        <stp/>
        <stp>BDH|7147834422751974984</stp>
        <tr r="Q16" s="21"/>
      </tp>
      <tp t="e">
        <v>#N/A</v>
        <stp/>
        <stp>BDH|2659540741060105631</stp>
        <tr r="M60" s="18"/>
      </tp>
      <tp t="e">
        <v>#N/A</v>
        <stp/>
        <stp>BDH|1885705388013298830</stp>
        <tr r="Q177" s="18"/>
      </tp>
      <tp t="e">
        <v>#N/A</v>
        <stp/>
        <stp>BDH|4049303055224422303</stp>
        <tr r="F22" s="11"/>
      </tp>
      <tp t="e">
        <v>#N/A</v>
        <stp/>
        <stp>BDH|2323471210072453011</stp>
        <tr r="V43" s="34"/>
      </tp>
      <tp t="e">
        <v>#N/A</v>
        <stp/>
        <stp>BDH|6406037478055955175</stp>
        <tr r="I32" s="5"/>
      </tp>
      <tp t="e">
        <v>#N/A</v>
        <stp/>
        <stp>BDH|5412761767474421501</stp>
        <tr r="X30" s="22"/>
      </tp>
      <tp t="e">
        <v>#N/A</v>
        <stp/>
        <stp>BDH|2285262861860227367</stp>
        <tr r="T22" s="24"/>
      </tp>
      <tp t="e">
        <v>#N/A</v>
        <stp/>
        <stp>BDH|5959854374667925802</stp>
        <tr r="I9" s="6"/>
      </tp>
      <tp t="e">
        <v>#N/A</v>
        <stp/>
        <stp>BDH|5310735480307252834</stp>
        <tr r="J19" s="11"/>
      </tp>
      <tp t="e">
        <v>#N/A</v>
        <stp/>
        <stp>BDH|4347125737672395148</stp>
        <tr r="L9" s="12"/>
      </tp>
      <tp t="e">
        <v>#N/A</v>
        <stp/>
        <stp>BDH|5843438679792780145</stp>
        <tr r="K8" s="18"/>
      </tp>
      <tp t="e">
        <v>#N/A</v>
        <stp/>
        <stp>BDH|4728510046670146006</stp>
        <tr r="I72" s="34"/>
      </tp>
      <tp t="e">
        <v>#N/A</v>
        <stp/>
        <stp>BDH|3197819011488855788</stp>
        <tr r="N105" s="18"/>
      </tp>
      <tp t="e">
        <v>#N/A</v>
        <stp/>
        <stp>BDH|2063215344273496200</stp>
        <tr r="O30" s="17"/>
      </tp>
      <tp t="e">
        <v>#N/A</v>
        <stp/>
        <stp>BDH|1759044678316983532</stp>
        <tr r="C23" s="30"/>
        <tr r="C25" s="23"/>
      </tp>
      <tp t="e">
        <v>#N/A</v>
        <stp/>
        <stp>BDH|7497535146251427247</stp>
        <tr r="E6" s="27"/>
      </tp>
      <tp t="e">
        <v>#N/A</v>
        <stp/>
        <stp>BDH|3803531465412878779</stp>
        <tr r="G61" s="24"/>
      </tp>
      <tp t="e">
        <v>#N/A</v>
        <stp/>
        <stp>BDH|7698144110514250616</stp>
        <tr r="Y12" s="22"/>
      </tp>
      <tp t="e">
        <v>#N/A</v>
        <stp/>
        <stp>BDH|7204578358537472580</stp>
        <tr r="Q32" s="21"/>
      </tp>
      <tp t="e">
        <v>#N/A</v>
        <stp/>
        <stp>BDH|8381341397572447555</stp>
        <tr r="U64" s="34"/>
      </tp>
      <tp t="e">
        <v>#N/A</v>
        <stp/>
        <stp>BDH|5030302546103396444</stp>
        <tr r="F22" s="10"/>
      </tp>
      <tp t="e">
        <v>#N/A</v>
        <stp/>
        <stp>BDH|7222611993459932489</stp>
        <tr r="J23" s="13"/>
      </tp>
      <tp t="e">
        <v>#N/A</v>
        <stp/>
        <stp>BDH|6597260782338317137</stp>
        <tr r="D43" s="18"/>
      </tp>
      <tp t="e">
        <v>#N/A</v>
        <stp/>
        <stp>BDH|5254215790428004328</stp>
        <tr r="M20" s="27"/>
      </tp>
      <tp t="e">
        <v>#N/A</v>
        <stp/>
        <stp>BDH|4595715166689642952</stp>
        <tr r="M75" s="12"/>
      </tp>
      <tp t="e">
        <v>#N/A</v>
        <stp/>
        <stp>BDH|3501129894489727750</stp>
        <tr r="V55" s="21"/>
      </tp>
      <tp t="e">
        <v>#N/A</v>
        <stp/>
        <stp>BDH|1085225775684006564</stp>
        <tr r="I11" s="11"/>
      </tp>
      <tp t="e">
        <v>#N/A</v>
        <stp/>
        <stp>BDH|5591117056763049732</stp>
        <tr r="H25" s="2"/>
        <tr r="J62" s="21"/>
      </tp>
      <tp t="e">
        <v>#N/A</v>
        <stp/>
        <stp>BDH|2288007664012529323</stp>
        <tr r="D68" s="10"/>
      </tp>
      <tp t="e">
        <v>#N/A</v>
        <stp/>
        <stp>BDH|8089304990182455556</stp>
        <tr r="Y11" s="21"/>
      </tp>
      <tp t="e">
        <v>#N/A</v>
        <stp/>
        <stp>BDH|1486523574483079549</stp>
        <tr r="T67" s="12"/>
      </tp>
      <tp t="e">
        <v>#N/A</v>
        <stp/>
        <stp>BDH|7337582853110870266</stp>
        <tr r="L124" s="18"/>
        <tr r="L13" s="20"/>
      </tp>
      <tp t="e">
        <v>#N/A</v>
        <stp/>
        <stp>BDH|3350773417680634032</stp>
        <tr r="R15" s="12"/>
      </tp>
      <tp t="e">
        <v>#N/A</v>
        <stp/>
        <stp>BDH|7180637515691804498</stp>
        <tr r="V106" s="12"/>
      </tp>
      <tp t="e">
        <v>#N/A</v>
        <stp/>
        <stp>BDH|7357241263110472662</stp>
        <tr r="Y202" s="18"/>
      </tp>
      <tp t="e">
        <v>#N/A</v>
        <stp/>
        <stp>BDH|2785268132562222477</stp>
        <tr r="R35" s="21"/>
      </tp>
      <tp t="e">
        <v>#N/A</v>
        <stp/>
        <stp>BDH|6342004022096129762</stp>
        <tr r="K62" s="13"/>
      </tp>
      <tp t="e">
        <v>#N/A</v>
        <stp/>
        <stp>BDH|9481849055430611154</stp>
        <tr r="T26" s="18"/>
      </tp>
      <tp t="e">
        <v>#N/A</v>
        <stp/>
        <stp>BDH|7921549058286285411</stp>
        <tr r="F68" s="18"/>
      </tp>
      <tp t="e">
        <v>#N/A</v>
        <stp/>
        <stp>BDH|7614618181955165915</stp>
        <tr r="V6" s="15"/>
        <tr r="V12" s="2"/>
        <tr r="V11" s="4"/>
        <tr r="V6" s="10"/>
      </tp>
      <tp t="e">
        <v>#N/A</v>
        <stp/>
        <stp>BDH|1346288231941517497</stp>
        <tr r="Q13" s="6"/>
      </tp>
      <tp t="e">
        <v>#N/A</v>
        <stp/>
        <stp>BDH|1706421844660408435</stp>
        <tr r="Y65" s="12"/>
      </tp>
      <tp t="e">
        <v>#N/A</v>
        <stp/>
        <stp>BDH|4569282648660768746</stp>
        <tr r="Q16" s="18"/>
      </tp>
      <tp t="e">
        <v>#N/A</v>
        <stp/>
        <stp>BDH|4628230734866218659</stp>
        <tr r="N12" s="7"/>
      </tp>
      <tp t="e">
        <v>#N/A</v>
        <stp/>
        <stp>BDH|3707116860127632666</stp>
        <tr r="N34" s="9"/>
      </tp>
      <tp t="e">
        <v>#N/A</v>
        <stp/>
        <stp>BDH|6273243255374001052</stp>
        <tr r="M10" s="24"/>
      </tp>
      <tp t="e">
        <v>#N/A</v>
        <stp/>
        <stp>BDH|1453453278843725488</stp>
        <tr r="L14" s="8"/>
      </tp>
      <tp t="e">
        <v>#N/A</v>
        <stp/>
        <stp>BDH|4322195119483148243</stp>
        <tr r="S29" s="4"/>
      </tp>
      <tp t="e">
        <v>#N/A</v>
        <stp/>
        <stp>BDH|6690332570707796041</stp>
        <tr r="H12" s="22"/>
      </tp>
      <tp t="e">
        <v>#N/A</v>
        <stp/>
        <stp>BDH|7646742537266308000</stp>
        <tr r="I18" s="24"/>
      </tp>
      <tp t="e">
        <v>#N/A</v>
        <stp/>
        <stp>BDH|1571951158821905979</stp>
        <tr r="O34" s="26"/>
      </tp>
      <tp t="e">
        <v>#N/A</v>
        <stp/>
        <stp>BDH|8749841450907391762</stp>
        <tr r="G75" s="17"/>
      </tp>
      <tp t="e">
        <v>#N/A</v>
        <stp/>
        <stp>BDH|3479728872990735652</stp>
        <tr r="J11" s="17"/>
      </tp>
      <tp t="e">
        <v>#N/A</v>
        <stp/>
        <stp>BDH|4527840577497821983</stp>
        <tr r="D30" s="34"/>
      </tp>
      <tp t="e">
        <v>#N/A</v>
        <stp/>
        <stp>BDH|8309929803512125658</stp>
        <tr r="Z66" s="13"/>
      </tp>
      <tp t="e">
        <v>#N/A</v>
        <stp/>
        <stp>BDH|5405602622113834786</stp>
        <tr r="U28" s="14"/>
      </tp>
      <tp t="e">
        <v>#N/A</v>
        <stp/>
        <stp>BDH|1108757165136672317</stp>
        <tr r="T57" s="34"/>
      </tp>
      <tp t="e">
        <v>#N/A</v>
        <stp/>
        <stp>BDH|6085479430936288236</stp>
        <tr r="V7" s="24"/>
      </tp>
      <tp t="e">
        <v>#N/A</v>
        <stp/>
        <stp>BDH|8110911356326822788</stp>
        <tr r="N20" s="29"/>
      </tp>
      <tp t="e">
        <v>#N/A</v>
        <stp/>
        <stp>BDH|9397237450333073863</stp>
        <tr r="H79" s="18"/>
      </tp>
      <tp t="e">
        <v>#N/A</v>
        <stp/>
        <stp>BDH|5483334460675719062</stp>
        <tr r="Q77" s="24"/>
      </tp>
      <tp t="e">
        <v>#N/A</v>
        <stp/>
        <stp>BDH|3577519534209208945</stp>
        <tr r="K25" s="7"/>
      </tp>
      <tp t="e">
        <v>#N/A</v>
        <stp/>
        <stp>BDH|7164678622575632340</stp>
        <tr r="G77" s="18"/>
      </tp>
      <tp t="e">
        <v>#N/A</v>
        <stp/>
        <stp>BDH|6671689969424043716</stp>
        <tr r="R7" s="17"/>
      </tp>
      <tp t="e">
        <v>#N/A</v>
        <stp/>
        <stp>BDH|4707529197744566913</stp>
        <tr r="S74" s="34"/>
      </tp>
      <tp t="e">
        <v>#N/A</v>
        <stp/>
        <stp>BDH|5033602863842772224</stp>
        <tr r="Y47" s="10"/>
        <tr r="Y37" s="11"/>
      </tp>
      <tp t="e">
        <v>#N/A</v>
        <stp/>
        <stp>BDH|3197336354254239424</stp>
        <tr r="F14" s="21"/>
      </tp>
      <tp t="e">
        <v>#N/A</v>
        <stp/>
        <stp>BDH|4229734073493199251</stp>
        <tr r="L30" s="12"/>
      </tp>
      <tp t="e">
        <v>#N/A</v>
        <stp/>
        <stp>BDH|9889902237723840513</stp>
        <tr r="U119" s="18"/>
        <tr r="U7" s="20"/>
      </tp>
      <tp t="e">
        <v>#N/A</v>
        <stp/>
        <stp>BDH|5456999583678135994</stp>
        <tr r="Y32" s="14"/>
      </tp>
      <tp t="e">
        <v>#N/A</v>
        <stp/>
        <stp>BDH|1081953801725146835</stp>
        <tr r="M173" s="18"/>
      </tp>
      <tp t="e">
        <v>#N/A</v>
        <stp/>
        <stp>BDH|5725634333192326728</stp>
        <tr r="W12" s="18"/>
      </tp>
      <tp t="e">
        <v>#N/A</v>
        <stp/>
        <stp>BDH|4826499352715701520</stp>
        <tr r="C128" s="18"/>
      </tp>
      <tp t="e">
        <v>#N/A</v>
        <stp/>
        <stp>BDH|9436639986365179762</stp>
        <tr r="H69" s="24"/>
      </tp>
      <tp t="e">
        <v>#N/A</v>
        <stp/>
        <stp>BDH|6888333217139875821</stp>
        <tr r="J39" s="6"/>
      </tp>
      <tp t="e">
        <v>#N/A</v>
        <stp/>
        <stp>BDH|8453548686214629461</stp>
        <tr r="D24" s="27"/>
      </tp>
      <tp t="e">
        <v>#N/A</v>
        <stp/>
        <stp>BDH|9587924627297145076</stp>
        <tr r="K39" s="4"/>
        <tr r="K66" s="10"/>
      </tp>
      <tp t="e">
        <v>#N/A</v>
        <stp/>
        <stp>BDH|4791705155594463703</stp>
        <tr r="E84" s="18"/>
      </tp>
      <tp t="e">
        <v>#N/A</v>
        <stp/>
        <stp>BDH|4980842387285561492</stp>
        <tr r="N54" s="6"/>
      </tp>
      <tp t="e">
        <v>#N/A</v>
        <stp/>
        <stp>BDH|4558279091603766923</stp>
        <tr r="F46" s="12"/>
      </tp>
      <tp t="e">
        <v>#N/A</v>
        <stp/>
        <stp>BDH|5726640146940367203</stp>
        <tr r="P17" s="29"/>
        <tr r="P40" s="29"/>
      </tp>
      <tp t="e">
        <v>#N/A</v>
        <stp/>
        <stp>BDH|9330861975395095679</stp>
        <tr r="D16" s="29"/>
        <tr r="D39" s="29"/>
      </tp>
      <tp t="e">
        <v>#N/A</v>
        <stp/>
        <stp>BDH|7853658620810914635</stp>
        <tr r="T72" s="10"/>
        <tr r="T62" s="11"/>
      </tp>
      <tp t="e">
        <v>#N/A</v>
        <stp/>
        <stp>BDH|7985758678577066532</stp>
        <tr r="L30" s="17"/>
      </tp>
      <tp t="e">
        <v>#N/A</v>
        <stp/>
        <stp>BDH|7709700952073064327</stp>
        <tr r="J175" s="18"/>
      </tp>
      <tp t="e">
        <v>#N/A</v>
        <stp/>
        <stp>BDH|4477211146521509612</stp>
        <tr r="E44" s="22"/>
      </tp>
      <tp t="e">
        <v>#N/A</v>
        <stp/>
        <stp>BDH|6671161951720547734</stp>
        <tr r="V38" s="24"/>
      </tp>
      <tp t="e">
        <v>#N/A</v>
        <stp/>
        <stp>BDH|4706754623945551138</stp>
        <tr r="K84" s="18"/>
      </tp>
      <tp t="e">
        <v>#N/A</v>
        <stp/>
        <stp>BDH|4245961885199312955</stp>
        <tr r="F77" s="24"/>
      </tp>
      <tp t="e">
        <v>#N/A</v>
        <stp/>
        <stp>BDH|7662668021540090662</stp>
        <tr r="M42" s="10"/>
        <tr r="M32" s="11"/>
      </tp>
      <tp t="e">
        <v>#N/A</v>
        <stp/>
        <stp>BDH|2716037097007766930</stp>
        <tr r="O38" s="21"/>
        <tr r="O24" s="3"/>
      </tp>
      <tp t="e">
        <v>#N/A</v>
        <stp/>
        <stp>BDH|8158767212499541272</stp>
        <tr r="S11" s="18"/>
      </tp>
      <tp t="e">
        <v>#N/A</v>
        <stp/>
        <stp>BDH|5485168712029126961</stp>
        <tr r="I180" s="18"/>
      </tp>
      <tp t="e">
        <v>#N/A</v>
        <stp/>
        <stp>BDH|7527565312435284348</stp>
        <tr r="L39" s="34"/>
      </tp>
      <tp t="e">
        <v>#N/A</v>
        <stp/>
        <stp>BDH|1500671558731953641</stp>
        <tr r="S20" s="26"/>
      </tp>
      <tp t="e">
        <v>#N/A</v>
        <stp/>
        <stp>BDH|5448200822471317123</stp>
        <tr r="N78" s="34"/>
      </tp>
      <tp t="e">
        <v>#N/A</v>
        <stp/>
        <stp>BDH|6749411567337541630</stp>
        <tr r="M49" s="17"/>
      </tp>
      <tp t="e">
        <v>#N/A</v>
        <stp/>
        <stp>BDH|7679527337400734435</stp>
        <tr r="Z85" s="12"/>
      </tp>
      <tp t="e">
        <v>#N/A</v>
        <stp/>
        <stp>BDH|8939895730000330647</stp>
        <tr r="M153" s="18"/>
      </tp>
      <tp t="e">
        <v>#N/A</v>
        <stp/>
        <stp>BDH|6765277424885733648</stp>
        <tr r="H10" s="24"/>
      </tp>
      <tp t="e">
        <v>#N/A</v>
        <stp/>
        <stp>BDH|8374535844738299419</stp>
        <tr r="V14" s="22"/>
      </tp>
      <tp t="e">
        <v>#N/A</v>
        <stp/>
        <stp>BDH|7762613770451360222</stp>
        <tr r="O78" s="12"/>
      </tp>
      <tp t="e">
        <v>#N/A</v>
        <stp/>
        <stp>BDH|9410652742178762631</stp>
        <tr r="P61" s="18"/>
      </tp>
      <tp t="e">
        <v>#N/A</v>
        <stp/>
        <stp>BDH|3796222811902543763</stp>
        <tr r="U56" s="17"/>
      </tp>
      <tp t="e">
        <v>#N/A</v>
        <stp/>
        <stp>BDH|6724541342791687309</stp>
        <tr r="AA76" s="17"/>
        <tr r="X9" s="5"/>
        <tr r="X9" s="9"/>
      </tp>
      <tp t="e">
        <v>#N/A</v>
        <stp/>
        <stp>BDH|6248913547838491672</stp>
        <tr r="P38" s="26"/>
      </tp>
      <tp t="e">
        <v>#N/A</v>
        <stp/>
        <stp>BDH|1961187340230219146</stp>
        <tr r="R38" s="25"/>
      </tp>
      <tp t="e">
        <v>#N/A</v>
        <stp/>
        <stp>BDH|6944405715433379586</stp>
        <tr r="G32" s="24"/>
      </tp>
      <tp t="e">
        <v>#N/A</v>
        <stp/>
        <stp>BDH|3136648923133797167</stp>
        <tr r="H88" s="12"/>
      </tp>
      <tp t="e">
        <v>#N/A</v>
        <stp/>
        <stp>BDH|7652100620266625772</stp>
        <tr r="D89" s="17"/>
      </tp>
      <tp t="e">
        <v>#N/A</v>
        <stp/>
        <stp>BDH|3705530732400163005</stp>
        <tr r="N18" s="13"/>
      </tp>
      <tp t="e">
        <v>#N/A</v>
        <stp/>
        <stp>BDH|3601203850196444750</stp>
        <tr r="O14" s="4"/>
      </tp>
      <tp t="e">
        <v>#N/A</v>
        <stp/>
        <stp>BDH|4112735577475513477</stp>
        <tr r="D18" s="14"/>
      </tp>
      <tp t="e">
        <v>#N/A</v>
        <stp/>
        <stp>BDH|2052820916909135729</stp>
        <tr r="J68" s="13"/>
      </tp>
      <tp t="e">
        <v>#N/A</v>
        <stp/>
        <stp>BDH|2138335569317446587</stp>
        <tr r="Q189" s="18"/>
      </tp>
      <tp t="e">
        <v>#N/A</v>
        <stp/>
        <stp>BDH|4352365096512286964</stp>
        <tr r="U39" s="10"/>
        <tr r="U29" s="11"/>
      </tp>
      <tp t="e">
        <v>#N/A</v>
        <stp/>
        <stp>BDH|5351008242165618104</stp>
        <tr r="AA13" s="17"/>
        <tr r="AA16" s="28"/>
      </tp>
      <tp t="e">
        <v>#N/A</v>
        <stp/>
        <stp>BDH|9177086921137805979</stp>
        <tr r="I64" s="18"/>
      </tp>
      <tp t="e">
        <v>#N/A</v>
        <stp/>
        <stp>BDH|5230659236593177670</stp>
        <tr r="N34" s="5"/>
        <tr r="P32" s="29"/>
      </tp>
      <tp t="e">
        <v>#N/A</v>
        <stp/>
        <stp>BDH|3525060809056887052</stp>
        <tr r="I92" s="18"/>
      </tp>
      <tp t="e">
        <v>#N/A</v>
        <stp/>
        <stp>BDH|6569398943433908712</stp>
        <tr r="K59" s="18"/>
      </tp>
      <tp t="e">
        <v>#N/A</v>
        <stp/>
        <stp>BDH|7199818171894702912</stp>
        <tr r="W27" s="13"/>
      </tp>
      <tp t="e">
        <v>#N/A</v>
        <stp/>
        <stp>BDH|9168944537566388065</stp>
        <tr r="P18" s="13"/>
      </tp>
      <tp t="e">
        <v>#N/A</v>
        <stp/>
        <stp>BDH|5782644830572150756</stp>
        <tr r="Z63" s="13"/>
      </tp>
      <tp t="e">
        <v>#N/A</v>
        <stp/>
        <stp>BDH|5325000864305284323</stp>
        <tr r="Y52" s="18"/>
      </tp>
      <tp t="e">
        <v>#N/A</v>
        <stp/>
        <stp>BDH|6244177379442391783</stp>
        <tr r="Z16" s="20"/>
      </tp>
      <tp t="e">
        <v>#N/A</v>
        <stp/>
        <stp>BDH|9891474824728458282</stp>
        <tr r="V40" s="17"/>
      </tp>
      <tp t="e">
        <v>#N/A</v>
        <stp/>
        <stp>BDH|9875147933339991717</stp>
        <tr r="T74" s="24"/>
      </tp>
      <tp t="e">
        <v>#N/A</v>
        <stp/>
        <stp>BDH|8689848417550136439</stp>
        <tr r="D20" s="24"/>
      </tp>
      <tp t="e">
        <v>#N/A</v>
        <stp/>
        <stp>BDH|6110078530024671470</stp>
        <tr r="R29" s="13"/>
      </tp>
      <tp t="e">
        <v>#N/A</v>
        <stp/>
        <stp>BDH|7143068147254371247</stp>
        <tr r="Y61" s="21"/>
      </tp>
      <tp t="e">
        <v>#N/A</v>
        <stp/>
        <stp>BDH|2153980023918515483</stp>
        <tr r="M7" s="14"/>
      </tp>
      <tp t="e">
        <v>#N/A</v>
        <stp/>
        <stp>BDH|3605378560997066469</stp>
        <tr r="L54" s="17"/>
      </tp>
      <tp t="e">
        <v>#N/A</v>
        <stp/>
        <stp>BDH|3723572695079366327</stp>
        <tr r="V18" s="12"/>
      </tp>
      <tp t="e">
        <v>#N/A</v>
        <stp/>
        <stp>BDH|1382307031153096766</stp>
        <tr r="O24" s="6"/>
      </tp>
      <tp t="e">
        <v>#N/A</v>
        <stp/>
        <stp>BDH|2592314924910252660</stp>
        <tr r="K63" s="13"/>
      </tp>
      <tp t="e">
        <v>#N/A</v>
        <stp/>
        <stp>BDH|9314280529494631807</stp>
        <tr r="W72" s="18"/>
      </tp>
      <tp t="e">
        <v>#N/A</v>
        <stp/>
        <stp>BDH|4619602463046652777</stp>
        <tr r="N24" s="10"/>
      </tp>
      <tp t="e">
        <v>#N/A</v>
        <stp/>
        <stp>BDH|3137746494329250173</stp>
        <tr r="G94" s="17"/>
      </tp>
      <tp t="e">
        <v>#N/A</v>
        <stp/>
        <stp>BDH|2131301787839127538</stp>
        <tr r="P10" s="10"/>
      </tp>
      <tp t="e">
        <v>#N/A</v>
        <stp/>
        <stp>BDH|6515784180579088598</stp>
        <tr r="F11" s="11"/>
      </tp>
      <tp t="e">
        <v>#N/A</v>
        <stp/>
        <stp>BDH|7510740933632371450</stp>
        <tr r="W37" s="26"/>
      </tp>
      <tp t="e">
        <v>#N/A</v>
        <stp/>
        <stp>BDH|8779936390289355435</stp>
        <tr r="R131" s="18"/>
      </tp>
      <tp t="e">
        <v>#N/A</v>
        <stp/>
        <stp>BDH|3993085256435233618</stp>
        <tr r="G9" s="22"/>
      </tp>
      <tp t="e">
        <v>#N/A</v>
        <stp/>
        <stp>BDH|8292865883949277411</stp>
        <tr r="N16" s="29"/>
        <tr r="N39" s="29"/>
      </tp>
      <tp t="e">
        <v>#N/A</v>
        <stp/>
        <stp>BDH|5849657965467443781</stp>
        <tr r="R97" s="18"/>
      </tp>
      <tp t="e">
        <v>#N/A</v>
        <stp/>
        <stp>BDH|2447854045169941297</stp>
        <tr r="X62" s="12"/>
      </tp>
      <tp t="e">
        <v>#N/A</v>
        <stp/>
        <stp>BDH|6566825094361413333</stp>
        <tr r="S32" s="10"/>
        <tr r="U41" s="13"/>
      </tp>
      <tp t="e">
        <v>#N/A</v>
        <stp/>
        <stp>BDH|3455257300344178044</stp>
        <tr r="C29" s="6"/>
      </tp>
      <tp t="e">
        <v>#N/A</v>
        <stp/>
        <stp>BDH|7422683269762073014</stp>
        <tr r="F12" s="13"/>
      </tp>
      <tp t="e">
        <v>#N/A</v>
        <stp/>
        <stp>BDH|8312176101895127908</stp>
        <tr r="V17" s="4"/>
        <tr r="X10" s="3"/>
        <tr r="V56" s="10"/>
        <tr r="V46" s="11"/>
        <tr r="V17" s="7"/>
        <tr r="X61" s="13"/>
      </tp>
      <tp t="e">
        <v>#N/A</v>
        <stp/>
        <stp>BDH|6781321152472119729</stp>
        <tr r="U41" s="22"/>
      </tp>
      <tp t="e">
        <v>#N/A</v>
        <stp/>
        <stp>BDH|1957556871623946504</stp>
        <tr r="D30" s="29"/>
        <tr r="D8" s="29"/>
      </tp>
      <tp t="e">
        <v>#N/A</v>
        <stp/>
        <stp>BDH|4234657400145170226</stp>
        <tr r="M46" s="34"/>
      </tp>
      <tp t="e">
        <v>#N/A</v>
        <stp/>
        <stp>BDH|6643432506393491438</stp>
        <tr r="C13" s="7"/>
      </tp>
      <tp t="e">
        <v>#N/A</v>
        <stp/>
        <stp>BDH|8607953804433137720</stp>
        <tr r="G83" s="17"/>
      </tp>
      <tp t="e">
        <v>#N/A</v>
        <stp/>
        <stp>BDH|3952761477970894643</stp>
        <tr r="D11" s="13"/>
      </tp>
      <tp t="e">
        <v>#N/A</v>
        <stp/>
        <stp>BDH|2309620186199566060</stp>
        <tr r="Z38" s="22"/>
      </tp>
      <tp t="e">
        <v>#N/A</v>
        <stp/>
        <stp>BDH|2476785216712854367</stp>
        <tr r="V33" s="22"/>
      </tp>
      <tp t="e">
        <v>#N/A</v>
        <stp/>
        <stp>BDH|5158314319086949442</stp>
        <tr r="C17" s="34"/>
      </tp>
      <tp t="e">
        <v>#N/A</v>
        <stp/>
        <stp>BDH|5741052113462737327</stp>
        <tr r="AA77" s="17"/>
        <tr r="AA19" s="3"/>
      </tp>
      <tp t="e">
        <v>#N/A</v>
        <stp/>
        <stp>BDH|5953462005637748393</stp>
        <tr r="J27" s="21"/>
      </tp>
      <tp t="e">
        <v>#N/A</v>
        <stp/>
        <stp>BDH|6353344011786094726</stp>
        <tr r="C51" s="18"/>
      </tp>
      <tp t="e">
        <v>#N/A</v>
        <stp/>
        <stp>BDH|6022402455210299233</stp>
        <tr r="W43" s="29"/>
      </tp>
      <tp t="e">
        <v>#N/A</v>
        <stp/>
        <stp>BDH|1007880611404998945</stp>
        <tr r="M15" s="5"/>
      </tp>
      <tp t="e">
        <v>#N/A</v>
        <stp/>
        <stp>BDH|8567877570803457126</stp>
        <tr r="L37" s="22"/>
      </tp>
      <tp t="e">
        <v>#N/A</v>
        <stp/>
        <stp>BDH|3453277541020784010</stp>
        <tr r="I47" s="6"/>
        <tr r="K6" s="8"/>
      </tp>
      <tp t="e">
        <v>#N/A</v>
        <stp/>
        <stp>BDH|6597748203963460724</stp>
        <tr r="J145" s="18"/>
      </tp>
      <tp t="e">
        <v>#N/A</v>
        <stp/>
        <stp>BDH|3096347557875198565</stp>
        <tr r="Q14" s="17"/>
        <tr r="Q17" s="28"/>
      </tp>
      <tp t="e">
        <v>#N/A</v>
        <stp/>
        <stp>BDH|1474083471477892414</stp>
        <tr r="X31" s="18"/>
      </tp>
      <tp t="e">
        <v>#N/A</v>
        <stp/>
        <stp>BDH|3870037620825673192</stp>
        <tr r="Z91" s="12"/>
      </tp>
      <tp t="e">
        <v>#N/A</v>
        <stp/>
        <stp>BDH|4599857945299318420</stp>
        <tr r="S71" s="17"/>
      </tp>
      <tp t="e">
        <v>#N/A</v>
        <stp/>
        <stp>BDH|9664937309953166692</stp>
        <tr r="G54" s="11"/>
      </tp>
      <tp t="e">
        <v>#N/A</v>
        <stp/>
        <stp>BDH|5816237169602045668</stp>
        <tr r="N8" s="18"/>
      </tp>
      <tp t="e">
        <v>#N/A</v>
        <stp/>
        <stp>BDH|6727230944780785531</stp>
        <tr r="O75" s="12"/>
      </tp>
      <tp t="e">
        <v>#N/A</v>
        <stp/>
        <stp>BDH|5336350332944266423</stp>
        <tr r="K73" s="12"/>
      </tp>
      <tp t="e">
        <v>#N/A</v>
        <stp/>
        <stp>BDH|5663155321597309459</stp>
        <tr r="C29" s="12"/>
      </tp>
      <tp t="e">
        <v>#N/A</v>
        <stp/>
        <stp>BDH|6527340648433592780</stp>
        <tr r="S20" s="25"/>
      </tp>
      <tp t="e">
        <v>#N/A</v>
        <stp/>
        <stp>BDH|7139227913898368975</stp>
        <tr r="E61" s="18"/>
      </tp>
      <tp t="e">
        <v>#N/A</v>
        <stp/>
        <stp>BDH|1112379604365450221</stp>
        <tr r="Z28" s="25"/>
        <tr r="Z14" s="27"/>
      </tp>
      <tp t="e">
        <v>#N/A</v>
        <stp/>
        <stp>BDH|9283873114847794225</stp>
        <tr r="O20" s="34"/>
      </tp>
      <tp t="e">
        <v>#N/A</v>
        <stp/>
        <stp>BDH|6635804932981047905</stp>
        <tr r="G176" s="18"/>
      </tp>
      <tp t="e">
        <v>#N/A</v>
        <stp/>
        <stp>BDH|8799111862453438940</stp>
        <tr r="O10" s="23"/>
      </tp>
      <tp t="e">
        <v>#N/A</v>
        <stp/>
        <stp>BDH|4255409910122747616</stp>
        <tr r="X84" s="18"/>
      </tp>
      <tp t="e">
        <v>#N/A</v>
        <stp/>
        <stp>BDH|3801026074110937125</stp>
        <tr r="M22" s="24"/>
      </tp>
      <tp t="e">
        <v>#N/A</v>
        <stp/>
        <stp>BDH|6585459867777759652</stp>
        <tr r="H98" s="12"/>
      </tp>
      <tp t="e">
        <v>#N/A</v>
        <stp/>
        <stp>BDH|4878592515456534343</stp>
        <tr r="R8" s="24"/>
      </tp>
      <tp t="e">
        <v>#N/A</v>
        <stp/>
        <stp>BDH|9348841197204207976</stp>
        <tr r="C174" s="18"/>
      </tp>
      <tp t="e">
        <v>#N/A</v>
        <stp/>
        <stp>BDH|1220336932082061662</stp>
        <tr r="V164" s="18"/>
      </tp>
      <tp t="e">
        <v>#N/A</v>
        <stp/>
        <stp>BDH|1618064134301024614</stp>
        <tr r="Y67" s="12"/>
      </tp>
      <tp t="e">
        <v>#N/A</v>
        <stp/>
        <stp>BDH|3299164322856211314</stp>
        <tr r="J165" s="18"/>
      </tp>
      <tp t="e">
        <v>#N/A</v>
        <stp/>
        <stp>BDH|4456223137319126954</stp>
        <tr r="W179" s="18"/>
      </tp>
      <tp t="e">
        <v>#N/A</v>
        <stp/>
        <stp>BDH|3472086228460767460</stp>
        <tr r="O38" s="17"/>
      </tp>
      <tp t="e">
        <v>#N/A</v>
        <stp/>
        <stp>BDH|8002513533022596929</stp>
        <tr r="V26" s="10"/>
        <tr r="X35" s="13"/>
      </tp>
      <tp t="e">
        <v>#N/A</v>
        <stp/>
        <stp>BDH|2388512770077783201</stp>
        <tr r="M17" s="30"/>
      </tp>
      <tp t="e">
        <v>#N/A</v>
        <stp/>
        <stp>BDH|1739754916553762166</stp>
        <tr r="H27" s="22"/>
      </tp>
      <tp t="e">
        <v>#N/A</v>
        <stp/>
        <stp>BDH|3805681167634564273</stp>
        <tr r="Y19" s="30"/>
      </tp>
      <tp t="e">
        <v>#N/A</v>
        <stp/>
        <stp>BDH|4035372735371268056</stp>
        <tr r="AA70" s="18"/>
      </tp>
      <tp t="e">
        <v>#N/A</v>
        <stp/>
        <stp>BDH|9650489789706282606</stp>
        <tr r="O46" s="34"/>
      </tp>
      <tp t="e">
        <v>#N/A</v>
        <stp/>
        <stp>BDH|1758256449286615485</stp>
        <tr r="G37" s="18"/>
      </tp>
      <tp t="e">
        <v>#N/A</v>
        <stp/>
        <stp>BDH|3345496558390731707</stp>
        <tr r="AA8" s="24"/>
      </tp>
      <tp t="e">
        <v>#N/A</v>
        <stp/>
        <stp>BDH|7061400367337479767</stp>
        <tr r="C20" s="5"/>
      </tp>
      <tp t="e">
        <v>#N/A</v>
        <stp/>
        <stp>BDH|1181875883764986096</stp>
        <tr r="P15" s="17"/>
        <tr r="P18" s="28"/>
      </tp>
      <tp t="e">
        <v>#N/A</v>
        <stp/>
        <stp>BDH|1432071212386702335</stp>
        <tr r="Y29" s="4"/>
      </tp>
      <tp t="e">
        <v>#N/A</v>
        <stp/>
        <stp>BDH|2212026703193637401</stp>
        <tr r="U25" s="5"/>
      </tp>
      <tp t="e">
        <v>#N/A</v>
        <stp/>
        <stp>BDH|7824586844546558543</stp>
        <tr r="F97" s="12"/>
      </tp>
      <tp t="e">
        <v>#N/A</v>
        <stp/>
        <stp>BDH|1130355161285408443</stp>
        <tr r="O195" s="18"/>
      </tp>
      <tp t="e">
        <v>#N/A</v>
        <stp/>
        <stp>BDH|6181448121167857293</stp>
        <tr r="C18" s="25"/>
      </tp>
      <tp t="e">
        <v>#N/A</v>
        <stp/>
        <stp>BDH|6983940719719194201</stp>
        <tr r="G178" s="18"/>
      </tp>
      <tp t="e">
        <v>#N/A</v>
        <stp/>
        <stp>BDH|8889911613123891676</stp>
        <tr r="F71" s="17"/>
      </tp>
      <tp t="e">
        <v>#N/A</v>
        <stp/>
        <stp>BDH|1670836484093616727</stp>
        <tr r="T29" s="21"/>
      </tp>
      <tp t="e">
        <v>#N/A</v>
        <stp/>
        <stp>BDH|5991109504600170197</stp>
        <tr r="W38" s="26"/>
      </tp>
      <tp t="e">
        <v>#N/A</v>
        <stp/>
        <stp>BDH|9225118222577746833</stp>
        <tr r="V13" s="2"/>
      </tp>
      <tp t="e">
        <v>#N/A</v>
        <stp/>
        <stp>BDH|9650330681856165103</stp>
        <tr r="T98" s="12"/>
      </tp>
      <tp t="e">
        <v>#N/A</v>
        <stp/>
        <stp>BDH|4197159912801317001</stp>
        <tr r="Z121" s="18"/>
        <tr r="Z9" s="20"/>
      </tp>
      <tp t="e">
        <v>#N/A</v>
        <stp/>
        <stp>BDH|1533327573848105807</stp>
        <tr r="S29" s="14"/>
      </tp>
      <tp t="e">
        <v>#N/A</v>
        <stp/>
        <stp>BDH|5865106619043690322</stp>
        <tr r="V129" s="18"/>
      </tp>
      <tp t="e">
        <v>#N/A</v>
        <stp/>
        <stp>BDH|2256861666789604018</stp>
        <tr r="S92" s="12"/>
      </tp>
      <tp t="e">
        <v>#N/A</v>
        <stp/>
        <stp>BDH|6105379537282352175</stp>
        <tr r="F199" s="18"/>
      </tp>
      <tp t="e">
        <v>#N/A</v>
        <stp/>
        <stp>BDH|7607948735451031925</stp>
        <tr r="U52" s="12"/>
      </tp>
      <tp t="e">
        <v>#N/A</v>
        <stp/>
        <stp>BDH|2784316107432169656</stp>
        <tr r="P66" s="21"/>
        <tr r="M27" s="6"/>
      </tp>
      <tp t="e">
        <v>#N/A</v>
        <stp/>
        <stp>BDH|7589788163646947528</stp>
        <tr r="R75" s="24"/>
      </tp>
      <tp t="e">
        <v>#N/A</v>
        <stp/>
        <stp>BDH|5685188214323795387</stp>
        <tr r="W28" s="4"/>
      </tp>
      <tp t="e">
        <v>#N/A</v>
        <stp/>
        <stp>BDH|1362105176537891582</stp>
        <tr r="N10" s="10"/>
      </tp>
      <tp t="e">
        <v>#N/A</v>
        <stp/>
        <stp>BDH|3199816632564437934</stp>
        <tr r="E31" s="26"/>
      </tp>
      <tp t="e">
        <v>#N/A</v>
        <stp/>
        <stp>BDH|1341649333582405355</stp>
        <tr r="AA81" s="12"/>
      </tp>
      <tp t="e">
        <v>#N/A</v>
        <stp/>
        <stp>BDH|6631107930286198722</stp>
        <tr r="M47" s="18"/>
      </tp>
      <tp t="e">
        <v>#N/A</v>
        <stp/>
        <stp>BDH|5787601344371218346</stp>
        <tr r="Q18" s="23"/>
      </tp>
      <tp t="e">
        <v>#N/A</v>
        <stp/>
        <stp>BDH|8825833035542883430</stp>
        <tr r="E50" s="12"/>
      </tp>
      <tp t="e">
        <v>#N/A</v>
        <stp/>
        <stp>BDH|1440248921674402006</stp>
        <tr r="E58" s="17"/>
      </tp>
      <tp t="e">
        <v>#N/A</v>
        <stp/>
        <stp>BDH|7958019469960186451</stp>
        <tr r="Q46" s="12"/>
      </tp>
      <tp t="e">
        <v>#N/A</v>
        <stp/>
        <stp>BDH|5673405277931216265</stp>
        <tr r="R21" s="4"/>
      </tp>
      <tp t="e">
        <v>#N/A</v>
        <stp/>
        <stp>BDH|3113489171347533287</stp>
        <tr r="V63" s="10"/>
      </tp>
      <tp t="e">
        <v>#N/A</v>
        <stp/>
        <stp>BDH|9493508356935545923</stp>
        <tr r="G44" s="21"/>
      </tp>
      <tp t="e">
        <v>#N/A</v>
        <stp/>
        <stp>BDH|3729155505466197135</stp>
        <tr r="Q175" s="18"/>
      </tp>
      <tp t="e">
        <v>#N/A</v>
        <stp/>
        <stp>BDH|6815202041465587091</stp>
        <tr r="H167" s="18"/>
      </tp>
      <tp t="e">
        <v>#N/A</v>
        <stp/>
        <stp>BDH|9496778873564438819</stp>
        <tr r="C178" s="18"/>
      </tp>
      <tp t="e">
        <v>#N/A</v>
        <stp/>
        <stp>BDH|9551904778975101796</stp>
        <tr r="Q8" s="27"/>
      </tp>
      <tp t="e">
        <v>#N/A</v>
        <stp/>
        <stp>BDH|9911873306897479393</stp>
        <tr r="K21" s="22"/>
      </tp>
      <tp t="e">
        <v>#N/A</v>
        <stp/>
        <stp>BDH|1763469245076765267</stp>
        <tr r="Y69" s="18"/>
      </tp>
      <tp t="e">
        <v>#N/A</v>
        <stp/>
        <stp>BDH|3962972987257407088</stp>
        <tr r="T106" s="12"/>
      </tp>
      <tp t="e">
        <v>#N/A</v>
        <stp/>
        <stp>BDH|35970443822956702</stp>
        <tr r="W33" s="9"/>
      </tp>
      <tp t="e">
        <v>#N/A</v>
        <stp/>
        <stp>BDH|36125594566324680</stp>
        <tr r="M69" s="13"/>
      </tp>
      <tp t="e">
        <v>#N/A</v>
        <stp/>
        <stp>BDH|54591741189365039</stp>
        <tr r="D31" s="25"/>
        <tr r="D17" s="27"/>
      </tp>
      <tp t="e">
        <v>#N/A</v>
        <stp/>
        <stp>BDH|3619666829398328907</stp>
        <tr r="W18" s="12"/>
      </tp>
      <tp t="e">
        <v>#N/A</v>
        <stp/>
        <stp>BDH|1520559426855919552</stp>
        <tr r="D58" s="12"/>
      </tp>
      <tp t="e">
        <v>#N/A</v>
        <stp/>
        <stp>BDH|8779739735618238298</stp>
        <tr r="F56" s="17"/>
      </tp>
      <tp t="e">
        <v>#N/A</v>
        <stp/>
        <stp>BDH|9673947955493465090</stp>
        <tr r="L17" s="24"/>
      </tp>
      <tp t="e">
        <v>#N/A</v>
        <stp/>
        <stp>BDH|1517515301867980566</stp>
        <tr r="U62" s="24"/>
      </tp>
      <tp t="e">
        <v>#N/A</v>
        <stp/>
        <stp>BDH|9484995635584299103</stp>
        <tr r="Q81" s="12"/>
      </tp>
      <tp t="e">
        <v>#N/A</v>
        <stp/>
        <stp>BDH|1496179361396901611</stp>
        <tr r="W14" s="21"/>
      </tp>
      <tp t="e">
        <v>#N/A</v>
        <stp/>
        <stp>BDH|4527127946981313688</stp>
        <tr r="T38" s="10"/>
        <tr r="T28" s="11"/>
        <tr r="V47" s="13"/>
      </tp>
      <tp t="e">
        <v>#N/A</v>
        <stp/>
        <stp>BDH|3910864670468710225</stp>
        <tr r="R20" s="18"/>
      </tp>
      <tp t="e">
        <v>#N/A</v>
        <stp/>
        <stp>BDH|1875730553346335312</stp>
        <tr r="Q10" s="26"/>
      </tp>
      <tp t="e">
        <v>#N/A</v>
        <stp/>
        <stp>BDH|7388588966380425234</stp>
        <tr r="Z165" s="18"/>
      </tp>
      <tp t="e">
        <v>#N/A</v>
        <stp/>
        <stp>BDH|2338355506372233583</stp>
        <tr r="J204" s="18"/>
      </tp>
      <tp t="e">
        <v>#N/A</v>
        <stp/>
        <stp>BDH|1574300629304377257</stp>
        <tr r="O33" s="22"/>
      </tp>
      <tp t="e">
        <v>#N/A</v>
        <stp/>
        <stp>BDH|6814237513161612242</stp>
        <tr r="U27" s="25"/>
        <tr r="U13" s="27"/>
      </tp>
      <tp t="e">
        <v>#N/A</v>
        <stp/>
        <stp>BDH|9297626165937802872</stp>
        <tr r="V20" s="5"/>
      </tp>
      <tp t="e">
        <v>#N/A</v>
        <stp/>
        <stp>BDH|3239399304554630238</stp>
        <tr r="K125" s="18"/>
        <tr r="K14" s="20"/>
      </tp>
      <tp t="e">
        <v>#N/A</v>
        <stp/>
        <stp>BDH|7875137133430753356</stp>
        <tr r="C17" s="12"/>
      </tp>
      <tp t="e">
        <v>#N/A</v>
        <stp/>
        <stp>BDH|9634180761421774927</stp>
        <tr r="J53" s="18"/>
      </tp>
      <tp t="e">
        <v>#N/A</v>
        <stp/>
        <stp>BDH|2699708368710693528</stp>
        <tr r="F49" s="21"/>
      </tp>
      <tp t="e">
        <v>#N/A</v>
        <stp/>
        <stp>BDH|3212780637728712901</stp>
        <tr r="G58" s="17"/>
      </tp>
      <tp t="e">
        <v>#N/A</v>
        <stp/>
        <stp>BDH|1824204700350642548</stp>
        <tr r="R10" s="4"/>
        <tr r="Q6" s="16"/>
        <tr r="T6" s="3"/>
        <tr r="R6" s="11"/>
      </tp>
      <tp t="e">
        <v>#N/A</v>
        <stp/>
        <stp>BDH|1206780021107398521</stp>
        <tr r="Z8" s="12"/>
      </tp>
      <tp t="e">
        <v>#N/A</v>
        <stp/>
        <stp>BDH|5929642519380995472</stp>
        <tr r="Y83" s="18"/>
      </tp>
      <tp t="e">
        <v>#N/A</v>
        <stp/>
        <stp>BDH|2878573985228569158</stp>
        <tr r="P73" s="12"/>
      </tp>
      <tp t="e">
        <v>#N/A</v>
        <stp/>
        <stp>BDH|2935578603278270954</stp>
        <tr r="R14" s="28"/>
      </tp>
      <tp t="e">
        <v>#N/A</v>
        <stp/>
        <stp>BDH|5815038677363323752</stp>
        <tr r="H49" s="22"/>
      </tp>
      <tp t="e">
        <v>#N/A</v>
        <stp/>
        <stp>BDH|1890603923496753561</stp>
        <tr r="M18" s="12"/>
      </tp>
      <tp t="e">
        <v>#N/A</v>
        <stp/>
        <stp>BDH|3424783250266493120</stp>
        <tr r="AA12" s="18"/>
      </tp>
      <tp t="e">
        <v>#N/A</v>
        <stp/>
        <stp>BDH|2555666707897864567</stp>
        <tr r="D57" s="11"/>
        <tr r="F15" s="23"/>
      </tp>
      <tp t="e">
        <v>#N/A</v>
        <stp/>
        <stp>BDH|8372412629298844099</stp>
        <tr r="F78" s="24"/>
      </tp>
      <tp t="e">
        <v>#N/A</v>
        <stp/>
        <stp>BDH|7698140178143259420</stp>
        <tr r="M7" s="11"/>
      </tp>
      <tp t="e">
        <v>#N/A</v>
        <stp/>
        <stp>BDH|9236037688645167229</stp>
        <tr r="F15" s="11"/>
      </tp>
      <tp t="e">
        <v>#N/A</v>
        <stp/>
        <stp>BDH|8871250597107998292</stp>
        <tr r="W59" s="12"/>
      </tp>
      <tp t="e">
        <v>#N/A</v>
        <stp/>
        <stp>BDH|1446191814283490472</stp>
        <tr r="T34" s="6"/>
      </tp>
      <tp t="e">
        <v>#N/A</v>
        <stp/>
        <stp>BDH|9564178887341657794</stp>
        <tr r="Z205" s="18"/>
      </tp>
      <tp t="e">
        <v>#N/A</v>
        <stp/>
        <stp>BDH|4000740172980441281</stp>
        <tr r="E9" s="21"/>
      </tp>
      <tp t="e">
        <v>#N/A</v>
        <stp/>
        <stp>BDH|1339189955387431406</stp>
        <tr r="H40" s="6"/>
      </tp>
      <tp t="e">
        <v>#N/A</v>
        <stp/>
        <stp>BDH|4981282921262949033</stp>
        <tr r="I32" s="10"/>
        <tr r="K41" s="13"/>
      </tp>
      <tp t="e">
        <v>#N/A</v>
        <stp/>
        <stp>BDH|1346300253101337098</stp>
        <tr r="O42" s="10"/>
        <tr r="O32" s="11"/>
      </tp>
      <tp t="e">
        <v>#N/A</v>
        <stp/>
        <stp>BDH|7892042692389350173</stp>
        <tr r="C90" s="17"/>
        <tr r="C34" s="25"/>
      </tp>
      <tp t="e">
        <v>#N/A</v>
        <stp/>
        <stp>BDH|7740032617315928509</stp>
        <tr r="H64" s="21"/>
      </tp>
      <tp t="e">
        <v>#N/A</v>
        <stp/>
        <stp>BDH|5105634336505853375</stp>
        <tr r="Y83" s="24"/>
      </tp>
      <tp t="e">
        <v>#N/A</v>
        <stp/>
        <stp>BDH|7479984284681216115</stp>
        <tr r="T9" s="13"/>
      </tp>
      <tp t="e">
        <v>#N/A</v>
        <stp/>
        <stp>BDH|7060194193650665973</stp>
        <tr r="I49" s="4"/>
      </tp>
      <tp t="e">
        <v>#N/A</v>
        <stp/>
        <stp>BDH|8274885525815729138</stp>
        <tr r="V8" s="21"/>
      </tp>
      <tp t="e">
        <v>#N/A</v>
        <stp/>
        <stp>BDH|2266357164283864205</stp>
        <tr r="P27" s="22"/>
      </tp>
      <tp t="e">
        <v>#N/A</v>
        <stp/>
        <stp>BDH|1703421871293785788</stp>
        <tr r="X77" s="12"/>
      </tp>
      <tp t="e">
        <v>#N/A</v>
        <stp/>
        <stp>BDH|3354055843721639087</stp>
        <tr r="Z14" s="8"/>
      </tp>
      <tp t="e">
        <v>#N/A</v>
        <stp/>
        <stp>BDH|3718494945854473149</stp>
        <tr r="M80" s="24"/>
      </tp>
      <tp t="e">
        <v>#N/A</v>
        <stp/>
        <stp>BDH|4438751396588904454</stp>
        <tr r="Q10" s="13"/>
      </tp>
      <tp t="e">
        <v>#N/A</v>
        <stp/>
        <stp>BDH|3239263729191245446</stp>
        <tr r="I77" s="18"/>
      </tp>
      <tp t="e">
        <v>#N/A</v>
        <stp/>
        <stp>BDH|5402708029237012169</stp>
        <tr r="N187" s="18"/>
      </tp>
      <tp t="e">
        <v>#N/A</v>
        <stp/>
        <stp>BDH|4396319507540993179</stp>
        <tr r="E142" s="18"/>
      </tp>
      <tp t="e">
        <v>#N/A</v>
        <stp/>
        <stp>BDH|6662541277381804361</stp>
        <tr r="R19" s="6"/>
      </tp>
      <tp t="e">
        <v>#N/A</v>
        <stp/>
        <stp>BDH|7618186110271526002</stp>
        <tr r="K6" s="19"/>
        <tr r="K34" s="17"/>
        <tr r="K16" s="3"/>
      </tp>
      <tp t="e">
        <v>#N/A</v>
        <stp/>
        <stp>BDH|7839858399273995365</stp>
        <tr r="V33" s="6"/>
      </tp>
      <tp t="e">
        <v>#N/A</v>
        <stp/>
        <stp>BDH|7073199724473289147</stp>
        <tr r="P130" s="18"/>
      </tp>
      <tp t="e">
        <v>#N/A</v>
        <stp/>
        <stp>BDH|5360190386312472835</stp>
        <tr r="Z154" s="18"/>
      </tp>
      <tp t="e">
        <v>#N/A</v>
        <stp/>
        <stp>BDH|2414034557163829231</stp>
        <tr r="L8" s="11"/>
      </tp>
      <tp t="e">
        <v>#N/A</v>
        <stp/>
        <stp>BDH|2988138065253714034</stp>
        <tr r="G127" s="18"/>
      </tp>
      <tp t="e">
        <v>#N/A</v>
        <stp/>
        <stp>BDH|3874105404141160563</stp>
        <tr r="K18" s="29"/>
        <tr r="K41" s="29"/>
      </tp>
      <tp t="e">
        <v>#N/A</v>
        <stp/>
        <stp>BDH|7815145265442152433</stp>
        <tr r="M43" s="29"/>
      </tp>
      <tp t="e">
        <v>#N/A</v>
        <stp/>
        <stp>BDH|3364389281896093818</stp>
        <tr r="U22" s="21"/>
      </tp>
      <tp t="e">
        <v>#N/A</v>
        <stp/>
        <stp>BDH|1361477863070833544</stp>
        <tr r="W22" s="10"/>
      </tp>
      <tp t="e">
        <v>#N/A</v>
        <stp/>
        <stp>BDH|5693110866515339196</stp>
        <tr r="W69" s="18"/>
      </tp>
      <tp t="e">
        <v>#N/A</v>
        <stp/>
        <stp>BDH|3038621124646444799</stp>
        <tr r="Z52" s="13"/>
      </tp>
      <tp t="e">
        <v>#N/A</v>
        <stp/>
        <stp>BDH|2270612360956014286</stp>
        <tr r="R33" s="18"/>
      </tp>
      <tp t="e">
        <v>#N/A</v>
        <stp/>
        <stp>BDH|4301110157665691385</stp>
        <tr r="S74" s="12"/>
      </tp>
      <tp t="e">
        <v>#N/A</v>
        <stp/>
        <stp>BDH|1870266494094191805</stp>
        <tr r="N14" s="4"/>
      </tp>
      <tp t="e">
        <v>#N/A</v>
        <stp/>
        <stp>BDH|4499904184112287199</stp>
        <tr r="U20" s="29"/>
      </tp>
      <tp t="e">
        <v>#N/A</v>
        <stp/>
        <stp>BDH|8903576014793485954</stp>
        <tr r="P33" s="24"/>
      </tp>
      <tp t="e">
        <v>#N/A</v>
        <stp/>
        <stp>BDH|8522284286895908192</stp>
        <tr r="U13" s="10"/>
      </tp>
      <tp t="e">
        <v>#N/A</v>
        <stp/>
        <stp>BDH|8795862667239972942</stp>
        <tr r="S179" s="18"/>
      </tp>
      <tp t="e">
        <v>#N/A</v>
        <stp/>
        <stp>BDH|1332482199528033298</stp>
        <tr r="S187" s="18"/>
      </tp>
      <tp t="e">
        <v>#N/A</v>
        <stp/>
        <stp>BDH|6925207508281885320</stp>
        <tr r="K61" s="34"/>
      </tp>
      <tp t="e">
        <v>#N/A</v>
        <stp/>
        <stp>BDH|1566595495692385912</stp>
        <tr r="Q26" s="26"/>
      </tp>
      <tp t="e">
        <v>#N/A</v>
        <stp/>
        <stp>BDH|1769034499998537636</stp>
        <tr r="S125" s="18"/>
        <tr r="S14" s="20"/>
      </tp>
      <tp t="e">
        <v>#N/A</v>
        <stp/>
        <stp>BDH|2967344695419754772</stp>
        <tr r="K93" s="24"/>
      </tp>
      <tp t="e">
        <v>#N/A</v>
        <stp/>
        <stp>BDH|6415724536233847702</stp>
        <tr r="G58" s="18"/>
      </tp>
      <tp t="e">
        <v>#N/A</v>
        <stp/>
        <stp>BDH|5320758973840528381</stp>
        <tr r="L150" s="18"/>
      </tp>
      <tp t="e">
        <v>#N/A</v>
        <stp/>
        <stp>BDH|1970722258345252093</stp>
        <tr r="M70" s="13"/>
      </tp>
      <tp t="e">
        <v>#N/A</v>
        <stp/>
        <stp>BDH|4437355539193858182</stp>
        <tr r="M30" s="25"/>
        <tr r="M16" s="27"/>
      </tp>
      <tp t="e">
        <v>#N/A</v>
        <stp/>
        <stp>BDH|6753745743127145495</stp>
        <tr r="C34" s="12"/>
      </tp>
      <tp t="e">
        <v>#N/A</v>
        <stp/>
        <stp>BDH|6177820414149972062</stp>
        <tr r="K81" s="24"/>
      </tp>
      <tp t="e">
        <v>#N/A</v>
        <stp/>
        <stp>BDH|6418844551635169886</stp>
        <tr r="G44" s="17"/>
      </tp>
      <tp t="e">
        <v>#N/A</v>
        <stp/>
        <stp>BDH|8616497596892788165</stp>
        <tr r="R54" s="13"/>
      </tp>
      <tp t="e">
        <v>#N/A</v>
        <stp/>
        <stp>BDH|6218659186998073695</stp>
        <tr r="R15" s="4"/>
      </tp>
      <tp t="e">
        <v>#N/A</v>
        <stp/>
        <stp>BDH|1097534539934678540</stp>
        <tr r="I25" s="27"/>
      </tp>
      <tp t="e">
        <v>#N/A</v>
        <stp/>
        <stp>BDH|4452305005694919505</stp>
        <tr r="Z92" s="12"/>
      </tp>
      <tp t="e">
        <v>#N/A</v>
        <stp/>
        <stp>BDH|1213443963454862152</stp>
        <tr r="C28" s="22"/>
      </tp>
      <tp t="e">
        <v>#N/A</v>
        <stp/>
        <stp>BDH|1866701925663250176</stp>
        <tr r="V87" s="12"/>
      </tp>
      <tp t="e">
        <v>#N/A</v>
        <stp/>
        <stp>BDH|4294299927456007441</stp>
        <tr r="H64" s="10"/>
      </tp>
      <tp t="e">
        <v>#N/A</v>
        <stp/>
        <stp>BDH|8356967615782922412</stp>
        <tr r="R9" s="21"/>
      </tp>
      <tp t="e">
        <v>#N/A</v>
        <stp/>
        <stp>BDH|2820826538768346793</stp>
        <tr r="O49" s="17"/>
      </tp>
      <tp t="e">
        <v>#N/A</v>
        <stp/>
        <stp>BDH|7021670588159622615</stp>
        <tr r="S103" s="12"/>
      </tp>
      <tp t="e">
        <v>#N/A</v>
        <stp/>
        <stp>BDH|2877307755153638136</stp>
        <tr r="V28" s="4"/>
      </tp>
      <tp t="e">
        <v>#N/A</v>
        <stp/>
        <stp>BDH|7843156873631500630</stp>
        <tr r="T52" s="10"/>
        <tr r="T42" s="11"/>
        <tr r="T15" s="7"/>
      </tp>
      <tp t="e">
        <v>#N/A</v>
        <stp/>
        <stp>BDH|5136696901583022615</stp>
        <tr r="M41" s="22"/>
      </tp>
      <tp t="e">
        <v>#N/A</v>
        <stp/>
        <stp>BDH|2166598707003500229</stp>
        <tr r="Z31" s="12"/>
      </tp>
      <tp t="e">
        <v>#N/A</v>
        <stp/>
        <stp>BDH|3224984677028031353</stp>
        <tr r="H32" s="34"/>
      </tp>
      <tp t="e">
        <v>#N/A</v>
        <stp/>
        <stp>BDH|7666669418985619361</stp>
        <tr r="W33" s="12"/>
      </tp>
      <tp t="e">
        <v>#N/A</v>
        <stp/>
        <stp>BDH|3153182914057785229</stp>
        <tr r="P184" s="18"/>
      </tp>
      <tp t="e">
        <v>#N/A</v>
        <stp/>
        <stp>BDH|3611866441331883815</stp>
        <tr r="M14" s="24"/>
      </tp>
      <tp t="e">
        <v>#N/A</v>
        <stp/>
        <stp>BDH|9411138097561831606</stp>
        <tr r="H207" s="18"/>
      </tp>
      <tp t="e">
        <v>#N/A</v>
        <stp/>
        <stp>BDH|1256057269963042266</stp>
        <tr r="W20" s="34"/>
      </tp>
      <tp t="e">
        <v>#N/A</v>
        <stp/>
        <stp>BDH|8786394353711064954</stp>
        <tr r="G69" s="24"/>
      </tp>
      <tp t="e">
        <v>#N/A</v>
        <stp/>
        <stp>BDH|5474491492856649813</stp>
        <tr r="R38" s="26"/>
      </tp>
      <tp t="e">
        <v>#N/A</v>
        <stp/>
        <stp>BDH|4133396773935260312</stp>
        <tr r="AA39" s="26"/>
      </tp>
      <tp t="e">
        <v>#N/A</v>
        <stp/>
        <stp>BDH|5212597318135380287</stp>
        <tr r="C80" s="12"/>
      </tp>
      <tp t="e">
        <v>#N/A</v>
        <stp/>
        <stp>BDH|5472649637941683797</stp>
        <tr r="M31" s="22"/>
      </tp>
      <tp t="e">
        <v>#N/A</v>
        <stp/>
        <stp>BDH|7529829547715860802</stp>
        <tr r="N24" s="22"/>
      </tp>
      <tp t="e">
        <v>#N/A</v>
        <stp/>
        <stp>BDH|1784242434483929567</stp>
        <tr r="V152" s="18"/>
      </tp>
      <tp t="e">
        <v>#N/A</v>
        <stp/>
        <stp>BDH|5622017219222491025</stp>
        <tr r="H42" s="18"/>
      </tp>
      <tp t="e">
        <v>#N/A</v>
        <stp/>
        <stp>BDH|7188170291331614891</stp>
        <tr r="U43" s="21"/>
      </tp>
      <tp t="e">
        <v>#N/A</v>
        <stp/>
        <stp>BDH|4524598505452531547</stp>
        <tr r="I59" s="34"/>
      </tp>
      <tp t="e">
        <v>#N/A</v>
        <stp/>
        <stp>BDH|5484512309206740036</stp>
        <tr r="H179" s="18"/>
      </tp>
      <tp t="e">
        <v>#N/A</v>
        <stp/>
        <stp>BDH|6237503538923447567</stp>
        <tr r="R9" s="10"/>
      </tp>
      <tp t="e">
        <v>#N/A</v>
        <stp/>
        <stp>BDH|4838947655027377929</stp>
        <tr r="J29" s="4"/>
      </tp>
      <tp t="e">
        <v>#N/A</v>
        <stp/>
        <stp>BDH|3757528292189968067</stp>
        <tr r="M44" s="34"/>
      </tp>
      <tp t="e">
        <v>#N/A</v>
        <stp/>
        <stp>BDH|8488701182683723290</stp>
        <tr r="E86" s="18"/>
      </tp>
      <tp t="e">
        <v>#N/A</v>
        <stp/>
        <stp>BDH|6115649697006807924</stp>
        <tr r="P25" s="27"/>
      </tp>
      <tp t="e">
        <v>#N/A</v>
        <stp/>
        <stp>BDH|5486710020535533382</stp>
        <tr r="Q28" s="14"/>
      </tp>
      <tp t="e">
        <v>#N/A</v>
        <stp/>
        <stp>BDH|4634452747172598095</stp>
        <tr r="L65" s="17"/>
      </tp>
      <tp t="e">
        <v>#N/A</v>
        <stp/>
        <stp>BDH|1835663852962066643</stp>
        <tr r="J16" s="21"/>
      </tp>
      <tp t="e">
        <v>#N/A</v>
        <stp/>
        <stp>BDH|9469928020602647680</stp>
        <tr r="J45" s="6"/>
      </tp>
      <tp t="e">
        <v>#N/A</v>
        <stp/>
        <stp>BDH|5604120621412884253</stp>
        <tr r="U60" s="17"/>
      </tp>
      <tp t="e">
        <v>#N/A</v>
        <stp/>
        <stp>BDH|9841064082905302276</stp>
        <tr r="V33" s="24"/>
      </tp>
      <tp t="e">
        <v>#N/A</v>
        <stp/>
        <stp>BDH|4890230125060559233</stp>
        <tr r="T87" s="12"/>
      </tp>
      <tp t="e">
        <v>#N/A</v>
        <stp/>
        <stp>BDH|4672094855800112735</stp>
        <tr r="I86" s="18"/>
      </tp>
      <tp t="e">
        <v>#N/A</v>
        <stp/>
        <stp>BDH|3994734808892387093</stp>
        <tr r="Z32" s="17"/>
      </tp>
      <tp t="e">
        <v>#N/A</v>
        <stp/>
        <stp>BDH|7792559959196597779</stp>
        <tr r="J65" s="17"/>
      </tp>
      <tp t="e">
        <v>#N/A</v>
        <stp/>
        <stp>BDH|2822514712359271903</stp>
        <tr r="C68" s="17"/>
      </tp>
      <tp t="e">
        <v>#N/A</v>
        <stp/>
        <stp>BDH|3235725839720043104</stp>
        <tr r="F37" s="21"/>
      </tp>
      <tp t="e">
        <v>#N/A</v>
        <stp/>
        <stp>BDH|3565031852563471394</stp>
        <tr r="V33" s="17"/>
      </tp>
      <tp t="e">
        <v>#N/A</v>
        <stp/>
        <stp>BDH|3205251429481718404</stp>
        <tr r="Y59" s="34"/>
      </tp>
      <tp t="e">
        <v>#N/A</v>
        <stp/>
        <stp>BDH|8103996337823183776</stp>
        <tr r="N59" s="12"/>
      </tp>
      <tp t="e">
        <v>#N/A</v>
        <stp/>
        <stp>BDH|2170513478684511243</stp>
        <tr r="R66" s="21"/>
        <tr r="O27" s="6"/>
      </tp>
      <tp t="e">
        <v>#N/A</v>
        <stp/>
        <stp>BDH|6383986892047876789</stp>
        <tr r="Q24" s="20"/>
      </tp>
      <tp t="e">
        <v>#N/A</v>
        <stp/>
        <stp>BDH|9990526670349578478</stp>
        <tr r="U37" s="17"/>
      </tp>
      <tp t="e">
        <v>#N/A</v>
        <stp/>
        <stp>BDH|7967658360149556808</stp>
        <tr r="C26" s="21"/>
      </tp>
      <tp t="e">
        <v>#N/A</v>
        <stp/>
        <stp>BDH|8841702102248052133</stp>
        <tr r="N194" s="18"/>
      </tp>
      <tp t="e">
        <v>#N/A</v>
        <stp/>
        <stp>BDH|3236505632290022394</stp>
        <tr r="Z17" s="17"/>
        <tr r="Z20" s="28"/>
      </tp>
      <tp t="e">
        <v>#N/A</v>
        <stp/>
        <stp>BDH|2083043059801772031</stp>
        <tr r="W17" s="9"/>
      </tp>
      <tp t="e">
        <v>#N/A</v>
        <stp/>
        <stp>BDH|6578421693635450890</stp>
        <tr r="R39" s="4"/>
        <tr r="R66" s="10"/>
      </tp>
      <tp t="e">
        <v>#N/A</v>
        <stp/>
        <stp>BDH|9973940875396664776</stp>
        <tr r="G28" s="6"/>
      </tp>
      <tp t="e">
        <v>#N/A</v>
        <stp/>
        <stp>BDH|4818383339600879287</stp>
        <tr r="H30" s="29"/>
        <tr r="H8" s="29"/>
      </tp>
      <tp t="e">
        <v>#N/A</v>
        <stp/>
        <stp>BDH|1031670458194020064</stp>
        <tr r="L38" s="10"/>
        <tr r="L28" s="11"/>
        <tr r="N47" s="13"/>
      </tp>
      <tp t="e">
        <v>#N/A</v>
        <stp/>
        <stp>BDH|2612856779178140325</stp>
        <tr r="P36" s="4"/>
      </tp>
      <tp t="e">
        <v>#N/A</v>
        <stp/>
        <stp>BDH|5989746758007585691</stp>
        <tr r="P11" s="21"/>
      </tp>
      <tp t="e">
        <v>#N/A</v>
        <stp/>
        <stp>BDH|7964021323803100009</stp>
        <tr r="E139" s="18"/>
      </tp>
      <tp t="e">
        <v>#N/A</v>
        <stp/>
        <stp>BDH|9267269483610632583</stp>
        <tr r="K184" s="18"/>
      </tp>
      <tp t="e">
        <v>#N/A</v>
        <stp/>
        <stp>BDH|3952794722220235099</stp>
        <tr r="X32" s="5"/>
      </tp>
      <tp t="e">
        <v>#N/A</v>
        <stp/>
        <stp>BDH|5748691675014688645</stp>
        <tr r="E11" s="14"/>
      </tp>
      <tp t="e">
        <v>#N/A</v>
        <stp/>
        <stp>BDH|5643679416876899264</stp>
        <tr r="V65" s="24"/>
      </tp>
      <tp t="e">
        <v>#N/A</v>
        <stp/>
        <stp>BDH|4989462087707412954</stp>
        <tr r="T23" s="6"/>
      </tp>
      <tp t="e">
        <v>#N/A</v>
        <stp/>
        <stp>BDH|6845887454334437998</stp>
        <tr r="L52" s="13"/>
      </tp>
      <tp t="e">
        <v>#N/A</v>
        <stp/>
        <stp>BDH|9701845774139666989</stp>
        <tr r="S50" s="24"/>
      </tp>
      <tp t="e">
        <v>#N/A</v>
        <stp/>
        <stp>BDH|3099571845265272197</stp>
        <tr r="L14" s="23"/>
      </tp>
      <tp t="e">
        <v>#N/A</v>
        <stp/>
        <stp>BDH|3101616061990159590</stp>
        <tr r="K56" s="17"/>
      </tp>
      <tp t="e">
        <v>#N/A</v>
        <stp/>
        <stp>BDH|1679531534464898501</stp>
        <tr r="Y65" s="24"/>
      </tp>
      <tp t="e">
        <v>#N/A</v>
        <stp/>
        <stp>BDH|6861851321969477315</stp>
        <tr r="U130" s="18"/>
      </tp>
      <tp t="e">
        <v>#N/A</v>
        <stp/>
        <stp>BDH|7657800166448951708</stp>
        <tr r="F6" s="6"/>
      </tp>
      <tp t="e">
        <v>#N/A</v>
        <stp/>
        <stp>BDH|4497116904737831407</stp>
        <tr r="O93" s="12"/>
      </tp>
      <tp t="e">
        <v>#N/A</v>
        <stp/>
        <stp>BDH|7728906744125880921</stp>
        <tr r="N31" s="12"/>
      </tp>
      <tp t="e">
        <v>#N/A</v>
        <stp/>
        <stp>BDH|6335782315906150062</stp>
        <tr r="S13" s="10"/>
      </tp>
      <tp t="e">
        <v>#N/A</v>
        <stp/>
        <stp>BDH|1970068666710646163</stp>
        <tr r="AA61" s="21"/>
      </tp>
      <tp t="e">
        <v>#N/A</v>
        <stp/>
        <stp>BDH|4713111747712987510</stp>
        <tr r="U79" s="18"/>
      </tp>
      <tp t="e">
        <v>#N/A</v>
        <stp/>
        <stp>BDH|8625825266056808638</stp>
        <tr r="E77" s="24"/>
      </tp>
      <tp t="e">
        <v>#N/A</v>
        <stp/>
        <stp>BDH|6018292216764627709</stp>
        <tr r="T38" s="22"/>
      </tp>
      <tp t="e">
        <v>#N/A</v>
        <stp/>
        <stp>BDH|6940218911704119714</stp>
        <tr r="Y137" s="18"/>
      </tp>
      <tp t="e">
        <v>#N/A</v>
        <stp/>
        <stp>BDH|7153075608434098573</stp>
        <tr r="K93" s="12"/>
      </tp>
      <tp t="e">
        <v>#N/A</v>
        <stp/>
        <stp>BDH|8097654724643831978</stp>
        <tr r="Q35" s="18"/>
      </tp>
      <tp t="e">
        <v>#N/A</v>
        <stp/>
        <stp>BDH|7523269166662354788</stp>
        <tr r="T11" s="3"/>
        <tr r="R50" s="10"/>
        <tr r="R40" s="11"/>
        <tr r="R8" s="7"/>
      </tp>
      <tp t="e">
        <v>#N/A</v>
        <stp/>
        <stp>BDH|9716842562397802670</stp>
        <tr r="F45" s="17"/>
      </tp>
      <tp t="e">
        <v>#N/A</v>
        <stp/>
        <stp>BDH|6604813688857388720</stp>
        <tr r="Q61" s="17"/>
      </tp>
      <tp t="e">
        <v>#N/A</v>
        <stp/>
        <stp>BDH|9756410216448808262</stp>
        <tr r="K27" s="10"/>
        <tr r="M36" s="13"/>
      </tp>
      <tp t="e">
        <v>#N/A</v>
        <stp/>
        <stp>BDH|3165721827792342296</stp>
        <tr r="R66" s="13"/>
      </tp>
      <tp t="e">
        <v>#N/A</v>
        <stp/>
        <stp>BDH|4737982374259751524</stp>
        <tr r="D201" s="18"/>
      </tp>
      <tp t="e">
        <v>#N/A</v>
        <stp/>
        <stp>BDH|4763341293209680188</stp>
        <tr r="AA14" s="23"/>
      </tp>
      <tp t="e">
        <v>#N/A</v>
        <stp/>
        <stp>BDH|2084613417120880307</stp>
        <tr r="S43" s="29"/>
      </tp>
      <tp t="e">
        <v>#N/A</v>
        <stp/>
        <stp>BDH|3787401969257378039</stp>
        <tr r="W7" s="8"/>
      </tp>
      <tp t="e">
        <v>#N/A</v>
        <stp/>
        <stp>BDH|2822037742159459934</stp>
        <tr r="O18" s="21"/>
      </tp>
      <tp t="e">
        <v>#N/A</v>
        <stp/>
        <stp>BDH|5194523822736815278</stp>
        <tr r="H93" s="18"/>
      </tp>
      <tp t="e">
        <v>#N/A</v>
        <stp/>
        <stp>BDH|2527805887463414784</stp>
        <tr r="R23" s="22"/>
      </tp>
      <tp t="e">
        <v>#N/A</v>
        <stp/>
        <stp>BDH|1758403935494921456</stp>
        <tr r="AA86" s="17"/>
      </tp>
      <tp t="e">
        <v>#N/A</v>
        <stp/>
        <stp>BDH|9457593623209688165</stp>
        <tr r="C58" s="13"/>
      </tp>
      <tp t="e">
        <v>#N/A</v>
        <stp/>
        <stp>BDH|6320382637975104531</stp>
        <tr r="Y103" s="18"/>
      </tp>
      <tp t="e">
        <v>#N/A</v>
        <stp/>
        <stp>BDH|7236633701722863569</stp>
        <tr r="W7" s="14"/>
      </tp>
      <tp t="e">
        <v>#N/A</v>
        <stp/>
        <stp>BDH|4420541739782153669</stp>
        <tr r="V8" s="13"/>
      </tp>
      <tp t="e">
        <v>#N/A</v>
        <stp/>
        <stp>BDH|9053636468486092956</stp>
        <tr r="U14" s="4"/>
      </tp>
      <tp t="e">
        <v>#N/A</v>
        <stp/>
        <stp>BDH|4824561372478669849</stp>
        <tr r="D18" s="13"/>
      </tp>
      <tp t="e">
        <v>#N/A</v>
        <stp/>
        <stp>BDH|2389033388204244846</stp>
        <tr r="F102" s="12"/>
      </tp>
      <tp t="e">
        <v>#N/A</v>
        <stp/>
        <stp>BDH|1886910192376356164</stp>
        <tr r="H49" s="17"/>
      </tp>
      <tp t="e">
        <v>#N/A</v>
        <stp/>
        <stp>BDH|3235131868575098774</stp>
        <tr r="R158" s="18"/>
      </tp>
      <tp t="e">
        <v>#N/A</v>
        <stp/>
        <stp>BDH|8760494787125687711</stp>
        <tr r="F142" s="18"/>
      </tp>
      <tp t="e">
        <v>#N/A</v>
        <stp/>
        <stp>BDH|9227589351037360860</stp>
        <tr r="S28" s="4"/>
      </tp>
      <tp t="e">
        <v>#N/A</v>
        <stp/>
        <stp>BDH|6394669779756536779</stp>
        <tr r="Q88" s="18"/>
      </tp>
      <tp t="e">
        <v>#N/A</v>
        <stp/>
        <stp>BDH|4992596933346403291</stp>
        <tr r="U54" s="18"/>
      </tp>
      <tp t="e">
        <v>#N/A</v>
        <stp/>
        <stp>BDH|6243696443067779518</stp>
        <tr r="L186" s="18"/>
      </tp>
      <tp t="e">
        <v>#N/A</v>
        <stp/>
        <stp>BDH|5386217388521523814</stp>
        <tr r="K33" s="12"/>
      </tp>
      <tp t="e">
        <v>#N/A</v>
        <stp/>
        <stp>BDH|9514791297909301865</stp>
        <tr r="C10" s="18"/>
      </tp>
      <tp t="e">
        <v>#N/A</v>
        <stp/>
        <stp>BDH|2740317868104888585</stp>
        <tr r="P30" s="10"/>
        <tr r="R39" s="13"/>
      </tp>
      <tp t="e">
        <v>#N/A</v>
        <stp/>
        <stp>BDH|4071293166433293536</stp>
        <tr r="F69" s="13"/>
      </tp>
      <tp t="e">
        <v>#N/A</v>
        <stp/>
        <stp>BDH|5856688420980926779</stp>
        <tr r="Q44" s="22"/>
      </tp>
      <tp t="e">
        <v>#N/A</v>
        <stp/>
        <stp>BDH|1693004322586210386</stp>
        <tr r="H88" s="17"/>
      </tp>
      <tp t="e">
        <v>#N/A</v>
        <stp/>
        <stp>BDH|9113533474499094480</stp>
        <tr r="X18" s="25"/>
      </tp>
      <tp t="e">
        <v>#N/A</v>
        <stp/>
        <stp>BDH|2188555437935484793</stp>
        <tr r="X14" s="22"/>
      </tp>
      <tp t="e">
        <v>#N/A</v>
        <stp/>
        <stp>BDH|2277121212952464687</stp>
        <tr r="R48" s="22"/>
      </tp>
      <tp t="e">
        <v>#N/A</v>
        <stp/>
        <stp>BDH|3484099513515136119</stp>
        <tr r="F63" s="12"/>
      </tp>
      <tp t="e">
        <v>#N/A</v>
        <stp/>
        <stp>BDH|6385033059121237457</stp>
        <tr r="G23" s="20"/>
      </tp>
      <tp t="e">
        <v>#N/A</v>
        <stp/>
        <stp>BDH|9787189587087477128</stp>
        <tr r="F60" s="12"/>
      </tp>
      <tp t="e">
        <v>#N/A</v>
        <stp/>
        <stp>BDH|5477027728749452853</stp>
        <tr r="H28" s="27"/>
      </tp>
      <tp t="e">
        <v>#N/A</v>
        <stp/>
        <stp>BDH|9374390861708612220</stp>
        <tr r="H75" s="18"/>
      </tp>
      <tp t="e">
        <v>#N/A</v>
        <stp/>
        <stp>BDH|1462732640757861305</stp>
        <tr r="L47" s="18"/>
      </tp>
      <tp t="e">
        <v>#N/A</v>
        <stp/>
        <stp>BDH|2910191271215761794</stp>
        <tr r="C32" s="12"/>
      </tp>
      <tp t="e">
        <v>#N/A</v>
        <stp/>
        <stp>BDH|4833265513199607847</stp>
        <tr r="L20" s="9"/>
      </tp>
      <tp t="e">
        <v>#N/A</v>
        <stp/>
        <stp>BDH|9824951199469929625</stp>
        <tr r="H51" s="21"/>
      </tp>
      <tp t="e">
        <v>#N/A</v>
        <stp/>
        <stp>BDH|4544691804606367245</stp>
        <tr r="K15" s="12"/>
      </tp>
      <tp t="e">
        <v>#N/A</v>
        <stp/>
        <stp>BDH|4527995362129027417</stp>
        <tr r="Y74" s="17"/>
      </tp>
      <tp t="e">
        <v>#N/A</v>
        <stp/>
        <stp>BDH|1150462338434372437</stp>
        <tr r="C66" s="17"/>
      </tp>
      <tp t="e">
        <v>#N/A</v>
        <stp/>
        <stp>BDH|7941676978329949906</stp>
        <tr r="F15" s="26"/>
      </tp>
      <tp t="e">
        <v>#N/A</v>
        <stp/>
        <stp>BDH|5748615002427205296</stp>
        <tr r="C27" s="21"/>
      </tp>
      <tp t="e">
        <v>#N/A</v>
        <stp/>
        <stp>BDH|4193406787868836616</stp>
        <tr r="G139" s="18"/>
      </tp>
      <tp t="e">
        <v>#N/A</v>
        <stp/>
        <stp>BDH|3163399210872644511</stp>
        <tr r="L13" s="22"/>
      </tp>
      <tp t="e">
        <v>#N/A</v>
        <stp/>
        <stp>BDH|4554034406461753385</stp>
        <tr r="Y28" s="34"/>
      </tp>
      <tp t="e">
        <v>#N/A</v>
        <stp/>
        <stp>BDH|5644173940093625580</stp>
        <tr r="AA59" s="18"/>
      </tp>
      <tp t="e">
        <v>#N/A</v>
        <stp/>
        <stp>BDH|8591381595621797502</stp>
        <tr r="W82" s="17"/>
        <tr r="W20" s="3"/>
        <tr r="U6" s="7"/>
      </tp>
      <tp t="e">
        <v>#N/A</v>
        <stp/>
        <stp>BDH|1032038135313050799</stp>
        <tr r="AA102" s="12"/>
      </tp>
      <tp t="e">
        <v>#N/A</v>
        <stp/>
        <stp>BDH|3039179048982838284</stp>
        <tr r="Z18" s="29"/>
        <tr r="Z41" s="29"/>
      </tp>
      <tp t="e">
        <v>#N/A</v>
        <stp/>
        <stp>BDH|7558769038282095740</stp>
        <tr r="E47" s="12"/>
      </tp>
      <tp t="e">
        <v>#N/A</v>
        <stp/>
        <stp>BDH|6364991654025018910</stp>
        <tr r="V22" s="20"/>
      </tp>
      <tp t="e">
        <v>#N/A</v>
        <stp/>
        <stp>BDH|5893275993620743848</stp>
        <tr r="R32" s="18"/>
      </tp>
      <tp t="e">
        <v>#N/A</v>
        <stp/>
        <stp>BDH|4283135873202431695</stp>
        <tr r="N95" s="12"/>
      </tp>
      <tp t="e">
        <v>#N/A</v>
        <stp/>
        <stp>BDH|2953081565815814735</stp>
        <tr r="Y20" s="27"/>
      </tp>
      <tp t="e">
        <v>#N/A</v>
        <stp/>
        <stp>BDH|2523165034086185097</stp>
        <tr r="I67" s="12"/>
      </tp>
      <tp t="e">
        <v>#N/A</v>
        <stp/>
        <stp>BDH|5029930651067997843</stp>
        <tr r="S23" s="24"/>
      </tp>
      <tp t="e">
        <v>#N/A</v>
        <stp/>
        <stp>BDH|1350242089979432456</stp>
        <tr r="E80" s="12"/>
      </tp>
      <tp t="e">
        <v>#N/A</v>
        <stp/>
        <stp>BDH|5582975317418867325</stp>
        <tr r="U43" s="4"/>
      </tp>
      <tp t="e">
        <v>#N/A</v>
        <stp/>
        <stp>BDH|4512539967670738190</stp>
        <tr r="N173" s="18"/>
      </tp>
      <tp t="e">
        <v>#N/A</v>
        <stp/>
        <stp>BDH|3123872979738620268</stp>
        <tr r="J25" s="7"/>
      </tp>
      <tp t="e">
        <v>#N/A</v>
        <stp/>
        <stp>BDH|8261100779708697024</stp>
        <tr r="J43" s="24"/>
      </tp>
      <tp t="e">
        <v>#N/A</v>
        <stp/>
        <stp>BDH|9411928709927959199</stp>
        <tr r="W51" s="17"/>
        <tr r="W17" s="3"/>
      </tp>
      <tp t="e">
        <v>#N/A</v>
        <stp/>
        <stp>BDH|9082693895982194224</stp>
        <tr r="M79" s="12"/>
      </tp>
      <tp t="e">
        <v>#N/A</v>
        <stp/>
        <stp>BDH|8128982287087996887</stp>
        <tr r="O67" s="13"/>
      </tp>
      <tp t="e">
        <v>#N/A</v>
        <stp/>
        <stp>BDH|1464251056295128599</stp>
        <tr r="M142" s="18"/>
      </tp>
      <tp t="e">
        <v>#N/A</v>
        <stp/>
        <stp>BDH|8844418239339622093</stp>
        <tr r="J53" s="12"/>
      </tp>
      <tp t="e">
        <v>#N/A</v>
        <stp/>
        <stp>BDH|9518822060029998814</stp>
        <tr r="R83" s="24"/>
      </tp>
      <tp t="e">
        <v>#N/A</v>
        <stp/>
        <stp>BDH|8705588485396363563</stp>
        <tr r="Y33" s="21"/>
      </tp>
      <tp t="e">
        <v>#N/A</v>
        <stp/>
        <stp>BDH|5457549512075892264</stp>
        <tr r="S10" s="26"/>
      </tp>
      <tp t="e">
        <v>#N/A</v>
        <stp/>
        <stp>BDH|5907139406217022508</stp>
        <tr r="C62" s="17"/>
      </tp>
      <tp t="e">
        <v>#N/A</v>
        <stp/>
        <stp>BDH|4050039064063956729</stp>
        <tr r="H9" s="28"/>
      </tp>
      <tp t="e">
        <v>#N/A</v>
        <stp/>
        <stp>BDH|1010864076539481188</stp>
        <tr r="Y43" s="4"/>
      </tp>
      <tp t="e">
        <v>#N/A</v>
        <stp/>
        <stp>BDH|7360874988981483043</stp>
        <tr r="C34" s="26"/>
      </tp>
      <tp t="e">
        <v>#N/A</v>
        <stp/>
        <stp>BDH|9735131322755330996</stp>
        <tr r="J177" s="18"/>
      </tp>
      <tp t="e">
        <v>#N/A</v>
        <stp/>
        <stp>BDH|2047305904531821606</stp>
        <tr r="T63" s="34"/>
      </tp>
      <tp t="e">
        <v>#N/A</v>
        <stp/>
        <stp>BDH|8068602372857957879</stp>
        <tr r="G21" s="24"/>
      </tp>
      <tp t="e">
        <v>#N/A</v>
        <stp/>
        <stp>BDH|5853452220003330627</stp>
        <tr r="E20" s="6"/>
      </tp>
      <tp t="e">
        <v>#N/A</v>
        <stp/>
        <stp>BDH|4777658947617932709</stp>
        <tr r="D22" s="12"/>
      </tp>
      <tp t="e">
        <v>#N/A</v>
        <stp/>
        <stp>BDH|1786088341157506473</stp>
        <tr r="E78" s="17"/>
      </tp>
      <tp t="e">
        <v>#N/A</v>
        <stp/>
        <stp>BDH|2302041088964392803</stp>
        <tr r="V22" s="17"/>
      </tp>
      <tp t="e">
        <v>#N/A</v>
        <stp/>
        <stp>BDH|7336491077183049112</stp>
        <tr r="J48" s="22"/>
      </tp>
      <tp t="e">
        <v>#N/A</v>
        <stp/>
        <stp>BDH|7897091546081888435</stp>
        <tr r="J7" s="30"/>
      </tp>
      <tp t="e">
        <v>#N/A</v>
        <stp/>
        <stp>BDH|9267551069729151531</stp>
        <tr r="H13" s="25"/>
      </tp>
      <tp t="e">
        <v>#N/A</v>
        <stp/>
        <stp>BDH|2645160711481438597</stp>
        <tr r="W84" s="24"/>
      </tp>
      <tp t="e">
        <v>#N/A</v>
        <stp/>
        <stp>BDH|6068373725804807569</stp>
        <tr r="F10" s="11"/>
      </tp>
      <tp t="e">
        <v>#N/A</v>
        <stp/>
        <stp>BDH|1859334343076577612</stp>
        <tr r="Z115" s="18"/>
      </tp>
      <tp t="e">
        <v>#N/A</v>
        <stp/>
        <stp>BDH|8339363584635578086</stp>
        <tr r="I9" s="11"/>
      </tp>
      <tp t="e">
        <v>#N/A</v>
        <stp/>
        <stp>BDH|8359083602666441813</stp>
        <tr r="H158" s="18"/>
      </tp>
      <tp t="e">
        <v>#N/A</v>
        <stp/>
        <stp>BDH|5317745459985780452</stp>
        <tr r="O30" s="25"/>
        <tr r="O16" s="27"/>
      </tp>
      <tp t="e">
        <v>#N/A</v>
        <stp/>
        <stp>BDH|3166804847321849823</stp>
        <tr r="D206" s="18"/>
      </tp>
      <tp t="e">
        <v>#N/A</v>
        <stp/>
        <stp>BDH|7537979971806828976</stp>
        <tr r="O72" s="17"/>
      </tp>
      <tp t="e">
        <v>#N/A</v>
        <stp/>
        <stp>BDH|4393573455626885452</stp>
        <tr r="K28" s="10"/>
        <tr r="M37" s="13"/>
      </tp>
      <tp t="e">
        <v>#N/A</v>
        <stp/>
        <stp>BDH|5195192714934349730</stp>
        <tr r="F17" s="23"/>
      </tp>
      <tp t="e">
        <v>#N/A</v>
        <stp/>
        <stp>BDH|4685387027506301563</stp>
        <tr r="S96" s="12"/>
      </tp>
      <tp t="e">
        <v>#N/A</v>
        <stp/>
        <stp>BDH|1827914484050977689</stp>
        <tr r="P210" s="18"/>
      </tp>
      <tp t="e">
        <v>#N/A</v>
        <stp/>
        <stp>BDH|6320974764257981857</stp>
        <tr r="F73" s="24"/>
      </tp>
      <tp t="e">
        <v>#N/A</v>
        <stp/>
        <stp>BDH|4026878995597758491</stp>
        <tr r="T53" s="21"/>
      </tp>
      <tp t="e">
        <v>#N/A</v>
        <stp/>
        <stp>BDH|2374924829879213661</stp>
        <tr r="R59" s="12"/>
      </tp>
      <tp t="e">
        <v>#N/A</v>
        <stp/>
        <stp>BDH|3931690447077298091</stp>
        <tr r="J23" s="23"/>
      </tp>
      <tp t="e">
        <v>#N/A</v>
        <stp/>
        <stp>BDH|9576598350466427943</stp>
        <tr r="E178" s="18"/>
      </tp>
      <tp t="e">
        <v>#N/A</v>
        <stp/>
        <stp>BDH|1505687176546610019</stp>
        <tr r="Q36" s="10"/>
        <tr r="Q48" s="10"/>
        <tr r="Q26" s="11"/>
        <tr r="Q38" s="11"/>
      </tp>
      <tp t="e">
        <v>#N/A</v>
        <stp/>
        <stp>BDH|9059565686387992557</stp>
        <tr r="S27" s="22"/>
      </tp>
      <tp t="e">
        <v>#N/A</v>
        <stp/>
        <stp>BDH|4905411506710598672</stp>
        <tr r="S89" s="18"/>
      </tp>
      <tp t="e">
        <v>#N/A</v>
        <stp/>
        <stp>BDH|9289188086915551351</stp>
        <tr r="Y24" s="27"/>
      </tp>
      <tp t="e">
        <v>#N/A</v>
        <stp/>
        <stp>BDH|7155253923440388186</stp>
        <tr r="J72" s="17"/>
      </tp>
      <tp t="e">
        <v>#N/A</v>
        <stp/>
        <stp>BDH|7895549847273088376</stp>
        <tr r="S134" s="18"/>
      </tp>
      <tp t="e">
        <v>#N/A</v>
        <stp/>
        <stp>BDH|4208164918981634362</stp>
        <tr r="R15" s="25"/>
      </tp>
      <tp t="e">
        <v>#N/A</v>
        <stp/>
        <stp>BDH|7032381637802209316</stp>
        <tr r="Q23" s="23"/>
      </tp>
      <tp t="e">
        <v>#N/A</v>
        <stp/>
        <stp>BDH|2791184033172858485</stp>
        <tr r="Q76" s="12"/>
      </tp>
      <tp t="e">
        <v>#N/A</v>
        <stp/>
        <stp>BDH|2981142770316602476</stp>
        <tr r="D68" s="18"/>
      </tp>
      <tp t="e">
        <v>#N/A</v>
        <stp/>
        <stp>BDH|8900852222351365518</stp>
        <tr r="D10" s="17"/>
      </tp>
      <tp t="e">
        <v>#N/A</v>
        <stp/>
        <stp>BDH|2230812379928408327</stp>
        <tr r="E7" s="24"/>
      </tp>
      <tp t="e">
        <v>#N/A</v>
        <stp/>
        <stp>BDH|1633498270305707146</stp>
        <tr r="H28" s="13"/>
      </tp>
      <tp t="e">
        <v>#N/A</v>
        <stp/>
        <stp>BDH|4848304017698617859</stp>
        <tr r="V24" s="18"/>
      </tp>
      <tp t="e">
        <v>#N/A</v>
        <stp/>
        <stp>BDH|3523298360799559849</stp>
        <tr r="AA44" s="12"/>
      </tp>
      <tp t="e">
        <v>#N/A</v>
        <stp/>
        <stp>BDH|2631121654638840850</stp>
        <tr r="C13" s="5"/>
      </tp>
      <tp t="e">
        <v>#N/A</v>
        <stp/>
        <stp>BDH|3034387329192509695</stp>
        <tr r="S68" s="18"/>
      </tp>
      <tp t="e">
        <v>#N/A</v>
        <stp/>
        <stp>BDH|5378190864493578764</stp>
        <tr r="Z17" s="23"/>
      </tp>
      <tp t="e">
        <v>#N/A</v>
        <stp/>
        <stp>BDH|1599050278925363566</stp>
        <tr r="Y189" s="18"/>
      </tp>
      <tp t="e">
        <v>#N/A</v>
        <stp/>
        <stp>BDH|2770518361275263288</stp>
        <tr r="AA30" s="17"/>
      </tp>
      <tp t="e">
        <v>#N/A</v>
        <stp/>
        <stp>BDH|3713515069043164531</stp>
        <tr r="F101" s="18"/>
      </tp>
      <tp t="e">
        <v>#N/A</v>
        <stp/>
        <stp>BDH|4308051590118240397</stp>
        <tr r="D18" s="6"/>
      </tp>
      <tp t="e">
        <v>#N/A</v>
        <stp/>
        <stp>BDH|9675542931261933877</stp>
        <tr r="O34" s="9"/>
      </tp>
      <tp t="e">
        <v>#N/A</v>
        <stp/>
        <stp>BDH|7772268914063196195</stp>
        <tr r="Q108" s="18"/>
      </tp>
      <tp t="e">
        <v>#N/A</v>
        <stp/>
        <stp>BDH|3509221000184320390</stp>
        <tr r="Q25" s="22"/>
      </tp>
      <tp t="e">
        <v>#N/A</v>
        <stp/>
        <stp>BDH|9464534764218941476</stp>
        <tr r="J54" s="13"/>
      </tp>
      <tp t="e">
        <v>#N/A</v>
        <stp/>
        <stp>BDH|1213143269188775856</stp>
        <tr r="E24" s="20"/>
      </tp>
      <tp t="e">
        <v>#N/A</v>
        <stp/>
        <stp>BDH|8967966887036374963</stp>
        <tr r="C53" s="24"/>
      </tp>
      <tp t="e">
        <v>#N/A</v>
        <stp/>
        <stp>BDH|7975630208431642690</stp>
        <tr r="Q16" s="10"/>
      </tp>
      <tp t="e">
        <v>#N/A</v>
        <stp/>
        <stp>BDH|4210684727341776777</stp>
        <tr r="D86" s="18"/>
      </tp>
      <tp t="e">
        <v>#N/A</v>
        <stp/>
        <stp>BDH|7342055036413476194</stp>
        <tr r="F35" s="18"/>
      </tp>
      <tp t="e">
        <v>#N/A</v>
        <stp/>
        <stp>BDH|8207046480537911124</stp>
        <tr r="R55" s="21"/>
      </tp>
      <tp t="e">
        <v>#N/A</v>
        <stp/>
        <stp>BDH|9206950358344587772</stp>
        <tr r="V25" s="25"/>
        <tr r="V10" s="27"/>
      </tp>
      <tp t="e">
        <v>#N/A</v>
        <stp/>
        <stp>BDH|8881726631212048860</stp>
        <tr r="D12" s="24"/>
      </tp>
      <tp t="e">
        <v>#N/A</v>
        <stp/>
        <stp>BDH|2424038558190190139</stp>
        <tr r="S16" s="17"/>
        <tr r="S19" s="28"/>
      </tp>
      <tp t="e">
        <v>#N/A</v>
        <stp/>
        <stp>BDH|4487697020307355133</stp>
        <tr r="W60" s="17"/>
      </tp>
      <tp t="e">
        <v>#N/A</v>
        <stp/>
        <stp>BDH|5572274958942670617</stp>
        <tr r="N24" s="20"/>
      </tp>
      <tp t="e">
        <v>#N/A</v>
        <stp/>
        <stp>BDH|1163230528453565429</stp>
        <tr r="F54" s="11"/>
      </tp>
      <tp t="e">
        <v>#N/A</v>
        <stp/>
        <stp>BDH|1666629241377162297</stp>
        <tr r="E42" s="34"/>
      </tp>
      <tp t="e">
        <v>#N/A</v>
        <stp/>
        <stp>BDH|2350768119002185009</stp>
        <tr r="Q8" s="26"/>
        <tr r="N10" s="9"/>
      </tp>
      <tp t="e">
        <v>#N/A</v>
        <stp/>
        <stp>BDH|4298655957035917441</stp>
        <tr r="O114" s="18"/>
      </tp>
      <tp t="e">
        <v>#N/A</v>
        <stp/>
        <stp>BDH|7492282426944782506</stp>
        <tr r="C43" s="29"/>
      </tp>
      <tp t="e">
        <v>#N/A</v>
        <stp/>
        <stp>BDH|9678128224039445597</stp>
        <tr r="T8" s="2"/>
      </tp>
      <tp t="e">
        <v>#N/A</v>
        <stp/>
        <stp>BDH|5630388150262326704</stp>
        <tr r="Y16" s="25"/>
      </tp>
      <tp t="e">
        <v>#N/A</v>
        <stp/>
        <stp>BDH|6096565869172660144</stp>
        <tr r="M122" s="18"/>
        <tr r="M11" s="20"/>
      </tp>
      <tp t="e">
        <v>#N/A</v>
        <stp/>
        <stp>BDH|8079064369191184934</stp>
        <tr r="F94" s="17"/>
      </tp>
      <tp t="e">
        <v>#N/A</v>
        <stp/>
        <stp>BDH|1981727493288701123</stp>
        <tr r="L18" s="14"/>
      </tp>
      <tp t="e">
        <v>#N/A</v>
        <stp/>
        <stp>BDH|3494773030180961173</stp>
        <tr r="Y11" s="30"/>
      </tp>
      <tp t="e">
        <v>#N/A</v>
        <stp/>
        <stp>BDH|4382245686540103829</stp>
        <tr r="I69" s="34"/>
      </tp>
      <tp t="e">
        <v>#N/A</v>
        <stp/>
        <stp>BDH|4882809576689909457</stp>
        <tr r="R22" s="11"/>
      </tp>
      <tp t="e">
        <v>#N/A</v>
        <stp/>
        <stp>BDH|5212540861307527700</stp>
        <tr r="V150" s="18"/>
      </tp>
      <tp t="e">
        <v>#N/A</v>
        <stp/>
        <stp>BDH|6535369254896553007</stp>
        <tr r="Y95" s="18"/>
      </tp>
      <tp t="e">
        <v>#N/A</v>
        <stp/>
        <stp>BDH|3726155923093169521</stp>
        <tr r="H47" s="21"/>
      </tp>
      <tp t="e">
        <v>#N/A</v>
        <stp/>
        <stp>BDH|4892600130186894121</stp>
        <tr r="W13" s="7"/>
      </tp>
      <tp t="e">
        <v>#N/A</v>
        <stp/>
        <stp>BDH|1424242432072077404</stp>
        <tr r="D76" s="17"/>
      </tp>
      <tp t="e">
        <v>#N/A</v>
        <stp/>
        <stp>BDH|9716255116208254440</stp>
        <tr r="R23" s="13"/>
      </tp>
      <tp t="e">
        <v>#N/A</v>
        <stp/>
        <stp>BDH|9909925368758433852</stp>
        <tr r="V171" s="18"/>
      </tp>
      <tp t="e">
        <v>#N/A</v>
        <stp/>
        <stp>BDH|9464949661398385807</stp>
        <tr r="I87" s="18"/>
      </tp>
      <tp t="e">
        <v>#N/A</v>
        <stp/>
        <stp>BDH|3683819395412169610</stp>
        <tr r="Q57" s="18"/>
      </tp>
      <tp t="e">
        <v>#N/A</v>
        <stp/>
        <stp>BDH|4969976003332672991</stp>
        <tr r="AA34" s="26"/>
      </tp>
      <tp t="e">
        <v>#N/A</v>
        <stp/>
        <stp>BDH|1717461907647179455</stp>
        <tr r="K41" s="24"/>
      </tp>
      <tp t="e">
        <v>#N/A</v>
        <stp/>
        <stp>BDH|3606787828469477900</stp>
        <tr r="X74" s="17"/>
      </tp>
      <tp t="e">
        <v>#N/A</v>
        <stp/>
        <stp>BDH|9358632430779072323</stp>
        <tr r="S21" s="20"/>
      </tp>
      <tp t="e">
        <v>#N/A</v>
        <stp/>
        <stp>BDH|4033602647558430810</stp>
        <tr r="W163" s="18"/>
      </tp>
      <tp t="e">
        <v>#N/A</v>
        <stp/>
        <stp>BDH|5482036872640663419</stp>
        <tr r="X75" s="17"/>
      </tp>
      <tp t="e">
        <v>#N/A</v>
        <stp/>
        <stp>BDH|6915790520467309212</stp>
        <tr r="V85" s="24"/>
      </tp>
      <tp t="e">
        <v>#N/A</v>
        <stp/>
        <stp>BDH|3249726957440642734</stp>
        <tr r="W87" s="17"/>
      </tp>
      <tp t="e">
        <v>#N/A</v>
        <stp/>
        <stp>BDH|5540625671656185459</stp>
        <tr r="T12" s="26"/>
      </tp>
      <tp t="e">
        <v>#N/A</v>
        <stp/>
        <stp>BDH|3676615547596498168</stp>
        <tr r="K7" s="8"/>
      </tp>
      <tp t="e">
        <v>#N/A</v>
        <stp/>
        <stp>BDH|3346918356868400122</stp>
        <tr r="E26" s="29"/>
      </tp>
      <tp t="e">
        <v>#N/A</v>
        <stp/>
        <stp>BDH|2819385422285259025</stp>
        <tr r="Q139" s="18"/>
      </tp>
      <tp t="e">
        <v>#N/A</v>
        <stp/>
        <stp>BDH|6226800277427199869</stp>
        <tr r="T42" s="18"/>
      </tp>
      <tp t="e">
        <v>#N/A</v>
        <stp/>
        <stp>BDH|1356648261452603520</stp>
        <tr r="S9" s="3"/>
        <tr r="Q51" s="10"/>
        <tr r="Q41" s="11"/>
        <tr r="Q14" s="7"/>
      </tp>
      <tp t="e">
        <v>#N/A</v>
        <stp/>
        <stp>BDH|9385476367504202933</stp>
        <tr r="G41" s="18"/>
      </tp>
      <tp t="e">
        <v>#N/A</v>
        <stp/>
        <stp>BDH|6382386559146213026</stp>
        <tr r="J14" s="4"/>
      </tp>
      <tp t="e">
        <v>#N/A</v>
        <stp/>
        <stp>BDH|6996426452713381288</stp>
        <tr r="T155" s="18"/>
      </tp>
      <tp t="e">
        <v>#N/A</v>
        <stp/>
        <stp>BDH|7748079725443055074</stp>
        <tr r="U150" s="18"/>
      </tp>
      <tp t="e">
        <v>#N/A</v>
        <stp/>
        <stp>BDH|1562148536281200474</stp>
        <tr r="S166" s="18"/>
      </tp>
      <tp t="e">
        <v>#N/A</v>
        <stp/>
        <stp>BDH|4305347712037791705</stp>
        <tr r="S90" s="24"/>
      </tp>
      <tp t="e">
        <v>#N/A</v>
        <stp/>
        <stp>BDH|8069662044548280422</stp>
        <tr r="P148" s="18"/>
      </tp>
      <tp t="e">
        <v>#N/A</v>
        <stp/>
        <stp>BDH|7092937486023476333</stp>
        <tr r="Y57" s="11"/>
        <tr r="AA15" s="23"/>
      </tp>
      <tp t="e">
        <v>#N/A</v>
        <stp/>
        <stp>BDH|9830179894282039591</stp>
        <tr r="P44" s="34"/>
      </tp>
      <tp t="e">
        <v>#N/A</v>
        <stp/>
        <stp>BDH|5169118716693603025</stp>
        <tr r="M161" s="18"/>
      </tp>
      <tp t="e">
        <v>#N/A</v>
        <stp/>
        <stp>BDH|2304731178544817028</stp>
        <tr r="L23" s="24"/>
      </tp>
      <tp t="e">
        <v>#N/A</v>
        <stp/>
        <stp>BDH|9184969300936274072</stp>
        <tr r="F57" s="12"/>
      </tp>
      <tp t="e">
        <v>#N/A</v>
        <stp/>
        <stp>BDH|2689141877755269755</stp>
        <tr r="K9" s="2"/>
        <tr r="M8" s="25"/>
        <tr r="J10" s="5"/>
      </tp>
      <tp t="e">
        <v>#N/A</v>
        <stp/>
        <stp>BDH|6977420228175728369</stp>
        <tr r="F121" s="18"/>
        <tr r="F9" s="20"/>
      </tp>
      <tp t="e">
        <v>#N/A</v>
        <stp/>
        <stp>BDH|1509760256797380243</stp>
        <tr r="J20" s="23"/>
      </tp>
      <tp t="e">
        <v>#N/A</v>
        <stp/>
        <stp>BDH|3741873396001321579</stp>
        <tr r="N21" s="30"/>
      </tp>
      <tp t="e">
        <v>#N/A</v>
        <stp/>
        <stp>BDH|2140179154714226427</stp>
        <tr r="Y26" s="7"/>
      </tp>
      <tp t="e">
        <v>#N/A</v>
        <stp/>
        <stp>BDH|6401105702947772634</stp>
        <tr r="T13" s="6"/>
      </tp>
      <tp t="e">
        <v>#N/A</v>
        <stp/>
        <stp>BDH|2762647114912253172</stp>
        <tr r="D23" s="2"/>
        <tr r="F19" s="21"/>
        <tr r="F23" s="3"/>
      </tp>
      <tp t="e">
        <v>#N/A</v>
        <stp/>
        <stp>BDH|4551318042534078140</stp>
        <tr r="N10" s="14"/>
      </tp>
      <tp t="e">
        <v>#N/A</v>
        <stp/>
        <stp>BDH|2297142835226962081</stp>
        <tr r="AA20" s="17"/>
      </tp>
      <tp t="e">
        <v>#N/A</v>
        <stp/>
        <stp>BDH|4471363940096836396</stp>
        <tr r="N89" s="12"/>
      </tp>
      <tp t="e">
        <v>#N/A</v>
        <stp/>
        <stp>BDH|1397931874788474139</stp>
        <tr r="I46" s="4"/>
        <tr r="I23" s="10"/>
        <tr r="K42" s="13"/>
      </tp>
      <tp t="e">
        <v>#N/A</v>
        <stp/>
        <stp>BDH|1532135855207009405</stp>
        <tr r="F17" s="10"/>
        <tr r="H16" s="13"/>
        <tr r="H30" s="13"/>
      </tp>
      <tp t="e">
        <v>#N/A</v>
        <stp/>
        <stp>BDH|7571863223319048232</stp>
        <tr r="C11" s="11"/>
      </tp>
      <tp t="e">
        <v>#N/A</v>
        <stp/>
        <stp>BDH|6817245773922947759</stp>
        <tr r="J25" s="5"/>
      </tp>
      <tp t="e">
        <v>#N/A</v>
        <stp/>
        <stp>BDH|2808465356542210792</stp>
        <tr r="S155" s="18"/>
      </tp>
      <tp t="e">
        <v>#N/A</v>
        <stp/>
        <stp>BDH|3407877380396049302</stp>
        <tr r="L17" s="13"/>
      </tp>
      <tp t="e">
        <v>#N/A</v>
        <stp/>
        <stp>BDH|7209407960581785268</stp>
        <tr r="N55" s="24"/>
      </tp>
      <tp t="e">
        <v>#N/A</v>
        <stp/>
        <stp>BDH|8878871943914698694</stp>
        <tr r="M15" s="9"/>
      </tp>
      <tp t="e">
        <v>#N/A</v>
        <stp/>
        <stp>BDH|8118217143059665162</stp>
        <tr r="Z88" s="12"/>
      </tp>
      <tp t="e">
        <v>#N/A</v>
        <stp/>
        <stp>BDH|9657140912086696959</stp>
        <tr r="Q83" s="18"/>
      </tp>
      <tp t="e">
        <v>#N/A</v>
        <stp/>
        <stp>BDH|1850307461761870327</stp>
        <tr r="V13" s="34"/>
      </tp>
      <tp t="e">
        <v>#N/A</v>
        <stp/>
        <stp>BDH|9175342703685707926</stp>
        <tr r="Y7" s="21"/>
      </tp>
      <tp t="e">
        <v>#N/A</v>
        <stp/>
        <stp>BDH|5124019702930474351</stp>
        <tr r="N44" s="6"/>
      </tp>
      <tp t="e">
        <v>#N/A</v>
        <stp/>
        <stp>BDH|6326511813935479169</stp>
        <tr r="T31" s="18"/>
      </tp>
      <tp t="e">
        <v>#N/A</v>
        <stp/>
        <stp>BDH|5075011916405110757</stp>
        <tr r="J72" s="18"/>
      </tp>
      <tp t="e">
        <v>#N/A</v>
        <stp/>
        <stp>BDH|6991694022902907683</stp>
        <tr r="L31" s="26"/>
        <tr r="I14" s="9"/>
      </tp>
      <tp t="e">
        <v>#N/A</v>
        <stp/>
        <stp>BDH|3419575462002563475</stp>
        <tr r="P159" s="18"/>
      </tp>
      <tp t="e">
        <v>#N/A</v>
        <stp/>
        <stp>BDH|5247477285656554966</stp>
        <tr r="R23" s="14"/>
      </tp>
      <tp t="e">
        <v>#N/A</v>
        <stp/>
        <stp>BDH|3274715497502185969</stp>
        <tr r="N88" s="24"/>
      </tp>
      <tp t="e">
        <v>#N/A</v>
        <stp/>
        <stp>BDH|4079754905012354700</stp>
        <tr r="X37" s="10"/>
        <tr r="X27" s="11"/>
        <tr r="Z46" s="13"/>
      </tp>
      <tp t="e">
        <v>#N/A</v>
        <stp/>
        <stp>BDH|3708061785078434534</stp>
        <tr r="X68" s="13"/>
      </tp>
      <tp t="e">
        <v>#N/A</v>
        <stp/>
        <stp>BDH|5116159230980543123</stp>
        <tr r="C15" s="21"/>
      </tp>
      <tp t="e">
        <v>#N/A</v>
        <stp/>
        <stp>BDH|1539324741549161942</stp>
        <tr r="D121" s="18"/>
        <tr r="D9" s="20"/>
      </tp>
      <tp t="e">
        <v>#N/A</v>
        <stp/>
        <stp>BDH|3021353973321461012</stp>
        <tr r="W8" s="14"/>
      </tp>
      <tp t="e">
        <v>#N/A</v>
        <stp/>
        <stp>BDH|3512531574060080711</stp>
        <tr r="O66" s="21"/>
        <tr r="L27" s="6"/>
      </tp>
      <tp t="e">
        <v>#N/A</v>
        <stp/>
        <stp>BDH|9995249746768066188</stp>
        <tr r="O21" s="30"/>
      </tp>
      <tp t="e">
        <v>#N/A</v>
        <stp/>
        <stp>BDH|6398906442354042921</stp>
        <tr r="S44" s="34"/>
      </tp>
      <tp t="e">
        <v>#N/A</v>
        <stp/>
        <stp>BDH|1057752161827545123</stp>
        <tr r="J40" s="6"/>
      </tp>
      <tp t="e">
        <v>#N/A</v>
        <stp/>
        <stp>BDH|2263023347942236267</stp>
        <tr r="L42" s="22"/>
      </tp>
      <tp t="e">
        <v>#N/A</v>
        <stp/>
        <stp>BDH|8343826161181115129</stp>
        <tr r="U64" s="21"/>
      </tp>
      <tp t="e">
        <v>#N/A</v>
        <stp/>
        <stp>BDH|6509032274606190106</stp>
        <tr r="W69" s="13"/>
      </tp>
      <tp t="e">
        <v>#N/A</v>
        <stp/>
        <stp>BDH|6194893435453737897</stp>
        <tr r="P64" s="10"/>
      </tp>
      <tp t="e">
        <v>#N/A</v>
        <stp/>
        <stp>BDH|1925341975890353383</stp>
        <tr r="C13" s="26"/>
      </tp>
      <tp t="e">
        <v>#N/A</v>
        <stp/>
        <stp>BDH|9285950226593747754</stp>
        <tr r="Y72" s="10"/>
        <tr r="Y62" s="11"/>
      </tp>
      <tp t="e">
        <v>#N/A</v>
        <stp/>
        <stp>BDH|7701740117220189767</stp>
        <tr r="I13" s="11"/>
      </tp>
      <tp t="e">
        <v>#N/A</v>
        <stp/>
        <stp>BDH|3243523475617095064</stp>
        <tr r="Q7" s="10"/>
      </tp>
      <tp t="e">
        <v>#N/A</v>
        <stp/>
        <stp>BDH|7585997188719719905</stp>
        <tr r="W63" s="10"/>
      </tp>
      <tp t="e">
        <v>#N/A</v>
        <stp/>
        <stp>BDH|4345359527653047020</stp>
        <tr r="C19" s="25"/>
      </tp>
      <tp t="e">
        <v>#N/A</v>
        <stp/>
        <stp>BDH|8683607381717072740</stp>
        <tr r="H15" s="26"/>
      </tp>
      <tp t="e">
        <v>#N/A</v>
        <stp/>
        <stp>BDH|5572484251895615795</stp>
        <tr r="X206" s="18"/>
      </tp>
      <tp t="e">
        <v>#N/A</v>
        <stp/>
        <stp>BDH|1986534846256769086</stp>
        <tr r="E11" s="11"/>
      </tp>
      <tp t="e">
        <v>#N/A</v>
        <stp/>
        <stp>BDH|3874425260587006099</stp>
        <tr r="Q34" s="12"/>
      </tp>
      <tp t="e">
        <v>#N/A</v>
        <stp/>
        <stp>BDH|3092975903434787831</stp>
        <tr r="T209" s="18"/>
      </tp>
      <tp t="e">
        <v>#N/A</v>
        <stp/>
        <stp>BDH|9686918155710107337</stp>
        <tr r="G149" s="18"/>
      </tp>
      <tp t="e">
        <v>#N/A</v>
        <stp/>
        <stp>BDH|3313784415024747791</stp>
        <tr r="C9" s="18"/>
      </tp>
      <tp t="e">
        <v>#N/A</v>
        <stp/>
        <stp>BDH|2022056641591782139</stp>
        <tr r="H74" s="24"/>
      </tp>
      <tp t="e">
        <v>#N/A</v>
        <stp/>
        <stp>BDH|2337601950661641650</stp>
        <tr r="U18" s="18"/>
      </tp>
      <tp t="e">
        <v>#N/A</v>
        <stp/>
        <stp>BDH|8541942875682524211</stp>
        <tr r="V132" s="18"/>
      </tp>
      <tp t="e">
        <v>#N/A</v>
        <stp/>
        <stp>BDH|7592785747396382494</stp>
        <tr r="N11" s="3"/>
        <tr r="L50" s="10"/>
        <tr r="L40" s="11"/>
        <tr r="L8" s="7"/>
      </tp>
      <tp t="e">
        <v>#N/A</v>
        <stp/>
        <stp>BDH|4804456479611167054</stp>
        <tr r="I50" s="12"/>
      </tp>
      <tp t="e">
        <v>#N/A</v>
        <stp/>
        <stp>BDH|5799690843672958348</stp>
        <tr r="K20" s="22"/>
      </tp>
      <tp t="e">
        <v>#N/A</v>
        <stp/>
        <stp>BDH|5204077546781332601</stp>
        <tr r="M194" s="18"/>
      </tp>
      <tp t="e">
        <v>#N/A</v>
        <stp/>
        <stp>BDH|6347750503117326063</stp>
        <tr r="Q8" s="28"/>
      </tp>
      <tp t="e">
        <v>#N/A</v>
        <stp/>
        <stp>BDH|8162166264518296118</stp>
        <tr r="V30" s="6"/>
      </tp>
      <tp t="e">
        <v>#N/A</v>
        <stp/>
        <stp>BDH|9547006873359058160</stp>
        <tr r="E116" s="18"/>
      </tp>
      <tp t="e">
        <v>#N/A</v>
        <stp/>
        <stp>BDH|4257243517583577240</stp>
        <tr r="I33" s="14"/>
      </tp>
      <tp t="e">
        <v>#N/A</v>
        <stp/>
        <stp>BDH|8541848903292728458</stp>
        <tr r="F104" s="12"/>
      </tp>
      <tp t="e">
        <v>#N/A</v>
        <stp/>
        <stp>BDH|2730095153521558082</stp>
        <tr r="D18" s="9"/>
      </tp>
      <tp t="e">
        <v>#N/A</v>
        <stp/>
        <stp>BDH|7549085830704449695</stp>
        <tr r="W26" s="17"/>
      </tp>
      <tp t="e">
        <v>#N/A</v>
        <stp/>
        <stp>BDH|7427304631546716724</stp>
        <tr r="K53" s="21"/>
      </tp>
      <tp t="e">
        <v>#N/A</v>
        <stp/>
        <stp>BDH|9496533462084595805</stp>
        <tr r="Z40" s="18"/>
      </tp>
      <tp t="e">
        <v>#N/A</v>
        <stp/>
        <stp>BDH|7625429477531735344</stp>
        <tr r="Z23" s="21"/>
      </tp>
      <tp t="e">
        <v>#N/A</v>
        <stp/>
        <stp>BDH|1429438907176325530</stp>
        <tr r="O28" s="25"/>
        <tr r="O14" s="27"/>
      </tp>
      <tp t="e">
        <v>#N/A</v>
        <stp/>
        <stp>BDH|2409220050582543138</stp>
        <tr r="F37" s="22"/>
      </tp>
      <tp t="e">
        <v>#N/A</v>
        <stp/>
        <stp>BDH|5013436366274692534</stp>
        <tr r="D32" s="34"/>
      </tp>
      <tp t="e">
        <v>#N/A</v>
        <stp/>
        <stp>BDH|6957482341106691667</stp>
        <tr r="I12" s="3"/>
        <tr r="G55" s="10"/>
        <tr r="G45" s="11"/>
        <tr r="G7" s="7"/>
      </tp>
      <tp t="e">
        <v>#N/A</v>
        <stp/>
        <stp>BDH|8505094453263864878</stp>
        <tr r="X18" s="9"/>
      </tp>
      <tp t="e">
        <v>#N/A</v>
        <stp/>
        <stp>BDH|5019001777324191062</stp>
        <tr r="Z13" s="18"/>
      </tp>
      <tp t="e">
        <v>#N/A</v>
        <stp/>
        <stp>BDH|5397663883648126575</stp>
        <tr r="R48" s="24"/>
      </tp>
      <tp t="e">
        <v>#N/A</v>
        <stp/>
        <stp>BDH|6179450211215285076</stp>
        <tr r="P89" s="12"/>
      </tp>
      <tp t="e">
        <v>#N/A</v>
        <stp/>
        <stp>BDH|1680003477392175204</stp>
        <tr r="Y15" s="4"/>
      </tp>
      <tp t="e">
        <v>#N/A</v>
        <stp/>
        <stp>BDH|4115416255497704428</stp>
        <tr r="Z99" s="18"/>
      </tp>
      <tp t="e">
        <v>#N/A</v>
        <stp/>
        <stp>BDH|7397776169048416894</stp>
        <tr r="F12" s="7"/>
      </tp>
      <tp t="e">
        <v>#N/A</v>
        <stp/>
        <stp>BDH|8303015711556185922</stp>
        <tr r="I14" s="28"/>
      </tp>
      <tp t="e">
        <v>#N/A</v>
        <stp/>
        <stp>BDH|7555504111950331571</stp>
        <tr r="D29" s="4"/>
      </tp>
      <tp t="e">
        <v>#N/A</v>
        <stp/>
        <stp>BDH|3941288373417404765</stp>
        <tr r="Y13" s="34"/>
      </tp>
      <tp t="e">
        <v>#N/A</v>
        <stp/>
        <stp>BDH|1547468038007317780</stp>
        <tr r="N32" s="21"/>
      </tp>
      <tp t="e">
        <v>#N/A</v>
        <stp/>
        <stp>BDH|4928448347161217387</stp>
        <tr r="O24" s="14"/>
      </tp>
      <tp t="e">
        <v>#N/A</v>
        <stp/>
        <stp>BDH|2212697679374596170</stp>
        <tr r="P70" s="10"/>
        <tr r="P60" s="11"/>
        <tr r="P20" s="7"/>
      </tp>
      <tp t="e">
        <v>#N/A</v>
        <stp/>
        <stp>BDH|6554017652532696702</stp>
        <tr r="Y18" s="24"/>
      </tp>
      <tp t="e">
        <v>#N/A</v>
        <stp/>
        <stp>BDH|5323213334203288147</stp>
        <tr r="O55" s="24"/>
      </tp>
      <tp t="e">
        <v>#N/A</v>
        <stp/>
        <stp>BDH|4291115790179575365</stp>
        <tr r="F128" s="18"/>
      </tp>
      <tp t="e">
        <v>#N/A</v>
        <stp/>
        <stp>BDH|5642609127712051510</stp>
        <tr r="T18" s="11"/>
      </tp>
      <tp t="e">
        <v>#N/A</v>
        <stp/>
        <stp>BDH|2876814691105070094</stp>
        <tr r="L22" s="22"/>
      </tp>
      <tp t="e">
        <v>#N/A</v>
        <stp/>
        <stp>BDH|7905187423602492079</stp>
        <tr r="AA131" s="18"/>
      </tp>
      <tp t="e">
        <v>#N/A</v>
        <stp/>
        <stp>BDH|4636340310107428771</stp>
        <tr r="G66" s="12"/>
      </tp>
      <tp t="e">
        <v>#N/A</v>
        <stp/>
        <stp>BDH|3632274792926679848</stp>
        <tr r="G47" s="24"/>
      </tp>
      <tp t="e">
        <v>#N/A</v>
        <stp/>
        <stp>BDH|3694688598879298351</stp>
        <tr r="C43" s="6"/>
      </tp>
      <tp t="e">
        <v>#N/A</v>
        <stp/>
        <stp>BDH|8857786274477346963</stp>
        <tr r="C25" s="4"/>
        <tr r="C65" s="10"/>
      </tp>
      <tp t="e">
        <v>#N/A</v>
        <stp/>
        <stp>BDH|7876781554064773721</stp>
        <tr r="N188" s="18"/>
      </tp>
      <tp t="e">
        <v>#N/A</v>
        <stp/>
        <stp>BDH|6969264363270412491</stp>
        <tr r="O77" s="24"/>
      </tp>
      <tp t="e">
        <v>#N/A</v>
        <stp/>
        <stp>BDH|8423788994415191587</stp>
        <tr r="C10" s="17"/>
      </tp>
      <tp t="e">
        <v>#N/A</v>
        <stp/>
        <stp>BDH|8179336210324142826</stp>
        <tr r="I39" s="24"/>
      </tp>
      <tp t="e">
        <v>#N/A</v>
        <stp/>
        <stp>BDH|3620639271851393569</stp>
        <tr r="U45" s="22"/>
      </tp>
      <tp t="e">
        <v>#N/A</v>
        <stp/>
        <stp>BDH|9756868521887060210</stp>
        <tr r="C23" s="6"/>
      </tp>
      <tp t="e">
        <v>#N/A</v>
        <stp/>
        <stp>BDH|6781587775043857138</stp>
        <tr r="N27" s="13"/>
      </tp>
      <tp t="e">
        <v>#N/A</v>
        <stp/>
        <stp>BDH|6224790444064690789</stp>
        <tr r="M6" s="2"/>
        <tr r="L6" s="5"/>
        <tr r="L6" s="9"/>
        <tr r="N12" s="8"/>
        <tr r="N10" s="29"/>
        <tr r="N19" s="29"/>
        <tr r="N25" s="29"/>
      </tp>
      <tp t="e">
        <v>#N/A</v>
        <stp/>
        <stp>BDH|2244423960043412554</stp>
        <tr r="V62" s="18"/>
      </tp>
      <tp t="e">
        <v>#N/A</v>
        <stp/>
        <stp>BDH|6519743920042041703</stp>
        <tr r="U10" s="21"/>
      </tp>
      <tp t="e">
        <v>#N/A</v>
        <stp/>
        <stp>BDH|3267103137336612122</stp>
        <tr r="D36" s="18"/>
      </tp>
      <tp t="e">
        <v>#N/A</v>
        <stp/>
        <stp>BDH|4939041537746825732</stp>
        <tr r="J9" s="29"/>
      </tp>
      <tp t="e">
        <v>#N/A</v>
        <stp/>
        <stp>BDH|3120359477643497260</stp>
        <tr r="I28" s="6"/>
      </tp>
      <tp t="e">
        <v>#N/A</v>
        <stp/>
        <stp>BDH|3605466605419070841</stp>
        <tr r="D46" s="13"/>
      </tp>
      <tp t="e">
        <v>#N/A</v>
        <stp/>
        <stp>BDH|9347551745528700654</stp>
        <tr r="K22" s="11"/>
      </tp>
      <tp t="e">
        <v>#N/A</v>
        <stp/>
        <stp>BDH|9646867520587172205</stp>
        <tr r="W13" s="12"/>
      </tp>
      <tp t="e">
        <v>#N/A</v>
        <stp/>
        <stp>BDH|6957148579906658035</stp>
        <tr r="I12" s="25"/>
      </tp>
      <tp t="e">
        <v>#N/A</v>
        <stp/>
        <stp>BDH|6103764807114448356</stp>
        <tr r="S16" s="23"/>
      </tp>
      <tp t="e">
        <v>#N/A</v>
        <stp/>
        <stp>BDH|7824564678044634712</stp>
        <tr r="Y40" s="10"/>
        <tr r="Y30" s="11"/>
      </tp>
      <tp t="e">
        <v>#N/A</v>
        <stp/>
        <stp>BDH|5752963715072528903</stp>
        <tr r="R37" s="26"/>
      </tp>
      <tp t="e">
        <v>#N/A</v>
        <stp/>
        <stp>BDH|4261523150831533348</stp>
        <tr r="T130" s="18"/>
      </tp>
      <tp t="e">
        <v>#N/A</v>
        <stp/>
        <stp>BDH|7160004165134402315</stp>
        <tr r="L43" s="21"/>
      </tp>
      <tp t="e">
        <v>#N/A</v>
        <stp/>
        <stp>BDH|9694054336798554419</stp>
        <tr r="D197" s="18"/>
      </tp>
      <tp t="e">
        <v>#N/A</v>
        <stp/>
        <stp>BDH|3572005006305515079</stp>
        <tr r="M169" s="18"/>
      </tp>
      <tp t="e">
        <v>#N/A</v>
        <stp/>
        <stp>BDH|4452474028232821628</stp>
        <tr r="K20" s="27"/>
      </tp>
      <tp t="e">
        <v>#N/A</v>
        <stp/>
        <stp>BDH|4485411025344071014</stp>
        <tr r="Q67" s="12"/>
      </tp>
      <tp t="e">
        <v>#N/A</v>
        <stp/>
        <stp>BDH|2180017227677714111</stp>
        <tr r="F65" s="12"/>
      </tp>
      <tp t="e">
        <v>#N/A</v>
        <stp/>
        <stp>BDH|3321531323220219209</stp>
        <tr r="X75" s="34"/>
      </tp>
      <tp t="e">
        <v>#N/A</v>
        <stp/>
        <stp>BDH|5282242855227301311</stp>
        <tr r="C64" s="21"/>
      </tp>
      <tp t="e">
        <v>#N/A</v>
        <stp/>
        <stp>BDH|6332357444156689154</stp>
        <tr r="L57" s="11"/>
        <tr r="N15" s="23"/>
      </tp>
      <tp t="e">
        <v>#N/A</v>
        <stp/>
        <stp>BDH|2219228856174633713</stp>
        <tr r="K10" s="24"/>
      </tp>
      <tp t="e">
        <v>#N/A</v>
        <stp/>
        <stp>BDH|1369445141820412732</stp>
        <tr r="H25" s="25"/>
        <tr r="H10" s="27"/>
      </tp>
      <tp t="e">
        <v>#N/A</v>
        <stp/>
        <stp>BDH|3885390139777860212</stp>
        <tr r="R12" s="6"/>
      </tp>
      <tp t="e">
        <v>#N/A</v>
        <stp/>
        <stp>BDH|5954358408253739327</stp>
        <tr r="G15" s="21"/>
      </tp>
      <tp t="e">
        <v>#N/A</v>
        <stp/>
        <stp>BDH|8981952974107837713</stp>
        <tr r="Q119" s="18"/>
        <tr r="Q7" s="20"/>
      </tp>
      <tp t="e">
        <v>#N/A</v>
        <stp/>
        <stp>BDH|5361218041672012723</stp>
        <tr r="J74" s="24"/>
      </tp>
      <tp t="e">
        <v>#N/A</v>
        <stp/>
        <stp>BDH|3609638606294203700</stp>
        <tr r="F16" s="26"/>
      </tp>
      <tp t="e">
        <v>#N/A</v>
        <stp/>
        <stp>BDH|2507449295160777922</stp>
        <tr r="V65" s="12"/>
      </tp>
      <tp t="e">
        <v>#N/A</v>
        <stp/>
        <stp>BDH|5587315311256665724</stp>
        <tr r="T23" s="21"/>
      </tp>
      <tp t="e">
        <v>#N/A</v>
        <stp/>
        <stp>BDH|2150122654818653806</stp>
        <tr r="V39" s="24"/>
      </tp>
      <tp t="e">
        <v>#N/A</v>
        <stp/>
        <stp>BDH|3577208337972136629</stp>
        <tr r="S101" s="18"/>
      </tp>
      <tp t="e">
        <v>#N/A</v>
        <stp/>
        <stp>BDH|7257614293827211934</stp>
        <tr r="F8" s="23"/>
      </tp>
      <tp t="e">
        <v>#N/A</v>
        <stp/>
        <stp>BDH|8587945162129133833</stp>
        <tr r="W13" s="25"/>
      </tp>
      <tp t="e">
        <v>#N/A</v>
        <stp/>
        <stp>BDH|7629589853596946756</stp>
        <tr r="P87" s="24"/>
      </tp>
      <tp t="e">
        <v>#N/A</v>
        <stp/>
        <stp>BDH|7110493949784999590</stp>
        <tr r="G32" s="12"/>
      </tp>
      <tp t="e">
        <v>#N/A</v>
        <stp/>
        <stp>BDH|6373599214621804577</stp>
        <tr r="C73" s="13"/>
      </tp>
      <tp t="e">
        <v>#N/A</v>
        <stp/>
        <stp>BDH|2560948056161165976</stp>
        <tr r="N40" s="12"/>
      </tp>
      <tp t="e">
        <v>#N/A</v>
        <stp/>
        <stp>BDH|2324737913412573079</stp>
        <tr r="U31" s="29"/>
      </tp>
      <tp t="e">
        <v>#N/A</v>
        <stp/>
        <stp>BDH|5524779976257070451</stp>
        <tr r="S25" s="24"/>
      </tp>
      <tp t="e">
        <v>#N/A</v>
        <stp/>
        <stp>BDH|9113941419931571680</stp>
        <tr r="X74" s="12"/>
      </tp>
      <tp t="e">
        <v>#N/A</v>
        <stp/>
        <stp>BDH|1185071214045662351</stp>
        <tr r="S70" s="24"/>
      </tp>
      <tp t="e">
        <v>#N/A</v>
        <stp/>
        <stp>BDH|2548253772723775249</stp>
        <tr r="I69" s="12"/>
      </tp>
      <tp t="e">
        <v>#N/A</v>
        <stp/>
        <stp>BDH|5788928585440693273</stp>
        <tr r="W63" s="17"/>
      </tp>
      <tp t="e">
        <v>#N/A</v>
        <stp/>
        <stp>BDH|1673786969335042368</stp>
        <tr r="R92" s="18"/>
      </tp>
      <tp t="e">
        <v>#N/A</v>
        <stp/>
        <stp>BDH|7657461759978796885</stp>
        <tr r="T195" s="18"/>
      </tp>
      <tp t="e">
        <v>#N/A</v>
        <stp/>
        <stp>BDH|1123310422241651724</stp>
        <tr r="G13" s="12"/>
      </tp>
      <tp t="e">
        <v>#N/A</v>
        <stp/>
        <stp>BDH|3362348224955127144</stp>
        <tr r="C203" s="18"/>
      </tp>
      <tp t="e">
        <v>#N/A</v>
        <stp/>
        <stp>BDH|3822876420498902701</stp>
        <tr r="R52" s="12"/>
      </tp>
      <tp t="e">
        <v>#N/A</v>
        <stp/>
        <stp>BDH|1732632702726827784</stp>
        <tr r="O21" s="3"/>
      </tp>
      <tp t="e">
        <v>#N/A</v>
        <stp/>
        <stp>BDH|6401714538241304585</stp>
        <tr r="S39" s="4"/>
        <tr r="S66" s="10"/>
      </tp>
      <tp t="e">
        <v>#N/A</v>
        <stp/>
        <stp>BDH|2536887137149956653</stp>
        <tr r="Y36" s="18"/>
      </tp>
      <tp t="e">
        <v>#N/A</v>
        <stp/>
        <stp>BDH|8732956132655409120</stp>
        <tr r="D43" s="4"/>
      </tp>
      <tp t="e">
        <v>#N/A</v>
        <stp/>
        <stp>BDH|3150250679792219291</stp>
        <tr r="L68" s="10"/>
      </tp>
      <tp t="e">
        <v>#N/A</v>
        <stp/>
        <stp>BDH|6777032342120026404</stp>
        <tr r="C74" s="17"/>
      </tp>
      <tp t="e">
        <v>#N/A</v>
        <stp/>
        <stp>BDH|4458000017582231171</stp>
        <tr r="J103" s="18"/>
      </tp>
      <tp t="e">
        <v>#N/A</v>
        <stp/>
        <stp>BDH|2828596752873696737</stp>
        <tr r="N23" s="5"/>
        <tr r="N23" s="9"/>
      </tp>
      <tp t="e">
        <v>#N/A</v>
        <stp/>
        <stp>BDH|7822447946574538596</stp>
        <tr r="D63" s="21"/>
      </tp>
      <tp t="e">
        <v>#N/A</v>
        <stp/>
        <stp>BDH|9482843077924975480</stp>
        <tr r="I73" s="12"/>
      </tp>
      <tp t="e">
        <v>#N/A</v>
        <stp/>
        <stp>BDH|1132572024344145453</stp>
        <tr r="C34" s="5"/>
        <tr r="E32" s="29"/>
      </tp>
      <tp t="e">
        <v>#N/A</v>
        <stp/>
        <stp>BDH|6812199469904665382</stp>
        <tr r="C19" s="30"/>
      </tp>
      <tp t="e">
        <v>#N/A</v>
        <stp/>
        <stp>BDH|8237164162551360831</stp>
        <tr r="N33" s="17"/>
      </tp>
      <tp t="e">
        <v>#N/A</v>
        <stp/>
        <stp>BDH|3329738462892177651</stp>
        <tr r="H19" s="18"/>
      </tp>
      <tp t="e">
        <v>#N/A</v>
        <stp/>
        <stp>BDH|8237035494754473371</stp>
        <tr r="AA14" s="21"/>
      </tp>
      <tp t="e">
        <v>#N/A</v>
        <stp/>
        <stp>BDH|2155799233164537489</stp>
        <tr r="X62" s="13"/>
      </tp>
      <tp t="e">
        <v>#N/A</v>
        <stp/>
        <stp>BDH|3112787529114080468</stp>
        <tr r="X30" s="29"/>
        <tr r="X8" s="29"/>
      </tp>
      <tp t="e">
        <v>#N/A</v>
        <stp/>
        <stp>BDH|6672122727554427715</stp>
        <tr r="U61" s="12"/>
      </tp>
      <tp t="e">
        <v>#N/A</v>
        <stp/>
        <stp>BDH|9019166447729618316</stp>
        <tr r="H29" s="34"/>
      </tp>
      <tp t="e">
        <v>#N/A</v>
        <stp/>
        <stp>BDH|4082679031453316433</stp>
        <tr r="O8" s="27"/>
      </tp>
      <tp t="e">
        <v>#N/A</v>
        <stp/>
        <stp>BDH|7530807431243502971</stp>
        <tr r="C6" s="3"/>
      </tp>
      <tp t="e">
        <v>#N/A</v>
        <stp/>
        <stp>BDH|5164722234132421551</stp>
        <tr r="W17" s="12"/>
      </tp>
      <tp t="e">
        <v>#N/A</v>
        <stp/>
        <stp>BDH|3983322821261868548</stp>
        <tr r="F70" s="17"/>
      </tp>
      <tp t="e">
        <v>#N/A</v>
        <stp/>
        <stp>BDH|1294633400697629618</stp>
        <tr r="Q29" s="21"/>
      </tp>
      <tp t="e">
        <v>#N/A</v>
        <stp/>
        <stp>BDH|9116179695395449219</stp>
        <tr r="T41" s="10"/>
        <tr r="T31" s="11"/>
      </tp>
      <tp t="e">
        <v>#N/A</v>
        <stp/>
        <stp>BDH|4570624953266327715</stp>
        <tr r="X9" s="14"/>
      </tp>
      <tp t="e">
        <v>#N/A</v>
        <stp/>
        <stp>BDH|2367528240473753606</stp>
        <tr r="E34" s="5"/>
        <tr r="G32" s="29"/>
      </tp>
      <tp t="e">
        <v>#N/A</v>
        <stp/>
        <stp>BDH|1317745329824864603</stp>
        <tr r="F38" s="26"/>
      </tp>
      <tp t="e">
        <v>#N/A</v>
        <stp/>
        <stp>BDH|6065624479072494392</stp>
        <tr r="P111" s="18"/>
      </tp>
      <tp t="e">
        <v>#N/A</v>
        <stp/>
        <stp>BDH|2812435838360666338</stp>
        <tr r="Y38" s="25"/>
      </tp>
      <tp t="e">
        <v>#N/A</v>
        <stp/>
        <stp>BDH|4588601784239162565</stp>
        <tr r="R11" s="6"/>
      </tp>
      <tp t="e">
        <v>#N/A</v>
        <stp/>
        <stp>BDH|5877957436958972145</stp>
        <tr r="U94" s="17"/>
      </tp>
      <tp t="e">
        <v>#N/A</v>
        <stp/>
        <stp>BDH|3526769456096294119</stp>
        <tr r="M23" s="6"/>
      </tp>
      <tp t="e">
        <v>#N/A</v>
        <stp/>
        <stp>BDH|5948465828392918789</stp>
        <tr r="W207" s="18"/>
      </tp>
      <tp t="e">
        <v>#N/A</v>
        <stp/>
        <stp>BDH|7817420366113396093</stp>
        <tr r="V11" s="7"/>
      </tp>
      <tp t="e">
        <v>#N/A</v>
        <stp/>
        <stp>BDH|2955972911995879913</stp>
        <tr r="R40" s="17"/>
      </tp>
      <tp t="e">
        <v>#N/A</v>
        <stp/>
        <stp>BDH|4380424466632399229</stp>
        <tr r="I201" s="18"/>
      </tp>
      <tp t="e">
        <v>#N/A</v>
        <stp/>
        <stp>BDH|1467278535167761174</stp>
        <tr r="O10" s="22"/>
      </tp>
      <tp t="e">
        <v>#N/A</v>
        <stp/>
        <stp>BDH|5271512051874340774</stp>
        <tr r="X63" s="10"/>
      </tp>
      <tp t="e">
        <v>#N/A</v>
        <stp/>
        <stp>BDH|6489044845193719740</stp>
        <tr r="U85" s="12"/>
      </tp>
      <tp t="e">
        <v>#N/A</v>
        <stp/>
        <stp>BDH|5153726607646683241</stp>
        <tr r="P19" s="22"/>
      </tp>
      <tp t="e">
        <v>#N/A</v>
        <stp/>
        <stp>BDH|4820937048896284979</stp>
        <tr r="C145" s="18"/>
      </tp>
      <tp t="e">
        <v>#N/A</v>
        <stp/>
        <stp>BDH|5608164208667773599</stp>
        <tr r="T47" s="18"/>
      </tp>
      <tp t="e">
        <v>#N/A</v>
        <stp/>
        <stp>BDH|8409869731013463610</stp>
        <tr r="S90" s="12"/>
      </tp>
      <tp t="e">
        <v>#N/A</v>
        <stp/>
        <stp>BDH|6490164077591227715</stp>
        <tr r="T63" s="12"/>
      </tp>
      <tp t="e">
        <v>#N/A</v>
        <stp/>
        <stp>BDH|7269829242928412508</stp>
        <tr r="F34" s="22"/>
      </tp>
      <tp t="e">
        <v>#N/A</v>
        <stp/>
        <stp>BDH|1876666648910512557</stp>
        <tr r="Z15" s="13"/>
      </tp>
      <tp t="e">
        <v>#N/A</v>
        <stp/>
        <stp>BDH|5532668374896444459</stp>
        <tr r="K42" s="22"/>
      </tp>
      <tp t="e">
        <v>#N/A</v>
        <stp/>
        <stp>BDH|5005269613838414861</stp>
        <tr r="K18" s="22"/>
      </tp>
      <tp t="e">
        <v>#N/A</v>
        <stp/>
        <stp>BDH|5573948737790799960</stp>
        <tr r="M82" s="18"/>
      </tp>
      <tp t="e">
        <v>#N/A</v>
        <stp/>
        <stp>BDH|1479443624711268014</stp>
        <tr r="O59" s="24"/>
      </tp>
      <tp t="e">
        <v>#N/A</v>
        <stp/>
        <stp>BDH|3177732501955090744</stp>
        <tr r="O133" s="18"/>
      </tp>
      <tp t="e">
        <v>#N/A</v>
        <stp/>
        <stp>BDH|4002393111884735489</stp>
        <tr r="AA55" s="21"/>
      </tp>
      <tp t="e">
        <v>#N/A</v>
        <stp/>
        <stp>BDH|9227579552277186811</stp>
        <tr r="H61" s="12"/>
      </tp>
      <tp t="e">
        <v>#N/A</v>
        <stp/>
        <stp>BDH|5179901803888375269</stp>
        <tr r="G25" s="5"/>
      </tp>
      <tp t="e">
        <v>#N/A</v>
        <stp/>
        <stp>BDH|9851884211676119076</stp>
        <tr r="W186" s="18"/>
      </tp>
      <tp t="e">
        <v>#N/A</v>
        <stp/>
        <stp>BDH|8837462889954405648</stp>
        <tr r="C58" s="11"/>
        <tr r="E19" s="23"/>
      </tp>
      <tp t="e">
        <v>#N/A</v>
        <stp/>
        <stp>BDH|9544012215708407622</stp>
        <tr r="S69" s="24"/>
      </tp>
      <tp t="e">
        <v>#N/A</v>
        <stp/>
        <stp>BDH|9738022186834330379</stp>
        <tr r="Z26" s="27"/>
      </tp>
      <tp t="e">
        <v>#N/A</v>
        <stp/>
        <stp>BDH|6679467303372776637</stp>
        <tr r="S30" s="12"/>
      </tp>
      <tp t="e">
        <v>#N/A</v>
        <stp/>
        <stp>BDH|3612935297676603330</stp>
        <tr r="L23" s="13"/>
      </tp>
      <tp t="e">
        <v>#N/A</v>
        <stp/>
        <stp>BDH|7932030579104085248</stp>
        <tr r="D15" s="13"/>
      </tp>
      <tp t="e">
        <v>#N/A</v>
        <stp/>
        <stp>BDH|4120305671906382043</stp>
        <tr r="W23" s="26"/>
      </tp>
      <tp t="e">
        <v>#N/A</v>
        <stp/>
        <stp>BDH|3004811795005205115</stp>
        <tr r="R170" s="18"/>
      </tp>
      <tp t="e">
        <v>#N/A</v>
        <stp/>
        <stp>BDH|3483193601356947228</stp>
        <tr r="F29" s="10"/>
        <tr r="H38" s="13"/>
      </tp>
      <tp t="e">
        <v>#N/A</v>
        <stp/>
        <stp>BDH|2249069545417690704</stp>
        <tr r="G9" s="27"/>
      </tp>
      <tp t="e">
        <v>#N/A</v>
        <stp/>
        <stp>BDH|4587700169392285197</stp>
        <tr r="L27" s="13"/>
      </tp>
      <tp t="e">
        <v>#N/A</v>
        <stp/>
        <stp>BDH|8633374475129011330</stp>
        <tr r="D15" s="34"/>
      </tp>
      <tp t="e">
        <v>#N/A</v>
        <stp/>
        <stp>BDH|1199705116603287225</stp>
        <tr r="W21" s="5"/>
      </tp>
      <tp t="e">
        <v>#N/A</v>
        <stp/>
        <stp>BDH|9282523288823858171</stp>
        <tr r="J16" s="10"/>
      </tp>
      <tp t="e">
        <v>#N/A</v>
        <stp/>
        <stp>BDH|5051414616861484747</stp>
        <tr r="M18" s="6"/>
      </tp>
      <tp t="e">
        <v>#N/A</v>
        <stp/>
        <stp>BDH|4762370632311737320</stp>
        <tr r="C10" s="28"/>
      </tp>
      <tp t="e">
        <v>#N/A</v>
        <stp/>
        <stp>BDH|3472931945301357966</stp>
        <tr r="X34" s="29"/>
      </tp>
      <tp t="e">
        <v>#N/A</v>
        <stp/>
        <stp>BDH|6019843671799018622</stp>
        <tr r="P85" s="12"/>
      </tp>
      <tp t="e">
        <v>#N/A</v>
        <stp/>
        <stp>BDH|4116736719866918258</stp>
        <tr r="Y193" s="18"/>
      </tp>
      <tp t="e">
        <v>#N/A</v>
        <stp/>
        <stp>BDH|3868895561772241956</stp>
        <tr r="C55" s="17"/>
      </tp>
      <tp t="e">
        <v>#N/A</v>
        <stp/>
        <stp>BDH|4696593771115947506</stp>
        <tr r="S8" s="24"/>
      </tp>
      <tp t="e">
        <v>#N/A</v>
        <stp/>
        <stp>BDH|5383277720287021436</stp>
        <tr r="M23" s="2"/>
        <tr r="O19" s="21"/>
        <tr r="O23" s="3"/>
      </tp>
      <tp t="e">
        <v>#N/A</v>
        <stp/>
        <stp>BDH|9264014652223398950</stp>
        <tr r="U63" s="13"/>
      </tp>
      <tp t="e">
        <v>#N/A</v>
        <stp/>
        <stp>BDH|6103109233216241477</stp>
        <tr r="AA71" s="12"/>
      </tp>
      <tp t="e">
        <v>#N/A</v>
        <stp/>
        <stp>BDH|8549871048767933549</stp>
        <tr r="R103" s="18"/>
      </tp>
      <tp t="e">
        <v>#N/A</v>
        <stp/>
        <stp>BDH|8055983703292596595</stp>
        <tr r="H75" s="34"/>
      </tp>
      <tp t="e">
        <v>#N/A</v>
        <stp/>
        <stp>BDH|7418861493544290444</stp>
        <tr r="M16" s="21"/>
      </tp>
      <tp t="e">
        <v>#N/A</v>
        <stp/>
        <stp>BDH|4030625901335643129</stp>
        <tr r="S15" s="18"/>
      </tp>
      <tp t="e">
        <v>#N/A</v>
        <stp/>
        <stp>BDH|8276378423516232932</stp>
        <tr r="Q71" s="18"/>
      </tp>
      <tp t="e">
        <v>#N/A</v>
        <stp/>
        <stp>BDH|5796567826480130414</stp>
        <tr r="O9" s="13"/>
      </tp>
      <tp t="e">
        <v>#N/A</v>
        <stp/>
        <stp>BDH|2270958463362751945</stp>
        <tr r="J26" s="26"/>
      </tp>
      <tp t="e">
        <v>#N/A</v>
        <stp/>
        <stp>BDH|4807580297086947898</stp>
        <tr r="V29" s="10"/>
        <tr r="X38" s="13"/>
      </tp>
      <tp t="e">
        <v>#N/A</v>
        <stp/>
        <stp>BDH|1328373812610885590</stp>
        <tr r="Z71" s="34"/>
      </tp>
      <tp t="e">
        <v>#N/A</v>
        <stp/>
        <stp>BDH|3637156655864166504</stp>
        <tr r="M38" s="21"/>
        <tr r="M24" s="3"/>
      </tp>
      <tp t="e">
        <v>#N/A</v>
        <stp/>
        <stp>BDH|1717710485430783832</stp>
        <tr r="V204" s="18"/>
      </tp>
      <tp t="e">
        <v>#N/A</v>
        <stp/>
        <stp>BDH|1214713975371387626</stp>
        <tr r="I7" s="4"/>
      </tp>
      <tp t="e">
        <v>#N/A</v>
        <stp/>
        <stp>BDH|6322650849733096183</stp>
        <tr r="W75" s="34"/>
      </tp>
      <tp t="e">
        <v>#N/A</v>
        <stp/>
        <stp>BDH|9266950979803917200</stp>
        <tr r="W119" s="18"/>
        <tr r="W7" s="20"/>
      </tp>
      <tp t="e">
        <v>#N/A</v>
        <stp/>
        <stp>BDH|3699308705826503017</stp>
        <tr r="G23" s="6"/>
      </tp>
      <tp t="e">
        <v>#N/A</v>
        <stp/>
        <stp>BDH|6553240880049421316</stp>
        <tr r="U22" s="12"/>
      </tp>
      <tp t="e">
        <v>#N/A</v>
        <stp/>
        <stp>BDH|4274407351354060775</stp>
        <tr r="V13" s="17"/>
        <tr r="V16" s="28"/>
      </tp>
      <tp t="e">
        <v>#N/A</v>
        <stp/>
        <stp>BDH|8079902178171555191</stp>
        <tr r="X164" s="18"/>
      </tp>
      <tp t="e">
        <v>#N/A</v>
        <stp/>
        <stp>BDH|9654679543175383857</stp>
        <tr r="V43" s="4"/>
      </tp>
      <tp t="e">
        <v>#N/A</v>
        <stp/>
        <stp>BDH|1652908897640200779</stp>
        <tr r="T34" s="10"/>
        <tr r="T24" s="11"/>
      </tp>
      <tp t="e">
        <v>#N/A</v>
        <stp/>
        <stp>BDH|7795306876401793420</stp>
        <tr r="N8" s="13"/>
      </tp>
      <tp t="e">
        <v>#N/A</v>
        <stp/>
        <stp>BDH|4433443934325770076</stp>
        <tr r="X52" s="10"/>
        <tr r="X42" s="11"/>
        <tr r="X15" s="7"/>
      </tp>
      <tp t="e">
        <v>#N/A</v>
        <stp/>
        <stp>BDH|4206564761873011218</stp>
        <tr r="N78" s="17"/>
      </tp>
      <tp t="e">
        <v>#N/A</v>
        <stp/>
        <stp>BDH|8632722895034369462</stp>
        <tr r="F25" s="6"/>
      </tp>
      <tp t="e">
        <v>#N/A</v>
        <stp/>
        <stp>BDH|2123712261644716122</stp>
        <tr r="W64" s="21"/>
      </tp>
      <tp t="e">
        <v>#N/A</v>
        <stp/>
        <stp>BDH|2944356118004236224</stp>
        <tr r="X162" s="18"/>
      </tp>
      <tp t="e">
        <v>#N/A</v>
        <stp/>
        <stp>BDH|4482308810758842886</stp>
        <tr r="K17" s="17"/>
        <tr r="K20" s="28"/>
      </tp>
      <tp t="e">
        <v>#N/A</v>
        <stp/>
        <stp>BDH|4385704926945017211</stp>
        <tr r="D63" s="24"/>
      </tp>
      <tp t="e">
        <v>#N/A</v>
        <stp/>
        <stp>BDH|9477887660685053486</stp>
        <tr r="O96" s="18"/>
      </tp>
      <tp t="e">
        <v>#N/A</v>
        <stp/>
        <stp>BDH|7470544953401576024</stp>
        <tr r="K66" s="13"/>
      </tp>
      <tp t="e">
        <v>#N/A</v>
        <stp/>
        <stp>BDH|4364452175555672411</stp>
        <tr r="P12" s="6"/>
      </tp>
      <tp t="e">
        <v>#N/A</v>
        <stp/>
        <stp>BDH|6753455542843581317</stp>
        <tr r="P28" s="12"/>
      </tp>
      <tp t="e">
        <v>#N/A</v>
        <stp/>
        <stp>BDH|5660014510190359200</stp>
        <tr r="L24" s="12"/>
      </tp>
      <tp t="e">
        <v>#N/A</v>
        <stp/>
        <stp>BDH|7912735936264988118</stp>
        <tr r="G26" s="24"/>
      </tp>
      <tp t="e">
        <v>#N/A</v>
        <stp/>
        <stp>BDH|8438327990176600243</stp>
        <tr r="F40" s="10"/>
        <tr r="F30" s="11"/>
      </tp>
      <tp t="e">
        <v>#N/A</v>
        <stp/>
        <stp>BDH|3801291464310144100</stp>
        <tr r="D49" s="12"/>
      </tp>
      <tp t="e">
        <v>#N/A</v>
        <stp/>
        <stp>BDH|4135755026944693300</stp>
        <tr r="W126" s="18"/>
      </tp>
      <tp t="e">
        <v>#N/A</v>
        <stp/>
        <stp>BDH|5491476511246223049</stp>
        <tr r="H10" s="23"/>
      </tp>
      <tp t="e">
        <v>#N/A</v>
        <stp/>
        <stp>BDH|2469049522571636700</stp>
        <tr r="F11" s="30"/>
      </tp>
      <tp t="e">
        <v>#N/A</v>
        <stp/>
        <stp>BDH|2768444755424474168</stp>
        <tr r="I56" s="24"/>
      </tp>
      <tp t="e">
        <v>#N/A</v>
        <stp/>
        <stp>BDH|8157773826419794232</stp>
        <tr r="U92" s="18"/>
      </tp>
      <tp t="e">
        <v>#N/A</v>
        <stp/>
        <stp>BDH|2136668000225641755</stp>
        <tr r="S58" s="17"/>
      </tp>
      <tp t="e">
        <v>#N/A</v>
        <stp/>
        <stp>BDH|1845686561780448719</stp>
        <tr r="I36" s="10"/>
        <tr r="I48" s="10"/>
        <tr r="I26" s="11"/>
        <tr r="I38" s="11"/>
      </tp>
      <tp t="e">
        <v>#N/A</v>
        <stp/>
        <stp>BDH|3774487121681961238</stp>
        <tr r="M61" s="17"/>
      </tp>
      <tp t="e">
        <v>#N/A</v>
        <stp/>
        <stp>BDH|4327728492449658513</stp>
        <tr r="S30" s="22"/>
      </tp>
      <tp t="e">
        <v>#N/A</v>
        <stp/>
        <stp>BDH|3099475743500296528</stp>
        <tr r="F16" s="23"/>
      </tp>
      <tp t="e">
        <v>#N/A</v>
        <stp/>
        <stp>BDH|8739123771810979894</stp>
        <tr r="F23" s="26"/>
      </tp>
      <tp t="e">
        <v>#N/A</v>
        <stp/>
        <stp>BDH|3454449989290526987</stp>
        <tr r="O56" s="13"/>
      </tp>
      <tp t="e">
        <v>#N/A</v>
        <stp/>
        <stp>BDH|9462958502921041779</stp>
        <tr r="Z54" s="12"/>
      </tp>
      <tp t="e">
        <v>#N/A</v>
        <stp/>
        <stp>BDH|3288904764519448367</stp>
        <tr r="N52" s="13"/>
      </tp>
      <tp t="e">
        <v>#N/A</v>
        <stp/>
        <stp>BDH|6423016764867002156</stp>
        <tr r="L24" s="21"/>
      </tp>
      <tp t="e">
        <v>#N/A</v>
        <stp/>
        <stp>BDH|7449675604461779648</stp>
        <tr r="Y75" s="24"/>
      </tp>
      <tp t="e">
        <v>#N/A</v>
        <stp/>
        <stp>BDH|7984365363230107495</stp>
        <tr r="N18" s="14"/>
      </tp>
      <tp t="e">
        <v>#N/A</v>
        <stp/>
        <stp>BDH|8322883355876302594</stp>
        <tr r="D85" s="24"/>
      </tp>
      <tp t="e">
        <v>#N/A</v>
        <stp/>
        <stp>BDH|1710650201540291150</stp>
        <tr r="I31" s="9"/>
      </tp>
      <tp t="e">
        <v>#N/A</v>
        <stp/>
        <stp>BDH|3254608722316000743</stp>
        <tr r="V83" s="12"/>
      </tp>
      <tp t="e">
        <v>#N/A</v>
        <stp/>
        <stp>BDH|8633331793873360711</stp>
        <tr r="W16" s="22"/>
      </tp>
      <tp t="e">
        <v>#N/A</v>
        <stp/>
        <stp>BDH|8268106297891464752</stp>
        <tr r="E7" s="21"/>
      </tp>
      <tp t="e">
        <v>#N/A</v>
        <stp/>
        <stp>BDH|8941253138858906793</stp>
        <tr r="H12" s="21"/>
      </tp>
      <tp t="e">
        <v>#N/A</v>
        <stp/>
        <stp>BDH|6330679713131748643</stp>
        <tr r="K20" s="6"/>
      </tp>
      <tp t="e">
        <v>#N/A</v>
        <stp/>
        <stp>BDH|5053618944632307327</stp>
        <tr r="X202" s="18"/>
      </tp>
      <tp t="e">
        <v>#N/A</v>
        <stp/>
        <stp>BDH|7134340934818702927</stp>
        <tr r="M24" s="24"/>
      </tp>
      <tp t="e">
        <v>#N/A</v>
        <stp/>
        <stp>BDH|6414341291722400818</stp>
        <tr r="V20" s="29"/>
      </tp>
      <tp t="e">
        <v>#N/A</v>
        <stp/>
        <stp>BDH|6593125666572546503</stp>
        <tr r="I156" s="18"/>
      </tp>
      <tp t="e">
        <v>#N/A</v>
        <stp/>
        <stp>BDH|8123887668350286070</stp>
        <tr r="C45" s="22"/>
      </tp>
      <tp t="e">
        <v>#N/A</v>
        <stp/>
        <stp>BDH|6676970190655783527</stp>
        <tr r="R23" s="26"/>
      </tp>
      <tp t="e">
        <v>#N/A</v>
        <stp/>
        <stp>BDH|3789177931552321579</stp>
        <tr r="C52" s="17"/>
        <tr r="C10" s="25"/>
      </tp>
      <tp t="e">
        <v>#N/A</v>
        <stp/>
        <stp>BDH|2387475355741425409</stp>
        <tr r="N76" s="17"/>
        <tr r="K9" s="5"/>
        <tr r="K9" s="9"/>
      </tp>
      <tp t="e">
        <v>#N/A</v>
        <stp/>
        <stp>BDH|2055185021050531792</stp>
        <tr r="G6" s="19"/>
        <tr r="G34" s="17"/>
        <tr r="G16" s="3"/>
      </tp>
      <tp t="e">
        <v>#N/A</v>
        <stp/>
        <stp>BDH|2342623651252750521</stp>
        <tr r="Z23" s="12"/>
      </tp>
      <tp t="e">
        <v>#N/A</v>
        <stp/>
        <stp>BDH|3030452180340936990</stp>
        <tr r="H48" s="24"/>
      </tp>
      <tp t="e">
        <v>#N/A</v>
        <stp/>
        <stp>BDH|7040432261223603015</stp>
        <tr r="Z31" s="25"/>
        <tr r="W14" s="5"/>
        <tr r="Z17" s="27"/>
      </tp>
      <tp t="e">
        <v>#N/A</v>
        <stp/>
        <stp>BDH|1438380333847282082</stp>
        <tr r="Q15" s="9"/>
      </tp>
      <tp t="e">
        <v>#N/A</v>
        <stp/>
        <stp>BDH|2765277935003591659</stp>
        <tr r="Y8" s="12"/>
      </tp>
      <tp t="e">
        <v>#N/A</v>
        <stp/>
        <stp>BDH|5201011411964217659</stp>
        <tr r="O20" s="5"/>
      </tp>
      <tp t="e">
        <v>#N/A</v>
        <stp/>
        <stp>BDH|8602488756169885651</stp>
        <tr r="F79" s="34"/>
      </tp>
      <tp t="e">
        <v>#N/A</v>
        <stp/>
        <stp>BDH|2622786770983394784</stp>
        <tr r="G10" s="18"/>
      </tp>
      <tp t="e">
        <v>#N/A</v>
        <stp/>
        <stp>BDH|5870223259305126176</stp>
        <tr r="O207" s="18"/>
      </tp>
      <tp t="e">
        <v>#N/A</v>
        <stp/>
        <stp>BDH|7895018500745862443</stp>
        <tr r="M47" s="34"/>
      </tp>
      <tp t="e">
        <v>#N/A</v>
        <stp/>
        <stp>BDH|8213064209056012887</stp>
        <tr r="H8" s="12"/>
      </tp>
      <tp t="e">
        <v>#N/A</v>
        <stp/>
        <stp>BDH|1420664317796566654</stp>
        <tr r="F28" s="12"/>
      </tp>
      <tp t="e">
        <v>#N/A</v>
        <stp/>
        <stp>BDH|6253207951876695100</stp>
        <tr r="K24" s="9"/>
      </tp>
      <tp t="e">
        <v>#N/A</v>
        <stp/>
        <stp>BDH|2303261529510043492</stp>
        <tr r="Q43" s="22"/>
      </tp>
      <tp t="e">
        <v>#N/A</v>
        <stp/>
        <stp>BDH|4482232806417487704</stp>
        <tr r="L35" s="25"/>
      </tp>
      <tp t="e">
        <v>#N/A</v>
        <stp/>
        <stp>BDH|8809081172468671110</stp>
        <tr r="T24" s="20"/>
      </tp>
      <tp t="e">
        <v>#N/A</v>
        <stp/>
        <stp>BDH|5725320203251068134</stp>
        <tr r="Y69" s="24"/>
      </tp>
      <tp t="e">
        <v>#N/A</v>
        <stp/>
        <stp>BDH|3197689767245310086</stp>
        <tr r="T98" s="18"/>
      </tp>
      <tp t="e">
        <v>#N/A</v>
        <stp/>
        <stp>BDH|6656169571102510419</stp>
        <tr r="Y20" s="22"/>
      </tp>
      <tp t="e">
        <v>#N/A</v>
        <stp/>
        <stp>BDH|1835014005434157382</stp>
        <tr r="M62" s="12"/>
      </tp>
      <tp t="e">
        <v>#N/A</v>
        <stp/>
        <stp>BDH|7839405873744707695</stp>
        <tr r="O115" s="18"/>
      </tp>
      <tp t="e">
        <v>#N/A</v>
        <stp/>
        <stp>BDH|7333141743511179504</stp>
        <tr r="G8" s="22"/>
      </tp>
      <tp t="e">
        <v>#N/A</v>
        <stp/>
        <stp>BDH|8103420157199067613</stp>
        <tr r="N8" s="10"/>
      </tp>
      <tp t="e">
        <v>#N/A</v>
        <stp/>
        <stp>BDH|4584689662351809326</stp>
        <tr r="D53" s="17"/>
      </tp>
      <tp t="e">
        <v>#N/A</v>
        <stp/>
        <stp>BDH|4743245526990880284</stp>
        <tr r="X33" s="5"/>
      </tp>
      <tp t="e">
        <v>#N/A</v>
        <stp/>
        <stp>BDH|3876499331816694438</stp>
        <tr r="L40" s="18"/>
      </tp>
      <tp t="e">
        <v>#N/A</v>
        <stp/>
        <stp>BDH|4432528721871312415</stp>
        <tr r="T30" s="26"/>
      </tp>
      <tp t="e">
        <v>#N/A</v>
        <stp/>
        <stp>BDH|3480729516707674437</stp>
        <tr r="R27" s="7"/>
      </tp>
      <tp t="e">
        <v>#N/A</v>
        <stp/>
        <stp>BDH|1590099257221713395</stp>
        <tr r="M24" s="13"/>
      </tp>
      <tp t="e">
        <v>#N/A</v>
        <stp/>
        <stp>BDH|2752227854254611727</stp>
        <tr r="C41" s="18"/>
      </tp>
      <tp t="e">
        <v>#N/A</v>
        <stp/>
        <stp>BDH|5791763792658252540</stp>
        <tr r="L22" s="24"/>
      </tp>
      <tp t="e">
        <v>#N/A</v>
        <stp/>
        <stp>BDH|5898011621033993248</stp>
        <tr r="U19" s="24"/>
      </tp>
      <tp t="e">
        <v>#N/A</v>
        <stp/>
        <stp>BDH|3045347214075533208</stp>
        <tr r="I48" s="6"/>
        <tr r="K9" s="8"/>
      </tp>
      <tp t="e">
        <v>#N/A</v>
        <stp/>
        <stp>BDH|3223017551005395544</stp>
        <tr r="H15" s="13"/>
      </tp>
      <tp t="e">
        <v>#N/A</v>
        <stp/>
        <stp>BDH|4148123124278799957</stp>
        <tr r="F85" s="24"/>
      </tp>
      <tp t="e">
        <v>#N/A</v>
        <stp/>
        <stp>BDH|1289999629974724801</stp>
        <tr r="N64" s="34"/>
      </tp>
      <tp t="e">
        <v>#N/A</v>
        <stp/>
        <stp>BDH|6950159036597625590</stp>
        <tr r="Y58" s="24"/>
      </tp>
      <tp t="e">
        <v>#N/A</v>
        <stp/>
        <stp>BDH|7196640015003430510</stp>
        <tr r="N29" s="17"/>
      </tp>
      <tp t="e">
        <v>#N/A</v>
        <stp/>
        <stp>BDH|4021479716514607324</stp>
        <tr r="E85" s="24"/>
      </tp>
      <tp t="e">
        <v>#N/A</v>
        <stp/>
        <stp>BDH|9771578435081321837</stp>
        <tr r="N10" s="11"/>
      </tp>
      <tp t="e">
        <v>#N/A</v>
        <stp/>
        <stp>BDH|8667049901439642705</stp>
        <tr r="T92" s="17"/>
        <tr r="T7" s="27"/>
      </tp>
      <tp t="e">
        <v>#N/A</v>
        <stp/>
        <stp>BDH|2578598104174954541</stp>
        <tr r="N16" s="2"/>
        <tr r="N32" s="4"/>
        <tr r="N62" s="10"/>
        <tr r="P19" s="13"/>
      </tp>
      <tp t="e">
        <v>#N/A</v>
        <stp/>
        <stp>BDH|1970180004934538257</stp>
        <tr r="L10" s="21"/>
      </tp>
      <tp t="e">
        <v>#N/A</v>
        <stp/>
        <stp>BDH|3286485631656935475</stp>
        <tr r="L208" s="18"/>
      </tp>
      <tp t="e">
        <v>#N/A</v>
        <stp/>
        <stp>BDH|9430771812958651122</stp>
        <tr r="K38" s="18"/>
      </tp>
      <tp t="e">
        <v>#N/A</v>
        <stp/>
        <stp>BDH|6416282378427488253</stp>
        <tr r="O23" s="30"/>
        <tr r="O25" s="23"/>
      </tp>
      <tp t="e">
        <v>#N/A</v>
        <stp/>
        <stp>BDH|6513253314886357523</stp>
        <tr r="F64" s="10"/>
      </tp>
      <tp t="e">
        <v>#N/A</v>
        <stp/>
        <stp>BDH|9878870338727679348</stp>
        <tr r="Y42" s="21"/>
      </tp>
      <tp t="e">
        <v>#N/A</v>
        <stp/>
        <stp>BDH|1462362635556793157</stp>
        <tr r="M54" s="24"/>
      </tp>
      <tp t="e">
        <v>#N/A</v>
        <stp/>
        <stp>BDH|2190902888234959152</stp>
        <tr r="K61" s="18"/>
      </tp>
      <tp t="e">
        <v>#N/A</v>
        <stp/>
        <stp>BDH|9931310853518907178</stp>
        <tr r="J189" s="18"/>
      </tp>
      <tp t="e">
        <v>#N/A</v>
        <stp/>
        <stp>BDH|8422249198434509181</stp>
        <tr r="Q28" s="26"/>
      </tp>
      <tp t="e">
        <v>#N/A</v>
        <stp/>
        <stp>BDH|8910832914424901329</stp>
        <tr r="S9" s="26"/>
      </tp>
      <tp t="e">
        <v>#N/A</v>
        <stp/>
        <stp>BDH|87734198443772680</stp>
        <tr r="Q34" s="21"/>
      </tp>
      <tp t="e">
        <v>#N/A</v>
        <stp/>
        <stp>BDH|77340608369665195</stp>
        <tr r="W68" s="24"/>
      </tp>
      <tp t="e">
        <v>#N/A</v>
        <stp/>
        <stp>BDH|74099816069873394</stp>
        <tr r="H24" s="5"/>
      </tp>
      <tp t="e">
        <v>#N/A</v>
        <stp/>
        <stp>BDH|26163935748924172</stp>
        <tr r="K109" s="18"/>
      </tp>
      <tp t="e">
        <v>#N/A</v>
        <stp/>
        <stp>BDH|31327498221571042</stp>
        <tr r="K25" s="12"/>
      </tp>
      <tp t="e">
        <v>#N/A</v>
        <stp/>
        <stp>BDH|62412265710545993</stp>
        <tr r="P51" s="13"/>
      </tp>
      <tp t="e">
        <v>#N/A</v>
        <stp/>
        <stp>BDH|9130946166578958904</stp>
        <tr r="D19" s="10"/>
      </tp>
      <tp t="e">
        <v>#N/A</v>
        <stp/>
        <stp>BDH|4259350456035206094</stp>
        <tr r="G26" s="21"/>
      </tp>
      <tp t="e">
        <v>#N/A</v>
        <stp/>
        <stp>BDH|5531810966764066883</stp>
        <tr r="M25" s="13"/>
      </tp>
      <tp t="e">
        <v>#N/A</v>
        <stp/>
        <stp>BDH|6200983286722153271</stp>
        <tr r="I12" s="21"/>
      </tp>
      <tp t="e">
        <v>#N/A</v>
        <stp/>
        <stp>BDH|4956021231139101916</stp>
        <tr r="I8" s="10"/>
      </tp>
      <tp t="e">
        <v>#N/A</v>
        <stp/>
        <stp>BDH|6387703660213997303</stp>
        <tr r="E64" s="17"/>
      </tp>
      <tp t="e">
        <v>#N/A</v>
        <stp/>
        <stp>BDH|1470692139395733696</stp>
        <tr r="J12" s="18"/>
      </tp>
      <tp t="e">
        <v>#N/A</v>
        <stp/>
        <stp>BDH|7050864788295322573</stp>
        <tr r="E24" s="6"/>
      </tp>
      <tp t="e">
        <v>#N/A</v>
        <stp/>
        <stp>BDH|9560260184731466592</stp>
        <tr r="G194" s="18"/>
      </tp>
      <tp t="e">
        <v>#N/A</v>
        <stp/>
        <stp>BDH|9626996437714476061</stp>
        <tr r="U35" s="10"/>
        <tr r="U25" s="11"/>
      </tp>
      <tp t="e">
        <v>#N/A</v>
        <stp/>
        <stp>BDH|3346896600804882887</stp>
        <tr r="C43" s="4"/>
      </tp>
      <tp t="e">
        <v>#N/A</v>
        <stp/>
        <stp>BDH|1642200940518554891</stp>
        <tr r="G9" s="28"/>
      </tp>
      <tp t="e">
        <v>#N/A</v>
        <stp/>
        <stp>BDH|1983357806953746677</stp>
        <tr r="G73" s="24"/>
      </tp>
      <tp t="e">
        <v>#N/A</v>
        <stp/>
        <stp>BDH|7933763379065871543</stp>
        <tr r="H15" s="30"/>
      </tp>
      <tp t="e">
        <v>#N/A</v>
        <stp/>
        <stp>BDH|4278730590298204591</stp>
        <tr r="L36" s="34"/>
      </tp>
      <tp t="e">
        <v>#N/A</v>
        <stp/>
        <stp>BDH|3190316968997441666</stp>
        <tr r="W59" s="17"/>
      </tp>
      <tp t="e">
        <v>#N/A</v>
        <stp/>
        <stp>BDH|9505112549049207256</stp>
        <tr r="E72" s="12"/>
      </tp>
      <tp t="e">
        <v>#N/A</v>
        <stp/>
        <stp>BDH|4276400053532958023</stp>
        <tr r="J44" s="21"/>
      </tp>
      <tp t="e">
        <v>#N/A</v>
        <stp/>
        <stp>BDH|8640030850293859977</stp>
        <tr r="D35" s="21"/>
      </tp>
      <tp t="e">
        <v>#N/A</v>
        <stp/>
        <stp>BDH|9312659730242596994</stp>
        <tr r="T28" s="24"/>
      </tp>
      <tp t="e">
        <v>#N/A</v>
        <stp/>
        <stp>BDH|7975982459044636841</stp>
        <tr r="M24" s="22"/>
      </tp>
      <tp t="e">
        <v>#N/A</v>
        <stp/>
        <stp>BDH|1025166876189941937</stp>
        <tr r="H43" s="17"/>
      </tp>
      <tp t="e">
        <v>#N/A</v>
        <stp/>
        <stp>BDH|3025382090306612844</stp>
        <tr r="J49" s="24"/>
      </tp>
      <tp t="e">
        <v>#N/A</v>
        <stp/>
        <stp>BDH|5665294424620154207</stp>
        <tr r="M136" s="18"/>
      </tp>
      <tp t="e">
        <v>#N/A</v>
        <stp/>
        <stp>BDH|5962743652385742524</stp>
        <tr r="Z11" s="30"/>
      </tp>
      <tp t="e">
        <v>#N/A</v>
        <stp/>
        <stp>BDH|9889209235258705705</stp>
        <tr r="E90" s="18"/>
      </tp>
      <tp t="e">
        <v>#N/A</v>
        <stp/>
        <stp>BDH|1169232238233598456</stp>
        <tr r="H36" s="10"/>
        <tr r="H48" s="10"/>
        <tr r="H26" s="11"/>
        <tr r="H38" s="11"/>
      </tp>
      <tp t="e">
        <v>#N/A</v>
        <stp/>
        <stp>BDH|7338708736057657397</stp>
        <tr r="Q98" s="12"/>
      </tp>
      <tp t="e">
        <v>#N/A</v>
        <stp/>
        <stp>BDH|3677011623724691283</stp>
        <tr r="X28" s="21"/>
      </tp>
      <tp t="e">
        <v>#N/A</v>
        <stp/>
        <stp>BDH|8327992961450465059</stp>
        <tr r="R48" s="17"/>
      </tp>
      <tp t="e">
        <v>#N/A</v>
        <stp/>
        <stp>BDH|5010409478171518073</stp>
        <tr r="Y70" s="10"/>
        <tr r="Y60" s="11"/>
        <tr r="Y20" s="7"/>
      </tp>
      <tp t="e">
        <v>#N/A</v>
        <stp/>
        <stp>BDH|7113398569406813336</stp>
        <tr r="O34" s="12"/>
      </tp>
      <tp t="e">
        <v>#N/A</v>
        <stp/>
        <stp>BDH|5199168232955612593</stp>
        <tr r="R132" s="18"/>
      </tp>
      <tp t="e">
        <v>#N/A</v>
        <stp/>
        <stp>BDH|5417497623982306672</stp>
        <tr r="S8" s="13"/>
      </tp>
      <tp t="e">
        <v>#N/A</v>
        <stp/>
        <stp>BDH|7953369038680862051</stp>
        <tr r="O55" s="17"/>
      </tp>
      <tp t="e">
        <v>#N/A</v>
        <stp/>
        <stp>BDH|8501705662769586786</stp>
        <tr r="R73" s="10"/>
        <tr r="R63" s="11"/>
      </tp>
      <tp t="e">
        <v>#N/A</v>
        <stp/>
        <stp>BDH|1224172828494607118</stp>
        <tr r="X31" s="29"/>
      </tp>
      <tp t="e">
        <v>#N/A</v>
        <stp/>
        <stp>BDH|9923381404834830977</stp>
        <tr r="N25" s="13"/>
      </tp>
      <tp t="e">
        <v>#N/A</v>
        <stp/>
        <stp>BDH|8707369790185925025</stp>
        <tr r="N63" s="21"/>
      </tp>
      <tp t="e">
        <v>#N/A</v>
        <stp/>
        <stp>BDH|3417622573742828778</stp>
        <tr r="U70" s="17"/>
      </tp>
      <tp t="e">
        <v>#N/A</v>
        <stp/>
        <stp>BDH|7993005315401028064</stp>
        <tr r="M20" s="24"/>
      </tp>
      <tp t="e">
        <v>#N/A</v>
        <stp/>
        <stp>BDH|8029308838239549672</stp>
        <tr r="U8" s="24"/>
      </tp>
      <tp t="e">
        <v>#N/A</v>
        <stp/>
        <stp>BDH|7536046218233433265</stp>
        <tr r="O15" s="4"/>
      </tp>
      <tp t="e">
        <v>#N/A</v>
        <stp/>
        <stp>BDH|9455975668730143112</stp>
        <tr r="W20" s="25"/>
      </tp>
      <tp t="e">
        <v>#N/A</v>
        <stp/>
        <stp>BDH|5268324669992389512</stp>
        <tr r="C9" s="6"/>
      </tp>
      <tp t="e">
        <v>#N/A</v>
        <stp/>
        <stp>BDH|2980536303486229608</stp>
        <tr r="U14" s="6"/>
      </tp>
      <tp t="e">
        <v>#N/A</v>
        <stp/>
        <stp>BDH|8870653990623578335</stp>
        <tr r="J36" s="10"/>
        <tr r="J48" s="10"/>
        <tr r="J26" s="11"/>
        <tr r="J38" s="11"/>
      </tp>
      <tp t="e">
        <v>#N/A</v>
        <stp/>
        <stp>BDH|6815651333257031352</stp>
        <tr r="V21" s="5"/>
      </tp>
      <tp t="e">
        <v>#N/A</v>
        <stp/>
        <stp>BDH|7895918356834387872</stp>
        <tr r="F175" s="18"/>
      </tp>
      <tp t="e">
        <v>#N/A</v>
        <stp/>
        <stp>BDH|5464476923733913725</stp>
        <tr r="R32" s="25"/>
        <tr r="R18" s="27"/>
      </tp>
      <tp t="e">
        <v>#N/A</v>
        <stp/>
        <stp>BDH|1508740634624969672</stp>
        <tr r="V28" s="27"/>
      </tp>
      <tp t="e">
        <v>#N/A</v>
        <stp/>
        <stp>BDH|4001584470442107322</stp>
        <tr r="K147" s="18"/>
      </tp>
      <tp t="e">
        <v>#N/A</v>
        <stp/>
        <stp>BDH|5796603227206996024</stp>
        <tr r="E184" s="18"/>
      </tp>
      <tp t="e">
        <v>#N/A</v>
        <stp/>
        <stp>BDH|4456488530830049474</stp>
        <tr r="X31" s="24"/>
      </tp>
      <tp t="e">
        <v>#N/A</v>
        <stp/>
        <stp>BDH|2476194592118139554</stp>
        <tr r="P70" s="13"/>
      </tp>
      <tp t="e">
        <v>#N/A</v>
        <stp/>
        <stp>BDH|4451561241403118195</stp>
        <tr r="AA29" s="21"/>
      </tp>
      <tp t="e">
        <v>#N/A</v>
        <stp/>
        <stp>BDH|6629191804581542156</stp>
        <tr r="W21" s="24"/>
      </tp>
      <tp t="e">
        <v>#N/A</v>
        <stp/>
        <stp>BDH|2954456554033371703</stp>
        <tr r="V18" s="10"/>
      </tp>
      <tp t="e">
        <v>#N/A</v>
        <stp/>
        <stp>BDH|1208243376675263694</stp>
        <tr r="M59" s="11"/>
      </tp>
      <tp t="e">
        <v>#N/A</v>
        <stp/>
        <stp>BDH|6672869053858858404</stp>
        <tr r="Y174" s="18"/>
      </tp>
      <tp t="e">
        <v>#N/A</v>
        <stp/>
        <stp>BDH|2480422069782421508</stp>
        <tr r="Q137" s="18"/>
      </tp>
      <tp t="e">
        <v>#N/A</v>
        <stp/>
        <stp>BDH|1967390656859983940</stp>
        <tr r="X19" s="9"/>
      </tp>
      <tp t="e">
        <v>#N/A</v>
        <stp/>
        <stp>BDH|4597109721393768383</stp>
        <tr r="X15" s="17"/>
        <tr r="X18" s="28"/>
      </tp>
      <tp t="e">
        <v>#N/A</v>
        <stp/>
        <stp>BDH|9983605393344809598</stp>
        <tr r="D73" s="10"/>
        <tr r="D63" s="11"/>
      </tp>
      <tp t="e">
        <v>#N/A</v>
        <stp/>
        <stp>BDH|2426411954467263388</stp>
        <tr r="E103" s="18"/>
      </tp>
      <tp t="e">
        <v>#N/A</v>
        <stp/>
        <stp>BDH|8915759884837388700</stp>
        <tr r="M25" s="4"/>
        <tr r="M65" s="10"/>
      </tp>
      <tp t="e">
        <v>#N/A</v>
        <stp/>
        <stp>BDH|2965645163863461615</stp>
        <tr r="T13" s="11"/>
      </tp>
      <tp t="e">
        <v>#N/A</v>
        <stp/>
        <stp>BDH|7380822953814891913</stp>
        <tr r="E121" s="18"/>
        <tr r="E9" s="20"/>
      </tp>
      <tp t="e">
        <v>#N/A</v>
        <stp/>
        <stp>BDH|6740602535294868019</stp>
        <tr r="O77" s="34"/>
      </tp>
      <tp t="e">
        <v>#N/A</v>
        <stp/>
        <stp>BDH|9824743014950672854</stp>
        <tr r="I59" s="24"/>
      </tp>
      <tp t="e">
        <v>#N/A</v>
        <stp/>
        <stp>BDH|2915715784448236259</stp>
        <tr r="E36" s="4"/>
      </tp>
      <tp t="e">
        <v>#N/A</v>
        <stp/>
        <stp>BDH|7444657566993986358</stp>
        <tr r="J23" s="25"/>
        <tr r="H20" s="11"/>
      </tp>
      <tp t="e">
        <v>#N/A</v>
        <stp/>
        <stp>BDH|5958478372181238055</stp>
        <tr r="L19" s="18"/>
      </tp>
      <tp t="e">
        <v>#N/A</v>
        <stp/>
        <stp>BDH|8700758149215466941</stp>
        <tr r="M84" s="24"/>
      </tp>
      <tp t="e">
        <v>#N/A</v>
        <stp/>
        <stp>BDH|6155963348395394971</stp>
        <tr r="F206" s="18"/>
      </tp>
      <tp t="e">
        <v>#N/A</v>
        <stp/>
        <stp>BDH|1527527435344929408</stp>
        <tr r="T9" s="17"/>
      </tp>
      <tp t="e">
        <v>#N/A</v>
        <stp/>
        <stp>BDH|7885063085460984898</stp>
        <tr r="J209" s="18"/>
      </tp>
      <tp t="e">
        <v>#N/A</v>
        <stp/>
        <stp>BDH|5058100243556161199</stp>
        <tr r="R39" s="26"/>
      </tp>
      <tp t="e">
        <v>#N/A</v>
        <stp/>
        <stp>BDH|3498843187212421685</stp>
        <tr r="U18" s="13"/>
      </tp>
      <tp t="e">
        <v>#N/A</v>
        <stp/>
        <stp>BDH|4626241579952460442</stp>
        <tr r="E24" s="21"/>
      </tp>
      <tp t="e">
        <v>#N/A</v>
        <stp/>
        <stp>BDH|1995866077228634150</stp>
        <tr r="D49" s="21"/>
      </tp>
      <tp t="e">
        <v>#N/A</v>
        <stp/>
        <stp>BDH|3476182430731482734</stp>
        <tr r="K90" s="18"/>
      </tp>
      <tp t="e">
        <v>#N/A</v>
        <stp/>
        <stp>BDH|8171589834348059159</stp>
        <tr r="Q10" s="14"/>
      </tp>
      <tp t="e">
        <v>#N/A</v>
        <stp/>
        <stp>BDH|4888534649915367792</stp>
        <tr r="G38" s="25"/>
      </tp>
      <tp t="e">
        <v>#N/A</v>
        <stp/>
        <stp>BDH|8446270749091302815</stp>
        <tr r="T11" s="6"/>
      </tp>
      <tp t="e">
        <v>#N/A</v>
        <stp/>
        <stp>BDH|5701688613060604528</stp>
        <tr r="Q69" s="13"/>
      </tp>
      <tp t="e">
        <v>#N/A</v>
        <stp/>
        <stp>BDH|2786580135274323718</stp>
        <tr r="C50" s="34"/>
      </tp>
      <tp t="e">
        <v>#N/A</v>
        <stp/>
        <stp>BDH|3695578099290742877</stp>
        <tr r="S62" s="13"/>
      </tp>
      <tp t="e">
        <v>#N/A</v>
        <stp/>
        <stp>BDH|5228183424307715613</stp>
        <tr r="L52" s="34"/>
      </tp>
      <tp t="e">
        <v>#N/A</v>
        <stp/>
        <stp>BDH|6755455632837899101</stp>
        <tr r="P15" s="26"/>
      </tp>
      <tp t="e">
        <v>#N/A</v>
        <stp/>
        <stp>BDH|4053557652780818377</stp>
        <tr r="T39" s="22"/>
      </tp>
      <tp t="e">
        <v>#N/A</v>
        <stp/>
        <stp>BDH|1170386801494229125</stp>
        <tr r="C83" s="18"/>
      </tp>
      <tp t="e">
        <v>#N/A</v>
        <stp/>
        <stp>BDH|3272729221533089291</stp>
        <tr r="E147" s="18"/>
      </tp>
      <tp t="e">
        <v>#N/A</v>
        <stp/>
        <stp>BDH|5795184244492458579</stp>
        <tr r="E31" s="12"/>
      </tp>
      <tp t="e">
        <v>#N/A</v>
        <stp/>
        <stp>BDH|8404201489544135142</stp>
        <tr r="K80" s="18"/>
      </tp>
      <tp t="e">
        <v>#N/A</v>
        <stp/>
        <stp>BDH|1687132439610290460</stp>
        <tr r="O20" s="23"/>
      </tp>
      <tp t="e">
        <v>#N/A</v>
        <stp/>
        <stp>BDH|5008530879990245008</stp>
        <tr r="W11" s="14"/>
      </tp>
      <tp t="e">
        <v>#N/A</v>
        <stp/>
        <stp>BDH|7548983899206449684</stp>
        <tr r="C60" s="18"/>
      </tp>
      <tp t="e">
        <v>#N/A</v>
        <stp/>
        <stp>BDH|3010472162632509480</stp>
        <tr r="E10" s="2"/>
        <tr r="D11" s="5"/>
        <tr r="D51" s="6"/>
        <tr r="F33" s="29"/>
        <tr r="F42" s="29"/>
      </tp>
      <tp t="e">
        <v>#N/A</v>
        <stp/>
        <stp>BDH|9248915657913499185</stp>
        <tr r="U48" s="18"/>
      </tp>
      <tp t="e">
        <v>#N/A</v>
        <stp/>
        <stp>BDH|7320487346030267077</stp>
        <tr r="X19" s="17"/>
      </tp>
      <tp t="e">
        <v>#N/A</v>
        <stp/>
        <stp>BDH|2442585804120555051</stp>
        <tr r="R176" s="18"/>
      </tp>
      <tp t="e">
        <v>#N/A</v>
        <stp/>
        <stp>BDH|7081268974706327391</stp>
        <tr r="F43" s="6"/>
      </tp>
      <tp t="e">
        <v>#N/A</v>
        <stp/>
        <stp>BDH|1593104977920871027</stp>
        <tr r="U67" s="17"/>
        <tr r="U18" s="3"/>
      </tp>
      <tp t="e">
        <v>#N/A</v>
        <stp/>
        <stp>BDH|2625690562455105041</stp>
        <tr r="S44" s="12"/>
      </tp>
      <tp t="e">
        <v>#N/A</v>
        <stp/>
        <stp>BDH|1050605367057770181</stp>
        <tr r="I86" s="12"/>
      </tp>
      <tp t="e">
        <v>#N/A</v>
        <stp/>
        <stp>BDH|5662086172877467208</stp>
        <tr r="C138" s="18"/>
      </tp>
      <tp t="e">
        <v>#N/A</v>
        <stp/>
        <stp>BDH|5313126278781472551</stp>
        <tr r="G187" s="18"/>
      </tp>
      <tp t="e">
        <v>#N/A</v>
        <stp/>
        <stp>BDH|2595486734235434757</stp>
        <tr r="AA70" s="24"/>
      </tp>
      <tp t="e">
        <v>#N/A</v>
        <stp/>
        <stp>BDH|2646287270887743716</stp>
        <tr r="L90" s="24"/>
      </tp>
      <tp t="e">
        <v>#N/A</v>
        <stp/>
        <stp>BDH|6988263523458403906</stp>
        <tr r="S52" s="13"/>
      </tp>
      <tp t="e">
        <v>#N/A</v>
        <stp/>
        <stp>BDH|4334141333419878849</stp>
        <tr r="M57" s="10"/>
        <tr r="M47" s="11"/>
        <tr r="M18" s="7"/>
        <tr r="O64" s="13"/>
      </tp>
      <tp t="e">
        <v>#N/A</v>
        <stp/>
        <stp>BDH|4600697981229550438</stp>
        <tr r="F42" s="34"/>
      </tp>
      <tp t="e">
        <v>#N/A</v>
        <stp/>
        <stp>BDH|1427659255640916557</stp>
        <tr r="M68" s="17"/>
        <tr r="J8" s="5"/>
        <tr r="J8" s="9"/>
      </tp>
      <tp t="e">
        <v>#N/A</v>
        <stp/>
        <stp>BDH|1258439373483203683</stp>
        <tr r="R30" s="34"/>
      </tp>
      <tp t="e">
        <v>#N/A</v>
        <stp/>
        <stp>BDH|4579358675981888654</stp>
        <tr r="T24" s="22"/>
      </tp>
      <tp t="e">
        <v>#N/A</v>
        <stp/>
        <stp>BDH|3027235745122633088</stp>
        <tr r="L76" s="12"/>
      </tp>
      <tp t="e">
        <v>#N/A</v>
        <stp/>
        <stp>BDH|3383174651415850551</stp>
        <tr r="Y82" s="18"/>
      </tp>
      <tp t="e">
        <v>#N/A</v>
        <stp/>
        <stp>BDH|5644382453846653237</stp>
        <tr r="U50" s="12"/>
      </tp>
      <tp t="e">
        <v>#N/A</v>
        <stp/>
        <stp>BDH|2711441811108855828</stp>
        <tr r="K23" s="12"/>
      </tp>
      <tp t="e">
        <v>#N/A</v>
        <stp/>
        <stp>BDH|2409711369372092647</stp>
        <tr r="P85" s="17"/>
      </tp>
      <tp t="e">
        <v>#N/A</v>
        <stp/>
        <stp>BDH|1537926018659083774</stp>
        <tr r="Q25" s="14"/>
      </tp>
      <tp t="e">
        <v>#N/A</v>
        <stp/>
        <stp>BDH|6835132585781511939</stp>
        <tr r="N15" s="9"/>
      </tp>
      <tp t="e">
        <v>#N/A</v>
        <stp/>
        <stp>BDH|3678836894782808707</stp>
        <tr r="K64" s="18"/>
      </tp>
      <tp t="e">
        <v>#N/A</v>
        <stp/>
        <stp>BDH|1814204461230361230</stp>
        <tr r="K6" s="28"/>
      </tp>
      <tp t="e">
        <v>#N/A</v>
        <stp/>
        <stp>BDH|5911029668832241687</stp>
        <tr r="G20" s="12"/>
      </tp>
      <tp t="e">
        <v>#N/A</v>
        <stp/>
        <stp>BDH|2833628204937753404</stp>
        <tr r="L7" s="2"/>
        <tr r="K7" s="5"/>
        <tr r="K7" s="9"/>
        <tr r="N14" s="3"/>
      </tp>
      <tp t="e">
        <v>#N/A</v>
        <stp/>
        <stp>BDH|9822971150225420720</stp>
        <tr r="L29" s="21"/>
      </tp>
      <tp t="e">
        <v>#N/A</v>
        <stp/>
        <stp>BDH|7601972985073569286</stp>
        <tr r="H8" s="18"/>
      </tp>
      <tp t="e">
        <v>#N/A</v>
        <stp/>
        <stp>BDH|4301287541834555168</stp>
        <tr r="X36" s="10"/>
        <tr r="X48" s="10"/>
        <tr r="X26" s="11"/>
        <tr r="X38" s="11"/>
      </tp>
      <tp t="e">
        <v>#N/A</v>
        <stp/>
        <stp>BDH|6272792952027445443</stp>
        <tr r="L25" s="5"/>
      </tp>
      <tp t="e">
        <v>#N/A</v>
        <stp/>
        <stp>BDH|1536791705263862283</stp>
        <tr r="G17" s="9"/>
      </tp>
      <tp t="e">
        <v>#N/A</v>
        <stp/>
        <stp>BDH|1001196353411761341</stp>
        <tr r="I82" s="17"/>
        <tr r="I20" s="3"/>
        <tr r="G6" s="7"/>
      </tp>
      <tp t="e">
        <v>#N/A</v>
        <stp/>
        <stp>BDH|2849179177456496555</stp>
        <tr r="O13" s="25"/>
      </tp>
      <tp t="e">
        <v>#N/A</v>
        <stp/>
        <stp>BDH|1530370868580131321</stp>
        <tr r="I15" s="21"/>
      </tp>
      <tp t="e">
        <v>#N/A</v>
        <stp/>
        <stp>BDH|5443280921782720035</stp>
        <tr r="F18" s="29"/>
        <tr r="F41" s="29"/>
      </tp>
      <tp t="e">
        <v>#N/A</v>
        <stp/>
        <stp>BDH|5887518681857684877</stp>
        <tr r="V21" s="10"/>
      </tp>
      <tp t="e">
        <v>#N/A</v>
        <stp/>
        <stp>BDH|6160008297989991169</stp>
        <tr r="I25" s="12"/>
      </tp>
      <tp t="e">
        <v>#N/A</v>
        <stp/>
        <stp>BDH|2957881042770336996</stp>
        <tr r="F28" s="14"/>
      </tp>
      <tp t="e">
        <v>#N/A</v>
        <stp/>
        <stp>BDH|5495855318963126811</stp>
        <tr r="W166" s="18"/>
      </tp>
      <tp t="e">
        <v>#N/A</v>
        <stp/>
        <stp>BDH|2152680450540603666</stp>
        <tr r="Z122" s="18"/>
        <tr r="Z11" s="20"/>
      </tp>
      <tp t="e">
        <v>#N/A</v>
        <stp/>
        <stp>BDH|4888277459317984362</stp>
        <tr r="X65" s="17"/>
      </tp>
      <tp t="e">
        <v>#N/A</v>
        <stp/>
        <stp>BDH|2055825628198588760</stp>
        <tr r="W84" s="12"/>
      </tp>
      <tp t="e">
        <v>#N/A</v>
        <stp/>
        <stp>BDH|3590464073997144089</stp>
        <tr r="C36" s="13"/>
      </tp>
      <tp t="e">
        <v>#N/A</v>
        <stp/>
        <stp>BDH|2912099928245870294</stp>
        <tr r="C13" s="17"/>
        <tr r="C16" s="28"/>
      </tp>
      <tp t="e">
        <v>#N/A</v>
        <stp/>
        <stp>BDH|2272408748285427076</stp>
        <tr r="N51" s="12"/>
      </tp>
      <tp t="e">
        <v>#N/A</v>
        <stp/>
        <stp>BDH|2540943698222357738</stp>
        <tr r="X32" s="18"/>
      </tp>
      <tp t="e">
        <v>#N/A</v>
        <stp/>
        <stp>BDH|5110987922838762150</stp>
        <tr r="H8" s="17"/>
      </tp>
      <tp t="e">
        <v>#N/A</v>
        <stp/>
        <stp>BDH|3022693242255696341</stp>
        <tr r="L31" s="34"/>
      </tp>
      <tp t="e">
        <v>#N/A</v>
        <stp/>
        <stp>BDH|4912455645850232324</stp>
        <tr r="T122" s="18"/>
        <tr r="T11" s="20"/>
      </tp>
      <tp t="e">
        <v>#N/A</v>
        <stp/>
        <stp>BDH|4178327969054592263</stp>
        <tr r="V58" s="24"/>
      </tp>
      <tp t="e">
        <v>#N/A</v>
        <stp/>
        <stp>BDH|8077894106224232348</stp>
        <tr r="H20" s="29"/>
      </tp>
      <tp t="e">
        <v>#N/A</v>
        <stp/>
        <stp>BDH|6879675279516897674</stp>
        <tr r="E59" s="18"/>
      </tp>
      <tp t="e">
        <v>#N/A</v>
        <stp/>
        <stp>BDH|5527499807184031225</stp>
        <tr r="J17" s="21"/>
      </tp>
      <tp t="e">
        <v>#N/A</v>
        <stp/>
        <stp>BDH|2665308030933886673</stp>
        <tr r="Z47" s="18"/>
      </tp>
      <tp t="e">
        <v>#N/A</v>
        <stp/>
        <stp>BDH|6687488725380297706</stp>
        <tr r="P64" s="21"/>
      </tp>
      <tp t="e">
        <v>#N/A</v>
        <stp/>
        <stp>BDH|5064585150280676279</stp>
        <tr r="L172" s="18"/>
      </tp>
      <tp t="e">
        <v>#N/A</v>
        <stp/>
        <stp>BDH|4336284214359423928</stp>
        <tr r="M93" s="17"/>
        <tr r="M13" s="28"/>
      </tp>
      <tp t="e">
        <v>#N/A</v>
        <stp/>
        <stp>BDH|3852839320976095822</stp>
        <tr r="W71" s="12"/>
      </tp>
      <tp t="e">
        <v>#N/A</v>
        <stp/>
        <stp>BDH|5182504340276845504</stp>
        <tr r="O70" s="10"/>
        <tr r="O60" s="11"/>
        <tr r="O20" s="7"/>
      </tp>
      <tp t="e">
        <v>#N/A</v>
        <stp/>
        <stp>BDH|7656547167552891140</stp>
        <tr r="AA10" s="24"/>
      </tp>
      <tp t="e">
        <v>#N/A</v>
        <stp/>
        <stp>BDH|3772715513802930028</stp>
        <tr r="D21" s="24"/>
      </tp>
      <tp t="e">
        <v>#N/A</v>
        <stp/>
        <stp>BDH|8279389429566528888</stp>
        <tr r="Z30" s="34"/>
      </tp>
      <tp t="e">
        <v>#N/A</v>
        <stp/>
        <stp>BDH|1390768357532566692</stp>
        <tr r="AA157" s="18"/>
      </tp>
      <tp t="e">
        <v>#N/A</v>
        <stp/>
        <stp>BDH|5704040061964481081</stp>
        <tr r="W152" s="18"/>
      </tp>
      <tp t="e">
        <v>#N/A</v>
        <stp/>
        <stp>BDH|6556084849303303692</stp>
        <tr r="C13" s="10"/>
      </tp>
      <tp t="e">
        <v>#N/A</v>
        <stp/>
        <stp>BDH|1347343174717888558</stp>
        <tr r="P40" s="12"/>
      </tp>
      <tp t="e">
        <v>#N/A</v>
        <stp/>
        <stp>BDH|3086510948762391746</stp>
        <tr r="O157" s="18"/>
      </tp>
      <tp t="e">
        <v>#N/A</v>
        <stp/>
        <stp>BDH|1707132899436716847</stp>
        <tr r="P37" s="17"/>
      </tp>
      <tp t="e">
        <v>#N/A</v>
        <stp/>
        <stp>BDH|5036126816526927432</stp>
        <tr r="AA23" s="25"/>
        <tr r="Y20" s="11"/>
      </tp>
      <tp t="e">
        <v>#N/A</v>
        <stp/>
        <stp>BDH|8274378792055984004</stp>
        <tr r="K72" s="10"/>
        <tr r="K62" s="11"/>
      </tp>
      <tp t="e">
        <v>#N/A</v>
        <stp/>
        <stp>BDH|5076505178715343553</stp>
        <tr r="M7" s="21"/>
      </tp>
      <tp t="e">
        <v>#N/A</v>
        <stp/>
        <stp>BDH|1584110078285000528</stp>
        <tr r="J71" s="10"/>
        <tr r="J61" s="11"/>
      </tp>
      <tp t="e">
        <v>#N/A</v>
        <stp/>
        <stp>BDH|3398032728820275646</stp>
        <tr r="S45" s="34"/>
      </tp>
      <tp t="e">
        <v>#N/A</v>
        <stp/>
        <stp>BDH|6831236601086538513</stp>
        <tr r="N51" s="34"/>
      </tp>
      <tp t="e">
        <v>#N/A</v>
        <stp/>
        <stp>BDH|4882785597039886410</stp>
        <tr r="W22" s="34"/>
      </tp>
      <tp t="e">
        <v>#N/A</v>
        <stp/>
        <stp>BDH|7788344506602993126</stp>
        <tr r="Z74" s="18"/>
      </tp>
      <tp t="e">
        <v>#N/A</v>
        <stp/>
        <stp>BDH|3306887297546463360</stp>
        <tr r="Y59" s="24"/>
      </tp>
      <tp t="e">
        <v>#N/A</v>
        <stp/>
        <stp>BDH|4266499845030212329</stp>
        <tr r="H50" s="18"/>
      </tp>
      <tp t="e">
        <v>#N/A</v>
        <stp/>
        <stp>BDH|4275121205200248297</stp>
        <tr r="H52" s="18"/>
      </tp>
      <tp t="e">
        <v>#N/A</v>
        <stp/>
        <stp>BDH|3734952468299251261</stp>
        <tr r="U68" s="24"/>
      </tp>
      <tp t="e">
        <v>#N/A</v>
        <stp/>
        <stp>BDH|3354307347303842023</stp>
        <tr r="K17" s="23"/>
      </tp>
      <tp t="e">
        <v>#N/A</v>
        <stp/>
        <stp>BDH|9861879921656329232</stp>
        <tr r="Q21" s="27"/>
      </tp>
      <tp t="e">
        <v>#N/A</v>
        <stp/>
        <stp>BDH|9131612498734281547</stp>
        <tr r="R24" s="6"/>
      </tp>
      <tp t="e">
        <v>#N/A</v>
        <stp/>
        <stp>BDH|6330390221048537809</stp>
        <tr r="N25" s="2"/>
        <tr r="P62" s="21"/>
      </tp>
      <tp t="e">
        <v>#N/A</v>
        <stp/>
        <stp>BDH|4632290625194190752</stp>
        <tr r="E91" s="17"/>
      </tp>
      <tp t="e">
        <v>#N/A</v>
        <stp/>
        <stp>BDH|3926577641891661472</stp>
        <tr r="L114" s="18"/>
      </tp>
      <tp t="e">
        <v>#N/A</v>
        <stp/>
        <stp>BDH|4698982050588554753</stp>
        <tr r="J35" s="14"/>
      </tp>
      <tp t="e">
        <v>#N/A</v>
        <stp/>
        <stp>BDH|4598732198354979997</stp>
        <tr r="F60" s="17"/>
      </tp>
      <tp t="e">
        <v>#N/A</v>
        <stp/>
        <stp>BDH|6930550732922478546</stp>
        <tr r="F27" s="21"/>
      </tp>
      <tp t="e">
        <v>#N/A</v>
        <stp/>
        <stp>BDH|5295895715268361332</stp>
        <tr r="H19" s="24"/>
      </tp>
      <tp t="e">
        <v>#N/A</v>
        <stp/>
        <stp>BDH|7232537338852340445</stp>
        <tr r="G8" s="6"/>
      </tp>
      <tp t="e">
        <v>#N/A</v>
        <stp/>
        <stp>BDH|2495778390049543288</stp>
        <tr r="Z50" s="34"/>
      </tp>
      <tp t="e">
        <v>#N/A</v>
        <stp/>
        <stp>BDH|1853068892616600946</stp>
        <tr r="Y22" s="18"/>
      </tp>
      <tp t="e">
        <v>#N/A</v>
        <stp/>
        <stp>BDH|2448194430707737048</stp>
        <tr r="V46" s="18"/>
      </tp>
      <tp t="e">
        <v>#N/A</v>
        <stp/>
        <stp>BDH|7125818265429952724</stp>
        <tr r="D17" s="18"/>
      </tp>
      <tp t="e">
        <v>#N/A</v>
        <stp/>
        <stp>BDH|9286125831718700485</stp>
        <tr r="R199" s="18"/>
      </tp>
      <tp t="e">
        <v>#N/A</v>
        <stp/>
        <stp>BDH|9442407301468298291</stp>
        <tr r="I79" s="18"/>
      </tp>
      <tp t="e">
        <v>#N/A</v>
        <stp/>
        <stp>BDH|5502092834198702902</stp>
        <tr r="S116" s="18"/>
      </tp>
      <tp t="e">
        <v>#N/A</v>
        <stp/>
        <stp>BDH|7023198312085789532</stp>
        <tr r="O11" s="6"/>
      </tp>
      <tp t="e">
        <v>#N/A</v>
        <stp/>
        <stp>BDH|7911042471527556063</stp>
        <tr r="Y17" s="22"/>
      </tp>
      <tp t="e">
        <v>#N/A</v>
        <stp/>
        <stp>BDH|3764379004064971328</stp>
        <tr r="I39" s="25"/>
        <tr r="I7" s="3"/>
        <tr r="G17" s="11"/>
        <tr r="I22" s="13"/>
        <tr r="I7" s="13"/>
      </tp>
      <tp t="e">
        <v>#N/A</v>
        <stp/>
        <stp>BDH|5118183633525263571</stp>
        <tr r="S19" s="5"/>
        <tr r="S42" s="6"/>
      </tp>
      <tp t="e">
        <v>#N/A</v>
        <stp/>
        <stp>BDH|6561274992332918863</stp>
        <tr r="C67" s="13"/>
      </tp>
      <tp t="e">
        <v>#N/A</v>
        <stp/>
        <stp>BDH|5217773671094936622</stp>
        <tr r="W20" s="27"/>
      </tp>
      <tp t="e">
        <v>#N/A</v>
        <stp/>
        <stp>BDH|5388995164879831495</stp>
        <tr r="M40" s="22"/>
      </tp>
      <tp t="e">
        <v>#N/A</v>
        <stp/>
        <stp>BDH|7020091212207547617</stp>
        <tr r="H68" s="18"/>
      </tp>
      <tp t="e">
        <v>#N/A</v>
        <stp/>
        <stp>BDH|2078795227231678175</stp>
        <tr r="Y30" s="25"/>
        <tr r="Y16" s="27"/>
      </tp>
      <tp t="e">
        <v>#N/A</v>
        <stp/>
        <stp>BDH|3485658968211133573</stp>
        <tr r="I179" s="18"/>
      </tp>
      <tp t="e">
        <v>#N/A</v>
        <stp/>
        <stp>BDH|7940546215961372549</stp>
        <tr r="J39" s="26"/>
      </tp>
      <tp t="e">
        <v>#N/A</v>
        <stp/>
        <stp>BDH|1858824842183235956</stp>
        <tr r="H13" s="2"/>
      </tp>
      <tp t="e">
        <v>#N/A</v>
        <stp/>
        <stp>BDH|3690811220317085987</stp>
        <tr r="L34" s="29"/>
      </tp>
      <tp t="e">
        <v>#N/A</v>
        <stp/>
        <stp>BDH|8156780712528325176</stp>
        <tr r="J35" s="21"/>
      </tp>
      <tp t="e">
        <v>#N/A</v>
        <stp/>
        <stp>BDH|2528439106689891870</stp>
        <tr r="Y95" s="12"/>
      </tp>
      <tp t="e">
        <v>#N/A</v>
        <stp/>
        <stp>BDH|8270849614004887252</stp>
        <tr r="I14" s="6"/>
      </tp>
      <tp t="e">
        <v>#N/A</v>
        <stp/>
        <stp>BDH|3143145857321956143</stp>
        <tr r="Q23" s="6"/>
      </tp>
      <tp t="e">
        <v>#N/A</v>
        <stp/>
        <stp>BDH|1118073078047221637</stp>
        <tr r="M43" s="10"/>
        <tr r="M33" s="11"/>
      </tp>
      <tp t="e">
        <v>#N/A</v>
        <stp/>
        <stp>BDH|5531293334787147464</stp>
        <tr r="U139" s="18"/>
      </tp>
      <tp t="e">
        <v>#N/A</v>
        <stp/>
        <stp>BDH|7477365039732769234</stp>
        <tr r="Q80" s="18"/>
      </tp>
      <tp t="e">
        <v>#N/A</v>
        <stp/>
        <stp>BDH|6467203803620803304</stp>
        <tr r="L26" s="25"/>
        <tr r="L12" s="27"/>
      </tp>
      <tp t="e">
        <v>#N/A</v>
        <stp/>
        <stp>BDH|8629386397213398659</stp>
        <tr r="U81" s="18"/>
      </tp>
      <tp t="e">
        <v>#N/A</v>
        <stp/>
        <stp>BDH|5648204612661245094</stp>
        <tr r="P26" s="26"/>
      </tp>
      <tp t="e">
        <v>#N/A</v>
        <stp/>
        <stp>BDH|2536581414948741916</stp>
        <tr r="I10" s="23"/>
      </tp>
      <tp t="e">
        <v>#N/A</v>
        <stp/>
        <stp>BDH|5354021313676487593</stp>
        <tr r="C35" s="14"/>
      </tp>
      <tp t="e">
        <v>#N/A</v>
        <stp/>
        <stp>BDH|3221108766453211096</stp>
        <tr r="P46" s="21"/>
      </tp>
      <tp t="e">
        <v>#N/A</v>
        <stp/>
        <stp>BDH|3056875436197981870</stp>
        <tr r="F29" s="14"/>
      </tp>
      <tp t="e">
        <v>#N/A</v>
        <stp/>
        <stp>BDH|2115780361887633312</stp>
        <tr r="Z7" s="17"/>
      </tp>
      <tp t="e">
        <v>#N/A</v>
        <stp/>
        <stp>BDH|1519507213963054192</stp>
        <tr r="J106" s="12"/>
      </tp>
      <tp t="e">
        <v>#N/A</v>
        <stp/>
        <stp>BDH|2878271866030668108</stp>
        <tr r="V35" s="26"/>
      </tp>
      <tp t="e">
        <v>#N/A</v>
        <stp/>
        <stp>BDH|5114019204924395683</stp>
        <tr r="O8" s="4"/>
      </tp>
      <tp t="e">
        <v>#N/A</v>
        <stp/>
        <stp>BDH|9386060786074828241</stp>
        <tr r="Z42" s="22"/>
      </tp>
      <tp t="e">
        <v>#N/A</v>
        <stp/>
        <stp>BDH|4908427574375882587</stp>
        <tr r="K58" s="34"/>
      </tp>
      <tp t="e">
        <v>#N/A</v>
        <stp/>
        <stp>BDH|1196759177516461089</stp>
        <tr r="K139" s="18"/>
      </tp>
      <tp t="e">
        <v>#N/A</v>
        <stp/>
        <stp>BDH|8831404036390898897</stp>
        <tr r="K46" s="12"/>
      </tp>
      <tp t="e">
        <v>#N/A</v>
        <stp/>
        <stp>BDH|2183715047030102697</stp>
        <tr r="X45" s="34"/>
      </tp>
      <tp t="e">
        <v>#N/A</v>
        <stp/>
        <stp>BDH|6099897650589670501</stp>
        <tr r="R95" s="12"/>
      </tp>
      <tp t="e">
        <v>#N/A</v>
        <stp/>
        <stp>BDH|8820241091662216608</stp>
        <tr r="E25" s="6"/>
      </tp>
      <tp t="e">
        <v>#N/A</v>
        <stp/>
        <stp>BDH|7903638241191473302</stp>
        <tr r="J23" s="17"/>
      </tp>
      <tp t="e">
        <v>#N/A</v>
        <stp/>
        <stp>BDH|9865755272796820889</stp>
        <tr r="Q107" s="18"/>
      </tp>
      <tp t="e">
        <v>#N/A</v>
        <stp/>
        <stp>BDH|2891405132627412515</stp>
        <tr r="T16" s="26"/>
      </tp>
      <tp t="e">
        <v>#N/A</v>
        <stp/>
        <stp>BDH|8606846385856951915</stp>
        <tr r="V92" s="24"/>
      </tp>
      <tp t="e">
        <v>#N/A</v>
        <stp/>
        <stp>BDH|1373639461591741791</stp>
        <tr r="U14" s="12"/>
      </tp>
      <tp t="e">
        <v>#N/A</v>
        <stp/>
        <stp>BDH|5662365376221899716</stp>
        <tr r="C76" s="34"/>
      </tp>
      <tp t="e">
        <v>#N/A</v>
        <stp/>
        <stp>BDH|7119782096997294912</stp>
        <tr r="W55" s="13"/>
      </tp>
      <tp t="e">
        <v>#N/A</v>
        <stp/>
        <stp>BDH|7267773715145920356</stp>
        <tr r="Z18" s="18"/>
      </tp>
      <tp t="e">
        <v>#N/A</v>
        <stp/>
        <stp>BDH|4166245765717842040</stp>
        <tr r="T35" s="4"/>
      </tp>
      <tp t="e">
        <v>#N/A</v>
        <stp/>
        <stp>BDH|6294291664006200318</stp>
        <tr r="X17" s="12"/>
      </tp>
      <tp t="e">
        <v>#N/A</v>
        <stp/>
        <stp>BDH|9441521236350965850</stp>
        <tr r="F43" s="21"/>
      </tp>
      <tp t="e">
        <v>#N/A</v>
        <stp/>
        <stp>BDH|6128264017792951057</stp>
        <tr r="AA75" s="34"/>
      </tp>
      <tp t="e">
        <v>#N/A</v>
        <stp/>
        <stp>BDH|9112263741601268981</stp>
        <tr r="R10" s="12"/>
      </tp>
      <tp t="e">
        <v>#N/A</v>
        <stp/>
        <stp>BDH|9007913018096263077</stp>
        <tr r="W46" s="21"/>
      </tp>
      <tp t="e">
        <v>#N/A</v>
        <stp/>
        <stp>BDH|3152483600595703521</stp>
        <tr r="C31" s="25"/>
        <tr r="C17" s="27"/>
      </tp>
      <tp t="e">
        <v>#N/A</v>
        <stp/>
        <stp>BDH|5856316054396440256</stp>
        <tr r="O54" s="18"/>
      </tp>
      <tp t="e">
        <v>#N/A</v>
        <stp/>
        <stp>BDH|8086955165947509796</stp>
        <tr r="L23" s="20"/>
      </tp>
      <tp t="e">
        <v>#N/A</v>
        <stp/>
        <stp>BDH|3865936294116453271</stp>
        <tr r="G27" s="7"/>
      </tp>
      <tp t="e">
        <v>#N/A</v>
        <stp/>
        <stp>BDH|4199263239452281003</stp>
        <tr r="N17" s="22"/>
      </tp>
      <tp t="e">
        <v>#N/A</v>
        <stp/>
        <stp>BDH|3835963985204739105</stp>
        <tr r="G19" s="12"/>
      </tp>
      <tp t="e">
        <v>#N/A</v>
        <stp/>
        <stp>BDH|2887304750804396779</stp>
        <tr r="H23" s="24"/>
      </tp>
      <tp t="e">
        <v>#N/A</v>
        <stp/>
        <stp>BDH|6530631571827880736</stp>
        <tr r="AA68" s="12"/>
      </tp>
      <tp t="e">
        <v>#N/A</v>
        <stp/>
        <stp>BDH|2923987423878900679</stp>
        <tr r="P9" s="27"/>
      </tp>
      <tp t="e">
        <v>#N/A</v>
        <stp/>
        <stp>BDH|5392099546424773274</stp>
        <tr r="X58" s="11"/>
        <tr r="Z19" s="23"/>
      </tp>
      <tp t="e">
        <v>#N/A</v>
        <stp/>
        <stp>BDH|9398220448180392867</stp>
        <tr r="P183" s="18"/>
      </tp>
      <tp t="e">
        <v>#N/A</v>
        <stp/>
        <stp>BDH|6161152337946853571</stp>
        <tr r="J141" s="18"/>
      </tp>
      <tp t="e">
        <v>#N/A</v>
        <stp/>
        <stp>BDH|7211464311852102784</stp>
        <tr r="S17" s="23"/>
      </tp>
      <tp t="e">
        <v>#N/A</v>
        <stp/>
        <stp>BDH|8759249291113848760</stp>
        <tr r="J63" s="17"/>
      </tp>
      <tp t="e">
        <v>#N/A</v>
        <stp/>
        <stp>BDH|4998254112868790855</stp>
        <tr r="L58" s="12"/>
      </tp>
      <tp t="e">
        <v>#N/A</v>
        <stp/>
        <stp>BDH|5096051759195955294</stp>
        <tr r="T9" s="11"/>
      </tp>
      <tp t="e">
        <v>#N/A</v>
        <stp/>
        <stp>BDH|7596984931288149213</stp>
        <tr r="E34" s="29"/>
      </tp>
      <tp t="e">
        <v>#N/A</v>
        <stp/>
        <stp>BDH|4462241142923653680</stp>
        <tr r="U41" s="12"/>
      </tp>
      <tp t="e">
        <v>#N/A</v>
        <stp/>
        <stp>BDH|7088541482215239882</stp>
        <tr r="T18" s="9"/>
      </tp>
      <tp t="e">
        <v>#N/A</v>
        <stp/>
        <stp>BDH|2410608219066076414</stp>
        <tr r="P30" s="26"/>
      </tp>
      <tp t="e">
        <v>#N/A</v>
        <stp/>
        <stp>BDH|4550196803335791744</stp>
        <tr r="Q12" s="13"/>
      </tp>
      <tp t="e">
        <v>#N/A</v>
        <stp/>
        <stp>BDH|2945439182791517817</stp>
        <tr r="I13" s="21"/>
      </tp>
      <tp t="e">
        <v>#N/A</v>
        <stp/>
        <stp>BDH|8807030513218396674</stp>
        <tr r="AA58" s="18"/>
      </tp>
      <tp t="e">
        <v>#N/A</v>
        <stp/>
        <stp>BDH|6793535169261507341</stp>
        <tr r="I26" s="34"/>
      </tp>
      <tp t="e">
        <v>#N/A</v>
        <stp/>
        <stp>BDH|2289369448873655163</stp>
        <tr r="M32" s="25"/>
        <tr r="M18" s="27"/>
      </tp>
      <tp t="e">
        <v>#N/A</v>
        <stp/>
        <stp>BDH|2525736827782950248</stp>
        <tr r="V41" s="18"/>
      </tp>
      <tp t="e">
        <v>#N/A</v>
        <stp/>
        <stp>BDH|1690890727578766434</stp>
        <tr r="W54" s="11"/>
      </tp>
      <tp t="e">
        <v>#N/A</v>
        <stp/>
        <stp>BDH|7471267479842773701</stp>
        <tr r="P72" s="13"/>
      </tp>
      <tp t="e">
        <v>#N/A</v>
        <stp/>
        <stp>BDH|5856316730612015045</stp>
        <tr r="S76" s="34"/>
      </tp>
      <tp t="e">
        <v>#N/A</v>
        <stp/>
        <stp>BDH|4710403048615141631</stp>
        <tr r="R17" s="18"/>
      </tp>
      <tp t="e">
        <v>#N/A</v>
        <stp/>
        <stp>BDH|4858137622450778030</stp>
        <tr r="I8" s="22"/>
      </tp>
      <tp t="e">
        <v>#N/A</v>
        <stp/>
        <stp>BDH|1944183694656176896</stp>
        <tr r="AA30" s="25"/>
        <tr r="AA16" s="27"/>
      </tp>
      <tp t="e">
        <v>#N/A</v>
        <stp/>
        <stp>BDH|8649254008615339855</stp>
        <tr r="C65" s="13"/>
      </tp>
      <tp t="e">
        <v>#N/A</v>
        <stp/>
        <stp>BDH|1618151082418940750</stp>
        <tr r="J43" s="21"/>
      </tp>
      <tp t="e">
        <v>#N/A</v>
        <stp/>
        <stp>BDH|7395352729751372018</stp>
        <tr r="R24" s="13"/>
      </tp>
      <tp t="e">
        <v>#N/A</v>
        <stp/>
        <stp>BDH|2358356771687852622</stp>
        <tr r="I203" s="18"/>
      </tp>
      <tp t="e">
        <v>#N/A</v>
        <stp/>
        <stp>BDH|5674678572810939376</stp>
        <tr r="AA10" s="21"/>
      </tp>
      <tp t="e">
        <v>#N/A</v>
        <stp/>
        <stp>BDH|5894011682238598231</stp>
        <tr r="I23" s="2"/>
        <tr r="K19" s="21"/>
        <tr r="K23" s="3"/>
      </tp>
      <tp t="e">
        <v>#N/A</v>
        <stp/>
        <stp>BDH|4188896021411563819</stp>
        <tr r="U83" s="24"/>
      </tp>
      <tp t="e">
        <v>#N/A</v>
        <stp/>
        <stp>BDH|5747970470939404599</stp>
        <tr r="W63" s="12"/>
      </tp>
      <tp t="e">
        <v>#N/A</v>
        <stp/>
        <stp>BDH|6240536496475365894</stp>
        <tr r="F10" s="34"/>
      </tp>
      <tp t="e">
        <v>#N/A</v>
        <stp/>
        <stp>BDH|6452532647284822453</stp>
        <tr r="Q22" s="30"/>
        <tr r="Q24" s="23"/>
      </tp>
      <tp t="e">
        <v>#N/A</v>
        <stp/>
        <stp>BDH|8842002180713560400</stp>
        <tr r="Q7" s="23"/>
      </tp>
      <tp t="e">
        <v>#N/A</v>
        <stp/>
        <stp>BDH|3364034349483789338</stp>
        <tr r="U38" s="26"/>
      </tp>
      <tp t="e">
        <v>#N/A</v>
        <stp/>
        <stp>BDH|8070686726243552860</stp>
        <tr r="X22" s="34"/>
      </tp>
      <tp t="e">
        <v>#N/A</v>
        <stp/>
        <stp>BDH|3136405319607018657</stp>
        <tr r="U20" s="22"/>
      </tp>
      <tp t="e">
        <v>#N/A</v>
        <stp/>
        <stp>BDH|5721579149971349270</stp>
        <tr r="K43" s="17"/>
      </tp>
      <tp t="e">
        <v>#N/A</v>
        <stp/>
        <stp>BDH|2267335703381637795</stp>
        <tr r="L135" s="18"/>
      </tp>
      <tp t="e">
        <v>#N/A</v>
        <stp/>
        <stp>BDH|2016815698781584512</stp>
        <tr r="I60" s="21"/>
        <tr r="G53" s="11"/>
      </tp>
      <tp t="e">
        <v>#N/A</v>
        <stp/>
        <stp>BDH|9539614928808038215</stp>
        <tr r="C28" s="18"/>
      </tp>
      <tp t="e">
        <v>#N/A</v>
        <stp/>
        <stp>BDH|6445208307247608487</stp>
        <tr r="X68" s="18"/>
      </tp>
      <tp t="e">
        <v>#N/A</v>
        <stp/>
        <stp>BDH|8860670704860700916</stp>
        <tr r="H23" s="23"/>
      </tp>
      <tp t="e">
        <v>#N/A</v>
        <stp/>
        <stp>BDH|6208689010642242453</stp>
        <tr r="AA53" s="18"/>
      </tp>
      <tp t="e">
        <v>#N/A</v>
        <stp/>
        <stp>BDH|7891363326497435615</stp>
        <tr r="J50" s="4"/>
      </tp>
      <tp t="e">
        <v>#N/A</v>
        <stp/>
        <stp>BDH|5221994265838258513</stp>
        <tr r="O27" s="22"/>
      </tp>
      <tp t="e">
        <v>#N/A</v>
        <stp/>
        <stp>BDH|1155630207845054582</stp>
        <tr r="M14" s="11"/>
      </tp>
      <tp t="e">
        <v>#N/A</v>
        <stp/>
        <stp>BDH|3578609338498222922</stp>
        <tr r="G89" s="12"/>
      </tp>
      <tp t="e">
        <v>#N/A</v>
        <stp/>
        <stp>BDH|9571334669489353218</stp>
        <tr r="M52" s="13"/>
      </tp>
      <tp t="e">
        <v>#N/A</v>
        <stp/>
        <stp>BDH|6892423437686766070</stp>
        <tr r="S12" s="11"/>
      </tp>
      <tp t="e">
        <v>#N/A</v>
        <stp/>
        <stp>BDH|3748685120821700153</stp>
        <tr r="Y91" s="12"/>
      </tp>
      <tp t="e">
        <v>#N/A</v>
        <stp/>
        <stp>BDH|1225370675710586280</stp>
        <tr r="E64" s="24"/>
      </tp>
      <tp t="e">
        <v>#N/A</v>
        <stp/>
        <stp>BDH|3362040928653098524</stp>
        <tr r="N43" s="12"/>
      </tp>
      <tp t="e">
        <v>#N/A</v>
        <stp/>
        <stp>BDH|5754026789772396820</stp>
        <tr r="T74" s="17"/>
      </tp>
      <tp t="e">
        <v>#N/A</v>
        <stp/>
        <stp>BDH|4135788802502237640</stp>
        <tr r="Y22" s="27"/>
      </tp>
      <tp t="e">
        <v>#N/A</v>
        <stp/>
        <stp>BDH|4242531698019185651</stp>
        <tr r="V31" s="29"/>
      </tp>
      <tp t="e">
        <v>#N/A</v>
        <stp/>
        <stp>BDH|6902178613349051802</stp>
        <tr r="S24" s="13"/>
      </tp>
      <tp t="e">
        <v>#N/A</v>
        <stp/>
        <stp>BDH|5417836228370381810</stp>
        <tr r="U25" s="24"/>
      </tp>
      <tp t="e">
        <v>#N/A</v>
        <stp/>
        <stp>BDH|8018385894972244735</stp>
        <tr r="L55" s="21"/>
      </tp>
      <tp t="e">
        <v>#N/A</v>
        <stp/>
        <stp>BDH|1850477274090285546</stp>
        <tr r="T29" s="12"/>
      </tp>
      <tp t="e">
        <v>#N/A</v>
        <stp/>
        <stp>BDH|6299350333306835715</stp>
        <tr r="P153" s="18"/>
      </tp>
      <tp t="e">
        <v>#N/A</v>
        <stp/>
        <stp>BDH|4958250759934145094</stp>
        <tr r="H55" s="12"/>
      </tp>
      <tp t="e">
        <v>#N/A</v>
        <stp/>
        <stp>BDH|4514242408722286363</stp>
        <tr r="C30" s="6"/>
      </tp>
      <tp t="e">
        <v>#N/A</v>
        <stp/>
        <stp>BDH|6436139138137312415</stp>
        <tr r="I32" s="21"/>
      </tp>
      <tp t="e">
        <v>#N/A</v>
        <stp/>
        <stp>BDH|7679918848224721950</stp>
        <tr r="N73" s="17"/>
      </tp>
      <tp t="e">
        <v>#N/A</v>
        <stp/>
        <stp>BDH|5549688384179367574</stp>
        <tr r="G51" s="21"/>
      </tp>
      <tp t="e">
        <v>#N/A</v>
        <stp/>
        <stp>BDH|8200606960009693691</stp>
        <tr r="R67" s="17"/>
        <tr r="R18" s="3"/>
      </tp>
      <tp t="e">
        <v>#N/A</v>
        <stp/>
        <stp>BDH|1102312630447037124</stp>
        <tr r="I21" s="22"/>
      </tp>
      <tp t="e">
        <v>#N/A</v>
        <stp/>
        <stp>BDH|8655245060228845387</stp>
        <tr r="V127" s="18"/>
      </tp>
      <tp t="e">
        <v>#N/A</v>
        <stp/>
        <stp>BDH|4858431188398033715</stp>
        <tr r="Z18" s="20"/>
      </tp>
      <tp t="e">
        <v>#N/A</v>
        <stp/>
        <stp>BDH|1277470914725230612</stp>
        <tr r="L53" s="21"/>
      </tp>
      <tp t="e">
        <v>#N/A</v>
        <stp/>
        <stp>BDH|3911184455302568231</stp>
        <tr r="R36" s="21"/>
      </tp>
      <tp t="e">
        <v>#N/A</v>
        <stp/>
        <stp>BDH|4498259366847398061</stp>
        <tr r="L60" s="12"/>
      </tp>
      <tp t="e">
        <v>#N/A</v>
        <stp/>
        <stp>BDH|4764435445482208117</stp>
        <tr r="R69" s="12"/>
      </tp>
      <tp t="e">
        <v>#N/A</v>
        <stp/>
        <stp>BDH|8626882353251901362</stp>
        <tr r="X28" s="27"/>
      </tp>
      <tp t="e">
        <v>#N/A</v>
        <stp/>
        <stp>BDH|3717973831226794849</stp>
        <tr r="P70" s="17"/>
      </tp>
      <tp t="e">
        <v>#N/A</v>
        <stp/>
        <stp>BDH|3178522850497612370</stp>
        <tr r="W9" s="18"/>
      </tp>
      <tp t="e">
        <v>#N/A</v>
        <stp/>
        <stp>BDH|5085380489790089934</stp>
        <tr r="S86" s="24"/>
      </tp>
      <tp t="e">
        <v>#N/A</v>
        <stp/>
        <stp>BDH|9696810749222492081</stp>
        <tr r="I77" s="12"/>
      </tp>
      <tp t="e">
        <v>#N/A</v>
        <stp/>
        <stp>BDH|1887526919263884197</stp>
        <tr r="R196" s="18"/>
      </tp>
      <tp t="e">
        <v>#N/A</v>
        <stp/>
        <stp>BDH|7135302615531318356</stp>
        <tr r="Y157" s="18"/>
      </tp>
      <tp t="e">
        <v>#N/A</v>
        <stp/>
        <stp>BDH|1233409911915450655</stp>
        <tr r="X39" s="17"/>
      </tp>
      <tp t="e">
        <v>#N/A</v>
        <stp/>
        <stp>BDH|2613115976593473074</stp>
        <tr r="W47" s="21"/>
      </tp>
      <tp t="e">
        <v>#N/A</v>
        <stp/>
        <stp>BDH|6956344566176928206</stp>
        <tr r="K24" s="4"/>
        <tr r="K55" s="11"/>
      </tp>
      <tp t="e">
        <v>#N/A</v>
        <stp/>
        <stp>BDH|9461671256548249552</stp>
        <tr r="F38" s="24"/>
      </tp>
      <tp t="e">
        <v>#N/A</v>
        <stp/>
        <stp>BDH|5054976204243507846</stp>
        <tr r="Y201" s="18"/>
      </tp>
      <tp t="e">
        <v>#N/A</v>
        <stp/>
        <stp>BDH|2349375566587928791</stp>
        <tr r="M94" s="12"/>
      </tp>
      <tp t="e">
        <v>#N/A</v>
        <stp/>
        <stp>BDH|1637186949346051554</stp>
        <tr r="T12" s="18"/>
      </tp>
      <tp t="e">
        <v>#N/A</v>
        <stp/>
        <stp>BDH|8869886380276218905</stp>
        <tr r="U20" s="9"/>
      </tp>
      <tp t="e">
        <v>#N/A</v>
        <stp/>
        <stp>BDH|3425077251405911496</stp>
        <tr r="P99" s="18"/>
      </tp>
      <tp t="e">
        <v>#N/A</v>
        <stp/>
        <stp>BDH|1987554528042436329</stp>
        <tr r="X72" s="17"/>
      </tp>
      <tp t="e">
        <v>#N/A</v>
        <stp/>
        <stp>BDH|3633551608552978306</stp>
        <tr r="U48" s="12"/>
      </tp>
      <tp t="e">
        <v>#N/A</v>
        <stp/>
        <stp>BDH|3982425919346015709</stp>
        <tr r="I20" s="26"/>
      </tp>
      <tp t="e">
        <v>#N/A</v>
        <stp/>
        <stp>BDH|7486873602188792045</stp>
        <tr r="O14" s="29"/>
        <tr r="O23" s="29"/>
        <tr r="O37" s="29"/>
      </tp>
      <tp t="e">
        <v>#N/A</v>
        <stp/>
        <stp>BDH|1412466670685047003</stp>
        <tr r="L66" s="12"/>
      </tp>
      <tp t="e">
        <v>#N/A</v>
        <stp/>
        <stp>BDH|4047408049773864034</stp>
        <tr r="R64" s="34"/>
      </tp>
      <tp t="e">
        <v>#N/A</v>
        <stp/>
        <stp>BDH|4353439660579317811</stp>
        <tr r="W57" s="12"/>
      </tp>
      <tp t="e">
        <v>#N/A</v>
        <stp/>
        <stp>BDH|9214417292607307409</stp>
        <tr r="J80" s="34"/>
      </tp>
      <tp t="e">
        <v>#N/A</v>
        <stp/>
        <stp>BDH|3233442027445093734</stp>
        <tr r="R7" s="2"/>
        <tr r="Q7" s="5"/>
        <tr r="Q7" s="9"/>
        <tr r="T14" s="3"/>
      </tp>
      <tp t="e">
        <v>#N/A</v>
        <stp/>
        <stp>BDH|2611018729742977551</stp>
        <tr r="N73" s="13"/>
      </tp>
      <tp t="e">
        <v>#N/A</v>
        <stp/>
        <stp>BDH|7516169480349450056</stp>
        <tr r="M156" s="18"/>
      </tp>
      <tp t="e">
        <v>#N/A</v>
        <stp/>
        <stp>BDH|9390914644561489208</stp>
        <tr r="U10" s="11"/>
      </tp>
      <tp t="e">
        <v>#N/A</v>
        <stp/>
        <stp>BDH|1087062360062606221</stp>
        <tr r="H62" s="24"/>
      </tp>
      <tp t="e">
        <v>#N/A</v>
        <stp/>
        <stp>BDH|4097713281988218409</stp>
        <tr r="G143" s="18"/>
      </tp>
      <tp t="e">
        <v>#N/A</v>
        <stp/>
        <stp>BDH|9943727708891391828</stp>
        <tr r="K24" s="10"/>
      </tp>
      <tp t="e">
        <v>#N/A</v>
        <stp/>
        <stp>BDH|3323549453492251640</stp>
        <tr r="H77" s="12"/>
      </tp>
      <tp t="e">
        <v>#N/A</v>
        <stp/>
        <stp>BDH|1890180833645327127</stp>
        <tr r="R121" s="18"/>
        <tr r="R9" s="20"/>
      </tp>
      <tp t="e">
        <v>#N/A</v>
        <stp/>
        <stp>BDH|1894460769330414416</stp>
        <tr r="P18" s="20"/>
      </tp>
      <tp t="e">
        <v>#N/A</v>
        <stp/>
        <stp>BDH|8083666080140603122</stp>
        <tr r="Y9" s="11"/>
      </tp>
      <tp t="e">
        <v>#N/A</v>
        <stp/>
        <stp>BDH|4286473751372435026</stp>
        <tr r="U19" s="6"/>
      </tp>
      <tp t="e">
        <v>#N/A</v>
        <stp/>
        <stp>BDH|3980093161556238410</stp>
        <tr r="C24" s="17"/>
      </tp>
      <tp t="e">
        <v>#N/A</v>
        <stp/>
        <stp>BDH|8608556507833243947</stp>
        <tr r="O35" s="24"/>
      </tp>
      <tp t="e">
        <v>#N/A</v>
        <stp/>
        <stp>BDH|6721137838917632482</stp>
        <tr r="I98" s="18"/>
      </tp>
      <tp t="e">
        <v>#N/A</v>
        <stp/>
        <stp>BDH|8096292798696233213</stp>
        <tr r="O18" s="12"/>
      </tp>
      <tp t="e">
        <v>#N/A</v>
        <stp/>
        <stp>BDH|7666063242572995695</stp>
        <tr r="AA49" s="18"/>
      </tp>
      <tp t="e">
        <v>#N/A</v>
        <stp/>
        <stp>BDH|2716700050690495712</stp>
        <tr r="K22" s="4"/>
      </tp>
      <tp t="e">
        <v>#N/A</v>
        <stp/>
        <stp>BDH|8050945321823379740</stp>
        <tr r="Q10" s="17"/>
      </tp>
      <tp t="e">
        <v>#N/A</v>
        <stp/>
        <stp>BDH|4641121871824420130</stp>
        <tr r="Y59" s="18"/>
      </tp>
      <tp t="e">
        <v>#N/A</v>
        <stp/>
        <stp>BDH|5333348819470537093</stp>
        <tr r="S16" s="11"/>
      </tp>
      <tp t="e">
        <v>#N/A</v>
        <stp/>
        <stp>BDH|3544153461440397304</stp>
        <tr r="G102" s="12"/>
      </tp>
      <tp t="e">
        <v>#N/A</v>
        <stp/>
        <stp>BDH|7543103952933190749</stp>
        <tr r="G19" s="24"/>
      </tp>
      <tp t="e">
        <v>#N/A</v>
        <stp/>
        <stp>BDH|5101762837565779341</stp>
        <tr r="P54" s="18"/>
      </tp>
      <tp t="e">
        <v>#N/A</v>
        <stp/>
        <stp>BDH|7714770652766625475</stp>
        <tr r="F50" s="12"/>
      </tp>
      <tp t="e">
        <v>#N/A</v>
        <stp/>
        <stp>BDH|2770981289384418015</stp>
        <tr r="X21" s="30"/>
      </tp>
      <tp t="e">
        <v>#N/A</v>
        <stp/>
        <stp>BDH|4611427129716808360</stp>
        <tr r="V52" s="24"/>
      </tp>
      <tp t="e">
        <v>#N/A</v>
        <stp/>
        <stp>BDH|6428239028900871144</stp>
        <tr r="U9" s="17"/>
      </tp>
      <tp t="e">
        <v>#N/A</v>
        <stp/>
        <stp>BDH|7598738704243631471</stp>
        <tr r="E90" s="17"/>
        <tr r="E34" s="25"/>
      </tp>
      <tp t="e">
        <v>#N/A</v>
        <stp/>
        <stp>BDH|2605142276566535524</stp>
        <tr r="I20" s="18"/>
      </tp>
      <tp t="e">
        <v>#N/A</v>
        <stp/>
        <stp>BDH|9967314871713374992</stp>
        <tr r="N15" s="5"/>
      </tp>
      <tp t="e">
        <v>#N/A</v>
        <stp/>
        <stp>BDH|8202401094004469617</stp>
        <tr r="N165" s="18"/>
      </tp>
      <tp t="e">
        <v>#N/A</v>
        <stp/>
        <stp>BDH|9730670400490128826</stp>
        <tr r="K88" s="24"/>
      </tp>
      <tp t="e">
        <v>#N/A</v>
        <stp/>
        <stp>BDH|4406351445760162463</stp>
        <tr r="R37" s="18"/>
      </tp>
      <tp t="e">
        <v>#N/A</v>
        <stp/>
        <stp>BDH|2622452491518850093</stp>
        <tr r="C98" s="18"/>
      </tp>
      <tp t="e">
        <v>#N/A</v>
        <stp/>
        <stp>BDH|3941852827436897808</stp>
        <tr r="P35" s="14"/>
      </tp>
      <tp t="e">
        <v>#N/A</v>
        <stp/>
        <stp>BDH|5668667452148310923</stp>
        <tr r="K54" s="11"/>
      </tp>
      <tp t="e">
        <v>#N/A</v>
        <stp/>
        <stp>BDH|1306550777495252103</stp>
        <tr r="G25" s="3"/>
      </tp>
      <tp t="e">
        <v>#N/A</v>
        <stp/>
        <stp>BDH|5894288342290115400</stp>
        <tr r="F23" s="20"/>
      </tp>
      <tp t="e">
        <v>#N/A</v>
        <stp/>
        <stp>BDH|9860669638129526209</stp>
        <tr r="F32" s="10"/>
        <tr r="H41" s="13"/>
      </tp>
      <tp t="e">
        <v>#N/A</v>
        <stp/>
        <stp>BDH|8917819847024581795</stp>
        <tr r="V20" s="26"/>
      </tp>
      <tp t="e">
        <v>#N/A</v>
        <stp/>
        <stp>BDH|8034093672671132991</stp>
        <tr r="S64" s="17"/>
      </tp>
      <tp t="e">
        <v>#N/A</v>
        <stp/>
        <stp>BDH|5637280133503874065</stp>
        <tr r="S177" s="18"/>
      </tp>
      <tp t="e">
        <v>#N/A</v>
        <stp/>
        <stp>BDH|5654427000341520724</stp>
        <tr r="R23" s="5"/>
        <tr r="R23" s="9"/>
      </tp>
      <tp t="e">
        <v>#N/A</v>
        <stp/>
        <stp>BDH|6162339307844436623</stp>
        <tr r="F11" s="24"/>
      </tp>
      <tp t="e">
        <v>#N/A</v>
        <stp/>
        <stp>BDH|8062331151360466954</stp>
        <tr r="U7" s="8"/>
      </tp>
      <tp t="e">
        <v>#N/A</v>
        <stp/>
        <stp>BDH|6512355913501420245</stp>
        <tr r="Y35" s="10"/>
        <tr r="Y25" s="11"/>
      </tp>
      <tp t="e">
        <v>#N/A</v>
        <stp/>
        <stp>BDH|3015894158881777853</stp>
        <tr r="R25" s="22"/>
      </tp>
      <tp t="e">
        <v>#N/A</v>
        <stp/>
        <stp>BDH|6942102942353148799</stp>
        <tr r="P88" s="12"/>
      </tp>
      <tp t="e">
        <v>#N/A</v>
        <stp/>
        <stp>BDH|1682118300010497701</stp>
        <tr r="K15" s="14"/>
      </tp>
      <tp t="e">
        <v>#N/A</v>
        <stp/>
        <stp>BDH|5428244345981400524</stp>
        <tr r="Q59" s="24"/>
      </tp>
      <tp t="e">
        <v>#N/A</v>
        <stp/>
        <stp>BDH|5964841515392861939</stp>
        <tr r="K24" s="6"/>
      </tp>
      <tp t="e">
        <v>#N/A</v>
        <stp/>
        <stp>BDH|3176061800235788136</stp>
        <tr r="W175" s="18"/>
      </tp>
      <tp t="e">
        <v>#N/A</v>
        <stp/>
        <stp>BDH|2817266628286561309</stp>
        <tr r="Q21" s="5"/>
      </tp>
      <tp t="e">
        <v>#N/A</v>
        <stp/>
        <stp>BDH|7366771840021286252</stp>
        <tr r="R37" s="12"/>
      </tp>
      <tp t="e">
        <v>#N/A</v>
        <stp/>
        <stp>BDH|3674890012684647988</stp>
        <tr r="O28" s="17"/>
      </tp>
      <tp t="e">
        <v>#N/A</v>
        <stp/>
        <stp>BDH|5280855243056727803</stp>
        <tr r="D52" s="18"/>
      </tp>
      <tp t="e">
        <v>#N/A</v>
        <stp/>
        <stp>BDH|2460909308799809574</stp>
        <tr r="W26" s="27"/>
      </tp>
      <tp t="e">
        <v>#N/A</v>
        <stp/>
        <stp>BDH|9443394909539013478</stp>
        <tr r="C165" s="18"/>
      </tp>
      <tp t="e">
        <v>#N/A</v>
        <stp/>
        <stp>BDH|1657997519667635938</stp>
        <tr r="N97" s="18"/>
      </tp>
      <tp t="e">
        <v>#N/A</v>
        <stp/>
        <stp>BDH|4041330932843061025</stp>
        <tr r="O13" s="30"/>
      </tp>
      <tp t="e">
        <v>#N/A</v>
        <stp/>
        <stp>BDH|4161035622954068533</stp>
        <tr r="X121" s="18"/>
        <tr r="X9" s="20"/>
      </tp>
      <tp t="e">
        <v>#N/A</v>
        <stp/>
        <stp>BDH|4535619568773911062</stp>
        <tr r="AA96" s="18"/>
      </tp>
      <tp t="e">
        <v>#N/A</v>
        <stp/>
        <stp>BDH|2673478384930684900</stp>
        <tr r="U78" s="24"/>
      </tp>
      <tp t="e">
        <v>#N/A</v>
        <stp/>
        <stp>BDH|5014769594265116905</stp>
        <tr r="AA11" s="28"/>
      </tp>
      <tp t="e">
        <v>#N/A</v>
        <stp/>
        <stp>BDH|2346645380319730200</stp>
        <tr r="W16" s="34"/>
      </tp>
      <tp t="e">
        <v>#N/A</v>
        <stp/>
        <stp>BDH|5165692702225973130</stp>
        <tr r="G16" s="11"/>
      </tp>
      <tp t="e">
        <v>#N/A</v>
        <stp/>
        <stp>BDH|1263460426332238207</stp>
        <tr r="O25" s="17"/>
      </tp>
      <tp t="e">
        <v>#N/A</v>
        <stp/>
        <stp>BDH|1337555143717718021</stp>
        <tr r="E90" s="12"/>
      </tp>
      <tp t="e">
        <v>#N/A</v>
        <stp/>
        <stp>BDH|6704497403632495798</stp>
        <tr r="H96" s="18"/>
      </tp>
      <tp t="e">
        <v>#N/A</v>
        <stp/>
        <stp>BDH|2125702006654227654</stp>
        <tr r="R54" s="17"/>
      </tp>
      <tp t="e">
        <v>#N/A</v>
        <stp/>
        <stp>BDH|1831345458721386179</stp>
        <tr r="E8" s="2"/>
      </tp>
      <tp t="e">
        <v>#N/A</v>
        <stp/>
        <stp>BDH|5752352062606850184</stp>
        <tr r="Q12" s="7"/>
      </tp>
      <tp t="e">
        <v>#N/A</v>
        <stp/>
        <stp>BDH|9506375892544028002</stp>
        <tr r="L52" s="24"/>
      </tp>
      <tp t="e">
        <v>#N/A</v>
        <stp/>
        <stp>BDH|8771832008463414480</stp>
        <tr r="W17" s="24"/>
      </tp>
      <tp t="e">
        <v>#N/A</v>
        <stp/>
        <stp>BDH|5500062761577628345</stp>
        <tr r="W43" s="12"/>
      </tp>
      <tp t="e">
        <v>#N/A</v>
        <stp/>
        <stp>BDH|8784173727435784904</stp>
        <tr r="R38" s="4"/>
        <tr r="R56" s="11"/>
        <tr r="T13" s="23"/>
      </tp>
      <tp t="e">
        <v>#N/A</v>
        <stp/>
        <stp>BDH|4329655167186153500</stp>
        <tr r="R9" s="30"/>
      </tp>
      <tp t="e">
        <v>#N/A</v>
        <stp/>
        <stp>BDH|1012575007557838481</stp>
        <tr r="AA75" s="24"/>
      </tp>
      <tp t="e">
        <v>#N/A</v>
        <stp/>
        <stp>BDH|9474222521766448833</stp>
        <tr r="G55" s="12"/>
      </tp>
      <tp t="e">
        <v>#N/A</v>
        <stp/>
        <stp>BDH|6791407944887470675</stp>
        <tr r="H22" s="30"/>
        <tr r="H24" s="23"/>
      </tp>
      <tp t="e">
        <v>#N/A</v>
        <stp/>
        <stp>BDH|8117815835220715423</stp>
        <tr r="C35" s="21"/>
      </tp>
      <tp t="e">
        <v>#N/A</v>
        <stp/>
        <stp>BDH|3321084418072412770</stp>
        <tr r="L49" s="6"/>
        <tr r="N10" s="8"/>
      </tp>
      <tp t="e">
        <v>#N/A</v>
        <stp/>
        <stp>BDH|5467146010545960794</stp>
        <tr r="H9" s="23"/>
      </tp>
      <tp t="e">
        <v>#N/A</v>
        <stp/>
        <stp>BDH|1790318231467013172</stp>
        <tr r="U179" s="18"/>
      </tp>
      <tp t="e">
        <v>#N/A</v>
        <stp/>
        <stp>BDH|3624014207183186719</stp>
        <tr r="X95" s="17"/>
      </tp>
      <tp t="e">
        <v>#N/A</v>
        <stp/>
        <stp>BDH|6139312714441432200</stp>
        <tr r="L45" s="24"/>
      </tp>
      <tp t="e">
        <v>#N/A</v>
        <stp/>
        <stp>BDH|9086900088559828609</stp>
        <tr r="C12" s="14"/>
      </tp>
      <tp t="e">
        <v>#N/A</v>
        <stp/>
        <stp>BDH|5460448079980177189</stp>
        <tr r="K29" s="4"/>
      </tp>
      <tp t="e">
        <v>#N/A</v>
        <stp/>
        <stp>BDH|9908883877043795212</stp>
        <tr r="G57" s="10"/>
        <tr r="G47" s="11"/>
        <tr r="G18" s="7"/>
        <tr r="I64" s="13"/>
      </tp>
      <tp t="e">
        <v>#N/A</v>
        <stp/>
        <stp>BDH|2044397273264228588</stp>
        <tr r="E88" s="17"/>
      </tp>
      <tp t="e">
        <v>#N/A</v>
        <stp/>
        <stp>BDH|6649469796698791418</stp>
        <tr r="M22" s="7"/>
      </tp>
      <tp t="e">
        <v>#N/A</v>
        <stp/>
        <stp>BDH|7204134604222397365</stp>
        <tr r="K207" s="18"/>
      </tp>
      <tp t="e">
        <v>#N/A</v>
        <stp/>
        <stp>BDH|1285211449811221189</stp>
        <tr r="X68" s="17"/>
        <tr r="U8" s="5"/>
        <tr r="U8" s="9"/>
      </tp>
      <tp t="e">
        <v>#N/A</v>
        <stp/>
        <stp>BDH|8842826510935259384</stp>
        <tr r="J76" s="34"/>
      </tp>
      <tp t="e">
        <v>#N/A</v>
        <stp/>
        <stp>BDH|4672026338156542699</stp>
        <tr r="D50" s="4"/>
      </tp>
      <tp t="e">
        <v>#N/A</v>
        <stp/>
        <stp>BDH|2360114753215246439</stp>
        <tr r="R29" s="12"/>
      </tp>
      <tp t="e">
        <v>#N/A</v>
        <stp/>
        <stp>BDH|5798143664594007172</stp>
        <tr r="E27" s="26"/>
      </tp>
      <tp t="e">
        <v>#N/A</v>
        <stp/>
        <stp>BDH|2075021019690291494</stp>
        <tr r="T116" s="18"/>
      </tp>
      <tp t="e">
        <v>#N/A</v>
        <stp/>
        <stp>BDH|9996043897760285788</stp>
        <tr r="Z26" s="13"/>
      </tp>
      <tp t="e">
        <v>#N/A</v>
        <stp/>
        <stp>BDH|3163790675836960244</stp>
        <tr r="V26" s="26"/>
      </tp>
      <tp t="e">
        <v>#N/A</v>
        <stp/>
        <stp>BDH|5937181215132370078</stp>
        <tr r="M208" s="18"/>
      </tp>
      <tp t="e">
        <v>#N/A</v>
        <stp/>
        <stp>BDH|1164739144164064164</stp>
        <tr r="L35" s="24"/>
      </tp>
      <tp t="e">
        <v>#N/A</v>
        <stp/>
        <stp>BDH|6511433146364491544</stp>
        <tr r="Q14" s="34"/>
      </tp>
      <tp t="e">
        <v>#N/A</v>
        <stp/>
        <stp>BDH|2551166647807103754</stp>
        <tr r="P59" s="11"/>
      </tp>
      <tp t="e">
        <v>#N/A</v>
        <stp/>
        <stp>BDH|9770346488315953028</stp>
        <tr r="N12" s="25"/>
      </tp>
      <tp t="e">
        <v>#N/A</v>
        <stp/>
        <stp>BDH|5431661191604289913</stp>
        <tr r="I63" s="17"/>
      </tp>
      <tp t="e">
        <v>#N/A</v>
        <stp/>
        <stp>BDH|8721233148529439088</stp>
        <tr r="E30" s="17"/>
      </tp>
      <tp t="e">
        <v>#N/A</v>
        <stp/>
        <stp>BDH|5147756972881422326</stp>
        <tr r="C93" s="18"/>
      </tp>
      <tp t="e">
        <v>#N/A</v>
        <stp/>
        <stp>BDH|9981297010479462443</stp>
        <tr r="S29" s="29"/>
        <tr r="S7" s="29"/>
      </tp>
      <tp t="e">
        <v>#N/A</v>
        <stp/>
        <stp>BDH|2442411633525796717</stp>
        <tr r="N17" s="21"/>
      </tp>
      <tp t="e">
        <v>#N/A</v>
        <stp/>
        <stp>BDH|6946585866803430134</stp>
        <tr r="J9" s="2"/>
        <tr r="L8" s="25"/>
        <tr r="I10" s="5"/>
      </tp>
      <tp t="e">
        <v>#N/A</v>
        <stp/>
        <stp>BDH|6400411172574741611</stp>
        <tr r="Z81" s="18"/>
      </tp>
      <tp t="e">
        <v>#N/A</v>
        <stp/>
        <stp>BDH|2751186131684768382</stp>
        <tr r="L21" s="22"/>
      </tp>
      <tp t="e">
        <v>#N/A</v>
        <stp/>
        <stp>BDH|3716976817205743910</stp>
        <tr r="I80" s="18"/>
      </tp>
      <tp t="e">
        <v>#N/A</v>
        <stp/>
        <stp>BDH|3263351391466518823</stp>
        <tr r="V136" s="18"/>
      </tp>
      <tp t="e">
        <v>#N/A</v>
        <stp/>
        <stp>BDH|3744220175299873890</stp>
        <tr r="M20" s="2"/>
        <tr r="M18" s="4"/>
        <tr r="M58" s="10"/>
        <tr r="M48" s="11"/>
        <tr r="M19" s="7"/>
        <tr r="O74" s="13"/>
      </tp>
      <tp t="e">
        <v>#N/A</v>
        <stp/>
        <stp>BDH|6566563367006733426</stp>
        <tr r="U13" s="22"/>
      </tp>
      <tp t="e">
        <v>#N/A</v>
        <stp/>
        <stp>BDH|3688457406935234565</stp>
        <tr r="K17" s="20"/>
      </tp>
      <tp t="e">
        <v>#N/A</v>
        <stp/>
        <stp>BDH|3933508731242924008</stp>
        <tr r="O39" s="22"/>
      </tp>
      <tp t="e">
        <v>#N/A</v>
        <stp/>
        <stp>BDH|6030205436493275356</stp>
        <tr r="L44" s="34"/>
      </tp>
      <tp t="e">
        <v>#N/A</v>
        <stp/>
        <stp>BDH|4444895562434778991</stp>
        <tr r="R13" s="8"/>
      </tp>
      <tp t="e">
        <v>#N/A</v>
        <stp/>
        <stp>BDH|6792099887950824908</stp>
        <tr r="X105" s="18"/>
      </tp>
      <tp t="e">
        <v>#N/A</v>
        <stp/>
        <stp>BDH|2362924996545348051</stp>
        <tr r="F143" s="18"/>
      </tp>
      <tp t="e">
        <v>#N/A</v>
        <stp/>
        <stp>BDH|2235593438910780353</stp>
        <tr r="F100" s="18"/>
      </tp>
      <tp t="e">
        <v>#N/A</v>
        <stp/>
        <stp>BDH|5283445617762793571</stp>
        <tr r="Y159" s="18"/>
      </tp>
      <tp t="e">
        <v>#N/A</v>
        <stp/>
        <stp>BDH|9659001195706257104</stp>
        <tr r="V68" s="17"/>
        <tr r="S8" s="5"/>
        <tr r="S8" s="9"/>
      </tp>
      <tp t="e">
        <v>#N/A</v>
        <stp/>
        <stp>BDH|8707665787881372048</stp>
        <tr r="F26" s="25"/>
        <tr r="F12" s="27"/>
      </tp>
      <tp t="e">
        <v>#N/A</v>
        <stp/>
        <stp>BDH|4671008216304493650</stp>
        <tr r="O38" s="34"/>
      </tp>
      <tp t="e">
        <v>#N/A</v>
        <stp/>
        <stp>BDH|7325243123037537707</stp>
        <tr r="P197" s="18"/>
      </tp>
      <tp t="e">
        <v>#N/A</v>
        <stp/>
        <stp>BDH|7025520706673266677</stp>
        <tr r="X25" s="17"/>
      </tp>
      <tp t="e">
        <v>#N/A</v>
        <stp/>
        <stp>BDH|9598856767176390652</stp>
        <tr r="F148" s="18"/>
      </tp>
      <tp t="e">
        <v>#N/A</v>
        <stp/>
        <stp>BDH|3530354751205152714</stp>
        <tr r="U210" s="18"/>
      </tp>
      <tp t="e">
        <v>#N/A</v>
        <stp/>
        <stp>BDH|3992255371517496684</stp>
        <tr r="X25" s="3"/>
      </tp>
      <tp t="e">
        <v>#N/A</v>
        <stp/>
        <stp>BDH|1841471258707601006</stp>
        <tr r="I61" s="17"/>
      </tp>
      <tp t="e">
        <v>#N/A</v>
        <stp/>
        <stp>BDH|7634540352652611270</stp>
        <tr r="N20" s="5"/>
      </tp>
      <tp t="e">
        <v>#N/A</v>
        <stp/>
        <stp>BDH|4818740205746887209</stp>
        <tr r="W66" s="13"/>
      </tp>
      <tp t="e">
        <v>#N/A</v>
        <stp/>
        <stp>BDH|8072609827223631809</stp>
        <tr r="R83" s="12"/>
      </tp>
      <tp t="e">
        <v>#N/A</v>
        <stp/>
        <stp>BDH|8668879203187612056</stp>
        <tr r="E16" s="10"/>
      </tp>
      <tp t="e">
        <v>#N/A</v>
        <stp/>
        <stp>BDH|6903305338366178718</stp>
        <tr r="F70" s="12"/>
      </tp>
      <tp t="e">
        <v>#N/A</v>
        <stp/>
        <stp>BDH|2707875775379788337</stp>
        <tr r="Y77" s="12"/>
      </tp>
      <tp t="e">
        <v>#N/A</v>
        <stp/>
        <stp>BDH|2129170631140430729</stp>
        <tr r="E18" s="2"/>
        <tr r="E53" s="4"/>
        <tr r="E46" s="10"/>
        <tr r="E36" s="11"/>
        <tr r="G58" s="13"/>
      </tp>
      <tp t="e">
        <v>#N/A</v>
        <stp/>
        <stp>BDH|1298747194581670954</stp>
        <tr r="S162" s="18"/>
      </tp>
      <tp t="e">
        <v>#N/A</v>
        <stp/>
        <stp>BDH|6760720635680991581</stp>
        <tr r="L18" s="20"/>
      </tp>
      <tp t="e">
        <v>#N/A</v>
        <stp/>
        <stp>BDH|4282268417103233309</stp>
        <tr r="H11" s="22"/>
      </tp>
      <tp t="e">
        <v>#N/A</v>
        <stp/>
        <stp>BDH|5434152555737394164</stp>
        <tr r="G165" s="18"/>
      </tp>
      <tp t="e">
        <v>#N/A</v>
        <stp/>
        <stp>BDH|2445608918052875050</stp>
        <tr r="K87" s="18"/>
      </tp>
      <tp t="e">
        <v>#N/A</v>
        <stp/>
        <stp>BDH|4625398011190948165</stp>
        <tr r="U9" s="29"/>
      </tp>
      <tp t="e">
        <v>#N/A</v>
        <stp/>
        <stp>BDH|3654943593241663568</stp>
        <tr r="Q47" s="6"/>
        <tr r="S6" s="8"/>
      </tp>
      <tp t="e">
        <v>#N/A</v>
        <stp/>
        <stp>BDH|7755647633857530243</stp>
        <tr r="Z14" s="28"/>
      </tp>
      <tp t="e">
        <v>#N/A</v>
        <stp/>
        <stp>BDH|8569787993406670798</stp>
        <tr r="F34" s="6"/>
      </tp>
      <tp t="e">
        <v>#N/A</v>
        <stp/>
        <stp>BDH|5667141015704534639</stp>
        <tr r="O63" s="24"/>
      </tp>
      <tp t="e">
        <v>#N/A</v>
        <stp/>
        <stp>BDH|6928816186516990765</stp>
        <tr r="W27" s="34"/>
      </tp>
      <tp t="e">
        <v>#N/A</v>
        <stp/>
        <stp>BDH|1850881368770094896</stp>
        <tr r="Z52" s="18"/>
      </tp>
      <tp t="e">
        <v>#N/A</v>
        <stp/>
        <stp>BDH|6575614284817646873</stp>
        <tr r="C48" s="24"/>
      </tp>
      <tp t="e">
        <v>#N/A</v>
        <stp/>
        <stp>BDH|3332313931734699042</stp>
        <tr r="U13" s="8"/>
      </tp>
      <tp t="e">
        <v>#N/A</v>
        <stp/>
        <stp>BDH|1568980322479781496</stp>
        <tr r="V84" s="24"/>
      </tp>
      <tp t="e">
        <v>#N/A</v>
        <stp/>
        <stp>BDH|6500910194642201339</stp>
        <tr r="N65" s="24"/>
      </tp>
      <tp t="e">
        <v>#N/A</v>
        <stp/>
        <stp>BDH|3732338915783023501</stp>
        <tr r="M11" s="7"/>
      </tp>
      <tp t="e">
        <v>#N/A</v>
        <stp/>
        <stp>BDH|9649878783357538963</stp>
        <tr r="P59" s="21"/>
        <tr r="P37" s="25"/>
        <tr r="N31" s="4"/>
        <tr r="N52" s="11"/>
      </tp>
      <tp t="e">
        <v>#N/A</v>
        <stp/>
        <stp>BDH|4551908297282485178</stp>
        <tr r="W31" s="21"/>
      </tp>
      <tp t="e">
        <v>#N/A</v>
        <stp/>
        <stp>BDH|6424059336635746717</stp>
        <tr r="T177" s="18"/>
      </tp>
      <tp t="e">
        <v>#N/A</v>
        <stp/>
        <stp>BDH|7138848618448415180</stp>
        <tr r="Q32" s="17"/>
      </tp>
      <tp t="e">
        <v>#N/A</v>
        <stp/>
        <stp>BDH|1434268775035308655</stp>
        <tr r="X14" s="28"/>
      </tp>
      <tp t="e">
        <v>#N/A</v>
        <stp/>
        <stp>BDH|4287559022301002533</stp>
        <tr r="J20" s="9"/>
      </tp>
      <tp t="e">
        <v>#N/A</v>
        <stp/>
        <stp>BDH|1102016047752501040</stp>
        <tr r="D18" s="11"/>
      </tp>
      <tp t="e">
        <v>#N/A</v>
        <stp/>
        <stp>BDH|3575322930092715665</stp>
        <tr r="O22" s="20"/>
      </tp>
      <tp t="e">
        <v>#N/A</v>
        <stp/>
        <stp>BDH|5037156551785426361</stp>
        <tr r="P26" s="21"/>
      </tp>
      <tp t="e">
        <v>#N/A</v>
        <stp/>
        <stp>BDH|4044569100325268329</stp>
        <tr r="J15" s="17"/>
        <tr r="J18" s="28"/>
      </tp>
      <tp t="e">
        <v>#N/A</v>
        <stp/>
        <stp>BDH|4143445345106404520</stp>
        <tr r="G11" s="29"/>
      </tp>
      <tp t="e">
        <v>#N/A</v>
        <stp/>
        <stp>BDH|5157342026220121347</stp>
        <tr r="G12" s="10"/>
      </tp>
      <tp t="e">
        <v>#N/A</v>
        <stp/>
        <stp>BDH|8828281866159802282</stp>
        <tr r="C33" s="5"/>
      </tp>
      <tp t="e">
        <v>#N/A</v>
        <stp/>
        <stp>BDH|6753352211173757023</stp>
        <tr r="Y188" s="18"/>
      </tp>
      <tp t="e">
        <v>#N/A</v>
        <stp/>
        <stp>BDH|2546170776724185738</stp>
        <tr r="G27" s="17"/>
      </tp>
      <tp t="e">
        <v>#N/A</v>
        <stp/>
        <stp>BDH|7018872544728619436</stp>
        <tr r="O53" s="13"/>
      </tp>
      <tp t="e">
        <v>#N/A</v>
        <stp/>
        <stp>BDH|2301269246937412412</stp>
        <tr r="U19" s="10"/>
      </tp>
      <tp t="e">
        <v>#N/A</v>
        <stp/>
        <stp>BDH|3603581547056752386</stp>
        <tr r="Y15" s="22"/>
      </tp>
      <tp t="e">
        <v>#N/A</v>
        <stp/>
        <stp>BDH|2345337122083320773</stp>
        <tr r="X170" s="18"/>
      </tp>
      <tp t="e">
        <v>#N/A</v>
        <stp/>
        <stp>BDH|4270893071695903950</stp>
        <tr r="C35" s="34"/>
      </tp>
      <tp t="e">
        <v>#N/A</v>
        <stp/>
        <stp>BDH|1766985903838299787</stp>
        <tr r="D35" s="25"/>
      </tp>
      <tp t="e">
        <v>#N/A</v>
        <stp/>
        <stp>BDH|7410020256612722710</stp>
        <tr r="V44" s="34"/>
      </tp>
      <tp t="e">
        <v>#N/A</v>
        <stp/>
        <stp>BDH|1216325257594825496</stp>
        <tr r="P142" s="18"/>
      </tp>
      <tp t="e">
        <v>#N/A</v>
        <stp/>
        <stp>BDH|8670506960754858887</stp>
        <tr r="V25" s="2"/>
        <tr r="X62" s="21"/>
      </tp>
      <tp t="e">
        <v>#N/A</v>
        <stp/>
        <stp>BDH|6037065153113700743</stp>
        <tr r="H27" s="26"/>
      </tp>
      <tp t="e">
        <v>#N/A</v>
        <stp/>
        <stp>BDH|2948058886428980554</stp>
        <tr r="T65" s="18"/>
      </tp>
      <tp t="e">
        <v>#N/A</v>
        <stp/>
        <stp>BDH|4902159053922023596</stp>
        <tr r="G35" s="26"/>
      </tp>
      <tp t="e">
        <v>#N/A</v>
        <stp/>
        <stp>BDH|9585665304229104108</stp>
        <tr r="S176" s="18"/>
      </tp>
      <tp t="e">
        <v>#N/A</v>
        <stp/>
        <stp>BDH|6940099960754780315</stp>
        <tr r="F80" s="18"/>
      </tp>
      <tp t="e">
        <v>#N/A</v>
        <stp/>
        <stp>BDH|7032178548895875013</stp>
        <tr r="W22" s="11"/>
      </tp>
      <tp t="e">
        <v>#N/A</v>
        <stp/>
        <stp>BDH|7840576423386938134</stp>
        <tr r="Z17" s="18"/>
      </tp>
      <tp t="e">
        <v>#N/A</v>
        <stp/>
        <stp>BDH|7033961384697156657</stp>
        <tr r="D28" s="24"/>
      </tp>
      <tp t="e">
        <v>#N/A</v>
        <stp/>
        <stp>BDH|4511391743386976202</stp>
        <tr r="X93" s="18"/>
      </tp>
      <tp t="e">
        <v>#N/A</v>
        <stp/>
        <stp>BDH|4692103947907323147</stp>
        <tr r="N56" s="18"/>
      </tp>
      <tp t="e">
        <v>#N/A</v>
        <stp/>
        <stp>BDH|9427889107275434393</stp>
        <tr r="M20" s="18"/>
      </tp>
      <tp t="e">
        <v>#N/A</v>
        <stp/>
        <stp>BDH|7919145606374596587</stp>
        <tr r="E52" s="24"/>
      </tp>
      <tp t="e">
        <v>#N/A</v>
        <stp/>
        <stp>BDH|1991154559784406673</stp>
        <tr r="S22" s="11"/>
      </tp>
      <tp t="e">
        <v>#N/A</v>
        <stp/>
        <stp>BDH|5574052982283483907</stp>
        <tr r="K47" s="24"/>
      </tp>
      <tp t="e">
        <v>#N/A</v>
        <stp/>
        <stp>BDH|5724179937598002816</stp>
        <tr r="Y68" s="24"/>
      </tp>
      <tp t="e">
        <v>#N/A</v>
        <stp/>
        <stp>BDH|3334554715238691837</stp>
        <tr r="R33" s="17"/>
      </tp>
      <tp t="e">
        <v>#N/A</v>
        <stp/>
        <stp>BDH|2799627722069344821</stp>
        <tr r="I16" s="12"/>
      </tp>
      <tp t="e">
        <v>#N/A</v>
        <stp/>
        <stp>BDH|3475052431265142279</stp>
        <tr r="AA200" s="18"/>
      </tp>
      <tp t="e">
        <v>#N/A</v>
        <stp/>
        <stp>BDH|1881049556655492684</stp>
        <tr r="I78" s="17"/>
      </tp>
      <tp t="e">
        <v>#N/A</v>
        <stp/>
        <stp>BDH|9393464486566448416</stp>
        <tr r="X80" s="18"/>
      </tp>
      <tp t="e">
        <v>#N/A</v>
        <stp/>
        <stp>BDH|4954785273833106055</stp>
        <tr r="AA59" s="17"/>
      </tp>
      <tp t="e">
        <v>#N/A</v>
        <stp/>
        <stp>BDH|3253746291919945382</stp>
        <tr r="Y10" s="18"/>
      </tp>
      <tp t="e">
        <v>#N/A</v>
        <stp/>
        <stp>BDH|6387973895665489439</stp>
        <tr r="N24" s="12"/>
      </tp>
      <tp t="e">
        <v>#N/A</v>
        <stp/>
        <stp>BDH|2399534058573810665</stp>
        <tr r="C57" s="12"/>
      </tp>
      <tp t="e">
        <v>#N/A</v>
        <stp/>
        <stp>BDH|7778230620942055227</stp>
        <tr r="Z64" s="18"/>
      </tp>
      <tp t="e">
        <v>#N/A</v>
        <stp/>
        <stp>BDH|8393008227399788455</stp>
        <tr r="K65" s="21"/>
        <tr r="I23" s="7"/>
      </tp>
      <tp t="e">
        <v>#N/A</v>
        <stp/>
        <stp>BDH|6756026238656932428</stp>
        <tr r="G98" s="12"/>
      </tp>
      <tp t="e">
        <v>#N/A</v>
        <stp/>
        <stp>BDH|3247742023080792141</stp>
        <tr r="W94" s="17"/>
      </tp>
      <tp t="e">
        <v>#N/A</v>
        <stp/>
        <stp>BDH|1972531989573647839</stp>
        <tr r="M44" s="22"/>
      </tp>
      <tp t="e">
        <v>#N/A</v>
        <stp/>
        <stp>BDH|5899894765748197422</stp>
        <tr r="I21" s="27"/>
      </tp>
      <tp t="e">
        <v>#N/A</v>
        <stp/>
        <stp>BDH|2657188857601691083</stp>
        <tr r="G17" s="20"/>
      </tp>
      <tp t="e">
        <v>#N/A</v>
        <stp/>
        <stp>BDH|8333850295108313673</stp>
        <tr r="S45" s="12"/>
      </tp>
      <tp t="e">
        <v>#N/A</v>
        <stp/>
        <stp>BDH|2408015619181855531</stp>
        <tr r="G10" s="2"/>
        <tr r="F11" s="5"/>
        <tr r="F51" s="6"/>
        <tr r="H33" s="29"/>
        <tr r="H42" s="29"/>
      </tp>
      <tp t="e">
        <v>#N/A</v>
        <stp/>
        <stp>BDH|5553992992416008493</stp>
        <tr r="T76" s="34"/>
      </tp>
      <tp t="e">
        <v>#N/A</v>
        <stp/>
        <stp>BDH|8430706785194534437</stp>
        <tr r="N82" s="18"/>
      </tp>
      <tp t="e">
        <v>#N/A</v>
        <stp/>
        <stp>BDH|7320452410235297038</stp>
        <tr r="T22" s="34"/>
      </tp>
      <tp t="e">
        <v>#N/A</v>
        <stp/>
        <stp>BDH|7333756531122636664</stp>
        <tr r="Q34" s="29"/>
      </tp>
      <tp t="e">
        <v>#N/A</v>
        <stp/>
        <stp>BDH|3043793304491376297</stp>
        <tr r="Y8" s="24"/>
      </tp>
      <tp t="e">
        <v>#N/A</v>
        <stp/>
        <stp>BDH|9769030655532028963</stp>
        <tr r="I44" s="24"/>
      </tp>
      <tp t="e">
        <v>#N/A</v>
        <stp/>
        <stp>BDH|1380176858650398283</stp>
        <tr r="I25" s="3"/>
      </tp>
      <tp t="e">
        <v>#N/A</v>
        <stp/>
        <stp>BDH|8658721241944388817</stp>
        <tr r="X13" s="5"/>
      </tp>
      <tp t="e">
        <v>#N/A</v>
        <stp/>
        <stp>BDH|6096011620255485620</stp>
        <tr r="E23" s="13"/>
      </tp>
      <tp t="e">
        <v>#N/A</v>
        <stp/>
        <stp>BDH|3196648223061231130</stp>
        <tr r="P7" s="2"/>
        <tr r="O7" s="5"/>
        <tr r="O7" s="9"/>
        <tr r="R14" s="3"/>
      </tp>
      <tp t="e">
        <v>#N/A</v>
        <stp/>
        <stp>BDH|1708311425425357272</stp>
        <tr r="I30" s="25"/>
        <tr r="I16" s="27"/>
      </tp>
      <tp t="e">
        <v>#N/A</v>
        <stp/>
        <stp>BDH|8892755349814129824</stp>
        <tr r="H54" s="13"/>
      </tp>
      <tp t="e">
        <v>#N/A</v>
        <stp/>
        <stp>BDH|7362699163515718599</stp>
        <tr r="S15" s="10"/>
      </tp>
      <tp t="e">
        <v>#N/A</v>
        <stp/>
        <stp>BDH|1252170812316360032</stp>
        <tr r="X43" s="34"/>
      </tp>
      <tp t="e">
        <v>#N/A</v>
        <stp/>
        <stp>BDH|2690763216875612676</stp>
        <tr r="Z48" s="24"/>
      </tp>
      <tp t="e">
        <v>#N/A</v>
        <stp/>
        <stp>BDH|8578279247999173035</stp>
        <tr r="AA211" s="18"/>
      </tp>
      <tp t="e">
        <v>#N/A</v>
        <stp/>
        <stp>BDH|4529741956763595258</stp>
        <tr r="S59" s="11"/>
      </tp>
      <tp t="e">
        <v>#N/A</v>
        <stp/>
        <stp>BDH|6050514391985286854</stp>
        <tr r="D28" s="14"/>
      </tp>
      <tp t="e">
        <v>#N/A</v>
        <stp/>
        <stp>BDH|6254744505682333470</stp>
        <tr r="X28" s="13"/>
      </tp>
      <tp t="e">
        <v>#N/A</v>
        <stp/>
        <stp>BDH|7124511156595271536</stp>
        <tr r="AA61" s="34"/>
      </tp>
      <tp t="e">
        <v>#N/A</v>
        <stp/>
        <stp>BDH|8194312852641035859</stp>
        <tr r="N21" s="17"/>
        <tr r="N15" s="3"/>
      </tp>
      <tp t="e">
        <v>#N/A</v>
        <stp/>
        <stp>BDH|6144592228694677210</stp>
        <tr r="G11" s="30"/>
      </tp>
      <tp t="e">
        <v>#N/A</v>
        <stp/>
        <stp>BDH|4333209314849151911</stp>
        <tr r="N16" s="21"/>
      </tp>
      <tp t="e">
        <v>#N/A</v>
        <stp/>
        <stp>BDH|9344920182439251663</stp>
        <tr r="E48" s="18"/>
      </tp>
      <tp t="e">
        <v>#N/A</v>
        <stp/>
        <stp>BDH|1616768410825110569</stp>
        <tr r="L21" s="2"/>
      </tp>
      <tp t="e">
        <v>#N/A</v>
        <stp/>
        <stp>BDH|4502924351537080810</stp>
        <tr r="Z7" s="34"/>
      </tp>
      <tp t="e">
        <v>#N/A</v>
        <stp/>
        <stp>BDH|2512939428647070991</stp>
        <tr r="Y82" s="12"/>
      </tp>
      <tp t="e">
        <v>#N/A</v>
        <stp/>
        <stp>BDH|4783048233947528723</stp>
        <tr r="C43" s="10"/>
        <tr r="C33" s="11"/>
      </tp>
      <tp t="e">
        <v>#N/A</v>
        <stp/>
        <stp>BDH|7893244768423132721</stp>
        <tr r="O173" s="18"/>
      </tp>
      <tp t="e">
        <v>#N/A</v>
        <stp/>
        <stp>BDH|1828289074363369005</stp>
        <tr r="D46" s="4"/>
        <tr r="D23" s="10"/>
        <tr r="F42" s="13"/>
      </tp>
      <tp t="e">
        <v>#N/A</v>
        <stp/>
        <stp>BDH|3476915234628174678</stp>
        <tr r="S9" s="23"/>
      </tp>
      <tp t="e">
        <v>#N/A</v>
        <stp/>
        <stp>BDH|1789213003560072422</stp>
        <tr r="Q200" s="18"/>
      </tp>
      <tp t="e">
        <v>#N/A</v>
        <stp/>
        <stp>BDH|3338514263830437727</stp>
        <tr r="Q39" s="18"/>
      </tp>
      <tp t="e">
        <v>#N/A</v>
        <stp/>
        <stp>BDH|1432313380975215802</stp>
        <tr r="M32" s="18"/>
      </tp>
      <tp t="e">
        <v>#N/A</v>
        <stp/>
        <stp>BDH|1293236546113829386</stp>
        <tr r="S12" s="7"/>
      </tp>
      <tp t="e">
        <v>#N/A</v>
        <stp/>
        <stp>BDH|9554735249085030889</stp>
        <tr r="D7" s="21"/>
      </tp>
      <tp t="e">
        <v>#N/A</v>
        <stp/>
        <stp>BDH|6696131916112371374</stp>
        <tr r="X200" s="18"/>
      </tp>
      <tp t="e">
        <v>#N/A</v>
        <stp/>
        <stp>BDH|8333438992065383769</stp>
        <tr r="F10" s="17"/>
      </tp>
      <tp t="e">
        <v>#N/A</v>
        <stp/>
        <stp>BDH|8822838549296574502</stp>
        <tr r="Q79" s="24"/>
      </tp>
      <tp t="e">
        <v>#N/A</v>
        <stp/>
        <stp>BDH|8488421057829691705</stp>
        <tr r="H8" s="24"/>
      </tp>
      <tp t="e">
        <v>#N/A</v>
        <stp/>
        <stp>BDH|7666995691637086791</stp>
        <tr r="U18" s="12"/>
      </tp>
      <tp t="e">
        <v>#N/A</v>
        <stp/>
        <stp>BDH|1100191633922946650</stp>
        <tr r="X122" s="18"/>
        <tr r="X11" s="20"/>
      </tp>
      <tp t="e">
        <v>#N/A</v>
        <stp/>
        <stp>BDH|2670788508782710065</stp>
        <tr r="J9" s="23"/>
      </tp>
      <tp t="e">
        <v>#N/A</v>
        <stp/>
        <stp>BDH|3669248416620154721</stp>
        <tr r="X17" s="23"/>
      </tp>
      <tp t="e">
        <v>#N/A</v>
        <stp/>
        <stp>BDH|5505764341724092555</stp>
        <tr r="V42" s="34"/>
      </tp>
      <tp t="e">
        <v>#N/A</v>
        <stp/>
        <stp>BDH|6371694304946001195</stp>
        <tr r="X75" s="12"/>
      </tp>
      <tp t="e">
        <v>#N/A</v>
        <stp/>
        <stp>BDH|2677522046480785426</stp>
        <tr r="E10" s="24"/>
      </tp>
      <tp t="e">
        <v>#N/A</v>
        <stp/>
        <stp>BDH|7507351638110674099</stp>
        <tr r="T36" s="34"/>
      </tp>
      <tp t="e">
        <v>#N/A</v>
        <stp/>
        <stp>BDH|7477901083952087309</stp>
        <tr r="N30" s="24"/>
      </tp>
      <tp t="e">
        <v>#N/A</v>
        <stp/>
        <stp>BDH|4982040318003370111</stp>
        <tr r="G118" s="18"/>
        <tr r="G6" s="20"/>
      </tp>
      <tp t="e">
        <v>#N/A</v>
        <stp/>
        <stp>BDH|4530588703466923003</stp>
        <tr r="L108" s="18"/>
      </tp>
      <tp t="e">
        <v>#N/A</v>
        <stp/>
        <stp>BDH|9051373197664585026</stp>
        <tr r="C42" s="13"/>
      </tp>
      <tp t="e">
        <v>#N/A</v>
        <stp/>
        <stp>BDH|5287663947343034345</stp>
        <tr r="Z47" s="22"/>
      </tp>
      <tp t="e">
        <v>#N/A</v>
        <stp/>
        <stp>BDH|4636111025955649531</stp>
        <tr r="AA71" s="34"/>
      </tp>
      <tp t="e">
        <v>#N/A</v>
        <stp/>
        <stp>BDH|7917387452481759706</stp>
        <tr r="I168" s="18"/>
      </tp>
      <tp t="e">
        <v>#N/A</v>
        <stp/>
        <stp>BDH|4858592024656531243</stp>
        <tr r="X32" s="21"/>
      </tp>
      <tp t="e">
        <v>#N/A</v>
        <stp/>
        <stp>BDH|4559246799080809842</stp>
        <tr r="G15" s="18"/>
      </tp>
      <tp t="e">
        <v>#N/A</v>
        <stp/>
        <stp>BDH|7303014442904783035</stp>
        <tr r="I35" s="10"/>
        <tr r="I25" s="11"/>
      </tp>
      <tp t="e">
        <v>#N/A</v>
        <stp/>
        <stp>BDH|2796531840075589150</stp>
        <tr r="AA17" s="24"/>
      </tp>
      <tp t="e">
        <v>#N/A</v>
        <stp/>
        <stp>BDH|2142726045034742256</stp>
        <tr r="K9" s="27"/>
      </tp>
      <tp t="e">
        <v>#N/A</v>
        <stp/>
        <stp>BDH|2525599502667277789</stp>
        <tr r="U32" s="18"/>
      </tp>
      <tp t="e">
        <v>#N/A</v>
        <stp/>
        <stp>BDH|6647845197687801794</stp>
        <tr r="O98" s="18"/>
      </tp>
      <tp t="e">
        <v>#N/A</v>
        <stp/>
        <stp>BDH|3929613324310001081</stp>
        <tr r="O211" s="18"/>
      </tp>
      <tp t="e">
        <v>#N/A</v>
        <stp/>
        <stp>BDH|6610052652676167241</stp>
        <tr r="C14" s="12"/>
      </tp>
      <tp t="e">
        <v>#N/A</v>
        <stp/>
        <stp>BDH|2523087555725976557</stp>
        <tr r="L65" s="18"/>
      </tp>
      <tp t="e">
        <v>#N/A</v>
        <stp/>
        <stp>BDH|4275036032137164764</stp>
        <tr r="G30" s="12"/>
      </tp>
      <tp t="e">
        <v>#N/A</v>
        <stp/>
        <stp>BDH|4502470025635423076</stp>
        <tr r="C151" s="18"/>
      </tp>
      <tp t="e">
        <v>#N/A</v>
        <stp/>
        <stp>BDH|1420432236486755723</stp>
        <tr r="W41" s="12"/>
      </tp>
      <tp t="e">
        <v>#N/A</v>
        <stp/>
        <stp>BDH|8169310186196018224</stp>
        <tr r="Y63" s="18"/>
      </tp>
      <tp t="e">
        <v>#N/A</v>
        <stp/>
        <stp>BDH|3013796410107901543</stp>
        <tr r="E73" s="12"/>
      </tp>
      <tp t="e">
        <v>#N/A</v>
        <stp/>
        <stp>BDH|5680040103907037556</stp>
        <tr r="J57" s="10"/>
        <tr r="J47" s="11"/>
        <tr r="J18" s="7"/>
        <tr r="L64" s="13"/>
      </tp>
      <tp t="e">
        <v>#N/A</v>
        <stp/>
        <stp>BDH|7768477708687400383</stp>
        <tr r="N25" s="5"/>
      </tp>
      <tp t="e">
        <v>#N/A</v>
        <stp/>
        <stp>BDH|1594792213010253099</stp>
        <tr r="S33" s="12"/>
      </tp>
      <tp t="e">
        <v>#N/A</v>
        <stp/>
        <stp>BDH|2661705595262142962</stp>
        <tr r="H23" s="20"/>
      </tp>
      <tp t="e">
        <v>#N/A</v>
        <stp/>
        <stp>BDH|3347029860972555006</stp>
        <tr r="E50" s="21"/>
      </tp>
      <tp t="e">
        <v>#N/A</v>
        <stp/>
        <stp>BDH|3839606535325013490</stp>
        <tr r="N11" s="13"/>
      </tp>
      <tp t="e">
        <v>#N/A</v>
        <stp/>
        <stp>BDH|4968372868473241502</stp>
        <tr r="Q44" s="6"/>
      </tp>
      <tp t="e">
        <v>#N/A</v>
        <stp/>
        <stp>BDH|6300608263862443302</stp>
        <tr r="I26" s="27"/>
      </tp>
      <tp t="e">
        <v>#N/A</v>
        <stp/>
        <stp>BDH|5494644882059230548</stp>
        <tr r="Z83" s="17"/>
      </tp>
      <tp t="e">
        <v>#N/A</v>
        <stp/>
        <stp>BDH|7374127858722485699</stp>
        <tr r="M34" s="22"/>
      </tp>
      <tp t="e">
        <v>#N/A</v>
        <stp/>
        <stp>BDH|5223368645691508405</stp>
        <tr r="AA98" s="18"/>
      </tp>
      <tp t="e">
        <v>#N/A</v>
        <stp/>
        <stp>BDH|3893082481528112446</stp>
        <tr r="X59" s="21"/>
        <tr r="X37" s="25"/>
        <tr r="V31" s="4"/>
        <tr r="V52" s="11"/>
      </tp>
      <tp t="e">
        <v>#N/A</v>
        <stp/>
        <stp>BDH|7892035181441710990</stp>
        <tr r="Q42" s="18"/>
      </tp>
      <tp t="e">
        <v>#N/A</v>
        <stp/>
        <stp>BDH|1420457538963430296</stp>
        <tr r="C28" s="12"/>
      </tp>
      <tp t="e">
        <v>#N/A</v>
        <stp/>
        <stp>BDH|5427091959747199014</stp>
        <tr r="K67" s="34"/>
      </tp>
      <tp t="e">
        <v>#N/A</v>
        <stp/>
        <stp>BDH|6575253252540408628</stp>
        <tr r="D27" s="22"/>
      </tp>
      <tp t="e">
        <v>#N/A</v>
        <stp/>
        <stp>BDH|3664193658940663052</stp>
        <tr r="D62" s="24"/>
      </tp>
      <tp t="e">
        <v>#N/A</v>
        <stp/>
        <stp>BDH|7991633366015876505</stp>
        <tr r="L29" s="13"/>
      </tp>
      <tp t="e">
        <v>#N/A</v>
        <stp/>
        <stp>BDH|7078439745765190538</stp>
        <tr r="C170" s="18"/>
      </tp>
      <tp t="e">
        <v>#N/A</v>
        <stp/>
        <stp>BDH|2662015403917553254</stp>
        <tr r="I66" s="18"/>
      </tp>
      <tp t="e">
        <v>#N/A</v>
        <stp/>
        <stp>BDH|5347817011722181967</stp>
        <tr r="K69" s="18"/>
      </tp>
      <tp t="e">
        <v>#N/A</v>
        <stp/>
        <stp>BDH|2234185058024794514</stp>
        <tr r="Z82" s="24"/>
      </tp>
      <tp t="e">
        <v>#N/A</v>
        <stp/>
        <stp>BDH|5250276661224694262</stp>
        <tr r="W75" s="18"/>
      </tp>
      <tp t="e">
        <v>#N/A</v>
        <stp/>
        <stp>BDH|1211210546433779368</stp>
        <tr r="W88" s="24"/>
      </tp>
      <tp t="e">
        <v>#N/A</v>
        <stp/>
        <stp>BDH|1777843058583887873</stp>
        <tr r="L7" s="4"/>
      </tp>
      <tp t="e">
        <v>#N/A</v>
        <stp/>
        <stp>BDH|3750736820978494949</stp>
        <tr r="M40" s="12"/>
      </tp>
      <tp t="e">
        <v>#N/A</v>
        <stp/>
        <stp>BDH|6054836477067167918</stp>
        <tr r="M113" s="18"/>
      </tp>
      <tp t="e">
        <v>#N/A</v>
        <stp/>
        <stp>BDH|1551241149965563597</stp>
        <tr r="L26" s="29"/>
      </tp>
      <tp t="e">
        <v>#N/A</v>
        <stp/>
        <stp>BDH|6040726046726831489</stp>
        <tr r="I47" s="24"/>
      </tp>
      <tp t="e">
        <v>#N/A</v>
        <stp/>
        <stp>BDH|3297118455994435465</stp>
        <tr r="O16" s="24"/>
      </tp>
      <tp t="e">
        <v>#N/A</v>
        <stp/>
        <stp>BDH|7672371011661361367</stp>
        <tr r="D8" s="34"/>
      </tp>
      <tp t="e">
        <v>#N/A</v>
        <stp/>
        <stp>BDH|2610964983656657207</stp>
        <tr r="X12" s="25"/>
      </tp>
      <tp t="e">
        <v>#N/A</v>
        <stp/>
        <stp>BDH|4062572650767619443</stp>
        <tr r="X20" s="10"/>
      </tp>
      <tp t="e">
        <v>#N/A</v>
        <stp/>
        <stp>BDH|5018774091659107523</stp>
        <tr r="M74" s="17"/>
      </tp>
      <tp t="e">
        <v>#N/A</v>
        <stp/>
        <stp>BDH|4072151653573054435</stp>
        <tr r="Q6" s="15"/>
        <tr r="Q12" s="2"/>
        <tr r="Q11" s="4"/>
        <tr r="Q6" s="10"/>
      </tp>
      <tp t="e">
        <v>#N/A</v>
        <stp/>
        <stp>BDH|1159489122138678889</stp>
        <tr r="O11" s="30"/>
      </tp>
      <tp t="e">
        <v>#N/A</v>
        <stp/>
        <stp>BDH|7170443754932477309</stp>
        <tr r="K22" s="30"/>
        <tr r="K24" s="23"/>
      </tp>
      <tp t="e">
        <v>#N/A</v>
        <stp/>
        <stp>BDH|1624086423212168693</stp>
        <tr r="J15" s="14"/>
      </tp>
      <tp t="e">
        <v>#N/A</v>
        <stp/>
        <stp>BDH|6309316729986751698</stp>
        <tr r="D50" s="17"/>
      </tp>
      <tp t="e">
        <v>#N/A</v>
        <stp/>
        <stp>BDH|7501638121820430461</stp>
        <tr r="G43" s="18"/>
      </tp>
      <tp t="e">
        <v>#N/A</v>
        <stp/>
        <stp>BDH|1236495421019860972</stp>
        <tr r="K18" s="13"/>
      </tp>
      <tp t="e">
        <v>#N/A</v>
        <stp/>
        <stp>BDH|6499071968943775493</stp>
        <tr r="O16" s="21"/>
      </tp>
      <tp t="e">
        <v>#N/A</v>
        <stp/>
        <stp>BDH|9798488880096942430</stp>
        <tr r="M16" s="14"/>
      </tp>
      <tp t="e">
        <v>#N/A</v>
        <stp/>
        <stp>BDH|1683201929043880525</stp>
        <tr r="AA184" s="18"/>
      </tp>
      <tp t="e">
        <v>#N/A</v>
        <stp/>
        <stp>BDH|3591783178210075408</stp>
        <tr r="V42" s="21"/>
      </tp>
      <tp t="e">
        <v>#N/A</v>
        <stp/>
        <stp>BDH|3961328517066886011</stp>
        <tr r="E64" s="21"/>
      </tp>
      <tp t="e">
        <v>#N/A</v>
        <stp/>
        <stp>BDH|8939004073189806171</stp>
        <tr r="G13" s="7"/>
      </tp>
      <tp t="e">
        <v>#N/A</v>
        <stp/>
        <stp>BDH|5072552353677717545</stp>
        <tr r="AA55" s="13"/>
      </tp>
      <tp t="e">
        <v>#N/A</v>
        <stp/>
        <stp>BDH|9206584997427018587</stp>
        <tr r="Y191" s="18"/>
      </tp>
      <tp t="e">
        <v>#N/A</v>
        <stp/>
        <stp>BDH|3734800260532665846</stp>
        <tr r="V50" s="34"/>
      </tp>
      <tp t="e">
        <v>#N/A</v>
        <stp/>
        <stp>BDH|1375321944386105713</stp>
        <tr r="Z211" s="18"/>
      </tp>
      <tp t="e">
        <v>#N/A</v>
        <stp/>
        <stp>BDH|7460075353594168146</stp>
        <tr r="J91" s="18"/>
      </tp>
      <tp t="e">
        <v>#N/A</v>
        <stp/>
        <stp>BDH|3511567614247050727</stp>
        <tr r="O93" s="18"/>
      </tp>
      <tp t="e">
        <v>#N/A</v>
        <stp/>
        <stp>BDH|6642843650868191460</stp>
        <tr r="J50" s="12"/>
      </tp>
      <tp t="e">
        <v>#N/A</v>
        <stp/>
        <stp>BDH|8539550644347357923</stp>
        <tr r="K182" s="18"/>
      </tp>
      <tp t="e">
        <v>#N/A</v>
        <stp/>
        <stp>BDH|5934655765152489089</stp>
        <tr r="W107" s="18"/>
      </tp>
      <tp t="e">
        <v>#N/A</v>
        <stp/>
        <stp>BDH|9921746277708987662</stp>
        <tr r="W76" s="17"/>
        <tr r="T9" s="5"/>
        <tr r="T9" s="9"/>
      </tp>
      <tp t="e">
        <v>#N/A</v>
        <stp/>
        <stp>BDH|4659329715103459203</stp>
        <tr r="M15" s="21"/>
      </tp>
      <tp t="e">
        <v>#N/A</v>
        <stp/>
        <stp>BDH|9314887428311692507</stp>
        <tr r="L144" s="18"/>
      </tp>
      <tp t="e">
        <v>#N/A</v>
        <stp/>
        <stp>BDH|2609520215658494904</stp>
        <tr r="X43" s="29"/>
      </tp>
      <tp t="e">
        <v>#N/A</v>
        <stp/>
        <stp>BDH|2943738514500845337</stp>
        <tr r="C106" s="12"/>
      </tp>
      <tp t="e">
        <v>#N/A</v>
        <stp/>
        <stp>BDH|7677309031367269701</stp>
        <tr r="I19" s="26"/>
      </tp>
      <tp t="e">
        <v>#N/A</v>
        <stp/>
        <stp>BDH|1293232442845508539</stp>
        <tr r="R83" s="17"/>
      </tp>
      <tp t="e">
        <v>#N/A</v>
        <stp/>
        <stp>BDH|2571046730623295563</stp>
        <tr r="E10" s="17"/>
      </tp>
      <tp t="e">
        <v>#N/A</v>
        <stp/>
        <stp>BDH|5989176809762544170</stp>
        <tr r="Q77" s="17"/>
        <tr r="Q19" s="3"/>
      </tp>
      <tp t="e">
        <v>#N/A</v>
        <stp/>
        <stp>BDH|5533770746428538949</stp>
        <tr r="I29" s="10"/>
        <tr r="K38" s="13"/>
      </tp>
      <tp t="e">
        <v>#N/A</v>
        <stp/>
        <stp>BDH|1319810368370699897</stp>
        <tr r="U16" s="23"/>
      </tp>
      <tp t="e">
        <v>#N/A</v>
        <stp/>
        <stp>BDH|3104498622197825577</stp>
        <tr r="T14" s="23"/>
      </tp>
      <tp t="e">
        <v>#N/A</v>
        <stp/>
        <stp>BDH|9023917695248885690</stp>
        <tr r="V23" s="12"/>
      </tp>
      <tp t="e">
        <v>#N/A</v>
        <stp/>
        <stp>BDH|4491305705270713030</stp>
        <tr r="Y185" s="18"/>
      </tp>
      <tp t="e">
        <v>#N/A</v>
        <stp/>
        <stp>BDH|5660905413649482342</stp>
        <tr r="S23" s="6"/>
      </tp>
      <tp t="e">
        <v>#N/A</v>
        <stp/>
        <stp>BDH|6246757247365180747</stp>
        <tr r="AA15" s="14"/>
      </tp>
      <tp t="e">
        <v>#N/A</v>
        <stp/>
        <stp>BDH|7297065275687340071</stp>
        <tr r="K70" s="24"/>
      </tp>
      <tp t="e">
        <v>#N/A</v>
        <stp/>
        <stp>BDH|3022490424904059681</stp>
        <tr r="J10" s="26"/>
      </tp>
      <tp t="e">
        <v>#N/A</v>
        <stp/>
        <stp>BDH|6993554504883883753</stp>
        <tr r="M24" s="18"/>
      </tp>
      <tp t="e">
        <v>#N/A</v>
        <stp/>
        <stp>BDH|7906474305910819462</stp>
        <tr r="V37" s="21"/>
      </tp>
      <tp t="e">
        <v>#N/A</v>
        <stp/>
        <stp>BDH|4455362536902718161</stp>
        <tr r="V72" s="10"/>
        <tr r="V62" s="11"/>
      </tp>
      <tp t="e">
        <v>#N/A</v>
        <stp/>
        <stp>BDH|6021616967640647158</stp>
        <tr r="X51" s="12"/>
      </tp>
      <tp t="e">
        <v>#N/A</v>
        <stp/>
        <stp>BDH|88450575040548977</stp>
        <tr r="U43" s="18"/>
      </tp>
      <tp t="e">
        <v>#N/A</v>
        <stp/>
        <stp>BDH|62630317488514516</stp>
        <tr r="M14" s="34"/>
      </tp>
      <tp t="e">
        <v>#N/A</v>
        <stp/>
        <stp>BDH|32065528029827196</stp>
        <tr r="F65" s="18"/>
      </tp>
      <tp t="e">
        <v>#N/A</v>
        <stp/>
        <stp>BDH|39737315614914825</stp>
        <tr r="Z104" s="18"/>
      </tp>
      <tp t="e">
        <v>#N/A</v>
        <stp/>
        <stp>BDH|37210493495965403</stp>
        <tr r="Q197" s="18"/>
      </tp>
      <tp t="e">
        <v>#N/A</v>
        <stp/>
        <stp>BDH|74887505075198748</stp>
        <tr r="AA8" s="18"/>
      </tp>
      <tp t="e">
        <v>#N/A</v>
        <stp/>
        <stp>BDH|2587574574930505094</stp>
        <tr r="G84" s="24"/>
      </tp>
      <tp t="e">
        <v>#N/A</v>
        <stp/>
        <stp>BDH|1806518161830563275</stp>
        <tr r="J65" s="13"/>
      </tp>
      <tp t="e">
        <v>#N/A</v>
        <stp/>
        <stp>BDH|4998591262822921511</stp>
        <tr r="S90" s="17"/>
        <tr r="S34" s="25"/>
      </tp>
      <tp t="e">
        <v>#N/A</v>
        <stp/>
        <stp>BDH|4164537477503654593</stp>
        <tr r="W52" s="12"/>
      </tp>
      <tp t="e">
        <v>#N/A</v>
        <stp/>
        <stp>BDH|3783759400437073380</stp>
        <tr r="R43" s="29"/>
      </tp>
      <tp t="e">
        <v>#N/A</v>
        <stp/>
        <stp>BDH|7640390466895074739</stp>
        <tr r="X31" s="9"/>
      </tp>
      <tp t="e">
        <v>#N/A</v>
        <stp/>
        <stp>BDH|1186312712925968617</stp>
        <tr r="P77" s="12"/>
      </tp>
      <tp t="e">
        <v>#N/A</v>
        <stp/>
        <stp>BDH|8421871308489311924</stp>
        <tr r="M26" s="27"/>
      </tp>
      <tp t="e">
        <v>#N/A</v>
        <stp/>
        <stp>BDH|4267446819477224673</stp>
        <tr r="G22" s="17"/>
      </tp>
      <tp t="e">
        <v>#N/A</v>
        <stp/>
        <stp>BDH|2398142307144292786</stp>
        <tr r="R154" s="18"/>
      </tp>
      <tp t="e">
        <v>#N/A</v>
        <stp/>
        <stp>BDH|7581653244145972079</stp>
        <tr r="H24" s="12"/>
      </tp>
      <tp t="e">
        <v>#N/A</v>
        <stp/>
        <stp>BDH|6659483847122423471</stp>
        <tr r="W17" s="34"/>
      </tp>
      <tp t="e">
        <v>#N/A</v>
        <stp/>
        <stp>BDH|5303395660312272226</stp>
        <tr r="Y47" s="18"/>
      </tp>
      <tp t="e">
        <v>#N/A</v>
        <stp/>
        <stp>BDH|6529689992411387860</stp>
        <tr r="H86" s="18"/>
      </tp>
      <tp t="e">
        <v>#N/A</v>
        <stp/>
        <stp>BDH|5644244008746222122</stp>
        <tr r="F9" s="26"/>
      </tp>
      <tp t="e">
        <v>#N/A</v>
        <stp/>
        <stp>BDH|8916673164321979991</stp>
        <tr r="G12" s="17"/>
      </tp>
      <tp t="e">
        <v>#N/A</v>
        <stp/>
        <stp>BDH|1652596785298242422</stp>
        <tr r="X116" s="18"/>
      </tp>
      <tp t="e">
        <v>#N/A</v>
        <stp/>
        <stp>BDH|8983221477958760510</stp>
        <tr r="G23" s="2"/>
        <tr r="I19" s="21"/>
        <tr r="I23" s="3"/>
      </tp>
      <tp t="e">
        <v>#N/A</v>
        <stp/>
        <stp>BDH|7606032957352015086</stp>
        <tr r="I84" s="12"/>
      </tp>
      <tp t="e">
        <v>#N/A</v>
        <stp/>
        <stp>BDH|7911341572675558605</stp>
        <tr r="Y48" s="17"/>
      </tp>
      <tp t="e">
        <v>#N/A</v>
        <stp/>
        <stp>BDH|6819217994724384941</stp>
        <tr r="H201" s="18"/>
      </tp>
      <tp t="e">
        <v>#N/A</v>
        <stp/>
        <stp>BDH|6848618303289013907</stp>
        <tr r="J33" s="14"/>
      </tp>
      <tp t="e">
        <v>#N/A</v>
        <stp/>
        <stp>BDH|2967047670854603112</stp>
        <tr r="W73" s="13"/>
      </tp>
      <tp t="e">
        <v>#N/A</v>
        <stp/>
        <stp>BDH|5575281481817311854</stp>
        <tr r="O11" s="9"/>
      </tp>
      <tp t="e">
        <v>#N/A</v>
        <stp/>
        <stp>BDH|3083605144503960275</stp>
        <tr r="J76" s="12"/>
      </tp>
      <tp t="e">
        <v>#N/A</v>
        <stp/>
        <stp>BDH|3307868668979598423</stp>
        <tr r="I28" s="10"/>
        <tr r="K37" s="13"/>
      </tp>
      <tp t="e">
        <v>#N/A</v>
        <stp/>
        <stp>BDH|4194456046792804603</stp>
        <tr r="F16" s="34"/>
      </tp>
      <tp t="e">
        <v>#N/A</v>
        <stp/>
        <stp>BDH|4669529339655555727</stp>
        <tr r="T71" s="24"/>
      </tp>
      <tp t="e">
        <v>#N/A</v>
        <stp/>
        <stp>BDH|5403151722964065294</stp>
        <tr r="L45" s="22"/>
      </tp>
      <tp t="e">
        <v>#N/A</v>
        <stp/>
        <stp>BDH|6816018306157717123</stp>
        <tr r="I18" s="14"/>
      </tp>
      <tp t="e">
        <v>#N/A</v>
        <stp/>
        <stp>BDH|3608822832730891841</stp>
        <tr r="I93" s="18"/>
      </tp>
      <tp t="e">
        <v>#N/A</v>
        <stp/>
        <stp>BDH|7583453819525072734</stp>
        <tr r="Y43" s="22"/>
      </tp>
      <tp t="e">
        <v>#N/A</v>
        <stp/>
        <stp>BDH|6289286903654022036</stp>
        <tr r="E28" s="21"/>
      </tp>
      <tp t="e">
        <v>#N/A</v>
        <stp/>
        <stp>BDH|6403139355050016284</stp>
        <tr r="I83" s="24"/>
      </tp>
      <tp t="e">
        <v>#N/A</v>
        <stp/>
        <stp>BDH|7256081939564980005</stp>
        <tr r="H78" s="17"/>
      </tp>
      <tp t="e">
        <v>#N/A</v>
        <stp/>
        <stp>BDH|1871022343932467775</stp>
        <tr r="S168" s="18"/>
      </tp>
      <tp t="e">
        <v>#N/A</v>
        <stp/>
        <stp>BDH|5180736055050888758</stp>
        <tr r="Y15" s="25"/>
      </tp>
      <tp t="e">
        <v>#N/A</v>
        <stp/>
        <stp>BDH|5440298514491272711</stp>
        <tr r="F15" s="25"/>
      </tp>
      <tp t="e">
        <v>#N/A</v>
        <stp/>
        <stp>BDH|4426450405363700380</stp>
        <tr r="F47" s="22"/>
      </tp>
      <tp t="e">
        <v>#N/A</v>
        <stp/>
        <stp>BDH|5179395163006849687</stp>
        <tr r="H39" s="26"/>
      </tp>
      <tp t="e">
        <v>#N/A</v>
        <stp/>
        <stp>BDH|7079301275663860067</stp>
        <tr r="L61" s="12"/>
      </tp>
      <tp t="e">
        <v>#N/A</v>
        <stp/>
        <stp>BDH|4543370144622849157</stp>
        <tr r="J15" s="18"/>
      </tp>
      <tp t="e">
        <v>#N/A</v>
        <stp/>
        <stp>BDH|6736986379350504886</stp>
        <tr r="U188" s="18"/>
      </tp>
      <tp t="e">
        <v>#N/A</v>
        <stp/>
        <stp>BDH|7215501731584140591</stp>
        <tr r="H46" s="12"/>
      </tp>
      <tp t="e">
        <v>#N/A</v>
        <stp/>
        <stp>BDH|4433661021584827406</stp>
        <tr r="C209" s="18"/>
      </tp>
      <tp t="e">
        <v>#N/A</v>
        <stp/>
        <stp>BDH|5407918208899051566</stp>
        <tr r="I9" s="12"/>
      </tp>
      <tp t="e">
        <v>#N/A</v>
        <stp/>
        <stp>BDH|3419165231285909415</stp>
        <tr r="N67" s="17"/>
        <tr r="N18" s="3"/>
      </tp>
      <tp t="e">
        <v>#N/A</v>
        <stp/>
        <stp>BDH|7400721738672457117</stp>
        <tr r="Z11" s="18"/>
      </tp>
      <tp t="e">
        <v>#N/A</v>
        <stp/>
        <stp>BDH|1257102174177432090</stp>
        <tr r="Q157" s="18"/>
      </tp>
      <tp t="e">
        <v>#N/A</v>
        <stp/>
        <stp>BDH|5006890839997359989</stp>
        <tr r="Z194" s="18"/>
      </tp>
      <tp t="e">
        <v>#N/A</v>
        <stp/>
        <stp>BDH|4857290822997897301</stp>
        <tr r="R164" s="18"/>
      </tp>
      <tp t="e">
        <v>#N/A</v>
        <stp/>
        <stp>BDH|8947588695736989267</stp>
        <tr r="L12" s="10"/>
      </tp>
      <tp t="e">
        <v>#N/A</v>
        <stp/>
        <stp>BDH|7579396165232046020</stp>
        <tr r="E14" s="24"/>
      </tp>
      <tp t="e">
        <v>#N/A</v>
        <stp/>
        <stp>BDH|1001776669975114548</stp>
        <tr r="U28" s="24"/>
      </tp>
      <tp t="e">
        <v>#N/A</v>
        <stp/>
        <stp>BDH|6539832243198656283</stp>
        <tr r="S34" s="10"/>
        <tr r="S24" s="11"/>
      </tp>
      <tp t="e">
        <v>#N/A</v>
        <stp/>
        <stp>BDH|7969675522236409537</stp>
        <tr r="Y38" s="24"/>
      </tp>
      <tp t="e">
        <v>#N/A</v>
        <stp/>
        <stp>BDH|7971372734421217636</stp>
        <tr r="H24" s="22"/>
      </tp>
      <tp t="e">
        <v>#N/A</v>
        <stp/>
        <stp>BDH|6108385824300649704</stp>
        <tr r="P34" s="9"/>
      </tp>
      <tp t="e">
        <v>#N/A</v>
        <stp/>
        <stp>BDH|8626074883169802911</stp>
        <tr r="D132" s="18"/>
      </tp>
      <tp t="e">
        <v>#N/A</v>
        <stp/>
        <stp>BDH|3132936470794054991</stp>
        <tr r="X49" s="22"/>
      </tp>
      <tp t="e">
        <v>#N/A</v>
        <stp/>
        <stp>BDH|3289082060335069016</stp>
        <tr r="L80" s="24"/>
      </tp>
      <tp t="e">
        <v>#N/A</v>
        <stp/>
        <stp>BDH|4871754677733647779</stp>
        <tr r="AA175" s="18"/>
      </tp>
      <tp t="e">
        <v>#N/A</v>
        <stp/>
        <stp>BDH|2758110035816864602</stp>
        <tr r="S32" s="24"/>
      </tp>
      <tp t="e">
        <v>#N/A</v>
        <stp/>
        <stp>BDH|4298446768721673736</stp>
        <tr r="U93" s="12"/>
      </tp>
      <tp t="e">
        <v>#N/A</v>
        <stp/>
        <stp>BDH|4995776355086826085</stp>
        <tr r="J16" s="25"/>
      </tp>
      <tp t="e">
        <v>#N/A</v>
        <stp/>
        <stp>BDH|8921015084089072978</stp>
        <tr r="Q12" s="17"/>
      </tp>
      <tp t="e">
        <v>#N/A</v>
        <stp/>
        <stp>BDH|5270324056057911449</stp>
        <tr r="R46" s="18"/>
      </tp>
      <tp t="e">
        <v>#N/A</v>
        <stp/>
        <stp>BDH|1081547234574391388</stp>
        <tr r="H80" s="12"/>
      </tp>
      <tp t="e">
        <v>#N/A</v>
        <stp/>
        <stp>BDH|5174877551901551997</stp>
        <tr r="U18" s="22"/>
      </tp>
      <tp t="e">
        <v>#N/A</v>
        <stp/>
        <stp>BDH|9750688225674336923</stp>
        <tr r="I14" s="13"/>
      </tp>
      <tp t="e">
        <v>#N/A</v>
        <stp/>
        <stp>BDH|1051684861071124038</stp>
        <tr r="Y92" s="24"/>
      </tp>
      <tp t="e">
        <v>#N/A</v>
        <stp/>
        <stp>BDH|7618722005982974237</stp>
        <tr r="U6" s="2"/>
        <tr r="T6" s="5"/>
        <tr r="T6" s="9"/>
        <tr r="V12" s="8"/>
        <tr r="V10" s="29"/>
        <tr r="V19" s="29"/>
        <tr r="V25" s="29"/>
      </tp>
      <tp t="e">
        <v>#N/A</v>
        <stp/>
        <stp>BDH|6309203518826052304</stp>
        <tr r="X90" s="17"/>
        <tr r="X34" s="25"/>
      </tp>
      <tp t="e">
        <v>#N/A</v>
        <stp/>
        <stp>BDH|7045767977122291581</stp>
        <tr r="E84" s="24"/>
      </tp>
      <tp t="e">
        <v>#N/A</v>
        <stp/>
        <stp>BDH|6571528759990292672</stp>
        <tr r="X16" s="20"/>
      </tp>
      <tp t="e">
        <v>#N/A</v>
        <stp/>
        <stp>BDH|8561828047034963024</stp>
        <tr r="E51" s="12"/>
      </tp>
      <tp t="e">
        <v>#N/A</v>
        <stp/>
        <stp>BDH|1902449908537687288</stp>
        <tr r="Z33" s="21"/>
      </tp>
      <tp t="e">
        <v>#N/A</v>
        <stp/>
        <stp>BDH|3656162511692385195</stp>
        <tr r="K32" s="9"/>
      </tp>
      <tp t="e">
        <v>#N/A</v>
        <stp/>
        <stp>BDH|1625827888619683814</stp>
        <tr r="X59" s="12"/>
      </tp>
      <tp t="e">
        <v>#N/A</v>
        <stp/>
        <stp>BDH|7332386298608886505</stp>
        <tr r="X47" s="21"/>
      </tp>
      <tp t="e">
        <v>#N/A</v>
        <stp/>
        <stp>BDH|1157396338106816702</stp>
        <tr r="K63" s="34"/>
      </tp>
      <tp t="e">
        <v>#N/A</v>
        <stp/>
        <stp>BDH|2177787954180628032</stp>
        <tr r="V123" s="18"/>
        <tr r="V12" s="20"/>
      </tp>
      <tp t="e">
        <v>#N/A</v>
        <stp/>
        <stp>BDH|2497861218852653945</stp>
        <tr r="M61" s="24"/>
      </tp>
      <tp t="e">
        <v>#N/A</v>
        <stp/>
        <stp>BDH|4504178899714797846</stp>
        <tr r="R28" s="27"/>
      </tp>
      <tp t="e">
        <v>#N/A</v>
        <stp/>
        <stp>BDH|7370745250034825173</stp>
        <tr r="Q89" s="12"/>
      </tp>
      <tp t="e">
        <v>#N/A</v>
        <stp/>
        <stp>BDH|8226895607468259865</stp>
        <tr r="I50" s="18"/>
      </tp>
      <tp t="e">
        <v>#N/A</v>
        <stp/>
        <stp>BDH|2976405471364254526</stp>
        <tr r="R32" s="21"/>
      </tp>
      <tp t="e">
        <v>#N/A</v>
        <stp/>
        <stp>BDH|2684251088959523160</stp>
        <tr r="U35" s="14"/>
      </tp>
      <tp t="e">
        <v>#N/A</v>
        <stp/>
        <stp>BDH|3625785227001659770</stp>
        <tr r="E97" s="18"/>
      </tp>
      <tp t="e">
        <v>#N/A</v>
        <stp/>
        <stp>BDH|8295036735482561998</stp>
        <tr r="E114" s="18"/>
      </tp>
      <tp t="e">
        <v>#N/A</v>
        <stp/>
        <stp>BDH|4106806748491913984</stp>
        <tr r="R39" s="34"/>
      </tp>
      <tp t="e">
        <v>#N/A</v>
        <stp/>
        <stp>BDH|7657085701211515625</stp>
        <tr r="W151" s="18"/>
      </tp>
      <tp t="e">
        <v>#N/A</v>
        <stp/>
        <stp>BDH|3905365524273551164</stp>
        <tr r="Q33" s="9"/>
      </tp>
      <tp t="e">
        <v>#N/A</v>
        <stp/>
        <stp>BDH|5675112919245214040</stp>
        <tr r="G70" s="17"/>
      </tp>
      <tp t="e">
        <v>#N/A</v>
        <stp/>
        <stp>BDH|5011707029380741067</stp>
        <tr r="D24" s="21"/>
      </tp>
      <tp t="e">
        <v>#N/A</v>
        <stp/>
        <stp>BDH|7428395368112892059</stp>
        <tr r="O30" s="24"/>
      </tp>
      <tp t="e">
        <v>#N/A</v>
        <stp/>
        <stp>BDH|5929761745424678248</stp>
        <tr r="K82" s="12"/>
      </tp>
      <tp t="e">
        <v>#N/A</v>
        <stp/>
        <stp>BDH|3295333807869689981</stp>
        <tr r="X160" s="18"/>
      </tp>
      <tp t="e">
        <v>#N/A</v>
        <stp/>
        <stp>BDH|1545543088418499451</stp>
        <tr r="T48" s="6"/>
        <tr r="V9" s="8"/>
      </tp>
      <tp t="e">
        <v>#N/A</v>
        <stp/>
        <stp>BDH|9686635755048173290</stp>
        <tr r="T30" s="21"/>
      </tp>
      <tp t="e">
        <v>#N/A</v>
        <stp/>
        <stp>BDH|4305066308926416214</stp>
        <tr r="W14" s="29"/>
        <tr r="W23" s="29"/>
        <tr r="W37" s="29"/>
      </tp>
      <tp t="e">
        <v>#N/A</v>
        <stp/>
        <stp>BDH|8834865213961342066</stp>
        <tr r="Q61" s="24"/>
      </tp>
      <tp t="e">
        <v>#N/A</v>
        <stp/>
        <stp>BDH|4108875657248882112</stp>
        <tr r="P43" s="10"/>
        <tr r="P33" s="11"/>
      </tp>
      <tp t="e">
        <v>#N/A</v>
        <stp/>
        <stp>BDH|5502506971864539391</stp>
        <tr r="I57" s="10"/>
        <tr r="I47" s="11"/>
        <tr r="I18" s="7"/>
        <tr r="K64" s="13"/>
      </tp>
      <tp t="e">
        <v>#N/A</v>
        <stp/>
        <stp>BDH|8796911165846257199</stp>
        <tr r="U25" s="21"/>
      </tp>
      <tp t="e">
        <v>#N/A</v>
        <stp/>
        <stp>BDH|9561692673140296850</stp>
        <tr r="V10" s="14"/>
      </tp>
      <tp t="e">
        <v>#N/A</v>
        <stp/>
        <stp>BDH|1796107444172212692</stp>
        <tr r="Q24" s="17"/>
      </tp>
      <tp t="e">
        <v>#N/A</v>
        <stp/>
        <stp>BDH|8089960228012545130</stp>
        <tr r="Y167" s="18"/>
      </tp>
      <tp t="e">
        <v>#N/A</v>
        <stp/>
        <stp>BDH|3855505666841215146</stp>
        <tr r="K17" s="22"/>
      </tp>
      <tp t="e">
        <v>#N/A</v>
        <stp/>
        <stp>BDH|4248570139903224160</stp>
        <tr r="H6" s="6"/>
      </tp>
      <tp t="e">
        <v>#N/A</v>
        <stp/>
        <stp>BDH|4268418619284158536</stp>
        <tr r="E76" s="12"/>
      </tp>
      <tp t="e">
        <v>#N/A</v>
        <stp/>
        <stp>BDH|5675543114992813363</stp>
        <tr r="U12" s="11"/>
      </tp>
      <tp t="e">
        <v>#N/A</v>
        <stp/>
        <stp>BDH|1721989751624474924</stp>
        <tr r="F10" s="13"/>
      </tp>
      <tp t="e">
        <v>#N/A</v>
        <stp/>
        <stp>BDH|3168498890246048806</stp>
        <tr r="J12" s="12"/>
      </tp>
      <tp t="e">
        <v>#N/A</v>
        <stp/>
        <stp>BDH|2887167828375760494</stp>
        <tr r="N8" s="28"/>
      </tp>
      <tp t="e">
        <v>#N/A</v>
        <stp/>
        <stp>BDH|7158387643264798448</stp>
        <tr r="X34" s="22"/>
      </tp>
      <tp t="e">
        <v>#N/A</v>
        <stp/>
        <stp>BDH|9252991366071338776</stp>
        <tr r="I53" s="10"/>
        <tr r="I43" s="11"/>
        <tr r="I16" s="7"/>
      </tp>
      <tp t="e">
        <v>#N/A</v>
        <stp/>
        <stp>BDH|6574258257327950679</stp>
        <tr r="P10" s="11"/>
      </tp>
      <tp t="e">
        <v>#N/A</v>
        <stp/>
        <stp>BDH|6756429713736783583</stp>
        <tr r="V8" s="12"/>
      </tp>
      <tp t="e">
        <v>#N/A</v>
        <stp/>
        <stp>BDH|1309184874526240145</stp>
        <tr r="D179" s="18"/>
      </tp>
      <tp t="e">
        <v>#N/A</v>
        <stp/>
        <stp>BDH|4696678226299671984</stp>
        <tr r="O37" s="21"/>
      </tp>
      <tp t="e">
        <v>#N/A</v>
        <stp/>
        <stp>BDH|1440343058491744667</stp>
        <tr r="L16" s="29"/>
        <tr r="L39" s="29"/>
      </tp>
      <tp t="e">
        <v>#N/A</v>
        <stp/>
        <stp>BDH|2864293208436623660</stp>
        <tr r="L24" s="29"/>
      </tp>
      <tp t="e">
        <v>#N/A</v>
        <stp/>
        <stp>BDH|9923169063968052654</stp>
        <tr r="M71" s="10"/>
        <tr r="M61" s="11"/>
      </tp>
      <tp t="e">
        <v>#N/A</v>
        <stp/>
        <stp>BDH|1900534734003376440</stp>
        <tr r="X37" s="34"/>
      </tp>
      <tp t="e">
        <v>#N/A</v>
        <stp/>
        <stp>BDH|1366141249440139463</stp>
        <tr r="G22" s="10"/>
      </tp>
      <tp t="e">
        <v>#N/A</v>
        <stp/>
        <stp>BDH|3062100159121945691</stp>
        <tr r="C47" s="22"/>
      </tp>
      <tp t="e">
        <v>#N/A</v>
        <stp/>
        <stp>BDH|6030045818034066352</stp>
        <tr r="G35" s="6"/>
      </tp>
      <tp t="e">
        <v>#N/A</v>
        <stp/>
        <stp>BDH|7484102618144191347</stp>
        <tr r="L19" s="20"/>
      </tp>
      <tp t="e">
        <v>#N/A</v>
        <stp/>
        <stp>BDH|7029681831947969599</stp>
        <tr r="U174" s="18"/>
      </tp>
      <tp t="e">
        <v>#N/A</v>
        <stp/>
        <stp>BDH|4871934835559173764</stp>
        <tr r="U19" s="9"/>
      </tp>
      <tp t="e">
        <v>#N/A</v>
        <stp/>
        <stp>BDH|9176534306888499496</stp>
        <tr r="H63" s="24"/>
      </tp>
      <tp t="e">
        <v>#N/A</v>
        <stp/>
        <stp>BDH|1085240890989462393</stp>
        <tr r="F17" s="24"/>
      </tp>
      <tp t="e">
        <v>#N/A</v>
        <stp/>
        <stp>BDH|8436018099001775028</stp>
        <tr r="P19" s="5"/>
        <tr r="P42" s="6"/>
      </tp>
      <tp t="e">
        <v>#N/A</v>
        <stp/>
        <stp>BDH|1762680475755379502</stp>
        <tr r="X83" s="17"/>
      </tp>
      <tp t="e">
        <v>#N/A</v>
        <stp/>
        <stp>BDH|4802555918777919754</stp>
        <tr r="C15" s="34"/>
      </tp>
      <tp t="e">
        <v>#N/A</v>
        <stp/>
        <stp>BDH|3201614914710729496</stp>
        <tr r="L56" s="24"/>
      </tp>
      <tp t="e">
        <v>#N/A</v>
        <stp/>
        <stp>BDH|3804573555267106426</stp>
        <tr r="I16" s="17"/>
        <tr r="I19" s="28"/>
      </tp>
      <tp t="e">
        <v>#N/A</v>
        <stp/>
        <stp>BDH|7377091472660612077</stp>
        <tr r="K205" s="18"/>
      </tp>
      <tp t="e">
        <v>#N/A</v>
        <stp/>
        <stp>BDH|5164898276963298958</stp>
        <tr r="W43" s="22"/>
      </tp>
      <tp t="e">
        <v>#N/A</v>
        <stp/>
        <stp>BDH|9487587540570207872</stp>
        <tr r="C65" s="12"/>
      </tp>
      <tp t="e">
        <v>#N/A</v>
        <stp/>
        <stp>BDH|3619777458952616366</stp>
        <tr r="M80" s="12"/>
      </tp>
      <tp t="e">
        <v>#N/A</v>
        <stp/>
        <stp>BDH|9115046914968163090</stp>
        <tr r="D29" s="34"/>
      </tp>
      <tp t="e">
        <v>#N/A</v>
        <stp/>
        <stp>BDH|9503432034938912620</stp>
        <tr r="S70" s="13"/>
      </tp>
      <tp t="e">
        <v>#N/A</v>
        <stp/>
        <stp>BDH|6154933385913960474</stp>
        <tr r="E32" s="12"/>
      </tp>
      <tp t="e">
        <v>#N/A</v>
        <stp/>
        <stp>BDH|8307904254464983075</stp>
        <tr r="H37" s="17"/>
      </tp>
      <tp t="e">
        <v>#N/A</v>
        <stp/>
        <stp>BDH|1743075502929817834</stp>
        <tr r="H8" s="10"/>
      </tp>
      <tp t="e">
        <v>#N/A</v>
        <stp/>
        <stp>BDH|6005559449723550406</stp>
        <tr r="J47" s="24"/>
      </tp>
      <tp t="e">
        <v>#N/A</v>
        <stp/>
        <stp>BDH|8155158683063779297</stp>
        <tr r="D30" s="24"/>
      </tp>
      <tp t="e">
        <v>#N/A</v>
        <stp/>
        <stp>BDH|4979015858486936708</stp>
        <tr r="P43" s="6"/>
      </tp>
      <tp t="e">
        <v>#N/A</v>
        <stp/>
        <stp>BDH|3496543203360267683</stp>
        <tr r="Z35" s="18"/>
      </tp>
      <tp t="e">
        <v>#N/A</v>
        <stp/>
        <stp>BDH|5710868230006926814</stp>
        <tr r="F9" s="30"/>
      </tp>
      <tp t="e">
        <v>#N/A</v>
        <stp/>
        <stp>BDH|9795376981057176597</stp>
        <tr r="L23" s="2"/>
        <tr r="N19" s="21"/>
        <tr r="N23" s="3"/>
      </tp>
      <tp t="e">
        <v>#N/A</v>
        <stp/>
        <stp>BDH|6989248612322057769</stp>
        <tr r="W28" s="18"/>
      </tp>
      <tp t="e">
        <v>#N/A</v>
        <stp/>
        <stp>BDH|1546486966532008129</stp>
        <tr r="R74" s="18"/>
      </tp>
      <tp t="e">
        <v>#N/A</v>
        <stp/>
        <stp>BDH|6618117785976979926</stp>
        <tr r="G39" s="6"/>
      </tp>
      <tp t="e">
        <v>#N/A</v>
        <stp/>
        <stp>BDH|6419571736199599996</stp>
        <tr r="L53" s="6"/>
      </tp>
      <tp t="e">
        <v>#N/A</v>
        <stp/>
        <stp>BDH|8854744116886234814</stp>
        <tr r="Q91" s="12"/>
      </tp>
      <tp t="e">
        <v>#N/A</v>
        <stp/>
        <stp>BDH|7685095233242067628</stp>
        <tr r="H67" s="18"/>
      </tp>
      <tp t="e">
        <v>#N/A</v>
        <stp/>
        <stp>BDH|7599296023172186506</stp>
        <tr r="J67" s="13"/>
      </tp>
      <tp t="e">
        <v>#N/A</v>
        <stp/>
        <stp>BDH|5765290423583550665</stp>
        <tr r="Z27" s="13"/>
      </tp>
      <tp t="e">
        <v>#N/A</v>
        <stp/>
        <stp>BDH|4027742475306928262</stp>
        <tr r="F25" s="22"/>
      </tp>
      <tp t="e">
        <v>#N/A</v>
        <stp/>
        <stp>BDH|3216319218831751027</stp>
        <tr r="P12" s="10"/>
      </tp>
      <tp t="e">
        <v>#N/A</v>
        <stp/>
        <stp>BDH|7006484298168833264</stp>
        <tr r="N118" s="18"/>
        <tr r="N6" s="20"/>
      </tp>
      <tp t="e">
        <v>#N/A</v>
        <stp/>
        <stp>BDH|1421897318719300180</stp>
        <tr r="T83" s="17"/>
      </tp>
      <tp t="e">
        <v>#N/A</v>
        <stp/>
        <stp>BDH|1272692870520517003</stp>
        <tr r="E80" s="24"/>
      </tp>
      <tp t="e">
        <v>#N/A</v>
        <stp/>
        <stp>BDH|9549708688133418579</stp>
        <tr r="D52" s="24"/>
      </tp>
      <tp t="e">
        <v>#N/A</v>
        <stp/>
        <stp>BDH|5964702126878507849</stp>
        <tr r="G184" s="18"/>
      </tp>
      <tp t="e">
        <v>#N/A</v>
        <stp/>
        <stp>BDH|2910385067354143396</stp>
        <tr r="K25" s="10"/>
        <tr r="M34" s="13"/>
      </tp>
      <tp t="e">
        <v>#N/A</v>
        <stp/>
        <stp>BDH|5418025859363130301</stp>
        <tr r="G41" s="22"/>
      </tp>
      <tp t="e">
        <v>#N/A</v>
        <stp/>
        <stp>BDH|9671836110083361382</stp>
        <tr r="Y72" s="13"/>
      </tp>
      <tp t="e">
        <v>#N/A</v>
        <stp/>
        <stp>BDH|6335969138834667850</stp>
        <tr r="X67" s="10"/>
      </tp>
      <tp t="e">
        <v>#N/A</v>
        <stp/>
        <stp>BDH|3092368268134311235</stp>
        <tr r="N62" s="18"/>
      </tp>
      <tp t="e">
        <v>#N/A</v>
        <stp/>
        <stp>BDH|7378602205015923413</stp>
        <tr r="N64" s="24"/>
      </tp>
      <tp t="e">
        <v>#N/A</v>
        <stp/>
        <stp>BDH|3125018677944010095</stp>
        <tr r="Y29" s="10"/>
        <tr r="AA38" s="13"/>
      </tp>
      <tp t="e">
        <v>#N/A</v>
        <stp/>
        <stp>BDH|7138639734587985510</stp>
        <tr r="L36" s="10"/>
        <tr r="L48" s="10"/>
        <tr r="L26" s="11"/>
        <tr r="L38" s="11"/>
      </tp>
      <tp t="e">
        <v>#N/A</v>
        <stp/>
        <stp>BDH|9576508390844243194</stp>
        <tr r="C139" s="18"/>
      </tp>
      <tp t="e">
        <v>#N/A</v>
        <stp/>
        <stp>BDH|6764051266378894824</stp>
        <tr r="W10" s="2"/>
        <tr r="V11" s="5"/>
        <tr r="V51" s="6"/>
        <tr r="X33" s="29"/>
        <tr r="X42" s="29"/>
      </tp>
      <tp t="e">
        <v>#N/A</v>
        <stp/>
        <stp>BDH|9998546903644442844</stp>
        <tr r="Z40" s="12"/>
      </tp>
      <tp t="e">
        <v>#N/A</v>
        <stp/>
        <stp>BDH|6713957992020675688</stp>
        <tr r="T35" s="14"/>
      </tp>
      <tp t="e">
        <v>#N/A</v>
        <stp/>
        <stp>BDH|5437071080949409492</stp>
        <tr r="K32" s="5"/>
      </tp>
      <tp t="e">
        <v>#N/A</v>
        <stp/>
        <stp>BDH|1192573208904585053</stp>
        <tr r="R61" s="21"/>
      </tp>
      <tp t="e">
        <v>#N/A</v>
        <stp/>
        <stp>BDH|6356167718176194022</stp>
        <tr r="C43" s="18"/>
      </tp>
      <tp t="e">
        <v>#N/A</v>
        <stp/>
        <stp>BDH|5527710785958756286</stp>
        <tr r="I88" s="24"/>
      </tp>
      <tp t="e">
        <v>#N/A</v>
        <stp/>
        <stp>BDH|8794272183337825552</stp>
        <tr r="Y10" s="21"/>
      </tp>
      <tp t="e">
        <v>#N/A</v>
        <stp/>
        <stp>BDH|9286586265913950989</stp>
        <tr r="T11" s="18"/>
      </tp>
      <tp t="e">
        <v>#N/A</v>
        <stp/>
        <stp>BDH|1438856535983264981</stp>
        <tr r="N62" s="17"/>
      </tp>
      <tp t="e">
        <v>#N/A</v>
        <stp/>
        <stp>BDH|3921373516537575638</stp>
        <tr r="M91" s="12"/>
      </tp>
      <tp t="e">
        <v>#N/A</v>
        <stp/>
        <stp>BDH|7318918539165064855</stp>
        <tr r="N65" s="21"/>
        <tr r="L23" s="7"/>
      </tp>
      <tp t="e">
        <v>#N/A</v>
        <stp/>
        <stp>BDH|5868351246366366469</stp>
        <tr r="G51" s="34"/>
      </tp>
      <tp t="e">
        <v>#N/A</v>
        <stp/>
        <stp>BDH|6998459173690386524</stp>
        <tr r="Q62" s="17"/>
      </tp>
      <tp t="e">
        <v>#N/A</v>
        <stp/>
        <stp>BDH|6158408381398920276</stp>
        <tr r="P11" s="7"/>
      </tp>
      <tp t="e">
        <v>#N/A</v>
        <stp/>
        <stp>BDH|9843752494031048678</stp>
        <tr r="K13" s="9"/>
      </tp>
      <tp t="e">
        <v>#N/A</v>
        <stp/>
        <stp>BDH|5488756499143506832</stp>
        <tr r="V31" s="18"/>
      </tp>
      <tp t="e">
        <v>#N/A</v>
        <stp/>
        <stp>BDH|6250684780088656029</stp>
        <tr r="G57" s="13"/>
      </tp>
      <tp t="e">
        <v>#N/A</v>
        <stp/>
        <stp>BDH|6172082447051088300</stp>
        <tr r="P36" s="34"/>
      </tp>
      <tp t="e">
        <v>#N/A</v>
        <stp/>
        <stp>BDH|6056499246450431657</stp>
        <tr r="T138" s="18"/>
      </tp>
      <tp t="e">
        <v>#N/A</v>
        <stp/>
        <stp>BDH|8909751283295462259</stp>
        <tr r="Z209" s="18"/>
      </tp>
      <tp t="e">
        <v>#N/A</v>
        <stp/>
        <stp>BDH|6900549443795574255</stp>
        <tr r="Y14" s="28"/>
      </tp>
      <tp t="e">
        <v>#N/A</v>
        <stp/>
        <stp>BDH|5300850516435632988</stp>
        <tr r="V137" s="18"/>
      </tp>
      <tp t="e">
        <v>#N/A</v>
        <stp/>
        <stp>BDH|5253380920357110358</stp>
        <tr r="L10" s="23"/>
      </tp>
      <tp t="e">
        <v>#N/A</v>
        <stp/>
        <stp>BDH|7915429695798843284</stp>
        <tr r="N67" s="13"/>
      </tp>
      <tp t="e">
        <v>#N/A</v>
        <stp/>
        <stp>BDH|1321073478893336514</stp>
        <tr r="P206" s="18"/>
      </tp>
      <tp t="e">
        <v>#N/A</v>
        <stp/>
        <stp>BDH|1853380741567907171</stp>
        <tr r="R55" s="13"/>
      </tp>
      <tp t="e">
        <v>#N/A</v>
        <stp/>
        <stp>BDH|1074033353625653196</stp>
        <tr r="Q81" s="18"/>
      </tp>
      <tp t="e">
        <v>#N/A</v>
        <stp/>
        <stp>BDH|6533185554794148674</stp>
        <tr r="H55" s="24"/>
      </tp>
      <tp t="e">
        <v>#N/A</v>
        <stp/>
        <stp>BDH|8360211610632812951</stp>
        <tr r="L17" s="29"/>
        <tr r="L40" s="29"/>
      </tp>
      <tp t="e">
        <v>#N/A</v>
        <stp/>
        <stp>BDH|3445212446830560599</stp>
        <tr r="W21" s="2"/>
      </tp>
      <tp t="e">
        <v>#N/A</v>
        <stp/>
        <stp>BDH|2321910895695142790</stp>
        <tr r="J63" s="13"/>
      </tp>
      <tp t="e">
        <v>#N/A</v>
        <stp/>
        <stp>BDH|3442306479732509575</stp>
        <tr r="G54" s="17"/>
      </tp>
      <tp t="e">
        <v>#N/A</v>
        <stp/>
        <stp>BDH|9228746709758760675</stp>
        <tr r="C22" s="6"/>
      </tp>
      <tp t="e">
        <v>#N/A</v>
        <stp/>
        <stp>BDH|1050773432106351391</stp>
        <tr r="J29" s="18"/>
      </tp>
      <tp t="e">
        <v>#N/A</v>
        <stp/>
        <stp>BDH|7824016845373567062</stp>
        <tr r="M55" s="12"/>
      </tp>
      <tp t="e">
        <v>#N/A</v>
        <stp/>
        <stp>BDH|2120762918656603265</stp>
        <tr r="P36" s="21"/>
      </tp>
      <tp t="e">
        <v>#N/A</v>
        <stp/>
        <stp>BDH|5896166051007188615</stp>
        <tr r="C161" s="18"/>
      </tp>
      <tp t="e">
        <v>#N/A</v>
        <stp/>
        <stp>BDH|9335317520869888156</stp>
        <tr r="F14" s="29"/>
        <tr r="F23" s="29"/>
        <tr r="F37" s="29"/>
      </tp>
      <tp t="e">
        <v>#N/A</v>
        <stp/>
        <stp>BDH|4736207781267863915</stp>
        <tr r="W34" s="24"/>
      </tp>
      <tp t="e">
        <v>#N/A</v>
        <stp/>
        <stp>BDH|1745120388730545872</stp>
        <tr r="P201" s="18"/>
      </tp>
      <tp t="e">
        <v>#N/A</v>
        <stp/>
        <stp>BDH|5486692970887214306</stp>
        <tr r="X39" s="24"/>
      </tp>
      <tp t="e">
        <v>#N/A</v>
        <stp/>
        <stp>BDH|4885475152080614549</stp>
        <tr r="Z92" s="17"/>
        <tr r="Z7" s="27"/>
      </tp>
      <tp t="e">
        <v>#N/A</v>
        <stp/>
        <stp>BDH|9817564138747949803</stp>
        <tr r="E52" s="34"/>
      </tp>
      <tp t="e">
        <v>#N/A</v>
        <stp/>
        <stp>BDH|7404147174266894738</stp>
        <tr r="S13" s="24"/>
      </tp>
      <tp t="e">
        <v>#N/A</v>
        <stp/>
        <stp>BDH|9577312319513706857</stp>
        <tr r="Q47" s="10"/>
        <tr r="Q37" s="11"/>
      </tp>
      <tp t="e">
        <v>#N/A</v>
        <stp/>
        <stp>BDH|1716933833538813301</stp>
        <tr r="J77" s="17"/>
        <tr r="J19" s="3"/>
      </tp>
      <tp t="e">
        <v>#N/A</v>
        <stp/>
        <stp>BDH|4356272478792334305</stp>
        <tr r="N62" s="12"/>
      </tp>
      <tp t="e">
        <v>#N/A</v>
        <stp/>
        <stp>BDH|7362495233992286244</stp>
        <tr r="P51" s="17"/>
        <tr r="P17" s="3"/>
      </tp>
      <tp t="e">
        <v>#N/A</v>
        <stp/>
        <stp>BDH|8458968624342111189</stp>
        <tr r="X32" s="24"/>
      </tp>
      <tp t="e">
        <v>#N/A</v>
        <stp/>
        <stp>BDH|6677758036135943733</stp>
        <tr r="K49" s="12"/>
      </tp>
      <tp t="e">
        <v>#N/A</v>
        <stp/>
        <stp>BDH|6672446206465356789</stp>
        <tr r="S24" s="5"/>
      </tp>
      <tp t="e">
        <v>#N/A</v>
        <stp/>
        <stp>BDH|9163168738122076901</stp>
        <tr r="C33" s="14"/>
      </tp>
      <tp t="e">
        <v>#N/A</v>
        <stp/>
        <stp>BDH|9789196902058274010</stp>
        <tr r="N11" s="28"/>
      </tp>
      <tp t="e">
        <v>#N/A</v>
        <stp/>
        <stp>BDH|7641688434571524303</stp>
        <tr r="Q90" s="17"/>
        <tr r="Q34" s="25"/>
      </tp>
      <tp t="e">
        <v>#N/A</v>
        <stp/>
        <stp>BDH|1692440802487773282</stp>
        <tr r="F29" s="29"/>
        <tr r="F7" s="29"/>
      </tp>
      <tp t="e">
        <v>#N/A</v>
        <stp/>
        <stp>BDH|2788668687154189881</stp>
        <tr r="M42" s="12"/>
      </tp>
      <tp t="e">
        <v>#N/A</v>
        <stp/>
        <stp>BDH|2099932505379918201</stp>
        <tr r="Z27" s="25"/>
        <tr r="Z13" s="27"/>
      </tp>
      <tp t="e">
        <v>#N/A</v>
        <stp/>
        <stp>BDH|3246198855007346020</stp>
        <tr r="M72" s="18"/>
      </tp>
      <tp t="e">
        <v>#N/A</v>
        <stp/>
        <stp>BDH|7910168340770852280</stp>
        <tr r="L15" s="22"/>
      </tp>
      <tp t="e">
        <v>#N/A</v>
        <stp/>
        <stp>BDH|4326492864911418753</stp>
        <tr r="R92" s="12"/>
      </tp>
      <tp t="e">
        <v>#N/A</v>
        <stp/>
        <stp>BDH|3732583462838029821</stp>
        <tr r="Z12" s="12"/>
      </tp>
      <tp t="e">
        <v>#N/A</v>
        <stp/>
        <stp>BDH|4719969422339852645</stp>
        <tr r="G190" s="18"/>
      </tp>
      <tp t="e">
        <v>#N/A</v>
        <stp/>
        <stp>BDH|5882745403240122217</stp>
        <tr r="R9" s="22"/>
      </tp>
      <tp t="e">
        <v>#N/A</v>
        <stp/>
        <stp>BDH|2600071839856602713</stp>
        <tr r="D52" s="10"/>
        <tr r="D42" s="11"/>
        <tr r="D15" s="7"/>
      </tp>
      <tp t="e">
        <v>#N/A</v>
        <stp/>
        <stp>BDH|5852134595444304928</stp>
        <tr r="I15" s="34"/>
      </tp>
      <tp t="e">
        <v>#N/A</v>
        <stp/>
        <stp>BDH|4330096954930484159</stp>
        <tr r="Q105" s="12"/>
      </tp>
      <tp t="e">
        <v>#N/A</v>
        <stp/>
        <stp>BDH|6304895563918391059</stp>
        <tr r="T69" s="24"/>
      </tp>
      <tp t="e">
        <v>#N/A</v>
        <stp/>
        <stp>BDH|8741586080741398430</stp>
        <tr r="U59" s="34"/>
      </tp>
      <tp t="e">
        <v>#N/A</v>
        <stp/>
        <stp>BDH|9991252913462429842</stp>
        <tr r="O46" s="17"/>
      </tp>
      <tp t="e">
        <v>#N/A</v>
        <stp/>
        <stp>BDH|7526914189413353519</stp>
        <tr r="W44" s="17"/>
      </tp>
      <tp t="e">
        <v>#N/A</v>
        <stp/>
        <stp>BDH|8925330592814470633</stp>
        <tr r="N65" s="17"/>
      </tp>
      <tp t="e">
        <v>#N/A</v>
        <stp/>
        <stp>BDH|1864955088525285580</stp>
        <tr r="Q62" s="34"/>
      </tp>
      <tp t="e">
        <v>#N/A</v>
        <stp/>
        <stp>BDH|3573385922982422078</stp>
        <tr r="I157" s="18"/>
      </tp>
      <tp t="e">
        <v>#N/A</v>
        <stp/>
        <stp>BDH|9978994240353868746</stp>
        <tr r="G8" s="10"/>
      </tp>
      <tp t="e">
        <v>#N/A</v>
        <stp/>
        <stp>BDH|8948864436452754121</stp>
        <tr r="R70" s="10"/>
        <tr r="R60" s="11"/>
        <tr r="R20" s="7"/>
      </tp>
      <tp t="e">
        <v>#N/A</v>
        <stp/>
        <stp>BDH|7738717249061742540</stp>
        <tr r="E43" s="17"/>
      </tp>
      <tp t="e">
        <v>#N/A</v>
        <stp/>
        <stp>BDH|8565827519137599679</stp>
        <tr r="T186" s="18"/>
      </tp>
      <tp t="e">
        <v>#N/A</v>
        <stp/>
        <stp>BDH|2947223930483723002</stp>
        <tr r="O13" s="11"/>
      </tp>
      <tp t="e">
        <v>#N/A</v>
        <stp/>
        <stp>BDH|1482306612720880322</stp>
        <tr r="U28" s="17"/>
      </tp>
      <tp t="e">
        <v>#N/A</v>
        <stp/>
        <stp>BDH|1177560168654500662</stp>
        <tr r="X88" s="12"/>
      </tp>
      <tp t="e">
        <v>#N/A</v>
        <stp/>
        <stp>BDH|1732987081827593776</stp>
        <tr r="AA51" s="21"/>
      </tp>
      <tp t="e">
        <v>#N/A</v>
        <stp/>
        <stp>BDH|6127115076692902232</stp>
        <tr r="K10" s="34"/>
      </tp>
      <tp t="e">
        <v>#N/A</v>
        <stp/>
        <stp>BDH|1373720209156339076</stp>
        <tr r="G48" s="24"/>
      </tp>
      <tp t="e">
        <v>#N/A</v>
        <stp/>
        <stp>BDH|3504700575217537493</stp>
        <tr r="L87" s="18"/>
      </tp>
      <tp t="e">
        <v>#N/A</v>
        <stp/>
        <stp>BDH|1654414569854396712</stp>
        <tr r="X39" s="25"/>
        <tr r="X7" s="3"/>
        <tr r="V17" s="11"/>
        <tr r="X22" s="13"/>
        <tr r="X7" s="13"/>
      </tp>
      <tp t="e">
        <v>#N/A</v>
        <stp/>
        <stp>BDH|1402450470457558583</stp>
        <tr r="W40" s="10"/>
        <tr r="W30" s="11"/>
      </tp>
      <tp t="e">
        <v>#N/A</v>
        <stp/>
        <stp>BDH|4498158217470263486</stp>
        <tr r="J54" s="11"/>
      </tp>
      <tp t="e">
        <v>#N/A</v>
        <stp/>
        <stp>BDH|6109632186321904914</stp>
        <tr r="E83" s="24"/>
      </tp>
      <tp t="e">
        <v>#N/A</v>
        <stp/>
        <stp>BDH|5651894219195345991</stp>
        <tr r="K66" s="17"/>
      </tp>
      <tp t="e">
        <v>#N/A</v>
        <stp/>
        <stp>BDH|9076952118648236934</stp>
        <tr r="R38" s="22"/>
      </tp>
      <tp t="e">
        <v>#N/A</v>
        <stp/>
        <stp>BDH|3585367978607344049</stp>
        <tr r="C22" s="12"/>
      </tp>
      <tp t="e">
        <v>#N/A</v>
        <stp/>
        <stp>BDH|3351654168200463362</stp>
        <tr r="Q41" s="10"/>
        <tr r="Q31" s="11"/>
      </tp>
      <tp t="e">
        <v>#N/A</v>
        <stp/>
        <stp>BDH|4795699326784513411</stp>
        <tr r="Y17" s="21"/>
      </tp>
      <tp t="e">
        <v>#N/A</v>
        <stp/>
        <stp>BDH|1430283860570519552</stp>
        <tr r="D44" s="21"/>
      </tp>
      <tp t="e">
        <v>#N/A</v>
        <stp/>
        <stp>BDH|6934128895769197733</stp>
        <tr r="G11" s="6"/>
      </tp>
      <tp t="e">
        <v>#N/A</v>
        <stp/>
        <stp>BDH|4675555777465076388</stp>
        <tr r="D62" s="17"/>
      </tp>
      <tp t="e">
        <v>#N/A</v>
        <stp/>
        <stp>BDH|6330971458912717873</stp>
        <tr r="H23" s="21"/>
      </tp>
      <tp t="e">
        <v>#N/A</v>
        <stp/>
        <stp>BDH|2345468642425832732</stp>
        <tr r="G13" s="22"/>
      </tp>
      <tp t="e">
        <v>#N/A</v>
        <stp/>
        <stp>BDH|7395911178840514939</stp>
        <tr r="U11" s="22"/>
      </tp>
      <tp t="e">
        <v>#N/A</v>
        <stp/>
        <stp>BDH|2246788137355410354</stp>
        <tr r="H65" s="13"/>
      </tp>
      <tp t="e">
        <v>#N/A</v>
        <stp/>
        <stp>BDH|9912454666182093967</stp>
        <tr r="E55" s="12"/>
      </tp>
      <tp t="e">
        <v>#N/A</v>
        <stp/>
        <stp>BDH|5991907114348246534</stp>
        <tr r="G166" s="18"/>
      </tp>
      <tp t="e">
        <v>#N/A</v>
        <stp/>
        <stp>BDH|7495186677826688712</stp>
        <tr r="X18" s="13"/>
      </tp>
      <tp t="e">
        <v>#N/A</v>
        <stp/>
        <stp>BDH|9978619301248629732</stp>
        <tr r="P24" s="20"/>
      </tp>
      <tp t="e">
        <v>#N/A</v>
        <stp/>
        <stp>BDH|3430688767836573528</stp>
        <tr r="E20" s="5"/>
      </tp>
      <tp t="e">
        <v>#N/A</v>
        <stp/>
        <stp>BDH|4778754731211753188</stp>
        <tr r="C18" s="20"/>
      </tp>
      <tp t="e">
        <v>#N/A</v>
        <stp/>
        <stp>BDH|5715194618912853726</stp>
        <tr r="C84" s="12"/>
      </tp>
      <tp t="e">
        <v>#N/A</v>
        <stp/>
        <stp>BDH|9772708714398655796</stp>
        <tr r="P65" s="17"/>
      </tp>
      <tp t="e">
        <v>#N/A</v>
        <stp/>
        <stp>BDH|6514347454430043098</stp>
        <tr r="T9" s="27"/>
      </tp>
      <tp t="e">
        <v>#N/A</v>
        <stp/>
        <stp>BDH|5224343158104386716</stp>
        <tr r="E8" s="10"/>
      </tp>
      <tp t="e">
        <v>#N/A</v>
        <stp/>
        <stp>BDH|5765750583209993343</stp>
        <tr r="U92" s="24"/>
      </tp>
      <tp t="e">
        <v>#N/A</v>
        <stp/>
        <stp>BDH|7230676471092022489</stp>
        <tr r="D71" s="17"/>
      </tp>
      <tp t="e">
        <v>#N/A</v>
        <stp/>
        <stp>BDH|7688393758857843639</stp>
        <tr r="L31" s="10"/>
        <tr r="N40" s="13"/>
      </tp>
      <tp t="e">
        <v>#N/A</v>
        <stp/>
        <stp>BDH|4120668517284918748</stp>
        <tr r="P7" s="24"/>
      </tp>
      <tp t="e">
        <v>#N/A</v>
        <stp/>
        <stp>BDH|8662937188149839082</stp>
        <tr r="E62" s="24"/>
      </tp>
      <tp t="e">
        <v>#N/A</v>
        <stp/>
        <stp>BDH|3574359994420985903</stp>
        <tr r="O47" s="10"/>
        <tr r="O37" s="11"/>
      </tp>
      <tp t="e">
        <v>#N/A</v>
        <stp/>
        <stp>BDH|1526964787615997509</stp>
        <tr r="T79" s="34"/>
      </tp>
      <tp t="e">
        <v>#N/A</v>
        <stp/>
        <stp>BDH|3879614849607941641</stp>
        <tr r="D8" s="17"/>
      </tp>
      <tp t="e">
        <v>#N/A</v>
        <stp/>
        <stp>BDH|4432994698780191499</stp>
        <tr r="O24" s="27"/>
      </tp>
      <tp t="e">
        <v>#N/A</v>
        <stp/>
        <stp>BDH|4664450718740598138</stp>
        <tr r="Z37" s="26"/>
      </tp>
      <tp t="e">
        <v>#N/A</v>
        <stp/>
        <stp>BDH|1564800131828152288</stp>
        <tr r="AA17" s="13"/>
      </tp>
      <tp t="e">
        <v>#N/A</v>
        <stp/>
        <stp>BDH|2501826082503943114</stp>
        <tr r="H72" s="13"/>
      </tp>
      <tp t="e">
        <v>#N/A</v>
        <stp/>
        <stp>BDH|5158345135696962343</stp>
        <tr r="Y52" s="13"/>
      </tp>
      <tp t="e">
        <v>#N/A</v>
        <stp/>
        <stp>BDH|6747052362926842659</stp>
        <tr r="C39" s="22"/>
      </tp>
      <tp t="e">
        <v>#N/A</v>
        <stp/>
        <stp>BDH|5350618641641797690</stp>
        <tr r="D17" s="24"/>
      </tp>
      <tp t="e">
        <v>#N/A</v>
        <stp/>
        <stp>BDH|9502886721105846691</stp>
        <tr r="H41" s="18"/>
      </tp>
      <tp t="e">
        <v>#N/A</v>
        <stp/>
        <stp>BDH|7730510339999792851</stp>
        <tr r="N70" s="13"/>
      </tp>
      <tp t="e">
        <v>#N/A</v>
        <stp/>
        <stp>BDH|9100663987413552480</stp>
        <tr r="J71" s="24"/>
      </tp>
      <tp t="e">
        <v>#N/A</v>
        <stp/>
        <stp>BDH|1758080858427941330</stp>
        <tr r="S17" s="30"/>
      </tp>
      <tp t="e">
        <v>#N/A</v>
        <stp/>
        <stp>BDH|4248467833505954637</stp>
        <tr r="V45" s="6"/>
      </tp>
      <tp t="e">
        <v>#N/A</v>
        <stp/>
        <stp>BDH|6331086686056355834</stp>
        <tr r="Z61" s="21"/>
      </tp>
      <tp t="e">
        <v>#N/A</v>
        <stp/>
        <stp>BDH|7896772308735807528</stp>
        <tr r="H53" s="17"/>
      </tp>
      <tp t="e">
        <v>#N/A</v>
        <stp/>
        <stp>BDH|9724202307072962942</stp>
        <tr r="O8" s="26"/>
        <tr r="L10" s="9"/>
      </tp>
      <tp t="e">
        <v>#N/A</v>
        <stp/>
        <stp>BDH|6485702982328351188</stp>
        <tr r="D12" s="14"/>
      </tp>
      <tp t="e">
        <v>#N/A</v>
        <stp/>
        <stp>BDH|2047246713095271481</stp>
        <tr r="L64" s="24"/>
      </tp>
      <tp t="e">
        <v>#N/A</v>
        <stp/>
        <stp>BDH|3892860239598311099</stp>
        <tr r="L49" s="24"/>
      </tp>
      <tp t="e">
        <v>#N/A</v>
        <stp/>
        <stp>BDH|6692488345727166177</stp>
        <tr r="Z36" s="18"/>
      </tp>
      <tp t="e">
        <v>#N/A</v>
        <stp/>
        <stp>BDH|1288355762310984411</stp>
        <tr r="E63" s="13"/>
      </tp>
      <tp t="e">
        <v>#N/A</v>
        <stp/>
        <stp>BDH|4642665433355787493</stp>
        <tr r="J30" s="12"/>
      </tp>
      <tp t="e">
        <v>#N/A</v>
        <stp/>
        <stp>BDH|5840241562788199922</stp>
        <tr r="P81" s="18"/>
      </tp>
      <tp t="e">
        <v>#N/A</v>
        <stp/>
        <stp>BDH|1790430578744127605</stp>
        <tr r="J31" s="9"/>
      </tp>
      <tp t="e">
        <v>#N/A</v>
        <stp/>
        <stp>BDH|4877514655736650279</stp>
        <tr r="D47" s="10"/>
        <tr r="D37" s="11"/>
      </tp>
      <tp t="e">
        <v>#N/A</v>
        <stp/>
        <stp>BDH|6841668096649730022</stp>
        <tr r="L15" s="12"/>
      </tp>
      <tp t="e">
        <v>#N/A</v>
        <stp/>
        <stp>BDH|5078339342794432681</stp>
        <tr r="C30" s="29"/>
        <tr r="C8" s="29"/>
      </tp>
      <tp t="e">
        <v>#N/A</v>
        <stp/>
        <stp>BDH|6151762926181590294</stp>
        <tr r="D98" s="18"/>
      </tp>
      <tp t="e">
        <v>#N/A</v>
        <stp/>
        <stp>BDH|4679094684744789817</stp>
        <tr r="Q18" s="29"/>
        <tr r="Q41" s="29"/>
      </tp>
      <tp t="e">
        <v>#N/A</v>
        <stp/>
        <stp>BDH|5199926372279574291</stp>
        <tr r="M93" s="12"/>
      </tp>
      <tp t="e">
        <v>#N/A</v>
        <stp/>
        <stp>BDH|2569983843857601850</stp>
        <tr r="K40" s="6"/>
      </tp>
      <tp t="e">
        <v>#N/A</v>
        <stp/>
        <stp>BDH|2888540918191949700</stp>
        <tr r="I86" s="24"/>
      </tp>
      <tp t="e">
        <v>#N/A</v>
        <stp/>
        <stp>BDH|4749121237004819279</stp>
        <tr r="P17" s="24"/>
      </tp>
      <tp t="e">
        <v>#N/A</v>
        <stp/>
        <stp>BDH|1877450020734798374</stp>
        <tr r="X15" s="22"/>
      </tp>
      <tp t="e">
        <v>#N/A</v>
        <stp/>
        <stp>BDH|5625443962644986342</stp>
        <tr r="M19" s="24"/>
      </tp>
      <tp t="e">
        <v>#N/A</v>
        <stp/>
        <stp>BDH|1971477379991351390</stp>
        <tr r="S41" s="22"/>
      </tp>
      <tp t="e">
        <v>#N/A</v>
        <stp/>
        <stp>BDH|1947971792549699876</stp>
        <tr r="P9" s="28"/>
      </tp>
      <tp t="e">
        <v>#N/A</v>
        <stp/>
        <stp>BDH|2164467035233698695</stp>
        <tr r="Y94" s="12"/>
      </tp>
      <tp t="e">
        <v>#N/A</v>
        <stp/>
        <stp>BDH|6470290764846004441</stp>
        <tr r="M72" s="34"/>
      </tp>
      <tp t="e">
        <v>#N/A</v>
        <stp/>
        <stp>BDH|8438814680818098088</stp>
        <tr r="M92" s="24"/>
      </tp>
      <tp t="e">
        <v>#N/A</v>
        <stp/>
        <stp>BDH|1409972448184295844</stp>
        <tr r="Y37" s="34"/>
      </tp>
      <tp t="e">
        <v>#N/A</v>
        <stp/>
        <stp>BDH|6451259056348958934</stp>
        <tr r="I41" s="12"/>
      </tp>
      <tp t="e">
        <v>#N/A</v>
        <stp/>
        <stp>BDH|7288696027263044016</stp>
        <tr r="AA65" s="21"/>
        <tr r="Y23" s="7"/>
      </tp>
      <tp t="e">
        <v>#N/A</v>
        <stp/>
        <stp>BDH|2059515942941101209</stp>
        <tr r="K25" s="14"/>
      </tp>
      <tp t="e">
        <v>#N/A</v>
        <stp/>
        <stp>BDH|9689108576077765856</stp>
        <tr r="Z18" s="24"/>
      </tp>
      <tp t="e">
        <v>#N/A</v>
        <stp/>
        <stp>BDH|7688660869896216191</stp>
        <tr r="H80" s="24"/>
      </tp>
      <tp t="e">
        <v>#N/A</v>
        <stp/>
        <stp>BDH|2803199152914461255</stp>
        <tr r="K174" s="18"/>
      </tp>
      <tp t="e">
        <v>#N/A</v>
        <stp/>
        <stp>BDH|5474266801936332128</stp>
        <tr r="M34" s="14"/>
      </tp>
      <tp t="e">
        <v>#N/A</v>
        <stp/>
        <stp>BDH|7641521937756380729</stp>
        <tr r="O168" s="18"/>
      </tp>
      <tp t="e">
        <v>#N/A</v>
        <stp/>
        <stp>BDH|4923736787692973966</stp>
        <tr r="X63" s="13"/>
      </tp>
      <tp t="e">
        <v>#N/A</v>
        <stp/>
        <stp>BDH|6769990432838981475</stp>
        <tr r="T40" s="18"/>
      </tp>
      <tp t="e">
        <v>#N/A</v>
        <stp/>
        <stp>BDH|1337367903995382777</stp>
        <tr r="J25" s="3"/>
      </tp>
      <tp t="e">
        <v>#N/A</v>
        <stp/>
        <stp>BDH|1835767750804884746</stp>
        <tr r="J29" s="6"/>
      </tp>
      <tp t="e">
        <v>#N/A</v>
        <stp/>
        <stp>BDH|9035123841434378821</stp>
        <tr r="X103" s="18"/>
      </tp>
      <tp t="e">
        <v>#N/A</v>
        <stp/>
        <stp>BDH|1727077217034064451</stp>
        <tr r="F13" s="21"/>
      </tp>
      <tp t="e">
        <v>#N/A</v>
        <stp/>
        <stp>BDH|9584056340085141838</stp>
        <tr r="C153" s="18"/>
      </tp>
      <tp t="e">
        <v>#N/A</v>
        <stp/>
        <stp>BDH|6740558756861785719</stp>
        <tr r="Y22" s="21"/>
      </tp>
      <tp t="e">
        <v>#N/A</v>
        <stp/>
        <stp>BDH|5545430322214001763</stp>
        <tr r="F70" s="24"/>
      </tp>
      <tp t="e">
        <v>#N/A</v>
        <stp/>
        <stp>BDH|3431173070047665273</stp>
        <tr r="R41" s="17"/>
        <tr r="R9" s="25"/>
      </tp>
      <tp t="e">
        <v>#N/A</v>
        <stp/>
        <stp>BDH|4920054340269769996</stp>
        <tr r="E65" s="12"/>
      </tp>
      <tp t="e">
        <v>#N/A</v>
        <stp/>
        <stp>BDH|2794561962152181305</stp>
        <tr r="O10" s="11"/>
      </tp>
      <tp t="e">
        <v>#N/A</v>
        <stp/>
        <stp>BDH|5793263953815350733</stp>
        <tr r="P158" s="18"/>
      </tp>
      <tp t="e">
        <v>#N/A</v>
        <stp/>
        <stp>BDH|1078524145759558906</stp>
        <tr r="Y14" s="4"/>
      </tp>
      <tp t="e">
        <v>#N/A</v>
        <stp/>
        <stp>BDH|2653546162410632143</stp>
        <tr r="E54" s="6"/>
      </tp>
      <tp t="e">
        <v>#N/A</v>
        <stp/>
        <stp>BDH|8997421475758483381</stp>
        <tr r="W13" s="26"/>
      </tp>
      <tp t="e">
        <v>#N/A</v>
        <stp/>
        <stp>BDH|4125610976372224765</stp>
        <tr r="S23" s="12"/>
      </tp>
      <tp t="e">
        <v>#N/A</v>
        <stp/>
        <stp>BDH|5733298840262575198</stp>
        <tr r="W10" s="17"/>
      </tp>
      <tp t="e">
        <v>#N/A</v>
        <stp/>
        <stp>BDH|3965320748677210339</stp>
        <tr r="J23" s="30"/>
        <tr r="J25" s="23"/>
      </tp>
      <tp t="e">
        <v>#N/A</v>
        <stp/>
        <stp>BDH|5794032140423257242</stp>
        <tr r="L91" s="24"/>
      </tp>
      <tp t="e">
        <v>#N/A</v>
        <stp/>
        <stp>BDH|7674103869728981843</stp>
        <tr r="V82" s="12"/>
      </tp>
      <tp t="e">
        <v>#N/A</v>
        <stp/>
        <stp>BDH|1275642834124895085</stp>
        <tr r="L38" s="17"/>
      </tp>
      <tp t="e">
        <v>#N/A</v>
        <stp/>
        <stp>BDH|9167024890016384622</stp>
        <tr r="C39" s="18"/>
      </tp>
      <tp t="e">
        <v>#N/A</v>
        <stp/>
        <stp>BDH|4761569610243056333</stp>
        <tr r="P54" s="24"/>
      </tp>
      <tp t="e">
        <v>#N/A</v>
        <stp/>
        <stp>BDH|9957846781470991975</stp>
        <tr r="V35" s="6"/>
      </tp>
      <tp t="e">
        <v>#N/A</v>
        <stp/>
        <stp>BDH|6487183178127113770</stp>
        <tr r="C35" s="6"/>
      </tp>
      <tp t="e">
        <v>#N/A</v>
        <stp/>
        <stp>BDH|9889998940526160229</stp>
        <tr r="P14" s="10"/>
      </tp>
      <tp t="e">
        <v>#N/A</v>
        <stp/>
        <stp>BDH|4333003697189421429</stp>
        <tr r="Z20" s="22"/>
      </tp>
      <tp t="e">
        <v>#N/A</v>
        <stp/>
        <stp>BDH|2935856214793800828</stp>
        <tr r="P62" s="18"/>
      </tp>
      <tp t="e">
        <v>#N/A</v>
        <stp/>
        <stp>BDH|6773079454355159672</stp>
        <tr r="H18" s="13"/>
      </tp>
      <tp t="e">
        <v>#N/A</v>
        <stp/>
        <stp>BDH|8292174102449473013</stp>
        <tr r="Y25" s="3"/>
      </tp>
      <tp t="e">
        <v>#N/A</v>
        <stp/>
        <stp>BDH|5398319727025557128</stp>
        <tr r="Y8" s="22"/>
      </tp>
      <tp t="e">
        <v>#N/A</v>
        <stp/>
        <stp>BDH|1786723896618899798</stp>
        <tr r="D42" s="21"/>
      </tp>
      <tp t="e">
        <v>#N/A</v>
        <stp/>
        <stp>BDH|4706539156230202427</stp>
        <tr r="AA35" s="25"/>
      </tp>
      <tp t="e">
        <v>#N/A</v>
        <stp/>
        <stp>BDH|2339626356696254779</stp>
        <tr r="I62" s="13"/>
      </tp>
      <tp t="e">
        <v>#N/A</v>
        <stp/>
        <stp>BDH|1188474141309094859</stp>
        <tr r="H31" s="10"/>
        <tr r="J40" s="13"/>
      </tp>
      <tp t="e">
        <v>#N/A</v>
        <stp/>
        <stp>BDH|4144102801947078226</stp>
        <tr r="S198" s="18"/>
      </tp>
      <tp t="e">
        <v>#N/A</v>
        <stp/>
        <stp>BDH|9773971109736281697</stp>
        <tr r="Q33" s="24"/>
      </tp>
      <tp t="e">
        <v>#N/A</v>
        <stp/>
        <stp>BDH|3352117502243370119</stp>
        <tr r="X8" s="2"/>
      </tp>
      <tp t="e">
        <v>#N/A</v>
        <stp/>
        <stp>BDH|5850717518701486273</stp>
        <tr r="AA125" s="18"/>
        <tr r="AA14" s="20"/>
      </tp>
      <tp t="e">
        <v>#N/A</v>
        <stp/>
        <stp>BDH|7558122642087722514</stp>
        <tr r="O7" s="30"/>
      </tp>
      <tp t="e">
        <v>#N/A</v>
        <stp/>
        <stp>BDH|7668203664474945784</stp>
        <tr r="W93" s="24"/>
      </tp>
      <tp t="e">
        <v>#N/A</v>
        <stp/>
        <stp>BDH|2044881076494913941</stp>
        <tr r="C58" s="34"/>
      </tp>
      <tp t="e">
        <v>#N/A</v>
        <stp/>
        <stp>BDH|7502527917186742542</stp>
        <tr r="AA61" s="24"/>
      </tp>
      <tp t="e">
        <v>#N/A</v>
        <stp/>
        <stp>BDH|8935423138098011701</stp>
        <tr r="S78" s="12"/>
      </tp>
      <tp t="e">
        <v>#N/A</v>
        <stp/>
        <stp>BDH|6119026426513371755</stp>
        <tr r="AA31" s="26"/>
        <tr r="X14" s="9"/>
      </tp>
      <tp t="e">
        <v>#N/A</v>
        <stp/>
        <stp>BDH|9508795795513835423</stp>
        <tr r="D24" s="13"/>
      </tp>
      <tp t="e">
        <v>#N/A</v>
        <stp/>
        <stp>BDH|9073447563229701231</stp>
        <tr r="AA88" s="18"/>
      </tp>
      <tp t="e">
        <v>#N/A</v>
        <stp/>
        <stp>BDH|9799331673789381474</stp>
        <tr r="E43" s="6"/>
      </tp>
      <tp t="e">
        <v>#N/A</v>
        <stp/>
        <stp>BDH|2177671711040005545</stp>
        <tr r="N39" s="4"/>
        <tr r="N66" s="10"/>
      </tp>
      <tp t="e">
        <v>#N/A</v>
        <stp/>
        <stp>BDH|5238353635711369423</stp>
        <tr r="L72" s="34"/>
      </tp>
      <tp t="e">
        <v>#N/A</v>
        <stp/>
        <stp>BDH|3566219413374592417</stp>
        <tr r="Y166" s="18"/>
      </tp>
      <tp t="e">
        <v>#N/A</v>
        <stp/>
        <stp>BDH|5825231679007711760</stp>
        <tr r="W28" s="21"/>
      </tp>
      <tp t="e">
        <v>#N/A</v>
        <stp/>
        <stp>BDH|5635748262243490772</stp>
        <tr r="R9" s="26"/>
      </tp>
      <tp t="e">
        <v>#N/A</v>
        <stp/>
        <stp>BDH|4414260235176661323</stp>
        <tr r="Y13" s="18"/>
      </tp>
      <tp t="e">
        <v>#N/A</v>
        <stp/>
        <stp>BDH|7205454002844285740</stp>
        <tr r="F46" s="18"/>
      </tp>
      <tp t="e">
        <v>#N/A</v>
        <stp/>
        <stp>BDH|2725039010874012776</stp>
        <tr r="Q12" s="14"/>
      </tp>
      <tp t="e">
        <v>#N/A</v>
        <stp/>
        <stp>BDH|5963742120303762395</stp>
        <tr r="F21" s="20"/>
      </tp>
      <tp t="e">
        <v>#N/A</v>
        <stp/>
        <stp>BDH|1187718332363933684</stp>
        <tr r="O13" s="10"/>
      </tp>
      <tp t="e">
        <v>#N/A</v>
        <stp/>
        <stp>BDH|1515339910671636239</stp>
        <tr r="K89" s="17"/>
      </tp>
      <tp t="e">
        <v>#N/A</v>
        <stp/>
        <stp>BDH|2542423552457035467</stp>
        <tr r="U82" s="24"/>
      </tp>
      <tp t="e">
        <v>#N/A</v>
        <stp/>
        <stp>BDH|5441139437213104428</stp>
        <tr r="Y106" s="18"/>
      </tp>
      <tp t="e">
        <v>#N/A</v>
        <stp/>
        <stp>BDH|2219652211585471016</stp>
        <tr r="N207" s="18"/>
      </tp>
      <tp t="e">
        <v>#N/A</v>
        <stp/>
        <stp>BDH|5062145977515668667</stp>
        <tr r="Q14" s="10"/>
      </tp>
      <tp t="e">
        <v>#N/A</v>
        <stp/>
        <stp>BDH|2283104749784094385</stp>
        <tr r="M162" s="18"/>
      </tp>
      <tp t="e">
        <v>#N/A</v>
        <stp/>
        <stp>BDH|5125362815270472752</stp>
        <tr r="N17" s="13"/>
      </tp>
      <tp t="e">
        <v>#N/A</v>
        <stp/>
        <stp>BDH|6158727152796331210</stp>
        <tr r="E57" s="11"/>
        <tr r="G15" s="23"/>
      </tp>
      <tp t="e">
        <v>#N/A</v>
        <stp/>
        <stp>BDH|9454215173304406815</stp>
        <tr r="R17" s="22"/>
      </tp>
      <tp t="e">
        <v>#N/A</v>
        <stp/>
        <stp>BDH|5206775174690242501</stp>
        <tr r="G27" s="13"/>
      </tp>
      <tp t="e">
        <v>#N/A</v>
        <stp/>
        <stp>BDH|4977303048574028725</stp>
        <tr r="X9" s="18"/>
      </tp>
      <tp t="e">
        <v>#N/A</v>
        <stp/>
        <stp>BDH|1674795736005979033</stp>
        <tr r="C17" s="5"/>
        <tr r="C32" s="6"/>
      </tp>
      <tp t="e">
        <v>#N/A</v>
        <stp/>
        <stp>BDH|4818035539556333124</stp>
        <tr r="Y204" s="18"/>
      </tp>
      <tp t="e">
        <v>#N/A</v>
        <stp/>
        <stp>BDH|1033923140848800491</stp>
        <tr r="R38" s="10"/>
        <tr r="R28" s="11"/>
        <tr r="T47" s="13"/>
      </tp>
      <tp t="e">
        <v>#N/A</v>
        <stp/>
        <stp>BDH|7317910124914566807</stp>
        <tr r="U77" s="12"/>
      </tp>
      <tp t="e">
        <v>#N/A</v>
        <stp/>
        <stp>BDH|1180316806320278273</stp>
        <tr r="M28" s="14"/>
      </tp>
      <tp t="e">
        <v>#N/A</v>
        <stp/>
        <stp>BDH|5592175964400140245</stp>
        <tr r="L12" s="6"/>
      </tp>
      <tp t="e">
        <v>#N/A</v>
        <stp/>
        <stp>BDH|4970630954804477393</stp>
        <tr r="F140" s="18"/>
      </tp>
      <tp t="e">
        <v>#N/A</v>
        <stp/>
        <stp>BDH|7285514656746598138</stp>
        <tr r="H81" s="12"/>
      </tp>
      <tp t="e">
        <v>#N/A</v>
        <stp/>
        <stp>BDH|5258553129255464798</stp>
        <tr r="M106" s="18"/>
      </tp>
      <tp t="e">
        <v>#N/A</v>
        <stp/>
        <stp>BDH|2883184821731030025</stp>
        <tr r="M23" s="14"/>
      </tp>
      <tp t="e">
        <v>#N/A</v>
        <stp/>
        <stp>BDH|1093416460853480063</stp>
        <tr r="J78" s="24"/>
      </tp>
      <tp t="e">
        <v>#N/A</v>
        <stp/>
        <stp>BDH|6128549718557849566</stp>
        <tr r="C8" s="34"/>
      </tp>
      <tp t="e">
        <v>#N/A</v>
        <stp/>
        <stp>BDH|2193350126360229334</stp>
        <tr r="E72" s="13"/>
      </tp>
      <tp t="e">
        <v>#N/A</v>
        <stp/>
        <stp>BDH|3608415673447694714</stp>
        <tr r="Y64" s="18"/>
      </tp>
      <tp t="e">
        <v>#N/A</v>
        <stp/>
        <stp>BDH|7530105864967241707</stp>
        <tr r="M85" s="12"/>
      </tp>
      <tp t="e">
        <v>#N/A</v>
        <stp/>
        <stp>BDH|5273456426683118039</stp>
        <tr r="E57" s="10"/>
        <tr r="E47" s="11"/>
        <tr r="E18" s="7"/>
        <tr r="G64" s="13"/>
      </tp>
      <tp t="e">
        <v>#N/A</v>
        <stp/>
        <stp>BDH|3195231267333537436</stp>
        <tr r="O8" s="17"/>
      </tp>
      <tp t="e">
        <v>#N/A</v>
        <stp/>
        <stp>BDH|9010036894843532312</stp>
        <tr r="Y9" s="14"/>
      </tp>
      <tp t="e">
        <v>#N/A</v>
        <stp/>
        <stp>BDH|7007983843852898833</stp>
        <tr r="X9" s="11"/>
      </tp>
      <tp t="e">
        <v>#N/A</v>
        <stp/>
        <stp>BDH|3678273607209612806</stp>
        <tr r="Y18" s="34"/>
      </tp>
      <tp t="e">
        <v>#N/A</v>
        <stp/>
        <stp>BDH|9101162983107266764</stp>
        <tr r="L62" s="18"/>
      </tp>
      <tp t="e">
        <v>#N/A</v>
        <stp/>
        <stp>BDH|9247856185308719151</stp>
        <tr r="N91" s="18"/>
      </tp>
      <tp t="e">
        <v>#N/A</v>
        <stp/>
        <stp>BDH|7206027637520305441</stp>
        <tr r="C64" s="18"/>
      </tp>
      <tp t="e">
        <v>#N/A</v>
        <stp/>
        <stp>BDH|5697525671380048758</stp>
        <tr r="O68" s="17"/>
        <tr r="L8" s="5"/>
        <tr r="L8" s="9"/>
      </tp>
      <tp t="e">
        <v>#N/A</v>
        <stp/>
        <stp>BDH|2851787221066338122</stp>
        <tr r="V89" s="18"/>
      </tp>
      <tp t="e">
        <v>#N/A</v>
        <stp/>
        <stp>BDH|2821952169514533914</stp>
        <tr r="O6" s="28"/>
      </tp>
      <tp t="e">
        <v>#N/A</v>
        <stp/>
        <stp>BDH|6465431309546691489</stp>
        <tr r="C73" s="17"/>
      </tp>
      <tp t="e">
        <v>#N/A</v>
        <stp/>
        <stp>BDH|7138613116358184879</stp>
        <tr r="H78" s="34"/>
      </tp>
      <tp t="e">
        <v>#N/A</v>
        <stp/>
        <stp>BDH|1316143750525335041</stp>
        <tr r="F57" s="11"/>
        <tr r="H15" s="23"/>
      </tp>
      <tp t="e">
        <v>#N/A</v>
        <stp/>
        <stp>BDH|2435336312362532200</stp>
        <tr r="E12" s="13"/>
      </tp>
      <tp t="e">
        <v>#N/A</v>
        <stp/>
        <stp>BDH|9128023652909455558</stp>
        <tr r="D58" s="17"/>
      </tp>
      <tp t="e">
        <v>#N/A</v>
        <stp/>
        <stp>BDH|3405253416864564429</stp>
        <tr r="R47" s="21"/>
      </tp>
      <tp t="e">
        <v>#N/A</v>
        <stp/>
        <stp>BDH|5077386288659733770</stp>
        <tr r="E146" s="18"/>
      </tp>
      <tp t="e">
        <v>#N/A</v>
        <stp/>
        <stp>BDH|6376743826652630175</stp>
        <tr r="P80" s="12"/>
      </tp>
      <tp t="e">
        <v>#N/A</v>
        <stp/>
        <stp>BDH|1699644299789296795</stp>
        <tr r="S83" s="17"/>
      </tp>
      <tp t="e">
        <v>#N/A</v>
        <stp/>
        <stp>BDH|5166156437723777446</stp>
        <tr r="T12" s="3"/>
        <tr r="R55" s="10"/>
        <tr r="R45" s="11"/>
        <tr r="R7" s="7"/>
      </tp>
      <tp t="e">
        <v>#N/A</v>
        <stp/>
        <stp>BDH|3145540382308645615</stp>
        <tr r="V55" s="13"/>
      </tp>
      <tp t="e">
        <v>#N/A</v>
        <stp/>
        <stp>BDH|3957460549487133474</stp>
        <tr r="D33" s="17"/>
      </tp>
      <tp t="e">
        <v>#N/A</v>
        <stp/>
        <stp>BDH|5893654539212061240</stp>
        <tr r="M87" s="24"/>
      </tp>
      <tp t="e">
        <v>#N/A</v>
        <stp/>
        <stp>BDH|2527847319223976818</stp>
        <tr r="D23" s="21"/>
      </tp>
      <tp t="e">
        <v>#N/A</v>
        <stp/>
        <stp>BDH|7590759977993483439</stp>
        <tr r="J211" s="18"/>
      </tp>
      <tp t="e">
        <v>#N/A</v>
        <stp/>
        <stp>BDH|4253652868810636494</stp>
        <tr r="L175" s="18"/>
      </tp>
      <tp t="e">
        <v>#N/A</v>
        <stp/>
        <stp>BDH|8464471487691312578</stp>
        <tr r="R21" s="2"/>
      </tp>
      <tp t="e">
        <v>#N/A</v>
        <stp/>
        <stp>BDH|2386784247719531893</stp>
        <tr r="N28" s="13"/>
      </tp>
      <tp t="e">
        <v>#N/A</v>
        <stp/>
        <stp>BDH|5437179573320671365</stp>
        <tr r="R11" s="30"/>
      </tp>
      <tp t="e">
        <v>#N/A</v>
        <stp/>
        <stp>BDH|1042852825363769879</stp>
        <tr r="T15" s="13"/>
      </tp>
      <tp t="e">
        <v>#N/A</v>
        <stp/>
        <stp>BDH|6165608143400722452</stp>
        <tr r="G59" s="11"/>
      </tp>
      <tp t="e">
        <v>#N/A</v>
        <stp/>
        <stp>BDH|1670829009451568886</stp>
        <tr r="E56" s="24"/>
      </tp>
      <tp t="e">
        <v>#N/A</v>
        <stp/>
        <stp>BDH|3522739861173347144</stp>
        <tr r="X22" s="24"/>
      </tp>
      <tp t="e">
        <v>#N/A</v>
        <stp/>
        <stp>BDH|2833635724416685097</stp>
        <tr r="R13" s="7"/>
      </tp>
      <tp t="e">
        <v>#N/A</v>
        <stp/>
        <stp>BDH|9001634905576345958</stp>
        <tr r="J47" s="18"/>
      </tp>
      <tp t="e">
        <v>#N/A</v>
        <stp/>
        <stp>BDH|4062479134132020130</stp>
        <tr r="AA10" s="13"/>
      </tp>
      <tp t="e">
        <v>#N/A</v>
        <stp/>
        <stp>BDH|5399532961292013414</stp>
        <tr r="J75" s="17"/>
      </tp>
      <tp t="e">
        <v>#N/A</v>
        <stp/>
        <stp>BDH|7265092320953206692</stp>
        <tr r="O40" s="17"/>
      </tp>
      <tp t="e">
        <v>#N/A</v>
        <stp/>
        <stp>BDH|9124141488959408995</stp>
        <tr r="AA29" s="14"/>
      </tp>
      <tp t="e">
        <v>#N/A</v>
        <stp/>
        <stp>BDH|2465786342148799997</stp>
        <tr r="X25" s="7"/>
      </tp>
      <tp t="e">
        <v>#N/A</v>
        <stp/>
        <stp>BDH|7755819030795407924</stp>
        <tr r="S41" s="21"/>
      </tp>
      <tp t="e">
        <v>#N/A</v>
        <stp/>
        <stp>BDH|8651631030984626931</stp>
        <tr r="X102" s="18"/>
      </tp>
      <tp t="e">
        <v>#N/A</v>
        <stp/>
        <stp>BDH|8918893060874915295</stp>
        <tr r="G10" s="17"/>
      </tp>
      <tp t="e">
        <v>#N/A</v>
        <stp/>
        <stp>BDH|3612553286927536919</stp>
        <tr r="I44" s="17"/>
      </tp>
      <tp t="e">
        <v>#N/A</v>
        <stp/>
        <stp>BDH|7707921904597544951</stp>
        <tr r="C42" s="4"/>
      </tp>
      <tp t="e">
        <v>#N/A</v>
        <stp/>
        <stp>BDH|4030330686209429602</stp>
        <tr r="V12" s="7"/>
      </tp>
      <tp t="e">
        <v>#N/A</v>
        <stp/>
        <stp>BDH|2818418976855740495</stp>
        <tr r="Y130" s="18"/>
      </tp>
      <tp t="e">
        <v>#N/A</v>
        <stp/>
        <stp>BDH|2547755250744614477</stp>
        <tr r="J74" s="12"/>
      </tp>
      <tp t="e">
        <v>#N/A</v>
        <stp/>
        <stp>BDH|9337617726645071855</stp>
        <tr r="T13" s="5"/>
      </tp>
      <tp t="e">
        <v>#N/A</v>
        <stp/>
        <stp>BDH|5476270996967694927</stp>
        <tr r="U10" s="18"/>
      </tp>
      <tp t="e">
        <v>#N/A</v>
        <stp/>
        <stp>BDH|4202057605797205310</stp>
        <tr r="M12" s="6"/>
      </tp>
      <tp t="e">
        <v>#N/A</v>
        <stp/>
        <stp>BDH|7310633718176004690</stp>
        <tr r="P163" s="18"/>
      </tp>
      <tp t="e">
        <v>#N/A</v>
        <stp/>
        <stp>BDH|5388829581295543044</stp>
        <tr r="AA178" s="18"/>
      </tp>
      <tp t="e">
        <v>#N/A</v>
        <stp/>
        <stp>BDH|2036753922361259645</stp>
        <tr r="S37" s="10"/>
        <tr r="S27" s="11"/>
        <tr r="U46" s="13"/>
      </tp>
      <tp t="e">
        <v>#N/A</v>
        <stp/>
        <stp>BDH|1002029879433393597</stp>
        <tr r="Y42" s="18"/>
      </tp>
      <tp t="e">
        <v>#N/A</v>
        <stp/>
        <stp>BDH|2725867636721515831</stp>
        <tr r="E32" s="14"/>
      </tp>
      <tp t="e">
        <v>#N/A</v>
        <stp/>
        <stp>BDH|3257226373050577676</stp>
        <tr r="S26" s="26"/>
      </tp>
      <tp t="e">
        <v>#N/A</v>
        <stp/>
        <stp>BDH|2581679482214314820</stp>
        <tr r="K195" s="18"/>
      </tp>
      <tp t="e">
        <v>#N/A</v>
        <stp/>
        <stp>BDH|2700769641469270838</stp>
        <tr r="H10" s="12"/>
      </tp>
      <tp t="e">
        <v>#N/A</v>
        <stp/>
        <stp>BDH|9771244986882182151</stp>
        <tr r="K23" s="5"/>
        <tr r="K23" s="9"/>
      </tp>
      <tp t="e">
        <v>#N/A</v>
        <stp/>
        <stp>BDH|7478953674590072943</stp>
        <tr r="S41" s="24"/>
      </tp>
      <tp t="e">
        <v>#N/A</v>
        <stp/>
        <stp>BDH|8834666638438722506</stp>
        <tr r="E45" s="17"/>
      </tp>
      <tp t="e">
        <v>#N/A</v>
        <stp/>
        <stp>BDH|2669721109057503292</stp>
        <tr r="Z127" s="18"/>
      </tp>
      <tp t="e">
        <v>#N/A</v>
        <stp/>
        <stp>BDH|3231380868617383108</stp>
        <tr r="Q24" s="21"/>
      </tp>
      <tp t="e">
        <v>#N/A</v>
        <stp/>
        <stp>BDH|4011096828405448343</stp>
        <tr r="H72" s="10"/>
        <tr r="H62" s="11"/>
      </tp>
      <tp t="e">
        <v>#N/A</v>
        <stp/>
        <stp>BDH|4014101994275019957</stp>
        <tr r="Z8" s="14"/>
      </tp>
      <tp t="e">
        <v>#N/A</v>
        <stp/>
        <stp>BDH|3893975606383883903</stp>
        <tr r="X13" s="9"/>
      </tp>
      <tp t="e">
        <v>#N/A</v>
        <stp/>
        <stp>BDH|4039471404065425564</stp>
        <tr r="M33" s="9"/>
      </tp>
      <tp t="e">
        <v>#N/A</v>
        <stp/>
        <stp>BDH|6145347051399574903</stp>
        <tr r="AA15" s="22"/>
      </tp>
      <tp t="e">
        <v>#N/A</v>
        <stp/>
        <stp>BDH|8312851837254315737</stp>
        <tr r="X68" s="10"/>
      </tp>
      <tp t="e">
        <v>#N/A</v>
        <stp/>
        <stp>BDH|1371003342430314536</stp>
        <tr r="J78" s="18"/>
      </tp>
      <tp t="e">
        <v>#N/A</v>
        <stp/>
        <stp>BDH|9299838838945892706</stp>
        <tr r="D54" s="12"/>
      </tp>
      <tp t="e">
        <v>#N/A</v>
        <stp/>
        <stp>BDH|2904944675075857916</stp>
        <tr r="M164" s="18"/>
      </tp>
      <tp t="e">
        <v>#N/A</v>
        <stp/>
        <stp>BDH|6112535814054465635</stp>
        <tr r="Q199" s="18"/>
      </tp>
      <tp t="e">
        <v>#N/A</v>
        <stp/>
        <stp>BDH|1367008977930476617</stp>
        <tr r="Z29" s="22"/>
      </tp>
      <tp t="e">
        <v>#N/A</v>
        <stp/>
        <stp>BDH|1087599120031942713</stp>
        <tr r="M64" s="18"/>
      </tp>
      <tp t="e">
        <v>#N/A</v>
        <stp/>
        <stp>BDH|1813081561635826282</stp>
        <tr r="H164" s="18"/>
      </tp>
      <tp t="e">
        <v>#N/A</v>
        <stp/>
        <stp>BDH|3022233235817389547</stp>
        <tr r="M32" s="21"/>
      </tp>
      <tp t="e">
        <v>#N/A</v>
        <stp/>
        <stp>BDH|3277273065041518643</stp>
        <tr r="K77" s="17"/>
        <tr r="K19" s="3"/>
      </tp>
      <tp t="e">
        <v>#N/A</v>
        <stp/>
        <stp>BDH|4948533418946228615</stp>
        <tr r="L40" s="22"/>
      </tp>
      <tp t="e">
        <v>#N/A</v>
        <stp/>
        <stp>BDH|7728745604882135275</stp>
        <tr r="Y34" s="24"/>
      </tp>
      <tp t="e">
        <v>#N/A</v>
        <stp/>
        <stp>BDH|3260010077747508308</stp>
        <tr r="O32" s="24"/>
      </tp>
      <tp t="e">
        <v>#N/A</v>
        <stp/>
        <stp>BDH|1256806727483264868</stp>
        <tr r="D37" s="34"/>
      </tp>
      <tp t="e">
        <v>#N/A</v>
        <stp/>
        <stp>BDH|4511360696276539819</stp>
        <tr r="O53" s="17"/>
      </tp>
      <tp t="e">
        <v>#N/A</v>
        <stp/>
        <stp>BDH|9196585343691320980</stp>
        <tr r="N86" s="24"/>
      </tp>
      <tp t="e">
        <v>#N/A</v>
        <stp/>
        <stp>BDH|8323008317749471011</stp>
        <tr r="L73" s="18"/>
      </tp>
      <tp t="e">
        <v>#N/A</v>
        <stp/>
        <stp>BDH|3484434513874281276</stp>
        <tr r="S39" s="22"/>
      </tp>
      <tp t="e">
        <v>#N/A</v>
        <stp/>
        <stp>BDH|8308546226746689964</stp>
        <tr r="D118" s="18"/>
        <tr r="D6" s="20"/>
      </tp>
      <tp t="e">
        <v>#N/A</v>
        <stp/>
        <stp>BDH|3412612415511885593</stp>
        <tr r="D67" s="10"/>
      </tp>
      <tp t="e">
        <v>#N/A</v>
        <stp/>
        <stp>BDH|3431362816472680330</stp>
        <tr r="I10" s="22"/>
      </tp>
      <tp t="e">
        <v>#N/A</v>
        <stp/>
        <stp>BDH|3443408025300436540</stp>
        <tr r="V14" s="8"/>
      </tp>
      <tp t="e">
        <v>#N/A</v>
        <stp/>
        <stp>BDH|7672209441439250843</stp>
        <tr r="X13" s="8"/>
      </tp>
      <tp t="e">
        <v>#N/A</v>
        <stp/>
        <stp>BDH|6008652813116287757</stp>
        <tr r="M10" s="26"/>
      </tp>
      <tp t="e">
        <v>#N/A</v>
        <stp/>
        <stp>BDH|6294728664491686631</stp>
        <tr r="R29" s="10"/>
        <tr r="T38" s="13"/>
      </tp>
      <tp t="e">
        <v>#N/A</v>
        <stp/>
        <stp>BDH|1391244905524245710</stp>
        <tr r="G24" s="12"/>
      </tp>
      <tp t="e">
        <v>#N/A</v>
        <stp/>
        <stp>BDH|6113703755817432316</stp>
        <tr r="O8" s="10"/>
      </tp>
      <tp t="e">
        <v>#N/A</v>
        <stp/>
        <stp>BDH|5893646319295008742</stp>
        <tr r="I26" s="26"/>
      </tp>
      <tp t="e">
        <v>#N/A</v>
        <stp/>
        <stp>BDH|5511216703843561436</stp>
        <tr r="O28" s="14"/>
      </tp>
      <tp t="e">
        <v>#N/A</v>
        <stp/>
        <stp>BDH|6282002623717326330</stp>
        <tr r="K98" s="12"/>
      </tp>
      <tp t="e">
        <v>#N/A</v>
        <stp/>
        <stp>BDH|7247638520084974794</stp>
        <tr r="C86" s="18"/>
      </tp>
      <tp t="e">
        <v>#N/A</v>
        <stp/>
        <stp>BDH|9494065555015338950</stp>
        <tr r="C119" s="18"/>
        <tr r="C7" s="20"/>
      </tp>
      <tp t="e">
        <v>#N/A</v>
        <stp/>
        <stp>BDH|3136495232066804238</stp>
        <tr r="J33" s="5"/>
      </tp>
      <tp t="e">
        <v>#N/A</v>
        <stp/>
        <stp>BDH|7284423747607044067</stp>
        <tr r="M15" s="34"/>
      </tp>
      <tp t="e">
        <v>#N/A</v>
        <stp/>
        <stp>BDH|4181094113191254486</stp>
        <tr r="F210" s="18"/>
      </tp>
      <tp t="e">
        <v>#N/A</v>
        <stp/>
        <stp>BDH|6136716951455592156</stp>
        <tr r="S58" s="18"/>
      </tp>
      <tp t="e">
        <v>#N/A</v>
        <stp/>
        <stp>BDH|8492751880031703676</stp>
        <tr r="R8" s="14"/>
      </tp>
      <tp t="e">
        <v>#N/A</v>
        <stp/>
        <stp>BDH|8754608299410817709</stp>
        <tr r="E210" s="18"/>
      </tp>
      <tp t="e">
        <v>#N/A</v>
        <stp/>
        <stp>BDH|7015334915740029501</stp>
        <tr r="T43" s="6"/>
      </tp>
      <tp t="e">
        <v>#N/A</v>
        <stp/>
        <stp>BDH|7536297471286978420</stp>
        <tr r="O17" s="10"/>
        <tr r="Q16" s="13"/>
        <tr r="Q30" s="13"/>
      </tp>
      <tp t="e">
        <v>#N/A</v>
        <stp/>
        <stp>BDH|1578625604371735623</stp>
        <tr r="C30" s="5"/>
        <tr r="C30" s="9"/>
      </tp>
      <tp t="e">
        <v>#N/A</v>
        <stp/>
        <stp>BDH|9179908729533733198</stp>
        <tr r="O196" s="18"/>
      </tp>
      <tp t="e">
        <v>#N/A</v>
        <stp/>
        <stp>BDH|9483512835378402728</stp>
        <tr r="S140" s="18"/>
      </tp>
      <tp t="e">
        <v>#N/A</v>
        <stp/>
        <stp>BDH|3326658945266292770</stp>
        <tr r="G53" s="21"/>
      </tp>
      <tp t="e">
        <v>#N/A</v>
        <stp/>
        <stp>BDH|5500805243378931195</stp>
        <tr r="E12" s="17"/>
      </tp>
      <tp t="e">
        <v>#N/A</v>
        <stp/>
        <stp>BDH|3108804846679842696</stp>
        <tr r="S20" s="34"/>
      </tp>
      <tp t="e">
        <v>#N/A</v>
        <stp/>
        <stp>BDH|4881625338230194156</stp>
        <tr r="U83" s="17"/>
      </tp>
      <tp t="e">
        <v>#N/A</v>
        <stp/>
        <stp>BDH|3674923771968353508</stp>
        <tr r="C29" s="17"/>
      </tp>
      <tp t="e">
        <v>#N/A</v>
        <stp/>
        <stp>BDH|2228460403216572047</stp>
        <tr r="Z68" s="17"/>
        <tr r="W8" s="5"/>
        <tr r="W8" s="9"/>
      </tp>
      <tp t="e">
        <v>#N/A</v>
        <stp/>
        <stp>BDH|3484818762089803490</stp>
        <tr r="U87" s="17"/>
      </tp>
      <tp t="e">
        <v>#N/A</v>
        <stp/>
        <stp>BDH|3479360612035666401</stp>
        <tr r="R66" s="17"/>
      </tp>
      <tp t="e">
        <v>#N/A</v>
        <stp/>
        <stp>BDH|4341218210657796030</stp>
        <tr r="Q93" s="24"/>
      </tp>
      <tp t="e">
        <v>#N/A</v>
        <stp/>
        <stp>BDH|2107881635218372197</stp>
        <tr r="R27" s="26"/>
      </tp>
      <tp t="e">
        <v>#N/A</v>
        <stp/>
        <stp>BDH|8855497746361167904</stp>
        <tr r="H90" s="12"/>
      </tp>
      <tp t="e">
        <v>#N/A</v>
        <stp/>
        <stp>BDH|6570087698786541960</stp>
        <tr r="I8" s="12"/>
      </tp>
      <tp t="e">
        <v>#N/A</v>
        <stp/>
        <stp>BDH|7008681415450270091</stp>
        <tr r="X29" s="6"/>
      </tp>
      <tp t="e">
        <v>#N/A</v>
        <stp/>
        <stp>BDH|6545700210292615254</stp>
        <tr r="K23" s="26"/>
      </tp>
      <tp t="e">
        <v>#N/A</v>
        <stp/>
        <stp>BDH|6903994271768027073</stp>
        <tr r="F55" s="12"/>
      </tp>
      <tp t="e">
        <v>#N/A</v>
        <stp/>
        <stp>BDH|1311945000721067910</stp>
        <tr r="W84" s="17"/>
      </tp>
      <tp t="e">
        <v>#N/A</v>
        <stp/>
        <stp>BDH|8754646431058231565</stp>
        <tr r="AA74" s="34"/>
      </tp>
      <tp t="e">
        <v>#N/A</v>
        <stp/>
        <stp>BDH|6343545125650461104</stp>
        <tr r="T13" s="17"/>
        <tr r="T16" s="28"/>
      </tp>
      <tp t="e">
        <v>#N/A</v>
        <stp/>
        <stp>BDH|7059927161531068954</stp>
        <tr r="H19" s="22"/>
      </tp>
      <tp t="e">
        <v>#N/A</v>
        <stp/>
        <stp>BDH|1298235215917731553</stp>
        <tr r="S42" s="10"/>
        <tr r="S32" s="11"/>
      </tp>
      <tp t="e">
        <v>#N/A</v>
        <stp/>
        <stp>BDH|5612452541680595519</stp>
        <tr r="Y75" s="18"/>
      </tp>
      <tp t="e">
        <v>#N/A</v>
        <stp/>
        <stp>BDH|2207007360534566010</stp>
        <tr r="W26" s="29"/>
      </tp>
      <tp t="e">
        <v>#N/A</v>
        <stp/>
        <stp>BDH|1458500456306232761</stp>
        <tr r="P42" s="18"/>
      </tp>
      <tp t="e">
        <v>#N/A</v>
        <stp/>
        <stp>BDH|3315364037152729132</stp>
        <tr r="M146" s="18"/>
      </tp>
      <tp t="e">
        <v>#N/A</v>
        <stp/>
        <stp>BDH|3917963618382053910</stp>
        <tr r="D83" s="17"/>
      </tp>
      <tp t="e">
        <v>#N/A</v>
        <stp/>
        <stp>BDH|5371930752198279166</stp>
        <tr r="Q22" s="11"/>
      </tp>
      <tp t="e">
        <v>#N/A</v>
        <stp/>
        <stp>BDH|1244255346166512126</stp>
        <tr r="J22" s="24"/>
      </tp>
      <tp t="e">
        <v>#N/A</v>
        <stp/>
        <stp>BDH|8483524370292386831</stp>
        <tr r="O49" s="12"/>
      </tp>
      <tp t="e">
        <v>#N/A</v>
        <stp/>
        <stp>BDH|5577530530877611468</stp>
        <tr r="Z37" s="22"/>
      </tp>
      <tp t="e">
        <v>#N/A</v>
        <stp/>
        <stp>BDH|7077679550971781569</stp>
        <tr r="U71" s="34"/>
      </tp>
      <tp t="e">
        <v>#N/A</v>
        <stp/>
        <stp>BDH|2320993659626441815</stp>
        <tr r="N20" s="34"/>
      </tp>
      <tp t="e">
        <v>#N/A</v>
        <stp/>
        <stp>BDH|2530570016637162135</stp>
        <tr r="W8" s="24"/>
      </tp>
      <tp t="e">
        <v>#N/A</v>
        <stp/>
        <stp>BDH|1575437212762463667</stp>
        <tr r="V50" s="21"/>
      </tp>
      <tp t="e">
        <v>#N/A</v>
        <stp/>
        <stp>BDH|9078141392772630364</stp>
        <tr r="Y44" s="12"/>
      </tp>
      <tp t="e">
        <v>#N/A</v>
        <stp/>
        <stp>BDH|6299568412330551251</stp>
        <tr r="Q18" s="24"/>
      </tp>
      <tp t="e">
        <v>#N/A</v>
        <stp/>
        <stp>BDH|8022218865559332515</stp>
        <tr r="O22" s="4"/>
      </tp>
      <tp t="e">
        <v>#N/A</v>
        <stp/>
        <stp>BDH|7033627975237861198</stp>
        <tr r="C166" s="18"/>
      </tp>
      <tp t="e">
        <v>#N/A</v>
        <stp/>
        <stp>BDH|2984384003293077241</stp>
        <tr r="O12" s="3"/>
        <tr r="M55" s="10"/>
        <tr r="M45" s="11"/>
        <tr r="M7" s="7"/>
      </tp>
      <tp t="e">
        <v>#N/A</v>
        <stp/>
        <stp>BDH|8134739051749075350</stp>
        <tr r="C33" s="6"/>
      </tp>
      <tp t="e">
        <v>#N/A</v>
        <stp/>
        <stp>BDH|6535961460968366167</stp>
        <tr r="T200" s="18"/>
      </tp>
      <tp t="e">
        <v>#N/A</v>
        <stp/>
        <stp>BDH|7628677511254549439</stp>
        <tr r="G145" s="18"/>
      </tp>
      <tp t="e">
        <v>#N/A</v>
        <stp/>
        <stp>BDH|3288673325567141070</stp>
        <tr r="G73" s="34"/>
      </tp>
      <tp t="e">
        <v>#N/A</v>
        <stp/>
        <stp>BDH|2858069739731022013</stp>
        <tr r="S66" s="21"/>
        <tr r="P27" s="6"/>
      </tp>
      <tp t="e">
        <v>#N/A</v>
        <stp/>
        <stp>BDH|3721732315367780206</stp>
        <tr r="Y14" s="21"/>
      </tp>
      <tp t="e">
        <v>#N/A</v>
        <stp/>
        <stp>BDH|2606330125557515439</stp>
        <tr r="Y86" s="12"/>
      </tp>
      <tp t="e">
        <v>#N/A</v>
        <stp/>
        <stp>BDH|6881070344010941241</stp>
        <tr r="E38" s="26"/>
      </tp>
      <tp t="e">
        <v>#N/A</v>
        <stp/>
        <stp>BDH|3332164374536791306</stp>
        <tr r="F28" s="10"/>
        <tr r="H37" s="13"/>
      </tp>
      <tp t="e">
        <v>#N/A</v>
        <stp/>
        <stp>BDH|3196005815403112134</stp>
        <tr r="M37" s="26"/>
      </tp>
      <tp t="e">
        <v>#N/A</v>
        <stp/>
        <stp>BDH|9987640577698515092</stp>
        <tr r="G31" s="5"/>
      </tp>
      <tp t="e">
        <v>#N/A</v>
        <stp/>
        <stp>BDH|2314285039393225068</stp>
        <tr r="W23" s="18"/>
      </tp>
      <tp t="e">
        <v>#N/A</v>
        <stp/>
        <stp>BDH|5082723332411018063</stp>
        <tr r="P27" s="34"/>
      </tp>
      <tp t="e">
        <v>#N/A</v>
        <stp/>
        <stp>BDH|6404599415144952671</stp>
        <tr r="P39" s="26"/>
      </tp>
      <tp t="e">
        <v>#N/A</v>
        <stp/>
        <stp>BDH|2501375102077180671</stp>
        <tr r="L9" s="24"/>
      </tp>
      <tp t="e">
        <v>#N/A</v>
        <stp/>
        <stp>BDH|9352810562677483027</stp>
        <tr r="P17" s="9"/>
      </tp>
      <tp t="e">
        <v>#N/A</v>
        <stp/>
        <stp>BDH|1222574548297298792</stp>
        <tr r="M23" s="20"/>
      </tp>
      <tp t="e">
        <v>#N/A</v>
        <stp/>
        <stp>BDH|1572621757675383757</stp>
        <tr r="V34" s="6"/>
      </tp>
      <tp t="e">
        <v>#N/A</v>
        <stp/>
        <stp>BDH|4753565059606790290</stp>
        <tr r="Q17" s="4"/>
        <tr r="S10" s="3"/>
        <tr r="Q56" s="10"/>
        <tr r="Q46" s="11"/>
        <tr r="Q17" s="7"/>
        <tr r="S61" s="13"/>
      </tp>
      <tp t="e">
        <v>#N/A</v>
        <stp/>
        <stp>BDH|3260222710265789511</stp>
        <tr r="X70" s="24"/>
      </tp>
      <tp t="e">
        <v>#N/A</v>
        <stp/>
        <stp>BDH|8764087288004771468</stp>
        <tr r="M59" s="24"/>
      </tp>
      <tp t="e">
        <v>#N/A</v>
        <stp/>
        <stp>BDH|5623879296622963685</stp>
        <tr r="Y8" s="2"/>
      </tp>
      <tp t="e">
        <v>#N/A</v>
        <stp/>
        <stp>BDH|5464539300690544043</stp>
        <tr r="W44" s="6"/>
      </tp>
      <tp t="e">
        <v>#N/A</v>
        <stp/>
        <stp>BDH|7439551457613426448</stp>
        <tr r="Z58" s="34"/>
      </tp>
      <tp t="e">
        <v>#N/A</v>
        <stp/>
        <stp>BDH|2570371933167414538</stp>
        <tr r="F37" s="26"/>
      </tp>
      <tp t="e">
        <v>#N/A</v>
        <stp/>
        <stp>BDH|6693266926364207222</stp>
        <tr r="P82" s="12"/>
      </tp>
      <tp t="e">
        <v>#N/A</v>
        <stp/>
        <stp>BDH|8767676250418013374</stp>
        <tr r="M27" s="10"/>
        <tr r="O36" s="13"/>
      </tp>
      <tp t="e">
        <v>#N/A</v>
        <stp/>
        <stp>BDH|8584233869884015883</stp>
        <tr r="S62" s="34"/>
      </tp>
      <tp t="e">
        <v>#N/A</v>
        <stp/>
        <stp>BDH|5573180958658378916</stp>
        <tr r="L10" s="2"/>
        <tr r="K11" s="5"/>
        <tr r="K51" s="6"/>
        <tr r="M33" s="29"/>
        <tr r="M42" s="29"/>
      </tp>
      <tp t="e">
        <v>#N/A</v>
        <stp/>
        <stp>BDH|4052634120082603221</stp>
        <tr r="W25" s="14"/>
      </tp>
      <tp t="e">
        <v>#N/A</v>
        <stp/>
        <stp>BDH|3519322211235273436</stp>
        <tr r="Q82" s="12"/>
      </tp>
      <tp t="e">
        <v>#N/A</v>
        <stp/>
        <stp>BDH|3924207729004026774</stp>
        <tr r="Z18" s="21"/>
      </tp>
      <tp t="e">
        <v>#N/A</v>
        <stp/>
        <stp>BDH|3549043967286678371</stp>
        <tr r="U88" s="18"/>
      </tp>
      <tp t="e">
        <v>#N/A</v>
        <stp/>
        <stp>BDH|5656390669349725967</stp>
        <tr r="P9" s="18"/>
      </tp>
      <tp t="e">
        <v>#N/A</v>
        <stp/>
        <stp>BDH|5542650633709548914</stp>
        <tr r="J49" s="17"/>
      </tp>
      <tp t="e">
        <v>#N/A</v>
        <stp/>
        <stp>BDH|3094385229587597533</stp>
        <tr r="C67" s="12"/>
      </tp>
      <tp t="e">
        <v>#N/A</v>
        <stp/>
        <stp>BDH|8409590020327341894</stp>
        <tr r="W30" s="5"/>
        <tr r="W30" s="9"/>
      </tp>
      <tp t="e">
        <v>#N/A</v>
        <stp/>
        <stp>BDH|2014476886699552736</stp>
        <tr r="M18" s="24"/>
      </tp>
      <tp t="e">
        <v>#N/A</v>
        <stp/>
        <stp>BDH|3616764959199604886</stp>
        <tr r="C12" s="25"/>
      </tp>
      <tp t="e">
        <v>#N/A</v>
        <stp/>
        <stp>BDH|4551683842893143598</stp>
        <tr r="J16" s="18"/>
      </tp>
      <tp t="e">
        <v>#N/A</v>
        <stp/>
        <stp>BDH|1098905611378187175</stp>
        <tr r="O59" s="18"/>
      </tp>
      <tp t="e">
        <v>#N/A</v>
        <stp/>
        <stp>BDH|4999161654876453687</stp>
        <tr r="I186" s="18"/>
      </tp>
      <tp t="e">
        <v>#N/A</v>
        <stp/>
        <stp>BDH|8653610080630825684</stp>
        <tr r="K19" s="17"/>
      </tp>
      <tp t="e">
        <v>#N/A</v>
        <stp/>
        <stp>BDH|4753197657833786397</stp>
        <tr r="F47" s="17"/>
      </tp>
      <tp t="e">
        <v>#N/A</v>
        <stp/>
        <stp>BDH|6027047430042638753</stp>
        <tr r="M127" s="18"/>
      </tp>
      <tp t="e">
        <v>#N/A</v>
        <stp/>
        <stp>BDH|4603266163416719636</stp>
        <tr r="Z48" s="17"/>
      </tp>
      <tp t="e">
        <v>#N/A</v>
        <stp/>
        <stp>BDH|2690632456052465309</stp>
        <tr r="P84" s="24"/>
      </tp>
      <tp t="e">
        <v>#N/A</v>
        <stp/>
        <stp>BDH|6144623111195448416</stp>
        <tr r="P23" s="22"/>
      </tp>
      <tp t="e">
        <v>#N/A</v>
        <stp/>
        <stp>BDH|7176497689319115275</stp>
        <tr r="M15" s="10"/>
      </tp>
      <tp t="e">
        <v>#N/A</v>
        <stp/>
        <stp>BDH|6812407139768609906</stp>
        <tr r="G124" s="18"/>
        <tr r="G13" s="20"/>
      </tp>
      <tp t="e">
        <v>#N/A</v>
        <stp/>
        <stp>BDH|1932412748183210256</stp>
        <tr r="I40" s="24"/>
      </tp>
      <tp t="e">
        <v>#N/A</v>
        <stp/>
        <stp>BDH|7658514133325035436</stp>
        <tr r="G49" s="21"/>
      </tp>
      <tp t="e">
        <v>#N/A</v>
        <stp/>
        <stp>BDH|3254521763141200163</stp>
        <tr r="M35" s="25"/>
      </tp>
      <tp t="e">
        <v>#N/A</v>
        <stp/>
        <stp>BDH|5655069625077699043</stp>
        <tr r="G44" s="12"/>
      </tp>
      <tp t="e">
        <v>#N/A</v>
        <stp/>
        <stp>BDH|6609336678557307595</stp>
        <tr r="P12" s="17"/>
      </tp>
      <tp t="e">
        <v>#N/A</v>
        <stp/>
        <stp>BDH|4736714970971510549</stp>
        <tr r="V41" s="21"/>
      </tp>
      <tp t="e">
        <v>#N/A</v>
        <stp/>
        <stp>BDH|3100513055945065625</stp>
        <tr r="V18" s="25"/>
      </tp>
      <tp t="e">
        <v>#N/A</v>
        <stp/>
        <stp>BDH|5605624102157652479</stp>
        <tr r="G37" s="26"/>
      </tp>
      <tp t="e">
        <v>#N/A</v>
        <stp/>
        <stp>BDH|6268574164682199774</stp>
        <tr r="I18" s="17"/>
      </tp>
      <tp t="e">
        <v>#N/A</v>
        <stp/>
        <stp>BDH|7760143633945246050</stp>
        <tr r="N185" s="18"/>
      </tp>
      <tp t="e">
        <v>#N/A</v>
        <stp/>
        <stp>BDH|1679776113887717020</stp>
        <tr r="D10" s="3"/>
        <tr r="D61" s="13"/>
      </tp>
      <tp t="e">
        <v>#N/A</v>
        <stp/>
        <stp>BDH|2204200100633384366</stp>
        <tr r="M9" s="13"/>
      </tp>
      <tp t="e">
        <v>#N/A</v>
        <stp/>
        <stp>BDH|9408147463496729839</stp>
        <tr r="N64" s="21"/>
      </tp>
      <tp t="e">
        <v>#N/A</v>
        <stp/>
        <stp>BDH|5755322666262058248</stp>
        <tr r="E16" s="29"/>
        <tr r="E39" s="29"/>
      </tp>
      <tp t="e">
        <v>#N/A</v>
        <stp/>
        <stp>BDH|6802175545487510488</stp>
        <tr r="J89" s="17"/>
      </tp>
      <tp t="e">
        <v>#N/A</v>
        <stp/>
        <stp>BDH|2263793856952803227</stp>
        <tr r="W8" s="28"/>
      </tp>
      <tp t="e">
        <v>#N/A</v>
        <stp/>
        <stp>BDH|2266334851166298250</stp>
        <tr r="F13" s="29"/>
        <tr r="F22" s="29"/>
        <tr r="F36" s="29"/>
      </tp>
      <tp t="e">
        <v>#N/A</v>
        <stp/>
        <stp>BDH|4630363362855424410</stp>
        <tr r="G45" s="12"/>
      </tp>
      <tp t="e">
        <v>#N/A</v>
        <stp/>
        <stp>BDH|8568856472187286073</stp>
        <tr r="W70" s="24"/>
      </tp>
      <tp t="e">
        <v>#N/A</v>
        <stp/>
        <stp>BDH|7116665840854708176</stp>
        <tr r="R85" s="18"/>
      </tp>
      <tp t="e">
        <v>#N/A</v>
        <stp/>
        <stp>BDH|4891292351362739101</stp>
        <tr r="X17" s="6"/>
      </tp>
      <tp t="e">
        <v>#N/A</v>
        <stp/>
        <stp>BDH|7046335853346307748</stp>
        <tr r="J55" s="21"/>
      </tp>
      <tp t="e">
        <v>#N/A</v>
        <stp/>
        <stp>BDH|9012600703239461609</stp>
        <tr r="H31" s="22"/>
      </tp>
      <tp t="e">
        <v>#N/A</v>
        <stp/>
        <stp>BDH|1697575170744378750</stp>
        <tr r="J7" s="24"/>
      </tp>
      <tp t="e">
        <v>#N/A</v>
        <stp/>
        <stp>BDH|2108818200049754301</stp>
        <tr r="L24" s="20"/>
      </tp>
      <tp t="e">
        <v>#N/A</v>
        <stp/>
        <stp>BDH|2450448716471822694</stp>
        <tr r="L9" s="28"/>
      </tp>
      <tp t="e">
        <v>#N/A</v>
        <stp/>
        <stp>BDH|8869931497241825938</stp>
        <tr r="R81" s="12"/>
      </tp>
      <tp t="e">
        <v>#N/A</v>
        <stp/>
        <stp>BDH|6988637788378150046</stp>
        <tr r="K31" s="17"/>
      </tp>
      <tp t="e">
        <v>#N/A</v>
        <stp/>
        <stp>BDH|7055369825754169253</stp>
        <tr r="J42" s="4"/>
      </tp>
      <tp t="e">
        <v>#N/A</v>
        <stp/>
        <stp>BDH|9131996769881241747</stp>
        <tr r="C18" s="2"/>
        <tr r="C53" s="4"/>
        <tr r="C46" s="10"/>
        <tr r="C36" s="11"/>
        <tr r="E58" s="13"/>
      </tp>
      <tp t="e">
        <v>#N/A</v>
        <stp/>
        <stp>BDH|2105476271022275310</stp>
        <tr r="V90" s="18"/>
      </tp>
      <tp t="e">
        <v>#N/A</v>
        <stp/>
        <stp>BDH|2711446398619993669</stp>
        <tr r="F32" s="14"/>
      </tp>
      <tp t="e">
        <v>#N/A</v>
        <stp/>
        <stp>BDH|7867771504322870272</stp>
        <tr r="R7" s="11"/>
      </tp>
      <tp t="e">
        <v>#N/A</v>
        <stp/>
        <stp>BDH|5081944474889651220</stp>
        <tr r="Z64" s="17"/>
      </tp>
      <tp t="e">
        <v>#N/A</v>
        <stp/>
        <stp>BDH|1593757761024792427</stp>
        <tr r="E13" s="13"/>
      </tp>
      <tp t="e">
        <v>#N/A</v>
        <stp/>
        <stp>BDH|4055206731365374067</stp>
        <tr r="M64" s="10"/>
      </tp>
      <tp t="e">
        <v>#N/A</v>
        <stp/>
        <stp>BDH|9929901469792714435</stp>
        <tr r="I51" s="12"/>
      </tp>
      <tp t="e">
        <v>#N/A</v>
        <stp/>
        <stp>BDH|3291123636391504079</stp>
        <tr r="U24" s="13"/>
      </tp>
      <tp t="e">
        <v>#N/A</v>
        <stp/>
        <stp>BDH|7333240038205247396</stp>
        <tr r="M172" s="18"/>
      </tp>
      <tp t="e">
        <v>#N/A</v>
        <stp/>
        <stp>BDH|8929001375519812604</stp>
        <tr r="R42" s="22"/>
      </tp>
      <tp t="e">
        <v>#N/A</v>
        <stp/>
        <stp>BDH|4216530099641830946</stp>
        <tr r="C75" s="12"/>
      </tp>
      <tp t="e">
        <v>#N/A</v>
        <stp/>
        <stp>BDH|5075500501565309560</stp>
        <tr r="T44" s="22"/>
      </tp>
      <tp t="e">
        <v>#N/A</v>
        <stp/>
        <stp>BDH|1641274042171722606</stp>
        <tr r="W18" s="21"/>
      </tp>
      <tp t="e">
        <v>#N/A</v>
        <stp/>
        <stp>BDH|2817890718012808954</stp>
        <tr r="AA69" s="17"/>
      </tp>
      <tp t="e">
        <v>#N/A</v>
        <stp/>
        <stp>BDH|6741300394298032470</stp>
        <tr r="I44" s="12"/>
      </tp>
      <tp t="e">
        <v>#N/A</v>
        <stp/>
        <stp>BDH|3631794734322805570</stp>
        <tr r="K28" s="27"/>
      </tp>
      <tp t="e">
        <v>#N/A</v>
        <stp/>
        <stp>BDH|5568954482165554132</stp>
        <tr r="K143" s="18"/>
      </tp>
      <tp t="e">
        <v>#N/A</v>
        <stp/>
        <stp>BDH|5929457286801991870</stp>
        <tr r="J25" s="12"/>
      </tp>
      <tp t="e">
        <v>#N/A</v>
        <stp/>
        <stp>BDH|6712887469679536174</stp>
        <tr r="L26" s="26"/>
      </tp>
      <tp t="e">
        <v>#N/A</v>
        <stp/>
        <stp>BDH|7444132445404013664</stp>
        <tr r="U30" s="12"/>
      </tp>
      <tp t="e">
        <v>#N/A</v>
        <stp/>
        <stp>BDH|5168554552473657645</stp>
        <tr r="E48" s="21"/>
      </tp>
      <tp t="e">
        <v>#N/A</v>
        <stp/>
        <stp>BDH|6277117934327037336</stp>
        <tr r="L8" s="6"/>
      </tp>
      <tp t="e">
        <v>#N/A</v>
        <stp/>
        <stp>BDH|3803910616249389283</stp>
        <tr r="M42" s="24"/>
      </tp>
      <tp t="e">
        <v>#N/A</v>
        <stp/>
        <stp>BDH|3783328533705673648</stp>
        <tr r="I43" s="34"/>
      </tp>
      <tp t="e">
        <v>#N/A</v>
        <stp/>
        <stp>BDH|7001207043742302348</stp>
        <tr r="H43" s="22"/>
      </tp>
      <tp t="e">
        <v>#N/A</v>
        <stp/>
        <stp>BDH|2028629512321632423</stp>
        <tr r="R102" s="12"/>
      </tp>
      <tp t="e">
        <v>#N/A</v>
        <stp/>
        <stp>BDH|8186822705674479463</stp>
        <tr r="U101" s="12"/>
      </tp>
      <tp t="e">
        <v>#N/A</v>
        <stp/>
        <stp>BDH|4419999772399399389</stp>
        <tr r="G39" s="17"/>
      </tp>
      <tp t="e">
        <v>#N/A</v>
        <stp/>
        <stp>BDH|4052348340241411244</stp>
        <tr r="S94" s="18"/>
      </tp>
      <tp t="e">
        <v>#N/A</v>
        <stp/>
        <stp>BDH|1727974485561112108</stp>
        <tr r="R64" s="21"/>
      </tp>
      <tp t="e">
        <v>#N/A</v>
        <stp/>
        <stp>BDH|8487746945328733364</stp>
        <tr r="I13" s="10"/>
      </tp>
      <tp t="e">
        <v>#N/A</v>
        <stp/>
        <stp>BDH|2794684972206855510</stp>
        <tr r="T11" s="13"/>
      </tp>
      <tp t="e">
        <v>#N/A</v>
        <stp/>
        <stp>BDH|7981564045053872566</stp>
        <tr r="M62" s="34"/>
      </tp>
      <tp t="e">
        <v>#N/A</v>
        <stp/>
        <stp>BDH|4557629570431158420</stp>
        <tr r="F28" s="24"/>
      </tp>
      <tp t="e">
        <v>#N/A</v>
        <stp/>
        <stp>BDH|2496246067455278311</stp>
        <tr r="X47" s="10"/>
        <tr r="X37" s="11"/>
      </tp>
      <tp t="e">
        <v>#N/A</v>
        <stp/>
        <stp>BDH|9298911264495668357</stp>
        <tr r="H55" s="13"/>
      </tp>
      <tp t="e">
        <v>#N/A</v>
        <stp/>
        <stp>BDH|9095612925028678560</stp>
        <tr r="Q37" s="34"/>
      </tp>
      <tp t="e">
        <v>#N/A</v>
        <stp/>
        <stp>BDH|4532538657170640432</stp>
        <tr r="D16" s="25"/>
      </tp>
      <tp t="e">
        <v>#N/A</v>
        <stp/>
        <stp>BDH|5694693061047363290</stp>
        <tr r="O30" s="34"/>
      </tp>
      <tp t="e">
        <v>#N/A</v>
        <stp/>
        <stp>BDH|2783487402096020091</stp>
        <tr r="Z41" s="12"/>
      </tp>
      <tp t="e">
        <v>#N/A</v>
        <stp/>
        <stp>BDH|2100962842179260639</stp>
        <tr r="Y12" s="13"/>
      </tp>
      <tp t="e">
        <v>#N/A</v>
        <stp/>
        <stp>BDH|6673732206068088971</stp>
        <tr r="K51" s="13"/>
      </tp>
      <tp t="e">
        <v>#N/A</v>
        <stp/>
        <stp>BDH|1076751150291331228</stp>
        <tr r="T140" s="18"/>
      </tp>
      <tp t="e">
        <v>#N/A</v>
        <stp/>
        <stp>BDH|4291477146214758006</stp>
        <tr r="R38" s="21"/>
        <tr r="R24" s="3"/>
      </tp>
      <tp t="e">
        <v>#N/A</v>
        <stp/>
        <stp>BDH|1210271832063164329</stp>
        <tr r="L182" s="18"/>
      </tp>
      <tp t="e">
        <v>#N/A</v>
        <stp/>
        <stp>BDH|6199587949957011048</stp>
        <tr r="D20" s="5"/>
      </tp>
      <tp t="e">
        <v>#N/A</v>
        <stp/>
        <stp>BDH|4346351290296685841</stp>
        <tr r="I59" s="11"/>
      </tp>
      <tp t="e">
        <v>#N/A</v>
        <stp/>
        <stp>BDH|2753892749239345710</stp>
        <tr r="M14" s="29"/>
        <tr r="M23" s="29"/>
        <tr r="M37" s="29"/>
      </tp>
      <tp t="e">
        <v>#N/A</v>
        <stp/>
        <stp>BDH|2882160937167515799</stp>
        <tr r="R180" s="18"/>
      </tp>
      <tp t="e">
        <v>#N/A</v>
        <stp/>
        <stp>BDH|8174693843989853368</stp>
        <tr r="D31" s="17"/>
      </tp>
      <tp t="e">
        <v>#N/A</v>
        <stp/>
        <stp>BDH|4734366019536947044</stp>
        <tr r="G67" s="10"/>
      </tp>
      <tp t="e">
        <v>#N/A</v>
        <stp/>
        <stp>BDH|3093886169149464408</stp>
        <tr r="C44" s="22"/>
      </tp>
      <tp t="e">
        <v>#N/A</v>
        <stp/>
        <stp>BDH|2114005073004618115</stp>
        <tr r="Q17" s="29"/>
        <tr r="Q40" s="29"/>
      </tp>
      <tp t="e">
        <v>#N/A</v>
        <stp/>
        <stp>BDH|9507532987030599418</stp>
        <tr r="Z56" s="12"/>
      </tp>
      <tp t="e">
        <v>#N/A</v>
        <stp/>
        <stp>BDH|2342285567226962006</stp>
        <tr r="M15" s="25"/>
      </tp>
      <tp t="e">
        <v>#N/A</v>
        <stp/>
        <stp>BDH|4705962788451800445</stp>
        <tr r="R74" s="34"/>
      </tp>
      <tp t="e">
        <v>#N/A</v>
        <stp/>
        <stp>BDH|5620946195134405167</stp>
        <tr r="K86" s="18"/>
      </tp>
      <tp t="e">
        <v>#N/A</v>
        <stp/>
        <stp>BDH|8560381271144911805</stp>
        <tr r="L13" s="8"/>
      </tp>
      <tp t="e">
        <v>#N/A</v>
        <stp/>
        <stp>BDH|9006837671530589628</stp>
        <tr r="C41" s="13"/>
      </tp>
      <tp t="e">
        <v>#N/A</v>
        <stp/>
        <stp>BDH|6754513873096705273</stp>
        <tr r="O62" s="12"/>
      </tp>
      <tp t="e">
        <v>#N/A</v>
        <stp/>
        <stp>BDH|8017291032330757993</stp>
        <tr r="G9" s="30"/>
      </tp>
      <tp t="e">
        <v>#N/A</v>
        <stp/>
        <stp>BDH|6075369961997268404</stp>
        <tr r="R12" s="14"/>
      </tp>
      <tp t="e">
        <v>#N/A</v>
        <stp/>
        <stp>BDH|2553025305314774600</stp>
        <tr r="E15" s="29"/>
        <tr r="E38" s="29"/>
      </tp>
      <tp t="e">
        <v>#N/A</v>
        <stp/>
        <stp>BDH|7511103767770746005</stp>
        <tr r="C16" s="24"/>
      </tp>
      <tp t="e">
        <v>#N/A</v>
        <stp/>
        <stp>BDH|7139581118585161655</stp>
        <tr r="F36" s="21"/>
      </tp>
      <tp t="e">
        <v>#N/A</v>
        <stp/>
        <stp>BDH|6329660242722344615</stp>
        <tr r="S61" s="17"/>
      </tp>
      <tp t="e">
        <v>#N/A</v>
        <stp/>
        <stp>BDH|3326108323469594900</stp>
        <tr r="S6" s="19"/>
        <tr r="S34" s="17"/>
        <tr r="S16" s="3"/>
      </tp>
      <tp t="e">
        <v>#N/A</v>
        <stp/>
        <stp>BDH|2492301272425231318</stp>
        <tr r="I17" s="5"/>
        <tr r="I32" s="6"/>
      </tp>
      <tp t="e">
        <v>#N/A</v>
        <stp/>
        <stp>BDH|9327502530709281648</stp>
        <tr r="C25" s="3"/>
      </tp>
      <tp t="e">
        <v>#N/A</v>
        <stp/>
        <stp>BDH|1078844890256749662</stp>
        <tr r="F27" s="24"/>
      </tp>
      <tp t="e">
        <v>#N/A</v>
        <stp/>
        <stp>BDH|7403921350398707345</stp>
        <tr r="F17" s="12"/>
      </tp>
      <tp t="e">
        <v>#N/A</v>
        <stp/>
        <stp>BDH|2647558793618789625</stp>
        <tr r="E26" s="17"/>
      </tp>
      <tp t="e">
        <v>#N/A</v>
        <stp/>
        <stp>BDH|2317055591143245807</stp>
        <tr r="T181" s="18"/>
      </tp>
      <tp t="e">
        <v>#N/A</v>
        <stp/>
        <stp>BDH|6702569800233357078</stp>
        <tr r="S43" s="4"/>
      </tp>
      <tp t="e">
        <v>#N/A</v>
        <stp/>
        <stp>BDH|9121563506909702531</stp>
        <tr r="C84" s="18"/>
      </tp>
      <tp t="e">
        <v>#N/A</v>
        <stp/>
        <stp>BDH|1913677802206143189</stp>
        <tr r="G26" s="18"/>
      </tp>
      <tp t="e">
        <v>#N/A</v>
        <stp/>
        <stp>BDH|6592630852761255433</stp>
        <tr r="X20" s="24"/>
      </tp>
      <tp t="e">
        <v>#N/A</v>
        <stp/>
        <stp>BDH|2757029119065973600</stp>
        <tr r="M150" s="18"/>
      </tp>
      <tp t="e">
        <v>#N/A</v>
        <stp/>
        <stp>BDH|9313830860364505309</stp>
        <tr r="I10" s="21"/>
      </tp>
      <tp t="e">
        <v>#N/A</v>
        <stp/>
        <stp>BDH|1740088602370914114</stp>
        <tr r="J13" s="24"/>
      </tp>
      <tp t="e">
        <v>#N/A</v>
        <stp/>
        <stp>BDH|9389819113895452506</stp>
        <tr r="S58" s="11"/>
        <tr r="U19" s="23"/>
      </tp>
      <tp t="e">
        <v>#N/A</v>
        <stp/>
        <stp>BDH|4477647714764193703</stp>
        <tr r="H13" s="13"/>
      </tp>
      <tp t="e">
        <v>#N/A</v>
        <stp/>
        <stp>BDH|4564487338374065709</stp>
        <tr r="X49" s="13"/>
      </tp>
      <tp t="e">
        <v>#N/A</v>
        <stp/>
        <stp>BDH|8001915137840222212</stp>
        <tr r="H32" s="22"/>
      </tp>
      <tp t="e">
        <v>#N/A</v>
        <stp/>
        <stp>BDH|9227858835271506325</stp>
        <tr r="M63" s="34"/>
      </tp>
      <tp t="e">
        <v>#N/A</v>
        <stp/>
        <stp>BDH|8848695915969336627</stp>
        <tr r="Y94" s="24"/>
      </tp>
      <tp t="e">
        <v>#N/A</v>
        <stp/>
        <stp>BDH|4780578114835850591</stp>
        <tr r="H146" s="18"/>
      </tp>
      <tp t="e">
        <v>#N/A</v>
        <stp/>
        <stp>BDH|4877838490324702190</stp>
        <tr r="O24" s="13"/>
      </tp>
      <tp t="e">
        <v>#N/A</v>
        <stp/>
        <stp>BDH|2268961098636097494</stp>
        <tr r="O25" s="12"/>
      </tp>
      <tp t="e">
        <v>#N/A</v>
        <stp/>
        <stp>BDH|9011613765939225036</stp>
        <tr r="W59" s="18"/>
      </tp>
      <tp t="e">
        <v>#N/A</v>
        <stp/>
        <stp>BDH|4246408237715350630</stp>
        <tr r="D94" s="17"/>
      </tp>
      <tp t="e">
        <v>#N/A</v>
        <stp/>
        <stp>BDH|7016259537116425035</stp>
        <tr r="G57" s="17"/>
      </tp>
      <tp t="e">
        <v>#N/A</v>
        <stp/>
        <stp>BDH|8784921913636203611</stp>
        <tr r="Y84" s="18"/>
      </tp>
      <tp t="e">
        <v>#N/A</v>
        <stp/>
        <stp>BDH|47629204413709874</stp>
        <tr r="C9" s="21"/>
      </tp>
      <tp t="e">
        <v>#N/A</v>
        <stp/>
        <stp>BDH|53977947827255761</stp>
        <tr r="K41" s="21"/>
      </tp>
      <tp t="e">
        <v>#N/A</v>
        <stp/>
        <stp>BDH|69844856663702373</stp>
        <tr r="F32" s="21"/>
      </tp>
      <tp t="e">
        <v>#N/A</v>
        <stp/>
        <stp>BDH|29019806489280477</stp>
        <tr r="Q43" s="18"/>
      </tp>
      <tp t="e">
        <v>#N/A</v>
        <stp/>
        <stp>BDH|59290310827360946</stp>
        <tr r="K111" s="18"/>
      </tp>
      <tp t="e">
        <v>#N/A</v>
        <stp/>
        <stp>BDH|19983846740591055</stp>
        <tr r="E18" s="29"/>
        <tr r="E41" s="29"/>
      </tp>
      <tp t="e">
        <v>#N/A</v>
        <stp/>
        <stp>BDH|58661976455973951</stp>
        <tr r="O208" s="18"/>
      </tp>
      <tp t="e">
        <v>#N/A</v>
        <stp/>
        <stp>BDH|10851823907914057</stp>
        <tr r="E23" s="26"/>
      </tp>
      <tp t="e">
        <v>#N/A</v>
        <stp/>
        <stp>BDH|13202081306877124</stp>
        <tr r="H74" s="18"/>
      </tp>
      <tp t="e">
        <v>#N/A</v>
        <stp/>
        <stp>BDH|4744625320702843373</stp>
        <tr r="F76" s="34"/>
      </tp>
      <tp t="e">
        <v>#N/A</v>
        <stp/>
        <stp>BDH|4980563274924935380</stp>
        <tr r="V86" s="18"/>
      </tp>
      <tp t="e">
        <v>#N/A</v>
        <stp/>
        <stp>BDH|9303914406126714795</stp>
        <tr r="U31" s="26"/>
        <tr r="R14" s="9"/>
      </tp>
      <tp t="e">
        <v>#N/A</v>
        <stp/>
        <stp>BDH|4004293044305577626</stp>
        <tr r="K31" s="10"/>
        <tr r="M40" s="13"/>
      </tp>
      <tp t="e">
        <v>#N/A</v>
        <stp/>
        <stp>BDH|6381126537716518399</stp>
        <tr r="M46" s="4"/>
        <tr r="M23" s="10"/>
        <tr r="O42" s="13"/>
      </tp>
      <tp t="e">
        <v>#N/A</v>
        <stp/>
        <stp>BDH|8795812579652088454</stp>
        <tr r="I58" s="12"/>
      </tp>
      <tp t="e">
        <v>#N/A</v>
        <stp/>
        <stp>BDH|2976799736070562798</stp>
        <tr r="I48" s="18"/>
      </tp>
      <tp t="e">
        <v>#N/A</v>
        <stp/>
        <stp>BDH|6212870997934006288</stp>
        <tr r="L15" s="17"/>
        <tr r="L18" s="28"/>
      </tp>
      <tp t="e">
        <v>#N/A</v>
        <stp/>
        <stp>BDH|6907066508972591585</stp>
        <tr r="V57" s="17"/>
      </tp>
      <tp t="e">
        <v>#N/A</v>
        <stp/>
        <stp>BDH|8473513378819062279</stp>
        <tr r="G27" s="22"/>
      </tp>
      <tp t="e">
        <v>#N/A</v>
        <stp/>
        <stp>BDH|1571047575594774391</stp>
        <tr r="V20" s="6"/>
      </tp>
      <tp t="e">
        <v>#N/A</v>
        <stp/>
        <stp>BDH|2319589080476192807</stp>
        <tr r="K80" s="12"/>
      </tp>
      <tp t="e">
        <v>#N/A</v>
        <stp/>
        <stp>BDH|5257991016695360946</stp>
        <tr r="J26" s="17"/>
      </tp>
      <tp t="e">
        <v>#N/A</v>
        <stp/>
        <stp>BDH|7499299140866530629</stp>
        <tr r="X113" s="18"/>
      </tp>
      <tp t="e">
        <v>#N/A</v>
        <stp/>
        <stp>BDH|5772839230188857768</stp>
        <tr r="O9" s="22"/>
      </tp>
      <tp t="e">
        <v>#N/A</v>
        <stp/>
        <stp>BDH|6376029232967821310</stp>
        <tr r="O31" s="10"/>
        <tr r="Q40" s="13"/>
      </tp>
      <tp t="e">
        <v>#N/A</v>
        <stp/>
        <stp>BDH|8442391123628114056</stp>
        <tr r="AA193" s="18"/>
      </tp>
      <tp t="e">
        <v>#N/A</v>
        <stp/>
        <stp>BDH|6788255089819227433</stp>
        <tr r="AA68" s="24"/>
      </tp>
      <tp t="e">
        <v>#N/A</v>
        <stp/>
        <stp>BDH|1822217057497543011</stp>
        <tr r="Q32" s="22"/>
      </tp>
      <tp t="e">
        <v>#N/A</v>
        <stp/>
        <stp>BDH|1851815767789537710</stp>
        <tr r="T60" s="18"/>
      </tp>
      <tp t="e">
        <v>#N/A</v>
        <stp/>
        <stp>BDH|6861145315197321004</stp>
        <tr r="L8" s="10"/>
      </tp>
      <tp t="e">
        <v>#N/A</v>
        <stp/>
        <stp>BDH|1904104846436324366</stp>
        <tr r="O10" s="2"/>
        <tr r="N11" s="5"/>
        <tr r="N51" s="6"/>
        <tr r="P33" s="29"/>
        <tr r="P42" s="29"/>
      </tp>
      <tp t="e">
        <v>#N/A</v>
        <stp/>
        <stp>BDH|3095038737076978771</stp>
        <tr r="F63" s="18"/>
      </tp>
      <tp t="e">
        <v>#N/A</v>
        <stp/>
        <stp>BDH|7692132858945308744</stp>
        <tr r="Y15" s="10"/>
      </tp>
      <tp t="e">
        <v>#N/A</v>
        <stp/>
        <stp>BDH|8201683475040011854</stp>
        <tr r="W46" s="17"/>
      </tp>
      <tp t="e">
        <v>#N/A</v>
        <stp/>
        <stp>BDH|1464645277213409297</stp>
        <tr r="U11" s="18"/>
      </tp>
      <tp t="e">
        <v>#N/A</v>
        <stp/>
        <stp>BDH|8554813702084512591</stp>
        <tr r="T22" s="18"/>
      </tp>
      <tp t="e">
        <v>#N/A</v>
        <stp/>
        <stp>BDH|2178514193538181788</stp>
        <tr r="S15" s="5"/>
      </tp>
      <tp t="e">
        <v>#N/A</v>
        <stp/>
        <stp>BDH|6361273352014938450</stp>
        <tr r="E51" s="34"/>
      </tp>
      <tp t="e">
        <v>#N/A</v>
        <stp/>
        <stp>BDH|7949008233130033508</stp>
        <tr r="I34" s="14"/>
      </tp>
      <tp t="e">
        <v>#N/A</v>
        <stp/>
        <stp>BDH|6822434825994315577</stp>
        <tr r="M32" s="24"/>
      </tp>
      <tp t="e">
        <v>#N/A</v>
        <stp/>
        <stp>BDH|1528492267687083517</stp>
        <tr r="N71" s="17"/>
      </tp>
      <tp t="e">
        <v>#N/A</v>
        <stp/>
        <stp>BDH|6815271360297481413</stp>
        <tr r="W7" s="11"/>
      </tp>
      <tp t="e">
        <v>#N/A</v>
        <stp/>
        <stp>BDH|7173791403881617076</stp>
        <tr r="T59" s="11"/>
      </tp>
      <tp t="e">
        <v>#N/A</v>
        <stp/>
        <stp>BDH|6676102410877522094</stp>
        <tr r="AA28" s="27"/>
      </tp>
      <tp t="e">
        <v>#N/A</v>
        <stp/>
        <stp>BDH|7722220642729497997</stp>
        <tr r="L19" s="10"/>
      </tp>
      <tp t="e">
        <v>#N/A</v>
        <stp/>
        <stp>BDH|4561292732232647629</stp>
        <tr r="C33" s="17"/>
      </tp>
      <tp t="e">
        <v>#N/A</v>
        <stp/>
        <stp>BDH|1478275229835156514</stp>
        <tr r="Q106" s="12"/>
      </tp>
      <tp t="e">
        <v>#N/A</v>
        <stp/>
        <stp>BDH|2098732889655433944</stp>
        <tr r="N20" s="23"/>
      </tp>
      <tp t="e">
        <v>#N/A</v>
        <stp/>
        <stp>BDH|3597088615374217709</stp>
        <tr r="Z13" s="25"/>
      </tp>
      <tp t="e">
        <v>#N/A</v>
        <stp/>
        <stp>BDH|1541312080093947878</stp>
        <tr r="D123" s="18"/>
        <tr r="D12" s="20"/>
      </tp>
      <tp t="e">
        <v>#N/A</v>
        <stp/>
        <stp>BDH|3972935180497685464</stp>
        <tr r="X41" s="18"/>
      </tp>
      <tp t="e">
        <v>#N/A</v>
        <stp/>
        <stp>BDH|9806238543518348613</stp>
        <tr r="R73" s="13"/>
      </tp>
      <tp t="e">
        <v>#N/A</v>
        <stp/>
        <stp>BDH|2733728569916182476</stp>
        <tr r="G189" s="18"/>
      </tp>
      <tp t="e">
        <v>#N/A</v>
        <stp/>
        <stp>BDH|2237303441282168688</stp>
        <tr r="P93" s="18"/>
      </tp>
      <tp t="e">
        <v>#N/A</v>
        <stp/>
        <stp>BDH|4098287726521122456</stp>
        <tr r="F79" s="24"/>
      </tp>
      <tp t="e">
        <v>#N/A</v>
        <stp/>
        <stp>BDH|8594495220689515634</stp>
        <tr r="Z68" s="24"/>
      </tp>
      <tp t="e">
        <v>#N/A</v>
        <stp/>
        <stp>BDH|9697404498756412305</stp>
        <tr r="F10" s="14"/>
      </tp>
      <tp t="e">
        <v>#N/A</v>
        <stp/>
        <stp>BDH|5506448891590344997</stp>
        <tr r="Q74" s="12"/>
      </tp>
      <tp t="e">
        <v>#N/A</v>
        <stp/>
        <stp>BDH|7810739966735307241</stp>
        <tr r="Q53" s="12"/>
      </tp>
      <tp t="e">
        <v>#N/A</v>
        <stp/>
        <stp>BDH|9056388442967966883</stp>
        <tr r="AA14" s="17"/>
        <tr r="AA17" s="28"/>
      </tp>
      <tp t="e">
        <v>#N/A</v>
        <stp/>
        <stp>BDH|2660716695375901803</stp>
        <tr r="P8" s="27"/>
      </tp>
      <tp t="e">
        <v>#N/A</v>
        <stp/>
        <stp>BDH|1077449158581632018</stp>
        <tr r="C95" s="24"/>
      </tp>
      <tp t="e">
        <v>#N/A</v>
        <stp/>
        <stp>BDH|1221647355166909514</stp>
        <tr r="W189" s="18"/>
      </tp>
      <tp t="e">
        <v>#N/A</v>
        <stp/>
        <stp>BDH|2439494946782535153</stp>
        <tr r="I40" s="10"/>
        <tr r="I30" s="11"/>
      </tp>
      <tp t="e">
        <v>#N/A</v>
        <stp/>
        <stp>BDH|2559113651820899764</stp>
        <tr r="H77" s="18"/>
      </tp>
      <tp t="e">
        <v>#N/A</v>
        <stp/>
        <stp>BDH|9925053131443345852</stp>
        <tr r="F15" s="18"/>
      </tp>
      <tp t="e">
        <v>#N/A</v>
        <stp/>
        <stp>BDH|1419656131566934322</stp>
        <tr r="R33" s="5"/>
      </tp>
      <tp t="e">
        <v>#N/A</v>
        <stp/>
        <stp>BDH|7838794519468300800</stp>
        <tr r="Y13" s="7"/>
      </tp>
      <tp t="e">
        <v>#N/A</v>
        <stp/>
        <stp>BDH|4399788902440409267</stp>
        <tr r="H12" s="13"/>
      </tp>
      <tp t="e">
        <v>#N/A</v>
        <stp/>
        <stp>BDH|4039981093231453447</stp>
        <tr r="I94" s="12"/>
      </tp>
      <tp t="e">
        <v>#N/A</v>
        <stp/>
        <stp>BDH|1267871504209803120</stp>
        <tr r="O57" s="18"/>
      </tp>
      <tp t="e">
        <v>#N/A</v>
        <stp/>
        <stp>BDH|2833816683126268537</stp>
        <tr r="L11" s="28"/>
      </tp>
      <tp t="e">
        <v>#N/A</v>
        <stp/>
        <stp>BDH|6626757508454019405</stp>
        <tr r="W6" s="6"/>
      </tp>
      <tp t="e">
        <v>#N/A</v>
        <stp/>
        <stp>BDH|1772624960849965978</stp>
        <tr r="I33" s="17"/>
      </tp>
      <tp t="e">
        <v>#N/A</v>
        <stp/>
        <stp>BDH|7823553491793436931</stp>
        <tr r="W19" s="26"/>
      </tp>
      <tp t="e">
        <v>#N/A</v>
        <stp/>
        <stp>BDH|6776184562655103572</stp>
        <tr r="H166" s="18"/>
      </tp>
      <tp t="e">
        <v>#N/A</v>
        <stp/>
        <stp>BDH|2725045678271679565</stp>
        <tr r="G76" s="34"/>
      </tp>
      <tp t="e">
        <v>#N/A</v>
        <stp/>
        <stp>BDH|8416540371643818820</stp>
        <tr r="AA156" s="18"/>
      </tp>
      <tp t="e">
        <v>#N/A</v>
        <stp/>
        <stp>BDH|6309285446446652702</stp>
        <tr r="E23" s="17"/>
      </tp>
      <tp t="e">
        <v>#N/A</v>
        <stp/>
        <stp>BDH|9427081183976736630</stp>
        <tr r="Z16" s="23"/>
      </tp>
      <tp t="e">
        <v>#N/A</v>
        <stp/>
        <stp>BDH|4035939804428438485</stp>
        <tr r="P65" s="13"/>
      </tp>
      <tp t="e">
        <v>#N/A</v>
        <stp/>
        <stp>BDH|6146408082438948314</stp>
        <tr r="O30" s="26"/>
      </tp>
      <tp t="e">
        <v>#N/A</v>
        <stp/>
        <stp>BDH|1182795251777249505</stp>
        <tr r="AA9" s="23"/>
      </tp>
      <tp t="e">
        <v>#N/A</v>
        <stp/>
        <stp>BDH|8803413290991756555</stp>
        <tr r="U195" s="18"/>
      </tp>
      <tp t="e">
        <v>#N/A</v>
        <stp/>
        <stp>BDH|6336548308632277067</stp>
        <tr r="J118" s="18"/>
        <tr r="J6" s="20"/>
      </tp>
      <tp t="e">
        <v>#N/A</v>
        <stp/>
        <stp>BDH|7414289956315822494</stp>
        <tr r="O18" s="13"/>
      </tp>
      <tp t="e">
        <v>#N/A</v>
        <stp/>
        <stp>BDH|7579083188597889964</stp>
        <tr r="X41" s="10"/>
        <tr r="X31" s="11"/>
      </tp>
      <tp t="e">
        <v>#N/A</v>
        <stp/>
        <stp>BDH|7553076678963579240</stp>
        <tr r="O117" s="18"/>
      </tp>
      <tp t="e">
        <v>#N/A</v>
        <stp/>
        <stp>BDH|4571268571953199383</stp>
        <tr r="X91" s="24"/>
      </tp>
      <tp t="e">
        <v>#N/A</v>
        <stp/>
        <stp>BDH|3899462406375129325</stp>
        <tr r="F16" s="20"/>
      </tp>
      <tp t="e">
        <v>#N/A</v>
        <stp/>
        <stp>BDH|4294495001212819390</stp>
        <tr r="D61" s="12"/>
      </tp>
      <tp t="e">
        <v>#N/A</v>
        <stp/>
        <stp>BDH|8314034239492582876</stp>
        <tr r="U47" s="22"/>
      </tp>
      <tp t="e">
        <v>#N/A</v>
        <stp/>
        <stp>BDH|5757148868756705575</stp>
        <tr r="P59" s="12"/>
      </tp>
      <tp t="e">
        <v>#N/A</v>
        <stp/>
        <stp>BDH|2801496128385230009</stp>
        <tr r="U159" s="18"/>
      </tp>
      <tp t="e">
        <v>#N/A</v>
        <stp/>
        <stp>BDH|9887851620315165772</stp>
        <tr r="L15" s="21"/>
      </tp>
      <tp t="e">
        <v>#N/A</v>
        <stp/>
        <stp>BDH|3401331229210580305</stp>
        <tr r="D96" s="18"/>
      </tp>
      <tp t="e">
        <v>#N/A</v>
        <stp/>
        <stp>BDH|6386521922726064686</stp>
        <tr r="D63" s="17"/>
      </tp>
      <tp t="e">
        <v>#N/A</v>
        <stp/>
        <stp>BDH|9864931360544520361</stp>
        <tr r="G203" s="18"/>
      </tp>
      <tp t="e">
        <v>#N/A</v>
        <stp/>
        <stp>BDH|1549735848435746611</stp>
        <tr r="J10" s="2"/>
        <tr r="I11" s="5"/>
        <tr r="I51" s="6"/>
        <tr r="K33" s="29"/>
        <tr r="K42" s="29"/>
      </tp>
      <tp t="e">
        <v>#N/A</v>
        <stp/>
        <stp>BDH|4233005046532435380</stp>
        <tr r="W11" s="21"/>
      </tp>
      <tp t="e">
        <v>#N/A</v>
        <stp/>
        <stp>BDH|6580386164506327429</stp>
        <tr r="L79" s="34"/>
      </tp>
      <tp t="e">
        <v>#N/A</v>
        <stp/>
        <stp>BDH|2016655759396418606</stp>
        <tr r="D11" s="11"/>
      </tp>
      <tp t="e">
        <v>#N/A</v>
        <stp/>
        <stp>BDH|1759360497978682284</stp>
        <tr r="D113" s="18"/>
      </tp>
      <tp t="e">
        <v>#N/A</v>
        <stp/>
        <stp>BDH|8756950226200909254</stp>
        <tr r="W40" s="12"/>
      </tp>
      <tp t="e">
        <v>#N/A</v>
        <stp/>
        <stp>BDH|5710790272057179355</stp>
        <tr r="AA50" s="12"/>
      </tp>
      <tp t="e">
        <v>#N/A</v>
        <stp/>
        <stp>BDH|7604093430691241452</stp>
        <tr r="M36" s="21"/>
      </tp>
      <tp t="e">
        <v>#N/A</v>
        <stp/>
        <stp>BDH|3727467488046963881</stp>
        <tr r="Z24" s="18"/>
      </tp>
      <tp t="e">
        <v>#N/A</v>
        <stp/>
        <stp>BDH|2272113140376803032</stp>
        <tr r="F38" s="22"/>
      </tp>
      <tp t="e">
        <v>#N/A</v>
        <stp/>
        <stp>BDH|9200250875688243586</stp>
        <tr r="F54" s="12"/>
      </tp>
      <tp t="e">
        <v>#N/A</v>
        <stp/>
        <stp>BDH|7628515359226505031</stp>
        <tr r="O16" s="11"/>
      </tp>
      <tp t="e">
        <v>#N/A</v>
        <stp/>
        <stp>BDH|9497569463448179387</stp>
        <tr r="F38" s="4"/>
        <tr r="F56" s="11"/>
        <tr r="H13" s="23"/>
      </tp>
      <tp t="e">
        <v>#N/A</v>
        <stp/>
        <stp>BDH|5927497021673908107</stp>
        <tr r="U15" s="14"/>
      </tp>
      <tp t="e">
        <v>#N/A</v>
        <stp/>
        <stp>BDH|1814684059980899392</stp>
        <tr r="Q69" s="12"/>
      </tp>
      <tp t="e">
        <v>#N/A</v>
        <stp/>
        <stp>BDH|7665441666982913658</stp>
        <tr r="M155" s="18"/>
      </tp>
      <tp t="e">
        <v>#N/A</v>
        <stp/>
        <stp>BDH|4223259378312475239</stp>
        <tr r="R10" s="2"/>
        <tr r="Q11" s="5"/>
        <tr r="Q51" s="6"/>
        <tr r="S33" s="29"/>
        <tr r="S42" s="29"/>
      </tp>
      <tp t="e">
        <v>#N/A</v>
        <stp/>
        <stp>BDH|5699769297862788886</stp>
        <tr r="T65" s="13"/>
      </tp>
      <tp t="e">
        <v>#N/A</v>
        <stp/>
        <stp>BDH|3367181633233005303</stp>
        <tr r="G13" s="25"/>
      </tp>
      <tp t="e">
        <v>#N/A</v>
        <stp/>
        <stp>BDH|3783759659629476976</stp>
        <tr r="Z84" s="12"/>
      </tp>
      <tp t="e">
        <v>#N/A</v>
        <stp/>
        <stp>BDH|9547880212633745200</stp>
        <tr r="J73" s="34"/>
      </tp>
      <tp t="e">
        <v>#N/A</v>
        <stp/>
        <stp>BDH|2939671385074341900</stp>
        <tr r="J92" s="24"/>
      </tp>
      <tp t="e">
        <v>#N/A</v>
        <stp/>
        <stp>BDH|7918560593903761938</stp>
        <tr r="Z206" s="18"/>
      </tp>
      <tp t="e">
        <v>#N/A</v>
        <stp/>
        <stp>BDH|5771552645360879577</stp>
        <tr r="E34" s="10"/>
        <tr r="E24" s="11"/>
      </tp>
      <tp t="e">
        <v>#N/A</v>
        <stp/>
        <stp>BDH|9383786111727727952</stp>
        <tr r="C42" s="34"/>
      </tp>
      <tp t="e">
        <v>#N/A</v>
        <stp/>
        <stp>BDH|3711310052977432383</stp>
        <tr r="I43" s="4"/>
      </tp>
      <tp t="e">
        <v>#N/A</v>
        <stp/>
        <stp>BDH|8404935794141985824</stp>
        <tr r="J44" s="22"/>
      </tp>
      <tp t="e">
        <v>#N/A</v>
        <stp/>
        <stp>BDH|6301013109683091434</stp>
        <tr r="W111" s="18"/>
      </tp>
      <tp t="e">
        <v>#N/A</v>
        <stp/>
        <stp>BDH|1885861574746125937</stp>
        <tr r="F36" s="10"/>
        <tr r="F48" s="10"/>
        <tr r="F26" s="11"/>
        <tr r="F38" s="11"/>
      </tp>
      <tp t="e">
        <v>#N/A</v>
        <stp/>
        <stp>BDH|1497274208401571364</stp>
        <tr r="E50" s="34"/>
      </tp>
      <tp t="e">
        <v>#N/A</v>
        <stp/>
        <stp>BDH|3461472131875324094</stp>
        <tr r="H24" s="18"/>
      </tp>
      <tp t="e">
        <v>#N/A</v>
        <stp/>
        <stp>BDH|6250652918054140469</stp>
        <tr r="I71" s="17"/>
      </tp>
      <tp t="e">
        <v>#N/A</v>
        <stp/>
        <stp>BDH|3065588371493938384</stp>
        <tr r="X71" s="18"/>
      </tp>
      <tp t="e">
        <v>#N/A</v>
        <stp/>
        <stp>BDH|5133026315877946274</stp>
        <tr r="K188" s="18"/>
      </tp>
      <tp t="e">
        <v>#N/A</v>
        <stp/>
        <stp>BDH|5437216183267733999</stp>
        <tr r="S11" s="7"/>
      </tp>
      <tp t="e">
        <v>#N/A</v>
        <stp/>
        <stp>BDH|2335901967155462988</stp>
        <tr r="M35" s="26"/>
      </tp>
      <tp t="e">
        <v>#N/A</v>
        <stp/>
        <stp>BDH|3661648063772835016</stp>
        <tr r="P174" s="18"/>
      </tp>
      <tp t="e">
        <v>#N/A</v>
        <stp/>
        <stp>BDH|7252347865435336689</stp>
        <tr r="J43" s="29"/>
      </tp>
      <tp t="e">
        <v>#N/A</v>
        <stp/>
        <stp>BDH|2925209027995266648</stp>
        <tr r="F18" s="21"/>
      </tp>
      <tp t="e">
        <v>#N/A</v>
        <stp/>
        <stp>BDH|5973616023974064431</stp>
        <tr r="K29" s="10"/>
        <tr r="M38" s="13"/>
      </tp>
      <tp t="e">
        <v>#N/A</v>
        <stp/>
        <stp>BDH|7896018994088473718</stp>
        <tr r="G25" s="14"/>
      </tp>
      <tp t="e">
        <v>#N/A</v>
        <stp/>
        <stp>BDH|4152879767643034888</stp>
        <tr r="G11" s="28"/>
      </tp>
      <tp t="e">
        <v>#N/A</v>
        <stp/>
        <stp>BDH|1263432299018426557</stp>
        <tr r="Z50" s="13"/>
      </tp>
      <tp t="e">
        <v>#N/A</v>
        <stp/>
        <stp>BDH|6668007139002098669</stp>
        <tr r="K62" s="34"/>
      </tp>
      <tp t="e">
        <v>#N/A</v>
        <stp/>
        <stp>BDH|1577028441615796180</stp>
        <tr r="M24" s="6"/>
      </tp>
      <tp t="e">
        <v>#N/A</v>
        <stp/>
        <stp>BDH|1331714604543833471</stp>
        <tr r="X14" s="29"/>
        <tr r="X23" s="29"/>
        <tr r="X37" s="29"/>
      </tp>
      <tp t="e">
        <v>#N/A</v>
        <stp/>
        <stp>BDH|5524283141773041152</stp>
        <tr r="I31" s="18"/>
      </tp>
      <tp t="e">
        <v>#N/A</v>
        <stp/>
        <stp>BDH|4210731104644953650</stp>
        <tr r="I100" s="18"/>
      </tp>
      <tp t="e">
        <v>#N/A</v>
        <stp/>
        <stp>BDH|1677757453617073592</stp>
        <tr r="O19" s="24"/>
      </tp>
      <tp t="e">
        <v>#N/A</v>
        <stp/>
        <stp>BDH|9877531760092642941</stp>
        <tr r="T82" s="24"/>
      </tp>
      <tp t="e">
        <v>#N/A</v>
        <stp/>
        <stp>BDH|3745543989526049933</stp>
        <tr r="H10" s="10"/>
      </tp>
      <tp t="e">
        <v>#N/A</v>
        <stp/>
        <stp>BDH|3617387984579242012</stp>
        <tr r="K88" s="18"/>
      </tp>
      <tp t="e">
        <v>#N/A</v>
        <stp/>
        <stp>BDH|5138491877035040262</stp>
        <tr r="D74" s="34"/>
      </tp>
      <tp t="e">
        <v>#N/A</v>
        <stp/>
        <stp>BDH|3207492894666674907</stp>
        <tr r="F59" s="18"/>
      </tp>
      <tp t="e">
        <v>#N/A</v>
        <stp/>
        <stp>BDH|3570882955707011817</stp>
        <tr r="I106" s="12"/>
      </tp>
      <tp t="e">
        <v>#N/A</v>
        <stp/>
        <stp>BDH|1409301626808945929</stp>
        <tr r="C70" s="24"/>
      </tp>
      <tp t="e">
        <v>#N/A</v>
        <stp/>
        <stp>BDH|5138644028078689828</stp>
        <tr r="D26" s="18"/>
      </tp>
      <tp t="e">
        <v>#N/A</v>
        <stp/>
        <stp>BDH|4794506568904550234</stp>
        <tr r="C205" s="18"/>
      </tp>
      <tp t="e">
        <v>#N/A</v>
        <stp/>
        <stp>BDH|8659431541449434094</stp>
        <tr r="J32" s="18"/>
      </tp>
      <tp t="e">
        <v>#N/A</v>
        <stp/>
        <stp>BDH|5508094174274997788</stp>
        <tr r="Q41" s="18"/>
      </tp>
      <tp t="e">
        <v>#N/A</v>
        <stp/>
        <stp>BDH|3314347403603975241</stp>
        <tr r="E24" s="24"/>
      </tp>
      <tp t="e">
        <v>#N/A</v>
        <stp/>
        <stp>BDH|5204528411686091681</stp>
        <tr r="R24" s="2"/>
      </tp>
      <tp t="e">
        <v>#N/A</v>
        <stp/>
        <stp>BDH|7852124923167274221</stp>
        <tr r="P39" s="25"/>
        <tr r="P7" s="3"/>
        <tr r="N17" s="11"/>
        <tr r="P22" s="13"/>
        <tr r="P7" s="13"/>
      </tp>
      <tp t="e">
        <v>#N/A</v>
        <stp/>
        <stp>BDH|4196724839799650856</stp>
        <tr r="X163" s="18"/>
      </tp>
      <tp t="e">
        <v>#N/A</v>
        <stp/>
        <stp>BDH|1112709414330924650</stp>
        <tr r="T25" s="24"/>
      </tp>
      <tp t="e">
        <v>#N/A</v>
        <stp/>
        <stp>BDH|2431064839956423665</stp>
        <tr r="M49" s="24"/>
      </tp>
      <tp t="e">
        <v>#N/A</v>
        <stp/>
        <stp>BDH|7013793853275215119</stp>
        <tr r="S11" s="9"/>
      </tp>
      <tp t="e">
        <v>#N/A</v>
        <stp/>
        <stp>BDH|5621839818055477804</stp>
        <tr r="R12" s="24"/>
      </tp>
      <tp t="e">
        <v>#N/A</v>
        <stp/>
        <stp>BDH|6284735217015613497</stp>
        <tr r="Y50" s="4"/>
      </tp>
      <tp t="e">
        <v>#N/A</v>
        <stp/>
        <stp>BDH|5824846117279494464</stp>
        <tr r="AA99" s="12"/>
      </tp>
      <tp t="e">
        <v>#N/A</v>
        <stp/>
        <stp>BDH|6818392868703766179</stp>
        <tr r="O82" s="18"/>
      </tp>
      <tp t="e">
        <v>#N/A</v>
        <stp/>
        <stp>BDH|7578526943547577088</stp>
        <tr r="F45" s="12"/>
      </tp>
      <tp t="e">
        <v>#N/A</v>
        <stp/>
        <stp>BDH|2933668639224624290</stp>
        <tr r="Q55" s="13"/>
      </tp>
      <tp t="e">
        <v>#N/A</v>
        <stp/>
        <stp>BDH|4780393665339216902</stp>
        <tr r="I48" s="22"/>
      </tp>
      <tp t="e">
        <v>#N/A</v>
        <stp/>
        <stp>BDH|6745694043055139058</stp>
        <tr r="I92" s="24"/>
      </tp>
      <tp t="e">
        <v>#N/A</v>
        <stp/>
        <stp>BDH|4022045741061994054</stp>
        <tr r="Z39" s="34"/>
      </tp>
      <tp t="e">
        <v>#N/A</v>
        <stp/>
        <stp>BDH|8975560761318394247</stp>
        <tr r="Y39" s="17"/>
      </tp>
      <tp t="e">
        <v>#N/A</v>
        <stp/>
        <stp>BDH|4147891489707087287</stp>
        <tr r="D8" s="10"/>
      </tp>
      <tp t="e">
        <v>#N/A</v>
        <stp/>
        <stp>BDH|5827351038206545299</stp>
        <tr r="J66" s="18"/>
      </tp>
      <tp t="e">
        <v>#N/A</v>
        <stp/>
        <stp>BDH|8708217416513985905</stp>
        <tr r="W68" s="34"/>
      </tp>
      <tp t="e">
        <v>#N/A</v>
        <stp/>
        <stp>BDH|4097125318780216515</stp>
        <tr r="E74" s="34"/>
      </tp>
      <tp t="e">
        <v>#N/A</v>
        <stp/>
        <stp>BDH|4895004773765271703</stp>
        <tr r="X24" s="18"/>
      </tp>
      <tp t="e">
        <v>#N/A</v>
        <stp/>
        <stp>BDH|5573472138867214412</stp>
        <tr r="C15" s="17"/>
        <tr r="C18" s="28"/>
      </tp>
      <tp t="e">
        <v>#N/A</v>
        <stp/>
        <stp>BDH|2772286275705701348</stp>
        <tr r="I43" s="17"/>
      </tp>
      <tp t="e">
        <v>#N/A</v>
        <stp/>
        <stp>BDH|3624979691383869110</stp>
        <tr r="N83" s="18"/>
      </tp>
      <tp t="e">
        <v>#N/A</v>
        <stp/>
        <stp>BDH|3716289702939771938</stp>
        <tr r="H29" s="4"/>
      </tp>
      <tp t="e">
        <v>#N/A</v>
        <stp/>
        <stp>BDH|5703703909097522450</stp>
        <tr r="AA140" s="18"/>
      </tp>
      <tp t="e">
        <v>#N/A</v>
        <stp/>
        <stp>BDH|6387333318097683202</stp>
        <tr r="P9" s="30"/>
      </tp>
      <tp t="e">
        <v>#N/A</v>
        <stp/>
        <stp>BDH|4144990633817596805</stp>
        <tr r="F145" s="18"/>
      </tp>
      <tp t="e">
        <v>#N/A</v>
        <stp/>
        <stp>BDH|5132725799323036946</stp>
        <tr r="V74" s="34"/>
      </tp>
      <tp t="e">
        <v>#N/A</v>
        <stp/>
        <stp>BDH|3877607879621972261</stp>
        <tr r="AA29" s="13"/>
      </tp>
      <tp t="e">
        <v>#N/A</v>
        <stp/>
        <stp>BDH|5932815172079213264</stp>
        <tr r="S51" s="17"/>
        <tr r="S17" s="3"/>
      </tp>
      <tp t="e">
        <v>#N/A</v>
        <stp/>
        <stp>BDH|1765922751464259886</stp>
        <tr r="G8" s="14"/>
      </tp>
      <tp t="e">
        <v>#N/A</v>
        <stp/>
        <stp>BDH|6308325018972360749</stp>
        <tr r="P202" s="18"/>
      </tp>
      <tp t="e">
        <v>#N/A</v>
        <stp/>
        <stp>BDH|4035957129557003923</stp>
        <tr r="C12" s="17"/>
      </tp>
      <tp t="e">
        <v>#N/A</v>
        <stp/>
        <stp>BDH|8907624480933398461</stp>
        <tr r="H124" s="18"/>
        <tr r="H13" s="20"/>
      </tp>
      <tp t="e">
        <v>#N/A</v>
        <stp/>
        <stp>BDH|3841292537727843401</stp>
        <tr r="X56" s="18"/>
      </tp>
      <tp t="e">
        <v>#N/A</v>
        <stp/>
        <stp>BDH|5084397553863155156</stp>
        <tr r="D13" s="25"/>
      </tp>
      <tp t="e">
        <v>#N/A</v>
        <stp/>
        <stp>BDH|7500182234432308642</stp>
        <tr r="S19" s="24"/>
      </tp>
      <tp t="e">
        <v>#N/A</v>
        <stp/>
        <stp>BDH|7876399309867470227</stp>
        <tr r="AA22" s="22"/>
      </tp>
      <tp t="e">
        <v>#N/A</v>
        <stp/>
        <stp>BDH|7500551941556805172</stp>
        <tr r="R29" s="18"/>
      </tp>
      <tp t="e">
        <v>#N/A</v>
        <stp/>
        <stp>BDH|1192766250097979501</stp>
        <tr r="V107" s="18"/>
      </tp>
      <tp t="e">
        <v>#N/A</v>
        <stp/>
        <stp>BDH|4713181827884700211</stp>
        <tr r="R61" s="34"/>
      </tp>
      <tp t="e">
        <v>#N/A</v>
        <stp/>
        <stp>BDH|5828647970150499564</stp>
        <tr r="T46" s="17"/>
      </tp>
      <tp t="e">
        <v>#N/A</v>
        <stp/>
        <stp>BDH|3819141674634786017</stp>
        <tr r="U182" s="18"/>
      </tp>
      <tp t="e">
        <v>#N/A</v>
        <stp/>
        <stp>BDH|8069220617392866838</stp>
        <tr r="P177" s="18"/>
      </tp>
      <tp t="e">
        <v>#N/A</v>
        <stp/>
        <stp>BDH|8103323403019902379</stp>
        <tr r="D28" s="27"/>
      </tp>
      <tp t="e">
        <v>#N/A</v>
        <stp/>
        <stp>BDH|7004629407097845737</stp>
        <tr r="E70" s="34"/>
      </tp>
      <tp t="e">
        <v>#N/A</v>
        <stp/>
        <stp>BDH|1568356677215800118</stp>
        <tr r="N116" s="18"/>
      </tp>
      <tp t="e">
        <v>#N/A</v>
        <stp/>
        <stp>BDH|1566997712738995092</stp>
        <tr r="Z59" s="34"/>
      </tp>
      <tp t="e">
        <v>#N/A</v>
        <stp/>
        <stp>BDH|4819348082187751970</stp>
        <tr r="O12" s="10"/>
      </tp>
      <tp t="e">
        <v>#N/A</v>
        <stp/>
        <stp>BDH|7546269063402746090</stp>
        <tr r="R15" s="11"/>
      </tp>
      <tp t="e">
        <v>#N/A</v>
        <stp/>
        <stp>BDH|6824428934625314530</stp>
        <tr r="R15" s="5"/>
      </tp>
      <tp t="e">
        <v>#N/A</v>
        <stp/>
        <stp>BDH|9977501512155287973</stp>
        <tr r="T16" s="23"/>
      </tp>
      <tp t="e">
        <v>#N/A</v>
        <stp/>
        <stp>BDH|1633247364954089089</stp>
        <tr r="E43" s="4"/>
      </tp>
      <tp t="e">
        <v>#N/A</v>
        <stp/>
        <stp>BDH|7822163031843358720</stp>
        <tr r="J18" s="25"/>
      </tp>
      <tp t="e">
        <v>#N/A</v>
        <stp/>
        <stp>BDH|3725602538987977082</stp>
        <tr r="S9" s="14"/>
      </tp>
      <tp t="e">
        <v>#N/A</v>
        <stp/>
        <stp>BDH|2199621838541347766</stp>
        <tr r="L95" s="18"/>
      </tp>
      <tp t="e">
        <v>#N/A</v>
        <stp/>
        <stp>BDH|6935343341833660340</stp>
        <tr r="P19" s="20"/>
      </tp>
      <tp t="e">
        <v>#N/A</v>
        <stp/>
        <stp>BDH|7316794436995778755</stp>
        <tr r="N58" s="11"/>
        <tr r="P19" s="23"/>
      </tp>
      <tp t="e">
        <v>#N/A</v>
        <stp/>
        <stp>BDH|6252691643726203352</stp>
        <tr r="X8" s="27"/>
      </tp>
      <tp t="e">
        <v>#N/A</v>
        <stp/>
        <stp>BDH|5972502456802785674</stp>
        <tr r="X9" s="13"/>
      </tp>
      <tp t="e">
        <v>#N/A</v>
        <stp/>
        <stp>BDH|7802963886212120562</stp>
        <tr r="S18" s="21"/>
      </tp>
      <tp t="e">
        <v>#N/A</v>
        <stp/>
        <stp>BDH|7730513909292804182</stp>
        <tr r="E30" s="21"/>
      </tp>
      <tp t="e">
        <v>#N/A</v>
        <stp/>
        <stp>BDH|5909469596291227849</stp>
        <tr r="L7" s="28"/>
      </tp>
      <tp t="e">
        <v>#N/A</v>
        <stp/>
        <stp>BDH|5678480429152017087</stp>
        <tr r="F13" s="26"/>
      </tp>
      <tp t="e">
        <v>#N/A</v>
        <stp/>
        <stp>BDH|6052275913600353483</stp>
        <tr r="M44" s="12"/>
      </tp>
      <tp t="e">
        <v>#N/A</v>
        <stp/>
        <stp>BDH|9344952419286803684</stp>
        <tr r="E161" s="18"/>
      </tp>
      <tp t="e">
        <v>#N/A</v>
        <stp/>
        <stp>BDH|5825555320422409160</stp>
        <tr r="I7" s="2"/>
        <tr r="H7" s="5"/>
        <tr r="H7" s="9"/>
        <tr r="K14" s="3"/>
      </tp>
      <tp t="e">
        <v>#N/A</v>
        <stp/>
        <stp>BDH|7888777342410482560</stp>
        <tr r="AA14" s="28"/>
      </tp>
      <tp t="e">
        <v>#N/A</v>
        <stp/>
        <stp>BDH|9010934328573161054</stp>
        <tr r="M49" s="13"/>
      </tp>
      <tp t="e">
        <v>#N/A</v>
        <stp/>
        <stp>BDH|4960869981782896793</stp>
        <tr r="Z68" s="34"/>
      </tp>
      <tp t="e">
        <v>#N/A</v>
        <stp/>
        <stp>BDH|4293632795668861239</stp>
        <tr r="G153" s="18"/>
      </tp>
      <tp t="e">
        <v>#N/A</v>
        <stp/>
        <stp>BDH|7243552020392016386</stp>
        <tr r="P211" s="18"/>
      </tp>
      <tp t="e">
        <v>#N/A</v>
        <stp/>
        <stp>BDH|3045820203302901870</stp>
        <tr r="U62" s="12"/>
      </tp>
      <tp t="e">
        <v>#N/A</v>
        <stp/>
        <stp>BDH|9496296442916923893</stp>
        <tr r="H101" s="12"/>
      </tp>
      <tp t="e">
        <v>#N/A</v>
        <stp/>
        <stp>BDH|1039615474624330594</stp>
        <tr r="L37" s="34"/>
      </tp>
      <tp t="e">
        <v>#N/A</v>
        <stp/>
        <stp>BDH|1265170855726606296</stp>
        <tr r="Y13" s="22"/>
      </tp>
      <tp t="e">
        <v>#N/A</v>
        <stp/>
        <stp>BDH|4460585756534027152</stp>
        <tr r="W122" s="18"/>
        <tr r="W11" s="20"/>
      </tp>
      <tp t="e">
        <v>#N/A</v>
        <stp/>
        <stp>BDH|7813933650749122351</stp>
        <tr r="Q64" s="34"/>
      </tp>
      <tp t="e">
        <v>#N/A</v>
        <stp/>
        <stp>BDH|9555380587112512103</stp>
        <tr r="Z153" s="18"/>
      </tp>
      <tp t="e">
        <v>#N/A</v>
        <stp/>
        <stp>BDH|9483893360216373017</stp>
        <tr r="K162" s="18"/>
      </tp>
      <tp t="e">
        <v>#N/A</v>
        <stp/>
        <stp>BDH|3493167419381161352</stp>
        <tr r="H24" s="6"/>
      </tp>
      <tp t="e">
        <v>#N/A</v>
        <stp/>
        <stp>BDH|3098213153440925545</stp>
        <tr r="J26" s="7"/>
      </tp>
      <tp t="e">
        <v>#N/A</v>
        <stp/>
        <stp>BDH|5985519133971561316</stp>
        <tr r="P41" s="24"/>
      </tp>
      <tp t="e">
        <v>#N/A</v>
        <stp/>
        <stp>BDH|7845242035941542633</stp>
        <tr r="W168" s="18"/>
      </tp>
      <tp t="e">
        <v>#N/A</v>
        <stp/>
        <stp>BDH|1914429254185614460</stp>
        <tr r="R73" s="24"/>
      </tp>
      <tp t="e">
        <v>#N/A</v>
        <stp/>
        <stp>BDH|3166522978505581512</stp>
        <tr r="D23" s="22"/>
      </tp>
      <tp t="e">
        <v>#N/A</v>
        <stp/>
        <stp>BDH|6322380930937393079</stp>
        <tr r="I35" s="18"/>
      </tp>
      <tp t="e">
        <v>#N/A</v>
        <stp/>
        <stp>BDH|5402419748613542771</stp>
        <tr r="R27" s="24"/>
      </tp>
      <tp t="e">
        <v>#N/A</v>
        <stp/>
        <stp>BDH|2981283159032431632</stp>
        <tr r="E68" s="13"/>
      </tp>
      <tp t="e">
        <v>#N/A</v>
        <stp/>
        <stp>BDH|5385428114771991034</stp>
        <tr r="F8" s="24"/>
      </tp>
      <tp t="e">
        <v>#N/A</v>
        <stp/>
        <stp>BDH|7479657317836965704</stp>
        <tr r="C21" s="3"/>
      </tp>
      <tp t="e">
        <v>#N/A</v>
        <stp/>
        <stp>BDH|4702196333180186735</stp>
        <tr r="S14" s="21"/>
      </tp>
      <tp t="e">
        <v>#N/A</v>
        <stp/>
        <stp>BDH|8099120442569733585</stp>
        <tr r="K92" s="24"/>
      </tp>
      <tp t="e">
        <v>#N/A</v>
        <stp/>
        <stp>BDH|1027769258367468554</stp>
        <tr r="Z18" s="13"/>
      </tp>
      <tp t="e">
        <v>#N/A</v>
        <stp/>
        <stp>BDH|3555643916290080581</stp>
        <tr r="Z27" s="34"/>
      </tp>
      <tp t="e">
        <v>#N/A</v>
        <stp/>
        <stp>BDH|7092081171703202242</stp>
        <tr r="P117" s="18"/>
      </tp>
      <tp t="e">
        <v>#N/A</v>
        <stp/>
        <stp>BDH|7064579076332929673</stp>
        <tr r="P207" s="18"/>
      </tp>
      <tp t="e">
        <v>#N/A</v>
        <stp/>
        <stp>BDH|8153102805200904828</stp>
        <tr r="N84" s="24"/>
      </tp>
      <tp t="e">
        <v>#N/A</v>
        <stp/>
        <stp>BDH|8100898327697831480</stp>
        <tr r="M76" s="34"/>
      </tp>
      <tp t="e">
        <v>#N/A</v>
        <stp/>
        <stp>BDH|2879922234140583940</stp>
        <tr r="S34" s="9"/>
      </tp>
      <tp t="e">
        <v>#N/A</v>
        <stp/>
        <stp>BDH|9108349108449040225</stp>
        <tr r="M18" s="9"/>
      </tp>
      <tp t="e">
        <v>#N/A</v>
        <stp/>
        <stp>BDH|2301432669012753318</stp>
        <tr r="G95" s="17"/>
      </tp>
      <tp t="e">
        <v>#N/A</v>
        <stp/>
        <stp>BDH|1845491382129934558</stp>
        <tr r="C16" s="12"/>
      </tp>
      <tp t="e">
        <v>#N/A</v>
        <stp/>
        <stp>BDH|9827471066232269848</stp>
        <tr r="S72" s="18"/>
      </tp>
      <tp t="e">
        <v>#N/A</v>
        <stp/>
        <stp>BDH|9349960167621482694</stp>
        <tr r="D19" s="5"/>
        <tr r="D42" s="6"/>
      </tp>
      <tp t="e">
        <v>#N/A</v>
        <stp/>
        <stp>BDH|4595627325204998574</stp>
        <tr r="K25" s="27"/>
      </tp>
      <tp t="e">
        <v>#N/A</v>
        <stp/>
        <stp>BDH|3951542115565533311</stp>
        <tr r="D10" s="10"/>
      </tp>
      <tp t="e">
        <v>#N/A</v>
        <stp/>
        <stp>BDH|7668773409787603622</stp>
        <tr r="W69" s="24"/>
      </tp>
      <tp t="e">
        <v>#N/A</v>
        <stp/>
        <stp>BDH|5073493922665113763</stp>
        <tr r="C34" s="21"/>
      </tp>
      <tp t="e">
        <v>#N/A</v>
        <stp/>
        <stp>BDH|3076214779467703034</stp>
        <tr r="G35" s="34"/>
      </tp>
      <tp t="e">
        <v>#N/A</v>
        <stp/>
        <stp>BDH|8057913312502977367</stp>
        <tr r="P19" s="25"/>
      </tp>
      <tp t="e">
        <v>#N/A</v>
        <stp/>
        <stp>BDH|5993168975174723611</stp>
        <tr r="C58" s="12"/>
      </tp>
      <tp t="e">
        <v>#N/A</v>
        <stp/>
        <stp>BDH|6111640778494761260</stp>
        <tr r="T143" s="18"/>
      </tp>
      <tp t="e">
        <v>#N/A</v>
        <stp/>
        <stp>BDH|9435800906529854960</stp>
        <tr r="W15" s="4"/>
      </tp>
      <tp t="e">
        <v>#N/A</v>
        <stp/>
        <stp>BDH|2329397820106555433</stp>
        <tr r="U96" s="18"/>
      </tp>
      <tp t="e">
        <v>#N/A</v>
        <stp/>
        <stp>BDH|3175305953685815167</stp>
        <tr r="O153" s="18"/>
      </tp>
      <tp t="e">
        <v>#N/A</v>
        <stp/>
        <stp>BDH|3391488058742638197</stp>
        <tr r="V7" s="10"/>
      </tp>
      <tp t="e">
        <v>#N/A</v>
        <stp/>
        <stp>BDH|8008892374693195508</stp>
        <tr r="I13" s="17"/>
        <tr r="I16" s="28"/>
      </tp>
      <tp t="e">
        <v>#N/A</v>
        <stp/>
        <stp>BDH|2970976154338262741</stp>
        <tr r="J23" s="6"/>
      </tp>
      <tp t="e">
        <v>#N/A</v>
        <stp/>
        <stp>BDH|9143141277229611783</stp>
        <tr r="C52" s="10"/>
        <tr r="C42" s="11"/>
        <tr r="C15" s="7"/>
      </tp>
      <tp t="e">
        <v>#N/A</v>
        <stp/>
        <stp>BDH|9499686132194122938</stp>
        <tr r="AA13" s="22"/>
      </tp>
      <tp t="e">
        <v>#N/A</v>
        <stp/>
        <stp>BDH|5489480356824071163</stp>
        <tr r="K66" s="21"/>
        <tr r="H27" s="6"/>
      </tp>
      <tp t="e">
        <v>#N/A</v>
        <stp/>
        <stp>BDH|5203617445457371193</stp>
        <tr r="F67" s="34"/>
      </tp>
      <tp t="e">
        <v>#N/A</v>
        <stp/>
        <stp>BDH|2461091451584623267</stp>
        <tr r="T30" s="29"/>
        <tr r="T8" s="29"/>
      </tp>
      <tp t="e">
        <v>#N/A</v>
        <stp/>
        <stp>BDH|3436433079172330314</stp>
        <tr r="Z7" s="30"/>
      </tp>
      <tp t="e">
        <v>#N/A</v>
        <stp/>
        <stp>BDH|4928103030633137442</stp>
        <tr r="E27" s="21"/>
      </tp>
      <tp t="e">
        <v>#N/A</v>
        <stp/>
        <stp>BDH|2866645520560480747</stp>
        <tr r="C17" s="20"/>
      </tp>
      <tp t="e">
        <v>#N/A</v>
        <stp/>
        <stp>BDH|4796392723155633170</stp>
        <tr r="W35" s="22"/>
      </tp>
      <tp t="e">
        <v>#N/A</v>
        <stp/>
        <stp>BDH|2121896828381570899</stp>
        <tr r="Y13" s="13"/>
      </tp>
      <tp t="e">
        <v>#N/A</v>
        <stp/>
        <stp>BDH|2653253401977763690</stp>
        <tr r="P17" s="12"/>
      </tp>
      <tp t="e">
        <v>#N/A</v>
        <stp/>
        <stp>BDH|7754066628646395265</stp>
        <tr r="I25" s="14"/>
      </tp>
      <tp t="e">
        <v>#N/A</v>
        <stp/>
        <stp>BDH|9776548823526871944</stp>
        <tr r="D39" s="22"/>
      </tp>
      <tp t="e">
        <v>#N/A</v>
        <stp/>
        <stp>BDH|9133693722479787514</stp>
        <tr r="F81" s="24"/>
      </tp>
      <tp t="e">
        <v>#N/A</v>
        <stp/>
        <stp>BDH|4337212855881221393</stp>
        <tr r="J31" s="29"/>
      </tp>
      <tp t="e">
        <v>#N/A</v>
        <stp/>
        <stp>BDH|4980210257344564665</stp>
        <tr r="N10" s="13"/>
      </tp>
      <tp t="e">
        <v>#N/A</v>
        <stp/>
        <stp>BDH|1992656628355050182</stp>
        <tr r="C204" s="18"/>
      </tp>
      <tp t="e">
        <v>#N/A</v>
        <stp/>
        <stp>BDH|4165825848180404939</stp>
        <tr r="L48" s="17"/>
      </tp>
      <tp t="e">
        <v>#N/A</v>
        <stp/>
        <stp>BDH|6333424051350887647</stp>
        <tr r="E107" s="18"/>
      </tp>
      <tp t="e">
        <v>#N/A</v>
        <stp/>
        <stp>BDH|7889014210156102146</stp>
        <tr r="D10" s="2"/>
        <tr r="C11" s="5"/>
        <tr r="C51" s="6"/>
        <tr r="E33" s="29"/>
        <tr r="E42" s="29"/>
      </tp>
      <tp t="e">
        <v>#N/A</v>
        <stp/>
        <stp>BDH|2455749235292073592</stp>
        <tr r="V19" s="34"/>
      </tp>
      <tp t="e">
        <v>#N/A</v>
        <stp/>
        <stp>BDH|5673018175121724296</stp>
        <tr r="C207" s="18"/>
      </tp>
      <tp t="e">
        <v>#N/A</v>
        <stp/>
        <stp>BDH|2819751631825008202</stp>
        <tr r="T24" s="9"/>
      </tp>
      <tp t="e">
        <v>#N/A</v>
        <stp/>
        <stp>BDH|6191110351101444296</stp>
        <tr r="K42" s="17"/>
      </tp>
      <tp t="e">
        <v>#N/A</v>
        <stp/>
        <stp>BDH|1240166948960498548</stp>
        <tr r="S9" s="34"/>
      </tp>
      <tp t="e">
        <v>#N/A</v>
        <stp/>
        <stp>BDH|7989447045493547515</stp>
        <tr r="I45" s="17"/>
      </tp>
      <tp t="e">
        <v>#N/A</v>
        <stp/>
        <stp>BDH|5950624661827036367</stp>
        <tr r="M76" s="18"/>
      </tp>
      <tp t="e">
        <v>#N/A</v>
        <stp/>
        <stp>BDH|9861738222038506502</stp>
        <tr r="AA14" s="13"/>
      </tp>
      <tp t="e">
        <v>#N/A</v>
        <stp/>
        <stp>BDH|5961835935829736644</stp>
        <tr r="N180" s="18"/>
      </tp>
      <tp t="e">
        <v>#N/A</v>
        <stp/>
        <stp>BDH|3028421108230244649</stp>
        <tr r="X6" s="28"/>
      </tp>
      <tp t="e">
        <v>#N/A</v>
        <stp/>
        <stp>BDH|6969437451150597625</stp>
        <tr r="Q6" s="27"/>
      </tp>
      <tp t="e">
        <v>#N/A</v>
        <stp/>
        <stp>BDH|4698341258263577031</stp>
        <tr r="O40" s="12"/>
      </tp>
      <tp t="e">
        <v>#N/A</v>
        <stp/>
        <stp>BDH|5588267566375922500</stp>
        <tr r="H203" s="18"/>
      </tp>
      <tp t="e">
        <v>#N/A</v>
        <stp/>
        <stp>BDH|6567334144872679283</stp>
        <tr r="F8" s="13"/>
      </tp>
      <tp t="e">
        <v>#N/A</v>
        <stp/>
        <stp>BDH|1725970551704856841</stp>
        <tr r="Y40" s="17"/>
      </tp>
      <tp t="e">
        <v>#N/A</v>
        <stp/>
        <stp>BDH|6568259839942423405</stp>
        <tr r="Z18" s="23"/>
      </tp>
      <tp t="e">
        <v>#N/A</v>
        <stp/>
        <stp>BDH|3736641374441271280</stp>
        <tr r="E88" s="18"/>
      </tp>
      <tp t="e">
        <v>#N/A</v>
        <stp/>
        <stp>BDH|1463495117192038770</stp>
        <tr r="M15" s="14"/>
      </tp>
      <tp t="e">
        <v>#N/A</v>
        <stp/>
        <stp>BDH|8671599935246650918</stp>
        <tr r="R59" s="17"/>
      </tp>
      <tp t="e">
        <v>#N/A</v>
        <stp/>
        <stp>BDH|7139796614339021915</stp>
        <tr r="P29" s="22"/>
      </tp>
      <tp t="e">
        <v>#N/A</v>
        <stp/>
        <stp>BDH|2016382661606041041</stp>
        <tr r="U108" s="18"/>
      </tp>
      <tp t="e">
        <v>#N/A</v>
        <stp/>
        <stp>BDH|2679706721267821121</stp>
        <tr r="S63" s="12"/>
      </tp>
      <tp t="e">
        <v>#N/A</v>
        <stp/>
        <stp>BDH|5895374043107072418</stp>
        <tr r="Y33" s="14"/>
      </tp>
      <tp t="e">
        <v>#N/A</v>
        <stp/>
        <stp>BDH|8849281762725661897</stp>
        <tr r="G53" s="17"/>
      </tp>
      <tp t="e">
        <v>#N/A</v>
        <stp/>
        <stp>BDH|6995504607753704148</stp>
        <tr r="AA66" s="17"/>
      </tp>
      <tp t="e">
        <v>#N/A</v>
        <stp/>
        <stp>BDH|3302110359846036069</stp>
        <tr r="T57" s="11"/>
        <tr r="V15" s="23"/>
      </tp>
      <tp t="e">
        <v>#N/A</v>
        <stp/>
        <stp>BDH|4380743549917598169</stp>
        <tr r="V8" s="10"/>
      </tp>
      <tp t="e">
        <v>#N/A</v>
        <stp/>
        <stp>BDH|3748371221575562694</stp>
        <tr r="N24" s="13"/>
      </tp>
      <tp t="e">
        <v>#N/A</v>
        <stp/>
        <stp>BDH|6207045836217471392</stp>
        <tr r="U9" s="10"/>
      </tp>
      <tp t="e">
        <v>#N/A</v>
        <stp/>
        <stp>BDH|1234045720807236598</stp>
        <tr r="U33" s="5"/>
      </tp>
      <tp t="e">
        <v>#N/A</v>
        <stp/>
        <stp>BDH|5386019019684418123</stp>
        <tr r="AA63" s="12"/>
      </tp>
      <tp t="e">
        <v>#N/A</v>
        <stp/>
        <stp>BDH|4854730454387028021</stp>
        <tr r="E95" s="17"/>
      </tp>
      <tp t="e">
        <v>#N/A</v>
        <stp/>
        <stp>BDH|4904936217424348933</stp>
        <tr r="R76" s="12"/>
      </tp>
      <tp t="e">
        <v>#N/A</v>
        <stp/>
        <stp>BDH|4442248643741993276</stp>
        <tr r="V25" s="22"/>
      </tp>
      <tp t="e">
        <v>#N/A</v>
        <stp/>
        <stp>BDH|2997170013524530758</stp>
        <tr r="Y49" s="18"/>
      </tp>
      <tp t="e">
        <v>#N/A</v>
        <stp/>
        <stp>BDH|5221443770142262591</stp>
        <tr r="C14" s="23"/>
      </tp>
      <tp t="e">
        <v>#N/A</v>
        <stp/>
        <stp>BDH|1880140218033884316</stp>
        <tr r="N13" s="5"/>
      </tp>
      <tp t="e">
        <v>#N/A</v>
        <stp/>
        <stp>BDH|9931468256758493103</stp>
        <tr r="R14" s="10"/>
      </tp>
      <tp t="e">
        <v>#N/A</v>
        <stp/>
        <stp>BDH|3370672914260579586</stp>
        <tr r="G12" s="18"/>
      </tp>
      <tp t="e">
        <v>#N/A</v>
        <stp/>
        <stp>BDH|4577769252985582299</stp>
        <tr r="P8" s="11"/>
      </tp>
      <tp t="e">
        <v>#N/A</v>
        <stp/>
        <stp>BDH|4676790994069663207</stp>
        <tr r="U25" s="22"/>
      </tp>
      <tp t="e">
        <v>#N/A</v>
        <stp/>
        <stp>BDH|1134477317903946650</stp>
        <tr r="V9" s="30"/>
      </tp>
      <tp t="e">
        <v>#N/A</v>
        <stp/>
        <stp>BDH|3875527369866692788</stp>
        <tr r="W89" s="18"/>
      </tp>
      <tp t="e">
        <v>#N/A</v>
        <stp/>
        <stp>BDH|8454608958088649270</stp>
        <tr r="W55" s="18"/>
      </tp>
      <tp t="e">
        <v>#N/A</v>
        <stp/>
        <stp>BDH|5347198688604608993</stp>
        <tr r="O10" s="18"/>
      </tp>
      <tp t="e">
        <v>#N/A</v>
        <stp/>
        <stp>BDH|6353610389108084164</stp>
        <tr r="G25" s="2"/>
        <tr r="I62" s="21"/>
      </tp>
      <tp t="e">
        <v>#N/A</v>
        <stp/>
        <stp>BDH|6323333148346091653</stp>
        <tr r="G14" s="22"/>
      </tp>
      <tp t="e">
        <v>#N/A</v>
        <stp/>
        <stp>BDH|7874145991057199910</stp>
        <tr r="P31" s="17"/>
      </tp>
      <tp t="e">
        <v>#N/A</v>
        <stp/>
        <stp>BDH|3960776705860453526</stp>
        <tr r="R28" s="12"/>
      </tp>
      <tp t="e">
        <v>#N/A</v>
        <stp/>
        <stp>BDH|1239907549495686803</stp>
        <tr r="M102" s="12"/>
      </tp>
      <tp t="e">
        <v>#N/A</v>
        <stp/>
        <stp>BDH|6820356012093583677</stp>
        <tr r="L68" s="24"/>
      </tp>
      <tp t="e">
        <v>#N/A</v>
        <stp/>
        <stp>BDH|1076190704576491741</stp>
        <tr r="I38" s="18"/>
      </tp>
      <tp t="e">
        <v>#N/A</v>
        <stp/>
        <stp>BDH|2664550818220563738</stp>
        <tr r="V11" s="9"/>
      </tp>
      <tp t="e">
        <v>#N/A</v>
        <stp/>
        <stp>BDH|4404022719445322119</stp>
        <tr r="E83" s="18"/>
      </tp>
      <tp t="e">
        <v>#N/A</v>
        <stp/>
        <stp>BDH|3994327200713450221</stp>
        <tr r="F23" s="23"/>
      </tp>
      <tp t="e">
        <v>#N/A</v>
        <stp/>
        <stp>BDH|3844039316733075000</stp>
        <tr r="V61" s="21"/>
      </tp>
      <tp t="e">
        <v>#N/A</v>
        <stp/>
        <stp>BDH|1055678876231873045</stp>
        <tr r="P10" s="12"/>
      </tp>
      <tp t="e">
        <v>#N/A</v>
        <stp/>
        <stp>BDH|7223326608485240079</stp>
        <tr r="U31" s="9"/>
      </tp>
      <tp t="e">
        <v>#N/A</v>
        <stp/>
        <stp>BDH|6609561223892619285</stp>
        <tr r="D23" s="6"/>
      </tp>
      <tp t="e">
        <v>#N/A</v>
        <stp/>
        <stp>BDH|3442497987779100768</stp>
        <tr r="G14" s="21"/>
      </tp>
      <tp t="e">
        <v>#N/A</v>
        <stp/>
        <stp>BDH|1211092873693208479</stp>
        <tr r="R20" s="23"/>
      </tp>
      <tp t="e">
        <v>#N/A</v>
        <stp/>
        <stp>BDH|8213474547320617998</stp>
        <tr r="P62" s="12"/>
      </tp>
      <tp t="e">
        <v>#N/A</v>
        <stp/>
        <stp>BDH|1537581268981912215</stp>
        <tr r="V9" s="3"/>
        <tr r="T51" s="10"/>
        <tr r="T41" s="11"/>
        <tr r="T14" s="7"/>
      </tp>
      <tp t="e">
        <v>#N/A</v>
        <stp/>
        <stp>BDH|5124443576247684085</stp>
        <tr r="N23" s="20"/>
      </tp>
      <tp t="e">
        <v>#N/A</v>
        <stp/>
        <stp>BDH|6597859726778885531</stp>
        <tr r="R36" s="4"/>
      </tp>
      <tp t="e">
        <v>#N/A</v>
        <stp/>
        <stp>BDH|5411070171996640592</stp>
        <tr r="N79" s="24"/>
      </tp>
      <tp t="e">
        <v>#N/A</v>
        <stp/>
        <stp>BDH|1010154222271640232</stp>
        <tr r="O9" s="21"/>
      </tp>
      <tp t="e">
        <v>#N/A</v>
        <stp/>
        <stp>BDH|8736534151318757100</stp>
        <tr r="W73" s="17"/>
      </tp>
      <tp t="e">
        <v>#N/A</v>
        <stp/>
        <stp>BDH|4235824886040155553</stp>
        <tr r="K18" s="6"/>
      </tp>
      <tp t="e">
        <v>#N/A</v>
        <stp/>
        <stp>BDH|3606304143231179460</stp>
        <tr r="R45" s="4"/>
        <tr r="R33" s="10"/>
        <tr r="R23" s="11"/>
        <tr r="T33" s="13"/>
      </tp>
      <tp t="e">
        <v>#N/A</v>
        <stp/>
        <stp>BDH|3511909481124388750</stp>
        <tr r="U70" s="34"/>
      </tp>
      <tp t="e">
        <v>#N/A</v>
        <stp/>
        <stp>BDH|1142726787347299849</stp>
        <tr r="X50" s="24"/>
      </tp>
      <tp t="e">
        <v>#N/A</v>
        <stp/>
        <stp>BDH|7981334648591197011</stp>
        <tr r="X47" s="12"/>
      </tp>
      <tp t="e">
        <v>#N/A</v>
        <stp/>
        <stp>BDH|2715577861048118827</stp>
        <tr r="K129" s="18"/>
      </tp>
      <tp t="e">
        <v>#N/A</v>
        <stp/>
        <stp>BDH|4554634606561459261</stp>
        <tr r="H67" s="34"/>
      </tp>
      <tp t="e">
        <v>#N/A</v>
        <stp/>
        <stp>BDH|9903387375284745811</stp>
        <tr r="Z26" s="25"/>
        <tr r="Z12" s="27"/>
      </tp>
      <tp t="e">
        <v>#N/A</v>
        <stp/>
        <stp>BDH|2911475506007342093</stp>
        <tr r="H88" s="24"/>
      </tp>
      <tp t="e">
        <v>#N/A</v>
        <stp/>
        <stp>BDH|3191783060276995522</stp>
        <tr r="Q50" s="17"/>
      </tp>
      <tp t="e">
        <v>#N/A</v>
        <stp/>
        <stp>BDH|7257626112224658567</stp>
        <tr r="L90" s="12"/>
      </tp>
      <tp t="e">
        <v>#N/A</v>
        <stp/>
        <stp>BDH|5161556862842284563</stp>
        <tr r="J31" s="22"/>
      </tp>
      <tp t="e">
        <v>#N/A</v>
        <stp/>
        <stp>BDH|5307355314341261722</stp>
        <tr r="E29" s="29"/>
        <tr r="E7" s="29"/>
      </tp>
      <tp t="e">
        <v>#N/A</v>
        <stp/>
        <stp>BDH|5199347757983954190</stp>
        <tr r="G204" s="18"/>
      </tp>
      <tp t="e">
        <v>#N/A</v>
        <stp/>
        <stp>BDH|6571454672215250121</stp>
        <tr r="H16" s="17"/>
        <tr r="H19" s="28"/>
      </tp>
      <tp t="e">
        <v>#N/A</v>
        <stp/>
        <stp>BDH|3389839324609005162</stp>
        <tr r="X9" s="6"/>
      </tp>
      <tp t="e">
        <v>#N/A</v>
        <stp/>
        <stp>BDH|9757641601389543756</stp>
        <tr r="J100" s="18"/>
      </tp>
      <tp t="e">
        <v>#N/A</v>
        <stp/>
        <stp>BDH|2476762311592619775</stp>
        <tr r="E35" s="4"/>
      </tp>
      <tp t="e">
        <v>#N/A</v>
        <stp/>
        <stp>BDH|1232062117756540746</stp>
        <tr r="U21" s="30"/>
      </tp>
      <tp t="e">
        <v>#N/A</v>
        <stp/>
        <stp>BDH|1691519635916480045</stp>
        <tr r="J57" s="12"/>
      </tp>
      <tp t="e">
        <v>#N/A</v>
        <stp/>
        <stp>BDH|1263968386448768978</stp>
        <tr r="U33" s="17"/>
      </tp>
      <tp t="e">
        <v>#N/A</v>
        <stp/>
        <stp>BDH|4678568133223407059</stp>
        <tr r="E148" s="18"/>
      </tp>
      <tp t="e">
        <v>#N/A</v>
        <stp/>
        <stp>BDH|8348876858721747596</stp>
        <tr r="V23" s="2"/>
        <tr r="X19" s="21"/>
        <tr r="X23" s="3"/>
      </tp>
      <tp t="e">
        <v>#N/A</v>
        <stp/>
        <stp>BDH|2464241457260560404</stp>
        <tr r="X37" s="12"/>
      </tp>
      <tp t="e">
        <v>#N/A</v>
        <stp/>
        <stp>BDH|4564126262613331142</stp>
        <tr r="I35" s="14"/>
      </tp>
      <tp t="e">
        <v>#N/A</v>
        <stp/>
        <stp>BDH|5411109338632907479</stp>
        <tr r="V24" s="5"/>
      </tp>
      <tp t="e">
        <v>#N/A</v>
        <stp/>
        <stp>BDH|1738639745397086536</stp>
        <tr r="G15" s="13"/>
      </tp>
      <tp t="e">
        <v>#N/A</v>
        <stp/>
        <stp>BDH|6751901710478610736</stp>
        <tr r="L171" s="18"/>
      </tp>
      <tp t="e">
        <v>#N/A</v>
        <stp/>
        <stp>BDH|7105447142187091158</stp>
        <tr r="I8" s="8"/>
      </tp>
      <tp t="e">
        <v>#N/A</v>
        <stp/>
        <stp>BDH|6712241881239130416</stp>
        <tr r="I7" s="11"/>
      </tp>
      <tp t="e">
        <v>#N/A</v>
        <stp/>
        <stp>BDH|4741275521695527062</stp>
        <tr r="F26" s="13"/>
      </tp>
      <tp t="e">
        <v>#N/A</v>
        <stp/>
        <stp>BDH|2099631751406625669</stp>
        <tr r="X10" s="34"/>
      </tp>
      <tp t="e">
        <v>#N/A</v>
        <stp/>
        <stp>BDH|4505371490677761877</stp>
        <tr r="X40" s="10"/>
        <tr r="X30" s="11"/>
      </tp>
      <tp t="e">
        <v>#N/A</v>
        <stp/>
        <stp>BDH|6023507613360820392</stp>
        <tr r="F75" s="34"/>
      </tp>
      <tp t="e">
        <v>#N/A</v>
        <stp/>
        <stp>BDH|3370035968900338491</stp>
        <tr r="R13" s="11"/>
      </tp>
      <tp t="e">
        <v>#N/A</v>
        <stp/>
        <stp>BDH|2819110600850846234</stp>
        <tr r="T192" s="18"/>
      </tp>
      <tp t="e">
        <v>#N/A</v>
        <stp/>
        <stp>BDH|8009654442962206974</stp>
        <tr r="C19" s="5"/>
        <tr r="C42" s="6"/>
      </tp>
      <tp t="e">
        <v>#N/A</v>
        <stp/>
        <stp>BDH|8335590949401390926</stp>
        <tr r="J17" s="13"/>
      </tp>
      <tp t="e">
        <v>#N/A</v>
        <stp/>
        <stp>BDH|6122765432144678719</stp>
        <tr r="F106" s="12"/>
      </tp>
      <tp t="e">
        <v>#N/A</v>
        <stp/>
        <stp>BDH|9230460529267724988</stp>
        <tr r="E72" s="17"/>
      </tp>
      <tp t="e">
        <v>#N/A</v>
        <stp/>
        <stp>BDH|6581571179476806316</stp>
        <tr r="D59" s="12"/>
      </tp>
      <tp t="e">
        <v>#N/A</v>
        <stp/>
        <stp>BDH|5121014230866479162</stp>
        <tr r="Y121" s="18"/>
        <tr r="Y9" s="20"/>
      </tp>
      <tp t="e">
        <v>#N/A</v>
        <stp/>
        <stp>BDH|2239168264250030421</stp>
        <tr r="V21" s="24"/>
      </tp>
      <tp t="e">
        <v>#N/A</v>
        <stp/>
        <stp>BDH|7084129369775159488</stp>
        <tr r="D55" s="18"/>
      </tp>
      <tp t="e">
        <v>#N/A</v>
        <stp/>
        <stp>BDH|4806284325644296151</stp>
        <tr r="C68" s="24"/>
      </tp>
      <tp t="e">
        <v>#N/A</v>
        <stp/>
        <stp>BDH|7845976687163306499</stp>
        <tr r="D53" s="21"/>
      </tp>
      <tp t="e">
        <v>#N/A</v>
        <stp/>
        <stp>BDH|6144919824954086866</stp>
        <tr r="I38" s="21"/>
        <tr r="I24" s="3"/>
      </tp>
      <tp t="e">
        <v>#N/A</v>
        <stp/>
        <stp>BDH|5422336562277490632</stp>
        <tr r="P16" s="14"/>
      </tp>
      <tp t="e">
        <v>#N/A</v>
        <stp/>
        <stp>BDH|5783079663116955488</stp>
        <tr r="N44" s="24"/>
      </tp>
      <tp t="e">
        <v>#N/A</v>
        <stp/>
        <stp>BDH|6150533719275091690</stp>
        <tr r="V42" s="12"/>
      </tp>
      <tp t="e">
        <v>#N/A</v>
        <stp/>
        <stp>BDH|7199376659052525280</stp>
        <tr r="D78" s="12"/>
      </tp>
      <tp t="e">
        <v>#N/A</v>
        <stp/>
        <stp>BDH|5828997193843846784</stp>
        <tr r="P20" s="22"/>
      </tp>
      <tp t="e">
        <v>#N/A</v>
        <stp/>
        <stp>BDH|5922112366826820546</stp>
        <tr r="L61" s="34"/>
      </tp>
      <tp t="e">
        <v>#N/A</v>
        <stp/>
        <stp>BDH|4931934472788394395</stp>
        <tr r="D74" s="13"/>
      </tp>
      <tp t="e">
        <v>#N/A</v>
        <stp/>
        <stp>BDH|2623107920181230168</stp>
        <tr r="E26" s="10"/>
        <tr r="G35" s="13"/>
      </tp>
      <tp t="e">
        <v>#N/A</v>
        <stp/>
        <stp>BDH|4850710925661790195</stp>
        <tr r="L86" s="12"/>
      </tp>
      <tp t="e">
        <v>#N/A</v>
        <stp/>
        <stp>BDH|4483639524083899296</stp>
        <tr r="E85" s="18"/>
      </tp>
      <tp t="e">
        <v>#N/A</v>
        <stp/>
        <stp>BDH|4808803829857496863</stp>
        <tr r="S14" s="2"/>
        <tr r="S11" s="10"/>
      </tp>
      <tp t="e">
        <v>#N/A</v>
        <stp/>
        <stp>BDH|9030420384107620331</stp>
        <tr r="P29" s="13"/>
      </tp>
      <tp t="e">
        <v>#N/A</v>
        <stp/>
        <stp>BDH|7420409455324202308</stp>
        <tr r="E21" s="9"/>
      </tp>
      <tp t="e">
        <v>#N/A</v>
        <stp/>
        <stp>BDH|4057090239016442071</stp>
        <tr r="U65" s="13"/>
      </tp>
      <tp t="e">
        <v>#N/A</v>
        <stp/>
        <stp>BDH|3573770775236000445</stp>
        <tr r="L13" s="25"/>
      </tp>
      <tp t="e">
        <v>#N/A</v>
        <stp/>
        <stp>BDH|5943694832206766764</stp>
        <tr r="G83" s="24"/>
      </tp>
      <tp t="e">
        <v>#N/A</v>
        <stp/>
        <stp>BDH|4006966292081562423</stp>
        <tr r="F19" s="22"/>
      </tp>
      <tp t="e">
        <v>#N/A</v>
        <stp/>
        <stp>BDH|1308330470095252117</stp>
        <tr r="U34" s="26"/>
      </tp>
      <tp t="e">
        <v>#N/A</v>
        <stp/>
        <stp>BDH|2024637520392039507</stp>
        <tr r="P29" s="21"/>
      </tp>
      <tp t="e">
        <v>#N/A</v>
        <stp/>
        <stp>BDH|6772548971326593347</stp>
        <tr r="E57" s="24"/>
      </tp>
      <tp t="e">
        <v>#N/A</v>
        <stp/>
        <stp>BDH|3170952926089334023</stp>
        <tr r="U32" s="14"/>
      </tp>
      <tp t="e">
        <v>#N/A</v>
        <stp/>
        <stp>BDH|4712877040468712146</stp>
        <tr r="E81" s="18"/>
      </tp>
      <tp t="e">
        <v>#N/A</v>
        <stp/>
        <stp>BDH|7759837560760790809</stp>
        <tr r="D54" s="24"/>
      </tp>
      <tp t="e">
        <v>#N/A</v>
        <stp/>
        <stp>BDH|9275011118288057184</stp>
        <tr r="S82" s="12"/>
      </tp>
      <tp t="e">
        <v>#N/A</v>
        <stp/>
        <stp>BDH|3181215256962280778</stp>
        <tr r="R10" s="13"/>
      </tp>
      <tp t="e">
        <v>#N/A</v>
        <stp/>
        <stp>BDH|5777629822788665829</stp>
        <tr r="Q15" s="17"/>
        <tr r="Q18" s="28"/>
      </tp>
      <tp t="e">
        <v>#N/A</v>
        <stp/>
        <stp>BDH|2457545757273054041</stp>
        <tr r="L84" s="24"/>
      </tp>
      <tp t="e">
        <v>#N/A</v>
        <stp/>
        <stp>BDH|5849922779513414944</stp>
        <tr r="P14" s="17"/>
        <tr r="P17" s="28"/>
      </tp>
      <tp t="e">
        <v>#N/A</v>
        <stp/>
        <stp>BDH|7841233047535849570</stp>
        <tr r="S25" s="18"/>
      </tp>
      <tp t="e">
        <v>#N/A</v>
        <stp/>
        <stp>BDH|5305559964735720265</stp>
        <tr r="Z9" s="17"/>
      </tp>
      <tp t="e">
        <v>#N/A</v>
        <stp/>
        <stp>BDH|8649061651834367812</stp>
        <tr r="X72" s="13"/>
      </tp>
      <tp t="e">
        <v>#N/A</v>
        <stp/>
        <stp>BDH|4091250471456504625</stp>
        <tr r="X18" s="29"/>
        <tr r="X41" s="29"/>
      </tp>
      <tp t="e">
        <v>#N/A</v>
        <stp/>
        <stp>BDH|5568557270932514461</stp>
        <tr r="L64" s="18"/>
      </tp>
      <tp t="e">
        <v>#N/A</v>
        <stp/>
        <stp>BDH|9149139917698302050</stp>
        <tr r="L89" s="18"/>
      </tp>
      <tp t="e">
        <v>#N/A</v>
        <stp/>
        <stp>BDH|7072792102737894606</stp>
        <tr r="U33" s="18"/>
      </tp>
      <tp t="e">
        <v>#N/A</v>
        <stp/>
        <stp>BDH|5385937995481508536</stp>
        <tr r="Y46" s="12"/>
      </tp>
      <tp t="e">
        <v>#N/A</v>
        <stp/>
        <stp>BDH|6315488031244179481</stp>
        <tr r="N81" s="12"/>
      </tp>
      <tp t="e">
        <v>#N/A</v>
        <stp/>
        <stp>BDH|9385713195224476202</stp>
        <tr r="Q73" s="17"/>
      </tp>
      <tp t="e">
        <v>#N/A</v>
        <stp/>
        <stp>BDH|1847793722214999190</stp>
        <tr r="L58" s="11"/>
        <tr r="N19" s="23"/>
      </tp>
      <tp t="e">
        <v>#N/A</v>
        <stp/>
        <stp>BDH|9046795828934248903</stp>
        <tr r="W23" s="23"/>
      </tp>
      <tp t="e">
        <v>#N/A</v>
        <stp/>
        <stp>BDH|9191595091112965634</stp>
        <tr r="X158" s="18"/>
      </tp>
      <tp t="e">
        <v>#N/A</v>
        <stp/>
        <stp>BDH|2915443568040144179</stp>
        <tr r="L13" s="30"/>
      </tp>
      <tp t="e">
        <v>#N/A</v>
        <stp/>
        <stp>BDH|3139009239588343984</stp>
        <tr r="P46" s="34"/>
      </tp>
      <tp t="e">
        <v>#N/A</v>
        <stp/>
        <stp>BDH|9189147561689304646</stp>
        <tr r="N7" s="11"/>
      </tp>
      <tp t="e">
        <v>#N/A</v>
        <stp/>
        <stp>BDH|7388500749451866615</stp>
        <tr r="F172" s="18"/>
      </tp>
      <tp t="e">
        <v>#N/A</v>
        <stp/>
        <stp>BDH|8119209504378015365</stp>
        <tr r="F174" s="18"/>
      </tp>
      <tp t="e">
        <v>#N/A</v>
        <stp/>
        <stp>BDH|7308511682102567969</stp>
        <tr r="O49" s="6"/>
        <tr r="Q10" s="8"/>
      </tp>
      <tp t="e">
        <v>#N/A</v>
        <stp/>
        <stp>BDH|6735599640021925746</stp>
        <tr r="D32" s="12"/>
      </tp>
      <tp t="e">
        <v>#N/A</v>
        <stp/>
        <stp>BDH|3316627472797862489</stp>
        <tr r="S51" s="12"/>
      </tp>
      <tp t="e">
        <v>#N/A</v>
        <stp/>
        <stp>BDH|9418611173060286976</stp>
        <tr r="AA46" s="12"/>
      </tp>
      <tp t="e">
        <v>#N/A</v>
        <stp/>
        <stp>BDH|5534409127977666544</stp>
        <tr r="G7" s="2"/>
        <tr r="F7" s="5"/>
        <tr r="F7" s="9"/>
        <tr r="I14" s="3"/>
      </tp>
      <tp t="e">
        <v>#N/A</v>
        <stp/>
        <stp>BDH|7294117306710186740</stp>
        <tr r="T9" s="26"/>
      </tp>
      <tp t="e">
        <v>#N/A</v>
        <stp/>
        <stp>BDH|3756107715894236608</stp>
        <tr r="N21" s="5"/>
      </tp>
      <tp t="e">
        <v>#N/A</v>
        <stp/>
        <stp>BDH|9853131636323939945</stp>
        <tr r="E58" s="12"/>
      </tp>
      <tp t="e">
        <v>#N/A</v>
        <stp/>
        <stp>BDH|4272282352395005786</stp>
        <tr r="K43" s="22"/>
      </tp>
      <tp t="e">
        <v>#N/A</v>
        <stp/>
        <stp>BDH|5765474853361003431</stp>
        <tr r="G91" s="12"/>
      </tp>
      <tp t="e">
        <v>#N/A</v>
        <stp/>
        <stp>BDH|9648138490990023054</stp>
        <tr r="R23" s="25"/>
        <tr r="P20" s="11"/>
      </tp>
      <tp t="e">
        <v>#N/A</v>
        <stp/>
        <stp>BDH|2015302475281078655</stp>
        <tr r="N12" s="18"/>
      </tp>
      <tp t="e">
        <v>#N/A</v>
        <stp/>
        <stp>BDH|4452313815621007603</stp>
        <tr r="F56" s="12"/>
      </tp>
      <tp t="e">
        <v>#N/A</v>
        <stp/>
        <stp>BDH|3232424556367438424</stp>
        <tr r="Z19" s="22"/>
      </tp>
      <tp t="e">
        <v>#N/A</v>
        <stp/>
        <stp>BDH|3584113225994906581</stp>
        <tr r="Q76" s="34"/>
      </tp>
      <tp t="e">
        <v>#N/A</v>
        <stp/>
        <stp>BDH|6192058963984786502</stp>
        <tr r="AA24" s="21"/>
      </tp>
      <tp t="e">
        <v>#N/A</v>
        <stp/>
        <stp>BDH|2059074223898390972</stp>
        <tr r="E25" s="9"/>
      </tp>
      <tp t="e">
        <v>#N/A</v>
        <stp/>
        <stp>BDH|8062380389784827691</stp>
        <tr r="AA35" s="22"/>
      </tp>
      <tp t="e">
        <v>#N/A</v>
        <stp/>
        <stp>BDH|4041100431687122002</stp>
        <tr r="G19" s="26"/>
      </tp>
      <tp t="e">
        <v>#N/A</v>
        <stp/>
        <stp>BDH|5468262868283977333</stp>
        <tr r="X57" s="34"/>
      </tp>
      <tp t="e">
        <v>#N/A</v>
        <stp/>
        <stp>BDH|8594902056786264318</stp>
        <tr r="S13" s="26"/>
      </tp>
      <tp t="e">
        <v>#N/A</v>
        <stp/>
        <stp>BDH|5161934225117218850</stp>
        <tr r="T110" s="18"/>
      </tp>
      <tp t="e">
        <v>#N/A</v>
        <stp/>
        <stp>BDH|5109042672700277357</stp>
        <tr r="X12" s="26"/>
      </tp>
      <tp t="e">
        <v>#N/A</v>
        <stp/>
        <stp>BDH|7565111895777031916</stp>
        <tr r="L35" s="6"/>
      </tp>
      <tp t="e">
        <v>#N/A</v>
        <stp/>
        <stp>BDH|2667123537604453572</stp>
        <tr r="L59" s="21"/>
        <tr r="L37" s="25"/>
        <tr r="J31" s="4"/>
        <tr r="J52" s="11"/>
      </tp>
      <tp t="e">
        <v>#N/A</v>
        <stp/>
        <stp>BDH|6260540741087333141</stp>
        <tr r="S67" s="10"/>
      </tp>
      <tp t="e">
        <v>#N/A</v>
        <stp/>
        <stp>BDH|7308209010844775142</stp>
        <tr r="Q37" s="17"/>
      </tp>
      <tp t="e">
        <v>#N/A</v>
        <stp/>
        <stp>BDH|2867445691776456896</stp>
        <tr r="Y42" s="22"/>
      </tp>
      <tp t="e">
        <v>#N/A</v>
        <stp/>
        <stp>BDH|3331140241074246340</stp>
        <tr r="C177" s="18"/>
      </tp>
      <tp t="e">
        <v>#N/A</v>
        <stp/>
        <stp>BDH|2419575885409736715</stp>
        <tr r="O16" s="18"/>
      </tp>
      <tp t="e">
        <v>#N/A</v>
        <stp/>
        <stp>BDH|8986483292446210218</stp>
        <tr r="N17" s="9"/>
      </tp>
      <tp t="e">
        <v>#N/A</v>
        <stp/>
        <stp>BDH|1562147182010563961</stp>
        <tr r="D24" s="24"/>
      </tp>
      <tp t="e">
        <v>#N/A</v>
        <stp/>
        <stp>BDH|3236876042086436830</stp>
        <tr r="Q68" s="17"/>
        <tr r="N8" s="5"/>
        <tr r="N8" s="9"/>
      </tp>
      <tp t="e">
        <v>#N/A</v>
        <stp/>
        <stp>BDH|6311929284716747022</stp>
        <tr r="J7" s="21"/>
      </tp>
      <tp t="e">
        <v>#N/A</v>
        <stp/>
        <stp>BDH|5154088037682707592</stp>
        <tr r="Q14" s="21"/>
      </tp>
      <tp t="e">
        <v>#N/A</v>
        <stp/>
        <stp>BDH|6358621337863012165</stp>
        <tr r="H191" s="18"/>
      </tp>
      <tp t="e">
        <v>#N/A</v>
        <stp/>
        <stp>BDH|2863897593783067128</stp>
        <tr r="I70" s="24"/>
      </tp>
      <tp t="e">
        <v>#N/A</v>
        <stp/>
        <stp>BDH|6561305104205226138</stp>
        <tr r="I95" s="24"/>
      </tp>
      <tp t="e">
        <v>#N/A</v>
        <stp/>
        <stp>BDH|9915247398876339566</stp>
        <tr r="P42" s="4"/>
      </tp>
      <tp t="e">
        <v>#N/A</v>
        <stp/>
        <stp>BDH|1899613652246230590</stp>
        <tr r="H52" s="4"/>
        <tr r="J8" s="3"/>
        <tr r="H44" s="10"/>
        <tr r="H34" s="11"/>
        <tr r="J45" s="13"/>
      </tp>
      <tp t="e">
        <v>#N/A</v>
        <stp/>
        <stp>BDH|3193049312444261758</stp>
        <tr r="Y14" s="23"/>
      </tp>
      <tp t="e">
        <v>#N/A</v>
        <stp/>
        <stp>BDH|1070137443707199214</stp>
        <tr r="W45" s="17"/>
      </tp>
      <tp t="e">
        <v>#N/A</v>
        <stp/>
        <stp>BDH|6809389017651211454</stp>
        <tr r="J82" s="12"/>
      </tp>
      <tp t="e">
        <v>#N/A</v>
        <stp/>
        <stp>BDH|8206129242828088423</stp>
        <tr r="Y69" s="17"/>
      </tp>
      <tp t="e">
        <v>#N/A</v>
        <stp/>
        <stp>BDH|2688142113024170707</stp>
        <tr r="K79" s="34"/>
      </tp>
      <tp t="e">
        <v>#N/A</v>
        <stp/>
        <stp>BDH|3353197474546858268</stp>
        <tr r="G50" s="17"/>
      </tp>
      <tp t="e">
        <v>#N/A</v>
        <stp/>
        <stp>BDH|6542116273530493133</stp>
        <tr r="P64" s="34"/>
      </tp>
      <tp t="e">
        <v>#N/A</v>
        <stp/>
        <stp>BDH|3107193439268889894</stp>
        <tr r="E28" s="22"/>
      </tp>
      <tp t="e">
        <v>#N/A</v>
        <stp/>
        <stp>BDH|8931489124687177846</stp>
        <tr r="X53" s="24"/>
      </tp>
      <tp t="e">
        <v>#N/A</v>
        <stp/>
        <stp>BDH|4430304854451189217</stp>
        <tr r="Q63" s="10"/>
      </tp>
      <tp t="e">
        <v>#N/A</v>
        <stp/>
        <stp>BDH|8554981326915991728</stp>
        <tr r="D64" s="21"/>
      </tp>
      <tp t="e">
        <v>#N/A</v>
        <stp/>
        <stp>BDH|3711289274704263395</stp>
        <tr r="T174" s="18"/>
      </tp>
      <tp t="e">
        <v>#N/A</v>
        <stp/>
        <stp>BDH|8457844275403197543</stp>
        <tr r="I26" s="24"/>
      </tp>
      <tp t="e">
        <v>#N/A</v>
        <stp/>
        <stp>BDH|6832453889879716236</stp>
        <tr r="T20" s="9"/>
      </tp>
      <tp t="e">
        <v>#N/A</v>
        <stp/>
        <stp>BDH|3227213633213056008</stp>
        <tr r="K20" s="9"/>
      </tp>
      <tp t="e">
        <v>#N/A</v>
        <stp/>
        <stp>BDH|6305449631614515430</stp>
        <tr r="X54" s="6"/>
      </tp>
      <tp t="e">
        <v>#N/A</v>
        <stp/>
        <stp>BDH|5155941095014328038</stp>
        <tr r="U24" s="2"/>
      </tp>
      <tp t="e">
        <v>#N/A</v>
        <stp/>
        <stp>BDH|9677164724408604336</stp>
        <tr r="S183" s="18"/>
      </tp>
      <tp t="e">
        <v>#N/A</v>
        <stp/>
        <stp>BDH|5983416119247780675</stp>
        <tr r="U32" s="9"/>
      </tp>
      <tp t="e">
        <v>#N/A</v>
        <stp/>
        <stp>BDH|7081798079565121306</stp>
        <tr r="O17" s="14"/>
      </tp>
      <tp t="e">
        <v>#N/A</v>
        <stp/>
        <stp>BDH|7626748769873804423</stp>
        <tr r="Q8" s="23"/>
      </tp>
      <tp t="e">
        <v>#N/A</v>
        <stp/>
        <stp>BDH|8394713706147724928</stp>
        <tr r="P67" s="34"/>
      </tp>
      <tp t="e">
        <v>#N/A</v>
        <stp/>
        <stp>BDH|5937605975555503082</stp>
        <tr r="U29" s="22"/>
      </tp>
      <tp t="e">
        <v>#N/A</v>
        <stp/>
        <stp>BDH|8501270560795365800</stp>
        <tr r="I71" s="12"/>
      </tp>
      <tp t="e">
        <v>#N/A</v>
        <stp/>
        <stp>BDH|1600117616100606066</stp>
        <tr r="Y65" s="18"/>
      </tp>
      <tp t="e">
        <v>#N/A</v>
        <stp/>
        <stp>BDH|6736403589782775980</stp>
        <tr r="U94" s="12"/>
      </tp>
      <tp t="e">
        <v>#N/A</v>
        <stp/>
        <stp>BDH|6617217363223097058</stp>
        <tr r="R13" s="12"/>
      </tp>
      <tp t="e">
        <v>#N/A</v>
        <stp/>
        <stp>BDH|2413035416210423240</stp>
        <tr r="F83" s="24"/>
      </tp>
      <tp t="e">
        <v>#N/A</v>
        <stp/>
        <stp>BDH|4013321702147735166</stp>
        <tr r="C116" s="18"/>
      </tp>
      <tp t="e">
        <v>#N/A</v>
        <stp/>
        <stp>BDH|9302681999294545363</stp>
        <tr r="Q37" s="26"/>
      </tp>
      <tp t="e">
        <v>#N/A</v>
        <stp/>
        <stp>BDH|7149361900220453526</stp>
        <tr r="O189" s="18"/>
      </tp>
      <tp t="e">
        <v>#N/A</v>
        <stp/>
        <stp>BDH|8632417200058128572</stp>
        <tr r="U81" s="12"/>
      </tp>
      <tp t="e">
        <v>#N/A</v>
        <stp/>
        <stp>BDH|5128196706154754184</stp>
        <tr r="M55" s="17"/>
      </tp>
      <tp t="e">
        <v>#N/A</v>
        <stp/>
        <stp>BDH|2288347366943120500</stp>
        <tr r="F31" s="29"/>
      </tp>
      <tp t="e">
        <v>#N/A</v>
        <stp/>
        <stp>BDH|2224838488806814504</stp>
        <tr r="C8" s="12"/>
      </tp>
      <tp t="e">
        <v>#N/A</v>
        <stp/>
        <stp>BDH|1100816184073336362</stp>
        <tr r="P73" s="17"/>
      </tp>
      <tp t="e">
        <v>#N/A</v>
        <stp/>
        <stp>BDH|7320602175005560221</stp>
        <tr r="Y171" s="18"/>
      </tp>
      <tp t="e">
        <v>#N/A</v>
        <stp/>
        <stp>BDH|5765652939553822224</stp>
        <tr r="T34" s="9"/>
      </tp>
      <tp t="e">
        <v>#N/A</v>
        <stp/>
        <stp>BDH|7747472002770664251</stp>
        <tr r="T45" s="21"/>
      </tp>
      <tp t="e">
        <v>#N/A</v>
        <stp/>
        <stp>BDH|2691386058244704104</stp>
        <tr r="M175" s="18"/>
      </tp>
      <tp t="e">
        <v>#N/A</v>
        <stp/>
        <stp>BDH|5627622066823739742</stp>
        <tr r="W76" s="18"/>
      </tp>
      <tp t="e">
        <v>#N/A</v>
        <stp/>
        <stp>BDH|2480055033589496978</stp>
        <tr r="C26" s="13"/>
      </tp>
      <tp t="e">
        <v>#N/A</v>
        <stp/>
        <stp>BDH|4639596854206898327</stp>
        <tr r="L47" s="17"/>
      </tp>
      <tp t="e">
        <v>#N/A</v>
        <stp/>
        <stp>BDH|1297469575545653668</stp>
        <tr r="L83" s="17"/>
      </tp>
      <tp t="e">
        <v>#N/A</v>
        <stp/>
        <stp>BDH|4239372639413498694</stp>
        <tr r="V93" s="17"/>
        <tr r="V13" s="28"/>
      </tp>
      <tp t="e">
        <v>#N/A</v>
        <stp/>
        <stp>BDH|6872203232846239097</stp>
        <tr r="E27" s="25"/>
        <tr r="E13" s="27"/>
      </tp>
      <tp t="e">
        <v>#N/A</v>
        <stp/>
        <stp>BDH|9706636113829468620</stp>
        <tr r="M64" s="17"/>
      </tp>
      <tp t="e">
        <v>#N/A</v>
        <stp/>
        <stp>BDH|7637366133985140330</stp>
        <tr r="N28" s="26"/>
      </tp>
      <tp t="e">
        <v>#N/A</v>
        <stp/>
        <stp>BDH|7713670736777195464</stp>
        <tr r="G23" s="5"/>
        <tr r="G23" s="9"/>
      </tp>
      <tp t="e">
        <v>#N/A</v>
        <stp/>
        <stp>BDH|3251156255666375009</stp>
        <tr r="M66" s="17"/>
      </tp>
      <tp t="e">
        <v>#N/A</v>
        <stp/>
        <stp>BDH|3410763824802510520</stp>
        <tr r="U38" s="6"/>
      </tp>
      <tp t="e">
        <v>#N/A</v>
        <stp/>
        <stp>BDH|4798812095341544577</stp>
        <tr r="K71" s="17"/>
      </tp>
      <tp t="e">
        <v>#N/A</v>
        <stp/>
        <stp>BDH|1322449914015051025</stp>
        <tr r="L29" s="22"/>
      </tp>
      <tp t="e">
        <v>#N/A</v>
        <stp/>
        <stp>BDH|7048669820372123066</stp>
        <tr r="Q12" s="24"/>
      </tp>
      <tp t="e">
        <v>#N/A</v>
        <stp/>
        <stp>BDH|5124686760935000187</stp>
        <tr r="G119" s="18"/>
        <tr r="G7" s="20"/>
      </tp>
      <tp t="e">
        <v>#N/A</v>
        <stp/>
        <stp>BDH|7803134698246682844</stp>
        <tr r="D18" s="22"/>
      </tp>
      <tp t="e">
        <v>#N/A</v>
        <stp/>
        <stp>BDH|1971667922050990453</stp>
        <tr r="E11" s="17"/>
      </tp>
      <tp t="e">
        <v>#N/A</v>
        <stp/>
        <stp>BDH|2242220608858126983</stp>
        <tr r="M50" s="17"/>
      </tp>
      <tp t="e">
        <v>#N/A</v>
        <stp/>
        <stp>BDH|5598555752710209416</stp>
        <tr r="C38" s="26"/>
      </tp>
      <tp t="e">
        <v>#N/A</v>
        <stp/>
        <stp>BDH|6002279222462096549</stp>
        <tr r="K23" s="18"/>
      </tp>
      <tp t="e">
        <v>#N/A</v>
        <stp/>
        <stp>BDH|9601728398285552382</stp>
        <tr r="M21" s="5"/>
      </tp>
      <tp t="e">
        <v>#N/A</v>
        <stp/>
        <stp>BDH|6067040971899610923</stp>
        <tr r="R31" s="22"/>
      </tp>
      <tp t="e">
        <v>#N/A</v>
        <stp/>
        <stp>BDH|9848089451929909498</stp>
        <tr r="P25" s="5"/>
      </tp>
      <tp t="e">
        <v>#N/A</v>
        <stp/>
        <stp>BDH|1638658912366524156</stp>
        <tr r="Z67" s="17"/>
        <tr r="Z18" s="3"/>
      </tp>
      <tp t="e">
        <v>#N/A</v>
        <stp/>
        <stp>BDH|7392149465887067632</stp>
        <tr r="S25" s="14"/>
      </tp>
      <tp t="e">
        <v>#N/A</v>
        <stp/>
        <stp>BDH|3403499727663996729</stp>
        <tr r="Y15" s="13"/>
      </tp>
      <tp t="e">
        <v>#N/A</v>
        <stp/>
        <stp>BDH|1482652705147412115</stp>
        <tr r="H7" s="4"/>
      </tp>
      <tp t="e">
        <v>#N/A</v>
        <stp/>
        <stp>BDH|3378570767627792657</stp>
        <tr r="G96" s="12"/>
      </tp>
      <tp t="e">
        <v>#N/A</v>
        <stp/>
        <stp>BDH|5774928020526772933</stp>
        <tr r="M71" s="24"/>
      </tp>
      <tp t="e">
        <v>#N/A</v>
        <stp/>
        <stp>BDH|6492592721859442999</stp>
        <tr r="Q27" s="17"/>
      </tp>
      <tp t="e">
        <v>#N/A</v>
        <stp/>
        <stp>BDH|2179868331131657915</stp>
        <tr r="P24" s="14"/>
      </tp>
      <tp t="e">
        <v>#N/A</v>
        <stp/>
        <stp>BDH|8649869319412104297</stp>
        <tr r="AA80" s="12"/>
      </tp>
      <tp t="e">
        <v>#N/A</v>
        <stp/>
        <stp>BDH|4122569936547281457</stp>
        <tr r="P24" s="2"/>
      </tp>
      <tp t="e">
        <v>#N/A</v>
        <stp/>
        <stp>BDH|5512288338824335102</stp>
        <tr r="M71" s="18"/>
      </tp>
      <tp t="e">
        <v>#N/A</v>
        <stp/>
        <stp>BDH|4139494968280448721</stp>
        <tr r="K35" s="26"/>
      </tp>
      <tp t="e">
        <v>#N/A</v>
        <stp/>
        <stp>BDH|1090272951530888786</stp>
        <tr r="D40" s="24"/>
      </tp>
      <tp t="e">
        <v>#N/A</v>
        <stp/>
        <stp>BDH|6108383254541362080</stp>
        <tr r="Q144" s="18"/>
      </tp>
      <tp t="e">
        <v>#N/A</v>
        <stp/>
        <stp>BDH|2633432017440248661</stp>
        <tr r="C9" s="8"/>
      </tp>
      <tp t="e">
        <v>#N/A</v>
        <stp/>
        <stp>BDH|7261526111865589720</stp>
        <tr r="R169" s="18"/>
      </tp>
      <tp t="e">
        <v>#N/A</v>
        <stp/>
        <stp>BDH|6161422862993080676</stp>
        <tr r="X26" s="29"/>
      </tp>
      <tp t="e">
        <v>#N/A</v>
        <stp/>
        <stp>BDH|2460735130763035414</stp>
        <tr r="O12" s="14"/>
      </tp>
      <tp t="e">
        <v>#N/A</v>
        <stp/>
        <stp>BDH|9845640588725769356</stp>
        <tr r="S34" s="24"/>
      </tp>
      <tp t="e">
        <v>#N/A</v>
        <stp/>
        <stp>BDH|1482110074464772209</stp>
        <tr r="C32" s="21"/>
      </tp>
      <tp t="e">
        <v>#N/A</v>
        <stp/>
        <stp>BDH|4609423752234940097</stp>
        <tr r="Q71" s="10"/>
        <tr r="Q61" s="11"/>
      </tp>
      <tp t="e">
        <v>#N/A</v>
        <stp/>
        <stp>BDH|5709650061664330060</stp>
        <tr r="D29" s="10"/>
        <tr r="F38" s="13"/>
      </tp>
      <tp t="e">
        <v>#N/A</v>
        <stp/>
        <stp>BDH|4185324724243123708</stp>
        <tr r="W10" s="4"/>
        <tr r="V6" s="16"/>
        <tr r="Y6" s="3"/>
        <tr r="W6" s="11"/>
      </tp>
      <tp t="e">
        <v>#N/A</v>
        <stp/>
        <stp>BDH|1342212562854693003</stp>
        <tr r="Y12" s="12"/>
      </tp>
      <tp t="e">
        <v>#N/A</v>
        <stp/>
        <stp>BDH|7126149462997638675</stp>
        <tr r="U14" s="22"/>
      </tp>
      <tp t="e">
        <v>#N/A</v>
        <stp/>
        <stp>BDH|1049554825380015766</stp>
        <tr r="E9" s="23"/>
      </tp>
      <tp t="e">
        <v>#N/A</v>
        <stp/>
        <stp>BDH|2269378102780549049</stp>
        <tr r="P41" s="18"/>
      </tp>
      <tp t="e">
        <v>#N/A</v>
        <stp/>
        <stp>BDH|6948184550753263055</stp>
        <tr r="D9" s="8"/>
      </tp>
      <tp t="e">
        <v>#N/A</v>
        <stp/>
        <stp>BDH|7721302395825185956</stp>
        <tr r="W21" s="4"/>
      </tp>
      <tp t="e">
        <v>#N/A</v>
        <stp/>
        <stp>BDH|9620710423428710551</stp>
        <tr r="AA115" s="18"/>
      </tp>
      <tp t="e">
        <v>#N/A</v>
        <stp/>
        <stp>BDH|4623615716505645710</stp>
        <tr r="U23" s="13"/>
      </tp>
      <tp t="e">
        <v>#N/A</v>
        <stp/>
        <stp>BDH|7697626303312394223</stp>
        <tr r="W70" s="18"/>
      </tp>
      <tp t="e">
        <v>#N/A</v>
        <stp/>
        <stp>BDH|4267531551185689008</stp>
        <tr r="D22" s="20"/>
      </tp>
      <tp t="e">
        <v>#N/A</v>
        <stp/>
        <stp>BDH|7832691265957256108</stp>
        <tr r="G9" s="29"/>
      </tp>
      <tp t="e">
        <v>#N/A</v>
        <stp/>
        <stp>BDH|4341042493619179531</stp>
        <tr r="P29" s="6"/>
      </tp>
      <tp t="e">
        <v>#N/A</v>
        <stp/>
        <stp>BDH|2451532750816106506</stp>
        <tr r="Q24" s="18"/>
      </tp>
      <tp t="e">
        <v>#N/A</v>
        <stp/>
        <stp>BDH|3671625226980547616</stp>
        <tr r="C61" s="24"/>
      </tp>
      <tp t="e">
        <v>#N/A</v>
        <stp/>
        <stp>BDH|5019179271374130611</stp>
        <tr r="F27" s="13"/>
      </tp>
      <tp t="e">
        <v>#N/A</v>
        <stp/>
        <stp>BDH|7106119863220601132</stp>
        <tr r="V24" s="10"/>
      </tp>
      <tp t="e">
        <v>#N/A</v>
        <stp/>
        <stp>BDH|2423429657200492238</stp>
        <tr r="AA17" s="22"/>
      </tp>
      <tp t="e">
        <v>#N/A</v>
        <stp/>
        <stp>BDH|2567015220708049928</stp>
        <tr r="L92" s="24"/>
      </tp>
      <tp t="e">
        <v>#N/A</v>
        <stp/>
        <stp>BDH|5989755478424357014</stp>
        <tr r="X145" s="18"/>
      </tp>
      <tp t="e">
        <v>#N/A</v>
        <stp/>
        <stp>BDH|2897270427657743490</stp>
        <tr r="L64" s="34"/>
      </tp>
      <tp t="e">
        <v>#N/A</v>
        <stp/>
        <stp>BDH|9885622299586617135</stp>
        <tr r="X159" s="18"/>
      </tp>
      <tp t="e">
        <v>#N/A</v>
        <stp/>
        <stp>BDH|6821474501194956719</stp>
        <tr r="N200" s="18"/>
      </tp>
      <tp t="e">
        <v>#N/A</v>
        <stp/>
        <stp>BDH|8570619487597788029</stp>
        <tr r="H32" s="5"/>
      </tp>
      <tp t="e">
        <v>#N/A</v>
        <stp/>
        <stp>BDH|1049214635866209702</stp>
        <tr r="G20" s="23"/>
      </tp>
      <tp t="e">
        <v>#N/A</v>
        <stp/>
        <stp>BDH|3136506157251351338</stp>
        <tr r="H21" s="10"/>
      </tp>
      <tp t="e">
        <v>#N/A</v>
        <stp/>
        <stp>BDH|6190624968657432092</stp>
        <tr r="J28" s="34"/>
      </tp>
      <tp t="e">
        <v>#N/A</v>
        <stp/>
        <stp>BDH|4383550233661642257</stp>
        <tr r="H9" s="3"/>
        <tr r="F51" s="10"/>
        <tr r="F41" s="11"/>
        <tr r="F14" s="7"/>
      </tp>
      <tp t="e">
        <v>#N/A</v>
        <stp/>
        <stp>BDH|7186561903880058329</stp>
        <tr r="U54" s="24"/>
      </tp>
      <tp t="e">
        <v>#N/A</v>
        <stp/>
        <stp>BDH|6226131862930354062</stp>
        <tr r="N63" s="17"/>
      </tp>
      <tp t="e">
        <v>#N/A</v>
        <stp/>
        <stp>BDH|4079117200953525726</stp>
        <tr r="P30" s="22"/>
      </tp>
      <tp t="e">
        <v>#N/A</v>
        <stp/>
        <stp>BDH|9299555381143786679</stp>
        <tr r="W80" s="18"/>
      </tp>
      <tp t="e">
        <v>#N/A</v>
        <stp/>
        <stp>BDH|7107576852332705459</stp>
        <tr r="X47" s="6"/>
        <tr r="Z6" s="8"/>
      </tp>
      <tp t="e">
        <v>#N/A</v>
        <stp/>
        <stp>BDH|8591540774592095939</stp>
        <tr r="F23" s="2"/>
        <tr r="H19" s="21"/>
        <tr r="H23" s="3"/>
      </tp>
      <tp t="e">
        <v>#N/A</v>
        <stp/>
        <stp>BDH|2585068975371980597</stp>
        <tr r="R25" s="24"/>
      </tp>
      <tp t="e">
        <v>#N/A</v>
        <stp/>
        <stp>BDH|5863798266931413459</stp>
        <tr r="U126" s="18"/>
      </tp>
      <tp t="e">
        <v>#N/A</v>
        <stp/>
        <stp>BDH|3440316170455118328</stp>
        <tr r="X80" s="24"/>
      </tp>
      <tp t="e">
        <v>#N/A</v>
        <stp/>
        <stp>BDH|1770318903676706546</stp>
        <tr r="G20" s="24"/>
      </tp>
      <tp t="e">
        <v>#N/A</v>
        <stp/>
        <stp>BDH|8571775481825727326</stp>
        <tr r="N133" s="18"/>
      </tp>
      <tp t="e">
        <v>#N/A</v>
        <stp/>
        <stp>BDH|3215099658252754521</stp>
        <tr r="K72" s="17"/>
      </tp>
      <tp t="e">
        <v>#N/A</v>
        <stp/>
        <stp>BDH|9380805919626819744</stp>
        <tr r="Y15" s="34"/>
      </tp>
      <tp t="e">
        <v>#N/A</v>
        <stp/>
        <stp>BDH|1489137925210212362</stp>
        <tr r="J10" s="21"/>
      </tp>
      <tp t="e">
        <v>#N/A</v>
        <stp/>
        <stp>BDH|1836512404770296591</stp>
        <tr r="U69" s="18"/>
      </tp>
      <tp t="e">
        <v>#N/A</v>
        <stp/>
        <stp>BDH|3903501714492290492</stp>
        <tr r="N54" s="11"/>
      </tp>
      <tp t="e">
        <v>#N/A</v>
        <stp/>
        <stp>BDH|8647302366494045868</stp>
        <tr r="M73" s="13"/>
      </tp>
      <tp t="e">
        <v>#N/A</v>
        <stp/>
        <stp>BDH|2660226623694196701</stp>
        <tr r="L67" s="21"/>
      </tp>
      <tp t="e">
        <v>#N/A</v>
        <stp/>
        <stp>BDH|8689822415161601115</stp>
        <tr r="V70" s="18"/>
      </tp>
      <tp t="e">
        <v>#N/A</v>
        <stp/>
        <stp>BDH|3212125104950541368</stp>
        <tr r="X100" s="18"/>
      </tp>
      <tp t="e">
        <v>#N/A</v>
        <stp/>
        <stp>BDH|6901381926483168512</stp>
        <tr r="N151" s="18"/>
      </tp>
      <tp t="e">
        <v>#N/A</v>
        <stp/>
        <stp>BDH|2982216169894671300</stp>
        <tr r="K64" s="17"/>
      </tp>
      <tp t="e">
        <v>#N/A</v>
        <stp/>
        <stp>BDH|3606780499088341435</stp>
        <tr r="P26" s="29"/>
      </tp>
      <tp t="e">
        <v>#N/A</v>
        <stp/>
        <stp>BDH|5038401204303086339</stp>
        <tr r="V70" s="10"/>
        <tr r="V60" s="11"/>
        <tr r="V20" s="7"/>
      </tp>
      <tp t="e">
        <v>#N/A</v>
        <stp/>
        <stp>BDH|6428064735321661563</stp>
        <tr r="R202" s="18"/>
      </tp>
      <tp t="e">
        <v>#N/A</v>
        <stp/>
        <stp>BDH|4576228059553889112</stp>
        <tr r="O35" s="12"/>
      </tp>
      <tp t="e">
        <v>#N/A</v>
        <stp/>
        <stp>BDH|3145967234000753835</stp>
        <tr r="U25" s="25"/>
        <tr r="U10" s="27"/>
      </tp>
      <tp t="e">
        <v>#N/A</v>
        <stp/>
        <stp>BDH|2874304054077824232</stp>
        <tr r="J19" s="30"/>
      </tp>
      <tp t="e">
        <v>#N/A</v>
        <stp/>
        <stp>BDH|5363404519551903044</stp>
        <tr r="I46" s="18"/>
      </tp>
      <tp t="e">
        <v>#N/A</v>
        <stp/>
        <stp>BDH|6563643063277168042</stp>
        <tr r="M63" s="17"/>
      </tp>
      <tp t="e">
        <v>#N/A</v>
        <stp/>
        <stp>BDH|8703823075696547022</stp>
        <tr r="X24" s="24"/>
      </tp>
      <tp t="e">
        <v>#N/A</v>
        <stp/>
        <stp>BDH|2454365312205671417</stp>
        <tr r="E111" s="18"/>
      </tp>
      <tp t="e">
        <v>#N/A</v>
        <stp/>
        <stp>BDH|7982183039535783184</stp>
        <tr r="S102" s="12"/>
      </tp>
      <tp t="e">
        <v>#N/A</v>
        <stp/>
        <stp>BDH|5623425634407609411</stp>
        <tr r="Y38" s="10"/>
        <tr r="Y28" s="11"/>
        <tr r="AA47" s="13"/>
      </tp>
      <tp t="e">
        <v>#N/A</v>
        <stp/>
        <stp>BDH|9972768647392991967</stp>
        <tr r="D174" s="18"/>
      </tp>
      <tp t="e">
        <v>#N/A</v>
        <stp/>
        <stp>BDH|7054627746047272310</stp>
        <tr r="O37" s="18"/>
      </tp>
      <tp t="e">
        <v>#N/A</v>
        <stp/>
        <stp>BDH|1261092016600832124</stp>
        <tr r="G99" s="12"/>
      </tp>
      <tp t="e">
        <v>#N/A</v>
        <stp/>
        <stp>BDH|2865521773732912374</stp>
        <tr r="G130" s="18"/>
      </tp>
      <tp t="e">
        <v>#N/A</v>
        <stp/>
        <stp>BDH|4768468684221700859</stp>
        <tr r="M143" s="18"/>
      </tp>
      <tp t="e">
        <v>#N/A</v>
        <stp/>
        <stp>BDH|5693044735915058204</stp>
        <tr r="F205" s="18"/>
      </tp>
      <tp t="e">
        <v>#N/A</v>
        <stp/>
        <stp>BDH|7860447370572300780</stp>
        <tr r="T41" s="18"/>
      </tp>
      <tp t="e">
        <v>#N/A</v>
        <stp/>
        <stp>BDH|2240661397105516911</stp>
        <tr r="G21" s="17"/>
        <tr r="G15" s="3"/>
      </tp>
      <tp t="e">
        <v>#N/A</v>
        <stp/>
        <stp>BDH|1950551089639155433</stp>
        <tr r="J32" s="26"/>
      </tp>
      <tp t="e">
        <v>#N/A</v>
        <stp/>
        <stp>BDH|4059414430567349554</stp>
        <tr r="H162" s="18"/>
      </tp>
      <tp t="e">
        <v>#N/A</v>
        <stp/>
        <stp>BDH|6238545016322418130</stp>
        <tr r="I53" s="21"/>
      </tp>
      <tp t="e">
        <v>#N/A</v>
        <stp/>
        <stp>BDH|3740058634868583948</stp>
        <tr r="W30" s="24"/>
      </tp>
      <tp t="e">
        <v>#N/A</v>
        <stp/>
        <stp>BDH|5346528939113904169</stp>
        <tr r="E38" s="18"/>
      </tp>
      <tp t="e">
        <v>#N/A</v>
        <stp/>
        <stp>BDH|6259413064121221421</stp>
        <tr r="V25" s="12"/>
      </tp>
      <tp t="e">
        <v>#N/A</v>
        <stp/>
        <stp>BDH|2648756275162977180</stp>
        <tr r="F8" s="27"/>
      </tp>
      <tp t="e">
        <v>#N/A</v>
        <stp/>
        <stp>BDH|4360256573790749054</stp>
        <tr r="R182" s="18"/>
      </tp>
      <tp t="e">
        <v>#N/A</v>
        <stp/>
        <stp>BDH|7269782958337611331</stp>
        <tr r="N7" s="8"/>
      </tp>
      <tp t="e">
        <v>#N/A</v>
        <stp/>
        <stp>BDH|1462102773142922490</stp>
        <tr r="C19" s="13"/>
      </tp>
      <tp t="e">
        <v>#N/A</v>
        <stp/>
        <stp>BDH|1508028143647514368</stp>
        <tr r="U14" s="28"/>
      </tp>
      <tp t="e">
        <v>#N/A</v>
        <stp/>
        <stp>BDH|2133770566056032476</stp>
        <tr r="Q37" s="21"/>
      </tp>
      <tp t="e">
        <v>#N/A</v>
        <stp/>
        <stp>BDH|7594397872856138483</stp>
        <tr r="I50" s="24"/>
      </tp>
      <tp t="e">
        <v>#N/A</v>
        <stp/>
        <stp>BDH|7001280938327624017</stp>
        <tr r="O30" s="21"/>
      </tp>
      <tp t="e">
        <v>#N/A</v>
        <stp/>
        <stp>BDH|7334339715051388514</stp>
        <tr r="Y23" s="22"/>
      </tp>
      <tp t="e">
        <v>#N/A</v>
        <stp/>
        <stp>BDH|1163344512695160714</stp>
        <tr r="K19" s="25"/>
      </tp>
      <tp t="e">
        <v>#N/A</v>
        <stp/>
        <stp>BDH|4515429817953440333</stp>
        <tr r="D10" s="14"/>
      </tp>
      <tp t="e">
        <v>#N/A</v>
        <stp/>
        <stp>BDH|2354672632723339525</stp>
        <tr r="W14" s="8"/>
      </tp>
      <tp t="e">
        <v>#N/A</v>
        <stp/>
        <stp>BDH|3469504262421890099</stp>
        <tr r="J15" s="25"/>
      </tp>
      <tp t="e">
        <v>#N/A</v>
        <stp/>
        <stp>BDH|6149226619840492495</stp>
        <tr r="C30" s="10"/>
        <tr r="E39" s="13"/>
      </tp>
      <tp t="e">
        <v>#N/A</v>
        <stp/>
        <stp>BDH|6765957026049586561</stp>
        <tr r="I99" s="18"/>
      </tp>
      <tp t="e">
        <v>#N/A</v>
        <stp/>
        <stp>BDH|8145464760999467247</stp>
        <tr r="L29" s="12"/>
      </tp>
      <tp t="e">
        <v>#N/A</v>
        <stp/>
        <stp>BDH|2555737872650546368</stp>
        <tr r="D9" s="21"/>
      </tp>
      <tp t="e">
        <v>#N/A</v>
        <stp/>
        <stp>BDH|7326299772020659396</stp>
        <tr r="P37" s="34"/>
      </tp>
      <tp t="e">
        <v>#N/A</v>
        <stp/>
        <stp>BDH|3187052232377364624</stp>
        <tr r="U27" s="7"/>
      </tp>
      <tp t="e">
        <v>#N/A</v>
        <stp/>
        <stp>BDH|3298291934501870201</stp>
        <tr r="E18" s="11"/>
      </tp>
      <tp t="e">
        <v>#N/A</v>
        <stp/>
        <stp>BDH|6974145089549653758</stp>
        <tr r="R27" s="14"/>
      </tp>
      <tp t="e">
        <v>#N/A</v>
        <stp/>
        <stp>BDH|3576082174215624088</stp>
        <tr r="N163" s="18"/>
      </tp>
      <tp t="e">
        <v>#N/A</v>
        <stp/>
        <stp>BDH|4908697964851726440</stp>
        <tr r="AA18" s="34"/>
      </tp>
      <tp t="e">
        <v>#N/A</v>
        <stp/>
        <stp>BDH|6634591008221798374</stp>
        <tr r="P66" s="13"/>
      </tp>
      <tp t="e">
        <v>#N/A</v>
        <stp/>
        <stp>BDH|7052038574294637563</stp>
        <tr r="G57" s="11"/>
        <tr r="I15" s="23"/>
      </tp>
      <tp t="e">
        <v>#N/A</v>
        <stp/>
        <stp>BDH|4934210548414380741</stp>
        <tr r="AA29" s="17"/>
      </tp>
      <tp t="e">
        <v>#N/A</v>
        <stp/>
        <stp>BDH|5250486781880463883</stp>
        <tr r="H25" s="6"/>
      </tp>
      <tp t="e">
        <v>#N/A</v>
        <stp/>
        <stp>BDH|4705573219193946278</stp>
        <tr r="M10" s="12"/>
      </tp>
      <tp t="e">
        <v>#N/A</v>
        <stp/>
        <stp>BDH|5285033659807789685</stp>
        <tr r="P178" s="18"/>
      </tp>
      <tp t="e">
        <v>#N/A</v>
        <stp/>
        <stp>BDH|6852522589699118361</stp>
        <tr r="K8" s="27"/>
      </tp>
      <tp t="e">
        <v>#N/A</v>
        <stp/>
        <stp>BDH|3883356808036788767</stp>
        <tr r="N42" s="17"/>
      </tp>
      <tp t="e">
        <v>#N/A</v>
        <stp/>
        <stp>BDH|4135370025461729504</stp>
        <tr r="AA38" s="17"/>
      </tp>
      <tp t="e">
        <v>#N/A</v>
        <stp/>
        <stp>BDH|9630677765149166113</stp>
        <tr r="S20" s="6"/>
      </tp>
      <tp t="e">
        <v>#N/A</v>
        <stp/>
        <stp>BDH|9750042981790710011</stp>
        <tr r="D198" s="18"/>
      </tp>
      <tp t="e">
        <v>#N/A</v>
        <stp/>
        <stp>BDH|7613600781679648153</stp>
        <tr r="J127" s="18"/>
      </tp>
      <tp t="e">
        <v>#N/A</v>
        <stp/>
        <stp>BDH|9419844415637655676</stp>
        <tr r="N35" s="24"/>
      </tp>
      <tp t="e">
        <v>#N/A</v>
        <stp/>
        <stp>BDH|9483024580345295505</stp>
        <tr r="AA177" s="18"/>
      </tp>
      <tp t="e">
        <v>#N/A</v>
        <stp/>
        <stp>BDH|2778056322734028547</stp>
        <tr r="M42" s="4"/>
      </tp>
      <tp t="e">
        <v>#N/A</v>
        <stp/>
        <stp>BDH|7037520162104466107</stp>
        <tr r="L76" s="18"/>
      </tp>
      <tp t="e">
        <v>#N/A</v>
        <stp/>
        <stp>BDH|9800266895784651797</stp>
        <tr r="V10" s="21"/>
      </tp>
      <tp t="e">
        <v>#N/A</v>
        <stp/>
        <stp>BDH|6385839519857436999</stp>
        <tr r="P67" s="17"/>
        <tr r="P18" s="3"/>
      </tp>
      <tp t="e">
        <v>#N/A</v>
        <stp/>
        <stp>BDH|9459857130647304467</stp>
        <tr r="J19" s="24"/>
      </tp>
      <tp t="e">
        <v>#N/A</v>
        <stp/>
        <stp>BDH|3105183588292072955</stp>
        <tr r="H24" s="21"/>
      </tp>
      <tp t="e">
        <v>#N/A</v>
        <stp/>
        <stp>BDH|4601333492537373803</stp>
        <tr r="M13" s="17"/>
        <tr r="M16" s="28"/>
      </tp>
      <tp t="e">
        <v>#N/A</v>
        <stp/>
        <stp>BDH|3677985925378679194</stp>
        <tr r="X14" s="11"/>
      </tp>
      <tp t="e">
        <v>#N/A</v>
        <stp/>
        <stp>BDH|8731673592235164376</stp>
        <tr r="P17" s="30"/>
      </tp>
      <tp t="e">
        <v>#N/A</v>
        <stp/>
        <stp>BDH|3501458007477513168</stp>
        <tr r="K10" s="2"/>
        <tr r="J11" s="5"/>
        <tr r="J51" s="6"/>
        <tr r="L33" s="29"/>
        <tr r="L42" s="29"/>
      </tp>
      <tp t="e">
        <v>#N/A</v>
        <stp/>
        <stp>BDH|4870566348037307314</stp>
        <tr r="M48" s="13"/>
      </tp>
      <tp t="e">
        <v>#N/A</v>
        <stp/>
        <stp>BDH|5642936213804460869</stp>
        <tr r="L48" s="24"/>
      </tp>
      <tp t="e">
        <v>#N/A</v>
        <stp/>
        <stp>BDH|2018907776314677947</stp>
        <tr r="T37" s="10"/>
        <tr r="T27" s="11"/>
        <tr r="V46" s="13"/>
      </tp>
      <tp t="e">
        <v>#N/A</v>
        <stp/>
        <stp>BDH|6271582652575840240</stp>
        <tr r="J188" s="18"/>
      </tp>
      <tp t="e">
        <v>#N/A</v>
        <stp/>
        <stp>BDH|7952737322623883048</stp>
        <tr r="T67" s="21"/>
      </tp>
      <tp t="e">
        <v>#N/A</v>
        <stp/>
        <stp>BDH|5032095226054204292</stp>
        <tr r="K11" s="21"/>
      </tp>
      <tp t="e">
        <v>#N/A</v>
        <stp/>
        <stp>BDH|8522992215831481094</stp>
        <tr r="U19" s="20"/>
      </tp>
      <tp t="e">
        <v>#N/A</v>
        <stp/>
        <stp>BDH|7952547921507838600</stp>
        <tr r="X57" s="24"/>
      </tp>
      <tp t="e">
        <v>#N/A</v>
        <stp/>
        <stp>BDH|6285938240028220274</stp>
        <tr r="Z39" s="18"/>
      </tp>
      <tp t="e">
        <v>#N/A</v>
        <stp/>
        <stp>BDH|2312720140611222173</stp>
        <tr r="V19" s="24"/>
      </tp>
      <tp t="e">
        <v>#N/A</v>
        <stp/>
        <stp>BDH|4355474725465208673</stp>
        <tr r="J45" s="24"/>
      </tp>
      <tp t="e">
        <v>#N/A</v>
        <stp/>
        <stp>BDH|9284839857272073722</stp>
        <tr r="C70" s="17"/>
      </tp>
      <tp t="e">
        <v>#N/A</v>
        <stp/>
        <stp>BDH|1918158297608647092</stp>
        <tr r="S35" s="12"/>
      </tp>
      <tp t="e">
        <v>#N/A</v>
        <stp/>
        <stp>BDH|7714040855571145239</stp>
        <tr r="X69" s="13"/>
      </tp>
      <tp t="e">
        <v>#N/A</v>
        <stp/>
        <stp>BDH|2896548474613892246</stp>
        <tr r="F45" s="22"/>
      </tp>
      <tp t="e">
        <v>#N/A</v>
        <stp/>
        <stp>BDH|5794564209560928152</stp>
        <tr r="X71" s="13"/>
      </tp>
      <tp t="e">
        <v>#N/A</v>
        <stp/>
        <stp>BDH|1239798791577864963</stp>
        <tr r="N26" s="29"/>
      </tp>
      <tp t="e">
        <v>#N/A</v>
        <stp/>
        <stp>BDH|4738472121724545709</stp>
        <tr r="V23" s="26"/>
      </tp>
      <tp t="e">
        <v>#N/A</v>
        <stp/>
        <stp>BDH|7334423135890344137</stp>
        <tr r="Z199" s="18"/>
      </tp>
      <tp t="e">
        <v>#N/A</v>
        <stp/>
        <stp>BDH|8189768297023180453</stp>
        <tr r="X165" s="18"/>
      </tp>
      <tp t="e">
        <v>#N/A</v>
        <stp/>
        <stp>BDH|2395364851007836285</stp>
        <tr r="R61" s="24"/>
      </tp>
      <tp t="e">
        <v>#N/A</v>
        <stp/>
        <stp>BDH|8161125591911240044</stp>
        <tr r="T60" s="34"/>
      </tp>
      <tp t="e">
        <v>#N/A</v>
        <stp/>
        <stp>BDH|4946546278874304320</stp>
        <tr r="E64" s="18"/>
      </tp>
      <tp t="e">
        <v>#N/A</v>
        <stp/>
        <stp>BDH|4136192452480873168</stp>
        <tr r="I74" s="17"/>
      </tp>
      <tp t="e">
        <v>#N/A</v>
        <stp/>
        <stp>BDH|1291330307510532372</stp>
        <tr r="S47" s="22"/>
      </tp>
      <tp t="e">
        <v>#N/A</v>
        <stp/>
        <stp>BDH|6037061280497636848</stp>
        <tr r="U73" s="12"/>
      </tp>
      <tp t="e">
        <v>#N/A</v>
        <stp/>
        <stp>BDH|4687300832784175114</stp>
        <tr r="J79" s="12"/>
      </tp>
      <tp t="e">
        <v>#N/A</v>
        <stp/>
        <stp>BDH|1451763835854370006</stp>
        <tr r="AA32" s="14"/>
      </tp>
      <tp t="e">
        <v>#N/A</v>
        <stp/>
        <stp>BDH|4335007007112729779</stp>
        <tr r="I19" s="12"/>
      </tp>
      <tp t="e">
        <v>#N/A</v>
        <stp/>
        <stp>BDH|9777422747370018869</stp>
        <tr r="N21" s="22"/>
      </tp>
      <tp t="e">
        <v>#N/A</v>
        <stp/>
        <stp>BDH|4508428272496288025</stp>
        <tr r="K69" s="17"/>
      </tp>
      <tp t="e">
        <v>#N/A</v>
        <stp/>
        <stp>BDH|2266434440541463201</stp>
        <tr r="J154" s="18"/>
      </tp>
      <tp t="e">
        <v>#N/A</v>
        <stp/>
        <stp>BDH|4184837196313582744</stp>
        <tr r="P15" s="12"/>
      </tp>
      <tp t="e">
        <v>#N/A</v>
        <stp/>
        <stp>BDH|9003851977355770205</stp>
        <tr r="S59" s="17"/>
      </tp>
      <tp t="e">
        <v>#N/A</v>
        <stp/>
        <stp>BDH|6374434041765328276</stp>
        <tr r="L80" s="34"/>
      </tp>
      <tp t="e">
        <v>#N/A</v>
        <stp/>
        <stp>BDH|5526701739288902801</stp>
        <tr r="L12" s="11"/>
      </tp>
      <tp t="e">
        <v>#N/A</v>
        <stp/>
        <stp>BDH|1154170562715943285</stp>
        <tr r="AA9" s="24"/>
      </tp>
      <tp t="e">
        <v>#N/A</v>
        <stp/>
        <stp>BDH|2516976082527616531</stp>
        <tr r="N6" s="15"/>
        <tr r="N12" s="2"/>
        <tr r="N11" s="4"/>
        <tr r="N6" s="10"/>
      </tp>
      <tp t="e">
        <v>#N/A</v>
        <stp/>
        <stp>BDH|4229174424103653520</stp>
        <tr r="V53" s="12"/>
      </tp>
      <tp t="e">
        <v>#N/A</v>
        <stp/>
        <stp>BDH|7631408915862500131</stp>
        <tr r="M51" s="18"/>
      </tp>
      <tp t="e">
        <v>#N/A</v>
        <stp/>
        <stp>BDH|9792244377779672478</stp>
        <tr r="T20" s="6"/>
      </tp>
      <tp t="e">
        <v>#N/A</v>
        <stp/>
        <stp>BDH|9349276720999196107</stp>
        <tr r="Z53" s="13"/>
      </tp>
      <tp t="e">
        <v>#N/A</v>
        <stp/>
        <stp>BDH|5024644750106460154</stp>
        <tr r="X12" s="18"/>
      </tp>
      <tp t="e">
        <v>#N/A</v>
        <stp/>
        <stp>BDH|8078211326341322812</stp>
        <tr r="I46" s="12"/>
      </tp>
      <tp t="e">
        <v>#N/A</v>
        <stp/>
        <stp>BDH|8577051127672054921</stp>
        <tr r="U57" s="12"/>
      </tp>
      <tp t="e">
        <v>#N/A</v>
        <stp/>
        <stp>BDH|7314009040403394151</stp>
        <tr r="K7" s="21"/>
      </tp>
      <tp t="e">
        <v>#N/A</v>
        <stp/>
        <stp>BDH|6078030762454538514</stp>
        <tr r="T133" s="18"/>
      </tp>
      <tp t="e">
        <v>#N/A</v>
        <stp/>
        <stp>BDH|1506704892187205901</stp>
        <tr r="W24" s="14"/>
      </tp>
      <tp t="e">
        <v>#N/A</v>
        <stp/>
        <stp>BDH|2618816936821630928</stp>
        <tr r="X10" s="13"/>
      </tp>
      <tp t="e">
        <v>#N/A</v>
        <stp/>
        <stp>BDH|5418694413262303183</stp>
        <tr r="AA13" s="21"/>
      </tp>
      <tp t="e">
        <v>#N/A</v>
        <stp/>
        <stp>BDH|8759956853824578118</stp>
        <tr r="P87" s="17"/>
      </tp>
      <tp t="e">
        <v>#N/A</v>
        <stp/>
        <stp>BDH|6130691718252646233</stp>
        <tr r="P91" s="24"/>
      </tp>
      <tp t="e">
        <v>#N/A</v>
        <stp/>
        <stp>BDH|6666454990362771811</stp>
        <tr r="X21" s="2"/>
      </tp>
      <tp t="e">
        <v>#N/A</v>
        <stp/>
        <stp>BDH|1260246841467027121</stp>
        <tr r="M24" s="4"/>
        <tr r="M55" s="11"/>
      </tp>
      <tp t="e">
        <v>#N/A</v>
        <stp/>
        <stp>BDH|9095816372952560536</stp>
        <tr r="Q196" s="18"/>
      </tp>
      <tp t="e">
        <v>#N/A</v>
        <stp/>
        <stp>BDH|9124866355512645713</stp>
        <tr r="P6" s="19"/>
        <tr r="P34" s="17"/>
        <tr r="P16" s="3"/>
      </tp>
      <tp t="e">
        <v>#N/A</v>
        <stp/>
        <stp>BDH|5393062140099847989</stp>
        <tr r="L23" s="22"/>
      </tp>
      <tp t="e">
        <v>#N/A</v>
        <stp/>
        <stp>BDH|7176208463002667010</stp>
        <tr r="C25" s="21"/>
      </tp>
      <tp t="e">
        <v>#N/A</v>
        <stp/>
        <stp>BDH|6140579143406626062</stp>
        <tr r="J12" s="3"/>
        <tr r="H55" s="10"/>
        <tr r="H45" s="11"/>
        <tr r="H7" s="7"/>
      </tp>
      <tp t="e">
        <v>#N/A</v>
        <stp/>
        <stp>BDH|6483767202327112744</stp>
        <tr r="V15" s="22"/>
      </tp>
      <tp t="e">
        <v>#N/A</v>
        <stp/>
        <stp>BDH|6105179697199458604</stp>
        <tr r="Y57" s="34"/>
      </tp>
      <tp t="e">
        <v>#N/A</v>
        <stp/>
        <stp>BDH|4713513425810150277</stp>
        <tr r="J36" s="34"/>
      </tp>
      <tp t="e">
        <v>#N/A</v>
        <stp/>
        <stp>BDH|9099276793484667775</stp>
        <tr r="Z28" s="27"/>
      </tp>
      <tp t="e">
        <v>#N/A</v>
        <stp/>
        <stp>BDH|1486434640350419066</stp>
        <tr r="K8" s="6"/>
      </tp>
      <tp t="e">
        <v>#N/A</v>
        <stp/>
        <stp>BDH|4317168627690426636</stp>
        <tr r="N47" s="12"/>
      </tp>
      <tp t="e">
        <v>#N/A</v>
        <stp/>
        <stp>BDH|8700183404438799095</stp>
        <tr r="P32" s="21"/>
      </tp>
      <tp t="e">
        <v>#N/A</v>
        <stp/>
        <stp>BDH|7367348441613227210</stp>
        <tr r="F26" s="18"/>
      </tp>
      <tp t="e">
        <v>#N/A</v>
        <stp/>
        <stp>BDH|7046370756886450603</stp>
        <tr r="K9" s="29"/>
      </tp>
      <tp t="e">
        <v>#N/A</v>
        <stp/>
        <stp>BDH|5165628047773266532</stp>
        <tr r="AA27" s="12"/>
      </tp>
      <tp t="e">
        <v>#N/A</v>
        <stp/>
        <stp>BDH|6297277123317345004</stp>
        <tr r="C50" s="4"/>
      </tp>
      <tp t="e">
        <v>#N/A</v>
        <stp/>
        <stp>BDH|2066205316264543469</stp>
        <tr r="C38" s="22"/>
      </tp>
      <tp t="e">
        <v>#N/A</v>
        <stp/>
        <stp>BDH|4420688573184370090</stp>
        <tr r="O76" s="12"/>
      </tp>
      <tp t="e">
        <v>#N/A</v>
        <stp/>
        <stp>BDH|2685968447487316919</stp>
        <tr r="K54" s="12"/>
      </tp>
      <tp t="e">
        <v>#N/A</v>
        <stp/>
        <stp>BDH|3582240912691092068</stp>
        <tr r="U75" s="12"/>
      </tp>
      <tp t="e">
        <v>#N/A</v>
        <stp/>
        <stp>BDH|7621037062484378419</stp>
        <tr r="S47" s="34"/>
      </tp>
      <tp t="e">
        <v>#N/A</v>
        <stp/>
        <stp>BDH|1623656479287619699</stp>
        <tr r="Y9" s="24"/>
      </tp>
      <tp t="e">
        <v>#N/A</v>
        <stp/>
        <stp>BDH|1968892496332488371</stp>
        <tr r="F98" s="18"/>
      </tp>
      <tp t="e">
        <v>#N/A</v>
        <stp/>
        <stp>BDH|6115742751830961583</stp>
        <tr r="J126" s="18"/>
      </tp>
      <tp t="e">
        <v>#N/A</v>
        <stp/>
        <stp>BDH|5424976427646655979</stp>
        <tr r="N42" s="24"/>
      </tp>
      <tp t="e">
        <v>#N/A</v>
        <stp/>
        <stp>BDH|4934652776820878470</stp>
        <tr r="X63" s="12"/>
      </tp>
      <tp t="e">
        <v>#N/A</v>
        <stp/>
        <stp>BDH|17028821556333850</stp>
        <tr r="L20" s="18"/>
      </tp>
      <tp t="e">
        <v>#N/A</v>
        <stp/>
        <stp>BDH|61869750629307802</stp>
        <tr r="N140" s="18"/>
      </tp>
      <tp t="e">
        <v>#N/A</v>
        <stp/>
        <stp>BDH|88899368812870051</stp>
        <tr r="H63" s="34"/>
      </tp>
      <tp t="e">
        <v>#N/A</v>
        <stp/>
        <stp>BDH|57990136670124638</stp>
        <tr r="I20" s="25"/>
      </tp>
      <tp t="e">
        <v>#N/A</v>
        <stp/>
        <stp>BDH|19587436139061375</stp>
        <tr r="M72" s="24"/>
      </tp>
      <tp t="e">
        <v>#N/A</v>
        <stp/>
        <stp>BDH|1413741770091829223</stp>
        <tr r="P30" s="21"/>
      </tp>
      <tp t="e">
        <v>#N/A</v>
        <stp/>
        <stp>BDH|3553842197577500793</stp>
        <tr r="I136" s="18"/>
      </tp>
      <tp t="e">
        <v>#N/A</v>
        <stp/>
        <stp>BDH|6317059649774660438</stp>
        <tr r="M51" s="17"/>
        <tr r="M17" s="3"/>
      </tp>
      <tp t="e">
        <v>#N/A</v>
        <stp/>
        <stp>BDH|5759120859400404321</stp>
        <tr r="F28" s="26"/>
      </tp>
      <tp t="e">
        <v>#N/A</v>
        <stp/>
        <stp>BDH|9058899927809406804</stp>
        <tr r="M11" s="21"/>
      </tp>
      <tp t="e">
        <v>#N/A</v>
        <stp/>
        <stp>BDH|3686606224240882504</stp>
        <tr r="N18" s="23"/>
      </tp>
      <tp t="e">
        <v>#N/A</v>
        <stp/>
        <stp>BDH|1209119729893169317</stp>
        <tr r="R115" s="18"/>
      </tp>
      <tp t="e">
        <v>#N/A</v>
        <stp/>
        <stp>BDH|6901602412494525744</stp>
        <tr r="Q126" s="18"/>
      </tp>
      <tp t="e">
        <v>#N/A</v>
        <stp/>
        <stp>BDH|7014433416758942862</stp>
        <tr r="F18" s="2"/>
        <tr r="F53" s="4"/>
        <tr r="F46" s="10"/>
        <tr r="F36" s="11"/>
        <tr r="H58" s="13"/>
      </tp>
      <tp t="e">
        <v>#N/A</v>
        <stp/>
        <stp>BDH|2633408243502845278</stp>
        <tr r="I127" s="18"/>
      </tp>
      <tp t="e">
        <v>#N/A</v>
        <stp/>
        <stp>BDH|9852701513174760961</stp>
        <tr r="O17" s="29"/>
        <tr r="O40" s="29"/>
      </tp>
      <tp t="e">
        <v>#N/A</v>
        <stp/>
        <stp>BDH|9360426959769035326</stp>
        <tr r="F96" s="18"/>
      </tp>
      <tp t="e">
        <v>#N/A</v>
        <stp/>
        <stp>BDH|3333490846001730012</stp>
        <tr r="V24" s="12"/>
      </tp>
      <tp t="e">
        <v>#N/A</v>
        <stp/>
        <stp>BDH|6697284045852378027</stp>
        <tr r="L9" s="22"/>
      </tp>
      <tp t="e">
        <v>#N/A</v>
        <stp/>
        <stp>BDH|2779984496690670056</stp>
        <tr r="C23" s="18"/>
      </tp>
      <tp t="e">
        <v>#N/A</v>
        <stp/>
        <stp>BDH|9254983134792317374</stp>
        <tr r="K30" s="34"/>
      </tp>
      <tp t="e">
        <v>#N/A</v>
        <stp/>
        <stp>BDH|6762574580819385095</stp>
        <tr r="H45" s="18"/>
      </tp>
      <tp t="e">
        <v>#N/A</v>
        <stp/>
        <stp>BDH|4511627229542591013</stp>
        <tr r="AA40" s="12"/>
      </tp>
      <tp t="e">
        <v>#N/A</v>
        <stp/>
        <stp>BDH|8790468687135504399</stp>
        <tr r="M34" s="6"/>
      </tp>
      <tp t="e">
        <v>#N/A</v>
        <stp/>
        <stp>BDH|4277195521691698464</stp>
        <tr r="D38" s="18"/>
      </tp>
      <tp t="e">
        <v>#N/A</v>
        <stp/>
        <stp>BDH|4355143924536891313</stp>
        <tr r="K47" s="21"/>
      </tp>
      <tp t="e">
        <v>#N/A</v>
        <stp/>
        <stp>BDH|5125537026309761998</stp>
        <tr r="M8" s="26"/>
        <tr r="J10" s="9"/>
      </tp>
      <tp t="e">
        <v>#N/A</v>
        <stp/>
        <stp>BDH|9704021216758973209</stp>
        <tr r="N27" s="21"/>
      </tp>
      <tp t="e">
        <v>#N/A</v>
        <stp/>
        <stp>BDH|8708043731970926910</stp>
        <tr r="H19" s="26"/>
      </tp>
      <tp t="e">
        <v>#N/A</v>
        <stp/>
        <stp>BDH|4659748166520722792</stp>
        <tr r="E28" s="4"/>
      </tp>
      <tp t="e">
        <v>#N/A</v>
        <stp/>
        <stp>BDH|3357373874827208285</stp>
        <tr r="U63" s="10"/>
      </tp>
      <tp t="e">
        <v>#N/A</v>
        <stp/>
        <stp>BDH|4617421580838917272</stp>
        <tr r="W21" s="20"/>
      </tp>
      <tp t="e">
        <v>#N/A</v>
        <stp/>
        <stp>BDH|8751784621858364774</stp>
        <tr r="O57" s="11"/>
        <tr r="Q15" s="23"/>
      </tp>
      <tp t="e">
        <v>#N/A</v>
        <stp/>
        <stp>BDH|4596700110126665695</stp>
        <tr r="L15" s="11"/>
      </tp>
      <tp t="e">
        <v>#N/A</v>
        <stp/>
        <stp>BDH|7793116248119152950</stp>
        <tr r="X23" s="14"/>
      </tp>
      <tp t="e">
        <v>#N/A</v>
        <stp/>
        <stp>BDH|2829559138146838073</stp>
        <tr r="I175" s="18"/>
      </tp>
      <tp t="e">
        <v>#N/A</v>
        <stp/>
        <stp>BDH|3705641237176723298</stp>
        <tr r="F85" s="17"/>
      </tp>
      <tp t="e">
        <v>#N/A</v>
        <stp/>
        <stp>BDH|9480658018234565869</stp>
        <tr r="V52" s="13"/>
      </tp>
      <tp t="e">
        <v>#N/A</v>
        <stp/>
        <stp>BDH|7202915388940295438</stp>
        <tr r="O16" s="34"/>
      </tp>
      <tp t="e">
        <v>#N/A</v>
        <stp/>
        <stp>BDH|2878131841027680263</stp>
        <tr r="J27" s="10"/>
        <tr r="L36" s="13"/>
      </tp>
      <tp t="e">
        <v>#N/A</v>
        <stp/>
        <stp>BDH|1864447035717396302</stp>
        <tr r="U169" s="18"/>
      </tp>
      <tp t="e">
        <v>#N/A</v>
        <stp/>
        <stp>BDH|3222045807370907129</stp>
        <tr r="L156" s="18"/>
      </tp>
      <tp t="e">
        <v>#N/A</v>
        <stp/>
        <stp>BDH|7225828120079230685</stp>
        <tr r="M15" s="13"/>
      </tp>
      <tp t="e">
        <v>#N/A</v>
        <stp/>
        <stp>BDH|5018981680305162339</stp>
        <tr r="T63" s="17"/>
      </tp>
      <tp t="e">
        <v>#N/A</v>
        <stp/>
        <stp>BDH|3751403349278322979</stp>
        <tr r="L125" s="18"/>
        <tr r="L14" s="20"/>
      </tp>
      <tp t="e">
        <v>#N/A</v>
        <stp/>
        <stp>BDH|4655344531967001197</stp>
        <tr r="AA68" s="17"/>
        <tr r="X8" s="5"/>
        <tr r="X8" s="9"/>
      </tp>
      <tp t="e">
        <v>#N/A</v>
        <stp/>
        <stp>BDH|3493845830689268383</stp>
        <tr r="V56" s="13"/>
      </tp>
      <tp t="e">
        <v>#N/A</v>
        <stp/>
        <stp>BDH|8432728615655170984</stp>
        <tr r="H15" s="18"/>
      </tp>
      <tp t="e">
        <v>#N/A</v>
        <stp/>
        <stp>BDH|3811030015079007950</stp>
        <tr r="E10" s="11"/>
      </tp>
      <tp t="e">
        <v>#N/A</v>
        <stp/>
        <stp>BDH|9096430873958999028</stp>
        <tr r="R13" s="17"/>
        <tr r="R16" s="28"/>
      </tp>
      <tp t="e">
        <v>#N/A</v>
        <stp/>
        <stp>BDH|3703185807011029136</stp>
        <tr r="D75" s="24"/>
      </tp>
      <tp t="e">
        <v>#N/A</v>
        <stp/>
        <stp>BDH|8689288700431237976</stp>
        <tr r="U17" s="9"/>
      </tp>
      <tp t="e">
        <v>#N/A</v>
        <stp/>
        <stp>BDH|8002835519241372220</stp>
        <tr r="K7" s="2"/>
        <tr r="J7" s="5"/>
        <tr r="J7" s="9"/>
        <tr r="M14" s="3"/>
      </tp>
      <tp t="e">
        <v>#N/A</v>
        <stp/>
        <stp>BDH|6258866604009906523</stp>
        <tr r="F37" s="10"/>
        <tr r="F27" s="11"/>
        <tr r="H46" s="13"/>
      </tp>
      <tp t="e">
        <v>#N/A</v>
        <stp/>
        <stp>BDH|4803241922641654732</stp>
        <tr r="Q77" s="34"/>
      </tp>
      <tp t="e">
        <v>#N/A</v>
        <stp/>
        <stp>BDH|8616394847119259412</stp>
        <tr r="H13" s="8"/>
      </tp>
      <tp t="e">
        <v>#N/A</v>
        <stp/>
        <stp>BDH|2907061413235009470</stp>
        <tr r="AA72" s="13"/>
      </tp>
      <tp t="e">
        <v>#N/A</v>
        <stp/>
        <stp>BDH|6563226355334938703</stp>
        <tr r="E42" s="18"/>
      </tp>
      <tp t="e">
        <v>#N/A</v>
        <stp/>
        <stp>BDH|4714623207166027693</stp>
        <tr r="X32" s="14"/>
      </tp>
      <tp t="e">
        <v>#N/A</v>
        <stp/>
        <stp>BDH|8292795072913765956</stp>
        <tr r="T93" s="24"/>
      </tp>
      <tp t="e">
        <v>#N/A</v>
        <stp/>
        <stp>BDH|6586388917885054318</stp>
        <tr r="L25" s="26"/>
      </tp>
      <tp t="e">
        <v>#N/A</v>
        <stp/>
        <stp>BDH|7211861688477649215</stp>
        <tr r="I42" s="21"/>
      </tp>
      <tp t="e">
        <v>#N/A</v>
        <stp/>
        <stp>BDH|1262488619054124298</stp>
        <tr r="G27" s="14"/>
      </tp>
      <tp t="e">
        <v>#N/A</v>
        <stp/>
        <stp>BDH|3087839478036710874</stp>
        <tr r="E22" s="21"/>
      </tp>
      <tp t="e">
        <v>#N/A</v>
        <stp/>
        <stp>BDH|7856908367309327378</stp>
        <tr r="V29" s="18"/>
      </tp>
      <tp t="e">
        <v>#N/A</v>
        <stp/>
        <stp>BDH|6496560519948534857</stp>
        <tr r="AA60" s="17"/>
      </tp>
      <tp t="e">
        <v>#N/A</v>
        <stp/>
        <stp>BDH|5447903391891822669</stp>
        <tr r="AA23" s="12"/>
      </tp>
      <tp t="e">
        <v>#N/A</v>
        <stp/>
        <stp>BDH|7039764615413946013</stp>
        <tr r="D29" s="22"/>
      </tp>
      <tp t="e">
        <v>#N/A</v>
        <stp/>
        <stp>BDH|8235631467779872355</stp>
        <tr r="AA93" s="12"/>
      </tp>
      <tp t="e">
        <v>#N/A</v>
        <stp/>
        <stp>BDH|4334783331606330422</stp>
        <tr r="X61" s="34"/>
      </tp>
      <tp t="e">
        <v>#N/A</v>
        <stp/>
        <stp>BDH|6885415311207789640</stp>
        <tr r="Y25" s="26"/>
      </tp>
      <tp t="e">
        <v>#N/A</v>
        <stp/>
        <stp>BDH|1807704091469459462</stp>
        <tr r="L20" s="2"/>
        <tr r="L18" s="4"/>
        <tr r="L58" s="10"/>
        <tr r="L48" s="11"/>
        <tr r="L19" s="7"/>
        <tr r="N74" s="13"/>
      </tp>
      <tp t="e">
        <v>#N/A</v>
        <stp/>
        <stp>BDH|4065955872768952056</stp>
        <tr r="Q27" s="22"/>
      </tp>
      <tp t="e">
        <v>#N/A</v>
        <stp/>
        <stp>BDH|3574460439677101107</stp>
        <tr r="I52" s="13"/>
      </tp>
      <tp t="e">
        <v>#N/A</v>
        <stp/>
        <stp>BDH|6059836566588723292</stp>
        <tr r="F34" s="21"/>
      </tp>
      <tp t="e">
        <v>#N/A</v>
        <stp/>
        <stp>BDH|9624230288147375652</stp>
        <tr r="S72" s="17"/>
      </tp>
      <tp t="e">
        <v>#N/A</v>
        <stp/>
        <stp>BDH|6517814801549765590</stp>
        <tr r="AA34" s="22"/>
      </tp>
      <tp t="e">
        <v>#N/A</v>
        <stp/>
        <stp>BDH|3638155539166471556</stp>
        <tr r="R53" s="24"/>
      </tp>
      <tp t="e">
        <v>#N/A</v>
        <stp/>
        <stp>BDH|3042361578854427116</stp>
        <tr r="P28" s="24"/>
      </tp>
      <tp t="e">
        <v>#N/A</v>
        <stp/>
        <stp>BDH|8329111435929949157</stp>
        <tr r="L7" s="17"/>
      </tp>
      <tp t="e">
        <v>#N/A</v>
        <stp/>
        <stp>BDH|6935074356936044733</stp>
        <tr r="U206" s="18"/>
      </tp>
      <tp t="e">
        <v>#N/A</v>
        <stp/>
        <stp>BDH|1820065801301341279</stp>
        <tr r="V67" s="12"/>
      </tp>
      <tp t="e">
        <v>#N/A</v>
        <stp/>
        <stp>BDH|9538633570209426399</stp>
        <tr r="E19" s="25"/>
      </tp>
      <tp t="e">
        <v>#N/A</v>
        <stp/>
        <stp>BDH|5966348634304565370</stp>
        <tr r="Q8" s="12"/>
      </tp>
      <tp t="e">
        <v>#N/A</v>
        <stp/>
        <stp>BDH|9782724907274179882</stp>
        <tr r="J9" s="34"/>
      </tp>
      <tp t="e">
        <v>#N/A</v>
        <stp/>
        <stp>BDH|3117333059567287024</stp>
        <tr r="J38" s="17"/>
      </tp>
      <tp t="e">
        <v>#N/A</v>
        <stp/>
        <stp>BDH|5760933479860025964</stp>
        <tr r="Q68" s="34"/>
      </tp>
      <tp t="e">
        <v>#N/A</v>
        <stp/>
        <stp>BDH|3158490962877874491</stp>
        <tr r="T19" s="22"/>
      </tp>
      <tp t="e">
        <v>#N/A</v>
        <stp/>
        <stp>BDH|4863976504967509853</stp>
        <tr r="Z195" s="18"/>
      </tp>
      <tp t="e">
        <v>#N/A</v>
        <stp/>
        <stp>BDH|9356608058238270025</stp>
        <tr r="O188" s="18"/>
      </tp>
      <tp t="e">
        <v>#N/A</v>
        <stp/>
        <stp>BDH|2145686240210446269</stp>
        <tr r="Q24" s="13"/>
      </tp>
      <tp t="e">
        <v>#N/A</v>
        <stp/>
        <stp>BDH|4838368649538827941</stp>
        <tr r="L59" s="12"/>
      </tp>
      <tp t="e">
        <v>#N/A</v>
        <stp/>
        <stp>BDH|3950515511622595773</stp>
        <tr r="D47" s="17"/>
      </tp>
      <tp t="e">
        <v>#N/A</v>
        <stp/>
        <stp>BDH|7506026070196520499</stp>
        <tr r="G28" s="4"/>
      </tp>
      <tp t="e">
        <v>#N/A</v>
        <stp/>
        <stp>BDH|7397109668095081704</stp>
        <tr r="V45" s="21"/>
      </tp>
      <tp t="e">
        <v>#N/A</v>
        <stp/>
        <stp>BDH|8119776969343430808</stp>
        <tr r="L40" s="17"/>
      </tp>
      <tp t="e">
        <v>#N/A</v>
        <stp/>
        <stp>BDH|8066431495320885753</stp>
        <tr r="M8" s="22"/>
      </tp>
      <tp t="e">
        <v>#N/A</v>
        <stp/>
        <stp>BDH|3170308128689131935</stp>
        <tr r="N64" s="10"/>
      </tp>
      <tp t="e">
        <v>#N/A</v>
        <stp/>
        <stp>BDH|1080437259260872294</stp>
        <tr r="P188" s="18"/>
      </tp>
      <tp t="e">
        <v>#N/A</v>
        <stp/>
        <stp>BDH|1801512010766490162</stp>
        <tr r="X20" s="25"/>
      </tp>
      <tp t="e">
        <v>#N/A</v>
        <stp/>
        <stp>BDH|7379648719362566004</stp>
        <tr r="F45" s="34"/>
      </tp>
      <tp t="e">
        <v>#N/A</v>
        <stp/>
        <stp>BDH|9283092881720058329</stp>
        <tr r="U12" s="24"/>
      </tp>
      <tp t="e">
        <v>#N/A</v>
        <stp/>
        <stp>BDH|5938676445562707741</stp>
        <tr r="R20" s="5"/>
      </tp>
      <tp t="e">
        <v>#N/A</v>
        <stp/>
        <stp>BDH|6148387602431433675</stp>
        <tr r="T25" s="12"/>
      </tp>
      <tp t="e">
        <v>#N/A</v>
        <stp/>
        <stp>BDH|8848476493744036347</stp>
        <tr r="X7" s="10"/>
      </tp>
      <tp t="e">
        <v>#N/A</v>
        <stp/>
        <stp>BDH|6288493013991266024</stp>
        <tr r="H54" s="24"/>
      </tp>
      <tp t="e">
        <v>#N/A</v>
        <stp/>
        <stp>BDH|1788919718122301950</stp>
        <tr r="N66" s="18"/>
      </tp>
      <tp t="e">
        <v>#N/A</v>
        <stp/>
        <stp>BDH|3125944981207811745</stp>
        <tr r="C21" s="5"/>
      </tp>
      <tp t="e">
        <v>#N/A</v>
        <stp/>
        <stp>BDH|3513258078786975299</stp>
        <tr r="X61" s="17"/>
      </tp>
      <tp t="e">
        <v>#N/A</v>
        <stp/>
        <stp>BDH|7207057709637572235</stp>
        <tr r="I44" s="34"/>
      </tp>
      <tp t="e">
        <v>#N/A</v>
        <stp/>
        <stp>BDH|2811994353025333995</stp>
        <tr r="Z150" s="18"/>
      </tp>
      <tp t="e">
        <v>#N/A</v>
        <stp/>
        <stp>BDH|5013741290520837944</stp>
        <tr r="Z74" s="34"/>
      </tp>
      <tp t="e">
        <v>#N/A</v>
        <stp/>
        <stp>BDH|9460186382783517134</stp>
        <tr r="I63" s="21"/>
      </tp>
      <tp t="e">
        <v>#N/A</v>
        <stp/>
        <stp>BDH|3619591117373767677</stp>
        <tr r="E9" s="34"/>
      </tp>
      <tp t="e">
        <v>#N/A</v>
        <stp/>
        <stp>BDH|4614791846254500147</stp>
        <tr r="Z75" s="12"/>
      </tp>
      <tp t="e">
        <v>#N/A</v>
        <stp/>
        <stp>BDH|2676198007090416149</stp>
        <tr r="X62" s="18"/>
      </tp>
      <tp t="e">
        <v>#N/A</v>
        <stp/>
        <stp>BDH|7869705134976555718</stp>
        <tr r="J60" s="12"/>
      </tp>
      <tp t="e">
        <v>#N/A</v>
        <stp/>
        <stp>BDH|1165027029115571471</stp>
        <tr r="D16" s="34"/>
      </tp>
      <tp t="e">
        <v>#N/A</v>
        <stp/>
        <stp>BDH|8534838218385398657</stp>
        <tr r="P9" s="21"/>
      </tp>
      <tp t="e">
        <v>#N/A</v>
        <stp/>
        <stp>BDH|8931981819721978394</stp>
        <tr r="C89" s="12"/>
      </tp>
      <tp t="e">
        <v>#N/A</v>
        <stp/>
        <stp>BDH|1230610106257559282</stp>
        <tr r="H20" s="18"/>
      </tp>
      <tp t="e">
        <v>#N/A</v>
        <stp/>
        <stp>BDH|8078220338963196831</stp>
        <tr r="Q34" s="26"/>
      </tp>
      <tp t="e">
        <v>#N/A</v>
        <stp/>
        <stp>BDH|2983332626316435703</stp>
        <tr r="M13" s="22"/>
      </tp>
      <tp t="e">
        <v>#N/A</v>
        <stp/>
        <stp>BDH|3425089096241300910</stp>
        <tr r="J206" s="18"/>
      </tp>
      <tp t="e">
        <v>#N/A</v>
        <stp/>
        <stp>BDH|6662271748577421559</stp>
        <tr r="N11" s="6"/>
      </tp>
      <tp t="e">
        <v>#N/A</v>
        <stp/>
        <stp>BDH|5394336948390123016</stp>
        <tr r="AA9" s="3"/>
        <tr r="Y51" s="10"/>
        <tr r="Y41" s="11"/>
        <tr r="Y14" s="7"/>
      </tp>
      <tp t="e">
        <v>#N/A</v>
        <stp/>
        <stp>BDH|7791049285995775896</stp>
        <tr r="I93" s="24"/>
      </tp>
      <tp t="e">
        <v>#N/A</v>
        <stp/>
        <stp>BDH|1711682330476754009</stp>
        <tr r="Z91" s="24"/>
      </tp>
      <tp t="e">
        <v>#N/A</v>
        <stp/>
        <stp>BDH|7179454599661388966</stp>
        <tr r="U35" s="12"/>
      </tp>
      <tp t="e">
        <v>#N/A</v>
        <stp/>
        <stp>BDH|4560313169791490210</stp>
        <tr r="Z72" s="17"/>
      </tp>
      <tp t="e">
        <v>#N/A</v>
        <stp/>
        <stp>BDH|8566178754438673687</stp>
        <tr r="Z13" s="34"/>
      </tp>
      <tp t="e">
        <v>#N/A</v>
        <stp/>
        <stp>BDH|1188814379378276432</stp>
        <tr r="L7" s="11"/>
      </tp>
      <tp t="e">
        <v>#N/A</v>
        <stp/>
        <stp>BDH|3951074905169724848</stp>
        <tr r="P26" s="13"/>
      </tp>
      <tp t="e">
        <v>#N/A</v>
        <stp/>
        <stp>BDH|7137692828838046980</stp>
        <tr r="C63" s="10"/>
      </tp>
      <tp t="e">
        <v>#N/A</v>
        <stp/>
        <stp>BDH|6059316471963068380</stp>
        <tr r="T16" s="12"/>
      </tp>
      <tp t="e">
        <v>#N/A</v>
        <stp/>
        <stp>BDH|7376348759922230149</stp>
        <tr r="S35" s="14"/>
      </tp>
      <tp t="e">
        <v>#N/A</v>
        <stp/>
        <stp>BDH|3925064366165898292</stp>
        <tr r="O64" s="10"/>
      </tp>
      <tp t="e">
        <v>#N/A</v>
        <stp/>
        <stp>BDH|1669753073867026483</stp>
        <tr r="M11" s="22"/>
      </tp>
      <tp t="e">
        <v>#N/A</v>
        <stp/>
        <stp>BDH|4230380330310585677</stp>
        <tr r="X34" s="21"/>
      </tp>
      <tp t="e">
        <v>#N/A</v>
        <stp/>
        <stp>BDH|6801853176908020337</stp>
        <tr r="U63" s="17"/>
      </tp>
      <tp t="e">
        <v>#N/A</v>
        <stp/>
        <stp>BDH|2785136151507841351</stp>
        <tr r="C16" s="13"/>
        <tr r="C30" s="13"/>
      </tp>
      <tp t="e">
        <v>#N/A</v>
        <stp/>
        <stp>BDH|5850010927394031174</stp>
        <tr r="K40" s="17"/>
      </tp>
      <tp t="e">
        <v>#N/A</v>
        <stp/>
        <stp>BDH|6425451160080068685</stp>
        <tr r="S86" s="17"/>
      </tp>
      <tp t="e">
        <v>#N/A</v>
        <stp/>
        <stp>BDH|4377347212173597798</stp>
        <tr r="AA16" s="23"/>
      </tp>
      <tp t="e">
        <v>#N/A</v>
        <stp/>
        <stp>BDH|3556055183200919933</stp>
        <tr r="H33" s="22"/>
      </tp>
      <tp t="e">
        <v>#N/A</v>
        <stp/>
        <stp>BDH|4959711265737030040</stp>
        <tr r="R29" s="21"/>
      </tp>
      <tp t="e">
        <v>#N/A</v>
        <stp/>
        <stp>BDH|1670691097499540546</stp>
        <tr r="R26" s="13"/>
      </tp>
      <tp t="e">
        <v>#N/A</v>
        <stp/>
        <stp>BDH|5374506617227491499</stp>
        <tr r="K27" s="26"/>
      </tp>
      <tp t="e">
        <v>#N/A</v>
        <stp/>
        <stp>BDH|6757926829207062854</stp>
        <tr r="P28" s="14"/>
      </tp>
      <tp t="e">
        <v>#N/A</v>
        <stp/>
        <stp>BDH|8476806736095231491</stp>
        <tr r="X115" s="18"/>
      </tp>
      <tp t="e">
        <v>#N/A</v>
        <stp/>
        <stp>BDH|5245533001964054699</stp>
        <tr r="F196" s="18"/>
      </tp>
      <tp t="e">
        <v>#N/A</v>
        <stp/>
        <stp>BDH|7620405710866686695</stp>
        <tr r="L152" s="18"/>
      </tp>
      <tp t="e">
        <v>#N/A</v>
        <stp/>
        <stp>BDH|6164828692401992411</stp>
        <tr r="O28" s="12"/>
      </tp>
      <tp t="e">
        <v>#N/A</v>
        <stp/>
        <stp>BDH|3165712281099843702</stp>
        <tr r="E16" s="26"/>
      </tp>
      <tp t="e">
        <v>#N/A</v>
        <stp/>
        <stp>BDH|1338992873469292429</stp>
        <tr r="Y27" s="10"/>
        <tr r="AA36" s="13"/>
      </tp>
      <tp t="e">
        <v>#N/A</v>
        <stp/>
        <stp>BDH|5029655030495514797</stp>
        <tr r="W18" s="13"/>
      </tp>
      <tp t="e">
        <v>#N/A</v>
        <stp/>
        <stp>BDH|3421522303174573093</stp>
        <tr r="D64" s="12"/>
      </tp>
      <tp t="e">
        <v>#N/A</v>
        <stp/>
        <stp>BDH|3581820399447780701</stp>
        <tr r="I17" s="23"/>
      </tp>
      <tp t="e">
        <v>#N/A</v>
        <stp/>
        <stp>BDH|9970590769298969096</stp>
        <tr r="N9" s="28"/>
      </tp>
      <tp t="e">
        <v>#N/A</v>
        <stp/>
        <stp>BDH|3561324935882364388</stp>
        <tr r="L28" s="4"/>
      </tp>
      <tp t="e">
        <v>#N/A</v>
        <stp/>
        <stp>BDH|6722206477128941905</stp>
        <tr r="D195" s="18"/>
      </tp>
      <tp t="e">
        <v>#N/A</v>
        <stp/>
        <stp>BDH|5233076179633431317</stp>
        <tr r="Y18" s="20"/>
      </tp>
      <tp t="e">
        <v>#N/A</v>
        <stp/>
        <stp>BDH|7554096625130541750</stp>
        <tr r="G23" s="18"/>
      </tp>
      <tp t="e">
        <v>#N/A</v>
        <stp/>
        <stp>BDH|2839623725150244443</stp>
        <tr r="K44" s="12"/>
      </tp>
      <tp t="e">
        <v>#N/A</v>
        <stp/>
        <stp>BDH|4371556727394024586</stp>
        <tr r="AA47" s="24"/>
      </tp>
      <tp t="e">
        <v>#N/A</v>
        <stp/>
        <stp>BDH|6505388754131610361</stp>
        <tr r="O26" s="18"/>
      </tp>
      <tp t="e">
        <v>#N/A</v>
        <stp/>
        <stp>BDH|6260441868437728108</stp>
        <tr r="K176" s="18"/>
      </tp>
      <tp t="e">
        <v>#N/A</v>
        <stp/>
        <stp>BDH|7869402335761398372</stp>
        <tr r="T36" s="10"/>
        <tr r="T48" s="10"/>
        <tr r="T26" s="11"/>
        <tr r="T38" s="11"/>
      </tp>
      <tp t="e">
        <v>#N/A</v>
        <stp/>
        <stp>BDH|8540989720742316370</stp>
        <tr r="L12" s="24"/>
      </tp>
      <tp t="e">
        <v>#N/A</v>
        <stp/>
        <stp>BDH|8015812316841715291</stp>
        <tr r="J102" s="12"/>
      </tp>
      <tp t="e">
        <v>#N/A</v>
        <stp/>
        <stp>BDH|4100191156520163269</stp>
        <tr r="Q64" s="10"/>
      </tp>
      <tp t="e">
        <v>#N/A</v>
        <stp/>
        <stp>BDH|2555451652277254699</stp>
        <tr r="P18" s="10"/>
      </tp>
      <tp t="e">
        <v>#N/A</v>
        <stp/>
        <stp>BDH|4883368603871552411</stp>
        <tr r="Y51" s="13"/>
      </tp>
      <tp t="e">
        <v>#N/A</v>
        <stp/>
        <stp>BDH|1181434132787825315</stp>
        <tr r="L17" s="4"/>
        <tr r="N10" s="3"/>
        <tr r="L56" s="10"/>
        <tr r="L46" s="11"/>
        <tr r="L17" s="7"/>
        <tr r="N61" s="13"/>
      </tp>
      <tp t="e">
        <v>#N/A</v>
        <stp/>
        <stp>BDH|1682614078363387158</stp>
        <tr r="E193" s="18"/>
      </tp>
      <tp t="e">
        <v>#N/A</v>
        <stp/>
        <stp>BDH|4804650213501335049</stp>
        <tr r="Y28" s="21"/>
      </tp>
      <tp t="e">
        <v>#N/A</v>
        <stp/>
        <stp>BDH|5786487655721067730</stp>
        <tr r="V177" s="18"/>
      </tp>
      <tp t="e">
        <v>#N/A</v>
        <stp/>
        <stp>BDH|2293292842780964694</stp>
        <tr r="V47" s="24"/>
      </tp>
      <tp t="e">
        <v>#N/A</v>
        <stp/>
        <stp>BDH|3908753892946047970</stp>
        <tr r="V83" s="18"/>
      </tp>
      <tp t="e">
        <v>#N/A</v>
        <stp/>
        <stp>BDH|6778669508767737574</stp>
        <tr r="I28" s="18"/>
      </tp>
      <tp t="e">
        <v>#N/A</v>
        <stp/>
        <stp>BDH|6003930119468460403</stp>
        <tr r="F202" s="18"/>
      </tp>
      <tp t="e">
        <v>#N/A</v>
        <stp/>
        <stp>BDH|1019074943861890625</stp>
        <tr r="X197" s="18"/>
      </tp>
      <tp t="e">
        <v>#N/A</v>
        <stp/>
        <stp>BDH|4275439730833631294</stp>
        <tr r="T13" s="34"/>
      </tp>
      <tp t="e">
        <v>#N/A</v>
        <stp/>
        <stp>BDH|6073031341093453382</stp>
        <tr r="Z78" s="18"/>
      </tp>
      <tp t="e">
        <v>#N/A</v>
        <stp/>
        <stp>BDH|9775535531435255893</stp>
        <tr r="Z17" s="14"/>
      </tp>
      <tp t="e">
        <v>#N/A</v>
        <stp/>
        <stp>BDH|7218236267352161392</stp>
        <tr r="N93" s="18"/>
      </tp>
      <tp t="e">
        <v>#N/A</v>
        <stp/>
        <stp>BDH|3039511829043272546</stp>
        <tr r="X33" s="9"/>
      </tp>
      <tp t="e">
        <v>#N/A</v>
        <stp/>
        <stp>BDH|5486210507962916753</stp>
        <tr r="J44" s="6"/>
      </tp>
      <tp t="e">
        <v>#N/A</v>
        <stp/>
        <stp>BDH|4911810306708428647</stp>
        <tr r="E13" s="21"/>
      </tp>
      <tp t="e">
        <v>#N/A</v>
        <stp/>
        <stp>BDH|8713270299339727802</stp>
        <tr r="C38" s="13"/>
      </tp>
      <tp t="e">
        <v>#N/A</v>
        <stp/>
        <stp>BDH|2962451018264876120</stp>
        <tr r="Y83" s="17"/>
      </tp>
      <tp t="e">
        <v>#N/A</v>
        <stp/>
        <stp>BDH|8561892520704147435</stp>
        <tr r="P15" s="10"/>
      </tp>
      <tp t="e">
        <v>#N/A</v>
        <stp/>
        <stp>BDH|3199889490420303046</stp>
        <tr r="H82" s="24"/>
      </tp>
      <tp t="e">
        <v>#N/A</v>
        <stp/>
        <stp>BDH|5236196220475549107</stp>
        <tr r="I105" s="18"/>
      </tp>
      <tp t="e">
        <v>#N/A</v>
        <stp/>
        <stp>BDH|4430690774994305348</stp>
        <tr r="C63" s="24"/>
      </tp>
      <tp t="e">
        <v>#N/A</v>
        <stp/>
        <stp>BDH|2994925224879250234</stp>
        <tr r="L13" s="34"/>
      </tp>
      <tp t="e">
        <v>#N/A</v>
        <stp/>
        <stp>BDH|2238213303943845168</stp>
        <tr r="O24" s="10"/>
      </tp>
      <tp t="e">
        <v>#N/A</v>
        <stp/>
        <stp>BDH|9348054399765079714</stp>
        <tr r="L27" s="24"/>
      </tp>
      <tp t="e">
        <v>#N/A</v>
        <stp/>
        <stp>BDH|7485951556030195984</stp>
        <tr r="V33" s="21"/>
      </tp>
      <tp t="e">
        <v>#N/A</v>
        <stp/>
        <stp>BDH|1965626613736212242</stp>
        <tr r="N71" s="13"/>
      </tp>
      <tp t="e">
        <v>#N/A</v>
        <stp/>
        <stp>BDH|5273212242877815678</stp>
        <tr r="H58" s="17"/>
      </tp>
      <tp t="e">
        <v>#N/A</v>
        <stp/>
        <stp>BDH|5600031868602120321</stp>
        <tr r="Q96" s="12"/>
      </tp>
      <tp t="e">
        <v>#N/A</v>
        <stp/>
        <stp>BDH|8198495791424178368</stp>
        <tr r="I115" s="18"/>
      </tp>
      <tp t="e">
        <v>#N/A</v>
        <stp/>
        <stp>BDH|5321269451426281680</stp>
        <tr r="U17" s="30"/>
      </tp>
      <tp t="e">
        <v>#N/A</v>
        <stp/>
        <stp>BDH|1217323314638210982</stp>
        <tr r="Z26" s="17"/>
      </tp>
      <tp t="e">
        <v>#N/A</v>
        <stp/>
        <stp>BDH|4598441165481896523</stp>
        <tr r="X22" s="30"/>
        <tr r="X24" s="23"/>
      </tp>
      <tp t="e">
        <v>#N/A</v>
        <stp/>
        <stp>BDH|1821118900544497630</stp>
        <tr r="E87" s="12"/>
      </tp>
      <tp t="e">
        <v>#N/A</v>
        <stp/>
        <stp>BDH|6549128044746545786</stp>
        <tr r="I75" s="17"/>
      </tp>
      <tp t="e">
        <v>#N/A</v>
        <stp/>
        <stp>BDH|6923643546861798729</stp>
        <tr r="Q11" s="28"/>
      </tp>
      <tp t="e">
        <v>#N/A</v>
        <stp/>
        <stp>BDH|7600581988979876106</stp>
        <tr r="X18" s="23"/>
      </tp>
      <tp t="e">
        <v>#N/A</v>
        <stp/>
        <stp>BDH|9942129399265835644</stp>
        <tr r="D23" s="14"/>
      </tp>
      <tp t="e">
        <v>#N/A</v>
        <stp/>
        <stp>BDH|2892065570404573354</stp>
        <tr r="K38" s="4"/>
        <tr r="K56" s="11"/>
        <tr r="M13" s="23"/>
      </tp>
      <tp t="e">
        <v>#N/A</v>
        <stp/>
        <stp>BDH|3880168171852837590</stp>
        <tr r="X43" s="24"/>
      </tp>
      <tp t="e">
        <v>#N/A</v>
        <stp/>
        <stp>BDH|3515689743743774075</stp>
        <tr r="F6" s="19"/>
        <tr r="F34" s="17"/>
        <tr r="F16" s="3"/>
      </tp>
      <tp t="e">
        <v>#N/A</v>
        <stp/>
        <stp>BDH|6259654622426310689</stp>
        <tr r="Y28" s="27"/>
      </tp>
      <tp t="e">
        <v>#N/A</v>
        <stp/>
        <stp>BDH|6231207168929489908</stp>
        <tr r="V49" s="6"/>
        <tr r="X10" s="8"/>
      </tp>
      <tp t="e">
        <v>#N/A</v>
        <stp/>
        <stp>BDH|1294494896807224918</stp>
        <tr r="R57" s="24"/>
      </tp>
      <tp t="e">
        <v>#N/A</v>
        <stp/>
        <stp>BDH|4685590623217025626</stp>
        <tr r="M45" s="21"/>
      </tp>
      <tp t="e">
        <v>#N/A</v>
        <stp/>
        <stp>BDH|7834318460356165660</stp>
        <tr r="G64" s="24"/>
      </tp>
      <tp t="e">
        <v>#N/A</v>
        <stp/>
        <stp>BDH|7305459246317944270</stp>
        <tr r="U20" s="25"/>
      </tp>
      <tp t="e">
        <v>#N/A</v>
        <stp/>
        <stp>BDH|7726035797249987543</stp>
        <tr r="E48" s="6"/>
        <tr r="G9" s="8"/>
      </tp>
      <tp t="e">
        <v>#N/A</v>
        <stp/>
        <stp>BDH|3261095240426374371</stp>
        <tr r="T25" s="10"/>
        <tr r="V34" s="13"/>
      </tp>
      <tp t="e">
        <v>#N/A</v>
        <stp/>
        <stp>BDH|5519999805347786912</stp>
        <tr r="W15" s="14"/>
      </tp>
      <tp t="e">
        <v>#N/A</v>
        <stp/>
        <stp>BDH|4394635219210269149</stp>
        <tr r="M11" s="28"/>
      </tp>
      <tp t="e">
        <v>#N/A</v>
        <stp/>
        <stp>BDH|3853666952534632654</stp>
        <tr r="D27" s="25"/>
        <tr r="D13" s="27"/>
      </tp>
      <tp t="e">
        <v>#N/A</v>
        <stp/>
        <stp>BDH|9539298291258209809</stp>
        <tr r="I139" s="18"/>
      </tp>
      <tp t="e">
        <v>#N/A</v>
        <stp/>
        <stp>BDH|1385841168925388838</stp>
        <tr r="P34" s="14"/>
      </tp>
      <tp t="e">
        <v>#N/A</v>
        <stp/>
        <stp>BDH|4903416977752591758</stp>
        <tr r="F54" s="13"/>
      </tp>
      <tp t="e">
        <v>#N/A</v>
        <stp/>
        <stp>BDH|2618537058769405961</stp>
        <tr r="Y58" s="11"/>
        <tr r="AA19" s="23"/>
      </tp>
      <tp t="e">
        <v>#N/A</v>
        <stp/>
        <stp>BDH|5477700777346844143</stp>
        <tr r="W30" s="22"/>
      </tp>
      <tp t="e">
        <v>#N/A</v>
        <stp/>
        <stp>BDH|5866562344262063453</stp>
        <tr r="I198" s="18"/>
      </tp>
      <tp t="e">
        <v>#N/A</v>
        <stp/>
        <stp>BDH|3079435803807792280</stp>
        <tr r="U6" s="15"/>
        <tr r="U12" s="2"/>
        <tr r="U11" s="4"/>
        <tr r="U6" s="10"/>
      </tp>
      <tp t="e">
        <v>#N/A</v>
        <stp/>
        <stp>BDH|5499642869982227543</stp>
        <tr r="AA12" s="25"/>
      </tp>
      <tp t="e">
        <v>#N/A</v>
        <stp/>
        <stp>BDH|6462954355941990927</stp>
        <tr r="C35" s="24"/>
      </tp>
      <tp t="e">
        <v>#N/A</v>
        <stp/>
        <stp>BDH|6964041640469151933</stp>
        <tr r="T84" s="12"/>
      </tp>
      <tp t="e">
        <v>#N/A</v>
        <stp/>
        <stp>BDH|4741435168553194729</stp>
        <tr r="U51" s="24"/>
      </tp>
      <tp t="e">
        <v>#N/A</v>
        <stp/>
        <stp>BDH|8001812128479343955</stp>
        <tr r="H24" s="24"/>
      </tp>
      <tp t="e">
        <v>#N/A</v>
        <stp/>
        <stp>BDH|2250877662918842608</stp>
        <tr r="Y9" s="12"/>
      </tp>
      <tp t="e">
        <v>#N/A</v>
        <stp/>
        <stp>BDH|2842411307900024419</stp>
        <tr r="I37" s="26"/>
      </tp>
      <tp t="e">
        <v>#N/A</v>
        <stp/>
        <stp>BDH|7655513675344440396</stp>
        <tr r="Q59" s="17"/>
      </tp>
      <tp t="e">
        <v>#N/A</v>
        <stp/>
        <stp>BDH|3554172049424746030</stp>
        <tr r="U18" s="25"/>
      </tp>
      <tp t="e">
        <v>#N/A</v>
        <stp/>
        <stp>BDH|2561073051917521299</stp>
        <tr r="J60" s="17"/>
      </tp>
      <tp t="e">
        <v>#N/A</v>
        <stp/>
        <stp>BDH|7844318070918378955</stp>
        <tr r="X38" s="26"/>
      </tp>
      <tp t="e">
        <v>#N/A</v>
        <stp/>
        <stp>BDH|3534657300187704082</stp>
        <tr r="U15" s="25"/>
      </tp>
      <tp t="e">
        <v>#N/A</v>
        <stp/>
        <stp>BDH|8887276262376121839</stp>
        <tr r="I188" s="18"/>
      </tp>
      <tp t="e">
        <v>#N/A</v>
        <stp/>
        <stp>BDH|4568684703526673676</stp>
        <tr r="C71" s="17"/>
      </tp>
      <tp t="e">
        <v>#N/A</v>
        <stp/>
        <stp>BDH|5959644432231891383</stp>
        <tr r="M92" s="17"/>
        <tr r="M7" s="27"/>
      </tp>
      <tp t="e">
        <v>#N/A</v>
        <stp/>
        <stp>BDH|8580784296671372575</stp>
        <tr r="Y76" s="34"/>
      </tp>
      <tp t="e">
        <v>#N/A</v>
        <stp/>
        <stp>BDH|6029627629387386776</stp>
        <tr r="I13" s="18"/>
      </tp>
      <tp t="e">
        <v>#N/A</v>
        <stp/>
        <stp>BDH|8995746055199340142</stp>
        <tr r="G26" s="7"/>
      </tp>
      <tp t="e">
        <v>#N/A</v>
        <stp/>
        <stp>BDH|6339038243437875740</stp>
        <tr r="X6" s="19"/>
        <tr r="X34" s="17"/>
        <tr r="X16" s="3"/>
      </tp>
      <tp t="e">
        <v>#N/A</v>
        <stp/>
        <stp>BDH|9433473652422982876</stp>
        <tr r="F91" s="12"/>
      </tp>
      <tp t="e">
        <v>#N/A</v>
        <stp/>
        <stp>BDH|7734937034779715688</stp>
        <tr r="E23" s="24"/>
      </tp>
      <tp t="e">
        <v>#N/A</v>
        <stp/>
        <stp>BDH|8706425823418933408</stp>
        <tr r="Q21" s="3"/>
      </tp>
      <tp t="e">
        <v>#N/A</v>
        <stp/>
        <stp>BDH|4759953119549015748</stp>
        <tr r="Z13" s="29"/>
        <tr r="Z22" s="29"/>
        <tr r="Z36" s="29"/>
      </tp>
      <tp t="e">
        <v>#N/A</v>
        <stp/>
        <stp>BDH|8403699629236826834</stp>
        <tr r="E9" s="28"/>
      </tp>
      <tp t="e">
        <v>#N/A</v>
        <stp/>
        <stp>BDH|6487084301333021721</stp>
        <tr r="O134" s="18"/>
      </tp>
      <tp t="e">
        <v>#N/A</v>
        <stp/>
        <stp>BDH|5869679429171912200</stp>
        <tr r="K52" s="6"/>
      </tp>
      <tp t="e">
        <v>#N/A</v>
        <stp/>
        <stp>BDH|6703109051219972902</stp>
        <tr r="K83" s="18"/>
      </tp>
      <tp t="e">
        <v>#N/A</v>
        <stp/>
        <stp>BDH|8304836796153984801</stp>
        <tr r="M21" s="27"/>
      </tp>
      <tp t="e">
        <v>#N/A</v>
        <stp/>
        <stp>BDH|9784242232129837366</stp>
        <tr r="Q39" s="25"/>
        <tr r="Q7" s="3"/>
        <tr r="O17" s="11"/>
        <tr r="Q22" s="13"/>
        <tr r="Q7" s="13"/>
      </tp>
      <tp t="e">
        <v>#N/A</v>
        <stp/>
        <stp>BDH|1649254409321640039</stp>
        <tr r="N28" s="22"/>
      </tp>
      <tp t="e">
        <v>#N/A</v>
        <stp/>
        <stp>BDH|8684586948029150285</stp>
        <tr r="U23" s="6"/>
      </tp>
      <tp t="e">
        <v>#N/A</v>
        <stp/>
        <stp>BDH|2905633080027713913</stp>
        <tr r="O70" s="24"/>
      </tp>
      <tp t="e">
        <v>#N/A</v>
        <stp/>
        <stp>BDH|7935179036615082245</stp>
        <tr r="F8" s="12"/>
      </tp>
      <tp t="e">
        <v>#N/A</v>
        <stp/>
        <stp>BDH|8583935349480001738</stp>
        <tr r="I70" s="17"/>
      </tp>
      <tp t="e">
        <v>#N/A</v>
        <stp/>
        <stp>BDH|8852415192122295558</stp>
        <tr r="D42" s="22"/>
      </tp>
      <tp t="e">
        <v>#N/A</v>
        <stp/>
        <stp>BDH|1155444035131881548</stp>
        <tr r="S51" s="21"/>
      </tp>
      <tp t="e">
        <v>#N/A</v>
        <stp/>
        <stp>BDH|3207587530414732310</stp>
        <tr r="M49" s="22"/>
      </tp>
      <tp t="e">
        <v>#N/A</v>
        <stp/>
        <stp>BDH|4399126552642706089</stp>
        <tr r="Q170" s="18"/>
      </tp>
      <tp t="e">
        <v>#N/A</v>
        <stp/>
        <stp>BDH|5871634116818438858</stp>
        <tr r="T7" s="30"/>
      </tp>
      <tp t="e">
        <v>#N/A</v>
        <stp/>
        <stp>BDH|6776374277960900029</stp>
        <tr r="Y42" s="12"/>
      </tp>
      <tp t="e">
        <v>#N/A</v>
        <stp/>
        <stp>BDH|7521796667854260059</stp>
        <tr r="G50" s="4"/>
      </tp>
      <tp t="e">
        <v>#N/A</v>
        <stp/>
        <stp>BDH|3164326364336968226</stp>
        <tr r="X187" s="18"/>
      </tp>
      <tp t="e">
        <v>#N/A</v>
        <stp/>
        <stp>BDH|5544684818167037791</stp>
        <tr r="V10" s="17"/>
      </tp>
      <tp t="e">
        <v>#N/A</v>
        <stp/>
        <stp>BDH|3541686655597405504</stp>
        <tr r="M8" s="8"/>
      </tp>
      <tp t="e">
        <v>#N/A</v>
        <stp/>
        <stp>BDH|7516105170717010490</stp>
        <tr r="Y49" s="21"/>
      </tp>
      <tp t="e">
        <v>#N/A</v>
        <stp/>
        <stp>BDH|9764566983787933176</stp>
        <tr r="W34" s="22"/>
      </tp>
      <tp t="e">
        <v>#N/A</v>
        <stp/>
        <stp>BDH|7366291872291050142</stp>
        <tr r="I70" s="13"/>
      </tp>
      <tp t="e">
        <v>#N/A</v>
        <stp/>
        <stp>BDH|9962207583563723214</stp>
        <tr r="R98" s="18"/>
      </tp>
      <tp t="e">
        <v>#N/A</v>
        <stp/>
        <stp>BDH|2238043447550437494</stp>
        <tr r="Y20" s="34"/>
      </tp>
      <tp t="e">
        <v>#N/A</v>
        <stp/>
        <stp>BDH|7390197350395785417</stp>
        <tr r="AA47" s="18"/>
      </tp>
      <tp t="e">
        <v>#N/A</v>
        <stp/>
        <stp>BDH|5831423074433738755</stp>
        <tr r="N25" s="18"/>
      </tp>
      <tp t="e">
        <v>#N/A</v>
        <stp/>
        <stp>BDH|3963095114645050585</stp>
        <tr r="M8" s="21"/>
      </tp>
      <tp t="e">
        <v>#N/A</v>
        <stp/>
        <stp>BDH|2307566519562553653</stp>
        <tr r="P47" s="24"/>
      </tp>
      <tp t="e">
        <v>#N/A</v>
        <stp/>
        <stp>BDH|9876259605529399077</stp>
        <tr r="G9" s="11"/>
      </tp>
      <tp t="e">
        <v>#N/A</v>
        <stp/>
        <stp>BDH|6289501776233891506</stp>
        <tr r="H73" s="10"/>
        <tr r="H63" s="11"/>
      </tp>
      <tp t="e">
        <v>#N/A</v>
        <stp/>
        <stp>BDH|8465086796950259348</stp>
        <tr r="O152" s="18"/>
      </tp>
      <tp t="e">
        <v>#N/A</v>
        <stp/>
        <stp>BDH|1939900493353162072</stp>
        <tr r="Y30" s="26"/>
      </tp>
      <tp t="e">
        <v>#N/A</v>
        <stp/>
        <stp>BDH|2239266455411818657</stp>
        <tr r="K10" s="4"/>
        <tr r="J6" s="16"/>
        <tr r="M6" s="3"/>
        <tr r="K6" s="11"/>
      </tp>
      <tp t="e">
        <v>#N/A</v>
        <stp/>
        <stp>BDH|8898371660388150729</stp>
        <tr r="E64" s="12"/>
      </tp>
      <tp t="e">
        <v>#N/A</v>
        <stp/>
        <stp>BDH|3925639573555088551</stp>
        <tr r="T35" s="22"/>
      </tp>
      <tp t="e">
        <v>#N/A</v>
        <stp/>
        <stp>BDH|3818002400608402902</stp>
        <tr r="E100" s="12"/>
      </tp>
      <tp t="e">
        <v>#N/A</v>
        <stp/>
        <stp>BDH|8540390729282068996</stp>
        <tr r="P12" s="7"/>
      </tp>
      <tp t="e">
        <v>#N/A</v>
        <stp/>
        <stp>BDH|2005220888629494329</stp>
        <tr r="F35" s="34"/>
      </tp>
      <tp t="e">
        <v>#N/A</v>
        <stp/>
        <stp>BDH|7330043646840963146</stp>
        <tr r="O28" s="6"/>
      </tp>
      <tp t="e">
        <v>#N/A</v>
        <stp/>
        <stp>BDH|4082582225417030616</stp>
        <tr r="U28" s="13"/>
      </tp>
      <tp t="e">
        <v>#N/A</v>
        <stp/>
        <stp>BDH|3008069634515629784</stp>
        <tr r="M22" s="11"/>
      </tp>
      <tp t="e">
        <v>#N/A</v>
        <stp/>
        <stp>BDH|6491704452576841026</stp>
        <tr r="K9" s="13"/>
      </tp>
      <tp t="e">
        <v>#N/A</v>
        <stp/>
        <stp>BDH|4369191767329695877</stp>
        <tr r="H31" s="9"/>
      </tp>
      <tp t="e">
        <v>#N/A</v>
        <stp/>
        <stp>BDH|6477796920707685674</stp>
        <tr r="AA30" s="34"/>
      </tp>
      <tp t="e">
        <v>#N/A</v>
        <stp/>
        <stp>BDH|1105459097698868674</stp>
        <tr r="R32" s="34"/>
      </tp>
      <tp t="e">
        <v>#N/A</v>
        <stp/>
        <stp>BDH|6565367974550309089</stp>
        <tr r="V48" s="12"/>
      </tp>
      <tp t="e">
        <v>#N/A</v>
        <stp/>
        <stp>BDH|7679899193487140313</stp>
        <tr r="Q14" s="24"/>
      </tp>
      <tp t="e">
        <v>#N/A</v>
        <stp/>
        <stp>BDH|5112534815002910129</stp>
        <tr r="R16" s="23"/>
      </tp>
      <tp t="e">
        <v>#N/A</v>
        <stp/>
        <stp>BDH|9189456546678960372</stp>
        <tr r="H16" s="23"/>
      </tp>
      <tp t="e">
        <v>#N/A</v>
        <stp/>
        <stp>BDH|5043699269074472385</stp>
        <tr r="H54" s="11"/>
      </tp>
      <tp t="e">
        <v>#N/A</v>
        <stp/>
        <stp>BDH|5594185083078517672</stp>
        <tr r="S9" s="11"/>
      </tp>
      <tp t="e">
        <v>#N/A</v>
        <stp/>
        <stp>BDH|5833729784458322012</stp>
        <tr r="U36" s="4"/>
      </tp>
      <tp t="e">
        <v>#N/A</v>
        <stp/>
        <stp>BDH|8884031457287666863</stp>
        <tr r="O54" s="24"/>
      </tp>
      <tp t="e">
        <v>#N/A</v>
        <stp/>
        <stp>BDH|3170192808076820649</stp>
        <tr r="J88" s="18"/>
      </tp>
      <tp t="e">
        <v>#N/A</v>
        <stp/>
        <stp>BDH|4886236197065774868</stp>
        <tr r="F11" s="18"/>
      </tp>
      <tp t="e">
        <v>#N/A</v>
        <stp/>
        <stp>BDH|5355601272647979154</stp>
        <tr r="I9" s="29"/>
      </tp>
      <tp t="e">
        <v>#N/A</v>
        <stp/>
        <stp>BDH|2035373014354946677</stp>
        <tr r="I42" s="24"/>
      </tp>
      <tp t="e">
        <v>#N/A</v>
        <stp/>
        <stp>BDH|2358782765049408877</stp>
        <tr r="X22" s="27"/>
      </tp>
      <tp t="e">
        <v>#N/A</v>
        <stp/>
        <stp>BDH|5364247878763515177</stp>
        <tr r="E21" s="34"/>
      </tp>
      <tp t="e">
        <v>#N/A</v>
        <stp/>
        <stp>BDH|2496117916838828867</stp>
        <tr r="Z183" s="18"/>
      </tp>
      <tp t="e">
        <v>#N/A</v>
        <stp/>
        <stp>BDH|4880507113923541131</stp>
        <tr r="L18" s="2"/>
        <tr r="L53" s="4"/>
        <tr r="L46" s="10"/>
        <tr r="L36" s="11"/>
        <tr r="N58" s="13"/>
      </tp>
      <tp t="e">
        <v>#N/A</v>
        <stp/>
        <stp>BDH|2576271803651816342</stp>
        <tr r="R74" s="24"/>
      </tp>
      <tp t="e">
        <v>#N/A</v>
        <stp/>
        <stp>BDH|4277461020314031494</stp>
        <tr r="C19" s="21"/>
        <tr r="C23" s="3"/>
      </tp>
      <tp t="e">
        <v>#N/A</v>
        <stp/>
        <stp>BDH|9563392582756273616</stp>
        <tr r="U46" s="18"/>
      </tp>
      <tp t="e">
        <v>#N/A</v>
        <stp/>
        <stp>BDH|2960717485307727872</stp>
        <tr r="I26" s="25"/>
        <tr r="I12" s="27"/>
      </tp>
      <tp t="e">
        <v>#N/A</v>
        <stp/>
        <stp>BDH|5478594660566364232</stp>
        <tr r="J106" s="18"/>
      </tp>
      <tp t="e">
        <v>#N/A</v>
        <stp/>
        <stp>BDH|7018111073244670797</stp>
        <tr r="G10" s="11"/>
      </tp>
      <tp t="e">
        <v>#N/A</v>
        <stp/>
        <stp>BDH|2977265203777638574</stp>
        <tr r="V15" s="14"/>
      </tp>
      <tp t="e">
        <v>#N/A</v>
        <stp/>
        <stp>BDH|1864751165784602635</stp>
        <tr r="Z95" s="12"/>
      </tp>
      <tp t="e">
        <v>#N/A</v>
        <stp/>
        <stp>BDH|3857113957922495773</stp>
        <tr r="X18" s="11"/>
      </tp>
      <tp t="e">
        <v>#N/A</v>
        <stp/>
        <stp>BDH|2750240794788304397</stp>
        <tr r="D187" s="18"/>
      </tp>
      <tp t="e">
        <v>#N/A</v>
        <stp/>
        <stp>BDH|8631306889836691741</stp>
        <tr r="D52" s="34"/>
      </tp>
      <tp t="e">
        <v>#N/A</v>
        <stp/>
        <stp>BDH|4642401468130555466</stp>
        <tr r="Z36" s="21"/>
      </tp>
      <tp t="e">
        <v>#N/A</v>
        <stp/>
        <stp>BDH|5328703677581119682</stp>
        <tr r="P48" s="13"/>
      </tp>
      <tp t="e">
        <v>#N/A</v>
        <stp/>
        <stp>BDH|3379550804094601090</stp>
        <tr r="S30" s="26"/>
      </tp>
      <tp t="e">
        <v>#N/A</v>
        <stp/>
        <stp>BDH|3735597451076421760</stp>
        <tr r="W211" s="18"/>
      </tp>
      <tp t="e">
        <v>#N/A</v>
        <stp/>
        <stp>BDH|3205084146127506243</stp>
        <tr r="X26" s="25"/>
        <tr r="X12" s="27"/>
      </tp>
      <tp t="e">
        <v>#N/A</v>
        <stp/>
        <stp>BDH|4909178152193672178</stp>
        <tr r="V26" s="27"/>
      </tp>
      <tp t="e">
        <v>#N/A</v>
        <stp/>
        <stp>BDH|6483488195690425902</stp>
        <tr r="S7" s="23"/>
      </tp>
      <tp t="e">
        <v>#N/A</v>
        <stp/>
        <stp>BDH|8527296476708529727</stp>
        <tr r="S22" s="18"/>
      </tp>
      <tp t="e">
        <v>#N/A</v>
        <stp/>
        <stp>BDH|1098542254093467094</stp>
        <tr r="W73" s="10"/>
        <tr r="W63" s="11"/>
      </tp>
      <tp t="e">
        <v>#N/A</v>
        <stp/>
        <stp>BDH|8434187073368761458</stp>
        <tr r="J35" s="6"/>
      </tp>
      <tp t="e">
        <v>#N/A</v>
        <stp/>
        <stp>BDH|5475612745086450399</stp>
        <tr r="G26" s="17"/>
      </tp>
      <tp t="e">
        <v>#N/A</v>
        <stp/>
        <stp>BDH|2519186543394653159</stp>
        <tr r="Y20" s="18"/>
      </tp>
      <tp t="e">
        <v>#N/A</v>
        <stp/>
        <stp>BDH|3497525628735512362</stp>
        <tr r="H16" s="10"/>
      </tp>
      <tp t="e">
        <v>#N/A</v>
        <stp/>
        <stp>BDH|9781081989087923423</stp>
        <tr r="H15" s="4"/>
      </tp>
      <tp t="e">
        <v>#N/A</v>
        <stp/>
        <stp>BDH|2960257440240188603</stp>
        <tr r="W65" s="18"/>
      </tp>
      <tp t="e">
        <v>#N/A</v>
        <stp/>
        <stp>BDH|2669833287232845278</stp>
        <tr r="P91" s="17"/>
      </tp>
      <tp t="e">
        <v>#N/A</v>
        <stp/>
        <stp>BDH|7207808373238828243</stp>
        <tr r="E31" s="29"/>
      </tp>
      <tp t="e">
        <v>#N/A</v>
        <stp/>
        <stp>BDH|3898939936092830988</stp>
        <tr r="O119" s="18"/>
        <tr r="O7" s="20"/>
      </tp>
      <tp t="e">
        <v>#N/A</v>
        <stp/>
        <stp>BDH|3784839973969351796</stp>
        <tr r="D10" s="28"/>
      </tp>
      <tp t="e">
        <v>#N/A</v>
        <stp/>
        <stp>BDH|1195125558910764719</stp>
        <tr r="M45" s="17"/>
      </tp>
      <tp t="e">
        <v>#N/A</v>
        <stp/>
        <stp>BDH|3390995481611027162</stp>
        <tr r="S7" s="24"/>
      </tp>
      <tp t="e">
        <v>#N/A</v>
        <stp/>
        <stp>BDH|4214769579654170214</stp>
        <tr r="T7" s="10"/>
      </tp>
      <tp t="e">
        <v>#N/A</v>
        <stp/>
        <stp>BDH|2402549509211716437</stp>
        <tr r="X11" s="18"/>
      </tp>
      <tp t="e">
        <v>#N/A</v>
        <stp/>
        <stp>BDH|1452912887817728580</stp>
        <tr r="E23" s="30"/>
        <tr r="E25" s="23"/>
      </tp>
      <tp t="e">
        <v>#N/A</v>
        <stp/>
        <stp>BDH|1031859353419235792</stp>
        <tr r="E20" s="10"/>
      </tp>
      <tp t="e">
        <v>#N/A</v>
        <stp/>
        <stp>BDH|9296585681031770714</stp>
        <tr r="Q50" s="24"/>
      </tp>
      <tp t="e">
        <v>#N/A</v>
        <stp/>
        <stp>BDH|3319869249775340824</stp>
        <tr r="M199" s="18"/>
      </tp>
      <tp t="e">
        <v>#N/A</v>
        <stp/>
        <stp>BDH|7564197751986557752</stp>
        <tr r="U11" s="30"/>
      </tp>
      <tp t="e">
        <v>#N/A</v>
        <stp/>
        <stp>BDH|2269677408554825289</stp>
        <tr r="D75" s="17"/>
      </tp>
      <tp t="e">
        <v>#N/A</v>
        <stp/>
        <stp>BDH|6782217506462869452</stp>
        <tr r="H11" s="11"/>
      </tp>
      <tp t="e">
        <v>#N/A</v>
        <stp/>
        <stp>BDH|8259804349777485121</stp>
        <tr r="M27" s="25"/>
        <tr r="M13" s="27"/>
      </tp>
      <tp t="e">
        <v>#N/A</v>
        <stp/>
        <stp>BDH|2490044440197869354</stp>
        <tr r="D21" s="17"/>
        <tr r="D15" s="3"/>
      </tp>
      <tp t="e">
        <v>#N/A</v>
        <stp/>
        <stp>BDH|6717134979342696061</stp>
        <tr r="U29" s="29"/>
        <tr r="U7" s="29"/>
      </tp>
      <tp t="e">
        <v>#N/A</v>
        <stp/>
        <stp>BDH|6397411598751229853</stp>
        <tr r="R47" s="17"/>
      </tp>
      <tp t="e">
        <v>#N/A</v>
        <stp/>
        <stp>BDH|9861443567029688003</stp>
        <tr r="I63" s="10"/>
      </tp>
      <tp t="e">
        <v>#N/A</v>
        <stp/>
        <stp>BDH|9051530774881376894</stp>
        <tr r="N42" s="18"/>
      </tp>
      <tp t="e">
        <v>#N/A</v>
        <stp/>
        <stp>BDH|8618895141165296312</stp>
        <tr r="P8" s="8"/>
      </tp>
      <tp t="e">
        <v>#N/A</v>
        <stp/>
        <stp>BDH|2960123744332925745</stp>
        <tr r="Y10" s="28"/>
      </tp>
      <tp t="e">
        <v>#N/A</v>
        <stp/>
        <stp>BDH|4066434278436822314</stp>
        <tr r="H160" s="18"/>
      </tp>
      <tp t="e">
        <v>#N/A</v>
        <stp/>
        <stp>BDH|8720811312383138073</stp>
        <tr r="O81" s="24"/>
      </tp>
      <tp t="e">
        <v>#N/A</v>
        <stp/>
        <stp>BDH|4298634106706237679</stp>
        <tr r="D104" s="12"/>
      </tp>
      <tp t="e">
        <v>#N/A</v>
        <stp/>
        <stp>BDH|1315801299677158593</stp>
        <tr r="C11" s="28"/>
      </tp>
      <tp t="e">
        <v>#N/A</v>
        <stp/>
        <stp>BDH|5611047006675162275</stp>
        <tr r="M17" s="10"/>
        <tr r="O16" s="13"/>
        <tr r="O30" s="13"/>
      </tp>
      <tp t="e">
        <v>#N/A</v>
        <stp/>
        <stp>BDH|7012816989366979330</stp>
        <tr r="V11" s="30"/>
      </tp>
      <tp t="e">
        <v>#N/A</v>
        <stp/>
        <stp>BDH|4645950530639014510</stp>
        <tr r="U48" s="24"/>
      </tp>
      <tp t="e">
        <v>#N/A</v>
        <stp/>
        <stp>BDH|9275104292985485661</stp>
        <tr r="W8" s="12"/>
      </tp>
      <tp t="e">
        <v>#N/A</v>
        <stp/>
        <stp>BDH|3152631908641864607</stp>
        <tr r="L51" s="18"/>
      </tp>
      <tp t="e">
        <v>#N/A</v>
        <stp/>
        <stp>BDH|8538566339884067889</stp>
        <tr r="F14" s="13"/>
      </tp>
      <tp t="e">
        <v>#N/A</v>
        <stp/>
        <stp>BDH|2334415937472276557</stp>
        <tr r="M75" s="18"/>
      </tp>
      <tp t="e">
        <v>#N/A</v>
        <stp/>
        <stp>BDH|6359134423825631278</stp>
        <tr r="X71" s="17"/>
      </tp>
      <tp t="e">
        <v>#N/A</v>
        <stp/>
        <stp>BDH|3217624655101528324</stp>
        <tr r="T62" s="13"/>
      </tp>
      <tp t="e">
        <v>#N/A</v>
        <stp/>
        <stp>BDH|8513191646766874905</stp>
        <tr r="V18" s="6"/>
      </tp>
      <tp t="e">
        <v>#N/A</v>
        <stp/>
        <stp>BDH|4182169724515068017</stp>
        <tr r="K41" s="18"/>
      </tp>
      <tp t="e">
        <v>#N/A</v>
        <stp/>
        <stp>BDH|6167547738463989168</stp>
        <tr r="W77" s="24"/>
      </tp>
      <tp t="e">
        <v>#N/A</v>
        <stp/>
        <stp>BDH|3510427338524538285</stp>
        <tr r="K15" s="22"/>
      </tp>
      <tp t="e">
        <v>#N/A</v>
        <stp/>
        <stp>BDH|1136475176503522375</stp>
        <tr r="U26" s="18"/>
      </tp>
      <tp t="e">
        <v>#N/A</v>
        <stp/>
        <stp>BDH|6280507637153526128</stp>
        <tr r="D14" s="6"/>
      </tp>
      <tp t="e">
        <v>#N/A</v>
        <stp/>
        <stp>BDH|6017543009723903261</stp>
        <tr r="V80" s="18"/>
      </tp>
      <tp t="e">
        <v>#N/A</v>
        <stp/>
        <stp>BDH|8801362518321434906</stp>
        <tr r="H180" s="18"/>
      </tp>
      <tp t="e">
        <v>#N/A</v>
        <stp/>
        <stp>BDH|7991109549514767454</stp>
        <tr r="L22" s="21"/>
      </tp>
      <tp t="e">
        <v>#N/A</v>
        <stp/>
        <stp>BDH|4511709558436697293</stp>
        <tr r="I73" s="18"/>
      </tp>
      <tp t="e">
        <v>#N/A</v>
        <stp/>
        <stp>BDH|7627415456666454272</stp>
        <tr r="N94" s="24"/>
      </tp>
      <tp t="e">
        <v>#N/A</v>
        <stp/>
        <stp>BDH|9507295075658253690</stp>
        <tr r="D17" s="5"/>
        <tr r="D32" s="6"/>
      </tp>
      <tp t="e">
        <v>#N/A</v>
        <stp/>
        <stp>BDH|4328071642614243667</stp>
        <tr r="Y91" s="24"/>
      </tp>
      <tp t="e">
        <v>#N/A</v>
        <stp/>
        <stp>BDH|3471410616062589649</stp>
        <tr r="J48" s="6"/>
        <tr r="L9" s="8"/>
      </tp>
      <tp t="e">
        <v>#N/A</v>
        <stp/>
        <stp>BDH|3591513307901239536</stp>
        <tr r="Q19" s="11"/>
      </tp>
      <tp t="e">
        <v>#N/A</v>
        <stp/>
        <stp>BDH|3184949799025891461</stp>
        <tr r="M99" s="12"/>
      </tp>
      <tp t="e">
        <v>#N/A</v>
        <stp/>
        <stp>BDH|7255422382549982093</stp>
        <tr r="G37" s="12"/>
      </tp>
      <tp t="e">
        <v>#N/A</v>
        <stp/>
        <stp>BDH|7977441324260993324</stp>
        <tr r="V18" s="11"/>
      </tp>
      <tp t="e">
        <v>#N/A</v>
        <stp/>
        <stp>BDH|3446968685566544604</stp>
        <tr r="J23" s="5"/>
        <tr r="J23" s="9"/>
      </tp>
      <tp t="e">
        <v>#N/A</v>
        <stp/>
        <stp>BDH|5219372025220115639</stp>
        <tr r="X31" s="10"/>
        <tr r="Z40" s="13"/>
      </tp>
      <tp t="e">
        <v>#N/A</v>
        <stp/>
        <stp>BDH|5778021375556095623</stp>
        <tr r="D42" s="10"/>
        <tr r="D32" s="11"/>
      </tp>
      <tp t="e">
        <v>#N/A</v>
        <stp/>
        <stp>BDH|9910487586804766320</stp>
        <tr r="M97" s="12"/>
      </tp>
      <tp t="e">
        <v>#N/A</v>
        <stp/>
        <stp>BDH|8469273289352083286</stp>
        <tr r="V95" s="17"/>
      </tp>
      <tp t="e">
        <v>#N/A</v>
        <stp/>
        <stp>BDH|4291152060587557603</stp>
        <tr r="G27" s="21"/>
      </tp>
      <tp t="e">
        <v>#N/A</v>
        <stp/>
        <stp>BDH|5922521157515986275</stp>
        <tr r="K54" s="17"/>
      </tp>
      <tp t="e">
        <v>#N/A</v>
        <stp/>
        <stp>BDH|1263313507367057768</stp>
        <tr r="X45" s="4"/>
        <tr r="X33" s="10"/>
        <tr r="X23" s="11"/>
        <tr r="Z33" s="13"/>
      </tp>
      <tp t="e">
        <v>#N/A</v>
        <stp/>
        <stp>BDH|6652039440525768504</stp>
        <tr r="K8" s="28"/>
      </tp>
      <tp t="e">
        <v>#N/A</v>
        <stp/>
        <stp>BDH|4755257605765380167</stp>
        <tr r="M94" s="24"/>
      </tp>
      <tp t="e">
        <v>#N/A</v>
        <stp/>
        <stp>BDH|2521488048507330746</stp>
        <tr r="C8" s="2"/>
      </tp>
      <tp t="e">
        <v>#N/A</v>
        <stp/>
        <stp>BDH|6484399325802346797</stp>
        <tr r="K15" s="18"/>
      </tp>
      <tp t="e">
        <v>#N/A</v>
        <stp/>
        <stp>BDH|6446237130784796127</stp>
        <tr r="D49" s="13"/>
      </tp>
      <tp t="e">
        <v>#N/A</v>
        <stp/>
        <stp>BDH|4622882543362777889</stp>
        <tr r="T86" s="12"/>
      </tp>
      <tp t="e">
        <v>#N/A</v>
        <stp/>
        <stp>BDH|5098569073894551120</stp>
        <tr r="L11" s="11"/>
      </tp>
      <tp t="e">
        <v>#N/A</v>
        <stp/>
        <stp>BDH|7697454012221675155</stp>
        <tr r="O9" s="10"/>
      </tp>
      <tp t="e">
        <v>#N/A</v>
        <stp/>
        <stp>BDH|5597673103761671057</stp>
        <tr r="S101" s="12"/>
      </tp>
      <tp t="e">
        <v>#N/A</v>
        <stp/>
        <stp>BDH|9602583891844510387</stp>
        <tr r="X16" s="2"/>
        <tr r="X32" s="4"/>
        <tr r="X62" s="10"/>
        <tr r="Z19" s="13"/>
      </tp>
      <tp t="e">
        <v>#N/A</v>
        <stp/>
        <stp>BDH|2973149146146855316</stp>
        <tr r="E32" s="34"/>
      </tp>
      <tp t="e">
        <v>#N/A</v>
        <stp/>
        <stp>BDH|7061066233685786302</stp>
        <tr r="C121" s="18"/>
        <tr r="C9" s="20"/>
      </tp>
      <tp t="e">
        <v>#N/A</v>
        <stp/>
        <stp>BDH|3675768532890627569</stp>
        <tr r="M9" s="10"/>
      </tp>
      <tp t="e">
        <v>#N/A</v>
        <stp/>
        <stp>BDH|5672663171992774446</stp>
        <tr r="M73" s="24"/>
      </tp>
      <tp t="e">
        <v>#N/A</v>
        <stp/>
        <stp>BDH|2696330526285704467</stp>
        <tr r="C17" s="22"/>
      </tp>
      <tp t="e">
        <v>#N/A</v>
        <stp/>
        <stp>BDH|3128792403230884616</stp>
        <tr r="E6" s="15"/>
        <tr r="E12" s="2"/>
        <tr r="E11" s="4"/>
        <tr r="E6" s="10"/>
      </tp>
      <tp t="e">
        <v>#N/A</v>
        <stp/>
        <stp>BDH|5086346909903718789</stp>
        <tr r="O23" s="12"/>
      </tp>
      <tp t="e">
        <v>#N/A</v>
        <stp/>
        <stp>BDH|7598709506306354429</stp>
        <tr r="Y127" s="18"/>
      </tp>
      <tp t="e">
        <v>#N/A</v>
        <stp/>
        <stp>BDH|3239439655084207444</stp>
        <tr r="AA31" s="24"/>
      </tp>
      <tp t="e">
        <v>#N/A</v>
        <stp/>
        <stp>BDH|3100151648537704385</stp>
        <tr r="X156" s="18"/>
      </tp>
      <tp t="e">
        <v>#N/A</v>
        <stp/>
        <stp>BDH|5590349989108226492</stp>
        <tr r="J87" s="18"/>
      </tp>
      <tp t="e">
        <v>#N/A</v>
        <stp/>
        <stp>BDH|5749476244706564122</stp>
        <tr r="AA69" s="34"/>
      </tp>
      <tp t="e">
        <v>#N/A</v>
        <stp/>
        <stp>BDH|1685047365492795733</stp>
        <tr r="K68" s="34"/>
      </tp>
      <tp t="e">
        <v>#N/A</v>
        <stp/>
        <stp>BDH|2704051406967002778</stp>
        <tr r="E14" s="22"/>
      </tp>
      <tp t="e">
        <v>#N/A</v>
        <stp/>
        <stp>BDH|8131885232228917915</stp>
        <tr r="K31" s="12"/>
      </tp>
      <tp t="e">
        <v>#N/A</v>
        <stp/>
        <stp>BDH|7002614552441609760</stp>
        <tr r="Q66" s="12"/>
      </tp>
      <tp t="e">
        <v>#N/A</v>
        <stp/>
        <stp>BDH|2369980535849483395</stp>
        <tr r="M8" s="2"/>
      </tp>
      <tp t="e">
        <v>#N/A</v>
        <stp/>
        <stp>BDH|4494767412102585265</stp>
        <tr r="K8" s="11"/>
      </tp>
      <tp t="e">
        <v>#N/A</v>
        <stp/>
        <stp>BDH|7884090093775546949</stp>
        <tr r="K23" s="17"/>
      </tp>
      <tp t="e">
        <v>#N/A</v>
        <stp/>
        <stp>BDH|8525439393103417429</stp>
        <tr r="I29" s="21"/>
      </tp>
      <tp t="e">
        <v>#N/A</v>
        <stp/>
        <stp>BDH|7552976097897314258</stp>
        <tr r="D79" s="18"/>
      </tp>
      <tp t="e">
        <v>#N/A</v>
        <stp/>
        <stp>BDH|5529378411831414441</stp>
        <tr r="N58" s="12"/>
      </tp>
      <tp t="e">
        <v>#N/A</v>
        <stp/>
        <stp>BDH|5919273885894803908</stp>
        <tr r="S23" s="25"/>
        <tr r="Q20" s="11"/>
      </tp>
      <tp t="e">
        <v>#N/A</v>
        <stp/>
        <stp>BDH|6413728402820470333</stp>
        <tr r="E23" s="22"/>
      </tp>
      <tp t="e">
        <v>#N/A</v>
        <stp/>
        <stp>BDH|6977243329100458435</stp>
        <tr r="AA106" s="12"/>
      </tp>
      <tp t="e">
        <v>#N/A</v>
        <stp/>
        <stp>BDH|2711289718586387570</stp>
        <tr r="J15" s="4"/>
      </tp>
      <tp t="e">
        <v>#N/A</v>
        <stp/>
        <stp>BDH|7572023064286211522</stp>
        <tr r="F28" s="18"/>
      </tp>
      <tp t="e">
        <v>#N/A</v>
        <stp/>
        <stp>BDH|6295164002903177647</stp>
        <tr r="S52" s="17"/>
        <tr r="S10" s="25"/>
      </tp>
      <tp t="e">
        <v>#N/A</v>
        <stp/>
        <stp>BDH|6931618005443989173</stp>
        <tr r="L54" s="11"/>
      </tp>
      <tp t="e">
        <v>#N/A</v>
        <stp/>
        <stp>BDH|8242602234649506607</stp>
        <tr r="T69" s="12"/>
      </tp>
      <tp t="e">
        <v>#N/A</v>
        <stp/>
        <stp>BDH|1087268925574655767</stp>
        <tr r="T43" s="10"/>
        <tr r="T33" s="11"/>
      </tp>
      <tp t="e">
        <v>#N/A</v>
        <stp/>
        <stp>BDH|7654268371817508772</stp>
        <tr r="R35" s="12"/>
      </tp>
      <tp t="e">
        <v>#N/A</v>
        <stp/>
        <stp>BDH|4526627105539313927</stp>
        <tr r="K55" s="18"/>
      </tp>
      <tp t="e">
        <v>#N/A</v>
        <stp/>
        <stp>BDH|7485382108365560329</stp>
        <tr r="H26" s="21"/>
      </tp>
      <tp t="e">
        <v>#N/A</v>
        <stp/>
        <stp>BDH|4009930896443641509</stp>
        <tr r="H8" s="13"/>
      </tp>
      <tp t="e">
        <v>#N/A</v>
        <stp/>
        <stp>BDH|4280677687441646976</stp>
        <tr r="U167" s="18"/>
      </tp>
      <tp t="e">
        <v>#N/A</v>
        <stp/>
        <stp>BDH|7905570301811960156</stp>
        <tr r="X66" s="18"/>
      </tp>
      <tp t="e">
        <v>#N/A</v>
        <stp/>
        <stp>BDH|9195741693213152647</stp>
        <tr r="AA22" s="30"/>
        <tr r="AA24" s="23"/>
      </tp>
      <tp t="e">
        <v>#N/A</v>
        <stp/>
        <stp>BDH|4423426042941726707</stp>
        <tr r="O77" s="12"/>
      </tp>
      <tp t="e">
        <v>#N/A</v>
        <stp/>
        <stp>BDH|1032220024112302169</stp>
        <tr r="X15" s="13"/>
      </tp>
      <tp t="e">
        <v>#N/A</v>
        <stp/>
        <stp>BDH|6493345939363871723</stp>
        <tr r="O83" s="12"/>
      </tp>
      <tp t="e">
        <v>#N/A</v>
        <stp/>
        <stp>BDH|2253634972228096901</stp>
        <tr r="R207" s="18"/>
      </tp>
      <tp t="e">
        <v>#N/A</v>
        <stp/>
        <stp>BDH|4083126221602434741</stp>
        <tr r="R22" s="4"/>
      </tp>
      <tp t="e">
        <v>#N/A</v>
        <stp/>
        <stp>BDH|9680085438770223872</stp>
        <tr r="G32" s="10"/>
        <tr r="I41" s="13"/>
      </tp>
      <tp t="e">
        <v>#N/A</v>
        <stp/>
        <stp>BDH|7935564910095557498</stp>
        <tr r="T161" s="18"/>
      </tp>
      <tp t="e">
        <v>#N/A</v>
        <stp/>
        <stp>BDH|5464359691298515566</stp>
        <tr r="D79" s="24"/>
      </tp>
      <tp t="e">
        <v>#N/A</v>
        <stp/>
        <stp>BDH|2854384990043680953</stp>
        <tr r="T160" s="18"/>
      </tp>
      <tp t="e">
        <v>#N/A</v>
        <stp/>
        <stp>BDH|3488214771061140562</stp>
        <tr r="H61" s="17"/>
      </tp>
      <tp t="e">
        <v>#N/A</v>
        <stp/>
        <stp>BDH|9782941383308025235</stp>
        <tr r="G55" s="17"/>
      </tp>
      <tp t="e">
        <v>#N/A</v>
        <stp/>
        <stp>BDH|1985322121052124085</stp>
        <tr r="L15" s="29"/>
        <tr r="L38" s="29"/>
      </tp>
      <tp t="e">
        <v>#N/A</v>
        <stp/>
        <stp>BDH|4608475633154884591</stp>
        <tr r="W125" s="18"/>
        <tr r="W14" s="20"/>
      </tp>
      <tp t="e">
        <v>#N/A</v>
        <stp/>
        <stp>BDH|5065540710895359647</stp>
        <tr r="N82" s="24"/>
      </tp>
      <tp t="e">
        <v>#N/A</v>
        <stp/>
        <stp>BDH|2731449205386206276</stp>
        <tr r="X31" s="5"/>
      </tp>
      <tp t="e">
        <v>#N/A</v>
        <stp/>
        <stp>BDH|5740632979807996178</stp>
        <tr r="T50" s="18"/>
      </tp>
      <tp t="e">
        <v>#N/A</v>
        <stp/>
        <stp>BDH|9896129878815274830</stp>
        <tr r="T141" s="18"/>
      </tp>
      <tp t="e">
        <v>#N/A</v>
        <stp/>
        <stp>BDH|9796775437177021841</stp>
        <tr r="M7" s="10"/>
      </tp>
      <tp t="e">
        <v>#N/A</v>
        <stp/>
        <stp>BDH|3764808573309231750</stp>
        <tr r="H30" s="5"/>
        <tr r="H30" s="9"/>
      </tp>
      <tp t="e">
        <v>#N/A</v>
        <stp/>
        <stp>BDH|9206370087962202237</stp>
        <tr r="K21" s="27"/>
      </tp>
      <tp t="e">
        <v>#N/A</v>
        <stp/>
        <stp>BDH|7654749212214179727</stp>
        <tr r="X20" s="22"/>
      </tp>
      <tp t="e">
        <v>#N/A</v>
        <stp/>
        <stp>BDH|8072257893750116148</stp>
        <tr r="AA154" s="18"/>
      </tp>
      <tp t="e">
        <v>#N/A</v>
        <stp/>
        <stp>BDH|1914716755116454792</stp>
        <tr r="D39" s="24"/>
      </tp>
      <tp t="e">
        <v>#N/A</v>
        <stp/>
        <stp>BDH|5547544320875183501</stp>
        <tr r="W39" s="4"/>
        <tr r="W66" s="10"/>
      </tp>
      <tp t="e">
        <v>#N/A</v>
        <stp/>
        <stp>BDH|7925748109652550018</stp>
        <tr r="M43" s="34"/>
      </tp>
      <tp t="e">
        <v>#N/A</v>
        <stp/>
        <stp>BDH|3479574126667305164</stp>
        <tr r="F211" s="18"/>
      </tp>
      <tp t="e">
        <v>#N/A</v>
        <stp/>
        <stp>BDH|7037907500064501854</stp>
        <tr r="S77" s="17"/>
        <tr r="S19" s="3"/>
      </tp>
      <tp t="e">
        <v>#N/A</v>
        <stp/>
        <stp>BDH|8409103964608956590</stp>
        <tr r="N19" s="10"/>
      </tp>
      <tp t="e">
        <v>#N/A</v>
        <stp/>
        <stp>BDH|9937942531642405387</stp>
        <tr r="Y23" s="12"/>
      </tp>
      <tp t="e">
        <v>#N/A</v>
        <stp/>
        <stp>BDH|2163316060127669267</stp>
        <tr r="I29" s="4"/>
      </tp>
      <tp t="e">
        <v>#N/A</v>
        <stp/>
        <stp>BDH|2210382721396206790</stp>
        <tr r="V38" s="22"/>
      </tp>
      <tp t="e">
        <v>#N/A</v>
        <stp/>
        <stp>BDH|7269034876315119760</stp>
        <tr r="L34" s="6"/>
      </tp>
      <tp t="e">
        <v>#N/A</v>
        <stp/>
        <stp>BDH|1321652079776660492</stp>
        <tr r="C45" s="24"/>
      </tp>
      <tp t="e">
        <v>#N/A</v>
        <stp/>
        <stp>BDH|6711635239246531786</stp>
        <tr r="E27" s="14"/>
      </tp>
      <tp t="e">
        <v>#N/A</v>
        <stp/>
        <stp>BDH|2404045475433620430</stp>
        <tr r="E30" s="24"/>
      </tp>
      <tp t="e">
        <v>#N/A</v>
        <stp/>
        <stp>BDH|7672475153140128432</stp>
        <tr r="J135" s="18"/>
      </tp>
      <tp t="e">
        <v>#N/A</v>
        <stp/>
        <stp>BDH|2765726491687239967</stp>
        <tr r="O34" s="6"/>
      </tp>
      <tp t="e">
        <v>#N/A</v>
        <stp/>
        <stp>BDH|7627309971941172067</stp>
        <tr r="F53" s="24"/>
      </tp>
      <tp t="e">
        <v>#N/A</v>
        <stp/>
        <stp>BDH|2733739924671967498</stp>
        <tr r="I61" s="21"/>
      </tp>
      <tp t="e">
        <v>#N/A</v>
        <stp/>
        <stp>BDH|5630352032216127105</stp>
        <tr r="S77" s="24"/>
      </tp>
      <tp t="e">
        <v>#N/A</v>
        <stp/>
        <stp>BDH|8168980317402705096</stp>
        <tr r="G8" s="8"/>
      </tp>
      <tp t="e">
        <v>#N/A</v>
        <stp/>
        <stp>BDH|4239279726062777449</stp>
        <tr r="O106" s="18"/>
      </tp>
      <tp t="e">
        <v>#N/A</v>
        <stp/>
        <stp>BDH|8803038599914158730</stp>
        <tr r="F16" s="22"/>
      </tp>
      <tp t="e">
        <v>#N/A</v>
        <stp/>
        <stp>BDH|2166045574530309722</stp>
        <tr r="AA52" s="18"/>
      </tp>
      <tp t="e">
        <v>#N/A</v>
        <stp/>
        <stp>BDH|5404739820471781301</stp>
        <tr r="M43" s="4"/>
      </tp>
      <tp t="e">
        <v>#N/A</v>
        <stp/>
        <stp>BDH|9457265766539508611</stp>
        <tr r="Y8" s="26"/>
        <tr r="V10" s="9"/>
      </tp>
      <tp t="e">
        <v>#N/A</v>
        <stp/>
        <stp>BDH|5129178858871618284</stp>
        <tr r="G34" s="22"/>
      </tp>
      <tp t="e">
        <v>#N/A</v>
        <stp/>
        <stp>BDH|5095574100124310644</stp>
        <tr r="F38" s="17"/>
      </tp>
      <tp t="e">
        <v>#N/A</v>
        <stp/>
        <stp>BDH|4724146538983859731</stp>
        <tr r="Z70" s="34"/>
      </tp>
      <tp t="e">
        <v>#N/A</v>
        <stp/>
        <stp>BDH|4798844787381077740</stp>
        <tr r="S42" s="21"/>
      </tp>
      <tp t="e">
        <v>#N/A</v>
        <stp/>
        <stp>BDH|9136655975919554343</stp>
        <tr r="P6" s="28"/>
      </tp>
      <tp t="e">
        <v>#N/A</v>
        <stp/>
        <stp>BDH|5244293179143277109</stp>
        <tr r="Z21" s="22"/>
      </tp>
      <tp t="e">
        <v>#N/A</v>
        <stp/>
        <stp>BDH|9701243740619651458</stp>
        <tr r="C90" s="12"/>
      </tp>
      <tp t="e">
        <v>#N/A</v>
        <stp/>
        <stp>BDH|8424002854329608668</stp>
        <tr r="F43" s="4"/>
      </tp>
      <tp t="e">
        <v>#N/A</v>
        <stp/>
        <stp>BDH|6251027746587493725</stp>
        <tr r="P181" s="18"/>
      </tp>
      <tp t="e">
        <v>#N/A</v>
        <stp/>
        <stp>BDH|9588538937759543449</stp>
        <tr r="P23" s="26"/>
      </tp>
      <tp t="e">
        <v>#N/A</v>
        <stp/>
        <stp>BDH|7056874455469186137</stp>
        <tr r="I20" s="2"/>
        <tr r="I18" s="4"/>
        <tr r="I58" s="10"/>
        <tr r="I48" s="11"/>
        <tr r="I19" s="7"/>
        <tr r="K74" s="13"/>
      </tp>
      <tp t="e">
        <v>#N/A</v>
        <stp/>
        <stp>BDH|7231733533950073124</stp>
        <tr r="F75" s="24"/>
      </tp>
      <tp t="e">
        <v>#N/A</v>
        <stp/>
        <stp>BDH|5515647921227560458</stp>
        <tr r="N53" s="18"/>
      </tp>
      <tp t="e">
        <v>#N/A</v>
        <stp/>
        <stp>BDH|6756124855907369733</stp>
        <tr r="W7" s="28"/>
      </tp>
      <tp t="e">
        <v>#N/A</v>
        <stp/>
        <stp>BDH|7424665659341308788</stp>
        <tr r="L85" s="17"/>
      </tp>
      <tp t="e">
        <v>#N/A</v>
        <stp/>
        <stp>BDH|9454928071527439237</stp>
        <tr r="AA39" s="34"/>
      </tp>
      <tp t="e">
        <v>#N/A</v>
        <stp/>
        <stp>BDH|4861607700789996913</stp>
        <tr r="Y62" s="34"/>
      </tp>
      <tp t="e">
        <v>#N/A</v>
        <stp/>
        <stp>BDH|2939818227362927866</stp>
        <tr r="S49" s="13"/>
      </tp>
      <tp t="e">
        <v>#N/A</v>
        <stp/>
        <stp>BDH|6345304137403532718</stp>
        <tr r="F40" s="22"/>
      </tp>
      <tp t="e">
        <v>#N/A</v>
        <stp/>
        <stp>BDH|2902731037552927649</stp>
        <tr r="L47" s="21"/>
      </tp>
      <tp t="e">
        <v>#N/A</v>
        <stp/>
        <stp>BDH|3191237420431567073</stp>
        <tr r="R94" s="18"/>
      </tp>
      <tp t="e">
        <v>#N/A</v>
        <stp/>
        <stp>BDH|3558432064784661749</stp>
        <tr r="AA33" s="12"/>
      </tp>
      <tp t="e">
        <v>#N/A</v>
        <stp/>
        <stp>BDH|4391730103144417576</stp>
        <tr r="N22" s="11"/>
      </tp>
      <tp t="e">
        <v>#N/A</v>
        <stp/>
        <stp>BDH|1850582924013382770</stp>
        <tr r="E76" s="18"/>
      </tp>
      <tp t="e">
        <v>#N/A</v>
        <stp/>
        <stp>BDH|5289861083642287558</stp>
        <tr r="J70" s="12"/>
      </tp>
      <tp t="e">
        <v>#N/A</v>
        <stp/>
        <stp>BDH|4022200782225160938</stp>
        <tr r="V104" s="12"/>
      </tp>
      <tp t="e">
        <v>#N/A</v>
        <stp/>
        <stp>BDH|5451330207853639760</stp>
        <tr r="W12" s="6"/>
      </tp>
      <tp t="e">
        <v>#N/A</v>
        <stp/>
        <stp>BDH|1076518936714406136</stp>
        <tr r="M10" s="14"/>
      </tp>
      <tp t="e">
        <v>#N/A</v>
        <stp/>
        <stp>BDH|2713948552195016917</stp>
        <tr r="P16" s="26"/>
      </tp>
      <tp t="e">
        <v>#N/A</v>
        <stp/>
        <stp>BDH|6928780150332532453</stp>
        <tr r="H20" s="26"/>
      </tp>
      <tp t="e">
        <v>#N/A</v>
        <stp/>
        <stp>BDH|5435640759312142694</stp>
        <tr r="N98" s="12"/>
      </tp>
      <tp t="e">
        <v>#N/A</v>
        <stp/>
        <stp>BDH|1693744126170456619</stp>
        <tr r="AA7" s="24"/>
      </tp>
      <tp t="e">
        <v>#N/A</v>
        <stp/>
        <stp>BDH|7001173625643009535</stp>
        <tr r="G88" s="12"/>
      </tp>
      <tp t="e">
        <v>#N/A</v>
        <stp/>
        <stp>BDH|9336758748851942964</stp>
        <tr r="J10" s="17"/>
      </tp>
      <tp t="e">
        <v>#N/A</v>
        <stp/>
        <stp>BDH|6843518833636293490</stp>
        <tr r="O41" s="18"/>
      </tp>
      <tp t="e">
        <v>#N/A</v>
        <stp/>
        <stp>BDH|2218134598309968112</stp>
        <tr r="V8" s="28"/>
      </tp>
      <tp t="e">
        <v>#N/A</v>
        <stp/>
        <stp>BDH|7587661253336603078</stp>
        <tr r="S83" s="12"/>
      </tp>
      <tp t="e">
        <v>#N/A</v>
        <stp/>
        <stp>BDH|2576932959368667482</stp>
        <tr r="Y29" s="13"/>
      </tp>
      <tp t="e">
        <v>#N/A</v>
        <stp/>
        <stp>BDH|3737742074379018861</stp>
        <tr r="J39" s="10"/>
        <tr r="J29" s="11"/>
      </tp>
      <tp t="e">
        <v>#N/A</v>
        <stp/>
        <stp>BDH|7144465425592142122</stp>
        <tr r="Y11" s="13"/>
      </tp>
      <tp t="e">
        <v>#N/A</v>
        <stp/>
        <stp>BDH|7458722574004679155</stp>
        <tr r="G93" s="17"/>
        <tr r="G13" s="28"/>
      </tp>
      <tp t="e">
        <v>#N/A</v>
        <stp/>
        <stp>BDH|6361330311336816081</stp>
        <tr r="O14" s="6"/>
      </tp>
      <tp t="e">
        <v>#N/A</v>
        <stp/>
        <stp>BDH|2506429523521705728</stp>
        <tr r="R187" s="18"/>
      </tp>
      <tp t="e">
        <v>#N/A</v>
        <stp/>
        <stp>BDH|3187865041764391947</stp>
        <tr r="J18" s="29"/>
        <tr r="J41" s="29"/>
      </tp>
      <tp t="e">
        <v>#N/A</v>
        <stp/>
        <stp>BDH|2394498125594921272</stp>
        <tr r="J17" s="10"/>
        <tr r="L16" s="13"/>
        <tr r="L30" s="13"/>
      </tp>
      <tp t="e">
        <v>#N/A</v>
        <stp/>
        <stp>BDH|3758963081511601177</stp>
        <tr r="P10" s="26"/>
      </tp>
      <tp t="e">
        <v>#N/A</v>
        <stp/>
        <stp>BDH|3648005262645315262</stp>
        <tr r="H6" s="28"/>
      </tp>
      <tp t="e">
        <v>#N/A</v>
        <stp/>
        <stp>BDH|8795326269976474996</stp>
        <tr r="E14" s="17"/>
        <tr r="E17" s="28"/>
      </tp>
      <tp t="e">
        <v>#N/A</v>
        <stp/>
        <stp>BDH|6863453140333447785</stp>
        <tr r="D8" s="28"/>
      </tp>
      <tp t="e">
        <v>#N/A</v>
        <stp/>
        <stp>BDH|5596043571991522146</stp>
        <tr r="P10" s="28"/>
      </tp>
      <tp t="e">
        <v>#N/A</v>
        <stp/>
        <stp>BDH|8180598353709367397</stp>
        <tr r="Y16" s="14"/>
      </tp>
      <tp t="e">
        <v>#N/A</v>
        <stp/>
        <stp>BDH|4074252565521175301</stp>
        <tr r="O147" s="18"/>
      </tp>
      <tp t="e">
        <v>#N/A</v>
        <stp/>
        <stp>BDH|3273906585357241740</stp>
        <tr r="D41" s="17"/>
        <tr r="D9" s="25"/>
      </tp>
      <tp t="e">
        <v>#N/A</v>
        <stp/>
        <stp>BDH|4121642501991731123</stp>
        <tr r="D17" s="9"/>
      </tp>
      <tp t="e">
        <v>#N/A</v>
        <stp/>
        <stp>BDH|7576428903618582908</stp>
        <tr r="C40" s="17"/>
      </tp>
      <tp t="e">
        <v>#N/A</v>
        <stp/>
        <stp>BDH|9962711796090987566</stp>
        <tr r="D17" s="10"/>
        <tr r="F16" s="13"/>
        <tr r="F30" s="13"/>
      </tp>
      <tp t="e">
        <v>#N/A</v>
        <stp/>
        <stp>BDH|3257734149762185086</stp>
        <tr r="O11" s="11"/>
      </tp>
      <tp t="e">
        <v>#N/A</v>
        <stp/>
        <stp>BDH|3493105060170317664</stp>
        <tr r="J23" s="24"/>
      </tp>
      <tp t="e">
        <v>#N/A</v>
        <stp/>
        <stp>BDH|8001874750897020066</stp>
        <tr r="T107" s="18"/>
      </tp>
      <tp t="e">
        <v>#N/A</v>
        <stp/>
        <stp>BDH|7220737945910342660</stp>
        <tr r="AA76" s="18"/>
      </tp>
      <tp t="e">
        <v>#N/A</v>
        <stp/>
        <stp>BDH|8796836365504836082</stp>
        <tr r="M134" s="18"/>
      </tp>
      <tp t="e">
        <v>#N/A</v>
        <stp/>
        <stp>BDH|3165305785792485817</stp>
        <tr r="U24" s="27"/>
      </tp>
      <tp t="e">
        <v>#N/A</v>
        <stp/>
        <stp>BDH|1429263436607542509</stp>
        <tr r="W35" s="12"/>
      </tp>
      <tp t="e">
        <v>#N/A</v>
        <stp/>
        <stp>BDH|3276048553636404204</stp>
        <tr r="S34" s="14"/>
      </tp>
      <tp t="e">
        <v>#N/A</v>
        <stp/>
        <stp>BDH|2019699489387470951</stp>
        <tr r="D60" s="34"/>
      </tp>
      <tp t="e">
        <v>#N/A</v>
        <stp/>
        <stp>BDH|7571383329824365067</stp>
        <tr r="H45" s="24"/>
      </tp>
      <tp t="e">
        <v>#N/A</v>
        <stp/>
        <stp>BDH|1614746337702451508</stp>
        <tr r="V79" s="12"/>
      </tp>
      <tp t="e">
        <v>#N/A</v>
        <stp/>
        <stp>BDH|5679987958443704809</stp>
        <tr r="P51" s="34"/>
      </tp>
      <tp t="e">
        <v>#N/A</v>
        <stp/>
        <stp>BDH|8018276983618282874</stp>
        <tr r="T19" s="10"/>
      </tp>
      <tp t="e">
        <v>#N/A</v>
        <stp/>
        <stp>BDH|1292925852109782648</stp>
        <tr r="W41" s="24"/>
      </tp>
      <tp t="e">
        <v>#N/A</v>
        <stp/>
        <stp>BDH|1860019019494650673</stp>
        <tr r="S92" s="18"/>
      </tp>
      <tp t="e">
        <v>#N/A</v>
        <stp/>
        <stp>BDH|3491873101371310804</stp>
        <tr r="D57" s="17"/>
      </tp>
      <tp t="e">
        <v>#N/A</v>
        <stp/>
        <stp>BDH|8869713223727364888</stp>
        <tr r="V9" s="10"/>
      </tp>
      <tp t="e">
        <v>#N/A</v>
        <stp/>
        <stp>BDH|8205961864577383220</stp>
        <tr r="T30" s="17"/>
      </tp>
      <tp t="e">
        <v>#N/A</v>
        <stp/>
        <stp>BDH|3943438607685427087</stp>
        <tr r="K16" s="24"/>
      </tp>
      <tp t="e">
        <v>#N/A</v>
        <stp/>
        <stp>BDH|2441142516767282757</stp>
        <tr r="N17" s="34"/>
      </tp>
      <tp t="e">
        <v>#N/A</v>
        <stp/>
        <stp>BDH|2509992482892929366</stp>
        <tr r="W24" s="12"/>
      </tp>
      <tp t="e">
        <v>#N/A</v>
        <stp/>
        <stp>BDH|9705719221486376854</stp>
        <tr r="M14" s="28"/>
      </tp>
      <tp t="e">
        <v>#N/A</v>
        <stp/>
        <stp>BDH|4460532922152786333</stp>
        <tr r="Q133" s="18"/>
      </tp>
      <tp t="e">
        <v>#N/A</v>
        <stp/>
        <stp>BDH|4606758543826147375</stp>
        <tr r="F91" s="18"/>
      </tp>
      <tp t="e">
        <v>#N/A</v>
        <stp/>
        <stp>BDH|4643631714152447331</stp>
        <tr r="Y73" s="12"/>
      </tp>
      <tp t="e">
        <v>#N/A</v>
        <stp/>
        <stp>BDH|6237589378453663529</stp>
        <tr r="D73" s="17"/>
      </tp>
      <tp t="e">
        <v>#N/A</v>
        <stp/>
        <stp>BDH|9440573431674171957</stp>
        <tr r="P78" s="24"/>
      </tp>
      <tp t="e">
        <v>#N/A</v>
        <stp/>
        <stp>BDH|1465202531692457076</stp>
        <tr r="L54" s="6"/>
      </tp>
      <tp t="e">
        <v>#N/A</v>
        <stp/>
        <stp>BDH|5309720761527144170</stp>
        <tr r="X25" s="14"/>
      </tp>
      <tp t="e">
        <v>#N/A</v>
        <stp/>
        <stp>BDH|5690710131831790278</stp>
        <tr r="O69" s="18"/>
      </tp>
      <tp t="e">
        <v>#N/A</v>
        <stp/>
        <stp>BDH|9629169146166693863</stp>
        <tr r="Q52" s="34"/>
      </tp>
      <tp t="e">
        <v>#N/A</v>
        <stp/>
        <stp>BDH|1595630259202889213</stp>
        <tr r="O46" s="21"/>
      </tp>
      <tp t="e">
        <v>#N/A</v>
        <stp/>
        <stp>BDH|4816368451029096993</stp>
        <tr r="E16" s="24"/>
      </tp>
      <tp t="e">
        <v>#N/A</v>
        <stp/>
        <stp>BDH|2413161403337783608</stp>
        <tr r="O130" s="18"/>
      </tp>
      <tp t="e">
        <v>#N/A</v>
        <stp/>
        <stp>BDH|5789578040230038662</stp>
        <tr r="K79" s="24"/>
      </tp>
      <tp t="e">
        <v>#N/A</v>
        <stp/>
        <stp>BDH|1082726895444110908</stp>
        <tr r="L25" s="2"/>
        <tr r="N62" s="21"/>
      </tp>
      <tp t="e">
        <v>#N/A</v>
        <stp/>
        <stp>BDH|7523543463380194658</stp>
        <tr r="V6" s="2"/>
        <tr r="U6" s="5"/>
        <tr r="U6" s="9"/>
        <tr r="W12" s="8"/>
        <tr r="W10" s="29"/>
        <tr r="W19" s="29"/>
        <tr r="W25" s="29"/>
      </tp>
      <tp t="e">
        <v>#N/A</v>
        <stp/>
        <stp>BDH|7712167161000011262</stp>
        <tr r="W55" s="17"/>
      </tp>
      <tp t="e">
        <v>#N/A</v>
        <stp/>
        <stp>BDH|1795678322621674624</stp>
        <tr r="O12" s="25"/>
      </tp>
      <tp t="e">
        <v>#N/A</v>
        <stp/>
        <stp>BDH|2669027323542384028</stp>
        <tr r="R43" s="34"/>
      </tp>
      <tp t="e">
        <v>#N/A</v>
        <stp/>
        <stp>BDH|7232761168254345093</stp>
        <tr r="D42" s="34"/>
      </tp>
      <tp t="e">
        <v>#N/A</v>
        <stp/>
        <stp>BDH|9677278301661271849</stp>
        <tr r="H72" s="12"/>
      </tp>
      <tp t="e">
        <v>#N/A</v>
        <stp/>
        <stp>BDH|9039648273412381820</stp>
        <tr r="E22" s="34"/>
      </tp>
      <tp t="e">
        <v>#N/A</v>
        <stp/>
        <stp>BDH|1500110763102702668</stp>
        <tr r="N26" s="24"/>
      </tp>
      <tp t="e">
        <v>#N/A</v>
        <stp/>
        <stp>BDH|9611663796577483346</stp>
        <tr r="W48" s="22"/>
      </tp>
      <tp t="e">
        <v>#N/A</v>
        <stp/>
        <stp>BDH|7020270384946743927</stp>
        <tr r="K136" s="18"/>
      </tp>
      <tp t="e">
        <v>#N/A</v>
        <stp/>
        <stp>BDH|6654052322964727204</stp>
        <tr r="F99" s="18"/>
      </tp>
      <tp t="e">
        <v>#N/A</v>
        <stp/>
        <stp>BDH|7628005883925224814</stp>
        <tr r="M31" s="34"/>
      </tp>
      <tp t="e">
        <v>#N/A</v>
        <stp/>
        <stp>BDH|3484403567770057351</stp>
        <tr r="L145" s="18"/>
      </tp>
      <tp t="e">
        <v>#N/A</v>
        <stp/>
        <stp>BDH|3513503042802901282</stp>
        <tr r="X19" s="10"/>
      </tp>
      <tp t="e">
        <v>#N/A</v>
        <stp/>
        <stp>BDH|3961457200657368299</stp>
        <tr r="AA48" s="21"/>
      </tp>
      <tp t="e">
        <v>#N/A</v>
        <stp/>
        <stp>BDH|4259428457920357729</stp>
        <tr r="P34" s="6"/>
      </tp>
      <tp t="e">
        <v>#N/A</v>
        <stp/>
        <stp>BDH|8500833706946496428</stp>
        <tr r="AA80" s="34"/>
      </tp>
      <tp t="e">
        <v>#N/A</v>
        <stp/>
        <stp>BDH|7149273227082645718</stp>
        <tr r="M23" s="26"/>
      </tp>
      <tp t="e">
        <v>#N/A</v>
        <stp/>
        <stp>BDH|3504466404854425157</stp>
        <tr r="R95" s="24"/>
      </tp>
      <tp t="e">
        <v>#N/A</v>
        <stp/>
        <stp>BDH|6277141901467699270</stp>
        <tr r="L38" s="21"/>
        <tr r="L24" s="3"/>
      </tp>
      <tp t="e">
        <v>#N/A</v>
        <stp/>
        <stp>BDH|6319029474266717540</stp>
        <tr r="K82" s="17"/>
        <tr r="K20" s="3"/>
        <tr r="I6" s="7"/>
      </tp>
      <tp t="e">
        <v>#N/A</v>
        <stp/>
        <stp>BDH|1516154004304192635</stp>
        <tr r="I129" s="18"/>
      </tp>
      <tp t="e">
        <v>#N/A</v>
        <stp/>
        <stp>BDH|5439398770054829733</stp>
        <tr r="G69" s="17"/>
      </tp>
      <tp t="e">
        <v>#N/A</v>
        <stp/>
        <stp>BDH|8556956616990584258</stp>
        <tr r="U29" s="21"/>
      </tp>
      <tp t="e">
        <v>#N/A</v>
        <stp/>
        <stp>BDH|7959584454342212719</stp>
        <tr r="S70" s="10"/>
        <tr r="S60" s="11"/>
        <tr r="S20" s="7"/>
      </tp>
      <tp t="e">
        <v>#N/A</v>
        <stp/>
        <stp>BDH|9636708783665461176</stp>
        <tr r="S38" s="18"/>
      </tp>
      <tp t="e">
        <v>#N/A</v>
        <stp/>
        <stp>BDH|7032664849185989203</stp>
        <tr r="O35" s="22"/>
      </tp>
      <tp t="e">
        <v>#N/A</v>
        <stp/>
        <stp>BDH|2733772476763985392</stp>
        <tr r="Q91" s="18"/>
      </tp>
      <tp t="e">
        <v>#N/A</v>
        <stp/>
        <stp>BDH|2081664726664506035</stp>
        <tr r="X39" s="6"/>
      </tp>
      <tp t="e">
        <v>#N/A</v>
        <stp/>
        <stp>BDH|3740279500296463526</stp>
        <tr r="T26" s="29"/>
      </tp>
      <tp t="e">
        <v>#N/A</v>
        <stp/>
        <stp>BDH|4131202061871160371</stp>
        <tr r="F69" s="17"/>
      </tp>
      <tp t="e">
        <v>#N/A</v>
        <stp/>
        <stp>BDH|6036382332837831344</stp>
        <tr r="V29" s="13"/>
      </tp>
      <tp t="e">
        <v>#N/A</v>
        <stp/>
        <stp>BDH|8336918199038934246</stp>
        <tr r="J54" s="24"/>
      </tp>
      <tp t="e">
        <v>#N/A</v>
        <stp/>
        <stp>BDH|6040038410977133257</stp>
        <tr r="O24" s="12"/>
      </tp>
      <tp t="e">
        <v>#N/A</v>
        <stp/>
        <stp>BDH|5835457578787744356</stp>
        <tr r="W34" s="5"/>
        <tr r="Y32" s="29"/>
      </tp>
      <tp t="e">
        <v>#N/A</v>
        <stp/>
        <stp>BDH|7973795644356435072</stp>
        <tr r="D101" s="18"/>
      </tp>
      <tp t="e">
        <v>#N/A</v>
        <stp/>
        <stp>BDH|8466362581565782439</stp>
        <tr r="H9" s="18"/>
      </tp>
      <tp t="e">
        <v>#N/A</v>
        <stp/>
        <stp>BDH|2965690309007806166</stp>
        <tr r="I15" s="13"/>
      </tp>
      <tp t="e">
        <v>#N/A</v>
        <stp/>
        <stp>BDH|2438457506541657564</stp>
        <tr r="R17" s="4"/>
        <tr r="T10" s="3"/>
        <tr r="R56" s="10"/>
        <tr r="R46" s="11"/>
        <tr r="R17" s="7"/>
        <tr r="T61" s="13"/>
      </tp>
      <tp t="e">
        <v>#N/A</v>
        <stp/>
        <stp>BDH|9224184398165552601</stp>
        <tr r="L24" s="5"/>
      </tp>
      <tp t="e">
        <v>#N/A</v>
        <stp/>
        <stp>BDH|8749310431129573351</stp>
        <tr r="V180" s="18"/>
      </tp>
      <tp t="e">
        <v>#N/A</v>
        <stp/>
        <stp>BDH|6401022359567809604</stp>
        <tr r="H69" s="18"/>
      </tp>
      <tp t="e">
        <v>#N/A</v>
        <stp/>
        <stp>BDH|6790060350106033769</stp>
        <tr r="D157" s="18"/>
      </tp>
      <tp t="e">
        <v>#N/A</v>
        <stp/>
        <stp>BDH|5698181771918134990</stp>
        <tr r="L123" s="18"/>
        <tr r="L12" s="20"/>
      </tp>
      <tp t="e">
        <v>#N/A</v>
        <stp/>
        <stp>BDH|5209023044661524265</stp>
        <tr r="J12" s="17"/>
      </tp>
      <tp t="e">
        <v>#N/A</v>
        <stp/>
        <stp>BDH|1107314624717744542</stp>
        <tr r="S56" s="12"/>
      </tp>
      <tp t="e">
        <v>#N/A</v>
        <stp/>
        <stp>BDH|1461666423527240044</stp>
        <tr r="M6" s="19"/>
        <tr r="M34" s="17"/>
        <tr r="M16" s="3"/>
      </tp>
      <tp t="e">
        <v>#N/A</v>
        <stp/>
        <stp>BDH|7928569868845055303</stp>
        <tr r="Y178" s="18"/>
      </tp>
      <tp t="e">
        <v>#N/A</v>
        <stp/>
        <stp>BDH|5172547412392103116</stp>
        <tr r="R64" s="24"/>
      </tp>
      <tp t="e">
        <v>#N/A</v>
        <stp/>
        <stp>BDH|5458851143702023955</stp>
        <tr r="D58" s="24"/>
      </tp>
      <tp t="e">
        <v>#N/A</v>
        <stp/>
        <stp>BDH|8306822452936695125</stp>
        <tr r="X209" s="18"/>
      </tp>
      <tp t="e">
        <v>#N/A</v>
        <stp/>
        <stp>BDH|7941294997019542753</stp>
        <tr r="T94" s="12"/>
      </tp>
      <tp t="e">
        <v>#N/A</v>
        <stp/>
        <stp>BDH|5446854594713216500</stp>
        <tr r="U41" s="24"/>
      </tp>
      <tp t="e">
        <v>#N/A</v>
        <stp/>
        <stp>BDH|9359774920046475870</stp>
        <tr r="X157" s="18"/>
      </tp>
      <tp t="e">
        <v>#N/A</v>
        <stp/>
        <stp>BDH|3006836740649357473</stp>
        <tr r="Y28" s="14"/>
      </tp>
      <tp t="e">
        <v>#N/A</v>
        <stp/>
        <stp>BDH|7436225171521208125</stp>
        <tr r="C60" s="17"/>
      </tp>
      <tp t="e">
        <v>#N/A</v>
        <stp/>
        <stp>BDH|4239503444545548248</stp>
        <tr r="W25" s="22"/>
      </tp>
      <tp t="e">
        <v>#N/A</v>
        <stp/>
        <stp>BDH|7481796628531508172</stp>
        <tr r="O59" s="11"/>
      </tp>
      <tp t="e">
        <v>#N/A</v>
        <stp/>
        <stp>BDH|5539079416107327100</stp>
        <tr r="R26" s="17"/>
      </tp>
      <tp t="e">
        <v>#N/A</v>
        <stp/>
        <stp>BDH|5706267257354795465</stp>
        <tr r="S27" s="34"/>
      </tp>
      <tp t="e">
        <v>#N/A</v>
        <stp/>
        <stp>BDH|1451229213039040920</stp>
        <tr r="Z25" s="27"/>
      </tp>
      <tp t="e">
        <v>#N/A</v>
        <stp/>
        <stp>BDH|9682287159545837981</stp>
        <tr r="K25" s="3"/>
      </tp>
      <tp t="e">
        <v>#N/A</v>
        <stp/>
        <stp>BDH|6790612043005313312</stp>
        <tr r="L10" s="11"/>
      </tp>
      <tp t="e">
        <v>#N/A</v>
        <stp/>
        <stp>BDH|3283544473613123033</stp>
        <tr r="X80" s="34"/>
      </tp>
      <tp t="e">
        <v>#N/A</v>
        <stp/>
        <stp>BDH|3321625670717586733</stp>
        <tr r="W18" s="18"/>
      </tp>
      <tp t="e">
        <v>#N/A</v>
        <stp/>
        <stp>BDH|4226008260273161345</stp>
        <tr r="N18" s="18"/>
      </tp>
      <tp t="e">
        <v>#N/A</v>
        <stp/>
        <stp>BDH|5240911281896348062</stp>
        <tr r="N50" s="34"/>
      </tp>
      <tp t="e">
        <v>#N/A</v>
        <stp/>
        <stp>BDH|2683363771197478327</stp>
        <tr r="X6" s="6"/>
      </tp>
      <tp t="e">
        <v>#N/A</v>
        <stp/>
        <stp>BDH|3185052172974594240</stp>
        <tr r="Q35" s="21"/>
      </tp>
      <tp t="e">
        <v>#N/A</v>
        <stp/>
        <stp>BDH|2598254056203718464</stp>
        <tr r="J86" s="24"/>
      </tp>
      <tp t="e">
        <v>#N/A</v>
        <stp/>
        <stp>BDH|5292866520614019932</stp>
        <tr r="G152" s="18"/>
      </tp>
      <tp t="e">
        <v>#N/A</v>
        <stp/>
        <stp>BDH|1969181651483264458</stp>
        <tr r="Y132" s="18"/>
      </tp>
      <tp t="e">
        <v>#N/A</v>
        <stp/>
        <stp>BDH|1254428227124021102</stp>
        <tr r="AA104" s="18"/>
      </tp>
      <tp t="e">
        <v>#N/A</v>
        <stp/>
        <stp>BDH|3347536263977472500</stp>
        <tr r="W62" s="17"/>
      </tp>
      <tp t="e">
        <v>#N/A</v>
        <stp/>
        <stp>BDH|2460447770625126669</stp>
        <tr r="H52" s="12"/>
      </tp>
      <tp t="e">
        <v>#N/A</v>
        <stp/>
        <stp>BDH|2483367537737306714</stp>
        <tr r="G28" s="14"/>
      </tp>
      <tp t="e">
        <v>#N/A</v>
        <stp/>
        <stp>BDH|3726043207031749049</stp>
        <tr r="C64" s="24"/>
      </tp>
      <tp t="e">
        <v>#N/A</v>
        <stp/>
        <stp>BDH|7897845467613956850</stp>
        <tr r="E14" s="11"/>
      </tp>
      <tp t="e">
        <v>#N/A</v>
        <stp/>
        <stp>BDH|6743630673874707173</stp>
        <tr r="R21" s="34"/>
      </tp>
      <tp t="e">
        <v>#N/A</v>
        <stp/>
        <stp>BDH|1542030926882112363</stp>
        <tr r="H31" s="25"/>
        <tr r="E14" s="5"/>
        <tr r="H17" s="27"/>
      </tp>
      <tp t="e">
        <v>#N/A</v>
        <stp/>
        <stp>BDH|1761218171772814486</stp>
        <tr r="D47" s="12"/>
      </tp>
      <tp t="e">
        <v>#N/A</v>
        <stp/>
        <stp>BDH|2757016907488110847</stp>
        <tr r="N9" s="30"/>
      </tp>
      <tp t="e">
        <v>#N/A</v>
        <stp/>
        <stp>BDH|4415625506571390179</stp>
        <tr r="Z91" s="17"/>
      </tp>
      <tp t="e">
        <v>#N/A</v>
        <stp/>
        <stp>BDH|4253738364182692574</stp>
        <tr r="W11" s="22"/>
      </tp>
      <tp t="e">
        <v>#N/A</v>
        <stp/>
        <stp>BDH|4519262336977126009</stp>
        <tr r="G13" s="11"/>
      </tp>
      <tp t="e">
        <v>#N/A</v>
        <stp/>
        <stp>BDH|6552856924978491640</stp>
        <tr r="R84" s="12"/>
      </tp>
      <tp t="e">
        <v>#N/A</v>
        <stp/>
        <stp>BDH|6943585234003026111</stp>
        <tr r="T54" s="13"/>
      </tp>
      <tp t="e">
        <v>#N/A</v>
        <stp/>
        <stp>BDH|3806416473197748591</stp>
        <tr r="L7" s="6"/>
      </tp>
      <tp t="e">
        <v>#N/A</v>
        <stp/>
        <stp>BDH|3067156043393439765</stp>
        <tr r="Y20" s="29"/>
      </tp>
      <tp t="e">
        <v>#N/A</v>
        <stp/>
        <stp>BDH|2785514549934213591</stp>
        <tr r="K57" s="24"/>
      </tp>
      <tp t="e">
        <v>#N/A</v>
        <stp/>
        <stp>BDH|6280763939627189780</stp>
        <tr r="U89" s="12"/>
      </tp>
      <tp t="e">
        <v>#N/A</v>
        <stp/>
        <stp>BDH|4669764616796255605</stp>
        <tr r="X18" s="17"/>
      </tp>
      <tp t="e">
        <v>#N/A</v>
        <stp/>
        <stp>BDH|6353434575513886498</stp>
        <tr r="N14" s="29"/>
        <tr r="N23" s="29"/>
        <tr r="N37" s="29"/>
      </tp>
      <tp t="e">
        <v>#N/A</v>
        <stp/>
        <stp>BDH|3068630905466544172</stp>
        <tr r="W56" s="13"/>
      </tp>
      <tp t="e">
        <v>#N/A</v>
        <stp/>
        <stp>BDH|2950972190180922030</stp>
        <tr r="V23" s="17"/>
      </tp>
      <tp t="e">
        <v>#N/A</v>
        <stp/>
        <stp>BDH|6875207641637555584</stp>
        <tr r="Y75" s="12"/>
      </tp>
      <tp t="e">
        <v>#N/A</v>
        <stp/>
        <stp>BDH|9823400133115746980</stp>
        <tr r="E27" s="7"/>
      </tp>
      <tp t="e">
        <v>#N/A</v>
        <stp/>
        <stp>BDH|6245476966536699019</stp>
        <tr r="R30" s="5"/>
        <tr r="R30" s="9"/>
      </tp>
      <tp t="e">
        <v>#N/A</v>
        <stp/>
        <stp>BDH|3846085335601476357</stp>
        <tr r="W34" s="12"/>
      </tp>
      <tp t="e">
        <v>#N/A</v>
        <stp/>
        <stp>BDH|7431750777500398518</stp>
        <tr r="U65" s="21"/>
        <tr r="S23" s="7"/>
      </tp>
      <tp t="e">
        <v>#N/A</v>
        <stp/>
        <stp>BDH|8004105312598344253</stp>
        <tr r="T6" s="2"/>
        <tr r="S6" s="5"/>
        <tr r="S6" s="9"/>
        <tr r="U12" s="8"/>
        <tr r="U10" s="29"/>
        <tr r="U19" s="29"/>
        <tr r="U25" s="29"/>
      </tp>
      <tp t="e">
        <v>#N/A</v>
        <stp/>
        <stp>BDH|4114837647108457254</stp>
        <tr r="W50" s="24"/>
      </tp>
      <tp t="e">
        <v>#N/A</v>
        <stp/>
        <stp>BDH|2604665842223486129</stp>
        <tr r="Q35" s="26"/>
      </tp>
      <tp t="e">
        <v>#N/A</v>
        <stp/>
        <stp>BDH|7929130730554798397</stp>
        <tr r="U53" s="21"/>
      </tp>
      <tp t="e">
        <v>#N/A</v>
        <stp/>
        <stp>BDH|7489262037244583049</stp>
        <tr r="S46" s="34"/>
      </tp>
      <tp t="e">
        <v>#N/A</v>
        <stp/>
        <stp>BDH|1562088378883970788</stp>
        <tr r="Z66" s="17"/>
      </tp>
      <tp t="e">
        <v>#N/A</v>
        <stp/>
        <stp>BDH|3316209415105719751</stp>
        <tr r="D48" s="17"/>
      </tp>
      <tp t="e">
        <v>#N/A</v>
        <stp/>
        <stp>BDH|8404393638258099210</stp>
        <tr r="X52" s="24"/>
      </tp>
      <tp t="e">
        <v>#N/A</v>
        <stp/>
        <stp>BDH|7597813516865584931</stp>
        <tr r="T47" s="22"/>
      </tp>
      <tp t="e">
        <v>#N/A</v>
        <stp/>
        <stp>BDH|7291641432044277425</stp>
        <tr r="G66" s="21"/>
        <tr r="D27" s="6"/>
      </tp>
      <tp t="e">
        <v>#N/A</v>
        <stp/>
        <stp>BDH|1492411328432012797</stp>
        <tr r="G192" s="18"/>
      </tp>
      <tp t="e">
        <v>#N/A</v>
        <stp/>
        <stp>BDH|1461635712595883194</stp>
        <tr r="H45" s="6"/>
      </tp>
      <tp t="e">
        <v>#N/A</v>
        <stp/>
        <stp>BDH|8201303186719199817</stp>
        <tr r="D49" s="6"/>
        <tr r="F10" s="8"/>
      </tp>
      <tp t="e">
        <v>#N/A</v>
        <stp/>
        <stp>BDH|6996633721006658695</stp>
        <tr r="V17" s="24"/>
      </tp>
      <tp t="e">
        <v>#N/A</v>
        <stp/>
        <stp>BDH|1106926263099097545</stp>
        <tr r="Q38" s="4"/>
        <tr r="Q56" s="11"/>
        <tr r="S13" s="23"/>
      </tp>
      <tp t="e">
        <v>#N/A</v>
        <stp/>
        <stp>BDH|2147289716825298696</stp>
        <tr r="S29" s="34"/>
      </tp>
      <tp t="e">
        <v>#N/A</v>
        <stp/>
        <stp>BDH|1995848286171793284</stp>
        <tr r="F63" s="21"/>
      </tp>
      <tp t="e">
        <v>#N/A</v>
        <stp/>
        <stp>BDH|3676529240920131018</stp>
        <tr r="K11" s="30"/>
      </tp>
      <tp t="e">
        <v>#N/A</v>
        <stp/>
        <stp>BDH|2791260751347312077</stp>
        <tr r="Z43" s="12"/>
      </tp>
      <tp t="e">
        <v>#N/A</v>
        <stp/>
        <stp>BDH|1741007651831075720</stp>
        <tr r="Q47" s="22"/>
      </tp>
      <tp t="e">
        <v>#N/A</v>
        <stp/>
        <stp>BDH|3284939171938069742</stp>
        <tr r="J24" s="20"/>
      </tp>
      <tp t="e">
        <v>#N/A</v>
        <stp/>
        <stp>BDH|9089433922454002950</stp>
        <tr r="C25" s="6"/>
      </tp>
      <tp t="e">
        <v>#N/A</v>
        <stp/>
        <stp>BDH|8247530289821964655</stp>
        <tr r="P76" s="18"/>
      </tp>
      <tp t="e">
        <v>#N/A</v>
        <stp/>
        <stp>BDH|1133923895514496763</stp>
        <tr r="T153" s="18"/>
      </tp>
      <tp t="e">
        <v>#N/A</v>
        <stp/>
        <stp>BDH|7542025034663398541</stp>
        <tr r="H185" s="18"/>
      </tp>
      <tp t="e">
        <v>#N/A</v>
        <stp/>
        <stp>BDH|2686417477146672527</stp>
        <tr r="R51" s="21"/>
      </tp>
      <tp t="e">
        <v>#N/A</v>
        <stp/>
        <stp>BDH|4102219651724481518</stp>
        <tr r="L27" s="25"/>
        <tr r="L13" s="27"/>
      </tp>
      <tp t="e">
        <v>#N/A</v>
        <stp/>
        <stp>BDH|8974689711764374970</stp>
        <tr r="AA57" s="12"/>
      </tp>
      <tp t="e">
        <v>#N/A</v>
        <stp/>
        <stp>BDH|5402008044133622025</stp>
        <tr r="M83" s="24"/>
      </tp>
      <tp t="e">
        <v>#N/A</v>
        <stp/>
        <stp>BDH|5345356951833102224</stp>
        <tr r="G21" s="3"/>
      </tp>
      <tp t="e">
        <v>#N/A</v>
        <stp/>
        <stp>BDH|4154235949620784080</stp>
        <tr r="L140" s="18"/>
      </tp>
      <tp t="e">
        <v>#N/A</v>
        <stp/>
        <stp>BDH|6608998394916998279</stp>
        <tr r="I44" s="6"/>
      </tp>
      <tp t="e">
        <v>#N/A</v>
        <stp/>
        <stp>BDH|3057082401410428180</stp>
        <tr r="K17" s="9"/>
      </tp>
      <tp t="e">
        <v>#N/A</v>
        <stp/>
        <stp>BDH|3001556625971598706</stp>
        <tr r="E12" s="26"/>
      </tp>
      <tp t="e">
        <v>#N/A</v>
        <stp/>
        <stp>BDH|3684198384788777090</stp>
        <tr r="S7" s="2"/>
        <tr r="R7" s="5"/>
        <tr r="R7" s="9"/>
        <tr r="U14" s="3"/>
      </tp>
      <tp t="e">
        <v>#N/A</v>
        <stp/>
        <stp>BDH|4393695684268956028</stp>
        <tr r="U95" s="18"/>
      </tp>
      <tp t="e">
        <v>#N/A</v>
        <stp/>
        <stp>BDH|5687367672283467038</stp>
        <tr r="V13" s="24"/>
      </tp>
      <tp t="e">
        <v>#N/A</v>
        <stp/>
        <stp>BDH|3328302806085133710</stp>
        <tr r="H15" s="25"/>
      </tp>
      <tp t="e">
        <v>#N/A</v>
        <stp/>
        <stp>BDH|4048607091430740930</stp>
        <tr r="Y10" s="4"/>
        <tr r="X6" s="16"/>
        <tr r="AA6" s="3"/>
        <tr r="Y6" s="11"/>
      </tp>
      <tp t="e">
        <v>#N/A</v>
        <stp/>
        <stp>BDH|5856326179214527731</stp>
        <tr r="T28" s="25"/>
        <tr r="T14" s="27"/>
      </tp>
      <tp t="e">
        <v>#N/A</v>
        <stp/>
        <stp>BDH|1329527747786474470</stp>
        <tr r="V15" s="30"/>
      </tp>
      <tp t="e">
        <v>#N/A</v>
        <stp/>
        <stp>BDH|6058541751407445341</stp>
        <tr r="E23" s="21"/>
      </tp>
      <tp t="e">
        <v>#N/A</v>
        <stp/>
        <stp>BDH|7886399277461154024</stp>
        <tr r="Y26" s="17"/>
      </tp>
      <tp t="e">
        <v>#N/A</v>
        <stp/>
        <stp>BDH|3404044034523131106</stp>
        <tr r="G23" s="21"/>
      </tp>
      <tp t="e">
        <v>#N/A</v>
        <stp/>
        <stp>BDH|3254133522535507734</stp>
        <tr r="W89" s="17"/>
      </tp>
      <tp t="e">
        <v>#N/A</v>
        <stp/>
        <stp>BDH|7733211143786975595</stp>
        <tr r="V94" s="17"/>
      </tp>
      <tp t="e">
        <v>#N/A</v>
        <stp/>
        <stp>BDH|6177441802416757650</stp>
        <tr r="E47" s="6"/>
        <tr r="G6" s="8"/>
      </tp>
      <tp t="e">
        <v>#N/A</v>
        <stp/>
        <stp>BDH|7036128110414103169</stp>
        <tr r="P35" s="12"/>
      </tp>
      <tp t="e">
        <v>#N/A</v>
        <stp/>
        <stp>BDH|6177217893696797919</stp>
        <tr r="I131" s="18"/>
      </tp>
      <tp t="e">
        <v>#N/A</v>
        <stp/>
        <stp>BDH|2208025974117242036</stp>
        <tr r="R44" s="6"/>
      </tp>
      <tp t="e">
        <v>#N/A</v>
        <stp/>
        <stp>BDH|6316103161451740204</stp>
        <tr r="C44" s="17"/>
      </tp>
      <tp t="e">
        <v>#N/A</v>
        <stp/>
        <stp>BDH|9729401815398551623</stp>
        <tr r="P24" s="12"/>
      </tp>
      <tp t="e">
        <v>#N/A</v>
        <stp/>
        <stp>BDH|2282411986384958899</stp>
        <tr r="Q35" s="24"/>
      </tp>
      <tp t="e">
        <v>#N/A</v>
        <stp/>
        <stp>BDH|4694039165496147646</stp>
        <tr r="D92" s="18"/>
      </tp>
      <tp t="e">
        <v>#N/A</v>
        <stp/>
        <stp>BDH|2323348023358291939</stp>
        <tr r="P11" s="17"/>
      </tp>
      <tp t="e">
        <v>#N/A</v>
        <stp/>
        <stp>BDH|3148489812074977073</stp>
        <tr r="P37" s="18"/>
      </tp>
      <tp t="e">
        <v>#N/A</v>
        <stp/>
        <stp>BDH|9925362309001784941</stp>
        <tr r="Q9" s="12"/>
      </tp>
      <tp t="e">
        <v>#N/A</v>
        <stp/>
        <stp>BDH|7492126958777854634</stp>
        <tr r="C62" s="34"/>
      </tp>
      <tp t="e">
        <v>#N/A</v>
        <stp/>
        <stp>BDH|2390437653581245046</stp>
        <tr r="D14" s="13"/>
      </tp>
      <tp t="e">
        <v>#N/A</v>
        <stp/>
        <stp>BDH|1615480394468947669</stp>
        <tr r="L21" s="20"/>
      </tp>
      <tp t="e">
        <v>#N/A</v>
        <stp/>
        <stp>BDH|6151633131277280644</stp>
        <tr r="L34" s="12"/>
      </tp>
      <tp t="e">
        <v>#N/A</v>
        <stp/>
        <stp>BDH|1316416167638504959</stp>
        <tr r="D18" s="26"/>
      </tp>
      <tp t="e">
        <v>#N/A</v>
        <stp/>
        <stp>BDH|2672986755655991976</stp>
        <tr r="P49" s="17"/>
      </tp>
      <tp t="e">
        <v>#N/A</v>
        <stp/>
        <stp>BDH|2102869430199693249</stp>
        <tr r="L122" s="18"/>
        <tr r="L11" s="20"/>
      </tp>
      <tp t="e">
        <v>#N/A</v>
        <stp/>
        <stp>BDH|2392546810317531377</stp>
        <tr r="I9" s="28"/>
      </tp>
      <tp t="e">
        <v>#N/A</v>
        <stp/>
        <stp>BDH|2421452255994390528</stp>
        <tr r="J21" s="10"/>
      </tp>
      <tp t="e">
        <v>#N/A</v>
        <stp/>
        <stp>BDH|3034034070100242649</stp>
        <tr r="U11" s="11"/>
      </tp>
      <tp t="e">
        <v>#N/A</v>
        <stp/>
        <stp>BDH|7303037457977511774</stp>
        <tr r="T14" s="21"/>
      </tp>
      <tp t="e">
        <v>#N/A</v>
        <stp/>
        <stp>BDH|8293759896901131551</stp>
        <tr r="C45" s="18"/>
      </tp>
      <tp t="e">
        <v>#N/A</v>
        <stp/>
        <stp>BDH|2822518770690445285</stp>
        <tr r="J22" s="34"/>
      </tp>
      <tp t="e">
        <v>#N/A</v>
        <stp/>
        <stp>BDH|4753713971895533371</stp>
        <tr r="E150" s="18"/>
      </tp>
      <tp t="e">
        <v>#N/A</v>
        <stp/>
        <stp>BDH|3268339971685527007</stp>
        <tr r="R30" s="22"/>
      </tp>
      <tp t="e">
        <v>#N/A</v>
        <stp/>
        <stp>BDH|9265725444788883090</stp>
        <tr r="Q12" s="18"/>
      </tp>
      <tp t="e">
        <v>#N/A</v>
        <stp/>
        <stp>BDH|1210972595932252170</stp>
        <tr r="S47" s="21"/>
      </tp>
      <tp t="e">
        <v>#N/A</v>
        <stp/>
        <stp>BDH|2698701983116554953</stp>
        <tr r="F57" s="24"/>
      </tp>
      <tp t="e">
        <v>#N/A</v>
        <stp/>
        <stp>BDH|7036116307877549366</stp>
        <tr r="AA155" s="18"/>
      </tp>
      <tp t="e">
        <v>#N/A</v>
        <stp/>
        <stp>BDH|1327247300755497465</stp>
        <tr r="D83" s="12"/>
      </tp>
      <tp t="e">
        <v>#N/A</v>
        <stp/>
        <stp>BDH|4105153335554183050</stp>
        <tr r="Q75" s="12"/>
      </tp>
      <tp t="e">
        <v>#N/A</v>
        <stp/>
        <stp>BDH|9825902026945358582</stp>
        <tr r="F12" s="11"/>
      </tp>
      <tp t="e">
        <v>#N/A</v>
        <stp/>
        <stp>BDH|28538679185965845</stp>
        <tr r="V16" s="2"/>
        <tr r="V32" s="4"/>
        <tr r="V62" s="10"/>
        <tr r="X19" s="13"/>
      </tp>
      <tp t="e">
        <v>#N/A</v>
        <stp/>
        <stp>BDH|94610595637490742</stp>
        <tr r="D94" s="24"/>
      </tp>
      <tp t="e">
        <v>#N/A</v>
        <stp/>
        <stp>BDH|49503980783717143</stp>
        <tr r="K47" s="18"/>
      </tp>
      <tp t="e">
        <v>#N/A</v>
        <stp/>
        <stp>BDH|34812269695141487</stp>
        <tr r="L19" s="11"/>
      </tp>
      <tp t="e">
        <v>#N/A</v>
        <stp/>
        <stp>BDH|34794823329251379</stp>
        <tr r="T11" s="21"/>
      </tp>
      <tp t="e">
        <v>#N/A</v>
        <stp/>
        <stp>BDH|68579634361306883</stp>
        <tr r="P23" s="14"/>
      </tp>
      <tp t="e">
        <v>#N/A</v>
        <stp/>
        <stp>BDH|9868227082068482868</stp>
        <tr r="N46" s="12"/>
      </tp>
      <tp t="e">
        <v>#N/A</v>
        <stp/>
        <stp>BDH|2476939057898202587</stp>
        <tr r="Y179" s="18"/>
      </tp>
      <tp t="e">
        <v>#N/A</v>
        <stp/>
        <stp>BDH|1563063345287432185</stp>
        <tr r="V11" s="14"/>
      </tp>
      <tp t="e">
        <v>#N/A</v>
        <stp/>
        <stp>BDH|6539351417584823355</stp>
        <tr r="L37" s="21"/>
      </tp>
      <tp t="e">
        <v>#N/A</v>
        <stp/>
        <stp>BDH|5183289305961690502</stp>
        <tr r="S13" s="5"/>
      </tp>
      <tp t="e">
        <v>#N/A</v>
        <stp/>
        <stp>BDH|9509216599237303647</stp>
        <tr r="W17" s="20"/>
      </tp>
      <tp t="e">
        <v>#N/A</v>
        <stp/>
        <stp>BDH|7020584227257408417</stp>
        <tr r="D77" s="24"/>
      </tp>
      <tp t="e">
        <v>#N/A</v>
        <stp/>
        <stp>BDH|6166887295293118770</stp>
        <tr r="Z112" s="18"/>
      </tp>
      <tp t="e">
        <v>#N/A</v>
        <stp/>
        <stp>BDH|5293563422210890143</stp>
        <tr r="C20" s="25"/>
      </tp>
      <tp t="e">
        <v>#N/A</v>
        <stp/>
        <stp>BDH|3480259165336870260</stp>
        <tr r="L6" s="6"/>
      </tp>
      <tp t="e">
        <v>#N/A</v>
        <stp/>
        <stp>BDH|6911979056879134036</stp>
        <tr r="S42" s="22"/>
      </tp>
      <tp t="e">
        <v>#N/A</v>
        <stp/>
        <stp>BDH|9781086127660558878</stp>
        <tr r="W116" s="18"/>
      </tp>
      <tp t="e">
        <v>#N/A</v>
        <stp/>
        <stp>BDH|6663862591222970625</stp>
        <tr r="AA123" s="18"/>
        <tr r="AA12" s="20"/>
      </tp>
      <tp t="e">
        <v>#N/A</v>
        <stp/>
        <stp>BDH|8649385953729116463</stp>
        <tr r="E15" s="9"/>
      </tp>
      <tp t="e">
        <v>#N/A</v>
        <stp/>
        <stp>BDH|1043681843633675370</stp>
        <tr r="F59" s="24"/>
      </tp>
      <tp t="e">
        <v>#N/A</v>
        <stp/>
        <stp>BDH|7361640358236205173</stp>
        <tr r="W48" s="21"/>
      </tp>
      <tp t="e">
        <v>#N/A</v>
        <stp/>
        <stp>BDH|5608022341861997364</stp>
        <tr r="G35" s="24"/>
      </tp>
      <tp t="e">
        <v>#N/A</v>
        <stp/>
        <stp>BDH|3629628838842046760</stp>
        <tr r="V15" s="4"/>
      </tp>
      <tp t="e">
        <v>#N/A</v>
        <stp/>
        <stp>BDH|7439577621672111195</stp>
        <tr r="N127" s="18"/>
      </tp>
      <tp t="e">
        <v>#N/A</v>
        <stp/>
        <stp>BDH|7704336068093277247</stp>
        <tr r="I80" s="12"/>
      </tp>
      <tp t="e">
        <v>#N/A</v>
        <stp/>
        <stp>BDH|2710068804441869072</stp>
        <tr r="H89" s="17"/>
      </tp>
      <tp t="e">
        <v>#N/A</v>
        <stp/>
        <stp>BDH|8030949645847383183</stp>
        <tr r="W32" s="14"/>
      </tp>
      <tp t="e">
        <v>#N/A</v>
        <stp/>
        <stp>BDH|2289864342388879541</stp>
        <tr r="E91" s="18"/>
      </tp>
      <tp t="e">
        <v>#N/A</v>
        <stp/>
        <stp>BDH|7171899864378738216</stp>
        <tr r="N7" s="24"/>
      </tp>
      <tp t="e">
        <v>#N/A</v>
        <stp/>
        <stp>BDH|2682596234376347121</stp>
        <tr r="T100" s="12"/>
      </tp>
      <tp t="e">
        <v>#N/A</v>
        <stp/>
        <stp>BDH|2567886514439678158</stp>
        <tr r="L16" s="22"/>
      </tp>
      <tp t="e">
        <v>#N/A</v>
        <stp/>
        <stp>BDH|5068224533140283790</stp>
        <tr r="S55" s="18"/>
      </tp>
      <tp t="e">
        <v>#N/A</v>
        <stp/>
        <stp>BDH|2657410248164198546</stp>
        <tr r="E19" s="26"/>
      </tp>
      <tp t="e">
        <v>#N/A</v>
        <stp/>
        <stp>BDH|1156912523029927008</stp>
        <tr r="K8" s="2"/>
      </tp>
      <tp t="e">
        <v>#N/A</v>
        <stp/>
        <stp>BDH|9407879107310876260</stp>
        <tr r="I39" s="18"/>
      </tp>
      <tp t="e">
        <v>#N/A</v>
        <stp/>
        <stp>BDH|4462076719616492043</stp>
        <tr r="W20" s="6"/>
      </tp>
      <tp t="e">
        <v>#N/A</v>
        <stp/>
        <stp>BDH|1056569071462467292</stp>
        <tr r="W83" s="18"/>
      </tp>
      <tp t="e">
        <v>#N/A</v>
        <stp/>
        <stp>BDH|9896511705528746716</stp>
        <tr r="S138" s="18"/>
      </tp>
      <tp t="e">
        <v>#N/A</v>
        <stp/>
        <stp>BDH|1687005149530744623</stp>
        <tr r="D10" s="12"/>
      </tp>
      <tp t="e">
        <v>#N/A</v>
        <stp/>
        <stp>BDH|3520583631807622105</stp>
        <tr r="K87" s="12"/>
      </tp>
      <tp t="e">
        <v>#N/A</v>
        <stp/>
        <stp>BDH|5298086029271147587</stp>
        <tr r="P15" s="14"/>
      </tp>
      <tp t="e">
        <v>#N/A</v>
        <stp/>
        <stp>BDH|6127261525497910218</stp>
        <tr r="O24" s="18"/>
      </tp>
      <tp t="e">
        <v>#N/A</v>
        <stp/>
        <stp>BDH|9551263899174116507</stp>
        <tr r="I80" s="34"/>
      </tp>
      <tp t="e">
        <v>#N/A</v>
        <stp/>
        <stp>BDH|7156981364639028260</stp>
        <tr r="G168" s="18"/>
      </tp>
      <tp t="e">
        <v>#N/A</v>
        <stp/>
        <stp>BDH|3852534056556572630</stp>
        <tr r="J20" s="2"/>
        <tr r="J18" s="4"/>
        <tr r="J58" s="10"/>
        <tr r="J48" s="11"/>
        <tr r="J19" s="7"/>
        <tr r="L74" s="13"/>
      </tp>
      <tp t="e">
        <v>#N/A</v>
        <stp/>
        <stp>BDH|8676899100205088646</stp>
        <tr r="D204" s="18"/>
      </tp>
      <tp t="e">
        <v>#N/A</v>
        <stp/>
        <stp>BDH|3675094063877618118</stp>
        <tr r="J103" s="12"/>
      </tp>
      <tp t="e">
        <v>#N/A</v>
        <stp/>
        <stp>BDH|1284368158791368544</stp>
        <tr r="N26" s="26"/>
      </tp>
      <tp t="e">
        <v>#N/A</v>
        <stp/>
        <stp>BDH|2405312248117674101</stp>
        <tr r="M13" s="6"/>
      </tp>
      <tp t="e">
        <v>#N/A</v>
        <stp/>
        <stp>BDH|2086789367724207462</stp>
        <tr r="G47" s="22"/>
      </tp>
      <tp t="e">
        <v>#N/A</v>
        <stp/>
        <stp>BDH|3729210856903891436</stp>
        <tr r="H21" s="20"/>
      </tp>
      <tp t="e">
        <v>#N/A</v>
        <stp/>
        <stp>BDH|5352747053982979668</stp>
        <tr r="G117" s="18"/>
      </tp>
      <tp t="e">
        <v>#N/A</v>
        <stp/>
        <stp>BDH|8348129025500942868</stp>
        <tr r="Z113" s="18"/>
      </tp>
      <tp t="e">
        <v>#N/A</v>
        <stp/>
        <stp>BDH|8641291500280166955</stp>
        <tr r="M50" s="12"/>
      </tp>
      <tp t="e">
        <v>#N/A</v>
        <stp/>
        <stp>BDH|3161387805082645112</stp>
        <tr r="C72" s="13"/>
      </tp>
      <tp t="e">
        <v>#N/A</v>
        <stp/>
        <stp>BDH|7284757369944015151</stp>
        <tr r="AA23" s="23"/>
      </tp>
      <tp t="e">
        <v>#N/A</v>
        <stp/>
        <stp>BDH|3779890287199052925</stp>
        <tr r="T66" s="18"/>
      </tp>
      <tp t="e">
        <v>#N/A</v>
        <stp/>
        <stp>BDH|6098036525774591387</stp>
        <tr r="L63" s="13"/>
      </tp>
      <tp t="e">
        <v>#N/A</v>
        <stp/>
        <stp>BDH|5546503129219359849</stp>
        <tr r="T12" s="10"/>
      </tp>
      <tp t="e">
        <v>#N/A</v>
        <stp/>
        <stp>BDH|2754745965815841554</stp>
        <tr r="G96" s="18"/>
      </tp>
      <tp t="e">
        <v>#N/A</v>
        <stp/>
        <stp>BDH|7962537933865348716</stp>
        <tr r="L14" s="2"/>
        <tr r="L11" s="10"/>
      </tp>
      <tp t="e">
        <v>#N/A</v>
        <stp/>
        <stp>BDH|7197276768216370661</stp>
        <tr r="M12" s="18"/>
      </tp>
      <tp t="e">
        <v>#N/A</v>
        <stp/>
        <stp>BDH|4984673460181257674</stp>
        <tr r="O91" s="24"/>
      </tp>
      <tp t="e">
        <v>#N/A</v>
        <stp/>
        <stp>BDH|2685359729247780761</stp>
        <tr r="J24" s="4"/>
        <tr r="J55" s="11"/>
      </tp>
      <tp t="e">
        <v>#N/A</v>
        <stp/>
        <stp>BDH|5518161104064929358</stp>
        <tr r="V17" s="29"/>
        <tr r="V40" s="29"/>
      </tp>
      <tp t="e">
        <v>#N/A</v>
        <stp/>
        <stp>BDH|7087003970403222090</stp>
        <tr r="M100" s="12"/>
      </tp>
      <tp t="e">
        <v>#N/A</v>
        <stp/>
        <stp>BDH|7486517951352824673</stp>
        <tr r="I91" s="24"/>
      </tp>
      <tp t="e">
        <v>#N/A</v>
        <stp/>
        <stp>BDH|3875910673837260935</stp>
        <tr r="O16" s="10"/>
      </tp>
      <tp t="e">
        <v>#N/A</v>
        <stp/>
        <stp>BDH|1320216689238788072</stp>
        <tr r="V10" s="23"/>
      </tp>
      <tp t="e">
        <v>#N/A</v>
        <stp/>
        <stp>BDH|4530114289846542834</stp>
        <tr r="N37" s="34"/>
      </tp>
      <tp t="e">
        <v>#N/A</v>
        <stp/>
        <stp>BDH|7974565473532500428</stp>
        <tr r="L27" s="21"/>
      </tp>
      <tp t="e">
        <v>#N/A</v>
        <stp/>
        <stp>BDH|7914467352492542738</stp>
        <tr r="T30" s="5"/>
        <tr r="T30" s="9"/>
      </tp>
      <tp t="e">
        <v>#N/A</v>
        <stp/>
        <stp>BDH|7091432378036939196</stp>
        <tr r="M22" s="17"/>
      </tp>
      <tp t="e">
        <v>#N/A</v>
        <stp/>
        <stp>BDH|6565380625823465749</stp>
        <tr r="U61" s="24"/>
      </tp>
      <tp t="e">
        <v>#N/A</v>
        <stp/>
        <stp>BDH|3995629777536037747</stp>
        <tr r="Q93" s="18"/>
      </tp>
      <tp t="e">
        <v>#N/A</v>
        <stp/>
        <stp>BDH|8157160639689309052</stp>
        <tr r="J14" s="17"/>
        <tr r="J17" s="28"/>
      </tp>
      <tp t="e">
        <v>#N/A</v>
        <stp/>
        <stp>BDH|7434204168377760733</stp>
        <tr r="J21" s="2"/>
      </tp>
      <tp t="e">
        <v>#N/A</v>
        <stp/>
        <stp>BDH|5583627051591629489</stp>
        <tr r="C13" s="30"/>
      </tp>
      <tp t="e">
        <v>#N/A</v>
        <stp/>
        <stp>BDH|7807925485245004076</stp>
        <tr r="J56" s="12"/>
      </tp>
      <tp t="e">
        <v>#N/A</v>
        <stp/>
        <stp>BDH|3537158839906150406</stp>
        <tr r="V9" s="27"/>
      </tp>
      <tp t="e">
        <v>#N/A</v>
        <stp/>
        <stp>BDH|2992421946542293374</stp>
        <tr r="C20" s="34"/>
      </tp>
      <tp t="e">
        <v>#N/A</v>
        <stp/>
        <stp>BDH|7902265528587751385</stp>
        <tr r="N42" s="12"/>
      </tp>
      <tp t="e">
        <v>#N/A</v>
        <stp/>
        <stp>BDH|8763532470671514890</stp>
        <tr r="V62" s="17"/>
      </tp>
      <tp t="e">
        <v>#N/A</v>
        <stp/>
        <stp>BDH|1737583829427916276</stp>
        <tr r="T17" s="14"/>
      </tp>
      <tp t="e">
        <v>#N/A</v>
        <stp/>
        <stp>BDH|1562570137414974047</stp>
        <tr r="Y64" s="10"/>
      </tp>
      <tp t="e">
        <v>#N/A</v>
        <stp/>
        <stp>BDH|5475920450443838962</stp>
        <tr r="M61" s="12"/>
      </tp>
      <tp t="e">
        <v>#N/A</v>
        <stp/>
        <stp>BDH|3565677943172115083</stp>
        <tr r="D70" s="24"/>
      </tp>
      <tp t="e">
        <v>#N/A</v>
        <stp/>
        <stp>BDH|1349785010637630356</stp>
        <tr r="G32" s="25"/>
        <tr r="G18" s="27"/>
      </tp>
      <tp t="e">
        <v>#N/A</v>
        <stp/>
        <stp>BDH|9894969047312211536</stp>
        <tr r="N61" s="18"/>
      </tp>
      <tp t="e">
        <v>#N/A</v>
        <stp/>
        <stp>BDH|7030740324862183397</stp>
        <tr r="AA42" s="17"/>
      </tp>
      <tp t="e">
        <v>#N/A</v>
        <stp/>
        <stp>BDH|6596543762395854338</stp>
        <tr r="M53" s="6"/>
      </tp>
      <tp t="e">
        <v>#N/A</v>
        <stp/>
        <stp>BDH|6249140150200630181</stp>
        <tr r="T11" s="29"/>
      </tp>
      <tp t="e">
        <v>#N/A</v>
        <stp/>
        <stp>BDH|6926863177699508350</stp>
        <tr r="I32" s="26"/>
      </tp>
      <tp t="e">
        <v>#N/A</v>
        <stp/>
        <stp>BDH|6941689920762191384</stp>
        <tr r="P8" s="17"/>
      </tp>
      <tp t="e">
        <v>#N/A</v>
        <stp/>
        <stp>BDH|3700391160780695509</stp>
        <tr r="E15" s="13"/>
      </tp>
      <tp t="e">
        <v>#N/A</v>
        <stp/>
        <stp>BDH|2149747649515560716</stp>
        <tr r="D38" s="25"/>
      </tp>
      <tp t="e">
        <v>#N/A</v>
        <stp/>
        <stp>BDH|2335520616395651093</stp>
        <tr r="O48" s="17"/>
      </tp>
      <tp t="e">
        <v>#N/A</v>
        <stp/>
        <stp>BDH|3994514262302748153</stp>
        <tr r="V17" s="14"/>
      </tp>
      <tp t="e">
        <v>#N/A</v>
        <stp/>
        <stp>BDH|9970989544123418497</stp>
        <tr r="W47" s="10"/>
        <tr r="W37" s="11"/>
      </tp>
      <tp t="e">
        <v>#N/A</v>
        <stp/>
        <stp>BDH|2027306804862576093</stp>
        <tr r="O87" s="17"/>
      </tp>
      <tp t="e">
        <v>#N/A</v>
        <stp/>
        <stp>BDH|5054910559988871281</stp>
        <tr r="R188" s="18"/>
      </tp>
      <tp t="e">
        <v>#N/A</v>
        <stp/>
        <stp>BDH|3395436968440261227</stp>
        <tr r="C32" s="10"/>
        <tr r="E41" s="13"/>
      </tp>
      <tp t="e">
        <v>#N/A</v>
        <stp/>
        <stp>BDH|6750065657745627588</stp>
        <tr r="S21" s="24"/>
      </tp>
      <tp t="e">
        <v>#N/A</v>
        <stp/>
        <stp>BDH|5313281235036252148</stp>
        <tr r="T72" s="12"/>
      </tp>
      <tp t="e">
        <v>#N/A</v>
        <stp/>
        <stp>BDH|4888735151163214600</stp>
        <tr r="T8" s="6"/>
      </tp>
      <tp t="e">
        <v>#N/A</v>
        <stp/>
        <stp>BDH|2966452994824691869</stp>
        <tr r="D7" s="8"/>
      </tp>
      <tp t="e">
        <v>#N/A</v>
        <stp/>
        <stp>BDH|1195396371583623574</stp>
        <tr r="T56" s="24"/>
      </tp>
      <tp t="e">
        <v>#N/A</v>
        <stp/>
        <stp>BDH|8997307127583720915</stp>
        <tr r="M13" s="7"/>
      </tp>
      <tp t="e">
        <v>#N/A</v>
        <stp/>
        <stp>BDH|8441673919324603848</stp>
        <tr r="Y25" s="2"/>
        <tr r="AA62" s="21"/>
      </tp>
      <tp t="e">
        <v>#N/A</v>
        <stp/>
        <stp>BDH|8969629134669774702</stp>
        <tr r="S71" s="12"/>
      </tp>
      <tp t="e">
        <v>#N/A</v>
        <stp/>
        <stp>BDH|1218968387451931221</stp>
        <tr r="R11" s="17"/>
      </tp>
      <tp t="e">
        <v>#N/A</v>
        <stp/>
        <stp>BDH|4238421177730725488</stp>
        <tr r="F72" s="17"/>
      </tp>
      <tp t="e">
        <v>#N/A</v>
        <stp/>
        <stp>BDH|8880523249148813235</stp>
        <tr r="X21" s="4"/>
      </tp>
      <tp t="e">
        <v>#N/A</v>
        <stp/>
        <stp>BDH|8493565688236314011</stp>
        <tr r="I43" s="18"/>
      </tp>
      <tp t="e">
        <v>#N/A</v>
        <stp/>
        <stp>BDH|1741495003813033554</stp>
        <tr r="O102" s="12"/>
      </tp>
      <tp t="e">
        <v>#N/A</v>
        <stp/>
        <stp>BDH|2760575150011048089</stp>
        <tr r="Q104" s="18"/>
      </tp>
      <tp t="e">
        <v>#N/A</v>
        <stp/>
        <stp>BDH|7573918495857932315</stp>
        <tr r="I138" s="18"/>
      </tp>
      <tp t="e">
        <v>#N/A</v>
        <stp/>
        <stp>BDH|2916817898794826412</stp>
        <tr r="C13" s="22"/>
      </tp>
      <tp t="e">
        <v>#N/A</v>
        <stp/>
        <stp>BDH|2915666360015225444</stp>
        <tr r="K41" s="12"/>
      </tp>
      <tp t="e">
        <v>#N/A</v>
        <stp/>
        <stp>BDH|7554706156432912436</stp>
        <tr r="W10" s="23"/>
      </tp>
      <tp t="e">
        <v>#N/A</v>
        <stp/>
        <stp>BDH|9621284383359062943</stp>
        <tr r="U82" s="18"/>
      </tp>
      <tp t="e">
        <v>#N/A</v>
        <stp/>
        <stp>BDH|5799739967460221786</stp>
        <tr r="S9" s="13"/>
      </tp>
      <tp t="e">
        <v>#N/A</v>
        <stp/>
        <stp>BDH|4811205606312257752</stp>
        <tr r="E99" s="12"/>
      </tp>
      <tp t="e">
        <v>#N/A</v>
        <stp/>
        <stp>BDH|2556557056069753887</stp>
        <tr r="P21" s="5"/>
      </tp>
      <tp t="e">
        <v>#N/A</v>
        <stp/>
        <stp>BDH|9235805778014307105</stp>
        <tr r="AA202" s="18"/>
      </tp>
      <tp t="e">
        <v>#N/A</v>
        <stp/>
        <stp>BDH|2639720960133876356</stp>
        <tr r="K39" s="25"/>
        <tr r="K7" s="3"/>
        <tr r="I17" s="11"/>
        <tr r="K22" s="13"/>
        <tr r="K7" s="13"/>
      </tp>
      <tp t="e">
        <v>#N/A</v>
        <stp/>
        <stp>BDH|4068403779045751173</stp>
        <tr r="D66" s="13"/>
      </tp>
      <tp t="e">
        <v>#N/A</v>
        <stp/>
        <stp>BDH|4160101249547460556</stp>
        <tr r="AA32" s="12"/>
      </tp>
      <tp t="e">
        <v>#N/A</v>
        <stp/>
        <stp>BDH|4669261003255223085</stp>
        <tr r="H35" s="4"/>
      </tp>
      <tp t="e">
        <v>#N/A</v>
        <stp/>
        <stp>BDH|8698817111950936266</stp>
        <tr r="J22" s="11"/>
      </tp>
      <tp t="e">
        <v>#N/A</v>
        <stp/>
        <stp>BDH|9221013408022523876</stp>
        <tr r="V69" s="24"/>
      </tp>
      <tp t="e">
        <v>#N/A</v>
        <stp/>
        <stp>BDH|8877643233626277840</stp>
        <tr r="V25" s="10"/>
        <tr r="X34" s="13"/>
      </tp>
      <tp t="e">
        <v>#N/A</v>
        <stp/>
        <stp>BDH|8370667193565775187</stp>
        <tr r="D36" s="21"/>
      </tp>
      <tp t="e">
        <v>#N/A</v>
        <stp/>
        <stp>BDH|5915063782359548710</stp>
        <tr r="K14" s="4"/>
      </tp>
      <tp t="e">
        <v>#N/A</v>
        <stp/>
        <stp>BDH|3761979978648444658</stp>
        <tr r="C13" s="23"/>
      </tp>
      <tp t="e">
        <v>#N/A</v>
        <stp/>
        <stp>BDH|7717077051497907616</stp>
        <tr r="I42" s="22"/>
      </tp>
      <tp t="e">
        <v>#N/A</v>
        <stp/>
        <stp>BDH|2195807123932320982</stp>
        <tr r="F12" s="14"/>
      </tp>
      <tp t="e">
        <v>#N/A</v>
        <stp/>
        <stp>BDH|4576051169167401641</stp>
        <tr r="X9" s="17"/>
      </tp>
      <tp t="e">
        <v>#N/A</v>
        <stp/>
        <stp>BDH|3248426048988060814</stp>
        <tr r="K9" s="28"/>
      </tp>
      <tp t="e">
        <v>#N/A</v>
        <stp/>
        <stp>BDH|6353020229362396527</stp>
        <tr r="V14" s="34"/>
      </tp>
      <tp t="e">
        <v>#N/A</v>
        <stp/>
        <stp>BDH|4682481738341762184</stp>
        <tr r="W64" s="34"/>
      </tp>
      <tp t="e">
        <v>#N/A</v>
        <stp/>
        <stp>BDH|7806058091725323866</stp>
        <tr r="L53" s="12"/>
      </tp>
      <tp t="e">
        <v>#N/A</v>
        <stp/>
        <stp>BDH|3654897781863467337</stp>
        <tr r="Q130" s="18"/>
      </tp>
      <tp t="e">
        <v>#N/A</v>
        <stp/>
        <stp>BDH|3409184314165670579</stp>
        <tr r="Y48" s="22"/>
      </tp>
      <tp t="e">
        <v>#N/A</v>
        <stp/>
        <stp>BDH|1890615360782436043</stp>
        <tr r="F31" s="9"/>
      </tp>
      <tp t="e">
        <v>#N/A</v>
        <stp/>
        <stp>BDH|4647533238441284061</stp>
        <tr r="W39" s="6"/>
      </tp>
      <tp t="e">
        <v>#N/A</v>
        <stp/>
        <stp>BDH|4224685532893578142</stp>
        <tr r="J14" s="13"/>
      </tp>
      <tp t="e">
        <v>#N/A</v>
        <stp/>
        <stp>BDH|6791283725523124621</stp>
        <tr r="Z13" s="21"/>
      </tp>
      <tp t="e">
        <v>#N/A</v>
        <stp/>
        <stp>BDH|7034893766933573932</stp>
        <tr r="U67" s="18"/>
      </tp>
      <tp t="e">
        <v>#N/A</v>
        <stp/>
        <stp>BDH|2322067520751495284</stp>
        <tr r="H19" s="9"/>
      </tp>
      <tp t="e">
        <v>#N/A</v>
        <stp/>
        <stp>BDH|3496197831894715628</stp>
        <tr r="D32" s="21"/>
      </tp>
      <tp t="e">
        <v>#N/A</v>
        <stp/>
        <stp>BDH|9515515738339603538</stp>
        <tr r="N40" s="22"/>
      </tp>
      <tp t="e">
        <v>#N/A</v>
        <stp/>
        <stp>BDH|1351775650148498897</stp>
        <tr r="S11" s="11"/>
      </tp>
      <tp t="e">
        <v>#N/A</v>
        <stp/>
        <stp>BDH|5355644298081078868</stp>
        <tr r="W47" s="6"/>
        <tr r="Y6" s="8"/>
      </tp>
      <tp t="e">
        <v>#N/A</v>
        <stp/>
        <stp>BDH|8648080861555300820</stp>
        <tr r="AA64" s="24"/>
      </tp>
      <tp t="e">
        <v>#N/A</v>
        <stp/>
        <stp>BDH|6506300369461040120</stp>
        <tr r="J8" s="27"/>
      </tp>
      <tp t="e">
        <v>#N/A</v>
        <stp/>
        <stp>BDH|5249494439415405484</stp>
        <tr r="V11" s="22"/>
      </tp>
      <tp t="e">
        <v>#N/A</v>
        <stp/>
        <stp>BDH|3494192426963170046</stp>
        <tr r="G53" s="6"/>
      </tp>
      <tp t="e">
        <v>#N/A</v>
        <stp/>
        <stp>BDH|7062716665991294483</stp>
        <tr r="J16" s="23"/>
      </tp>
      <tp t="e">
        <v>#N/A</v>
        <stp/>
        <stp>BDH|5198334692205854969</stp>
        <tr r="D183" s="18"/>
      </tp>
      <tp t="e">
        <v>#N/A</v>
        <stp/>
        <stp>BDH|7414375729224775133</stp>
        <tr r="N10" s="26"/>
      </tp>
      <tp t="e">
        <v>#N/A</v>
        <stp/>
        <stp>BDH|4853962403368614657</stp>
        <tr r="R8" s="22"/>
      </tp>
      <tp t="e">
        <v>#N/A</v>
        <stp/>
        <stp>BDH|3281822097001903008</stp>
        <tr r="I18" s="25"/>
      </tp>
      <tp t="e">
        <v>#N/A</v>
        <stp/>
        <stp>BDH|1473281561681411773</stp>
        <tr r="E68" s="18"/>
      </tp>
      <tp t="e">
        <v>#N/A</v>
        <stp/>
        <stp>BDH|3530638422621289587</stp>
        <tr r="J99" s="18"/>
      </tp>
      <tp t="e">
        <v>#N/A</v>
        <stp/>
        <stp>BDH|8239754092045838031</stp>
        <tr r="J128" s="18"/>
      </tp>
      <tp t="e">
        <v>#N/A</v>
        <stp/>
        <stp>BDH|4933235658173922350</stp>
        <tr r="Q17" s="17"/>
        <tr r="Q20" s="28"/>
      </tp>
      <tp t="e">
        <v>#N/A</v>
        <stp/>
        <stp>BDH|6087088431034751200</stp>
        <tr r="G59" s="18"/>
      </tp>
      <tp t="e">
        <v>#N/A</v>
        <stp/>
        <stp>BDH|5484872078509032058</stp>
        <tr r="D164" s="18"/>
      </tp>
      <tp t="e">
        <v>#N/A</v>
        <stp/>
        <stp>BDH|9976257233848986384</stp>
        <tr r="E35" s="18"/>
      </tp>
      <tp t="e">
        <v>#N/A</v>
        <stp/>
        <stp>BDH|1536708076573490193</stp>
        <tr r="AA205" s="18"/>
      </tp>
      <tp t="e">
        <v>#N/A</v>
        <stp/>
        <stp>BDH|9846285796308943912</stp>
        <tr r="F17" s="34"/>
      </tp>
      <tp t="e">
        <v>#N/A</v>
        <stp/>
        <stp>BDH|5981256725453587525</stp>
        <tr r="R12" s="18"/>
      </tp>
      <tp t="e">
        <v>#N/A</v>
        <stp/>
        <stp>BDH|9013697240689524125</stp>
        <tr r="H11" s="17"/>
      </tp>
      <tp t="e">
        <v>#N/A</v>
        <stp/>
        <stp>BDH|7542003048400045031</stp>
        <tr r="H27" s="34"/>
      </tp>
      <tp t="e">
        <v>#N/A</v>
        <stp/>
        <stp>BDH|2827514483435570913</stp>
        <tr r="O83" s="24"/>
      </tp>
      <tp t="e">
        <v>#N/A</v>
        <stp/>
        <stp>BDH|4118445236018829850</stp>
        <tr r="J161" s="18"/>
      </tp>
      <tp t="e">
        <v>#N/A</v>
        <stp/>
        <stp>BDH|4578337272631367296</stp>
        <tr r="G18" s="22"/>
      </tp>
      <tp t="e">
        <v>#N/A</v>
        <stp/>
        <stp>BDH|5232888802848527637</stp>
        <tr r="U61" s="21"/>
      </tp>
      <tp t="e">
        <v>#N/A</v>
        <stp/>
        <stp>BDH|5362010392036808960</stp>
        <tr r="S13" s="34"/>
      </tp>
      <tp t="e">
        <v>#N/A</v>
        <stp/>
        <stp>BDH|7503947724957375880</stp>
        <tr r="AA92" s="17"/>
        <tr r="AA7" s="27"/>
      </tp>
      <tp t="e">
        <v>#N/A</v>
        <stp/>
        <stp>BDH|3796681702335532360</stp>
        <tr r="C25" s="17"/>
      </tp>
      <tp t="e">
        <v>#N/A</v>
        <stp/>
        <stp>BDH|2573089832710324223</stp>
        <tr r="X25" s="2"/>
        <tr r="Z62" s="21"/>
      </tp>
      <tp t="e">
        <v>#N/A</v>
        <stp/>
        <stp>BDH|9870824319442488197</stp>
        <tr r="G18" s="17"/>
      </tp>
      <tp t="e">
        <v>#N/A</v>
        <stp/>
        <stp>BDH|4717172423014439098</stp>
        <tr r="M20" s="12"/>
      </tp>
      <tp t="e">
        <v>#N/A</v>
        <stp/>
        <stp>BDH|4131483199899724391</stp>
        <tr r="W205" s="18"/>
      </tp>
      <tp t="e">
        <v>#N/A</v>
        <stp/>
        <stp>BDH|7617809532237314896</stp>
        <tr r="E94" s="18"/>
      </tp>
      <tp t="e">
        <v>#N/A</v>
        <stp/>
        <stp>BDH|9833164133508263018</stp>
        <tr r="E13" s="22"/>
      </tp>
      <tp t="e">
        <v>#N/A</v>
        <stp/>
        <stp>BDH|1346740412285931129</stp>
        <tr r="L38" s="4"/>
        <tr r="L56" s="11"/>
        <tr r="N13" s="23"/>
      </tp>
      <tp t="e">
        <v>#N/A</v>
        <stp/>
        <stp>BDH|3213397224920323122</stp>
        <tr r="F27" s="26"/>
      </tp>
      <tp t="e">
        <v>#N/A</v>
        <stp/>
        <stp>BDH|5391113446003805025</stp>
        <tr r="E183" s="18"/>
      </tp>
      <tp t="e">
        <v>#N/A</v>
        <stp/>
        <stp>BDH|8761999561720026415</stp>
        <tr r="I18" s="6"/>
      </tp>
      <tp t="e">
        <v>#N/A</v>
        <stp/>
        <stp>BDH|8901256753968921482</stp>
        <tr r="E73" s="10"/>
        <tr r="E63" s="11"/>
      </tp>
      <tp t="e">
        <v>#N/A</v>
        <stp/>
        <stp>BDH|2497070847026901336</stp>
        <tr r="H15" s="14"/>
      </tp>
      <tp t="e">
        <v>#N/A</v>
        <stp/>
        <stp>BDH|5598768668800702726</stp>
        <tr r="C12" s="8"/>
        <tr r="C10" s="29"/>
        <tr r="C19" s="29"/>
        <tr r="C25" s="29"/>
      </tp>
      <tp t="e">
        <v>#N/A</v>
        <stp/>
        <stp>BDH|3497054048997195362</stp>
        <tr r="C40" s="13"/>
      </tp>
      <tp t="e">
        <v>#N/A</v>
        <stp/>
        <stp>BDH|6984442200433605250</stp>
        <tr r="Q13" s="11"/>
      </tp>
      <tp t="e">
        <v>#N/A</v>
        <stp/>
        <stp>BDH|8659086288000128380</stp>
        <tr r="D19" s="21"/>
        <tr r="D23" s="3"/>
      </tp>
      <tp t="e">
        <v>#N/A</v>
        <stp/>
        <stp>BDH|6429776084432017881</stp>
        <tr r="F15" s="12"/>
      </tp>
      <tp t="e">
        <v>#N/A</v>
        <stp/>
        <stp>BDH|2145022157696264296</stp>
        <tr r="N49" s="13"/>
      </tp>
      <tp t="e">
        <v>#N/A</v>
        <stp/>
        <stp>BDH|3639371418410555233</stp>
        <tr r="O15" s="18"/>
      </tp>
      <tp t="e">
        <v>#N/A</v>
        <stp/>
        <stp>BDH|9087605427476990813</stp>
        <tr r="Z180" s="18"/>
      </tp>
      <tp t="e">
        <v>#N/A</v>
        <stp/>
        <stp>BDH|3614407930850055798</stp>
        <tr r="F52" s="4"/>
        <tr r="H8" s="3"/>
        <tr r="F44" s="10"/>
        <tr r="F34" s="11"/>
        <tr r="H45" s="13"/>
      </tp>
      <tp t="e">
        <v>#N/A</v>
        <stp/>
        <stp>BDH|4236297559821967148</stp>
        <tr r="M23" s="24"/>
      </tp>
      <tp t="e">
        <v>#N/A</v>
        <stp/>
        <stp>BDH|5277757931606929406</stp>
        <tr r="T24" s="29"/>
      </tp>
      <tp t="e">
        <v>#N/A</v>
        <stp/>
        <stp>BDH|8490104889862179030</stp>
        <tr r="R71" s="34"/>
      </tp>
      <tp t="e">
        <v>#N/A</v>
        <stp/>
        <stp>BDH|1377649448934941491</stp>
        <tr r="M180" s="18"/>
      </tp>
      <tp t="e">
        <v>#N/A</v>
        <stp/>
        <stp>BDH|7465608118092240118</stp>
        <tr r="U15" s="30"/>
      </tp>
      <tp t="e">
        <v>#N/A</v>
        <stp/>
        <stp>BDH|2931065025816059559</stp>
        <tr r="E8" s="27"/>
      </tp>
      <tp t="e">
        <v>#N/A</v>
        <stp/>
        <stp>BDH|7529013490325842833</stp>
        <tr r="D35" s="4"/>
      </tp>
      <tp t="e">
        <v>#N/A</v>
        <stp/>
        <stp>BDH|5468194207457715022</stp>
        <tr r="U43" s="29"/>
      </tp>
      <tp t="e">
        <v>#N/A</v>
        <stp/>
        <stp>BDH|9627819570755183090</stp>
        <tr r="I11" s="28"/>
      </tp>
      <tp t="e">
        <v>#N/A</v>
        <stp/>
        <stp>BDH|3375129012482998257</stp>
        <tr r="Y65" s="21"/>
        <tr r="W23" s="7"/>
      </tp>
      <tp t="e">
        <v>#N/A</v>
        <stp/>
        <stp>BDH|6518675565581119494</stp>
        <tr r="F157" s="18"/>
      </tp>
      <tp t="e">
        <v>#N/A</v>
        <stp/>
        <stp>BDH|9775165989862756108</stp>
        <tr r="Y90" s="12"/>
      </tp>
      <tp t="e">
        <v>#N/A</v>
        <stp/>
        <stp>BDH|4478998050512484965</stp>
        <tr r="Z38" s="24"/>
      </tp>
      <tp t="e">
        <v>#N/A</v>
        <stp/>
        <stp>BDH|3120626982158772695</stp>
        <tr r="U189" s="18"/>
      </tp>
      <tp t="e">
        <v>#N/A</v>
        <stp/>
        <stp>BDH|1082968898866385427</stp>
        <tr r="J25" s="34"/>
      </tp>
      <tp t="e">
        <v>#N/A</v>
        <stp/>
        <stp>BDH|3061335658452368476</stp>
        <tr r="Z19" s="18"/>
      </tp>
      <tp t="e">
        <v>#N/A</v>
        <stp/>
        <stp>BDH|4536997382554767261</stp>
        <tr r="R144" s="18"/>
      </tp>
      <tp t="e">
        <v>#N/A</v>
        <stp/>
        <stp>BDH|8415654028339434623</stp>
        <tr r="Z77" s="24"/>
      </tp>
      <tp t="e">
        <v>#N/A</v>
        <stp/>
        <stp>BDH|5644533103093110080</stp>
        <tr r="T13" s="21"/>
      </tp>
      <tp t="e">
        <v>#N/A</v>
        <stp/>
        <stp>BDH|4328751627146812465</stp>
        <tr r="G141" s="18"/>
      </tp>
      <tp t="e">
        <v>#N/A</v>
        <stp/>
        <stp>BDH|4258336027512984406</stp>
        <tr r="P10" s="18"/>
      </tp>
      <tp t="e">
        <v>#N/A</v>
        <stp/>
        <stp>BDH|6507909912439846401</stp>
        <tr r="L17" s="5"/>
        <tr r="L32" s="6"/>
      </tp>
      <tp t="e">
        <v>#N/A</v>
        <stp/>
        <stp>BDH|7977650062101584545</stp>
        <tr r="X8" s="34"/>
      </tp>
      <tp t="e">
        <v>#N/A</v>
        <stp/>
        <stp>BDH|1020475728480082400</stp>
        <tr r="W69" s="10"/>
      </tp>
      <tp t="e">
        <v>#N/A</v>
        <stp/>
        <stp>BDH|7681810217384919960</stp>
        <tr r="I22" s="11"/>
      </tp>
      <tp t="e">
        <v>#N/A</v>
        <stp/>
        <stp>BDH|5876248365720623207</stp>
        <tr r="R54" s="6"/>
      </tp>
      <tp t="e">
        <v>#N/A</v>
        <stp/>
        <stp>BDH|9801396547435881817</stp>
        <tr r="H9" s="12"/>
      </tp>
      <tp t="e">
        <v>#N/A</v>
        <stp/>
        <stp>BDH|3115787721334189160</stp>
        <tr r="G31" s="29"/>
      </tp>
      <tp t="e">
        <v>#N/A</v>
        <stp/>
        <stp>BDH|9519781452451401949</stp>
        <tr r="O12" s="22"/>
      </tp>
      <tp t="e">
        <v>#N/A</v>
        <stp/>
        <stp>BDH|5393167598959538779</stp>
        <tr r="I10" s="18"/>
      </tp>
      <tp t="e">
        <v>#N/A</v>
        <stp/>
        <stp>BDH|4368775833810125395</stp>
        <tr r="U28" s="21"/>
      </tp>
      <tp t="e">
        <v>#N/A</v>
        <stp/>
        <stp>BDH|1937124859884527281</stp>
        <tr r="F55" s="21"/>
      </tp>
      <tp t="e">
        <v>#N/A</v>
        <stp/>
        <stp>BDH|9391378908289062039</stp>
        <tr r="G122" s="18"/>
        <tr r="G11" s="20"/>
      </tp>
      <tp t="e">
        <v>#N/A</v>
        <stp/>
        <stp>BDH|5459697407832663230</stp>
        <tr r="F51" s="13"/>
      </tp>
      <tp t="e">
        <v>#N/A</v>
        <stp/>
        <stp>BDH|1746689457031747038</stp>
        <tr r="T81" s="12"/>
      </tp>
      <tp t="e">
        <v>#N/A</v>
        <stp/>
        <stp>BDH|6996025464806061533</stp>
        <tr r="Q28" s="12"/>
      </tp>
      <tp t="e">
        <v>#N/A</v>
        <stp/>
        <stp>BDH|2850758068955039596</stp>
        <tr r="T211" s="18"/>
      </tp>
      <tp t="e">
        <v>#N/A</v>
        <stp/>
        <stp>BDH|2139155038652564157</stp>
        <tr r="J97" s="12"/>
      </tp>
      <tp t="e">
        <v>#N/A</v>
        <stp/>
        <stp>BDH|4075994823719035567</stp>
        <tr r="J49" s="21"/>
      </tp>
      <tp t="e">
        <v>#N/A</v>
        <stp/>
        <stp>BDH|7209812006658936407</stp>
        <tr r="C93" s="17"/>
        <tr r="C13" s="28"/>
      </tp>
      <tp t="e">
        <v>#N/A</v>
        <stp/>
        <stp>BDH|9513107599987765579</stp>
        <tr r="Y38" s="34"/>
      </tp>
      <tp t="e">
        <v>#N/A</v>
        <stp/>
        <stp>BDH|7260684402217135550</stp>
        <tr r="K54" s="18"/>
      </tp>
      <tp t="e">
        <v>#N/A</v>
        <stp/>
        <stp>BDH|5388811924198299483</stp>
        <tr r="T67" s="17"/>
        <tr r="T18" s="3"/>
      </tp>
      <tp t="e">
        <v>#N/A</v>
        <stp/>
        <stp>BDH|7522529154634863079</stp>
        <tr r="M21" s="3"/>
      </tp>
      <tp t="e">
        <v>#N/A</v>
        <stp/>
        <stp>BDH|1423202745342478691</stp>
        <tr r="X201" s="18"/>
      </tp>
      <tp t="e">
        <v>#N/A</v>
        <stp/>
        <stp>BDH|1340633106160203482</stp>
        <tr r="J28" s="4"/>
      </tp>
      <tp t="e">
        <v>#N/A</v>
        <stp/>
        <stp>BDH|9072191986593206017</stp>
        <tr r="Q103" s="18"/>
      </tp>
      <tp t="e">
        <v>#N/A</v>
        <stp/>
        <stp>BDH|2861318036095189422</stp>
        <tr r="AA109" s="18"/>
      </tp>
      <tp t="e">
        <v>#N/A</v>
        <stp/>
        <stp>BDH|6663598833686451549</stp>
        <tr r="M69" s="17"/>
      </tp>
      <tp t="e">
        <v>#N/A</v>
        <stp/>
        <stp>BDH|9871879807987563515</stp>
        <tr r="K12" s="11"/>
      </tp>
      <tp t="e">
        <v>#N/A</v>
        <stp/>
        <stp>BDH|1047671222505066392</stp>
        <tr r="W38" s="17"/>
      </tp>
      <tp t="e">
        <v>#N/A</v>
        <stp/>
        <stp>BDH|4872575051487413063</stp>
        <tr r="U187" s="18"/>
      </tp>
      <tp t="e">
        <v>#N/A</v>
        <stp/>
        <stp>BDH|4459115033555938031</stp>
        <tr r="D12" s="22"/>
      </tp>
      <tp t="e">
        <v>#N/A</v>
        <stp/>
        <stp>BDH|9770551596854001289</stp>
        <tr r="Q96" s="18"/>
      </tp>
      <tp t="e">
        <v>#N/A</v>
        <stp/>
        <stp>BDH|9539178686864053781</stp>
        <tr r="E16" s="18"/>
      </tp>
      <tp t="e">
        <v>#N/A</v>
        <stp/>
        <stp>BDH|4753465350327802155</stp>
        <tr r="M87" s="18"/>
      </tp>
      <tp t="e">
        <v>#N/A</v>
        <stp/>
        <stp>BDH|6978282238280130442</stp>
        <tr r="N60" s="34"/>
      </tp>
      <tp t="e">
        <v>#N/A</v>
        <stp/>
        <stp>BDH|5374273118554873180</stp>
        <tr r="S56" s="17"/>
      </tp>
      <tp t="e">
        <v>#N/A</v>
        <stp/>
        <stp>BDH|1804901317792447874</stp>
        <tr r="J62" s="17"/>
      </tp>
      <tp t="e">
        <v>#N/A</v>
        <stp/>
        <stp>BDH|9392251398099760857</stp>
        <tr r="P42" s="10"/>
        <tr r="P32" s="11"/>
      </tp>
      <tp t="e">
        <v>#N/A</v>
        <stp/>
        <stp>BDH|1605153551812832460</stp>
        <tr r="Y17" s="18"/>
      </tp>
      <tp t="e">
        <v>#N/A</v>
        <stp/>
        <stp>BDH|4785280267790251362</stp>
        <tr r="N24" s="4"/>
        <tr r="N55" s="11"/>
      </tp>
      <tp t="e">
        <v>#N/A</v>
        <stp/>
        <stp>BDH|1692659375771341298</stp>
        <tr r="Q25" s="27"/>
      </tp>
      <tp t="e">
        <v>#N/A</v>
        <stp/>
        <stp>BDH|3052371279317755358</stp>
        <tr r="G73" s="17"/>
      </tp>
      <tp t="e">
        <v>#N/A</v>
        <stp/>
        <stp>BDH|6273691534603695353</stp>
        <tr r="J84" s="24"/>
      </tp>
      <tp t="e">
        <v>#N/A</v>
        <stp/>
        <stp>BDH|4598367445518295888</stp>
        <tr r="S80" s="18"/>
      </tp>
      <tp t="e">
        <v>#N/A</v>
        <stp/>
        <stp>BDH|2971569948604314484</stp>
        <tr r="R21" s="5"/>
      </tp>
      <tp t="e">
        <v>#N/A</v>
        <stp/>
        <stp>BDH|2361793492906440904</stp>
        <tr r="X41" s="17"/>
        <tr r="X9" s="25"/>
      </tp>
      <tp t="e">
        <v>#N/A</v>
        <stp/>
        <stp>BDH|3758514671854360680</stp>
        <tr r="G157" s="18"/>
      </tp>
      <tp t="e">
        <v>#N/A</v>
        <stp/>
        <stp>BDH|6009432738706020479</stp>
        <tr r="O23" s="22"/>
      </tp>
      <tp t="e">
        <v>#N/A</v>
        <stp/>
        <stp>BDH|3333761882948970722</stp>
        <tr r="W8" s="13"/>
      </tp>
      <tp t="e">
        <v>#N/A</v>
        <stp/>
        <stp>BDH|3820756433266434274</stp>
        <tr r="Q23" s="17"/>
      </tp>
      <tp t="e">
        <v>#N/A</v>
        <stp/>
        <stp>BDH|3275170467584859376</stp>
        <tr r="V21" s="20"/>
      </tp>
      <tp t="e">
        <v>#N/A</v>
        <stp/>
        <stp>BDH|5624521478137910382</stp>
        <tr r="N11" s="24"/>
      </tp>
      <tp t="e">
        <v>#N/A</v>
        <stp/>
        <stp>BDH|8117473667360844944</stp>
        <tr r="Y13" s="24"/>
      </tp>
      <tp t="e">
        <v>#N/A</v>
        <stp/>
        <stp>BDH|5607223945453956353</stp>
        <tr r="U34" s="29"/>
      </tp>
      <tp t="e">
        <v>#N/A</v>
        <stp/>
        <stp>BDH|9880741626886727902</stp>
        <tr r="D177" s="18"/>
      </tp>
      <tp t="e">
        <v>#N/A</v>
        <stp/>
        <stp>BDH|8943065658256345897</stp>
        <tr r="E14" s="13"/>
      </tp>
      <tp t="e">
        <v>#N/A</v>
        <stp/>
        <stp>BDH|4160886941418362362</stp>
        <tr r="Q17" s="22"/>
      </tp>
      <tp t="e">
        <v>#N/A</v>
        <stp/>
        <stp>BDH|5205387404555471076</stp>
        <tr r="R6" s="15"/>
        <tr r="R12" s="2"/>
        <tr r="R11" s="4"/>
        <tr r="R6" s="10"/>
      </tp>
      <tp t="e">
        <v>#N/A</v>
        <stp/>
        <stp>BDH|1245011804550808223</stp>
        <tr r="W7" s="23"/>
      </tp>
      <tp t="e">
        <v>#N/A</v>
        <stp/>
        <stp>BDH|2180598675503826084</stp>
        <tr r="G158" s="18"/>
      </tp>
      <tp t="e">
        <v>#N/A</v>
        <stp/>
        <stp>BDH|3468945329522459900</stp>
        <tr r="J64" s="24"/>
      </tp>
      <tp t="e">
        <v>#N/A</v>
        <stp/>
        <stp>BDH|4081470437997522781</stp>
        <tr r="M84" s="17"/>
      </tp>
      <tp t="e">
        <v>#N/A</v>
        <stp/>
        <stp>BDH|6825154743080614055</stp>
        <tr r="R24" s="12"/>
      </tp>
      <tp t="e">
        <v>#N/A</v>
        <stp/>
        <stp>BDH|8571808719827857597</stp>
        <tr r="D25" s="9"/>
      </tp>
      <tp t="e">
        <v>#N/A</v>
        <stp/>
        <stp>BDH|7253670458685240222</stp>
        <tr r="P60" s="34"/>
      </tp>
      <tp t="e">
        <v>#N/A</v>
        <stp/>
        <stp>BDH|7621735920423912216</stp>
        <tr r="J26" s="27"/>
      </tp>
      <tp t="e">
        <v>#N/A</v>
        <stp/>
        <stp>BDH|3874870304370132870</stp>
        <tr r="M33" s="14"/>
      </tp>
      <tp t="e">
        <v>#N/A</v>
        <stp/>
        <stp>BDH|9291736708944209961</stp>
        <tr r="G169" s="18"/>
      </tp>
      <tp t="e">
        <v>#N/A</v>
        <stp/>
        <stp>BDH|6425560109366326655</stp>
        <tr r="O21" s="24"/>
      </tp>
      <tp t="e">
        <v>#N/A</v>
        <stp/>
        <stp>BDH|9025547289101952697</stp>
        <tr r="X27" s="24"/>
      </tp>
      <tp t="e">
        <v>#N/A</v>
        <stp/>
        <stp>BDH|4847727953504306170</stp>
        <tr r="O21" s="10"/>
      </tp>
      <tp t="e">
        <v>#N/A</v>
        <stp/>
        <stp>BDH|5517067931927928264</stp>
        <tr r="R35" s="10"/>
        <tr r="R25" s="11"/>
      </tp>
      <tp t="e">
        <v>#N/A</v>
        <stp/>
        <stp>BDH|5816280881664599897</stp>
        <tr r="C30" s="22"/>
      </tp>
      <tp t="e">
        <v>#N/A</v>
        <stp/>
        <stp>BDH|6800737363101361569</stp>
        <tr r="C21" s="11"/>
      </tp>
      <tp t="e">
        <v>#N/A</v>
        <stp/>
        <stp>BDH|2002744916307998067</stp>
        <tr r="T76" s="12"/>
      </tp>
      <tp t="e">
        <v>#N/A</v>
        <stp/>
        <stp>BDH|5348581981788134368</stp>
        <tr r="E81" s="24"/>
      </tp>
      <tp t="e">
        <v>#N/A</v>
        <stp/>
        <stp>BDH|5494703458624556041</stp>
        <tr r="D22" s="30"/>
        <tr r="D24" s="23"/>
      </tp>
      <tp t="e">
        <v>#N/A</v>
        <stp/>
        <stp>BDH|7629594272307997194</stp>
        <tr r="M38" s="18"/>
      </tp>
      <tp t="e">
        <v>#N/A</v>
        <stp/>
        <stp>BDH|6343663707373876078</stp>
        <tr r="D63" s="12"/>
      </tp>
      <tp t="e">
        <v>#N/A</v>
        <stp/>
        <stp>BDH|1646686756841563007</stp>
        <tr r="AA16" s="14"/>
      </tp>
      <tp t="e">
        <v>#N/A</v>
        <stp/>
        <stp>BDH|3480227524626725680</stp>
        <tr r="X13" s="2"/>
      </tp>
      <tp t="e">
        <v>#N/A</v>
        <stp/>
        <stp>BDH|6799615646371476693</stp>
        <tr r="F62" s="34"/>
      </tp>
      <tp t="e">
        <v>#N/A</v>
        <stp/>
        <stp>BDH|2958605365941236031</stp>
        <tr r="X99" s="12"/>
      </tp>
      <tp t="e">
        <v>#N/A</v>
        <stp/>
        <stp>BDH|2226416249640795101</stp>
        <tr r="O36" s="4"/>
      </tp>
      <tp t="e">
        <v>#N/A</v>
        <stp/>
        <stp>BDH|4356147694466744998</stp>
        <tr r="C43" s="22"/>
      </tp>
      <tp t="e">
        <v>#N/A</v>
        <stp/>
        <stp>BDH|2930209006640745355</stp>
        <tr r="H9" s="13"/>
      </tp>
      <tp t="e">
        <v>#N/A</v>
        <stp/>
        <stp>BDH|4841715847497318309</stp>
        <tr r="U40" s="18"/>
      </tp>
      <tp t="e">
        <v>#N/A</v>
        <stp/>
        <stp>BDH|9985453098060039795</stp>
        <tr r="Z108" s="18"/>
      </tp>
      <tp t="e">
        <v>#N/A</v>
        <stp/>
        <stp>BDH|7609008424170715684</stp>
        <tr r="W27" s="12"/>
      </tp>
      <tp t="e">
        <v>#N/A</v>
        <stp/>
        <stp>BDH|6959977687122498605</stp>
        <tr r="P76" s="34"/>
      </tp>
      <tp t="e">
        <v>#N/A</v>
        <stp/>
        <stp>BDH|7103186105674680177</stp>
        <tr r="D13" s="9"/>
      </tp>
      <tp t="e">
        <v>#N/A</v>
        <stp/>
        <stp>BDH|3964244218101197295</stp>
        <tr r="K30" s="22"/>
      </tp>
      <tp t="e">
        <v>#N/A</v>
        <stp/>
        <stp>BDH|8030998165220308426</stp>
        <tr r="N54" s="17"/>
      </tp>
      <tp t="e">
        <v>#N/A</v>
        <stp/>
        <stp>BDH|3511230477580439589</stp>
        <tr r="Z85" s="18"/>
      </tp>
      <tp t="e">
        <v>#N/A</v>
        <stp/>
        <stp>BDH|4504722072716923119</stp>
        <tr r="P29" s="34"/>
      </tp>
      <tp t="e">
        <v>#N/A</v>
        <stp/>
        <stp>BDH|9211689091035755013</stp>
        <tr r="F46" s="17"/>
      </tp>
      <tp t="e">
        <v>#N/A</v>
        <stp/>
        <stp>BDH|3426169759637472324</stp>
        <tr r="K81" s="18"/>
      </tp>
      <tp t="e">
        <v>#N/A</v>
        <stp/>
        <stp>BDH|7790744511972783082</stp>
        <tr r="S31" s="10"/>
        <tr r="U40" s="13"/>
      </tp>
      <tp t="e">
        <v>#N/A</v>
        <stp/>
        <stp>BDH|4502989284425771334</stp>
        <tr r="I39" s="4"/>
        <tr r="I66" s="10"/>
      </tp>
      <tp t="e">
        <v>#N/A</v>
        <stp/>
        <stp>BDH|6898810942679638002</stp>
        <tr r="G105" s="12"/>
      </tp>
      <tp t="e">
        <v>#N/A</v>
        <stp/>
        <stp>BDH|9530813991142062989</stp>
        <tr r="N35" s="6"/>
      </tp>
      <tp t="e">
        <v>#N/A</v>
        <stp/>
        <stp>BDH|1771476463550045011</stp>
        <tr r="V73" s="17"/>
      </tp>
      <tp t="e">
        <v>#N/A</v>
        <stp/>
        <stp>BDH|3777466642329413952</stp>
        <tr r="P24" s="24"/>
      </tp>
      <tp t="e">
        <v>#N/A</v>
        <stp/>
        <stp>BDH|9428755150028149022</stp>
        <tr r="Q33" s="22"/>
      </tp>
      <tp t="e">
        <v>#N/A</v>
        <stp/>
        <stp>BDH|3813632266259939963</stp>
        <tr r="U94" s="18"/>
      </tp>
      <tp t="e">
        <v>#N/A</v>
        <stp/>
        <stp>BDH|7554511250523119771</stp>
        <tr r="T35" s="6"/>
      </tp>
      <tp t="e">
        <v>#N/A</v>
        <stp/>
        <stp>BDH|9118963339638800845</stp>
        <tr r="S19" s="11"/>
      </tp>
      <tp t="e">
        <v>#N/A</v>
        <stp/>
        <stp>BDH|9504773583964733149</stp>
        <tr r="K16" s="10"/>
      </tp>
      <tp t="e">
        <v>#N/A</v>
        <stp/>
        <stp>BDH|8487876696548395242</stp>
        <tr r="M15" s="18"/>
      </tp>
      <tp t="e">
        <v>#N/A</v>
        <stp/>
        <stp>BDH|4814391609560215484</stp>
        <tr r="AA93" s="18"/>
      </tp>
      <tp t="e">
        <v>#N/A</v>
        <stp/>
        <stp>BDH|5170669477605786250</stp>
        <tr r="J9" s="27"/>
      </tp>
      <tp t="e">
        <v>#N/A</v>
        <stp/>
        <stp>BDH|5249904197396262055</stp>
        <tr r="F26" s="29"/>
      </tp>
      <tp t="e">
        <v>#N/A</v>
        <stp/>
        <stp>BDH|2069577706410622457</stp>
        <tr r="U19" s="30"/>
      </tp>
      <tp t="e">
        <v>#N/A</v>
        <stp/>
        <stp>BDH|2039435090248933487</stp>
        <tr r="I63" s="12"/>
      </tp>
      <tp t="e">
        <v>#N/A</v>
        <stp/>
        <stp>BDH|9202136523430592958</stp>
        <tr r="N7" s="17"/>
      </tp>
      <tp t="e">
        <v>#N/A</v>
        <stp/>
        <stp>BDH|4336556146293069522</stp>
        <tr r="X30" s="17"/>
      </tp>
      <tp t="e">
        <v>#N/A</v>
        <stp/>
        <stp>BDH|7096894644471790983</stp>
        <tr r="V38" s="4"/>
        <tr r="V56" s="11"/>
        <tr r="X13" s="23"/>
      </tp>
      <tp t="e">
        <v>#N/A</v>
        <stp/>
        <stp>BDH|2587809243108565515</stp>
        <tr r="K43" s="12"/>
      </tp>
      <tp t="e">
        <v>#N/A</v>
        <stp/>
        <stp>BDH|7196267429411402589</stp>
        <tr r="AA67" s="17"/>
        <tr r="AA18" s="3"/>
      </tp>
      <tp t="e">
        <v>#N/A</v>
        <stp/>
        <stp>BDH|8634144919262048992</stp>
        <tr r="Q61" s="12"/>
      </tp>
      <tp t="e">
        <v>#N/A</v>
        <stp/>
        <stp>BDH|3115243118514939767</stp>
        <tr r="X29" s="21"/>
      </tp>
      <tp t="e">
        <v>#N/A</v>
        <stp/>
        <stp>BDH|8824980709890812238</stp>
        <tr r="X43" s="10"/>
        <tr r="X33" s="11"/>
      </tp>
      <tp t="e">
        <v>#N/A</v>
        <stp/>
        <stp>BDH|5091900683866908182</stp>
        <tr r="E28" s="13"/>
      </tp>
      <tp t="e">
        <v>#N/A</v>
        <stp/>
        <stp>BDH|9675993503746641585</stp>
        <tr r="C68" s="34"/>
      </tp>
      <tp t="e">
        <v>#N/A</v>
        <stp/>
        <stp>BDH|7260040166470120232</stp>
        <tr r="G47" s="17"/>
      </tp>
      <tp t="e">
        <v>#N/A</v>
        <stp/>
        <stp>BDH|4915087695338652602</stp>
        <tr r="E21" s="17"/>
        <tr r="E15" s="3"/>
      </tp>
      <tp t="e">
        <v>#N/A</v>
        <stp/>
        <stp>BDH|5050156463042615327</stp>
        <tr r="W59" s="24"/>
      </tp>
      <tp t="e">
        <v>#N/A</v>
        <stp/>
        <stp>BDH|5377133232715851183</stp>
        <tr r="J22" s="30"/>
        <tr r="J24" s="23"/>
      </tp>
      <tp t="e">
        <v>#N/A</v>
        <stp/>
        <stp>BDH|4953563058064043357</stp>
        <tr r="X24" s="13"/>
      </tp>
      <tp t="e">
        <v>#N/A</v>
        <stp/>
        <stp>BDH|7137660605762170016</stp>
        <tr r="I200" s="18"/>
      </tp>
      <tp t="e">
        <v>#N/A</v>
        <stp/>
        <stp>BDH|8592170353126743949</stp>
        <tr r="Y35" s="25"/>
      </tp>
      <tp t="e">
        <v>#N/A</v>
        <stp/>
        <stp>BDH|1508339795859954181</stp>
        <tr r="Q66" s="17"/>
      </tp>
      <tp t="e">
        <v>#N/A</v>
        <stp/>
        <stp>BDH|1985287926561193346</stp>
        <tr r="P78" s="12"/>
      </tp>
      <tp t="e">
        <v>#N/A</v>
        <stp/>
        <stp>BDH|7212769925968754941</stp>
        <tr r="Q12" s="25"/>
      </tp>
      <tp t="e">
        <v>#N/A</v>
        <stp/>
        <stp>BDH|6076440763391132642</stp>
        <tr r="Z16" s="21"/>
      </tp>
      <tp t="e">
        <v>#N/A</v>
        <stp/>
        <stp>BDH|9955072215109942206</stp>
        <tr r="F130" s="18"/>
      </tp>
      <tp t="e">
        <v>#N/A</v>
        <stp/>
        <stp>BDH|4522320095179447443</stp>
        <tr r="J83" s="17"/>
      </tp>
      <tp t="e">
        <v>#N/A</v>
        <stp/>
        <stp>BDH|7171041249060959077</stp>
        <tr r="T55" s="18"/>
      </tp>
      <tp t="e">
        <v>#N/A</v>
        <stp/>
        <stp>BDH|3981765136465398184</stp>
        <tr r="L204" s="18"/>
      </tp>
      <tp t="e">
        <v>#N/A</v>
        <stp/>
        <stp>BDH|1886622073472929128</stp>
        <tr r="Q14" s="22"/>
      </tp>
      <tp t="e">
        <v>#N/A</v>
        <stp/>
        <stp>BDH|4124952276081205824</stp>
        <tr r="C68" s="12"/>
      </tp>
      <tp t="e">
        <v>#N/A</v>
        <stp/>
        <stp>BDH|4989370113050899576</stp>
        <tr r="F200" s="18"/>
      </tp>
      <tp t="e">
        <v>#N/A</v>
        <stp/>
        <stp>BDH|2022841799529606991</stp>
        <tr r="Q48" s="21"/>
      </tp>
      <tp t="e">
        <v>#N/A</v>
        <stp/>
        <stp>BDH|6228186957045754486</stp>
        <tr r="R78" s="12"/>
      </tp>
      <tp t="e">
        <v>#N/A</v>
        <stp/>
        <stp>BDH|7101588984448930168</stp>
        <tr r="S52" s="6"/>
      </tp>
      <tp t="e">
        <v>#N/A</v>
        <stp/>
        <stp>BDH|3131987203950928918</stp>
        <tr r="L18" s="18"/>
      </tp>
      <tp t="e">
        <v>#N/A</v>
        <stp/>
        <stp>BDH|2304967028162658895</stp>
        <tr r="R205" s="18"/>
      </tp>
      <tp t="e">
        <v>#N/A</v>
        <stp/>
        <stp>BDH|1808827378695019806</stp>
        <tr r="C52" s="6"/>
      </tp>
      <tp t="e">
        <v>#N/A</v>
        <stp/>
        <stp>BDH|6934655214636293480</stp>
        <tr r="K187" s="18"/>
      </tp>
      <tp t="e">
        <v>#N/A</v>
        <stp/>
        <stp>BDH|3772788977746809620</stp>
        <tr r="I17" s="4"/>
        <tr r="K10" s="3"/>
        <tr r="I56" s="10"/>
        <tr r="I46" s="11"/>
        <tr r="I17" s="7"/>
        <tr r="K61" s="13"/>
      </tp>
      <tp t="e">
        <v>#N/A</v>
        <stp/>
        <stp>BDH|5283739139844368697</stp>
        <tr r="L143" s="18"/>
      </tp>
      <tp t="e">
        <v>#N/A</v>
        <stp/>
        <stp>BDH|4422858824695526824</stp>
        <tr r="H116" s="18"/>
      </tp>
      <tp t="e">
        <v>#N/A</v>
        <stp/>
        <stp>BDH|2449005998631640989</stp>
        <tr r="X53" s="13"/>
      </tp>
      <tp t="e">
        <v>#N/A</v>
        <stp/>
        <stp>BDH|6522320191186405909</stp>
        <tr r="E10" s="12"/>
      </tp>
      <tp t="e">
        <v>#N/A</v>
        <stp/>
        <stp>BDH|3187104055994371058</stp>
        <tr r="R47" s="6"/>
        <tr r="T6" s="8"/>
      </tp>
      <tp t="e">
        <v>#N/A</v>
        <stp/>
        <stp>BDH|9740856939930855114</stp>
        <tr r="S141" s="18"/>
      </tp>
      <tp t="e">
        <v>#N/A</v>
        <stp/>
        <stp>BDH|1989625332306273194</stp>
        <tr r="H177" s="18"/>
      </tp>
      <tp t="e">
        <v>#N/A</v>
        <stp/>
        <stp>BDH|3277303601856011511</stp>
        <tr r="F49" s="18"/>
      </tp>
      <tp t="e">
        <v>#N/A</v>
        <stp/>
        <stp>BDH|4777221615764189035</stp>
        <tr r="C56" s="24"/>
      </tp>
      <tp t="e">
        <v>#N/A</v>
        <stp/>
        <stp>BDH|6459821995081699572</stp>
        <tr r="K31" s="29"/>
      </tp>
      <tp t="e">
        <v>#N/A</v>
        <stp/>
        <stp>BDH|1886138401841831205</stp>
        <tr r="R28" s="6"/>
      </tp>
      <tp t="e">
        <v>#N/A</v>
        <stp/>
        <stp>BDH|9790072477654562905</stp>
        <tr r="D15" s="4"/>
      </tp>
      <tp t="e">
        <v>#N/A</v>
        <stp/>
        <stp>BDH|2039731418037995005</stp>
        <tr r="X87" s="17"/>
      </tp>
      <tp t="e">
        <v>#N/A</v>
        <stp/>
        <stp>BDH|4389508640495543351</stp>
        <tr r="C103" s="18"/>
      </tp>
      <tp t="e">
        <v>#N/A</v>
        <stp/>
        <stp>BDH|8994486777368753028</stp>
        <tr r="R173" s="18"/>
      </tp>
      <tp t="e">
        <v>#N/A</v>
        <stp/>
        <stp>BDH|6139389339991404473</stp>
        <tr r="V12" s="6"/>
      </tp>
      <tp t="e">
        <v>#N/A</v>
        <stp/>
        <stp>BDH|1322542784277630861</stp>
        <tr r="G29" s="22"/>
      </tp>
      <tp t="e">
        <v>#N/A</v>
        <stp/>
        <stp>BDH|4461453509683248094</stp>
        <tr r="N71" s="10"/>
        <tr r="N61" s="11"/>
      </tp>
      <tp t="e">
        <v>#N/A</v>
        <stp/>
        <stp>BDH|3711436252799509803</stp>
        <tr r="P23" s="21"/>
      </tp>
      <tp t="e">
        <v>#N/A</v>
        <stp/>
        <stp>BDH|4603107442922153069</stp>
        <tr r="S33" s="18"/>
      </tp>
      <tp t="e">
        <v>#N/A</v>
        <stp/>
        <stp>BDH|7257376615785663350</stp>
        <tr r="L69" s="18"/>
      </tp>
      <tp t="e">
        <v>#N/A</v>
        <stp/>
        <stp>BDH|3201348065356368338</stp>
        <tr r="X28" s="10"/>
        <tr r="Z37" s="13"/>
      </tp>
      <tp t="e">
        <v>#N/A</v>
        <stp/>
        <stp>BDH|9848246302520941846</stp>
        <tr r="P11" s="6"/>
      </tp>
      <tp t="e">
        <v>#N/A</v>
        <stp/>
        <stp>BDH|8629112791536508501</stp>
        <tr r="X7" s="28"/>
      </tp>
      <tp t="e">
        <v>#N/A</v>
        <stp/>
        <stp>BDH|3003835721182970887</stp>
        <tr r="V38" s="21"/>
        <tr r="V24" s="3"/>
      </tp>
      <tp t="e">
        <v>#N/A</v>
        <stp/>
        <stp>BDH|2246233846111017643</stp>
        <tr r="V63" s="17"/>
      </tp>
      <tp t="e">
        <v>#N/A</v>
        <stp/>
        <stp>BDH|4197334252488679959</stp>
        <tr r="R57" s="17"/>
      </tp>
      <tp t="e">
        <v>#N/A</v>
        <stp/>
        <stp>BDH|3457983149838007569</stp>
        <tr r="Y55" s="17"/>
      </tp>
      <tp t="e">
        <v>#N/A</v>
        <stp/>
        <stp>BDH|2952571461093423181</stp>
        <tr r="W63" s="18"/>
      </tp>
      <tp t="e">
        <v>#N/A</v>
        <stp/>
        <stp>BDH|5845217801501323583</stp>
        <tr r="G9" s="10"/>
      </tp>
      <tp t="e">
        <v>#N/A</v>
        <stp/>
        <stp>BDH|9614302593678509832</stp>
        <tr r="M47" s="12"/>
      </tp>
      <tp t="e">
        <v>#N/A</v>
        <stp/>
        <stp>BDH|1305069750420125779</stp>
        <tr r="U138" s="18"/>
      </tp>
      <tp t="e">
        <v>#N/A</v>
        <stp/>
        <stp>BDH|2914080067290248771</stp>
        <tr r="R61" s="12"/>
      </tp>
      <tp t="e">
        <v>#N/A</v>
        <stp/>
        <stp>BDH|4792845512937353916</stp>
        <tr r="H16" s="24"/>
      </tp>
      <tp t="e">
        <v>#N/A</v>
        <stp/>
        <stp>BDH|8326915437378415923</stp>
        <tr r="P48" s="12"/>
      </tp>
      <tp t="e">
        <v>#N/A</v>
        <stp/>
        <stp>BDH|3276283931572109397</stp>
        <tr r="I20" s="6"/>
      </tp>
      <tp t="e">
        <v>#N/A</v>
        <stp/>
        <stp>BDH|3432527057743174332</stp>
        <tr r="H71" s="13"/>
      </tp>
      <tp t="e">
        <v>#N/A</v>
        <stp/>
        <stp>BDH|1305502419275025394</stp>
        <tr r="D28" s="4"/>
      </tp>
      <tp t="e">
        <v>#N/A</v>
        <stp/>
        <stp>BDH|4529327316727627246</stp>
        <tr r="E55" s="13"/>
      </tp>
      <tp t="e">
        <v>#N/A</v>
        <stp/>
        <stp>BDH|5272647139137914459</stp>
        <tr r="W11" s="29"/>
      </tp>
      <tp t="e">
        <v>#N/A</v>
        <stp/>
        <stp>BDH|8454533733905767800</stp>
        <tr r="M75" s="17"/>
      </tp>
      <tp t="e">
        <v>#N/A</v>
        <stp/>
        <stp>BDH|9879999309353979023</stp>
        <tr r="J24" s="27"/>
      </tp>
      <tp t="e">
        <v>#N/A</v>
        <stp/>
        <stp>BDH|5588349881808538563</stp>
        <tr r="T85" s="18"/>
      </tp>
      <tp t="e">
        <v>#N/A</v>
        <stp/>
        <stp>BDH|3124920951825666975</stp>
        <tr r="N80" s="34"/>
      </tp>
      <tp t="e">
        <v>#N/A</v>
        <stp/>
        <stp>BDH|1540203271174383346</stp>
        <tr r="C81" s="24"/>
      </tp>
      <tp t="e">
        <v>#N/A</v>
        <stp/>
        <stp>BDH|2781745754595498609</stp>
        <tr r="V25" s="17"/>
      </tp>
      <tp t="e">
        <v>#N/A</v>
        <stp/>
        <stp>BDH|5035159474136233600</stp>
        <tr r="H66" s="17"/>
      </tp>
      <tp t="e">
        <v>#N/A</v>
        <stp/>
        <stp>BDH|6533511694251583863</stp>
        <tr r="Q34" s="6"/>
      </tp>
      <tp t="e">
        <v>#N/A</v>
        <stp/>
        <stp>BDH|1805041490922828971</stp>
        <tr r="S16" s="21"/>
      </tp>
      <tp t="e">
        <v>#N/A</v>
        <stp/>
        <stp>BDH|8935232715009934158</stp>
        <tr r="O75" s="24"/>
      </tp>
      <tp t="e">
        <v>#N/A</v>
        <stp/>
        <stp>BDH|2284617190489635762</stp>
        <tr r="N6" s="19"/>
        <tr r="N34" s="17"/>
        <tr r="N16" s="3"/>
      </tp>
      <tp t="e">
        <v>#N/A</v>
        <stp/>
        <stp>BDH|4718003130265237169</stp>
        <tr r="E32" s="10"/>
        <tr r="G41" s="13"/>
      </tp>
      <tp t="e">
        <v>#N/A</v>
        <stp/>
        <stp>BDH|3121749429700711580</stp>
        <tr r="C16" s="25"/>
      </tp>
      <tp t="e">
        <v>#N/A</v>
        <stp/>
        <stp>BDH|2486023115354257420</stp>
        <tr r="V28" s="26"/>
      </tp>
      <tp t="e">
        <v>#N/A</v>
        <stp/>
        <stp>BDH|8005663521578521719</stp>
        <tr r="T19" s="12"/>
      </tp>
      <tp t="e">
        <v>#N/A</v>
        <stp/>
        <stp>BDH|3416753743370556349</stp>
        <tr r="X13" s="24"/>
      </tp>
      <tp t="e">
        <v>#N/A</v>
        <stp/>
        <stp>BDH|6572123581724766828</stp>
        <tr r="C21" s="34"/>
      </tp>
      <tp t="e">
        <v>#N/A</v>
        <stp/>
        <stp>BDH|3677966083159793875</stp>
        <tr r="Y71" s="17"/>
      </tp>
      <tp t="e">
        <v>#N/A</v>
        <stp/>
        <stp>BDH|9450413059672655999</stp>
        <tr r="N49" s="17"/>
      </tp>
      <tp t="e">
        <v>#N/A</v>
        <stp/>
        <stp>BDH|7834787323896710771</stp>
        <tr r="G35" s="18"/>
      </tp>
      <tp t="e">
        <v>#N/A</v>
        <stp/>
        <stp>BDH|9961237339849038206</stp>
        <tr r="N202" s="18"/>
      </tp>
      <tp t="e">
        <v>#N/A</v>
        <stp/>
        <stp>BDH|2595314558457709086</stp>
        <tr r="G27" s="25"/>
        <tr r="G13" s="27"/>
      </tp>
      <tp t="e">
        <v>#N/A</v>
        <stp/>
        <stp>BDH|1397462214366026124</stp>
        <tr r="H127" s="18"/>
      </tp>
      <tp t="e">
        <v>#N/A</v>
        <stp/>
        <stp>BDH|7798244312204746355</stp>
        <tr r="V53" s="18"/>
      </tp>
      <tp t="e">
        <v>#N/A</v>
        <stp/>
        <stp>BDH|1137034530492280335</stp>
        <tr r="W8" s="10"/>
      </tp>
      <tp t="e">
        <v>#N/A</v>
        <stp/>
        <stp>BDH|9185080453836232982</stp>
        <tr r="I30" s="10"/>
        <tr r="K39" s="13"/>
      </tp>
      <tp t="e">
        <v>#N/A</v>
        <stp/>
        <stp>BDH|6425457868545168287</stp>
        <tr r="Z35" s="25"/>
      </tp>
      <tp t="e">
        <v>#N/A</v>
        <stp/>
        <stp>BDH|2352073723083045073</stp>
        <tr r="W39" s="34"/>
      </tp>
      <tp t="e">
        <v>#N/A</v>
        <stp/>
        <stp>BDH|5832737130293273190</stp>
        <tr r="P55" s="24"/>
      </tp>
      <tp t="e">
        <v>#N/A</v>
        <stp/>
        <stp>BDH|4065957967530255800</stp>
        <tr r="I21" s="30"/>
      </tp>
      <tp t="e">
        <v>#N/A</v>
        <stp/>
        <stp>BDH|6830577213051921056</stp>
        <tr r="I167" s="18"/>
      </tp>
      <tp t="e">
        <v>#N/A</v>
        <stp/>
        <stp>BDH|7792010161067693510</stp>
        <tr r="T34" s="26"/>
      </tp>
      <tp t="e">
        <v>#N/A</v>
        <stp/>
        <stp>BDH|4586261194065311948</stp>
        <tr r="X192" s="18"/>
      </tp>
      <tp t="e">
        <v>#N/A</v>
        <stp/>
        <stp>BDH|8859938679834625147</stp>
        <tr r="Y57" s="18"/>
      </tp>
      <tp t="e">
        <v>#N/A</v>
        <stp/>
        <stp>BDH|1063287818643303234</stp>
        <tr r="Q11" s="3"/>
        <tr r="O50" s="10"/>
        <tr r="O40" s="11"/>
        <tr r="O8" s="7"/>
      </tp>
      <tp t="e">
        <v>#N/A</v>
        <stp/>
        <stp>BDH|8758256796000272067</stp>
        <tr r="P16" s="12"/>
      </tp>
      <tp t="e">
        <v>#N/A</v>
        <stp/>
        <stp>BDH|1181017660904959090</stp>
        <tr r="M23" s="25"/>
        <tr r="K20" s="11"/>
      </tp>
      <tp t="e">
        <v>#N/A</v>
        <stp/>
        <stp>BDH|4515343643446779652</stp>
        <tr r="C72" s="24"/>
      </tp>
      <tp t="e">
        <v>#N/A</v>
        <stp/>
        <stp>BDH|8718869862271783440</stp>
        <tr r="I14" s="8"/>
      </tp>
      <tp t="e">
        <v>#N/A</v>
        <stp/>
        <stp>BDH|3822262271053802672</stp>
        <tr r="T22" s="10"/>
      </tp>
      <tp t="e">
        <v>#N/A</v>
        <stp/>
        <stp>BDH|8358770273593341846</stp>
        <tr r="Y113" s="18"/>
      </tp>
      <tp t="e">
        <v>#N/A</v>
        <stp/>
        <stp>BDH|8964526151499377291</stp>
        <tr r="G22" s="24"/>
      </tp>
      <tp t="e">
        <v>#N/A</v>
        <stp/>
        <stp>BDH|6700104100741701506</stp>
        <tr r="H16" s="11"/>
      </tp>
      <tp t="e">
        <v>#N/A</v>
        <stp/>
        <stp>BDH|1951530581297331881</stp>
        <tr r="AA75" s="17"/>
      </tp>
      <tp t="e">
        <v>#N/A</v>
        <stp/>
        <stp>BDH|1697257436622645138</stp>
        <tr r="K38" s="34"/>
      </tp>
      <tp t="e">
        <v>#N/A</v>
        <stp/>
        <stp>BDH|6017915385574517014</stp>
        <tr r="G29" s="21"/>
      </tp>
      <tp t="e">
        <v>#N/A</v>
        <stp/>
        <stp>BDH|8187573423345343968</stp>
        <tr r="W10" s="14"/>
      </tp>
      <tp t="e">
        <v>#N/A</v>
        <stp/>
        <stp>BDH|6173962423569631727</stp>
        <tr r="S18" s="10"/>
      </tp>
      <tp t="e">
        <v>#N/A</v>
        <stp/>
        <stp>BDH|4271091234256744284</stp>
        <tr r="X40" s="22"/>
      </tp>
      <tp t="e">
        <v>#N/A</v>
        <stp/>
        <stp>BDH|4328993385323823574</stp>
        <tr r="V14" s="13"/>
      </tp>
      <tp t="e">
        <v>#N/A</v>
        <stp/>
        <stp>BDH|5221581815056778483</stp>
        <tr r="N55" s="21"/>
      </tp>
      <tp t="e">
        <v>#N/A</v>
        <stp/>
        <stp>BDH|3142537312357944392</stp>
        <tr r="L75" s="34"/>
      </tp>
      <tp t="e">
        <v>#N/A</v>
        <stp/>
        <stp>BDH|5472821820798003467</stp>
        <tr r="H6" s="2"/>
        <tr r="G6" s="5"/>
        <tr r="G6" s="9"/>
        <tr r="I12" s="8"/>
        <tr r="I10" s="29"/>
        <tr r="I19" s="29"/>
        <tr r="I25" s="29"/>
      </tp>
      <tp t="e">
        <v>#N/A</v>
        <stp/>
        <stp>BDH|1878390132282222011</stp>
        <tr r="Y52" s="10"/>
        <tr r="Y42" s="11"/>
        <tr r="Y15" s="7"/>
      </tp>
      <tp t="e">
        <v>#N/A</v>
        <stp/>
        <stp>BDH|1915527346360592385</stp>
        <tr r="L15" s="26"/>
      </tp>
      <tp t="e">
        <v>#N/A</v>
        <stp/>
        <stp>BDH|3256666038784983155</stp>
        <tr r="J10" s="4"/>
        <tr r="I6" s="16"/>
        <tr r="L6" s="3"/>
        <tr r="J6" s="11"/>
      </tp>
      <tp t="e">
        <v>#N/A</v>
        <stp/>
        <stp>BDH|7666071458949139884</stp>
        <tr r="S43" s="21"/>
      </tp>
      <tp t="e">
        <v>#N/A</v>
        <stp/>
        <stp>BDH|4818961498863142475</stp>
        <tr r="V51" s="12"/>
      </tp>
      <tp t="e">
        <v>#N/A</v>
        <stp/>
        <stp>BDH|6046112795998338574</stp>
        <tr r="U21" s="9"/>
      </tp>
      <tp t="e">
        <v>#N/A</v>
        <stp/>
        <stp>BDH|4039359432425162260</stp>
        <tr r="AA87" s="17"/>
      </tp>
      <tp t="e">
        <v>#N/A</v>
        <stp/>
        <stp>BDH|6639869545600101944</stp>
        <tr r="C20" s="24"/>
      </tp>
      <tp t="e">
        <v>#N/A</v>
        <stp/>
        <stp>BDH|8434305183225383547</stp>
        <tr r="C10" s="4"/>
        <tr r="E6" s="3"/>
        <tr r="C6" s="11"/>
      </tp>
      <tp t="e">
        <v>#N/A</v>
        <stp/>
        <stp>BDH|6971877740441975878</stp>
        <tr r="S41" s="17"/>
        <tr r="S9" s="25"/>
      </tp>
      <tp t="e">
        <v>#N/A</v>
        <stp/>
        <stp>BDH|4187141231227643225</stp>
        <tr r="U129" s="18"/>
      </tp>
      <tp t="e">
        <v>#N/A</v>
        <stp/>
        <stp>BDH|6113147750205580406</stp>
        <tr r="C206" s="18"/>
      </tp>
      <tp t="e">
        <v>#N/A</v>
        <stp/>
        <stp>BDH|2134646512446792002</stp>
        <tr r="Q11" s="7"/>
      </tp>
      <tp t="e">
        <v>#N/A</v>
        <stp/>
        <stp>BDH|2728924636879749240</stp>
        <tr r="I15" s="30"/>
      </tp>
      <tp t="e">
        <v>#N/A</v>
        <stp/>
        <stp>BDH|9703379567288325743</stp>
        <tr r="J19" s="26"/>
      </tp>
      <tp t="e">
        <v>#N/A</v>
        <stp/>
        <stp>BDH|9454434864969640151</stp>
        <tr r="O20" s="18"/>
      </tp>
      <tp t="e">
        <v>#N/A</v>
        <stp/>
        <stp>BDH|9911598185321025654</stp>
        <tr r="U40" s="12"/>
      </tp>
      <tp t="e">
        <v>#N/A</v>
        <stp/>
        <stp>BDH|2933088130642176006</stp>
        <tr r="C14" s="17"/>
        <tr r="C17" s="28"/>
      </tp>
      <tp t="e">
        <v>#N/A</v>
        <stp/>
        <stp>BDH|6730375210181489643</stp>
        <tr r="U15" s="11"/>
      </tp>
      <tp t="e">
        <v>#N/A</v>
        <stp/>
        <stp>BDH|2235833110598592040</stp>
        <tr r="M78" s="17"/>
      </tp>
      <tp t="e">
        <v>#N/A</v>
        <stp/>
        <stp>BDH|5065706003502388302</stp>
        <tr r="O73" s="12"/>
      </tp>
      <tp t="e">
        <v>#N/A</v>
        <stp/>
        <stp>BDH|3545511318281417589</stp>
        <tr r="X57" s="12"/>
      </tp>
      <tp t="e">
        <v>#N/A</v>
        <stp/>
        <stp>BDH|4486626142694256163</stp>
        <tr r="L40" s="10"/>
        <tr r="L30" s="11"/>
      </tp>
      <tp t="e">
        <v>#N/A</v>
        <stp/>
        <stp>BDH|7568549330871238325</stp>
        <tr r="U121" s="18"/>
        <tr r="U9" s="20"/>
      </tp>
      <tp t="e">
        <v>#N/A</v>
        <stp/>
        <stp>BDH|7133040182238774417</stp>
        <tr r="F119" s="18"/>
        <tr r="F7" s="20"/>
      </tp>
      <tp t="e">
        <v>#N/A</v>
        <stp/>
        <stp>BDH|6243306163062332230</stp>
        <tr r="H97" s="18"/>
      </tp>
      <tp t="e">
        <v>#N/A</v>
        <stp/>
        <stp>BDH|7166638196562627938</stp>
        <tr r="AA20" s="25"/>
      </tp>
      <tp t="e">
        <v>#N/A</v>
        <stp/>
        <stp>BDH|3004608523826021223</stp>
        <tr r="U14" s="29"/>
        <tr r="U23" s="29"/>
        <tr r="U37" s="29"/>
      </tp>
      <tp t="e">
        <v>#N/A</v>
        <stp/>
        <stp>BDH|3510179015847599738</stp>
        <tr r="F49" s="24"/>
      </tp>
      <tp t="e">
        <v>#N/A</v>
        <stp/>
        <stp>BDH|9131952530082361266</stp>
        <tr r="W85" s="12"/>
      </tp>
      <tp t="e">
        <v>#N/A</v>
        <stp/>
        <stp>BDH|4671198555925814637</stp>
        <tr r="Q88" s="17"/>
      </tp>
      <tp t="e">
        <v>#N/A</v>
        <stp/>
        <stp>BDH|5720675650073652672</stp>
        <tr r="E24" s="4"/>
        <tr r="E55" s="11"/>
      </tp>
      <tp t="e">
        <v>#N/A</v>
        <stp/>
        <stp>BDH|2509230772611524504</stp>
        <tr r="E92" s="17"/>
        <tr r="E7" s="27"/>
      </tp>
      <tp t="e">
        <v>#N/A</v>
        <stp/>
        <stp>BDH|2197288958874025208</stp>
        <tr r="J194" s="18"/>
      </tp>
      <tp t="e">
        <v>#N/A</v>
        <stp/>
        <stp>BDH|5295055964321142138</stp>
        <tr r="Z38" s="25"/>
      </tp>
      <tp t="e">
        <v>#N/A</v>
        <stp/>
        <stp>BDH|2395249836788000805</stp>
        <tr r="R9" s="6"/>
      </tp>
      <tp t="e">
        <v>#N/A</v>
        <stp/>
        <stp>BDH|1793659196205772827</stp>
        <tr r="Q42" s="24"/>
      </tp>
      <tp t="e">
        <v>#N/A</v>
        <stp/>
        <stp>BDH|5546725417206811690</stp>
        <tr r="F88" s="24"/>
      </tp>
      <tp t="e">
        <v>#N/A</v>
        <stp/>
        <stp>BDH|9153853657483318416</stp>
        <tr r="D88" s="18"/>
      </tp>
      <tp t="e">
        <v>#N/A</v>
        <stp/>
        <stp>BDH|4655317676387839487</stp>
        <tr r="R17" s="24"/>
      </tp>
      <tp t="e">
        <v>#N/A</v>
        <stp/>
        <stp>BDH|1063114000493236020</stp>
        <tr r="Q116" s="18"/>
      </tp>
      <tp t="e">
        <v>#N/A</v>
        <stp/>
        <stp>BDH|1204735922252452567</stp>
        <tr r="Q70" s="13"/>
      </tp>
      <tp t="e">
        <v>#N/A</v>
        <stp/>
        <stp>BDH|8660324484860678078</stp>
        <tr r="T31" s="29"/>
      </tp>
      <tp t="e">
        <v>#N/A</v>
        <stp/>
        <stp>BDH|1539623944439568977</stp>
        <tr r="R63" s="12"/>
      </tp>
      <tp t="e">
        <v>#N/A</v>
        <stp/>
        <stp>BDH|9804966656100169684</stp>
        <tr r="Z77" s="12"/>
      </tp>
      <tp t="e">
        <v>#N/A</v>
        <stp/>
        <stp>BDH|4219716967202564407</stp>
        <tr r="P13" s="29"/>
        <tr r="P22" s="29"/>
        <tr r="P36" s="29"/>
      </tp>
      <tp t="e">
        <v>#N/A</v>
        <stp/>
        <stp>BDH|7815214507600747683</stp>
        <tr r="G52" s="24"/>
      </tp>
      <tp t="e">
        <v>#N/A</v>
        <stp/>
        <stp>BDH|1366320921732240131</stp>
        <tr r="S27" s="26"/>
      </tp>
      <tp t="e">
        <v>#N/A</v>
        <stp/>
        <stp>BDH|7142561264186707150</stp>
        <tr r="I11" s="22"/>
      </tp>
      <tp t="e">
        <v>#N/A</v>
        <stp/>
        <stp>BDH|4434782122012774081</stp>
        <tr r="W6" s="27"/>
      </tp>
      <tp t="e">
        <v>#N/A</v>
        <stp/>
        <stp>BDH|5021703184691658835</stp>
        <tr r="N19" s="5"/>
        <tr r="N42" s="6"/>
      </tp>
      <tp t="e">
        <v>#N/A</v>
        <stp/>
        <stp>BDH|5858796601365242433</stp>
        <tr r="F20" s="6"/>
      </tp>
      <tp t="e">
        <v>#N/A</v>
        <stp/>
        <stp>BDH|3167866366297946991</stp>
        <tr r="V57" s="11"/>
        <tr r="X15" s="23"/>
      </tp>
      <tp t="e">
        <v>#N/A</v>
        <stp/>
        <stp>BDH|2138380824149473983</stp>
        <tr r="U35" s="25"/>
      </tp>
      <tp t="e">
        <v>#N/A</v>
        <stp/>
        <stp>BDH|9138633878189976220</stp>
        <tr r="C9" s="12"/>
      </tp>
      <tp t="e">
        <v>#N/A</v>
        <stp/>
        <stp>BDH|7281089911327332297</stp>
        <tr r="L28" s="6"/>
      </tp>
      <tp t="e">
        <v>#N/A</v>
        <stp/>
        <stp>BDH|3755329072444027063</stp>
        <tr r="G13" s="30"/>
      </tp>
      <tp t="e">
        <v>#N/A</v>
        <stp/>
        <stp>BDH|9896362303878982152</stp>
        <tr r="N83" s="24"/>
      </tp>
      <tp t="e">
        <v>#N/A</v>
        <stp/>
        <stp>BDH|4002254827093040439</stp>
        <tr r="V69" s="12"/>
      </tp>
      <tp t="e">
        <v>#N/A</v>
        <stp/>
        <stp>BDH|6177656994849489358</stp>
        <tr r="T32" s="5"/>
      </tp>
      <tp t="e">
        <v>#N/A</v>
        <stp/>
        <stp>BDH|4468589516846987526</stp>
        <tr r="Z135" s="18"/>
      </tp>
      <tp t="e">
        <v>#N/A</v>
        <stp/>
        <stp>BDH|3532809966528072621</stp>
        <tr r="G182" s="18"/>
      </tp>
      <tp t="e">
        <v>#N/A</v>
        <stp/>
        <stp>BDH|8651278541879089415</stp>
        <tr r="M45" s="6"/>
      </tp>
      <tp t="e">
        <v>#N/A</v>
        <stp/>
        <stp>BDH|6780151397279512411</stp>
        <tr r="P8" s="26"/>
        <tr r="M10" s="9"/>
      </tp>
      <tp t="e">
        <v>#N/A</v>
        <stp/>
        <stp>BDH|7220082508674182025</stp>
        <tr r="Y99" s="18"/>
      </tp>
      <tp t="e">
        <v>#N/A</v>
        <stp/>
        <stp>BDH|8362112222841439954</stp>
        <tr r="P69" s="24"/>
      </tp>
      <tp t="e">
        <v>#N/A</v>
        <stp/>
        <stp>BDH|4857343346505200599</stp>
        <tr r="R20" s="9"/>
      </tp>
      <tp t="e">
        <v>#N/A</v>
        <stp/>
        <stp>BDH|3100886298191341039</stp>
        <tr r="J37" s="21"/>
      </tp>
      <tp t="e">
        <v>#N/A</v>
        <stp/>
        <stp>BDH|1402662896054268979</stp>
        <tr r="R49" s="4"/>
      </tp>
      <tp t="e">
        <v>#N/A</v>
        <stp/>
        <stp>BDH|5188065459312933160</stp>
        <tr r="D13" s="24"/>
      </tp>
      <tp t="e">
        <v>#N/A</v>
        <stp/>
        <stp>BDH|6094765976746508347</stp>
        <tr r="M25" s="18"/>
      </tp>
      <tp t="e">
        <v>#N/A</v>
        <stp/>
        <stp>BDH|8968086816672328858</stp>
        <tr r="C50" s="18"/>
      </tp>
      <tp t="e">
        <v>#N/A</v>
        <stp/>
        <stp>BDH|8990210968167867892</stp>
        <tr r="Y60" s="17"/>
      </tp>
      <tp t="e">
        <v>#N/A</v>
        <stp/>
        <stp>BDH|3950026448632720658</stp>
        <tr r="W8" s="27"/>
      </tp>
      <tp t="e">
        <v>#N/A</v>
        <stp/>
        <stp>BDH|9041378923713078853</stp>
        <tr r="H25" s="17"/>
      </tp>
      <tp t="e">
        <v>#N/A</v>
        <stp/>
        <stp>BDH|4335367333950460734</stp>
        <tr r="C18" s="29"/>
        <tr r="C41" s="29"/>
      </tp>
      <tp t="e">
        <v>#N/A</v>
        <stp/>
        <stp>BDH|2458029846555968080</stp>
        <tr r="E63" s="24"/>
      </tp>
      <tp t="e">
        <v>#N/A</v>
        <stp/>
        <stp>BDH|4581871696297450110</stp>
        <tr r="M77" s="17"/>
        <tr r="M19" s="3"/>
      </tp>
      <tp t="e">
        <v>#N/A</v>
        <stp/>
        <stp>BDH|4757671921337178461</stp>
        <tr r="Y27" s="13"/>
      </tp>
      <tp t="e">
        <v>#N/A</v>
        <stp/>
        <stp>BDH|6331048478102934009</stp>
        <tr r="U9" s="28"/>
      </tp>
      <tp t="e">
        <v>#N/A</v>
        <stp/>
        <stp>BDH|6647146115861232439</stp>
        <tr r="H33" s="9"/>
      </tp>
      <tp t="e">
        <v>#N/A</v>
        <stp/>
        <stp>BDH|1547517946540509315</stp>
        <tr r="W13" s="17"/>
        <tr r="W16" s="28"/>
      </tp>
      <tp t="e">
        <v>#N/A</v>
        <stp/>
        <stp>BDH|4204864730624092828</stp>
        <tr r="W67" s="17"/>
        <tr r="W18" s="3"/>
      </tp>
      <tp t="e">
        <v>#N/A</v>
        <stp/>
        <stp>BDH|5449813890377638054</stp>
        <tr r="D6" s="2"/>
        <tr r="C6" s="5"/>
        <tr r="C6" s="9"/>
        <tr r="E12" s="8"/>
        <tr r="E10" s="29"/>
        <tr r="E19" s="29"/>
        <tr r="E25" s="29"/>
      </tp>
      <tp t="e">
        <v>#N/A</v>
        <stp/>
        <stp>BDH|7400831413529359412</stp>
        <tr r="T137" s="18"/>
      </tp>
      <tp t="e">
        <v>#N/A</v>
        <stp/>
        <stp>BDH|3192281924879219993</stp>
        <tr r="C90" s="24"/>
      </tp>
      <tp t="e">
        <v>#N/A</v>
        <stp/>
        <stp>BDH|7313630627248790868</stp>
        <tr r="C168" s="18"/>
      </tp>
      <tp t="e">
        <v>#N/A</v>
        <stp/>
        <stp>BDH|5305472474400762512</stp>
        <tr r="U90" s="24"/>
      </tp>
      <tp t="e">
        <v>#N/A</v>
        <stp/>
        <stp>BDH|5037326130351469702</stp>
        <tr r="AA20" s="12"/>
      </tp>
      <tp t="e">
        <v>#N/A</v>
        <stp/>
        <stp>BDH|1117610434432565576</stp>
        <tr r="P9" s="13"/>
      </tp>
      <tp t="e">
        <v>#N/A</v>
        <stp/>
        <stp>BDH|9243357504778602131</stp>
        <tr r="P30" s="6"/>
      </tp>
      <tp t="e">
        <v>#N/A</v>
        <stp/>
        <stp>BDH|9364851049591001797</stp>
        <tr r="W33" s="24"/>
      </tp>
      <tp t="e">
        <v>#N/A</v>
        <stp/>
        <stp>BDH|3099048833570878396</stp>
        <tr r="L14" s="21"/>
      </tp>
      <tp t="e">
        <v>#N/A</v>
        <stp/>
        <stp>BDH|4046703306843099303</stp>
        <tr r="H38" s="18"/>
      </tp>
      <tp t="e">
        <v>#N/A</v>
        <stp/>
        <stp>BDH|4559536027623440334</stp>
        <tr r="J52" s="4"/>
        <tr r="L8" s="3"/>
        <tr r="J44" s="10"/>
        <tr r="J34" s="11"/>
        <tr r="L45" s="13"/>
      </tp>
      <tp t="e">
        <v>#N/A</v>
        <stp/>
        <stp>BDH|9617497508206222832</stp>
        <tr r="N32" s="5"/>
      </tp>
      <tp t="e">
        <v>#N/A</v>
        <stp/>
        <stp>BDH|5325760146120107547</stp>
        <tr r="Q75" s="34"/>
      </tp>
      <tp t="e">
        <v>#N/A</v>
        <stp/>
        <stp>BDH|3070584130413838560</stp>
        <tr r="V18" s="29"/>
        <tr r="V41" s="29"/>
      </tp>
      <tp t="e">
        <v>#N/A</v>
        <stp/>
        <stp>BDH|3690356070506443217</stp>
        <tr r="N34" s="21"/>
      </tp>
      <tp t="e">
        <v>#N/A</v>
        <stp/>
        <stp>BDH|9141746083184687162</stp>
        <tr r="S9" s="28"/>
      </tp>
      <tp t="e">
        <v>#N/A</v>
        <stp/>
        <stp>BDH|6502448370425659310</stp>
        <tr r="H35" s="6"/>
      </tp>
      <tp t="e">
        <v>#N/A</v>
        <stp/>
        <stp>BDH|4308598112744838764</stp>
        <tr r="S13" s="11"/>
      </tp>
      <tp t="e">
        <v>#N/A</v>
        <stp/>
        <stp>BDH|5638914073250791854</stp>
        <tr r="X25" s="6"/>
      </tp>
      <tp t="e">
        <v>#N/A</v>
        <stp/>
        <stp>BDH|3285687980766400883</stp>
        <tr r="U20" s="6"/>
      </tp>
      <tp t="e">
        <v>#N/A</v>
        <stp/>
        <stp>BDH|1489060615101544246</stp>
        <tr r="I33" s="21"/>
      </tp>
      <tp t="e">
        <v>#N/A</v>
        <stp/>
        <stp>BDH|4756072379265978569</stp>
        <tr r="O167" s="18"/>
      </tp>
      <tp t="e">
        <v>#N/A</v>
        <stp/>
        <stp>BDH|8606193786855781789</stp>
        <tr r="V81" s="12"/>
      </tp>
      <tp t="e">
        <v>#N/A</v>
        <stp/>
        <stp>BDH|4690882921089929403</stp>
        <tr r="N6" s="6"/>
      </tp>
      <tp t="e">
        <v>#N/A</v>
        <stp/>
        <stp>BDH|2157588466931119388</stp>
        <tr r="Y52" s="4"/>
        <tr r="AA8" s="3"/>
        <tr r="Y44" s="10"/>
        <tr r="Y34" s="11"/>
        <tr r="AA45" s="13"/>
      </tp>
      <tp t="e">
        <v>#N/A</v>
        <stp/>
        <stp>BDH|6466472744855641074</stp>
        <tr r="E129" s="18"/>
      </tp>
      <tp t="e">
        <v>#N/A</v>
        <stp/>
        <stp>BDH|7115147022193581440</stp>
        <tr r="S27" s="25"/>
        <tr r="S13" s="27"/>
      </tp>
      <tp t="e">
        <v>#N/A</v>
        <stp/>
        <stp>BDH|5788472802930799235</stp>
        <tr r="I31" s="26"/>
        <tr r="F14" s="9"/>
      </tp>
      <tp t="e">
        <v>#N/A</v>
        <stp/>
        <stp>BDH|8036784440299894162</stp>
        <tr r="P38" s="18"/>
      </tp>
      <tp t="e">
        <v>#N/A</v>
        <stp/>
        <stp>BDH|4782892569688165104</stp>
        <tr r="M87" s="12"/>
      </tp>
      <tp t="e">
        <v>#N/A</v>
        <stp/>
        <stp>BDH|3642808991762499343</stp>
        <tr r="L87" s="12"/>
      </tp>
      <tp t="e">
        <v>#N/A</v>
        <stp/>
        <stp>BDH|9320732086053713660</stp>
        <tr r="H21" s="5"/>
      </tp>
      <tp t="e">
        <v>#N/A</v>
        <stp/>
        <stp>BDH|6153760044961452708</stp>
        <tr r="W9" s="27"/>
      </tp>
      <tp t="e">
        <v>#N/A</v>
        <stp/>
        <stp>BDH|6768253907867747058</stp>
        <tr r="S24" s="17"/>
      </tp>
      <tp t="e">
        <v>#N/A</v>
        <stp/>
        <stp>BDH|1835803642948401699</stp>
        <tr r="R40" s="24"/>
      </tp>
      <tp t="e">
        <v>#N/A</v>
        <stp/>
        <stp>BDH|4001374717735244057</stp>
        <tr r="Q40" s="22"/>
      </tp>
      <tp t="e">
        <v>#N/A</v>
        <stp/>
        <stp>BDH|6627624873487465344</stp>
        <tr r="L33" s="18"/>
      </tp>
      <tp t="e">
        <v>#N/A</v>
        <stp/>
        <stp>BDH|7299344904517308068</stp>
        <tr r="C28" s="10"/>
        <tr r="E37" s="13"/>
      </tp>
      <tp t="e">
        <v>#N/A</v>
        <stp/>
        <stp>BDH|4060081824946867338</stp>
        <tr r="AA55" s="24"/>
      </tp>
      <tp t="e">
        <v>#N/A</v>
        <stp/>
        <stp>BDH|1468371690089651121</stp>
        <tr r="M51" s="24"/>
      </tp>
      <tp t="e">
        <v>#N/A</v>
        <stp/>
        <stp>BDH|6553206564264047566</stp>
        <tr r="G78" s="17"/>
      </tp>
      <tp t="e">
        <v>#N/A</v>
        <stp/>
        <stp>BDH|5348468431978008936</stp>
        <tr r="G25" s="6"/>
      </tp>
      <tp t="e">
        <v>#N/A</v>
        <stp/>
        <stp>BDH|2575112663647598159</stp>
        <tr r="K33" s="6"/>
      </tp>
      <tp t="e">
        <v>#N/A</v>
        <stp/>
        <stp>BDH|9165509470691321958</stp>
        <tr r="U19" s="12"/>
      </tp>
      <tp t="e">
        <v>#N/A</v>
        <stp/>
        <stp>BDH|6049347872562854391</stp>
        <tr r="T64" s="34"/>
      </tp>
      <tp t="e">
        <v>#N/A</v>
        <stp/>
        <stp>BDH|1503331974040744627</stp>
        <tr r="G46" s="17"/>
      </tp>
      <tp t="e">
        <v>#N/A</v>
        <stp/>
        <stp>BDH|2934715351195968674</stp>
        <tr r="I120" s="18"/>
        <tr r="I8" s="20"/>
      </tp>
      <tp t="e">
        <v>#N/A</v>
        <stp/>
        <stp>BDH|3008143757565535110</stp>
        <tr r="R35" s="25"/>
      </tp>
      <tp t="e">
        <v>#N/A</v>
        <stp/>
        <stp>BDH|4296754711516159708</stp>
        <tr r="O53" s="12"/>
      </tp>
      <tp t="e">
        <v>#N/A</v>
        <stp/>
        <stp>BDH|8208302108039921145</stp>
        <tr r="T27" s="26"/>
      </tp>
      <tp t="e">
        <v>#N/A</v>
        <stp/>
        <stp>BDH|6102649323617986683</stp>
        <tr r="K22" s="17"/>
      </tp>
      <tp t="e">
        <v>#N/A</v>
        <stp/>
        <stp>BDH|8781113803312290805</stp>
        <tr r="L44" s="22"/>
      </tp>
      <tp t="e">
        <v>#N/A</v>
        <stp/>
        <stp>BDH|4206716862080066667</stp>
        <tr r="W31" s="5"/>
      </tp>
      <tp t="e">
        <v>#N/A</v>
        <stp/>
        <stp>BDH|1494859974679499468</stp>
        <tr r="L25" s="25"/>
        <tr r="L10" s="27"/>
      </tp>
      <tp t="e">
        <v>#N/A</v>
        <stp/>
        <stp>BDH|1541701602715969093</stp>
        <tr r="S38" s="6"/>
      </tp>
      <tp t="e">
        <v>#N/A</v>
        <stp/>
        <stp>BDH|4995489861407046277</stp>
        <tr r="U31" s="21"/>
      </tp>
      <tp t="e">
        <v>#N/A</v>
        <stp/>
        <stp>BDH|6461230953597026537</stp>
        <tr r="S23" s="2"/>
        <tr r="U19" s="21"/>
        <tr r="U23" s="3"/>
      </tp>
      <tp t="e">
        <v>#N/A</v>
        <stp/>
        <stp>BDH|7717587464272833541</stp>
        <tr r="U16" s="18"/>
      </tp>
      <tp t="e">
        <v>#N/A</v>
        <stp/>
        <stp>BDH|9251251553378363507</stp>
        <tr r="D14" s="29"/>
        <tr r="D23" s="29"/>
        <tr r="D37" s="29"/>
      </tp>
      <tp t="e">
        <v>#N/A</v>
        <stp/>
        <stp>BDH|1619160824652006331</stp>
        <tr r="F69" s="34"/>
      </tp>
      <tp t="e">
        <v>#N/A</v>
        <stp/>
        <stp>BDH|6196451270272305403</stp>
        <tr r="Y17" s="14"/>
      </tp>
      <tp t="e">
        <v>#N/A</v>
        <stp/>
        <stp>BDH|7155468214138407905</stp>
        <tr r="O35" s="14"/>
      </tp>
      <tp t="e">
        <v>#N/A</v>
        <stp/>
        <stp>BDH|7954100243898833957</stp>
        <tr r="O15" s="17"/>
        <tr r="O18" s="28"/>
      </tp>
      <tp t="e">
        <v>#N/A</v>
        <stp/>
        <stp>BDH|3896177759182112607</stp>
        <tr r="D72" s="12"/>
      </tp>
      <tp t="e">
        <v>#N/A</v>
        <stp/>
        <stp>BDH|4489421876005306141</stp>
        <tr r="Y117" s="18"/>
      </tp>
      <tp t="e">
        <v>#N/A</v>
        <stp/>
        <stp>BDH|2194117038355871672</stp>
        <tr r="M44" s="17"/>
      </tp>
      <tp t="e">
        <v>#N/A</v>
        <stp/>
        <stp>BDH|5296105632545486139</stp>
        <tr r="P123" s="18"/>
        <tr r="P12" s="20"/>
      </tp>
      <tp t="e">
        <v>#N/A</v>
        <stp/>
        <stp>BDH|4586006588639214682</stp>
        <tr r="X28" s="4"/>
      </tp>
      <tp t="e">
        <v>#N/A</v>
        <stp/>
        <stp>BDH|1718600375156083552</stp>
        <tr r="C51" s="34"/>
      </tp>
      <tp t="e">
        <v>#N/A</v>
        <stp/>
        <stp>BDH|7141910045441388812</stp>
        <tr r="R31" s="17"/>
      </tp>
      <tp t="e">
        <v>#N/A</v>
        <stp/>
        <stp>BDH|1263407960947124740</stp>
        <tr r="L27" s="7"/>
      </tp>
      <tp t="e">
        <v>#N/A</v>
        <stp/>
        <stp>BDH|3378214703996521435</stp>
        <tr r="U12" s="13"/>
      </tp>
      <tp t="e">
        <v>#N/A</v>
        <stp/>
        <stp>BDH|1912773294278855458</stp>
        <tr r="V25" s="3"/>
      </tp>
      <tp t="e">
        <v>#N/A</v>
        <stp/>
        <stp>BDH|2609520919240276588</stp>
        <tr r="W51" s="21"/>
      </tp>
      <tp t="e">
        <v>#N/A</v>
        <stp/>
        <stp>BDH|4726799009591523151</stp>
        <tr r="Q11" s="6"/>
      </tp>
      <tp t="e">
        <v>#N/A</v>
        <stp/>
        <stp>BDH|7066469892529773040</stp>
        <tr r="X20" s="12"/>
      </tp>
      <tp t="e">
        <v>#N/A</v>
        <stp/>
        <stp>BDH|4812520348715532309</stp>
        <tr r="S14" s="12"/>
      </tp>
      <tp t="e">
        <v>#N/A</v>
        <stp/>
        <stp>BDH|8723788646770850864</stp>
        <tr r="AA85" s="24"/>
      </tp>
      <tp t="e">
        <v>#N/A</v>
        <stp/>
        <stp>BDH|3306801286094160439</stp>
        <tr r="S192" s="18"/>
      </tp>
      <tp t="e">
        <v>#N/A</v>
        <stp/>
        <stp>BDH|1070005380402257862</stp>
        <tr r="T20" s="10"/>
      </tp>
      <tp t="e">
        <v>#N/A</v>
        <stp/>
        <stp>BDH|4163363067345772730</stp>
        <tr r="R152" s="18"/>
      </tp>
      <tp t="e">
        <v>#N/A</v>
        <stp/>
        <stp>BDH|3667000652116236325</stp>
        <tr r="M105" s="12"/>
      </tp>
      <tp t="e">
        <v>#N/A</v>
        <stp/>
        <stp>BDH|1468128021894266511</stp>
        <tr r="Q68" s="24"/>
      </tp>
      <tp t="e">
        <v>#N/A</v>
        <stp/>
        <stp>BDH|7457646813730656310</stp>
        <tr r="M59" s="34"/>
      </tp>
      <tp t="e">
        <v>#N/A</v>
        <stp/>
        <stp>BDH|6660047444227730650</stp>
        <tr r="N50" s="12"/>
      </tp>
      <tp t="e">
        <v>#N/A</v>
        <stp/>
        <stp>BDH|6872780669500823450</stp>
        <tr r="G14" s="4"/>
      </tp>
      <tp t="e">
        <v>#N/A</v>
        <stp/>
        <stp>BDH|3626554756093678371</stp>
        <tr r="O61" s="17"/>
      </tp>
      <tp t="e">
        <v>#N/A</v>
        <stp/>
        <stp>BDH|1671069020045384576</stp>
        <tr r="P57" s="13"/>
      </tp>
      <tp t="e">
        <v>#N/A</v>
        <stp/>
        <stp>BDH|1298958691866797450</stp>
        <tr r="O9" s="3"/>
        <tr r="M51" s="10"/>
        <tr r="M41" s="11"/>
        <tr r="M14" s="7"/>
      </tp>
      <tp t="e">
        <v>#N/A</v>
        <stp/>
        <stp>BDH|6766580458195032034</stp>
        <tr r="J59" s="21"/>
        <tr r="J37" s="25"/>
        <tr r="H31" s="4"/>
        <tr r="H52" s="11"/>
      </tp>
      <tp t="e">
        <v>#N/A</v>
        <stp/>
        <stp>BDH|4599754245884805096</stp>
        <tr r="AA132" s="18"/>
      </tp>
      <tp t="e">
        <v>#N/A</v>
        <stp/>
        <stp>BDH|6177536592121640827</stp>
        <tr r="N43" s="6"/>
      </tp>
      <tp t="e">
        <v>#N/A</v>
        <stp/>
        <stp>BDH|9009314673059632704</stp>
        <tr r="Q25" s="17"/>
      </tp>
      <tp t="e">
        <v>#N/A</v>
        <stp/>
        <stp>BDH|1199295003250855078</stp>
        <tr r="H79" s="24"/>
      </tp>
      <tp t="e">
        <v>#N/A</v>
        <stp/>
        <stp>BDH|3509124932015318726</stp>
        <tr r="Z166" s="18"/>
      </tp>
      <tp t="e">
        <v>#N/A</v>
        <stp/>
        <stp>BDH|2149330736961074008</stp>
        <tr r="Z38" s="26"/>
      </tp>
      <tp t="e">
        <v>#N/A</v>
        <stp/>
        <stp>BDH|6712635643815789246</stp>
        <tr r="I23" s="25"/>
        <tr r="G20" s="11"/>
      </tp>
      <tp t="e">
        <v>#N/A</v>
        <stp/>
        <stp>BDH|7982221653312498181</stp>
        <tr r="E22" s="30"/>
        <tr r="E24" s="23"/>
      </tp>
      <tp t="e">
        <v>#N/A</v>
        <stp/>
        <stp>BDH|8149236335689106321</stp>
        <tr r="I25" s="21"/>
      </tp>
      <tp t="e">
        <v>#N/A</v>
        <stp/>
        <stp>BDH|2715623316402340447</stp>
        <tr r="I15" s="25"/>
      </tp>
      <tp t="e">
        <v>#N/A</v>
        <stp/>
        <stp>BDH|5776567512142770003</stp>
        <tr r="J73" s="24"/>
      </tp>
      <tp t="e">
        <v>#N/A</v>
        <stp/>
        <stp>BDH|6467772167563117715</stp>
        <tr r="C181" s="18"/>
      </tp>
      <tp t="e">
        <v>#N/A</v>
        <stp/>
        <stp>BDH|1619117339295280589</stp>
        <tr r="R201" s="18"/>
      </tp>
      <tp t="e">
        <v>#N/A</v>
        <stp/>
        <stp>BDH|2819603473367635797</stp>
        <tr r="N31" s="18"/>
      </tp>
      <tp t="e">
        <v>#N/A</v>
        <stp/>
        <stp>BDH|5419906485575031254</stp>
        <tr r="P57" s="12"/>
      </tp>
      <tp t="e">
        <v>#N/A</v>
        <stp/>
        <stp>BDH|9423581556302961872</stp>
        <tr r="S35" s="34"/>
      </tp>
      <tp t="e">
        <v>#N/A</v>
        <stp/>
        <stp>BDH|9414756721129729630</stp>
        <tr r="R42" s="21"/>
      </tp>
      <tp t="e">
        <v>#N/A</v>
        <stp/>
        <stp>BDH|3048940387003121262</stp>
        <tr r="F11" s="3"/>
        <tr r="D50" s="10"/>
        <tr r="D40" s="11"/>
        <tr r="D8" s="7"/>
      </tp>
      <tp t="e">
        <v>#N/A</v>
        <stp/>
        <stp>BDH|4616458321884629504</stp>
        <tr r="F144" s="18"/>
      </tp>
      <tp t="e">
        <v>#N/A</v>
        <stp/>
        <stp>BDH|2561713081537007917</stp>
        <tr r="V85" s="18"/>
      </tp>
      <tp t="e">
        <v>#N/A</v>
        <stp/>
        <stp>BDH|3966504043896849769</stp>
        <tr r="W52" s="18"/>
      </tp>
      <tp t="e">
        <v>#N/A</v>
        <stp/>
        <stp>BDH|7869355251707059586</stp>
        <tr r="N164" s="18"/>
      </tp>
      <tp t="e">
        <v>#N/A</v>
        <stp/>
        <stp>BDH|1108013734002301334</stp>
        <tr r="L14" s="4"/>
      </tp>
      <tp t="e">
        <v>#N/A</v>
        <stp/>
        <stp>BDH|3758781018256255014</stp>
        <tr r="O33" s="9"/>
      </tp>
      <tp t="e">
        <v>#N/A</v>
        <stp/>
        <stp>BDH|3547020317161621021</stp>
        <tr r="AA58" s="17"/>
      </tp>
      <tp t="e">
        <v>#N/A</v>
        <stp/>
        <stp>BDH|4877771274964639395</stp>
        <tr r="N68" s="34"/>
      </tp>
      <tp t="e">
        <v>#N/A</v>
        <stp/>
        <stp>BDH|7521823881625180136</stp>
        <tr r="T38" s="21"/>
        <tr r="T24" s="3"/>
      </tp>
      <tp t="e">
        <v>#N/A</v>
        <stp/>
        <stp>BDH|1463589341655133682</stp>
        <tr r="I37" s="10"/>
        <tr r="I27" s="11"/>
        <tr r="K46" s="13"/>
      </tp>
      <tp t="e">
        <v>#N/A</v>
        <stp/>
        <stp>BDH|1539470724992216603</stp>
        <tr r="H19" s="30"/>
      </tp>
      <tp t="e">
        <v>#N/A</v>
        <stp/>
        <stp>BDH|2711144732921336267</stp>
        <tr r="D19" s="22"/>
      </tp>
      <tp t="e">
        <v>#N/A</v>
        <stp/>
        <stp>BDH|5176922054823676951</stp>
        <tr r="I79" s="12"/>
      </tp>
      <tp t="e">
        <v>#N/A</v>
        <stp/>
        <stp>BDH|5431818685167603121</stp>
        <tr r="Q49" s="4"/>
      </tp>
      <tp t="e">
        <v>#N/A</v>
        <stp/>
        <stp>BDH|6241115969485783796</stp>
        <tr r="G17" s="29"/>
        <tr r="G40" s="29"/>
      </tp>
      <tp t="e">
        <v>#N/A</v>
        <stp/>
        <stp>BDH|6408648671305600130</stp>
        <tr r="S57" s="11"/>
        <tr r="U15" s="23"/>
      </tp>
      <tp t="e">
        <v>#N/A</v>
        <stp/>
        <stp>BDH|6538539253367908283</stp>
        <tr r="V54" s="11"/>
      </tp>
      <tp t="e">
        <v>#N/A</v>
        <stp/>
        <stp>BDH|8920294224879201224</stp>
        <tr r="E30" s="25"/>
        <tr r="E16" s="27"/>
      </tp>
      <tp t="e">
        <v>#N/A</v>
        <stp/>
        <stp>BDH|8197371180466177631</stp>
        <tr r="H18" s="6"/>
      </tp>
      <tp t="e">
        <v>#N/A</v>
        <stp/>
        <stp>BDH|3939585272445311749</stp>
        <tr r="E20" s="24"/>
      </tp>
      <tp t="e">
        <v>#N/A</v>
        <stp/>
        <stp>BDH|4189565521912382216</stp>
        <tr r="P194" s="18"/>
      </tp>
      <tp t="e">
        <v>#N/A</v>
        <stp/>
        <stp>BDH|6831841888873408647</stp>
        <tr r="J84" s="17"/>
      </tp>
      <tp t="e">
        <v>#N/A</v>
        <stp/>
        <stp>BDH|1218235496970214911</stp>
        <tr r="J37" s="17"/>
      </tp>
      <tp t="e">
        <v>#N/A</v>
        <stp/>
        <stp>BDH|9291994413875597790</stp>
        <tr r="O7" s="21"/>
      </tp>
      <tp t="e">
        <v>#N/A</v>
        <stp/>
        <stp>BDH|1156433780178220649</stp>
        <tr r="H30" s="12"/>
      </tp>
      <tp t="e">
        <v>#N/A</v>
        <stp/>
        <stp>BDH|8760035386300183374</stp>
        <tr r="P185" s="18"/>
      </tp>
      <tp t="e">
        <v>#N/A</v>
        <stp/>
        <stp>BDH|7791054736112020501</stp>
        <tr r="L67" s="12"/>
      </tp>
      <tp t="e">
        <v>#N/A</v>
        <stp/>
        <stp>BDH|7578940960948101340</stp>
        <tr r="H27" s="24"/>
      </tp>
      <tp t="e">
        <v>#N/A</v>
        <stp/>
        <stp>BDH|9715997977255582182</stp>
        <tr r="J172" s="18"/>
      </tp>
      <tp t="e">
        <v>#N/A</v>
        <stp/>
        <stp>BDH|3118076136755385669</stp>
        <tr r="O67" s="10"/>
      </tp>
      <tp t="e">
        <v>#N/A</v>
        <stp/>
        <stp>BDH|7958584786178752155</stp>
        <tr r="I119" s="18"/>
        <tr r="I7" s="20"/>
      </tp>
      <tp t="e">
        <v>#N/A</v>
        <stp/>
        <stp>BDH|1647907190421713345</stp>
        <tr r="Y47" s="21"/>
      </tp>
      <tp t="e">
        <v>#N/A</v>
        <stp/>
        <stp>BDH|2952533008291469531</stp>
        <tr r="O6" s="6"/>
      </tp>
      <tp t="e">
        <v>#N/A</v>
        <stp/>
        <stp>BDH|4486664772996654033</stp>
        <tr r="T39" s="17"/>
      </tp>
      <tp t="e">
        <v>#N/A</v>
        <stp/>
        <stp>BDH|8587853843420386754</stp>
        <tr r="U38" s="22"/>
      </tp>
      <tp t="e">
        <v>#N/A</v>
        <stp/>
        <stp>BDH|8778085732181864907</stp>
        <tr r="M24" s="5"/>
      </tp>
      <tp t="e">
        <v>#N/A</v>
        <stp/>
        <stp>BDH|2636655136282217627</stp>
        <tr r="L30" s="25"/>
        <tr r="L16" s="27"/>
      </tp>
      <tp t="e">
        <v>#N/A</v>
        <stp/>
        <stp>BDH|4906794802382162264</stp>
        <tr r="N31" s="10"/>
        <tr r="P40" s="13"/>
      </tp>
      <tp t="e">
        <v>#N/A</v>
        <stp/>
        <stp>BDH|2799356175452499766</stp>
        <tr r="Z35" s="26"/>
      </tp>
      <tp t="e">
        <v>#N/A</v>
        <stp/>
        <stp>BDH|7211265569260836001</stp>
        <tr r="X25" s="27"/>
      </tp>
      <tp t="e">
        <v>#N/A</v>
        <stp/>
        <stp>BDH|7245362573321637142</stp>
        <tr r="X16" s="18"/>
      </tp>
      <tp t="e">
        <v>#N/A</v>
        <stp/>
        <stp>BDH|8133029262239697425</stp>
        <tr r="P43" s="29"/>
      </tp>
      <tp t="e">
        <v>#N/A</v>
        <stp/>
        <stp>BDH|1676257193670356967</stp>
        <tr r="F19" s="6"/>
      </tp>
      <tp t="e">
        <v>#N/A</v>
        <stp/>
        <stp>BDH|4947627286620841905</stp>
        <tr r="J18" s="2"/>
        <tr r="J53" s="4"/>
        <tr r="J46" s="10"/>
        <tr r="J36" s="11"/>
        <tr r="L58" s="13"/>
      </tp>
      <tp t="e">
        <v>#N/A</v>
        <stp/>
        <stp>BDH|5350299254936376786</stp>
        <tr r="W49" s="4"/>
      </tp>
      <tp t="e">
        <v>#N/A</v>
        <stp/>
        <stp>BDH|7086965102948584548</stp>
        <tr r="J45" s="17"/>
      </tp>
      <tp t="e">
        <v>#N/A</v>
        <stp/>
        <stp>BDH|7952045360056807404</stp>
        <tr r="M30" s="5"/>
        <tr r="M30" s="9"/>
      </tp>
      <tp t="e">
        <v>#N/A</v>
        <stp/>
        <stp>BDH|9510851014236079511</stp>
        <tr r="F76" s="12"/>
      </tp>
      <tp t="e">
        <v>#N/A</v>
        <stp/>
        <stp>BDH|1475780328113017410</stp>
        <tr r="J18" s="18"/>
      </tp>
      <tp t="e">
        <v>#N/A</v>
        <stp/>
        <stp>BDH|8029322697645621463</stp>
        <tr r="V31" s="25"/>
        <tr r="S14" s="5"/>
        <tr r="V17" s="27"/>
      </tp>
      <tp t="e">
        <v>#N/A</v>
        <stp/>
        <stp>BDH|4617081029311403465</stp>
        <tr r="E25" s="3"/>
      </tp>
      <tp t="e">
        <v>#N/A</v>
        <stp/>
        <stp>BDH|6673511683109082119</stp>
        <tr r="P54" s="17"/>
      </tp>
      <tp t="e">
        <v>#N/A</v>
        <stp/>
        <stp>BDH|7614667246260227610</stp>
        <tr r="K9" s="24"/>
      </tp>
      <tp t="e">
        <v>#N/A</v>
        <stp/>
        <stp>BDH|1119710616261479572</stp>
        <tr r="Q93" s="12"/>
      </tp>
      <tp t="e">
        <v>#N/A</v>
        <stp/>
        <stp>BDH|8150942400212835080</stp>
        <tr r="C25" s="34"/>
      </tp>
      <tp t="e">
        <v>#N/A</v>
        <stp/>
        <stp>BDH|1086604136425494277</stp>
        <tr r="F19" s="9"/>
      </tp>
      <tp t="e">
        <v>#N/A</v>
        <stp/>
        <stp>BDH|3965674357884953759</stp>
        <tr r="L9" s="14"/>
      </tp>
      <tp t="e">
        <v>#N/A</v>
        <stp/>
        <stp>BDH|7894175529171638658</stp>
        <tr r="U166" s="18"/>
      </tp>
      <tp t="e">
        <v>#N/A</v>
        <stp/>
        <stp>BDH|9644816551685016233</stp>
        <tr r="L70" s="10"/>
        <tr r="L60" s="11"/>
        <tr r="L20" s="7"/>
      </tp>
      <tp t="e">
        <v>#N/A</v>
        <stp/>
        <stp>BDH|9255912669737917268</stp>
        <tr r="M101" s="18"/>
      </tp>
      <tp t="e">
        <v>#N/A</v>
        <stp/>
        <stp>BDH|8553579099774906372</stp>
        <tr r="T131" s="18"/>
      </tp>
      <tp t="e">
        <v>#N/A</v>
        <stp/>
        <stp>BDH|1313147885342585924</stp>
        <tr r="F43" s="10"/>
        <tr r="F33" s="11"/>
      </tp>
      <tp t="e">
        <v>#N/A</v>
        <stp/>
        <stp>BDH|6965186347751361109</stp>
        <tr r="L42" s="34"/>
      </tp>
      <tp t="e">
        <v>#N/A</v>
        <stp/>
        <stp>BDH|8069012087120352308</stp>
        <tr r="P31" s="26"/>
        <tr r="M14" s="9"/>
      </tp>
      <tp t="e">
        <v>#N/A</v>
        <stp/>
        <stp>BDH|9207616436907765872</stp>
        <tr r="H157" s="18"/>
      </tp>
      <tp t="e">
        <v>#N/A</v>
        <stp/>
        <stp>BDH|6197056697304651802</stp>
        <tr r="X8" s="22"/>
      </tp>
      <tp t="e">
        <v>#N/A</v>
        <stp/>
        <stp>BDH|3810108651090850447</stp>
        <tr r="J30" s="10"/>
        <tr r="L39" s="13"/>
      </tp>
      <tp t="e">
        <v>#N/A</v>
        <stp/>
        <stp>BDH|6540081954848837845</stp>
        <tr r="M30" s="29"/>
        <tr r="M8" s="29"/>
      </tp>
      <tp t="e">
        <v>#N/A</v>
        <stp/>
        <stp>BDH|8717768797192313702</stp>
        <tr r="X30" s="18"/>
      </tp>
      <tp t="e">
        <v>#N/A</v>
        <stp/>
        <stp>BDH|8607162760154108849</stp>
        <tr r="E51" s="13"/>
      </tp>
      <tp t="e">
        <v>#N/A</v>
        <stp/>
        <stp>BDH|8199053757716446823</stp>
        <tr r="N166" s="18"/>
      </tp>
      <tp t="e">
        <v>#N/A</v>
        <stp/>
        <stp>BDH|4582400820938148919</stp>
        <tr r="F14" s="28"/>
      </tp>
      <tp t="e">
        <v>#N/A</v>
        <stp/>
        <stp>BDH|7325374494257589900</stp>
        <tr r="AA65" s="17"/>
      </tp>
      <tp t="e">
        <v>#N/A</v>
        <stp/>
        <stp>BDH|8408330478259287686</stp>
        <tr r="D14" s="2"/>
        <tr r="D11" s="10"/>
      </tp>
      <tp t="e">
        <v>#N/A</v>
        <stp/>
        <stp>BDH|6518579356202822794</stp>
        <tr r="K35" s="10"/>
        <tr r="K25" s="11"/>
      </tp>
      <tp t="e">
        <v>#N/A</v>
        <stp/>
        <stp>BDH|7298824333688259742</stp>
        <tr r="O14" s="13"/>
      </tp>
      <tp t="e">
        <v>#N/A</v>
        <stp/>
        <stp>BDH|2329007399668898075</stp>
        <tr r="P61" s="34"/>
      </tp>
      <tp t="e">
        <v>#N/A</v>
        <stp/>
        <stp>BDH|2890845556214872876</stp>
        <tr r="P30" s="34"/>
      </tp>
      <tp t="e">
        <v>#N/A</v>
        <stp/>
        <stp>BDH|2226260786883065873</stp>
        <tr r="U53" s="12"/>
      </tp>
      <tp t="e">
        <v>#N/A</v>
        <stp/>
        <stp>BDH|8419890438592589253</stp>
        <tr r="M74" s="24"/>
      </tp>
      <tp t="e">
        <v>#N/A</v>
        <stp/>
        <stp>BDH|1590167264111318411</stp>
        <tr r="N51" s="13"/>
      </tp>
      <tp t="e">
        <v>#N/A</v>
        <stp/>
        <stp>BDH|2664309937519503814</stp>
        <tr r="Q42" s="22"/>
      </tp>
      <tp t="e">
        <v>#N/A</v>
        <stp/>
        <stp>BDH|97209735428187726</stp>
        <tr r="Z53" s="18"/>
      </tp>
      <tp t="e">
        <v>#N/A</v>
        <stp/>
        <stp>BDH|36149571061644917</stp>
        <tr r="J210" s="18"/>
      </tp>
      <tp t="e">
        <v>#N/A</v>
        <stp/>
        <stp>BDH|46655174969189631</stp>
        <tr r="S157" s="18"/>
      </tp>
      <tp t="e">
        <v>#N/A</v>
        <stp/>
        <stp>BDH|45799387296770780</stp>
        <tr r="L163" s="18"/>
      </tp>
      <tp t="e">
        <v>#N/A</v>
        <stp/>
        <stp>BDH|67937154926184492</stp>
        <tr r="S78" s="34"/>
      </tp>
      <tp t="e">
        <v>#N/A</v>
        <stp/>
        <stp>BDH|30383984501767479</stp>
        <tr r="K29" s="29"/>
        <tr r="K7" s="29"/>
      </tp>
      <tp t="e">
        <v>#N/A</v>
        <stp/>
        <stp>BDH|53659655555371891</stp>
        <tr r="N74" s="12"/>
      </tp>
      <tp t="e">
        <v>#N/A</v>
        <stp/>
        <stp>BDH|62988718350989621</stp>
        <tr r="O26" s="29"/>
      </tp>
      <tp t="e">
        <v>#N/A</v>
        <stp/>
        <stp>BDH|242989375722327901</stp>
        <tr r="N16" s="12"/>
      </tp>
      <tp t="e">
        <v>#N/A</v>
        <stp/>
        <stp>BDH|913829093326008245</stp>
        <tr r="Q12" s="3"/>
        <tr r="O55" s="10"/>
        <tr r="O45" s="11"/>
        <tr r="O7" s="7"/>
      </tp>
      <tp t="e">
        <v>#N/A</v>
        <stp/>
        <stp>BDH|410666144932973536</stp>
        <tr r="X10" s="18"/>
      </tp>
      <tp t="e">
        <v>#N/A</v>
        <stp/>
        <stp>BDH|610253529067053266</stp>
        <tr r="AA15" s="12"/>
      </tp>
      <tp t="e">
        <v>#N/A</v>
        <stp/>
        <stp>BDH|898015351201484103</stp>
        <tr r="H89" s="12"/>
      </tp>
      <tp t="e">
        <v>#N/A</v>
        <stp/>
        <stp>BDH|711404089500705942</stp>
        <tr r="L18" s="11"/>
      </tp>
      <tp t="e">
        <v>#N/A</v>
        <stp/>
        <stp>BDH|538221424462722795</stp>
        <tr r="W28" s="26"/>
      </tp>
      <tp t="e">
        <v>#N/A</v>
        <stp/>
        <stp>BDH|369085754329123933</stp>
        <tr r="J22" s="7"/>
      </tp>
      <tp t="e">
        <v>#N/A</v>
        <stp/>
        <stp>BDH|794133557826868758</stp>
        <tr r="X141" s="18"/>
      </tp>
      <tp t="e">
        <v>#N/A</v>
        <stp/>
        <stp>BDH|718996382866011223</stp>
        <tr r="W103" s="18"/>
      </tp>
      <tp t="e">
        <v>#N/A</v>
        <stp/>
        <stp>BDH|102047027281917656</stp>
        <tr r="C98" s="12"/>
      </tp>
      <tp t="e">
        <v>#N/A</v>
        <stp/>
        <stp>BDH|470624372023872722</stp>
        <tr r="Q13" s="5"/>
      </tp>
      <tp t="e">
        <v>#N/A</v>
        <stp/>
        <stp>BDH|263987121207658930</stp>
        <tr r="C27" s="24"/>
      </tp>
      <tp t="e">
        <v>#N/A</v>
        <stp/>
        <stp>BDH|540306426806838241</stp>
        <tr r="C63" s="34"/>
      </tp>
      <tp t="e">
        <v>#N/A</v>
        <stp/>
        <stp>BDH|243515209629786922</stp>
        <tr r="H44" s="6"/>
      </tp>
      <tp t="e">
        <v>#N/A</v>
        <stp/>
        <stp>BDH|656300119883064409</stp>
        <tr r="H93" s="24"/>
      </tp>
      <tp t="e">
        <v>#N/A</v>
        <stp/>
        <stp>BDH|880170414126334379</stp>
        <tr r="X41" s="21"/>
      </tp>
      <tp t="e">
        <v>#N/A</v>
        <stp/>
        <stp>BDH|349391849545945754</stp>
        <tr r="Z13" s="22"/>
      </tp>
      <tp t="e">
        <v>#N/A</v>
        <stp/>
        <stp>BDH|245245180418830717</stp>
        <tr r="M89" s="18"/>
      </tp>
      <tp t="e">
        <v>#N/A</v>
        <stp/>
        <stp>BDH|180993269842640886</stp>
        <tr r="Z61" s="12"/>
      </tp>
      <tp t="e">
        <v>#N/A</v>
        <stp/>
        <stp>BDH|417460068163760422</stp>
        <tr r="Q79" s="34"/>
      </tp>
      <tp t="e">
        <v>#N/A</v>
        <stp/>
        <stp>BDH|279692023745521424</stp>
        <tr r="F65" s="21"/>
        <tr r="D23" s="7"/>
      </tp>
      <tp t="e">
        <v>#N/A</v>
        <stp/>
        <stp>BDH|317211967431325093</stp>
        <tr r="AA31" s="18"/>
      </tp>
      <tp t="e">
        <v>#N/A</v>
        <stp/>
        <stp>BDH|396658889829233258</stp>
        <tr r="L209" s="18"/>
      </tp>
      <tp t="e">
        <v>#N/A</v>
        <stp/>
        <stp>BDH|290556006053896316</stp>
        <tr r="W78" s="17"/>
      </tp>
      <tp t="e">
        <v>#N/A</v>
        <stp/>
        <stp>BDH|860281094437426986</stp>
        <tr r="P154" s="18"/>
      </tp>
      <tp t="e">
        <v>#N/A</v>
        <stp/>
        <stp>BDH|787720668865038157</stp>
        <tr r="N20" s="17"/>
      </tp>
      <tp t="e">
        <v>#N/A</v>
        <stp/>
        <stp>BDH|629355841847265597</stp>
        <tr r="N45" s="12"/>
      </tp>
      <tp t="e">
        <v>#N/A</v>
        <stp/>
        <stp>BDH|409604780113896853</stp>
        <tr r="Y58" s="17"/>
      </tp>
      <tp t="e">
        <v>#N/A</v>
        <stp/>
        <stp>BDH|565829495883224790</stp>
        <tr r="X12" s="7"/>
      </tp>
      <tp t="e">
        <v>#N/A</v>
        <stp/>
        <stp>BDH|693198442858165865</stp>
        <tr r="M76" s="12"/>
      </tp>
      <tp t="e">
        <v>#N/A</v>
        <stp/>
        <stp>BDH|877344438277798292</stp>
        <tr r="O26" s="10"/>
        <tr r="Q35" s="13"/>
      </tp>
      <tp t="e">
        <v>#N/A</v>
        <stp/>
        <stp>BDH|131454332087584594</stp>
        <tr r="D61" s="34"/>
      </tp>
      <tp t="e">
        <v>#N/A</v>
        <stp/>
        <stp>BDH|516324680169432799</stp>
        <tr r="R8" s="18"/>
      </tp>
      <tp t="e">
        <v>#N/A</v>
        <stp/>
        <stp>BDH|861343377997657676</stp>
        <tr r="C33" s="9"/>
      </tp>
      <tp t="e">
        <v>#N/A</v>
        <stp/>
        <stp>BDH|567135662511990372</stp>
        <tr r="J27" s="12"/>
      </tp>
      <tp t="e">
        <v>#N/A</v>
        <stp/>
        <stp>BDH|650469338645560771</stp>
        <tr r="G56" s="17"/>
      </tp>
      <tp t="e">
        <v>#N/A</v>
        <stp/>
        <stp>BDH|820972678113520881</stp>
        <tr r="AA45" s="22"/>
      </tp>
      <tp t="e">
        <v>#N/A</v>
        <stp/>
        <stp>BDH|147468828386388567</stp>
        <tr r="T21" s="30"/>
      </tp>
      <tp t="e">
        <v>#N/A</v>
        <stp/>
        <stp>BDH|631343329497144300</stp>
        <tr r="T61" s="18"/>
      </tp>
      <tp t="e">
        <v>#N/A</v>
        <stp/>
        <stp>BDH|284144758904593519</stp>
        <tr r="J69" s="24"/>
      </tp>
      <tp t="e">
        <v>#N/A</v>
        <stp/>
        <stp>BDH|861895181623847624</stp>
        <tr r="T10" s="17"/>
      </tp>
      <tp t="e">
        <v>#N/A</v>
        <stp/>
        <stp>BDH|282170602974404094</stp>
        <tr r="H15" s="22"/>
      </tp>
      <tp t="e">
        <v>#N/A</v>
        <stp/>
        <stp>BDH|950944395455794041</stp>
        <tr r="P23" s="2"/>
        <tr r="R19" s="21"/>
        <tr r="R23" s="3"/>
      </tp>
      <tp t="e">
        <v>#N/A</v>
        <stp/>
        <stp>BDH|749697805204897785</stp>
        <tr r="H43" s="10"/>
        <tr r="H33" s="11"/>
      </tp>
      <tp t="e">
        <v>#N/A</v>
        <stp/>
        <stp>BDH|162297913801534757</stp>
        <tr r="M10" s="13"/>
      </tp>
      <tp t="e">
        <v>#N/A</v>
        <stp/>
        <stp>BDH|267421340317314285</stp>
        <tr r="Y49" s="12"/>
      </tp>
      <tp t="e">
        <v>#N/A</v>
        <stp/>
        <stp>BDH|501115306850775416</stp>
        <tr r="L53" s="18"/>
      </tp>
      <tp t="e">
        <v>#N/A</v>
        <stp/>
        <stp>BDH|936688302741080279</stp>
        <tr r="Q57" s="24"/>
      </tp>
      <tp t="e">
        <v>#N/A</v>
        <stp/>
        <stp>BDH|623930487050642405</stp>
        <tr r="U95" s="17"/>
      </tp>
      <tp t="e">
        <v>#N/A</v>
        <stp/>
        <stp>BDH|603410271071720751</stp>
        <tr r="Q34" s="10"/>
        <tr r="Q24" s="11"/>
      </tp>
      <tp t="e">
        <v>#N/A</v>
        <stp/>
        <stp>BDH|182050100202534759</stp>
        <tr r="Y78" s="24"/>
      </tp>
      <tp t="e">
        <v>#N/A</v>
        <stp/>
        <stp>BDH|607080501094993129</stp>
        <tr r="E11" s="6"/>
      </tp>
      <tp t="e">
        <v>#N/A</v>
        <stp/>
        <stp>BDH|570373152640115354</stp>
        <tr r="F71" s="34"/>
      </tp>
      <tp t="e">
        <v>#N/A</v>
        <stp/>
        <stp>BDH|922891833448535623</stp>
        <tr r="L37" s="18"/>
      </tp>
      <tp t="e">
        <v>#N/A</v>
        <stp/>
        <stp>BDH|333721154621263628</stp>
        <tr r="U57" s="10"/>
        <tr r="U47" s="11"/>
        <tr r="U18" s="7"/>
        <tr r="W64" s="13"/>
      </tp>
      <tp t="e">
        <v>#N/A</v>
        <stp/>
        <stp>BDH|304369178638834907</stp>
        <tr r="H41" s="21"/>
      </tp>
      <tp t="e">
        <v>#N/A</v>
        <stp/>
        <stp>BDH|550799702815300780</stp>
        <tr r="X28" s="6"/>
      </tp>
      <tp t="e">
        <v>#N/A</v>
        <stp/>
        <stp>BDH|715471142790425531</stp>
        <tr r="N28" s="10"/>
        <tr r="P37" s="13"/>
      </tp>
      <tp t="e">
        <v>#N/A</v>
        <stp/>
        <stp>BDH|686832710484779847</stp>
        <tr r="Y190" s="18"/>
      </tp>
      <tp t="e">
        <v>#N/A</v>
        <stp/>
        <stp>BDH|623378360886489635</stp>
        <tr r="Z8" s="28"/>
      </tp>
      <tp t="e">
        <v>#N/A</v>
        <stp/>
        <stp>BDH|242969969289380387</stp>
        <tr r="K10" s="28"/>
      </tp>
      <tp t="e">
        <v>#N/A</v>
        <stp/>
        <stp>BDH|549266775838438853</stp>
        <tr r="E13" s="6"/>
      </tp>
      <tp t="e">
        <v>#N/A</v>
        <stp/>
        <stp>BDH|847559203704910401</stp>
        <tr r="V67" s="17"/>
        <tr r="V18" s="3"/>
      </tp>
      <tp t="e">
        <v>#N/A</v>
        <stp/>
        <stp>BDH|808049031223311593</stp>
        <tr r="U13" s="12"/>
      </tp>
      <tp t="e">
        <v>#N/A</v>
        <stp/>
        <stp>BDH|511769436586207703</stp>
        <tr r="E20" s="9"/>
      </tp>
      <tp t="e">
        <v>#N/A</v>
        <stp/>
        <stp>BDH|658575168600685680</stp>
        <tr r="P56" s="12"/>
      </tp>
      <tp t="e">
        <v>#N/A</v>
        <stp/>
        <stp>BDH|376009285429500448</stp>
        <tr r="T90" s="24"/>
      </tp>
      <tp t="e">
        <v>#N/A</v>
        <stp/>
        <stp>BDH|843182003800454408</stp>
        <tr r="R15" s="30"/>
      </tp>
      <tp t="e">
        <v>#N/A</v>
        <stp/>
        <stp>BDH|382159357632508331</stp>
        <tr r="O52" s="10"/>
        <tr r="O42" s="11"/>
        <tr r="O15" s="7"/>
      </tp>
      <tp t="e">
        <v>#N/A</v>
        <stp/>
        <stp>BDH|583616995063250939</stp>
        <tr r="V73" s="13"/>
      </tp>
      <tp t="e">
        <v>#N/A</v>
        <stp/>
        <stp>BDH|755628379891852546</stp>
        <tr r="V111" s="18"/>
      </tp>
      <tp t="e">
        <v>#N/A</v>
        <stp/>
        <stp>BDH|346575823860490237</stp>
        <tr r="G37" s="21"/>
      </tp>
      <tp t="e">
        <v>#N/A</v>
        <stp/>
        <stp>BDH|349773790142476904</stp>
        <tr r="F170" s="18"/>
      </tp>
      <tp t="e">
        <v>#N/A</v>
        <stp/>
        <stp>BDH|571646746401664608</stp>
        <tr r="I52" s="12"/>
      </tp>
      <tp t="e">
        <v>#N/A</v>
        <stp/>
        <stp>BDH|554271161356155739</stp>
        <tr r="M56" s="17"/>
      </tp>
      <tp t="e">
        <v>#N/A</v>
        <stp/>
        <stp>BDH|126791929331798176</stp>
        <tr r="D25" s="6"/>
      </tp>
      <tp t="e">
        <v>#N/A</v>
        <stp/>
        <stp>BDH|154626427169414810</stp>
        <tr r="C15" s="11"/>
      </tp>
      <tp t="e">
        <v>#N/A</v>
        <stp/>
        <stp>BDH|263541307686613667</stp>
        <tr r="G81" s="18"/>
      </tp>
      <tp t="e">
        <v>#N/A</v>
        <stp/>
        <stp>BDH|179063707601571442</stp>
        <tr r="T61" s="12"/>
      </tp>
      <tp t="e">
        <v>#N/A</v>
        <stp/>
        <stp>BDH|324118905570401414</stp>
        <tr r="S17" s="18"/>
      </tp>
      <tp t="e">
        <v>#N/A</v>
        <stp/>
        <stp>BDH|731219140163660025</stp>
        <tr r="X50" s="13"/>
      </tp>
      <tp t="e">
        <v>#N/A</v>
        <stp/>
        <stp>BDH|683193714290947503</stp>
        <tr r="H17" s="13"/>
      </tp>
      <tp t="e">
        <v>#N/A</v>
        <stp/>
        <stp>BDH|743906175272084907</stp>
        <tr r="H48" s="21"/>
      </tp>
      <tp t="e">
        <v>#N/A</v>
        <stp/>
        <stp>BDH|300125362162196002</stp>
        <tr r="O121" s="18"/>
        <tr r="O9" s="20"/>
      </tp>
      <tp t="e">
        <v>#N/A</v>
        <stp/>
        <stp>BDH|384146734682539544</stp>
        <tr r="M177" s="18"/>
      </tp>
      <tp t="e">
        <v>#N/A</v>
        <stp/>
        <stp>BDH|825179165092128094</stp>
        <tr r="P103" s="12"/>
      </tp>
      <tp t="e">
        <v>#N/A</v>
        <stp/>
        <stp>BDH|667110437904593374</stp>
        <tr r="E48" s="13"/>
      </tp>
      <tp t="e">
        <v>#N/A</v>
        <stp/>
        <stp>BDH|408463407780631117</stp>
        <tr r="Y17" s="4"/>
        <tr r="AA10" s="3"/>
        <tr r="Y56" s="10"/>
        <tr r="Y46" s="11"/>
        <tr r="Y17" s="7"/>
        <tr r="AA61" s="13"/>
      </tp>
      <tp t="e">
        <v>#N/A</v>
        <stp/>
        <stp>BDH|713575153610660573</stp>
        <tr r="M20" s="17"/>
      </tp>
      <tp t="e">
        <v>#N/A</v>
        <stp/>
        <stp>BDH|351361676521949081</stp>
        <tr r="W129" s="18"/>
      </tp>
      <tp t="e">
        <v>#N/A</v>
        <stp/>
        <stp>BDH|519267400114353326</stp>
        <tr r="M123" s="18"/>
        <tr r="M12" s="20"/>
      </tp>
      <tp t="e">
        <v>#N/A</v>
        <stp/>
        <stp>BDH|345564716900348135</stp>
        <tr r="M7" s="30"/>
      </tp>
      <tp t="e">
        <v>#N/A</v>
        <stp/>
        <stp>BDH|198133539190823704</stp>
        <tr r="Y13" s="11"/>
      </tp>
      <tp t="e">
        <v>#N/A</v>
        <stp/>
        <stp>BDH|771640676574552031</stp>
        <tr r="E73" s="17"/>
      </tp>
      <tp t="e">
        <v>#N/A</v>
        <stp/>
        <stp>BDH|572611546320410752</stp>
        <tr r="S25" s="6"/>
      </tp>
      <tp t="e">
        <v>#N/A</v>
        <stp/>
        <stp>BDH|663065724484182369</stp>
        <tr r="F13" s="6"/>
      </tp>
      <tp t="e">
        <v>#N/A</v>
        <stp/>
        <stp>BDH|726411252650296459</stp>
        <tr r="J17" s="22"/>
      </tp>
      <tp t="e">
        <v>#N/A</v>
        <stp/>
        <stp>BDH|650933548229283037</stp>
        <tr r="R210" s="18"/>
      </tp>
      <tp t="e">
        <v>#N/A</v>
        <stp/>
        <stp>BDH|412977688564697115</stp>
        <tr r="S26" s="7"/>
      </tp>
      <tp t="e">
        <v>#N/A</v>
        <stp/>
        <stp>BDH|200638155396967111</stp>
        <tr r="K59" s="21"/>
        <tr r="K37" s="25"/>
        <tr r="I31" s="4"/>
        <tr r="I52" s="11"/>
      </tp>
      <tp t="e">
        <v>#N/A</v>
        <stp/>
        <stp>BDH|980503430337004555</stp>
        <tr r="E25" s="18"/>
      </tp>
      <tp t="e">
        <v>#N/A</v>
        <stp/>
        <stp>BDH|872790815603003182</stp>
        <tr r="S208" s="18"/>
      </tp>
      <tp t="e">
        <v>#N/A</v>
        <stp/>
        <stp>BDH|129305128003364667</stp>
        <tr r="G162" s="18"/>
      </tp>
      <tp t="e">
        <v>#N/A</v>
        <stp/>
        <stp>BDH|398765778405386127</stp>
        <tr r="W34" s="14"/>
      </tp>
      <tp t="e">
        <v>#N/A</v>
        <stp/>
        <stp>BDH|314541672107813115</stp>
        <tr r="R25" s="3"/>
      </tp>
      <tp t="e">
        <v>#N/A</v>
        <stp/>
        <stp>BDH|506610205295911758</stp>
        <tr r="V73" s="24"/>
      </tp>
      <tp t="e">
        <v>#N/A</v>
        <stp/>
        <stp>BDH|625334555226531489</stp>
        <tr r="S57" s="17"/>
      </tp>
      <tp t="e">
        <v>#N/A</v>
        <stp/>
        <stp>BDH|554168718430314455</stp>
        <tr r="S175" s="18"/>
      </tp>
      <tp t="e">
        <v>#N/A</v>
        <stp/>
        <stp>BDH|785196656068393865</stp>
        <tr r="I13" s="29"/>
        <tr r="I22" s="29"/>
        <tr r="I36" s="29"/>
      </tp>
      <tp t="e">
        <v>#N/A</v>
        <stp/>
        <stp>BDH|398819280581951563</stp>
        <tr r="F7" s="28"/>
      </tp>
      <tp t="e">
        <v>#N/A</v>
        <stp/>
        <stp>BDH|192936026579959634</stp>
        <tr r="P49" s="4"/>
      </tp>
      <tp t="e">
        <v>#N/A</v>
        <stp/>
        <stp>BDH|656609309161232337</stp>
        <tr r="X93" s="17"/>
        <tr r="X13" s="28"/>
      </tp>
      <tp t="e">
        <v>#N/A</v>
        <stp/>
        <stp>BDH|372928268458478333</stp>
        <tr r="O29" s="10"/>
        <tr r="Q38" s="13"/>
      </tp>
      <tp t="e">
        <v>#N/A</v>
        <stp/>
        <stp>BDH|214689682982687808</stp>
        <tr r="U20" s="23"/>
      </tp>
      <tp t="e">
        <v>#N/A</v>
        <stp/>
        <stp>BDH|570280021591268503</stp>
        <tr r="F15" s="9"/>
      </tp>
      <tp t="e">
        <v>#N/A</v>
        <stp/>
        <stp>BDH|610436211785264498</stp>
        <tr r="V174" s="18"/>
      </tp>
      <tp t="e">
        <v>#N/A</v>
        <stp/>
        <stp>BDH|444868689041029542</stp>
        <tr r="F71" s="24"/>
      </tp>
      <tp t="e">
        <v>#N/A</v>
        <stp/>
        <stp>BDH|973027909320997446</stp>
        <tr r="W23" s="2"/>
        <tr r="Y19" s="21"/>
        <tr r="Y23" s="3"/>
      </tp>
      <tp t="e">
        <v>#N/A</v>
        <stp/>
        <stp>BDH|729889970322083906</stp>
        <tr r="L207" s="18"/>
      </tp>
      <tp t="e">
        <v>#N/A</v>
        <stp/>
        <stp>BDH|546049701997869375</stp>
        <tr r="T12" s="13"/>
      </tp>
      <tp t="e">
        <v>#N/A</v>
        <stp/>
        <stp>BDH|670294835975314010</stp>
        <tr r="I54" s="13"/>
      </tp>
      <tp t="e">
        <v>#N/A</v>
        <stp/>
        <stp>BDH|237742896939872304</stp>
        <tr r="I23" s="14"/>
      </tp>
      <tp t="e">
        <v>#N/A</v>
        <stp/>
        <stp>BDH|570483370903449410</stp>
        <tr r="Y20" s="10"/>
      </tp>
      <tp t="e">
        <v>#N/A</v>
        <stp/>
        <stp>BDH|284042013012448791</stp>
        <tr r="H193" s="18"/>
      </tp>
      <tp t="e">
        <v>#N/A</v>
        <stp/>
        <stp>BDH|345499646111345575</stp>
        <tr r="P15" s="11"/>
      </tp>
      <tp t="e">
        <v>#N/A</v>
        <stp/>
        <stp>BDH|138396663975161432</stp>
        <tr r="W17" s="21"/>
      </tp>
      <tp t="e">
        <v>#N/A</v>
        <stp/>
        <stp>BDH|358108196805844943</stp>
        <tr r="AA7" s="34"/>
      </tp>
      <tp t="e">
        <v>#N/A</v>
        <stp/>
        <stp>BDH|319462675577888018</stp>
        <tr r="T112" s="18"/>
      </tp>
      <tp t="e">
        <v>#N/A</v>
        <stp/>
        <stp>BDH|265960757741276982</stp>
        <tr r="K28" s="4"/>
      </tp>
      <tp t="e">
        <v>#N/A</v>
        <stp/>
        <stp>BDH|979219724904389055</stp>
        <tr r="K71" s="10"/>
        <tr r="K61" s="11"/>
      </tp>
      <tp t="e">
        <v>#N/A</v>
        <stp/>
        <stp>BDH|689127122603483488</stp>
        <tr r="I211" s="18"/>
      </tp>
      <tp t="e">
        <v>#N/A</v>
        <stp/>
        <stp>BDH|298750366295212095</stp>
        <tr r="L25" s="7"/>
      </tp>
      <tp t="e">
        <v>#N/A</v>
        <stp/>
        <stp>BDH|917311622986203326</stp>
        <tr r="F9" s="29"/>
      </tp>
      <tp t="e">
        <v>#N/A</v>
        <stp/>
        <stp>BDH|962962088836956349</stp>
        <tr r="X46" s="12"/>
      </tp>
      <tp t="e">
        <v>#N/A</v>
        <stp/>
        <stp>BDH|608986859599964145</stp>
        <tr r="Q41" s="17"/>
        <tr r="Q9" s="25"/>
      </tp>
      <tp t="e">
        <v>#N/A</v>
        <stp/>
        <stp>BDH|713845582440355481</stp>
        <tr r="D25" s="2"/>
        <tr r="F62" s="21"/>
      </tp>
      <tp t="e">
        <v>#N/A</v>
        <stp/>
        <stp>BDH|248080462505571773</stp>
        <tr r="Z32" s="21"/>
      </tp>
      <tp t="e">
        <v>#N/A</v>
        <stp/>
        <stp>BDH|796493240875081150</stp>
        <tr r="U15" s="18"/>
      </tp>
      <tp t="e">
        <v>#N/A</v>
        <stp/>
        <stp>BDH|114003686824543895</stp>
        <tr r="E63" s="34"/>
      </tp>
      <tp t="e">
        <v>#N/A</v>
        <stp/>
        <stp>BDH|472925809728325578</stp>
        <tr r="Y93" s="12"/>
      </tp>
      <tp t="e">
        <v>#N/A</v>
        <stp/>
        <stp>BDH|412229801744463284</stp>
        <tr r="C48" s="21"/>
      </tp>
      <tp t="e">
        <v>#N/A</v>
        <stp/>
        <stp>BDH|205175789674345946</stp>
        <tr r="R54" s="11"/>
      </tp>
      <tp t="e">
        <v>#N/A</v>
        <stp/>
        <stp>BDH|681408519825086444</stp>
        <tr r="U16" s="25"/>
      </tp>
      <tp t="e">
        <v>#N/A</v>
        <stp/>
        <stp>BDH|400736041073561485</stp>
        <tr r="S29" s="17"/>
      </tp>
      <tp t="e">
        <v>#N/A</v>
        <stp/>
        <stp>BDH|992752031730826015</stp>
        <tr r="I72" s="13"/>
      </tp>
      <tp t="e">
        <v>#N/A</v>
        <stp/>
        <stp>BDH|849803489307383367</stp>
        <tr r="X10" s="28"/>
      </tp>
      <tp t="e">
        <v>#N/A</v>
        <stp/>
        <stp>BDH|803686537710615155</stp>
        <tr r="X27" s="26"/>
      </tp>
      <tp t="e">
        <v>#N/A</v>
        <stp/>
        <stp>BDH|241077745027111757</stp>
        <tr r="N19" s="17"/>
      </tp>
      <tp t="e">
        <v>#N/A</v>
        <stp/>
        <stp>BDH|245455340073183735</stp>
        <tr r="I62" s="24"/>
      </tp>
      <tp t="e">
        <v>#N/A</v>
        <stp/>
        <stp>BDH|493770298118941271</stp>
        <tr r="S15" s="29"/>
        <tr r="S38" s="29"/>
      </tp>
      <tp t="e">
        <v>#N/A</v>
        <stp/>
        <stp>BDH|218582634933849133</stp>
        <tr r="K11" s="9"/>
      </tp>
      <tp t="e">
        <v>#N/A</v>
        <stp/>
        <stp>BDH|595442055844204133</stp>
        <tr r="W17" s="10"/>
        <tr r="Y16" s="13"/>
        <tr r="Y30" s="13"/>
      </tp>
      <tp t="e">
        <v>#N/A</v>
        <stp/>
        <stp>BDH|992672662872822616</stp>
        <tr r="R63" s="17"/>
      </tp>
      <tp t="e">
        <v>#N/A</v>
        <stp/>
        <stp>BDH|301671625759620920</stp>
        <tr r="O105" s="18"/>
      </tp>
      <tp t="e">
        <v>#N/A</v>
        <stp/>
        <stp>BDH|427309693129017713</stp>
        <tr r="AA38" s="22"/>
      </tp>
      <tp t="e">
        <v>#N/A</v>
        <stp/>
        <stp>BDH|486127695424185845</stp>
        <tr r="L46" s="4"/>
        <tr r="L23" s="10"/>
        <tr r="N42" s="13"/>
      </tp>
      <tp t="e">
        <v>#N/A</v>
        <stp/>
        <stp>BDH|356134764663157037</stp>
        <tr r="D9" s="24"/>
      </tp>
      <tp t="e">
        <v>#N/A</v>
        <stp/>
        <stp>BDH|780195310685149185</stp>
        <tr r="X22" s="11"/>
      </tp>
      <tp t="e">
        <v>#N/A</v>
        <stp/>
        <stp>BDH|368339329892970770</stp>
        <tr r="P27" s="25"/>
        <tr r="P13" s="27"/>
      </tp>
      <tp t="e">
        <v>#N/A</v>
        <stp/>
        <stp>BDH|578264986729479765</stp>
        <tr r="M39" s="6"/>
      </tp>
      <tp t="e">
        <v>#N/A</v>
        <stp/>
        <stp>BDH|782549401365081421</stp>
        <tr r="W15" s="9"/>
      </tp>
      <tp t="e">
        <v>#N/A</v>
        <stp/>
        <stp>BDH|657265236623584630</stp>
        <tr r="T40" s="12"/>
      </tp>
      <tp t="e">
        <v>#N/A</v>
        <stp/>
        <stp>BDH|726100157800865080</stp>
        <tr r="H44" s="12"/>
      </tp>
      <tp t="e">
        <v>#N/A</v>
        <stp/>
        <stp>BDH|667431943466159274</stp>
        <tr r="K9" s="12"/>
      </tp>
      <tp t="e">
        <v>#N/A</v>
        <stp/>
        <stp>BDH|723095708020511430</stp>
        <tr r="D21" s="27"/>
      </tp>
      <tp t="e">
        <v>#N/A</v>
        <stp/>
        <stp>BDH|613522661842279562</stp>
        <tr r="S44" s="21"/>
      </tp>
      <tp t="e">
        <v>#N/A</v>
        <stp/>
        <stp>BDH|816096624580028646</stp>
        <tr r="G75" s="12"/>
      </tp>
      <tp t="e">
        <v>#N/A</v>
        <stp/>
        <stp>BDH|133567608061754097</stp>
        <tr r="S65" s="24"/>
      </tp>
      <tp t="e">
        <v>#N/A</v>
        <stp/>
        <stp>BDH|366240832500246561</stp>
        <tr r="N40" s="24"/>
      </tp>
      <tp t="e">
        <v>#N/A</v>
        <stp/>
        <stp>BDH|242712785838515314</stp>
        <tr r="E7" s="23"/>
      </tp>
      <tp t="e">
        <v>#N/A</v>
        <stp/>
        <stp>BDH|457492586499089195</stp>
        <tr r="K63" s="12"/>
      </tp>
      <tp t="e">
        <v>#N/A</v>
        <stp/>
        <stp>BDH|312925954980109860</stp>
        <tr r="O13" s="22"/>
      </tp>
      <tp t="e">
        <v>#N/A</v>
        <stp/>
        <stp>BDH|842469438881422205</stp>
        <tr r="T21" s="34"/>
      </tp>
      <tp t="e">
        <v>#N/A</v>
        <stp/>
        <stp>BDH|336619351850633771</stp>
        <tr r="N98" s="18"/>
      </tp>
      <tp t="e">
        <v>#N/A</v>
        <stp/>
        <stp>BDH|121538717956224657</stp>
        <tr r="R163" s="18"/>
      </tp>
      <tp t="e">
        <v>#N/A</v>
        <stp/>
        <stp>BDH|541301451143788119</stp>
        <tr r="J169" s="18"/>
      </tp>
      <tp t="e">
        <v>#N/A</v>
        <stp/>
        <stp>BDH|247363343362199154</stp>
        <tr r="K103" s="18"/>
      </tp>
      <tp t="e">
        <v>#N/A</v>
        <stp/>
        <stp>BDH|779774579012230689</stp>
        <tr r="D13" s="26"/>
      </tp>
      <tp t="e">
        <v>#N/A</v>
        <stp/>
        <stp>BDH|906042051298797986</stp>
        <tr r="M17" s="23"/>
      </tp>
      <tp t="e">
        <v>#N/A</v>
        <stp/>
        <stp>BDH|364682428239783973</stp>
        <tr r="X73" s="18"/>
      </tp>
      <tp t="e">
        <v>#N/A</v>
        <stp/>
        <stp>BDH|227801970419636277</stp>
        <tr r="T40" s="22"/>
      </tp>
      <tp t="e">
        <v>#N/A</v>
        <stp/>
        <stp>BDH|407748009781232289</stp>
        <tr r="E86" s="17"/>
      </tp>
      <tp t="e">
        <v>#N/A</v>
        <stp/>
        <stp>BDH|438939039259114437</stp>
        <tr r="K31" s="5"/>
      </tp>
      <tp t="e">
        <v>#N/A</v>
        <stp/>
        <stp>BDH|615205108983530671</stp>
        <tr r="W77" s="12"/>
      </tp>
      <tp t="e">
        <v>#N/A</v>
        <stp/>
        <stp>BDH|260734635027870408</stp>
        <tr r="Z19" s="26"/>
      </tp>
      <tp t="e">
        <v>#N/A</v>
        <stp/>
        <stp>BDH|828402029038845959</stp>
        <tr r="D24" s="20"/>
      </tp>
      <tp t="e">
        <v>#N/A</v>
        <stp/>
        <stp>BDH|462341745729916904</stp>
        <tr r="M33" s="6"/>
      </tp>
      <tp t="e">
        <v>#N/A</v>
        <stp/>
        <stp>BDH|282645604072602397</stp>
        <tr r="Y77" s="24"/>
      </tp>
      <tp t="e">
        <v>#N/A</v>
        <stp/>
        <stp>BDH|527234218274623054</stp>
        <tr r="F81" s="12"/>
      </tp>
      <tp t="e">
        <v>#N/A</v>
        <stp/>
        <stp>BDH|679372660385576793</stp>
        <tr r="Z8" s="26"/>
        <tr r="W10" s="9"/>
      </tp>
      <tp t="e">
        <v>#N/A</v>
        <stp/>
        <stp>BDH|154245609326259334</stp>
        <tr r="U17" s="29"/>
        <tr r="U40" s="29"/>
      </tp>
      <tp t="e">
        <v>#N/A</v>
        <stp/>
        <stp>BDH|967106404300692669</stp>
        <tr r="S37" s="17"/>
      </tp>
      <tp t="e">
        <v>#N/A</v>
        <stp/>
        <stp>BDH|860411505050788369</stp>
        <tr r="P88" s="24"/>
      </tp>
      <tp t="e">
        <v>#N/A</v>
        <stp/>
        <stp>BDH|937248242146442750</stp>
        <tr r="Y71" s="24"/>
      </tp>
      <tp t="e">
        <v>#N/A</v>
        <stp/>
        <stp>BDH|985762021117148510</stp>
        <tr r="C69" s="34"/>
      </tp>
      <tp t="e">
        <v>#N/A</v>
        <stp/>
        <stp>BDH|685730640206917228</stp>
        <tr r="E79" s="18"/>
      </tp>
      <tp t="e">
        <v>#N/A</v>
        <stp/>
        <stp>BDH|871015026274439157</stp>
        <tr r="Y203" s="18"/>
      </tp>
      <tp t="e">
        <v>#N/A</v>
        <stp/>
        <stp>BDH|305752704320950051</stp>
        <tr r="I40" s="18"/>
      </tp>
      <tp t="e">
        <v>#N/A</v>
        <stp/>
        <stp>BDH|268718978042376573</stp>
        <tr r="R20" s="25"/>
      </tp>
      <tp t="e">
        <v>#N/A</v>
        <stp/>
        <stp>BDH|865617261722785505</stp>
        <tr r="M27" s="34"/>
      </tp>
      <tp t="e">
        <v>#N/A</v>
        <stp/>
        <stp>BDH|806629140730514507</stp>
        <tr r="E7" s="4"/>
      </tp>
      <tp t="e">
        <v>#N/A</v>
        <stp/>
        <stp>BDH|634133889896236814</stp>
        <tr r="L18" s="12"/>
      </tp>
      <tp t="e">
        <v>#N/A</v>
        <stp/>
        <stp>BDH|603565318842652117</stp>
        <tr r="V11" s="3"/>
        <tr r="T50" s="10"/>
        <tr r="T40" s="11"/>
        <tr r="T8" s="7"/>
      </tp>
      <tp t="e">
        <v>#N/A</v>
        <stp/>
        <stp>BDH|207233766722017187</stp>
        <tr r="F37" s="17"/>
      </tp>
      <tp t="e">
        <v>#N/A</v>
        <stp/>
        <stp>BDH|327726412998481983</stp>
        <tr r="Y22" s="14"/>
      </tp>
      <tp t="e">
        <v>#N/A</v>
        <stp/>
        <stp>BDH|186855269018767121</stp>
        <tr r="Q194" s="18"/>
      </tp>
      <tp t="e">
        <v>#N/A</v>
        <stp/>
        <stp>BDH|523885205057373838</stp>
        <tr r="C61" s="21"/>
      </tp>
      <tp t="e">
        <v>#N/A</v>
        <stp/>
        <stp>BDH|606873341848842309</stp>
        <tr r="O57" s="12"/>
      </tp>
      <tp t="e">
        <v>#N/A</v>
        <stp/>
        <stp>BDH|579160249947788552</stp>
        <tr r="I17" s="9"/>
      </tp>
      <tp t="e">
        <v>#N/A</v>
        <stp/>
        <stp>BDH|949462508806690589</stp>
        <tr r="G8" s="4"/>
      </tp>
      <tp t="e">
        <v>#N/A</v>
        <stp/>
        <stp>BDH|236589932127427654</stp>
        <tr r="T11" s="7"/>
      </tp>
      <tp t="e">
        <v>#N/A</v>
        <stp/>
        <stp>BDH|190227754922895254</stp>
        <tr r="U7" s="11"/>
      </tp>
      <tp t="e">
        <v>#N/A</v>
        <stp/>
        <stp>BDH|624615876617990122</stp>
        <tr r="N17" s="14"/>
      </tp>
      <tp t="e">
        <v>#N/A</v>
        <stp/>
        <stp>BDH|358559026297334794</stp>
        <tr r="K8" s="22"/>
      </tp>
      <tp t="e">
        <v>#N/A</v>
        <stp/>
        <stp>BDH|460572376564764185</stp>
        <tr r="AA26" s="25"/>
        <tr r="AA12" s="27"/>
      </tp>
      <tp t="e">
        <v>#N/A</v>
        <stp/>
        <stp>BDH|830320432772704557</stp>
        <tr r="H175" s="18"/>
      </tp>
      <tp t="e">
        <v>#N/A</v>
        <stp/>
        <stp>BDH|395768224034837636</stp>
        <tr r="F61" s="21"/>
      </tp>
      <tp t="e">
        <v>#N/A</v>
        <stp/>
        <stp>BDH|490331248233268367</stp>
        <tr r="W53" s="24"/>
      </tp>
      <tp t="e">
        <v>#N/A</v>
        <stp/>
        <stp>BDH|489386397879169410</stp>
        <tr r="K44" s="22"/>
      </tp>
      <tp t="e">
        <v>#N/A</v>
        <stp/>
        <stp>BDH|233701839060938390</stp>
        <tr r="Y111" s="18"/>
      </tp>
      <tp t="e">
        <v>#N/A</v>
        <stp/>
        <stp>BDH|927957053022525911</stp>
        <tr r="G155" s="18"/>
      </tp>
      <tp t="e">
        <v>#N/A</v>
        <stp/>
        <stp>BDH|628090044271673260</stp>
        <tr r="W95" s="24"/>
      </tp>
      <tp t="e">
        <v>#N/A</v>
        <stp/>
        <stp>BDH|483178526287800365</stp>
        <tr r="AA100" s="18"/>
      </tp>
      <tp t="e">
        <v>#N/A</v>
        <stp/>
        <stp>BDH|860913934774056962</stp>
        <tr r="I33" s="9"/>
      </tp>
      <tp t="e">
        <v>#N/A</v>
        <stp/>
        <stp>BDH|471370261691798311</stp>
        <tr r="Q20" s="5"/>
      </tp>
      <tp t="e">
        <v>#N/A</v>
        <stp/>
        <stp>BDH|257512972914373167</stp>
        <tr r="R10" s="14"/>
      </tp>
      <tp t="e">
        <v>#N/A</v>
        <stp/>
        <stp>BDH|530174975980295118</stp>
        <tr r="X144" s="18"/>
      </tp>
      <tp t="e">
        <v>#N/A</v>
        <stp/>
        <stp>BDH|666269223380520722</stp>
        <tr r="V12" s="11"/>
      </tp>
      <tp t="e">
        <v>#N/A</v>
        <stp/>
        <stp>BDH|907408671897815343</stp>
        <tr r="J10" s="13"/>
      </tp>
      <tp t="e">
        <v>#N/A</v>
        <stp/>
        <stp>BDH|392579528262839201</stp>
        <tr r="R37" s="10"/>
        <tr r="R27" s="11"/>
        <tr r="T46" s="13"/>
      </tp>
      <tp t="e">
        <v>#N/A</v>
        <stp/>
        <stp>BDH|313322055191618066</stp>
        <tr r="W36" s="18"/>
      </tp>
      <tp t="e">
        <v>#N/A</v>
        <stp/>
        <stp>BDH|715360154884750572</stp>
        <tr r="M28" s="10"/>
        <tr r="O37" s="13"/>
      </tp>
      <tp t="e">
        <v>#N/A</v>
        <stp/>
        <stp>BDH|346734096719140020</stp>
        <tr r="X31" s="26"/>
        <tr r="U14" s="9"/>
      </tp>
      <tp t="e">
        <v>#N/A</v>
        <stp/>
        <stp>BDH|278261130290628677</stp>
        <tr r="C42" s="18"/>
      </tp>
      <tp t="e">
        <v>#N/A</v>
        <stp/>
        <stp>BDH|772134371278574950</stp>
        <tr r="K32" s="25"/>
        <tr r="K18" s="27"/>
      </tp>
      <tp t="e">
        <v>#N/A</v>
        <stp/>
        <stp>BDH|411433800424162736</stp>
        <tr r="X76" s="18"/>
      </tp>
      <tp t="e">
        <v>#N/A</v>
        <stp/>
        <stp>BDH|902813482164905365</stp>
        <tr r="Z137" s="18"/>
      </tp>
      <tp t="e">
        <v>#N/A</v>
        <stp/>
        <stp>BDH|924107650264950768</stp>
        <tr r="V80" s="24"/>
      </tp>
      <tp t="e">
        <v>#N/A</v>
        <stp/>
        <stp>BDH|104952487867269176</stp>
        <tr r="L32" s="12"/>
      </tp>
      <tp t="e">
        <v>#N/A</v>
        <stp/>
        <stp>BDH|562766155197549257</stp>
        <tr r="T23" s="13"/>
      </tp>
      <tp t="e">
        <v>#N/A</v>
        <stp/>
        <stp>BDH|190288833024441285</stp>
        <tr r="D53" s="13"/>
      </tp>
      <tp t="e">
        <v>#N/A</v>
        <stp/>
        <stp>BDH|808768809937665773</stp>
        <tr r="S20" s="10"/>
      </tp>
      <tp t="e">
        <v>#N/A</v>
        <stp/>
        <stp>BDH|384724343852790622</stp>
        <tr r="L55" s="12"/>
      </tp>
      <tp t="e">
        <v>#N/A</v>
        <stp/>
        <stp>BDH|191217603462161751</stp>
        <tr r="N50" s="24"/>
      </tp>
      <tp t="e">
        <v>#N/A</v>
        <stp/>
        <stp>BDH|376313505217435341</stp>
        <tr r="T12" s="24"/>
      </tp>
      <tp t="e">
        <v>#N/A</v>
        <stp/>
        <stp>BDH|836630580701889832</stp>
        <tr r="Q19" s="5"/>
        <tr r="Q42" s="6"/>
      </tp>
      <tp t="e">
        <v>#N/A</v>
        <stp/>
        <stp>BDH|717383669666030465</stp>
        <tr r="Y67" s="10"/>
      </tp>
      <tp t="e">
        <v>#N/A</v>
        <stp/>
        <stp>BDH|801420957353462593</stp>
        <tr r="C27" s="12"/>
      </tp>
      <tp t="e">
        <v>#N/A</v>
        <stp/>
        <stp>BDH|170201041261921093</stp>
        <tr r="I92" s="12"/>
      </tp>
      <tp t="e">
        <v>#N/A</v>
        <stp/>
        <stp>BDH|535224225174651355</stp>
        <tr r="N39" s="25"/>
        <tr r="N7" s="3"/>
        <tr r="L17" s="11"/>
        <tr r="N22" s="13"/>
        <tr r="N7" s="13"/>
      </tp>
      <tp t="e">
        <v>#N/A</v>
        <stp/>
        <stp>BDH|502638635084377625</stp>
        <tr r="P15" s="22"/>
      </tp>
      <tp t="e">
        <v>#N/A</v>
        <stp/>
        <stp>BDH|844460278470103458</stp>
        <tr r="D34" s="26"/>
      </tp>
      <tp t="e">
        <v>#N/A</v>
        <stp/>
        <stp>BDH|910925344868553286</stp>
        <tr r="Z47" s="34"/>
      </tp>
      <tp t="e">
        <v>#N/A</v>
        <stp/>
        <stp>BDH|750914286012207407</stp>
        <tr r="G65" s="12"/>
      </tp>
      <tp t="e">
        <v>#N/A</v>
        <stp/>
        <stp>BDH|873141838266178376</stp>
        <tr r="F20" s="17"/>
      </tp>
      <tp t="e">
        <v>#N/A</v>
        <stp/>
        <stp>BDH|144132841711770378</stp>
        <tr r="T20" s="12"/>
      </tp>
      <tp t="e">
        <v>#N/A</v>
        <stp/>
        <stp>BDH|265027633836952291</stp>
        <tr r="K11" s="22"/>
      </tp>
      <tp t="e">
        <v>#N/A</v>
        <stp/>
        <stp>BDH|437683724092274195</stp>
        <tr r="U125" s="18"/>
        <tr r="U14" s="20"/>
      </tp>
      <tp t="e">
        <v>#N/A</v>
        <stp/>
        <stp>BDH|712722302243781338</stp>
        <tr r="Y33" s="18"/>
      </tp>
      <tp t="e">
        <v>#N/A</v>
        <stp/>
        <stp>BDH|388301958659804809</stp>
        <tr r="F92" s="24"/>
      </tp>
      <tp t="e">
        <v>#N/A</v>
        <stp/>
        <stp>BDH|728053849363850000</stp>
        <tr r="X82" s="18"/>
      </tp>
      <tp t="e">
        <v>#N/A</v>
        <stp/>
        <stp>BDH|163446625180125124</stp>
        <tr r="P15" s="25"/>
      </tp>
      <tp t="e">
        <v>#N/A</v>
        <stp/>
        <stp>BDH|223655645201357424</stp>
        <tr r="R33" s="14"/>
      </tp>
      <tp t="e">
        <v>#N/A</v>
        <stp/>
        <stp>BDH|258405654497284087</stp>
        <tr r="AA20" s="23"/>
      </tp>
      <tp t="e">
        <v>#N/A</v>
        <stp/>
        <stp>BDH|328760819162980293</stp>
        <tr r="E52" s="6"/>
      </tp>
      <tp t="e">
        <v>#N/A</v>
        <stp/>
        <stp>BDH|198047315180859745</stp>
        <tr r="O38" s="10"/>
        <tr r="O28" s="11"/>
        <tr r="Q47" s="13"/>
      </tp>
      <tp t="e">
        <v>#N/A</v>
        <stp/>
        <stp>BDH|946537426564344535</stp>
        <tr r="R53" s="13"/>
      </tp>
      <tp t="e">
        <v>#N/A</v>
        <stp/>
        <stp>BDH|254690745641558571</stp>
        <tr r="S42" s="24"/>
      </tp>
      <tp t="e">
        <v>#N/A</v>
        <stp/>
        <stp>BDH|834262567495405710</stp>
        <tr r="C57" s="34"/>
      </tp>
      <tp t="e">
        <v>#N/A</v>
        <stp/>
        <stp>BDH|832724371840153670</stp>
        <tr r="I21" s="17"/>
        <tr r="I15" s="3"/>
      </tp>
      <tp t="e">
        <v>#N/A</v>
        <stp/>
        <stp>BDH|176549272561377595</stp>
        <tr r="G17" s="6"/>
      </tp>
      <tp t="e">
        <v>#N/A</v>
        <stp/>
        <stp>BDH|894299220136551096</stp>
        <tr r="V89" s="17"/>
      </tp>
      <tp t="e">
        <v>#N/A</v>
        <stp/>
        <stp>BDH|984507131612690232</stp>
        <tr r="P27" s="17"/>
      </tp>
      <tp t="e">
        <v>#N/A</v>
        <stp/>
        <stp>BDH|457407373061224483</stp>
        <tr r="Y23" s="23"/>
      </tp>
      <tp t="e">
        <v>#N/A</v>
        <stp/>
        <stp>BDH|467632715573969264</stp>
        <tr r="S31" s="26"/>
        <tr r="P14" s="9"/>
      </tp>
      <tp t="e">
        <v>#N/A</v>
        <stp/>
        <stp>BDH|906139152961268377</stp>
        <tr r="Q135" s="18"/>
      </tp>
      <tp t="e">
        <v>#N/A</v>
        <stp/>
        <stp>BDH|357692377595437247</stp>
        <tr r="AA199" s="18"/>
      </tp>
      <tp t="e">
        <v>#N/A</v>
        <stp/>
        <stp>BDH|788092843756704478</stp>
        <tr r="G110" s="18"/>
      </tp>
      <tp t="e">
        <v>#N/A</v>
        <stp/>
        <stp>BDH|489888130768779565</stp>
        <tr r="AA56" s="24"/>
      </tp>
      <tp t="e">
        <v>#N/A</v>
        <stp/>
        <stp>BDH|368269558787642654</stp>
        <tr r="Y13" s="10"/>
      </tp>
      <tp t="e">
        <v>#N/A</v>
        <stp/>
        <stp>BDH|305426029689246946</stp>
        <tr r="J8" s="4"/>
      </tp>
      <tp t="e">
        <v>#N/A</v>
        <stp/>
        <stp>BDH|927403541796470022</stp>
        <tr r="T39" s="10"/>
        <tr r="T29" s="11"/>
      </tp>
      <tp t="e">
        <v>#N/A</v>
        <stp/>
        <stp>BDH|125306071306749490</stp>
        <tr r="W37" s="22"/>
      </tp>
      <tp t="e">
        <v>#N/A</v>
        <stp/>
        <stp>BDH|190514740860718795</stp>
        <tr r="N30" s="6"/>
      </tp>
      <tp t="e">
        <v>#N/A</v>
        <stp/>
        <stp>BDH|865004637646047316</stp>
        <tr r="AA128" s="18"/>
      </tp>
      <tp t="e">
        <v>#N/A</v>
        <stp/>
        <stp>BDH|206148360720064191</stp>
        <tr r="R72" s="17"/>
      </tp>
      <tp t="e">
        <v>#N/A</v>
        <stp/>
        <stp>BDH|398174321767321290</stp>
        <tr r="V95" s="12"/>
      </tp>
      <tp t="e">
        <v>#N/A</v>
        <stp/>
        <stp>BDH|637085864794677434</stp>
        <tr r="V24" s="14"/>
      </tp>
      <tp t="e">
        <v>#N/A</v>
        <stp/>
        <stp>BDH|365343379827593545</stp>
        <tr r="O7" s="4"/>
      </tp>
      <tp t="e">
        <v>#N/A</v>
        <stp/>
        <stp>BDH|795189001956578148</stp>
        <tr r="R58" s="24"/>
      </tp>
      <tp t="e">
        <v>#N/A</v>
        <stp/>
        <stp>BDH|850798630045911778</stp>
        <tr r="C13" s="29"/>
        <tr r="C22" s="29"/>
        <tr r="C36" s="29"/>
      </tp>
      <tp t="e">
        <v>#N/A</v>
        <stp/>
        <stp>BDH|212161855932913003</stp>
        <tr r="R7" s="4"/>
      </tp>
      <tp t="e">
        <v>#N/A</v>
        <stp/>
        <stp>BDH|387533975192489691</stp>
        <tr r="L29" s="14"/>
      </tp>
      <tp t="e">
        <v>#N/A</v>
        <stp/>
        <stp>BDH|545784113388363855</stp>
        <tr r="I177" s="18"/>
      </tp>
      <tp t="e">
        <v>#N/A</v>
        <stp/>
        <stp>BDH|900520672667112301</stp>
        <tr r="T8" s="23"/>
      </tp>
      <tp t="e">
        <v>#N/A</v>
        <stp/>
        <stp>BDH|503541747640998778</stp>
        <tr r="E66" s="21"/>
      </tp>
      <tp t="e">
        <v>#N/A</v>
        <stp/>
        <stp>BDH|100297304284615023</stp>
        <tr r="W29" s="29"/>
        <tr r="W7" s="29"/>
      </tp>
      <tp t="e">
        <v>#N/A</v>
        <stp/>
        <stp>BDH|556417338757082654</stp>
        <tr r="J85" s="18"/>
      </tp>
      <tp t="e">
        <v>#N/A</v>
        <stp/>
        <stp>BDH|121992490804374220</stp>
        <tr r="G7" s="4"/>
      </tp>
      <tp t="e">
        <v>#N/A</v>
        <stp/>
        <stp>BDH|320196706460050758</stp>
        <tr r="J35" s="10"/>
        <tr r="J25" s="11"/>
      </tp>
      <tp t="e">
        <v>#N/A</v>
        <stp/>
        <stp>BDH|440372700121870420</stp>
        <tr r="S47" s="12"/>
      </tp>
      <tp t="e">
        <v>#N/A</v>
        <stp/>
        <stp>BDH|145764542781974455</stp>
        <tr r="Q22" s="18"/>
      </tp>
      <tp t="e">
        <v>#N/A</v>
        <stp/>
        <stp>BDH|398905029324874980</stp>
        <tr r="P33" s="5"/>
      </tp>
      <tp t="e">
        <v>#N/A</v>
        <stp/>
        <stp>BDH|698385800222562717</stp>
        <tr r="K196" s="18"/>
      </tp>
      <tp t="e">
        <v>#N/A</v>
        <stp/>
        <stp>BDH|484285287588550448</stp>
        <tr r="E78" s="34"/>
      </tp>
      <tp t="e">
        <v>#N/A</v>
        <stp/>
        <stp>BDH|593011111740861763</stp>
        <tr r="U19" s="22"/>
      </tp>
      <tp t="e">
        <v>#N/A</v>
        <stp/>
        <stp>BDH|817622816957534622</stp>
        <tr r="N19" s="25"/>
      </tp>
      <tp t="e">
        <v>#N/A</v>
        <stp/>
        <stp>BDH|628117105874217346</stp>
        <tr r="O32" s="14"/>
      </tp>
      <tp t="e">
        <v>#N/A</v>
        <stp/>
        <stp>BDH|371716602349437808</stp>
        <tr r="D14" s="28"/>
      </tp>
      <tp t="e">
        <v>#N/A</v>
        <stp/>
        <stp>BDH|390947465201262845</stp>
        <tr r="P18" s="26"/>
      </tp>
      <tp t="e">
        <v>#N/A</v>
        <stp/>
        <stp>BDH|468107606681346650</stp>
        <tr r="G21" s="2"/>
      </tp>
      <tp t="e">
        <v>#N/A</v>
        <stp/>
        <stp>BDH|338251234233648405</stp>
        <tr r="O176" s="18"/>
      </tp>
      <tp t="e">
        <v>#N/A</v>
        <stp/>
        <stp>BDH|200183756443036182</stp>
        <tr r="I11" s="21"/>
      </tp>
      <tp t="e">
        <v>#N/A</v>
        <stp/>
        <stp>BDH|642491821245931531</stp>
        <tr r="O50" s="12"/>
      </tp>
      <tp t="e">
        <v>#N/A</v>
        <stp/>
        <stp>BDH|880460920084837435</stp>
        <tr r="V84" s="18"/>
      </tp>
      <tp t="e">
        <v>#N/A</v>
        <stp/>
        <stp>BDH|623020126012691614</stp>
        <tr r="E8" s="11"/>
      </tp>
      <tp t="e">
        <v>#N/A</v>
        <stp/>
        <stp>BDH|140072886057454929</stp>
        <tr r="I52" s="18"/>
      </tp>
      <tp t="e">
        <v>#N/A</v>
        <stp/>
        <stp>BDH|271528386068658364</stp>
        <tr r="K48" s="21"/>
      </tp>
      <tp t="e">
        <v>#N/A</v>
        <stp/>
        <stp>BDH|832024907784964226</stp>
        <tr r="O71" s="12"/>
      </tp>
      <tp t="e">
        <v>#N/A</v>
        <stp/>
        <stp>BDH|833336430651853750</stp>
        <tr r="AA13" s="13"/>
      </tp>
      <tp t="e">
        <v>#N/A</v>
        <stp/>
        <stp>BDH|883739716727256795</stp>
        <tr r="P81" s="12"/>
      </tp>
      <tp t="e">
        <v>#N/A</v>
        <stp/>
        <stp>BDH|271317067081074222</stp>
        <tr r="O23" s="20"/>
      </tp>
      <tp t="e">
        <v>#N/A</v>
        <stp/>
        <stp>BDH|288836774478608142</stp>
        <tr r="C43" s="17"/>
      </tp>
      <tp t="e">
        <v>#N/A</v>
        <stp/>
        <stp>BDH|965087485936618855</stp>
        <tr r="J82" s="24"/>
      </tp>
      <tp t="e">
        <v>#N/A</v>
        <stp/>
        <stp>BDH|108093479898089964</stp>
        <tr r="J155" s="18"/>
      </tp>
      <tp t="e">
        <v>#N/A</v>
        <stp/>
        <stp>BDH|830608337602087181</stp>
        <tr r="R18" s="14"/>
      </tp>
      <tp t="e">
        <v>#N/A</v>
        <stp/>
        <stp>BDH|607471904765093755</stp>
        <tr r="P52" s="10"/>
        <tr r="P42" s="11"/>
        <tr r="P15" s="7"/>
      </tp>
      <tp t="e">
        <v>#N/A</v>
        <stp/>
        <stp>BDH|407280934107174099</stp>
        <tr r="Q40" s="24"/>
      </tp>
      <tp t="e">
        <v>#N/A</v>
        <stp/>
        <stp>BDH|935886377889115078</stp>
        <tr r="Q25" s="10"/>
        <tr r="S34" s="13"/>
      </tp>
      <tp t="e">
        <v>#N/A</v>
        <stp/>
        <stp>BDH|671363079266084485</stp>
        <tr r="M103" s="12"/>
      </tp>
      <tp t="e">
        <v>#N/A</v>
        <stp/>
        <stp>BDH|428764143072864789</stp>
        <tr r="E115" s="18"/>
      </tp>
      <tp t="e">
        <v>#N/A</v>
        <stp/>
        <stp>BDH|535698968675687336</stp>
        <tr r="S12" s="18"/>
      </tp>
      <tp t="e">
        <v>#N/A</v>
        <stp/>
        <stp>BDH|870510018871914399</stp>
        <tr r="AA33" s="18"/>
      </tp>
      <tp t="e">
        <v>#N/A</v>
        <stp/>
        <stp>BDH|532499497409384291</stp>
        <tr r="C8" s="11"/>
      </tp>
      <tp t="e">
        <v>#N/A</v>
        <stp/>
        <stp>BDH|820202529356528068</stp>
        <tr r="P25" s="2"/>
        <tr r="R62" s="21"/>
      </tp>
      <tp t="e">
        <v>#N/A</v>
        <stp/>
        <stp>BDH|297922519879264798</stp>
        <tr r="C45" s="21"/>
      </tp>
      <tp t="e">
        <v>#N/A</v>
        <stp/>
        <stp>BDH|708477535621149064</stp>
        <tr r="J21" s="9"/>
      </tp>
      <tp t="e">
        <v>#N/A</v>
        <stp/>
        <stp>BDH|313547855025205327</stp>
        <tr r="F17" s="6"/>
      </tp>
      <tp t="e">
        <v>#N/A</v>
        <stp/>
        <stp>BDH|574334794219028519</stp>
        <tr r="R32" s="9"/>
      </tp>
      <tp t="e">
        <v>#N/A</v>
        <stp/>
        <stp>BDH|416015437734630178</stp>
        <tr r="K96" s="12"/>
      </tp>
      <tp t="e">
        <v>#N/A</v>
        <stp/>
        <stp>BDH|890550853597923146</stp>
        <tr r="D19" s="9"/>
      </tp>
      <tp t="e">
        <v>#N/A</v>
        <stp/>
        <stp>BDH|807584952874810293</stp>
        <tr r="X42" s="12"/>
      </tp>
      <tp t="e">
        <v>#N/A</v>
        <stp/>
        <stp>BDH|521496784379988323</stp>
        <tr r="J35" s="18"/>
      </tp>
      <tp t="e">
        <v>#N/A</v>
        <stp/>
        <stp>BDH|514625455270446550</stp>
        <tr r="L12" s="22"/>
      </tp>
      <tp t="e">
        <v>#N/A</v>
        <stp/>
        <stp>BDH|608047244936098457</stp>
        <tr r="AA6" s="27"/>
      </tp>
      <tp t="e">
        <v>#N/A</v>
        <stp/>
        <stp>BDH|502236432384447331</stp>
        <tr r="AA28" s="17"/>
      </tp>
      <tp t="e">
        <v>#N/A</v>
        <stp/>
        <stp>BDH|708658806938399849</stp>
        <tr r="Y32" s="18"/>
      </tp>
      <tp t="e">
        <v>#N/A</v>
        <stp/>
        <stp>BDH|806136190989427036</stp>
        <tr r="T14" s="29"/>
        <tr r="T23" s="29"/>
        <tr r="T37" s="29"/>
      </tp>
      <tp t="e">
        <v>#N/A</v>
        <stp/>
        <stp>BDH|836412640010497115</stp>
        <tr r="F70" s="10"/>
        <tr r="F60" s="11"/>
        <tr r="F20" s="7"/>
      </tp>
      <tp t="e">
        <v>#N/A</v>
        <stp/>
        <stp>BDH|538937194924761596</stp>
        <tr r="W42" s="17"/>
      </tp>
      <tp t="e">
        <v>#N/A</v>
        <stp/>
        <stp>BDH|313951687926885652</stp>
        <tr r="O8" s="11"/>
      </tp>
      <tp t="e">
        <v>#N/A</v>
        <stp/>
        <stp>BDH|740683450007464570</stp>
        <tr r="C27" s="10"/>
        <tr r="E36" s="13"/>
      </tp>
      <tp t="e">
        <v>#N/A</v>
        <stp/>
        <stp>BDH|462620210070928632</stp>
        <tr r="I116" s="18"/>
      </tp>
      <tp t="e">
        <v>#N/A</v>
        <stp/>
        <stp>BDH|461332985262602881</stp>
        <tr r="H88" s="18"/>
      </tp>
      <tp t="e">
        <v>#N/A</v>
        <stp/>
        <stp>BDH|673909257444416983</stp>
        <tr r="L34" s="14"/>
      </tp>
      <tp t="e">
        <v>#N/A</v>
        <stp/>
        <stp>BDH|848329430391250057</stp>
        <tr r="M85" s="18"/>
      </tp>
      <tp t="e">
        <v>#N/A</v>
        <stp/>
        <stp>BDH|757164715639127887</stp>
        <tr r="M77" s="12"/>
      </tp>
      <tp t="e">
        <v>#N/A</v>
        <stp/>
        <stp>BDH|362901194504327593</stp>
        <tr r="H40" s="18"/>
      </tp>
      <tp t="e">
        <v>#N/A</v>
        <stp/>
        <stp>BDH|314006838124561631</stp>
        <tr r="Y15" s="30"/>
      </tp>
      <tp t="e">
        <v>#N/A</v>
        <stp/>
        <stp>BDH|861815685284141503</stp>
        <tr r="R81" s="24"/>
      </tp>
      <tp t="e">
        <v>#N/A</v>
        <stp/>
        <stp>BDH|866951520532978890</stp>
        <tr r="E12" s="7"/>
      </tp>
      <tp t="e">
        <v>#N/A</v>
        <stp/>
        <stp>BDH|953794815786966128</stp>
        <tr r="AA25" s="27"/>
      </tp>
      <tp t="e">
        <v>#N/A</v>
        <stp/>
        <stp>BDH|487925049815634973</stp>
        <tr r="S64" s="24"/>
      </tp>
      <tp t="e">
        <v>#N/A</v>
        <stp/>
        <stp>BDH|417934585882516281</stp>
        <tr r="J64" s="17"/>
      </tp>
      <tp t="e">
        <v>#N/A</v>
        <stp/>
        <stp>BDH|739299798418893214</stp>
        <tr r="I18" s="22"/>
      </tp>
      <tp t="e">
        <v>#N/A</v>
        <stp/>
        <stp>BDH|152930419308503112</stp>
        <tr r="Z63" s="34"/>
      </tp>
      <tp t="e">
        <v>#N/A</v>
        <stp/>
        <stp>BDH|503868401341865826</stp>
        <tr r="O61" s="21"/>
      </tp>
      <tp t="e">
        <v>#N/A</v>
        <stp/>
        <stp>BDH|246041199361358948</stp>
        <tr r="M83" s="18"/>
      </tp>
      <tp t="e">
        <v>#N/A</v>
        <stp/>
        <stp>BDH|445830514051347988</stp>
        <tr r="P35" s="26"/>
      </tp>
      <tp t="e">
        <v>#N/A</v>
        <stp/>
        <stp>BDH|480795134152005711</stp>
        <tr r="M9" s="29"/>
      </tp>
      <tp t="e">
        <v>#N/A</v>
        <stp/>
        <stp>BDH|611740566722429284</stp>
        <tr r="K10" s="11"/>
      </tp>
      <tp t="e">
        <v>#N/A</v>
        <stp/>
        <stp>BDH|972676141261276255</stp>
        <tr r="W68" s="13"/>
      </tp>
      <tp t="e">
        <v>#N/A</v>
        <stp/>
        <stp>BDH|648444239755198328</stp>
        <tr r="P28" s="4"/>
      </tp>
      <tp t="e">
        <v>#N/A</v>
        <stp/>
        <stp>BDH|432675072010067082</stp>
        <tr r="Z24" s="29"/>
      </tp>
      <tp t="e">
        <v>#N/A</v>
        <stp/>
        <stp>BDH|896209640823815499</stp>
        <tr r="D71" s="13"/>
      </tp>
      <tp t="e">
        <v>#N/A</v>
        <stp/>
        <stp>BDH|950907828678159290</stp>
        <tr r="R34" s="24"/>
      </tp>
      <tp t="e">
        <v>#N/A</v>
        <stp/>
        <stp>BDH|828837461737041837</stp>
        <tr r="Z50" s="17"/>
      </tp>
      <tp t="e">
        <v>#N/A</v>
        <stp/>
        <stp>BDH|831270478220484495</stp>
        <tr r="I57" s="17"/>
      </tp>
      <tp t="e">
        <v>#N/A</v>
        <stp/>
        <stp>BDH|202083114165630523</stp>
        <tr r="G88" s="18"/>
      </tp>
      <tp t="e">
        <v>#N/A</v>
        <stp/>
        <stp>BDH|425282522390257161</stp>
        <tr r="T23" s="14"/>
      </tp>
      <tp t="e">
        <v>#N/A</v>
        <stp/>
        <stp>BDH|548977098692932392</stp>
        <tr r="V13" s="8"/>
      </tp>
      <tp t="e">
        <v>#N/A</v>
        <stp/>
        <stp>BDH|636439632792872441</stp>
        <tr r="G34" s="24"/>
      </tp>
      <tp t="e">
        <v>#N/A</v>
        <stp/>
        <stp>BDH|587372553426823124</stp>
        <tr r="K9" s="23"/>
      </tp>
      <tp t="e">
        <v>#N/A</v>
        <stp/>
        <stp>BDH|695192332025662602</stp>
        <tr r="X48" s="22"/>
      </tp>
      <tp t="e">
        <v>#N/A</v>
        <stp/>
        <stp>BDH|451684641702367150</stp>
        <tr r="P71" s="10"/>
        <tr r="P61" s="11"/>
      </tp>
      <tp t="e">
        <v>#N/A</v>
        <stp/>
        <stp>BDH|512869518358184013</stp>
        <tr r="F78" s="17"/>
      </tp>
      <tp t="e">
        <v>#N/A</v>
        <stp/>
        <stp>BDH|543513245661227186</stp>
        <tr r="J101" s="18"/>
      </tp>
      <tp t="e">
        <v>#N/A</v>
        <stp/>
        <stp>BDH|371662256202691015</stp>
        <tr r="W172" s="18"/>
      </tp>
      <tp t="e">
        <v>#N/A</v>
        <stp/>
        <stp>BDH|990057258010843482</stp>
        <tr r="H21" s="30"/>
      </tp>
      <tp t="e">
        <v>#N/A</v>
        <stp/>
        <stp>BDH|600529470485718670</stp>
        <tr r="O184" s="18"/>
      </tp>
      <tp t="e">
        <v>#N/A</v>
        <stp/>
        <stp>BDH|348457082315407853</stp>
        <tr r="U44" s="21"/>
      </tp>
      <tp t="e">
        <v>#N/A</v>
        <stp/>
        <stp>BDH|951997791327646622</stp>
        <tr r="O51" s="21"/>
      </tp>
      <tp t="e">
        <v>#N/A</v>
        <stp/>
        <stp>BDH|734771077409362817</stp>
        <tr r="H37" s="34"/>
      </tp>
      <tp t="e">
        <v>#N/A</v>
        <stp/>
        <stp>BDH|490202819622992010</stp>
        <tr r="P49" s="24"/>
      </tp>
      <tp t="e">
        <v>#N/A</v>
        <stp/>
        <stp>BDH|219178559905271088</stp>
        <tr r="P21" s="2"/>
      </tp>
      <tp t="e">
        <v>#N/A</v>
        <stp/>
        <stp>BDH|180422147660541175</stp>
        <tr r="N26" s="27"/>
      </tp>
      <tp t="e">
        <v>#N/A</v>
        <stp/>
        <stp>BDH|466037672610011632</stp>
        <tr r="U55" s="17"/>
      </tp>
      <tp t="e">
        <v>#N/A</v>
        <stp/>
        <stp>BDH|178174551493888685</stp>
        <tr r="C17" s="29"/>
        <tr r="C40" s="29"/>
      </tp>
      <tp t="e">
        <v>#N/A</v>
        <stp/>
        <stp>BDH|563224561917773267</stp>
        <tr r="E99" s="18"/>
      </tp>
      <tp t="e">
        <v>#N/A</v>
        <stp/>
        <stp>BDH|380576439667814029</stp>
        <tr r="Q17" s="34"/>
      </tp>
      <tp t="e">
        <v>#N/A</v>
        <stp/>
        <stp>BDH|986371659477026008</stp>
        <tr r="J8" s="10"/>
      </tp>
      <tp t="e">
        <v>#N/A</v>
        <stp/>
        <stp>BDH|419609364504852582</stp>
        <tr r="L50" s="21"/>
      </tp>
      <tp t="e">
        <v>#N/A</v>
        <stp/>
        <stp>BDH|722271672741752559</stp>
        <tr r="C33" s="18"/>
      </tp>
      <tp t="e">
        <v>#N/A</v>
        <stp/>
        <stp>BDH|223238977074441026</stp>
        <tr r="U23" s="5"/>
        <tr r="U23" s="9"/>
      </tp>
      <tp t="e">
        <v>#N/A</v>
        <stp/>
        <stp>BDH|521406167054474760</stp>
        <tr r="U15" s="13"/>
      </tp>
      <tp t="e">
        <v>#N/A</v>
        <stp/>
        <stp>BDH|333751816331404647</stp>
        <tr r="C60" s="21"/>
      </tp>
      <tp t="e">
        <v>#N/A</v>
        <stp/>
        <stp>BDH|357057407479136802</stp>
        <tr r="R60" s="34"/>
      </tp>
      <tp t="e">
        <v>#N/A</v>
        <stp/>
        <stp>BDH|813545714281882409</stp>
        <tr r="O12" s="24"/>
      </tp>
      <tp t="e">
        <v>#N/A</v>
        <stp/>
        <stp>BDH|422830335508747248</stp>
        <tr r="AA144" s="18"/>
      </tp>
      <tp t="e">
        <v>#N/A</v>
        <stp/>
        <stp>BDH|552472769847268487</stp>
        <tr r="C22" s="17"/>
      </tp>
      <tp t="e">
        <v>#N/A</v>
        <stp/>
        <stp>BDH|508316153735792217</stp>
        <tr r="T73" s="18"/>
      </tp>
      <tp t="e">
        <v>#N/A</v>
        <stp/>
        <stp>BDH|601711817492376521</stp>
        <tr r="J10" s="10"/>
      </tp>
      <tp t="e">
        <v>#N/A</v>
        <stp/>
        <stp>BDH|888895216541530938</stp>
        <tr r="V9" s="28"/>
      </tp>
      <tp t="e">
        <v>#N/A</v>
        <stp/>
        <stp>BDH|159489650476801608</stp>
        <tr r="P28" s="10"/>
        <tr r="R37" s="13"/>
      </tp>
      <tp t="e">
        <v>#N/A</v>
        <stp/>
        <stp>BDH|574400740297650620</stp>
        <tr r="AA21" s="22"/>
      </tp>
      <tp t="e">
        <v>#N/A</v>
        <stp/>
        <stp>BDH|662468763406776558</stp>
        <tr r="Q17" s="12"/>
      </tp>
      <tp t="e">
        <v>#N/A</v>
        <stp/>
        <stp>BDH|588665264449294879</stp>
        <tr r="X60" s="18"/>
      </tp>
      <tp t="e">
        <v>#N/A</v>
        <stp/>
        <stp>BDH|561671086738566738</stp>
        <tr r="L26" s="10"/>
        <tr r="N35" s="13"/>
      </tp>
      <tp t="e">
        <v>#N/A</v>
        <stp/>
        <stp>BDH|479972891460054109</stp>
        <tr r="U21" s="3"/>
      </tp>
      <tp t="e">
        <v>#N/A</v>
        <stp/>
        <stp>BDH|250717569016070686</stp>
        <tr r="O25" s="4"/>
        <tr r="O65" s="10"/>
      </tp>
      <tp t="e">
        <v>#N/A</v>
        <stp/>
        <stp>BDH|477741052926186517</stp>
        <tr r="P15" s="30"/>
      </tp>
      <tp t="e">
        <v>#N/A</v>
        <stp/>
        <stp>BDH|193473425315310232</stp>
        <tr r="R47" s="24"/>
      </tp>
      <tp t="e">
        <v>#N/A</v>
        <stp/>
        <stp>BDH|488151747222737621</stp>
        <tr r="W15" s="18"/>
      </tp>
      <tp t="e">
        <v>#N/A</v>
        <stp/>
        <stp>BDH|465198947410007497</stp>
        <tr r="M19" s="12"/>
      </tp>
      <tp t="e">
        <v>#N/A</v>
        <stp/>
        <stp>BDH|204573102762444602</stp>
        <tr r="C81" s="18"/>
      </tp>
      <tp t="e">
        <v>#N/A</v>
        <stp/>
        <stp>BDH|288502756741282055</stp>
        <tr r="S39" s="24"/>
      </tp>
      <tp t="e">
        <v>#N/A</v>
        <stp/>
        <stp>BDH|422251827026272772</stp>
        <tr r="C158" s="18"/>
      </tp>
      <tp t="e">
        <v>#N/A</v>
        <stp/>
        <stp>BDH|187093359240560586</stp>
        <tr r="V48" s="21"/>
      </tp>
      <tp t="e">
        <v>#N/A</v>
        <stp/>
        <stp>BDH|404143407144295595</stp>
        <tr r="D17" s="30"/>
      </tp>
      <tp t="e">
        <v>#N/A</v>
        <stp/>
        <stp>BDH|676973715939047185</stp>
        <tr r="Y23" s="2"/>
        <tr r="AA19" s="21"/>
        <tr r="AA23" s="3"/>
      </tp>
      <tp t="e">
        <v>#N/A</v>
        <stp/>
        <stp>BDH|698665489808481610</stp>
        <tr r="Q21" s="20"/>
      </tp>
      <tp t="e">
        <v>#N/A</v>
        <stp/>
        <stp>BDH|825410562602293050</stp>
        <tr r="O68" s="18"/>
      </tp>
      <tp t="e">
        <v>#N/A</v>
        <stp/>
        <stp>BDH|926376411953583168</stp>
        <tr r="N19" s="30"/>
      </tp>
      <tp t="e">
        <v>#N/A</v>
        <stp/>
        <stp>BDH|853773827463738632</stp>
        <tr r="S11" s="14"/>
      </tp>
      <tp t="e">
        <v>#N/A</v>
        <stp/>
        <stp>BDH|318127041015908050</stp>
        <tr r="Y52" s="17"/>
        <tr r="Y10" s="25"/>
      </tp>
      <tp t="e">
        <v>#N/A</v>
        <stp/>
        <stp>BDH|176303008807210478</stp>
        <tr r="Q31" s="12"/>
      </tp>
      <tp t="e">
        <v>#N/A</v>
        <stp/>
        <stp>BDH|543607930826047387</stp>
        <tr r="C94" s="18"/>
      </tp>
      <tp t="e">
        <v>#N/A</v>
        <stp/>
        <stp>BDH|173899288635839555</stp>
        <tr r="X77" s="18"/>
      </tp>
      <tp t="e">
        <v>#N/A</v>
        <stp/>
        <stp>BDH|954483359554069557</stp>
        <tr r="J61" s="12"/>
      </tp>
      <tp t="e">
        <v>#N/A</v>
        <stp/>
        <stp>BDH|891951701719147008</stp>
        <tr r="E21" s="2"/>
      </tp>
      <tp t="e">
        <v>#N/A</v>
        <stp/>
        <stp>BDH|278533811930883453</stp>
        <tr r="W6" s="28"/>
      </tp>
      <tp t="e">
        <v>#N/A</v>
        <stp/>
        <stp>BDH|520687561659133906</stp>
        <tr r="Y14" s="17"/>
        <tr r="Y17" s="28"/>
      </tp>
      <tp t="e">
        <v>#N/A</v>
        <stp/>
        <stp>BDH|280298635960192112</stp>
        <tr r="K119" s="18"/>
        <tr r="K7" s="20"/>
      </tp>
      <tp t="e">
        <v>#N/A</v>
        <stp/>
        <stp>BDH|936523544524810597</stp>
        <tr r="K204" s="18"/>
      </tp>
      <tp t="e">
        <v>#N/A</v>
        <stp/>
        <stp>BDH|273952166079919667</stp>
        <tr r="N73" s="24"/>
      </tp>
      <tp t="e">
        <v>#N/A</v>
        <stp/>
        <stp>BDH|792584077870336257</stp>
        <tr r="R80" s="34"/>
      </tp>
      <tp t="e">
        <v>#N/A</v>
        <stp/>
        <stp>BDH|516726401415005298</stp>
        <tr r="J24" s="5"/>
      </tp>
      <tp t="e">
        <v>#N/A</v>
        <stp/>
        <stp>BDH|391046554457930250</stp>
        <tr r="P164" s="18"/>
      </tp>
      <tp t="e">
        <v>#N/A</v>
        <stp/>
        <stp>BDH|403217622966045688</stp>
        <tr r="S31" s="18"/>
      </tp>
      <tp t="e">
        <v>#N/A</v>
        <stp/>
        <stp>BDH|778105909141456055</stp>
        <tr r="F28" s="27"/>
      </tp>
      <tp t="e">
        <v>#N/A</v>
        <stp/>
        <stp>BDH|122383273110411415</stp>
        <tr r="D163" s="18"/>
      </tp>
      <tp t="e">
        <v>#N/A</v>
        <stp/>
        <stp>BDH|685214998588298358</stp>
        <tr r="H48" s="6"/>
        <tr r="J9" s="8"/>
      </tp>
      <tp t="e">
        <v>#N/A</v>
        <stp/>
        <stp>BDH|826101113551795143</stp>
        <tr r="Y151" s="18"/>
      </tp>
      <tp t="e">
        <v>#N/A</v>
        <stp/>
        <stp>BDH|326141416564158480</stp>
        <tr r="J59" s="12"/>
      </tp>
      <tp t="e">
        <v>#N/A</v>
        <stp/>
        <stp>BDH|429423359379113860</stp>
        <tr r="W30" s="12"/>
      </tp>
      <tp t="e">
        <v>#N/A</v>
        <stp/>
        <stp>BDH|966745120586740323</stp>
        <tr r="O57" s="24"/>
      </tp>
      <tp t="e">
        <v>#N/A</v>
        <stp/>
        <stp>BDH|171769709690484726</stp>
        <tr r="D103" s="12"/>
      </tp>
      <tp t="e">
        <v>#N/A</v>
        <stp/>
        <stp>BDH|878499446945885564</stp>
        <tr r="X85" s="24"/>
      </tp>
      <tp t="e">
        <v>#N/A</v>
        <stp/>
        <stp>BDH|128001253691986424</stp>
        <tr r="U41" s="17"/>
        <tr r="U9" s="25"/>
      </tp>
      <tp t="e">
        <v>#N/A</v>
        <stp/>
        <stp>BDH|767658543847837509</stp>
        <tr r="P32" s="26"/>
      </tp>
      <tp t="e">
        <v>#N/A</v>
        <stp/>
        <stp>BDH|374082827311005354</stp>
        <tr r="R19" s="9"/>
      </tp>
      <tp t="e">
        <v>#N/A</v>
        <stp/>
        <stp>BDH|892378726758259920</stp>
        <tr r="S22" s="27"/>
      </tp>
      <tp t="e">
        <v>#N/A</v>
        <stp/>
        <stp>BDH|417353877246613292</stp>
        <tr r="D35" s="12"/>
      </tp>
      <tp t="e">
        <v>#N/A</v>
        <stp/>
        <stp>BDH|470030315438954926</stp>
        <tr r="Z90" s="17"/>
        <tr r="Z34" s="25"/>
      </tp>
      <tp t="e">
        <v>#N/A</v>
        <stp/>
        <stp>BDH|611039208657095743</stp>
        <tr r="U32" s="26"/>
      </tp>
      <tp t="e">
        <v>#N/A</v>
        <stp/>
        <stp>BDH|807346927254526573</stp>
        <tr r="W6" s="19"/>
        <tr r="W34" s="17"/>
        <tr r="W16" s="3"/>
      </tp>
      <tp t="e">
        <v>#N/A</v>
        <stp/>
        <stp>BDH|253655665261801108</stp>
        <tr r="M16" s="2"/>
        <tr r="M32" s="4"/>
        <tr r="M62" s="10"/>
        <tr r="O19" s="13"/>
      </tp>
      <tp t="e">
        <v>#N/A</v>
        <stp/>
        <stp>BDH|847276266837111322</stp>
        <tr r="D35" s="26"/>
      </tp>
      <tp t="e">
        <v>#N/A</v>
        <stp/>
        <stp>BDH|619462338246463168</stp>
        <tr r="AA43" s="21"/>
      </tp>
      <tp t="e">
        <v>#N/A</v>
        <stp/>
        <stp>BDH|928862347955174932</stp>
        <tr r="N150" s="18"/>
      </tp>
      <tp t="e">
        <v>#N/A</v>
        <stp/>
        <stp>BDH|964975431922730824</stp>
        <tr r="V20" s="22"/>
      </tp>
      <tp t="e">
        <v>#N/A</v>
        <stp/>
        <stp>BDH|796699362897595728</stp>
        <tr r="N25" s="27"/>
      </tp>
      <tp t="e">
        <v>#N/A</v>
        <stp/>
        <stp>BDH|115146147906136380</stp>
        <tr r="I64" s="17"/>
      </tp>
      <tp t="e">
        <v>#N/A</v>
        <stp/>
        <stp>BDH|711583934270814683</stp>
        <tr r="J8" s="21"/>
      </tp>
      <tp t="e">
        <v>#N/A</v>
        <stp/>
        <stp>BDH|983825281210058019</stp>
        <tr r="D62" s="13"/>
      </tp>
      <tp t="e">
        <v>#N/A</v>
        <stp/>
        <stp>BDH|891358705610315303</stp>
        <tr r="Q54" s="12"/>
      </tp>
      <tp t="e">
        <v>#N/A</v>
        <stp/>
        <stp>BDH|414122236455706739</stp>
        <tr r="V36" s="4"/>
      </tp>
      <tp t="e">
        <v>#N/A</v>
        <stp/>
        <stp>BDH|771299234271878067</stp>
        <tr r="R51" s="18"/>
      </tp>
      <tp t="e">
        <v>#N/A</v>
        <stp/>
        <stp>BDH|406558774584599644</stp>
        <tr r="D78" s="18"/>
      </tp>
      <tp t="e">
        <v>#N/A</v>
        <stp/>
        <stp>BDH|159284038340171144</stp>
        <tr r="N15" s="22"/>
      </tp>
      <tp t="e">
        <v>#N/A</v>
        <stp/>
        <stp>BDH|957848355158830549</stp>
        <tr r="K32" s="14"/>
      </tp>
      <tp t="e">
        <v>#N/A</v>
        <stp/>
        <stp>BDH|411201926436140677</stp>
        <tr r="Z22" s="20"/>
      </tp>
      <tp t="e">
        <v>#N/A</v>
        <stp/>
        <stp>BDH|111641054192780133</stp>
        <tr r="T30" s="24"/>
      </tp>
      <tp t="e">
        <v>#N/A</v>
        <stp/>
        <stp>BDH|617898187156979647</stp>
        <tr r="O19" s="10"/>
      </tp>
      <tp t="e">
        <v>#N/A</v>
        <stp/>
        <stp>BDH|517309538977041785</stp>
        <tr r="P60" s="21"/>
        <tr r="N53" s="11"/>
      </tp>
      <tp t="e">
        <v>#N/A</v>
        <stp/>
        <stp>BDH|539317086063239851</stp>
        <tr r="L70" s="18"/>
      </tp>
      <tp t="e">
        <v>#N/A</v>
        <stp/>
        <stp>BDH|202211745273245513</stp>
        <tr r="V47" s="12"/>
      </tp>
      <tp t="e">
        <v>#N/A</v>
        <stp/>
        <stp>BDH|486072977885509278</stp>
        <tr r="T52" s="4"/>
        <tr r="V8" s="3"/>
        <tr r="T44" s="10"/>
        <tr r="T34" s="11"/>
        <tr r="V45" s="13"/>
      </tp>
      <tp t="e">
        <v>#N/A</v>
        <stp/>
        <stp>BDH|548834795733196245</stp>
        <tr r="K60" s="34"/>
      </tp>
      <tp t="e">
        <v>#N/A</v>
        <stp/>
        <stp>BDH|139201084922422871</stp>
        <tr r="I35" s="22"/>
      </tp>
      <tp t="e">
        <v>#N/A</v>
        <stp/>
        <stp>BDH|571311567872122745</stp>
        <tr r="L8" s="18"/>
      </tp>
      <tp t="e">
        <v>#N/A</v>
        <stp/>
        <stp>BDH|870907194716985633</stp>
        <tr r="C15" s="26"/>
      </tp>
      <tp t="e">
        <v>#N/A</v>
        <stp/>
        <stp>BDH|134951880855298401</stp>
        <tr r="G17" s="30"/>
      </tp>
      <tp t="e">
        <v>#N/A</v>
        <stp/>
        <stp>BDH|542231101790032213</stp>
        <tr r="Q85" s="12"/>
      </tp>
      <tp t="e">
        <v>#N/A</v>
        <stp/>
        <stp>BDH|490641390556295947</stp>
        <tr r="S43" s="22"/>
      </tp>
      <tp t="e">
        <v>#N/A</v>
        <stp/>
        <stp>BDH|250111964493565441</stp>
        <tr r="S64" s="21"/>
      </tp>
      <tp t="e">
        <v>#N/A</v>
        <stp/>
        <stp>BDH|579323991093994984</stp>
        <tr r="Q40" s="6"/>
      </tp>
      <tp t="e">
        <v>#N/A</v>
        <stp/>
        <stp>BDH|552208835066303741</stp>
        <tr r="Q198" s="18"/>
      </tp>
      <tp t="e">
        <v>#N/A</v>
        <stp/>
        <stp>BDH|595565135093024513</stp>
        <tr r="W25" s="24"/>
      </tp>
      <tp t="e">
        <v>#N/A</v>
        <stp/>
        <stp>BDH|439502268312888139</stp>
        <tr r="F82" s="18"/>
      </tp>
      <tp t="e">
        <v>#N/A</v>
        <stp/>
        <stp>BDH|238672827536398268</stp>
        <tr r="U78" s="17"/>
      </tp>
      <tp t="e">
        <v>#N/A</v>
        <stp/>
        <stp>BDH|718255265334580024</stp>
        <tr r="C34" s="6"/>
      </tp>
      <tp t="e">
        <v>#N/A</v>
        <stp/>
        <stp>BDH|770762775433397377</stp>
        <tr r="X22" s="18"/>
      </tp>
      <tp t="e">
        <v>#N/A</v>
        <stp/>
        <stp>BDH|413364867695602031</stp>
        <tr r="U68" s="17"/>
        <tr r="R8" s="5"/>
        <tr r="R8" s="9"/>
      </tp>
      <tp t="e">
        <v>#N/A</v>
        <stp/>
        <stp>BDH|720811689127942764</stp>
        <tr r="D19" s="12"/>
      </tp>
      <tp t="e">
        <v>#N/A</v>
        <stp/>
        <stp>BDH|292990990141222180</stp>
        <tr r="O43" s="22"/>
      </tp>
      <tp t="e">
        <v>#N/A</v>
        <stp/>
        <stp>BDH|959235831715382494</stp>
        <tr r="Q29" s="29"/>
        <tr r="Q7" s="29"/>
      </tp>
      <tp t="e">
        <v>#N/A</v>
        <stp/>
        <stp>BDH|405051949223980702</stp>
        <tr r="H77" s="24"/>
      </tp>
      <tp t="e">
        <v>#N/A</v>
        <stp/>
        <stp>BDH|253320321800331131</stp>
        <tr r="X51" s="24"/>
      </tp>
      <tp t="e">
        <v>#N/A</v>
        <stp/>
        <stp>BDH|554987559109580507</stp>
        <tr r="R134" s="18"/>
      </tp>
      <tp t="e">
        <v>#N/A</v>
        <stp/>
        <stp>BDH|599522602707018249</stp>
        <tr r="F34" s="29"/>
      </tp>
      <tp t="e">
        <v>#N/A</v>
        <stp/>
        <stp>BDH|537136516516358621</stp>
        <tr r="K71" s="12"/>
      </tp>
      <tp t="e">
        <v>#N/A</v>
        <stp/>
        <stp>BDH|747890687284042486</stp>
        <tr r="P64" s="17"/>
      </tp>
      <tp t="e">
        <v>#N/A</v>
        <stp/>
        <stp>BDH|730715795707098910</stp>
        <tr r="C55" s="24"/>
      </tp>
      <tp t="e">
        <v>#N/A</v>
        <stp/>
        <stp>BDH|795914875509919785</stp>
        <tr r="E16" s="34"/>
      </tp>
      <tp t="e">
        <v>#N/A</v>
        <stp/>
        <stp>BDH|470432545974971499</stp>
        <tr r="T109" s="18"/>
      </tp>
      <tp t="e">
        <v>#N/A</v>
        <stp/>
        <stp>BDH|364361436586052615</stp>
        <tr r="U13" s="2"/>
      </tp>
      <tp t="e">
        <v>#N/A</v>
        <stp/>
        <stp>BDH|702543311677659360</stp>
        <tr r="K45" s="34"/>
      </tp>
      <tp t="e">
        <v>#N/A</v>
        <stp/>
        <stp>BDH|371065721480758216</stp>
        <tr r="R138" s="18"/>
      </tp>
      <tp t="e">
        <v>#N/A</v>
        <stp/>
        <stp>BDH|220488562571260392</stp>
        <tr r="X37" s="26"/>
      </tp>
      <tp t="e">
        <v>#N/A</v>
        <stp/>
        <stp>BDH|520953996937268775</stp>
        <tr r="L94" s="18"/>
      </tp>
      <tp t="e">
        <v>#N/A</v>
        <stp/>
        <stp>BDH|294125701553283209</stp>
        <tr r="Z44" s="21"/>
      </tp>
      <tp t="e">
        <v>#N/A</v>
        <stp/>
        <stp>BDH|657074272924233326</stp>
        <tr r="C40" s="12"/>
      </tp>
      <tp t="e">
        <v>#N/A</v>
        <stp/>
        <stp>BDH|526704916680355637</stp>
        <tr r="T24" s="24"/>
      </tp>
      <tp t="e">
        <v>#N/A</v>
        <stp/>
        <stp>BDH|633765747564330772</stp>
        <tr r="V49" s="17"/>
      </tp>
      <tp t="e">
        <v>#N/A</v>
        <stp/>
        <stp>BDH|535200303854594602</stp>
        <tr r="C173" s="18"/>
      </tp>
      <tp t="e">
        <v>#N/A</v>
        <stp/>
        <stp>BDH|824425451030168191</stp>
        <tr r="AA18" s="21"/>
      </tp>
      <tp t="e">
        <v>#N/A</v>
        <stp/>
        <stp>BDH|924035028187712566</stp>
        <tr r="F32" s="24"/>
      </tp>
      <tp t="e">
        <v>#N/A</v>
        <stp/>
        <stp>BDH|295400527865655302</stp>
        <tr r="S197" s="18"/>
      </tp>
      <tp t="e">
        <v>#N/A</v>
        <stp/>
        <stp>BDH|176342677177413351</stp>
        <tr r="Q23" s="22"/>
      </tp>
      <tp t="e">
        <v>#N/A</v>
        <stp/>
        <stp>BDH|747419709827531066</stp>
        <tr r="T22" s="20"/>
      </tp>
      <tp t="e">
        <v>#N/A</v>
        <stp/>
        <stp>BDH|166669155649771980</stp>
        <tr r="I24" s="29"/>
      </tp>
      <tp t="e">
        <v>#N/A</v>
        <stp/>
        <stp>BDH|267795903971044550</stp>
        <tr r="T72" s="24"/>
      </tp>
      <tp t="e">
        <v>#N/A</v>
        <stp/>
        <stp>BDH|612309210933223291</stp>
        <tr r="N35" s="4"/>
      </tp>
      <tp t="e">
        <v>#N/A</v>
        <stp/>
        <stp>BDH|169810732750706885</stp>
        <tr r="U151" s="18"/>
      </tp>
      <tp t="e">
        <v>#N/A</v>
        <stp/>
        <stp>BDH|152797705001526561</stp>
        <tr r="I10" s="17"/>
      </tp>
      <tp t="e">
        <v>#N/A</v>
        <stp/>
        <stp>BDH|914091384399211284</stp>
        <tr r="K44" s="24"/>
      </tp>
      <tp t="e">
        <v>#N/A</v>
        <stp/>
        <stp>BDH|885379786668135063</stp>
        <tr r="H110" s="18"/>
      </tp>
      <tp t="e">
        <v>#N/A</v>
        <stp/>
        <stp>BDH|869124547874424260</stp>
        <tr r="L10" s="10"/>
      </tp>
      <tp t="e">
        <v>#N/A</v>
        <stp/>
        <stp>BDH|483085863535625064</stp>
        <tr r="G24" s="21"/>
      </tp>
      <tp t="e">
        <v>#N/A</v>
        <stp/>
        <stp>BDH|982500540477615500</stp>
        <tr r="P68" s="34"/>
      </tp>
      <tp t="e">
        <v>#N/A</v>
        <stp/>
        <stp>BDH|717490050601540340</stp>
        <tr r="H83" s="24"/>
      </tp>
      <tp t="e">
        <v>#N/A</v>
        <stp/>
        <stp>BDH|802802930750513824</stp>
        <tr r="L66" s="18"/>
      </tp>
      <tp t="e">
        <v>#N/A</v>
        <stp/>
        <stp>BDH|522084025240925198</stp>
        <tr r="R48" s="21"/>
      </tp>
      <tp t="e">
        <v>#N/A</v>
        <stp/>
        <stp>BDH|857203508948058985</stp>
        <tr r="V12" s="14"/>
      </tp>
      <tp t="e">
        <v>#N/A</v>
        <stp/>
        <stp>BDH|617733817264285185</stp>
        <tr r="Q18" s="9"/>
      </tp>
      <tp t="e">
        <v>#N/A</v>
        <stp/>
        <stp>BDH|912060266050667575</stp>
        <tr r="P52" s="6"/>
      </tp>
      <tp t="e">
        <v>#N/A</v>
        <stp/>
        <stp>BDH|260389873555200238</stp>
        <tr r="F22" s="20"/>
      </tp>
      <tp t="e">
        <v>#N/A</v>
        <stp/>
        <stp>BDH|983101060566543248</stp>
        <tr r="V27" s="12"/>
      </tp>
      <tp t="e">
        <v>#N/A</v>
        <stp/>
        <stp>BDH|939419851151227323</stp>
        <tr r="Y37" s="17"/>
      </tp>
      <tp t="e">
        <v>#N/A</v>
        <stp/>
        <stp>BDH|875118467960490432</stp>
        <tr r="T11" s="22"/>
      </tp>
      <tp t="e">
        <v>#N/A</v>
        <stp/>
        <stp>BDH|310282233640559245</stp>
        <tr r="F18" s="5"/>
        <tr r="F37" s="6"/>
      </tp>
      <tp t="e">
        <v>#N/A</v>
        <stp/>
        <stp>BDH|612385723263320148</stp>
        <tr r="D57" s="24"/>
      </tp>
      <tp t="e">
        <v>#N/A</v>
        <stp/>
        <stp>BDH|684308324411076382</stp>
        <tr r="AA23" s="26"/>
      </tp>
      <tp t="e">
        <v>#N/A</v>
        <stp/>
        <stp>BDH|153483210491652749</stp>
        <tr r="Y12" s="24"/>
      </tp>
      <tp t="e">
        <v>#N/A</v>
        <stp/>
        <stp>BDH|679491666647130631</stp>
        <tr r="Y41" s="17"/>
        <tr r="Y9" s="25"/>
      </tp>
      <tp t="e">
        <v>#N/A</v>
        <stp/>
        <stp>BDH|520389446360716479</stp>
        <tr r="Y63" s="21"/>
      </tp>
      <tp t="e">
        <v>#N/A</v>
        <stp/>
        <stp>BDH|916816714693298959</stp>
        <tr r="H32" s="17"/>
      </tp>
      <tp t="e">
        <v>#N/A</v>
        <stp/>
        <stp>BDH|452531944863079175</stp>
        <tr r="G63" s="18"/>
      </tp>
      <tp t="e">
        <v>#N/A</v>
        <stp/>
        <stp>BDH|902903466379873538</stp>
        <tr r="P77" s="17"/>
        <tr r="P19" s="3"/>
      </tp>
      <tp t="e">
        <v>#N/A</v>
        <stp/>
        <stp>BDH|171138531664619517</stp>
        <tr r="Z139" s="18"/>
      </tp>
      <tp t="e">
        <v>#N/A</v>
        <stp/>
        <stp>BDH|477261979914934260</stp>
        <tr r="AA36" s="18"/>
      </tp>
      <tp t="e">
        <v>#N/A</v>
        <stp/>
        <stp>BDH|165059857335287354</stp>
        <tr r="L23" s="12"/>
      </tp>
      <tp t="e">
        <v>#N/A</v>
        <stp/>
        <stp>BDH|503272953900049459</stp>
        <tr r="Q11" s="17"/>
      </tp>
      <tp t="e">
        <v>#N/A</v>
        <stp/>
        <stp>BDH|242915385514525670</stp>
        <tr r="X65" s="12"/>
      </tp>
      <tp t="e">
        <v>#N/A</v>
        <stp/>
        <stp>BDH|553371724724328615</stp>
        <tr r="M24" s="14"/>
      </tp>
      <tp t="e">
        <v>#N/A</v>
        <stp/>
        <stp>BDH|927140936753695285</stp>
        <tr r="J23" s="22"/>
      </tp>
      <tp t="e">
        <v>#N/A</v>
        <stp/>
        <stp>BDH|590105463512472670</stp>
        <tr r="V19" s="11"/>
      </tp>
      <tp t="e">
        <v>#N/A</v>
        <stp/>
        <stp>BDH|533044451306737028</stp>
        <tr r="T22" s="21"/>
      </tp>
      <tp t="e">
        <v>#N/A</v>
        <stp/>
        <stp>BDH|393118103174451608</stp>
        <tr r="U7" s="34"/>
      </tp>
      <tp t="e">
        <v>#N/A</v>
        <stp/>
        <stp>BDH|242222446983365604</stp>
        <tr r="L38" s="18"/>
      </tp>
      <tp t="e">
        <v>#N/A</v>
        <stp/>
        <stp>BDH|597248615693851390</stp>
        <tr r="O7" s="34"/>
      </tp>
      <tp t="e">
        <v>#N/A</v>
        <stp/>
        <stp>BDH|638263041715258061</stp>
        <tr r="D95" s="12"/>
      </tp>
      <tp t="e">
        <v>#N/A</v>
        <stp/>
        <stp>BDH|216177756106742112</stp>
        <tr r="T197" s="18"/>
      </tp>
      <tp t="e">
        <v>#N/A</v>
        <stp/>
        <stp>BDH|882460634416901268</stp>
        <tr r="D16" s="22"/>
      </tp>
      <tp t="e">
        <v>#N/A</v>
        <stp/>
        <stp>BDH|776160955957591042</stp>
        <tr r="U13" s="29"/>
        <tr r="U22" s="29"/>
        <tr r="U36" s="29"/>
      </tp>
      <tp t="e">
        <v>#N/A</v>
        <stp/>
        <stp>BDH|600771297458288527</stp>
        <tr r="T9" s="10"/>
      </tp>
      <tp t="e">
        <v>#N/A</v>
        <stp/>
        <stp>BDH|142799148971447129</stp>
        <tr r="Q191" s="18"/>
      </tp>
      <tp t="e">
        <v>#N/A</v>
        <stp/>
        <stp>BDH|119107602185100748</stp>
        <tr r="W9" s="2"/>
        <tr r="Y8" s="25"/>
        <tr r="V10" s="5"/>
      </tp>
      <tp t="e">
        <v>#N/A</v>
        <stp/>
        <stp>BDH|398767141899308914</stp>
        <tr r="C73" s="10"/>
        <tr r="C63" s="11"/>
      </tp>
      <tp t="e">
        <v>#N/A</v>
        <stp/>
        <stp>BDH|235387679924676339</stp>
        <tr r="O29" s="14"/>
      </tp>
      <tp t="e">
        <v>#N/A</v>
        <stp/>
        <stp>BDH|348417546310759355</stp>
        <tr r="P8" s="2"/>
      </tp>
      <tp t="e">
        <v>#N/A</v>
        <stp/>
        <stp>BDH|379452264574509517</stp>
        <tr r="V12" s="17"/>
      </tp>
      <tp t="e">
        <v>#N/A</v>
        <stp/>
        <stp>BDH|129043250736751044</stp>
        <tr r="S13" s="8"/>
      </tp>
      <tp t="e">
        <v>#N/A</v>
        <stp/>
        <stp>BDH|786256222683055075</stp>
        <tr r="P67" s="18"/>
      </tp>
      <tp t="e">
        <v>#N/A</v>
        <stp/>
        <stp>BDH|383353447530409422</stp>
        <tr r="X69" s="24"/>
      </tp>
      <tp t="e">
        <v>#N/A</v>
        <stp/>
        <stp>BDH|357870120119384001</stp>
        <tr r="J185" s="18"/>
      </tp>
      <tp t="e">
        <v>#N/A</v>
        <stp/>
        <stp>BDH|751500066212458220</stp>
        <tr r="C47" s="17"/>
      </tp>
      <tp t="e">
        <v>#N/A</v>
        <stp/>
        <stp>BDH|306782160100442287</stp>
        <tr r="G26" s="29"/>
      </tp>
      <tp t="e">
        <v>#N/A</v>
        <stp/>
        <stp>BDH|315324910589355852</stp>
        <tr r="Z37" s="17"/>
      </tp>
      <tp t="e">
        <v>#N/A</v>
        <stp/>
        <stp>BDH|466423296918514628</stp>
        <tr r="T62" s="18"/>
      </tp>
      <tp t="e">
        <v>#N/A</v>
        <stp/>
        <stp>BDH|677660353354759448</stp>
        <tr r="Y169" s="18"/>
      </tp>
      <tp t="e">
        <v>#N/A</v>
        <stp/>
        <stp>BDH|640878674845034958</stp>
        <tr r="C8" s="6"/>
      </tp>
      <tp t="e">
        <v>#N/A</v>
        <stp/>
        <stp>BDH|157375387159650172</stp>
        <tr r="AA28" s="18"/>
      </tp>
      <tp t="e">
        <v>#N/A</v>
        <stp/>
        <stp>BDH|715737376605577671</stp>
        <tr r="U38" s="25"/>
      </tp>
      <tp t="e">
        <v>#N/A</v>
        <stp/>
        <stp>BDH|870227545971877465</stp>
        <tr r="L23" s="26"/>
      </tp>
      <tp t="e">
        <v>#N/A</v>
        <stp/>
        <stp>BDH|807285423960767357</stp>
        <tr r="C70" s="12"/>
      </tp>
      <tp t="e">
        <v>#N/A</v>
        <stp/>
        <stp>BDH|718114626054216436</stp>
        <tr r="H43" s="24"/>
      </tp>
      <tp t="e">
        <v>#N/A</v>
        <stp/>
        <stp>BDH|701620231077048157</stp>
        <tr r="AA90" s="24"/>
      </tp>
      <tp t="e">
        <v>#N/A</v>
        <stp/>
        <stp>BDH|312986009163464970</stp>
        <tr r="G196" s="18"/>
      </tp>
      <tp t="e">
        <v>#N/A</v>
        <stp/>
        <stp>BDH|361673554686168605</stp>
        <tr r="O55" s="21"/>
      </tp>
      <tp t="e">
        <v>#N/A</v>
        <stp/>
        <stp>BDH|515086931394526480</stp>
        <tr r="M46" s="21"/>
      </tp>
      <tp t="e">
        <v>#N/A</v>
        <stp/>
        <stp>BDH|283278623440330340</stp>
        <tr r="Y35" s="18"/>
      </tp>
      <tp t="e">
        <v>#N/A</v>
        <stp/>
        <stp>BDH|791056767185733039</stp>
        <tr r="P39" s="4"/>
        <tr r="P66" s="10"/>
      </tp>
      <tp t="e">
        <v>#N/A</v>
        <stp/>
        <stp>BDH|912296775606125069</stp>
        <tr r="P14" s="4"/>
      </tp>
      <tp t="e">
        <v>#N/A</v>
        <stp/>
        <stp>BDH|724722002912015651</stp>
        <tr r="I53" s="6"/>
      </tp>
      <tp t="e">
        <v>#N/A</v>
        <stp/>
        <stp>BDH|165441415086746055</stp>
        <tr r="Q19" s="24"/>
      </tp>
      <tp t="e">
        <v>#N/A</v>
        <stp/>
        <stp>BDH|431371052013653652</stp>
        <tr r="F30" s="18"/>
      </tp>
      <tp t="e">
        <v>#N/A</v>
        <stp/>
        <stp>BDH|861070257587959133</stp>
        <tr r="K11" s="28"/>
      </tp>
      <tp t="e">
        <v>#N/A</v>
        <stp/>
        <stp>BDH|525596726526188283</stp>
        <tr r="X107" s="18"/>
      </tp>
      <tp t="e">
        <v>#N/A</v>
        <stp/>
        <stp>BDH|527035534826043613</stp>
        <tr r="C11" s="22"/>
      </tp>
      <tp t="e">
        <v>#N/A</v>
        <stp/>
        <stp>BDH|330628256574424403</stp>
        <tr r="Y24" s="21"/>
      </tp>
      <tp t="e">
        <v>#N/A</v>
        <stp/>
        <stp>BDH|563238609140423181</stp>
        <tr r="X21" s="20"/>
      </tp>
      <tp t="e">
        <v>#N/A</v>
        <stp/>
        <stp>BDH|127338013852103330</stp>
        <tr r="F75" s="12"/>
      </tp>
      <tp t="e">
        <v>#N/A</v>
        <stp/>
        <stp>BDH|207269662915178245</stp>
        <tr r="E192" s="18"/>
      </tp>
      <tp t="e">
        <v>#N/A</v>
        <stp/>
        <stp>BDH|764539346875147702</stp>
        <tr r="K19" s="26"/>
      </tp>
      <tp t="e">
        <v>#N/A</v>
        <stp/>
        <stp>BDH|390217057661798510</stp>
        <tr r="G93" s="24"/>
      </tp>
      <tp t="e">
        <v>#N/A</v>
        <stp/>
        <stp>BDH|392036033943538352</stp>
        <tr r="G91" s="24"/>
      </tp>
      <tp t="e">
        <v>#N/A</v>
        <stp/>
        <stp>BDH|288483624020576476</stp>
        <tr r="W53" s="17"/>
      </tp>
      <tp t="e">
        <v>#N/A</v>
        <stp/>
        <stp>BDH|965884689481091347</stp>
        <tr r="E17" s="10"/>
        <tr r="G16" s="13"/>
        <tr r="G30" s="13"/>
      </tp>
      <tp t="e">
        <v>#N/A</v>
        <stp/>
        <stp>BDH|912770053996437656</stp>
        <tr r="H53" s="13"/>
      </tp>
      <tp t="e">
        <v>#N/A</v>
        <stp/>
        <stp>BDH|840154636181033173</stp>
        <tr r="V102" s="12"/>
      </tp>
      <tp t="e">
        <v>#N/A</v>
        <stp/>
        <stp>BDH|794834155189437681</stp>
        <tr r="Q146" s="18"/>
      </tp>
      <tp t="e">
        <v>#N/A</v>
        <stp/>
        <stp>BDH|923924383490563308</stp>
        <tr r="U17" s="23"/>
      </tp>
      <tp t="e">
        <v>#N/A</v>
        <stp/>
        <stp>BDH|914766140589473868</stp>
        <tr r="L30" s="24"/>
      </tp>
      <tp t="e">
        <v>#N/A</v>
        <stp/>
        <stp>BDH|690592036804133056</stp>
        <tr r="T94" s="17"/>
      </tp>
      <tp t="e">
        <v>#N/A</v>
        <stp/>
        <stp>BDH|120055347065794399</stp>
        <tr r="O148" s="18"/>
      </tp>
      <tp t="e">
        <v>#N/A</v>
        <stp/>
        <stp>BDH|584088170975433073</stp>
        <tr r="G43" s="21"/>
      </tp>
      <tp t="e">
        <v>#N/A</v>
        <stp/>
        <stp>BDH|754166963983553691</stp>
        <tr r="V54" s="17"/>
      </tp>
      <tp t="e">
        <v>#N/A</v>
        <stp/>
        <stp>BDH|765879551298795789</stp>
        <tr r="P74" s="24"/>
      </tp>
      <tp t="e">
        <v>#N/A</v>
        <stp/>
        <stp>BDH|138086578045802068</stp>
        <tr r="P112" s="18"/>
      </tp>
      <tp t="e">
        <v>#N/A</v>
        <stp/>
        <stp>BDH|274482733397214247</stp>
        <tr r="U46" s="12"/>
      </tp>
      <tp t="e">
        <v>#N/A</v>
        <stp/>
        <stp>BDH|433653758397203645</stp>
        <tr r="J37" s="12"/>
      </tp>
      <tp t="e">
        <v>#N/A</v>
        <stp/>
        <stp>BDH|946713205265452064</stp>
        <tr r="K134" s="18"/>
      </tp>
      <tp t="e">
        <v>#N/A</v>
        <stp/>
        <stp>BDH|701964916788963211</stp>
        <tr r="T18" s="2"/>
        <tr r="T53" s="4"/>
        <tr r="T46" s="10"/>
        <tr r="T36" s="11"/>
        <tr r="V58" s="13"/>
      </tp>
      <tp t="e">
        <v>#N/A</v>
        <stp/>
        <stp>BDH|139985587215033613</stp>
        <tr r="J153" s="18"/>
      </tp>
      <tp t="e">
        <v>#N/A</v>
        <stp/>
        <stp>BDH|251291778177373089</stp>
        <tr r="C20" s="2"/>
        <tr r="C18" s="4"/>
        <tr r="C58" s="10"/>
        <tr r="C48" s="11"/>
        <tr r="C19" s="7"/>
        <tr r="E74" s="13"/>
      </tp>
      <tp t="e">
        <v>#N/A</v>
        <stp/>
        <stp>BDH|283483027016409217</stp>
        <tr r="X52" s="17"/>
        <tr r="X10" s="25"/>
      </tp>
      <tp t="e">
        <v>#N/A</v>
        <stp/>
        <stp>BDH|725947634548774084</stp>
        <tr r="X24" s="14"/>
      </tp>
      <tp t="e">
        <v>#N/A</v>
        <stp/>
        <stp>BDH|703095136101802080</stp>
        <tr r="O29" s="6"/>
      </tp>
      <tp t="e">
        <v>#N/A</v>
        <stp/>
        <stp>BDH|984530432264543042</stp>
        <tr r="Q9" s="30"/>
      </tp>
      <tp t="e">
        <v>#N/A</v>
        <stp/>
        <stp>BDH|606300568217735002</stp>
        <tr r="S10" s="18"/>
      </tp>
      <tp t="e">
        <v>#N/A</v>
        <stp/>
        <stp>BDH|542753615590820440</stp>
        <tr r="T27" s="25"/>
        <tr r="T13" s="27"/>
      </tp>
      <tp t="e">
        <v>#N/A</v>
        <stp/>
        <stp>BDH|284181360490756549</stp>
        <tr r="R31" s="24"/>
      </tp>
      <tp t="e">
        <v>#N/A</v>
        <stp/>
        <stp>BDH|278924310609010392</stp>
        <tr r="L81" s="24"/>
      </tp>
      <tp t="e">
        <v>#N/A</v>
        <stp/>
        <stp>BDH|478736379694592629</stp>
        <tr r="AA10" s="22"/>
      </tp>
      <tp t="e">
        <v>#N/A</v>
        <stp/>
        <stp>BDH|524360611098215897</stp>
        <tr r="C28" s="26"/>
      </tp>
      <tp t="e">
        <v>#N/A</v>
        <stp/>
        <stp>BDH|657000849484639207</stp>
        <tr r="L22" s="11"/>
      </tp>
      <tp t="e">
        <v>#N/A</v>
        <stp/>
        <stp>BDH|478268578143166416</stp>
        <tr r="R14" s="6"/>
      </tp>
      <tp t="e">
        <v>#N/A</v>
        <stp/>
        <stp>BDH|252337249171551476</stp>
        <tr r="J111" s="18"/>
      </tp>
      <tp t="e">
        <v>#N/A</v>
        <stp/>
        <stp>BDH|941775650495249560</stp>
        <tr r="O143" s="18"/>
      </tp>
      <tp t="e">
        <v>#N/A</v>
        <stp/>
        <stp>BDH|218907068608139516</stp>
        <tr r="U10" s="12"/>
      </tp>
      <tp t="e">
        <v>#N/A</v>
        <stp/>
        <stp>BDH|269382951364834091</stp>
        <tr r="L26" s="34"/>
      </tp>
      <tp t="e">
        <v>#N/A</v>
        <stp/>
        <stp>BDH|956480081499834733</stp>
        <tr r="F132" s="18"/>
      </tp>
      <tp t="e">
        <v>#N/A</v>
        <stp/>
        <stp>BDH|339769612311526561</stp>
        <tr r="R7" s="14"/>
      </tp>
      <tp t="e">
        <v>#N/A</v>
        <stp/>
        <stp>BDH|282120325178527944</stp>
        <tr r="G13" s="21"/>
      </tp>
      <tp t="e">
        <v>#N/A</v>
        <stp/>
        <stp>BDH|932990497163543169</stp>
        <tr r="J48" s="18"/>
      </tp>
      <tp t="e">
        <v>#N/A</v>
        <stp/>
        <stp>BDH|980697900320761436</stp>
        <tr r="V176" s="18"/>
      </tp>
      <tp t="e">
        <v>#N/A</v>
        <stp/>
        <stp>BDH|476974681801539239</stp>
        <tr r="X26" s="21"/>
      </tp>
      <tp t="e">
        <v>#N/A</v>
        <stp/>
        <stp>BDH|258612536350960787</stp>
        <tr r="H19" s="34"/>
      </tp>
      <tp t="e">
        <v>#N/A</v>
        <stp/>
        <stp>BDH|514527216377179147</stp>
        <tr r="Y24" s="22"/>
      </tp>
      <tp t="e">
        <v>#N/A</v>
        <stp/>
        <stp>BDH|128175870100597461</stp>
        <tr r="U200" s="18"/>
      </tp>
      <tp t="e">
        <v>#N/A</v>
        <stp/>
        <stp>BDH|342470830804114102</stp>
        <tr r="Q52" s="13"/>
      </tp>
      <tp t="e">
        <v>#N/A</v>
        <stp/>
        <stp>BDH|279823882984297658</stp>
        <tr r="E43" s="22"/>
      </tp>
      <tp t="e">
        <v>#N/A</v>
        <stp/>
        <stp>BDH|292852317389062253</stp>
        <tr r="S17" s="12"/>
      </tp>
      <tp t="e">
        <v>#N/A</v>
        <stp/>
        <stp>BDH|325581573784444496</stp>
        <tr r="R14" s="17"/>
        <tr r="R17" s="28"/>
      </tp>
      <tp t="e">
        <v>#N/A</v>
        <stp/>
        <stp>BDH|714071451206371171</stp>
        <tr r="AA39" s="18"/>
      </tp>
      <tp t="e">
        <v>#N/A</v>
        <stp/>
        <stp>BDH|609175360775023044</stp>
        <tr r="P43" s="21"/>
      </tp>
      <tp t="e">
        <v>#N/A</v>
        <stp/>
        <stp>BDH|206014620093695335</stp>
        <tr r="F10" s="10"/>
      </tp>
      <tp t="e">
        <v>#N/A</v>
        <stp/>
        <stp>BDH|227029062202209666</stp>
        <tr r="Z28" s="34"/>
      </tp>
      <tp t="e">
        <v>#N/A</v>
        <stp/>
        <stp>BDH|256132105361765254</stp>
        <tr r="K15" s="13"/>
      </tp>
      <tp t="e">
        <v>#N/A</v>
        <stp/>
        <stp>BDH|421852174575012830</stp>
        <tr r="L32" s="14"/>
      </tp>
      <tp t="e">
        <v>#N/A</v>
        <stp/>
        <stp>BDH|604165635547348700</stp>
        <tr r="S170" s="18"/>
      </tp>
      <tp t="e">
        <v>#N/A</v>
        <stp/>
        <stp>BDH|251068022751522142</stp>
        <tr r="Z52" s="12"/>
      </tp>
      <tp t="e">
        <v>#N/A</v>
        <stp/>
        <stp>BDH|969802854928840721</stp>
        <tr r="Q72" s="24"/>
      </tp>
      <tp t="e">
        <v>#N/A</v>
        <stp/>
        <stp>BDH|671448803367100175</stp>
        <tr r="N63" s="12"/>
      </tp>
      <tp t="e">
        <v>#N/A</v>
        <stp/>
        <stp>BDH|130609031484132362</stp>
        <tr r="M33" s="5"/>
      </tp>
      <tp t="e">
        <v>#N/A</v>
        <stp/>
        <stp>BDH|693340067310053722</stp>
        <tr r="C25" s="9"/>
      </tp>
      <tp t="e">
        <v>#N/A</v>
        <stp/>
        <stp>BDH|104601275071343208</stp>
        <tr r="N14" s="17"/>
        <tr r="N17" s="28"/>
      </tp>
      <tp t="e">
        <v>#N/A</v>
        <stp/>
        <stp>BDH|451840232739078057</stp>
        <tr r="M37" s="21"/>
      </tp>
      <tp t="e">
        <v>#N/A</v>
        <stp/>
        <stp>BDH|618157875920192400</stp>
        <tr r="N100" s="18"/>
      </tp>
      <tp t="e">
        <v>#N/A</v>
        <stp/>
        <stp>BDH|510957286642775160</stp>
        <tr r="T79" s="18"/>
      </tp>
      <tp t="e">
        <v>#N/A</v>
        <stp/>
        <stp>BDH|986563561494016599</stp>
        <tr r="V156" s="18"/>
      </tp>
      <tp t="e">
        <v>#N/A</v>
        <stp/>
        <stp>BDH|480392435757813578</stp>
        <tr r="W19" s="5"/>
        <tr r="W42" s="6"/>
      </tp>
      <tp t="e">
        <v>#N/A</v>
        <stp/>
        <stp>BDH|201248007472797210</stp>
        <tr r="U82" s="12"/>
      </tp>
      <tp t="e">
        <v>#N/A</v>
        <stp/>
        <stp>BDH|703345846581004425</stp>
        <tr r="M18" s="21"/>
      </tp>
      <tp t="e">
        <v>#N/A</v>
        <stp/>
        <stp>BDH|587757043420170123</stp>
        <tr r="G17" s="34"/>
      </tp>
      <tp t="e">
        <v>#N/A</v>
        <stp/>
        <stp>BDH|347725821555108212</stp>
        <tr r="V175" s="18"/>
      </tp>
      <tp t="e">
        <v>#N/A</v>
        <stp/>
        <stp>BDH|231007831910187122</stp>
        <tr r="P25" s="25"/>
        <tr r="P10" s="27"/>
      </tp>
      <tp t="e">
        <v>#N/A</v>
        <stp/>
        <stp>BDH|152703060393576046</stp>
        <tr r="S117" s="18"/>
      </tp>
      <tp t="e">
        <v>#N/A</v>
        <stp/>
        <stp>BDH|605699543380409098</stp>
        <tr r="P95" s="24"/>
      </tp>
      <tp t="e">
        <v>#N/A</v>
        <stp/>
        <stp>BDH|108534603635108210</stp>
        <tr r="X35" s="24"/>
      </tp>
      <tp t="e">
        <v>#N/A</v>
        <stp/>
        <stp>BDH|222054344441776752</stp>
        <tr r="G14" s="10"/>
      </tp>
      <tp t="e">
        <v>#N/A</v>
        <stp/>
        <stp>BDH|419254113751825088</stp>
        <tr r="O9" s="23"/>
      </tp>
      <tp t="e">
        <v>#N/A</v>
        <stp/>
        <stp>BDH|230766882705147858</stp>
        <tr r="H39" s="25"/>
        <tr r="H7" s="3"/>
        <tr r="F17" s="11"/>
        <tr r="H22" s="13"/>
        <tr r="H7" s="13"/>
      </tp>
      <tp t="e">
        <v>#N/A</v>
        <stp/>
        <stp>BDH|391280719216437747</stp>
        <tr r="M10" s="28"/>
      </tp>
      <tp t="e">
        <v>#N/A</v>
        <stp/>
        <stp>BDH|123738945882655338</stp>
        <tr r="W45" s="4"/>
        <tr r="W33" s="10"/>
        <tr r="W23" s="11"/>
        <tr r="Y33" s="13"/>
      </tp>
      <tp t="e">
        <v>#N/A</v>
        <stp/>
        <stp>BDH|591436975821916089</stp>
        <tr r="O27" s="14"/>
      </tp>
      <tp t="e">
        <v>#N/A</v>
        <stp/>
        <stp>BDH|179310116898701833</stp>
        <tr r="C72" s="12"/>
      </tp>
      <tp t="e">
        <v>#N/A</v>
        <stp/>
        <stp>BDH|883154648567292055</stp>
        <tr r="I49" s="13"/>
      </tp>
      <tp t="e">
        <v>#N/A</v>
        <stp/>
        <stp>BDH|198147805206605553</stp>
        <tr r="U30" s="34"/>
      </tp>
      <tp t="e">
        <v>#N/A</v>
        <stp/>
        <stp>BDH|100374108686486796</stp>
        <tr r="W136" s="18"/>
      </tp>
      <tp t="e">
        <v>#N/A</v>
        <stp/>
        <stp>BDH|500061245366568005</stp>
        <tr r="X48" s="18"/>
      </tp>
      <tp t="e">
        <v>#N/A</v>
        <stp/>
        <stp>BDH|766281229735250889</stp>
        <tr r="G185" s="18"/>
      </tp>
      <tp t="e">
        <v>#N/A</v>
        <stp/>
        <stp>BDH|345437703599938064</stp>
        <tr r="H31" s="26"/>
        <tr r="E14" s="9"/>
      </tp>
      <tp t="e">
        <v>#N/A</v>
        <stp/>
        <stp>BDH|385829310711832551</stp>
        <tr r="L6" s="15"/>
        <tr r="L12" s="2"/>
        <tr r="L11" s="4"/>
        <tr r="L6" s="10"/>
      </tp>
      <tp t="e">
        <v>#N/A</v>
        <stp/>
        <stp>BDH|587693912823614946</stp>
        <tr r="N31" s="22"/>
      </tp>
      <tp t="e">
        <v>#N/A</v>
        <stp/>
        <stp>BDH|616643697926854407</stp>
        <tr r="R19" s="30"/>
      </tp>
      <tp t="e">
        <v>#N/A</v>
        <stp/>
        <stp>BDH|626570268868263663</stp>
        <tr r="M18" s="23"/>
      </tp>
      <tp t="e">
        <v>#N/A</v>
        <stp/>
        <stp>BDH|555907614472935759</stp>
        <tr r="J43" s="34"/>
      </tp>
      <tp t="e">
        <v>#N/A</v>
        <stp/>
        <stp>BDH|392285482451118655</stp>
        <tr r="Y23" s="14"/>
      </tp>
      <tp t="e">
        <v>#N/A</v>
        <stp/>
        <stp>BDH|573003459899381128</stp>
        <tr r="U111" s="18"/>
      </tp>
      <tp t="e">
        <v>#N/A</v>
        <stp/>
        <stp>BDH|283948048047012731</stp>
        <tr r="R28" s="26"/>
      </tp>
      <tp t="e">
        <v>#N/A</v>
        <stp/>
        <stp>BDH|789869118845618128</stp>
        <tr r="U20" s="24"/>
      </tp>
      <tp t="e">
        <v>#N/A</v>
        <stp/>
        <stp>BDH|510568456154187997</stp>
        <tr r="N28" s="34"/>
      </tp>
      <tp t="e">
        <v>#N/A</v>
        <stp/>
        <stp>BDH|352241777198860057</stp>
        <tr r="L25" s="6"/>
      </tp>
      <tp t="e">
        <v>#N/A</v>
        <stp/>
        <stp>BDH|617215508539137602</stp>
        <tr r="D13" s="30"/>
      </tp>
      <tp t="e">
        <v>#N/A</v>
        <stp/>
        <stp>BDH|383420113818874041</stp>
        <tr r="R116" s="18"/>
      </tp>
      <tp t="e">
        <v>#N/A</v>
        <stp/>
        <stp>BDH|737382160109677170</stp>
        <tr r="S17" s="13"/>
      </tp>
      <tp t="e">
        <v>#N/A</v>
        <stp/>
        <stp>BDH|363407740518896545</stp>
        <tr r="M43" s="22"/>
      </tp>
      <tp t="e">
        <v>#N/A</v>
        <stp/>
        <stp>BDH|806810908175961076</stp>
        <tr r="Q65" s="18"/>
      </tp>
      <tp t="e">
        <v>#N/A</v>
        <stp/>
        <stp>BDH|959346395585255257</stp>
        <tr r="W91" s="18"/>
      </tp>
      <tp t="e">
        <v>#N/A</v>
        <stp/>
        <stp>BDH|855937113056452345</stp>
        <tr r="T57" s="18"/>
      </tp>
      <tp t="e">
        <v>#N/A</v>
        <stp/>
        <stp>BDH|147094571742946884</stp>
        <tr r="S14" s="10"/>
      </tp>
      <tp t="e">
        <v>#N/A</v>
        <stp/>
        <stp>BDH|245025009595413852</stp>
        <tr r="U79" s="24"/>
      </tp>
      <tp t="e">
        <v>#N/A</v>
        <stp/>
        <stp>BDH|336777777754916939</stp>
        <tr r="Y72" s="24"/>
      </tp>
      <tp t="e">
        <v>#N/A</v>
        <stp/>
        <stp>BDH|797851614626923262</stp>
        <tr r="T88" s="24"/>
      </tp>
      <tp t="e">
        <v>#N/A</v>
        <stp/>
        <stp>BDH|799771644766958872</stp>
        <tr r="Z8" s="34"/>
      </tp>
      <tp t="e">
        <v>#N/A</v>
        <stp/>
        <stp>BDH|622355395856431185</stp>
        <tr r="M33" s="18"/>
      </tp>
      <tp t="e">
        <v>#N/A</v>
        <stp/>
        <stp>BDH|371373337928831511</stp>
        <tr r="C22" s="10"/>
      </tp>
      <tp t="e">
        <v>#N/A</v>
        <stp/>
        <stp>BDH|416426881851470097</stp>
        <tr r="X43" s="12"/>
      </tp>
      <tp t="e">
        <v>#N/A</v>
        <stp/>
        <stp>BDH|779957119474854191</stp>
        <tr r="E19" s="20"/>
      </tp>
      <tp t="e">
        <v>#N/A</v>
        <stp/>
        <stp>BDH|169134195903985650</stp>
        <tr r="J55" s="12"/>
      </tp>
      <tp t="e">
        <v>#N/A</v>
        <stp/>
        <stp>BDH|730489150154800832</stp>
        <tr r="AA166" s="18"/>
      </tp>
      <tp t="e">
        <v>#N/A</v>
        <stp/>
        <stp>BDH|716454384765558479</stp>
        <tr r="I93" s="12"/>
      </tp>
      <tp t="e">
        <v>#N/A</v>
        <stp/>
        <stp>BDH|408575913611509810</stp>
        <tr r="U52" s="34"/>
      </tp>
      <tp t="e">
        <v>#N/A</v>
        <stp/>
        <stp>BDH|751383983797014185</stp>
        <tr r="X8" s="17"/>
      </tp>
      <tp t="e">
        <v>#N/A</v>
        <stp/>
        <stp>BDH|126460392959711973</stp>
        <tr r="L50" s="18"/>
      </tp>
      <tp t="e">
        <v>#N/A</v>
        <stp/>
        <stp>BDH|787656209779603285</stp>
        <tr r="F58" s="34"/>
      </tp>
      <tp t="e">
        <v>#N/A</v>
        <stp/>
        <stp>BDH|769137805574268866</stp>
        <tr r="J14" s="11"/>
      </tp>
      <tp t="e">
        <v>#N/A</v>
        <stp/>
        <stp>BDH|414049151371291959</stp>
        <tr r="P73" s="10"/>
        <tr r="P63" s="11"/>
      </tp>
      <tp t="e">
        <v>#N/A</v>
        <stp/>
        <stp>BDH|604627032228586050</stp>
        <tr r="U10" s="2"/>
        <tr r="T11" s="5"/>
        <tr r="T51" s="6"/>
        <tr r="V33" s="29"/>
        <tr r="V42" s="29"/>
      </tp>
      <tp t="e">
        <v>#N/A</v>
        <stp/>
        <stp>BDH|352719234178393133</stp>
        <tr r="V26" s="18"/>
      </tp>
      <tp t="e">
        <v>#N/A</v>
        <stp/>
        <stp>BDH|654934749054863439</stp>
        <tr r="C46" s="18"/>
      </tp>
      <tp t="e">
        <v>#N/A</v>
        <stp/>
        <stp>BDH|161939947972004228</stp>
        <tr r="W20" s="2"/>
        <tr r="W18" s="4"/>
        <tr r="W58" s="10"/>
        <tr r="W48" s="11"/>
        <tr r="W19" s="7"/>
        <tr r="Y74" s="13"/>
      </tp>
      <tp t="e">
        <v>#N/A</v>
        <stp/>
        <stp>BDH|178929150787353671</stp>
        <tr r="Z49" s="17"/>
      </tp>
      <tp t="e">
        <v>#N/A</v>
        <stp/>
        <stp>BDH|365832677393340131</stp>
        <tr r="C129" s="18"/>
      </tp>
      <tp t="e">
        <v>#N/A</v>
        <stp/>
        <stp>BDH|368785608219315371</stp>
        <tr r="L9" s="27"/>
      </tp>
      <tp t="e">
        <v>#N/A</v>
        <stp/>
        <stp>BDH|983854888278276518</stp>
        <tr r="X106" s="12"/>
      </tp>
      <tp t="e">
        <v>#N/A</v>
        <stp/>
        <stp>BDH|532562237353333807</stp>
        <tr r="P63" s="13"/>
      </tp>
      <tp t="e">
        <v>#N/A</v>
        <stp/>
        <stp>BDH|950334578619417012</stp>
        <tr r="X119" s="18"/>
        <tr r="X7" s="20"/>
      </tp>
      <tp t="e">
        <v>#N/A</v>
        <stp/>
        <stp>BDH|276214300078486772</stp>
        <tr r="N71" s="18"/>
      </tp>
      <tp t="e">
        <v>#N/A</v>
        <stp/>
        <stp>BDH|601317605239604748</stp>
        <tr r="I8" s="6"/>
      </tp>
      <tp t="e">
        <v>#N/A</v>
        <stp/>
        <stp>BDH|750973501463795769</stp>
        <tr r="C64" s="13"/>
      </tp>
      <tp t="e">
        <v>#N/A</v>
        <stp/>
        <stp>BDH|848589141764599840</stp>
        <tr r="I54" s="11"/>
      </tp>
      <tp t="e">
        <v>#N/A</v>
        <stp/>
        <stp>BDH|305255347952018918</stp>
        <tr r="T89" s="18"/>
      </tp>
      <tp t="e">
        <v>#N/A</v>
        <stp/>
        <stp>BDH|632763093630330319</stp>
        <tr r="H67" s="12"/>
      </tp>
      <tp t="e">
        <v>#N/A</v>
        <stp/>
        <stp>BDH|459359110709757672</stp>
        <tr r="E18" s="20"/>
      </tp>
      <tp t="e">
        <v>#N/A</v>
        <stp/>
        <stp>BDH|633843412385190106</stp>
        <tr r="F129" s="18"/>
      </tp>
      <tp t="e">
        <v>#N/A</v>
        <stp/>
        <stp>BDH|538275153133631965</stp>
        <tr r="S18" s="24"/>
      </tp>
      <tp t="e">
        <v>#N/A</v>
        <stp/>
        <stp>BDH|620456439729912324</stp>
        <tr r="X9" s="3"/>
        <tr r="V51" s="10"/>
        <tr r="V41" s="11"/>
        <tr r="V14" s="7"/>
      </tp>
      <tp t="e">
        <v>#N/A</v>
        <stp/>
        <stp>BDH|446441935769037378</stp>
        <tr r="P28" s="17"/>
      </tp>
      <tp t="e">
        <v>#N/A</v>
        <stp/>
        <stp>BDH|384360689494908270</stp>
        <tr r="T7" s="23"/>
      </tp>
      <tp t="e">
        <v>#N/A</v>
        <stp/>
        <stp>BDH|921701727380458880</stp>
        <tr r="S28" s="34"/>
      </tp>
      <tp t="e">
        <v>#N/A</v>
        <stp/>
        <stp>BDH|182556461657449927</stp>
        <tr r="W182" s="18"/>
      </tp>
      <tp t="e">
        <v>#N/A</v>
        <stp/>
        <stp>BDH|694999018026278368</stp>
        <tr r="P10" s="2"/>
        <tr r="O11" s="5"/>
        <tr r="O51" s="6"/>
        <tr r="Q33" s="29"/>
        <tr r="Q42" s="29"/>
      </tp>
      <tp t="e">
        <v>#N/A</v>
        <stp/>
        <stp>BDH|173086707118933540</stp>
        <tr r="X14" s="4"/>
      </tp>
      <tp t="e">
        <v>#N/A</v>
        <stp/>
        <stp>BDH|548962567485843608</stp>
        <tr r="G78" s="12"/>
      </tp>
      <tp t="e">
        <v>#N/A</v>
        <stp/>
        <stp>BDH|917915885854294937</stp>
        <tr r="J16" s="24"/>
      </tp>
      <tp t="e">
        <v>#N/A</v>
        <stp/>
        <stp>BDH|541886702000705442</stp>
        <tr r="R14" s="8"/>
      </tp>
      <tp t="e">
        <v>#N/A</v>
        <stp/>
        <stp>BDH|414429495155677499</stp>
        <tr r="S13" s="25"/>
      </tp>
      <tp t="e">
        <v>#N/A</v>
        <stp/>
        <stp>BDH|970146282482607749</stp>
        <tr r="G21" s="4"/>
      </tp>
      <tp t="e">
        <v>#N/A</v>
        <stp/>
        <stp>BDH|635850652885836448</stp>
        <tr r="U185" s="18"/>
      </tp>
      <tp t="e">
        <v>#N/A</v>
        <stp/>
        <stp>BDH|668875205777862312</stp>
        <tr r="Z9" s="18"/>
      </tp>
      <tp t="e">
        <v>#N/A</v>
        <stp/>
        <stp>BDH|232581083721030047</stp>
        <tr r="F18" s="14"/>
      </tp>
      <tp t="e">
        <v>#N/A</v>
        <stp/>
        <stp>BDH|867151296620246478</stp>
        <tr r="I17" s="12"/>
      </tp>
      <tp t="e">
        <v>#N/A</v>
        <stp/>
        <stp>BDH|462332927079665480</stp>
        <tr r="V79" s="18"/>
      </tp>
      <tp t="e">
        <v>#N/A</v>
        <stp/>
        <stp>BDH|522941759546545631</stp>
        <tr r="K192" s="18"/>
      </tp>
      <tp t="e">
        <v>#N/A</v>
        <stp/>
        <stp>BDH|961400924059013330</stp>
        <tr r="N33" s="21"/>
      </tp>
      <tp t="e">
        <v>#N/A</v>
        <stp/>
        <stp>BDH|845102383800112555</stp>
        <tr r="F87" s="24"/>
      </tp>
      <tp t="e">
        <v>#N/A</v>
        <stp/>
        <stp>BDH|644974810961664583</stp>
        <tr r="D155" s="18"/>
      </tp>
      <tp t="e">
        <v>#N/A</v>
        <stp/>
        <stp>BDH|224813330211920653</stp>
        <tr r="F14" s="4"/>
      </tp>
      <tp t="e">
        <v>#N/A</v>
        <stp/>
        <stp>BDH|924484838922957980</stp>
        <tr r="AA27" s="22"/>
      </tp>
      <tp t="e">
        <v>#N/A</v>
        <stp/>
        <stp>BDH|824936495704366856</stp>
        <tr r="U12" s="12"/>
      </tp>
      <tp t="e">
        <v>#N/A</v>
        <stp/>
        <stp>BDH|797399111668470637</stp>
        <tr r="M118" s="18"/>
        <tr r="M6" s="20"/>
      </tp>
      <tp t="e">
        <v>#N/A</v>
        <stp/>
        <stp>BDH|761378982837293088</stp>
        <tr r="Q30" s="25"/>
        <tr r="Q16" s="27"/>
      </tp>
      <tp t="e">
        <v>#N/A</v>
        <stp/>
        <stp>BDH|117167054541307987</stp>
        <tr r="N25" s="12"/>
      </tp>
      <tp t="e">
        <v>#N/A</v>
        <stp/>
        <stp>BDH|802997150200812002</stp>
        <tr r="T119" s="18"/>
        <tr r="T7" s="20"/>
      </tp>
      <tp t="e">
        <v>#N/A</v>
        <stp/>
        <stp>BDH|541130720669904664</stp>
        <tr r="C105" s="12"/>
      </tp>
      <tp t="e">
        <v>#N/A</v>
        <stp/>
        <stp>BDH|192322166999835046</stp>
        <tr r="Y23" s="30"/>
        <tr r="Y25" s="23"/>
      </tp>
      <tp t="e">
        <v>#N/A</v>
        <stp/>
        <stp>BDH|796461992922018398</stp>
        <tr r="M13" s="29"/>
        <tr r="M22" s="29"/>
        <tr r="M36" s="29"/>
      </tp>
      <tp t="e">
        <v>#N/A</v>
        <stp/>
        <stp>BDH|789293644809084305</stp>
        <tr r="T198" s="18"/>
      </tp>
      <tp t="e">
        <v>#N/A</v>
        <stp/>
        <stp>BDH|439145208564790958</stp>
        <tr r="E44" s="21"/>
      </tp>
      <tp t="e">
        <v>#N/A</v>
        <stp/>
        <stp>BDH|181444309801591925</stp>
        <tr r="U86" s="18"/>
      </tp>
      <tp t="e">
        <v>#N/A</v>
        <stp/>
        <stp>BDH|408748586905490691</stp>
        <tr r="W65" s="12"/>
      </tp>
      <tp t="e">
        <v>#N/A</v>
        <stp/>
        <stp>BDH|620827258145652414</stp>
        <tr r="T16" s="17"/>
        <tr r="T19" s="28"/>
      </tp>
      <tp t="e">
        <v>#N/A</v>
        <stp/>
        <stp>BDH|987909428484489313</stp>
        <tr r="U45" s="24"/>
      </tp>
      <tp t="e">
        <v>#N/A</v>
        <stp/>
        <stp>BDH|304463230069162218</stp>
        <tr r="K131" s="18"/>
      </tp>
      <tp t="e">
        <v>#N/A</v>
        <stp/>
        <stp>BDH|134715090975009752</stp>
        <tr r="K71" s="24"/>
      </tp>
      <tp t="e">
        <v>#N/A</v>
        <stp/>
        <stp>BDH|574361386117107015</stp>
        <tr r="H60" s="17"/>
      </tp>
      <tp t="e">
        <v>#N/A</v>
        <stp/>
        <stp>BDH|623907500055061031</stp>
        <tr r="Q42" s="17"/>
      </tp>
      <tp t="e">
        <v>#N/A</v>
        <stp/>
        <stp>BDH|470099331247904808</stp>
        <tr r="I9" s="26"/>
      </tp>
      <tp t="e">
        <v>#N/A</v>
        <stp/>
        <stp>BDH|172069126396686819</stp>
        <tr r="W9" s="23"/>
      </tp>
      <tp t="e">
        <v>#N/A</v>
        <stp/>
        <stp>BDH|872211908249207757</stp>
        <tr r="M20" s="25"/>
      </tp>
      <tp t="e">
        <v>#N/A</v>
        <stp/>
        <stp>BDH|170812193929390465</stp>
        <tr r="R63" s="13"/>
      </tp>
      <tp t="e">
        <v>#N/A</v>
        <stp/>
        <stp>BDH|759693289083644177</stp>
        <tr r="AA146" s="18"/>
      </tp>
      <tp t="e">
        <v>#N/A</v>
        <stp/>
        <stp>BDH|259522233473115959</stp>
        <tr r="V25" s="18"/>
      </tp>
      <tp t="e">
        <v>#N/A</v>
        <stp/>
        <stp>BDH|459967315057768378</stp>
        <tr r="Y18" s="2"/>
        <tr r="Y53" s="4"/>
        <tr r="Y46" s="10"/>
        <tr r="Y36" s="11"/>
        <tr r="AA58" s="13"/>
      </tp>
      <tp t="e">
        <v>#N/A</v>
        <stp/>
        <stp>BDH|762373673131333973</stp>
        <tr r="O164" s="18"/>
      </tp>
      <tp t="e">
        <v>#N/A</v>
        <stp/>
        <stp>BDH|525930404133095625</stp>
        <tr r="Z55" s="18"/>
      </tp>
      <tp t="e">
        <v>#N/A</v>
        <stp/>
        <stp>BDH|520904482448787507</stp>
        <tr r="K35" s="12"/>
      </tp>
      <tp t="e">
        <v>#N/A</v>
        <stp/>
        <stp>BDH|443683376999865425</stp>
        <tr r="L95" s="24"/>
      </tp>
      <tp t="e">
        <v>#N/A</v>
        <stp/>
        <stp>BDH|724890406390958414</stp>
        <tr r="M74" s="12"/>
      </tp>
      <tp t="e">
        <v>#N/A</v>
        <stp/>
        <stp>BDH|226958942241389060</stp>
        <tr r="V20" s="9"/>
      </tp>
      <tp t="e">
        <v>#N/A</v>
        <stp/>
        <stp>BDH|536118194357220334</stp>
        <tr r="X23" s="17"/>
      </tp>
      <tp t="e">
        <v>#N/A</v>
        <stp/>
        <stp>BDH|899816552854397591</stp>
        <tr r="I23" s="26"/>
      </tp>
      <tp t="e">
        <v>#N/A</v>
        <stp/>
        <stp>BDH|812008827267637985</stp>
        <tr r="G33" s="14"/>
      </tp>
      <tp t="e">
        <v>#N/A</v>
        <stp/>
        <stp>BDH|302853446977895793</stp>
        <tr r="M25" s="22"/>
      </tp>
      <tp t="e">
        <v>#N/A</v>
        <stp/>
        <stp>BDH|398101873882167802</stp>
        <tr r="K27" s="21"/>
      </tp>
      <tp t="e">
        <v>#N/A</v>
        <stp/>
        <stp>BDH|227351966351462843</stp>
        <tr r="R9" s="18"/>
      </tp>
      <tp t="e">
        <v>#N/A</v>
        <stp/>
        <stp>BDH|865134816864716887</stp>
        <tr r="T16" s="20"/>
      </tp>
      <tp t="e">
        <v>#N/A</v>
        <stp/>
        <stp>BDH|247865521246561028</stp>
        <tr r="Q47" s="34"/>
      </tp>
      <tp t="e">
        <v>#N/A</v>
        <stp/>
        <stp>BDH|162420997411442023</stp>
        <tr r="J20" s="10"/>
      </tp>
      <tp t="e">
        <v>#N/A</v>
        <stp/>
        <stp>BDH|845621366986216927</stp>
        <tr r="L62" s="13"/>
      </tp>
      <tp t="e">
        <v>#N/A</v>
        <stp/>
        <stp>BDH|956197095944926307</stp>
        <tr r="Y30" s="24"/>
      </tp>
      <tp t="e">
        <v>#N/A</v>
        <stp/>
        <stp>BDH|539988727946616219</stp>
        <tr r="Y18" s="29"/>
        <tr r="Y41" s="29"/>
      </tp>
      <tp t="e">
        <v>#N/A</v>
        <stp/>
        <stp>BDH|134567290725884617</stp>
        <tr r="G23" s="25"/>
        <tr r="E20" s="11"/>
      </tp>
      <tp t="e">
        <v>#N/A</v>
        <stp/>
        <stp>BDH|884565283105299715</stp>
        <tr r="F34" s="24"/>
      </tp>
      <tp t="e">
        <v>#N/A</v>
        <stp/>
        <stp>BDH|250806928795365069</stp>
        <tr r="Q41" s="24"/>
      </tp>
      <tp t="e">
        <v>#N/A</v>
        <stp/>
        <stp>BDH|873649991460329014</stp>
        <tr r="G23" s="17"/>
      </tp>
      <tp t="e">
        <v>#N/A</v>
        <stp/>
        <stp>BDH|237248747721991873</stp>
        <tr r="Q38" s="10"/>
        <tr r="Q28" s="11"/>
        <tr r="S47" s="13"/>
      </tp>
      <tp t="e">
        <v>#N/A</v>
        <stp/>
        <stp>BDH|523110596232212588</stp>
        <tr r="S186" s="18"/>
      </tp>
      <tp t="e">
        <v>#N/A</v>
        <stp/>
        <stp>BDH|893168096954084319</stp>
        <tr r="M72" s="17"/>
      </tp>
      <tp t="e">
        <v>#N/A</v>
        <stp/>
        <stp>BDH|818967990848401732</stp>
        <tr r="W19" s="22"/>
      </tp>
      <tp t="e">
        <v>#N/A</v>
        <stp/>
        <stp>BDH|535781980345232551</stp>
        <tr r="H87" s="17"/>
      </tp>
      <tp t="e">
        <v>#N/A</v>
        <stp/>
        <stp>BDH|860962880716614821</stp>
        <tr r="Y8" s="18"/>
      </tp>
      <tp t="e">
        <v>#N/A</v>
        <stp/>
        <stp>BDH|124155593507437089</stp>
        <tr r="G68" s="34"/>
      </tp>
      <tp t="e">
        <v>#N/A</v>
        <stp/>
        <stp>BDH|692795674646239925</stp>
        <tr r="L198" s="18"/>
      </tp>
      <tp t="e">
        <v>#N/A</v>
        <stp/>
        <stp>BDH|412936258491168255</stp>
        <tr r="D47" s="24"/>
      </tp>
      <tp t="e">
        <v>#N/A</v>
        <stp/>
        <stp>BDH|784952258751724268</stp>
        <tr r="D7" s="17"/>
      </tp>
      <tp t="e">
        <v>#N/A</v>
        <stp/>
        <stp>BDH|622247808739401455</stp>
        <tr r="J15" s="34"/>
      </tp>
      <tp t="e">
        <v>#N/A</v>
        <stp/>
        <stp>BDH|824349764442734849</stp>
        <tr r="J20" s="34"/>
      </tp>
      <tp t="e">
        <v>#N/A</v>
        <stp/>
        <stp>BDH|668206363159727296</stp>
        <tr r="N26" s="17"/>
      </tp>
      <tp t="e">
        <v>#N/A</v>
        <stp/>
        <stp>BDH|558042774178286035</stp>
        <tr r="C53" s="21"/>
      </tp>
      <tp t="e">
        <v>#N/A</v>
        <stp/>
        <stp>BDH|313639896256099622</stp>
        <tr r="D15" s="23"/>
      </tp>
      <tp t="e">
        <v>#N/A</v>
        <stp/>
        <stp>BDH|618138311639266628</stp>
        <tr r="O19" s="11"/>
      </tp>
      <tp t="e">
        <v>#N/A</v>
        <stp/>
        <stp>BDH|592587309532631870</stp>
        <tr r="Z114" s="18"/>
      </tp>
      <tp t="e">
        <v>#N/A</v>
        <stp/>
        <stp>BDH|650062120725110849</stp>
        <tr r="G69" s="13"/>
      </tp>
      <tp t="e">
        <v>#N/A</v>
        <stp/>
        <stp>BDH|296966997119752615</stp>
        <tr r="E24" s="27"/>
      </tp>
      <tp t="e">
        <v>#N/A</v>
        <stp/>
        <stp>BDH|182103641532444816</stp>
        <tr r="X64" s="10"/>
      </tp>
      <tp t="e">
        <v>#N/A</v>
        <stp/>
        <stp>BDH|866849911903185593</stp>
        <tr r="I6" s="2"/>
        <tr r="H6" s="5"/>
        <tr r="H6" s="9"/>
        <tr r="J12" s="8"/>
        <tr r="J10" s="29"/>
        <tr r="J19" s="29"/>
        <tr r="J25" s="29"/>
      </tp>
      <tp t="e">
        <v>#N/A</v>
        <stp/>
        <stp>BDH|135057202687657855</stp>
        <tr r="O163" s="18"/>
      </tp>
      <tp t="e">
        <v>#N/A</v>
        <stp/>
        <stp>BDH|862667128392471976</stp>
        <tr r="J202" s="18"/>
      </tp>
      <tp t="e">
        <v>#N/A</v>
        <stp/>
        <stp>BDH|151901072909083865</stp>
        <tr r="F46" s="21"/>
      </tp>
      <tp t="e">
        <v>#N/A</v>
        <stp/>
        <stp>BDH|355363940008575050</stp>
        <tr r="W34" s="21"/>
      </tp>
      <tp t="e">
        <v>#N/A</v>
        <stp/>
        <stp>BDH|444378452708548125</stp>
        <tr r="M50" s="21"/>
      </tp>
      <tp t="e">
        <v>#N/A</v>
        <stp/>
        <stp>BDH|540957215296595166</stp>
        <tr r="N18" s="34"/>
      </tp>
      <tp t="e">
        <v>#N/A</v>
        <stp/>
        <stp>BDH|980240798995262116</stp>
        <tr r="W85" s="17"/>
      </tp>
      <tp t="e">
        <v>#N/A</v>
        <stp/>
        <stp>BDH|174443763199420441</stp>
        <tr r="R93" s="24"/>
      </tp>
      <tp t="e">
        <v>#N/A</v>
        <stp/>
        <stp>BDH|513255084356332310</stp>
        <tr r="M14" s="12"/>
      </tp>
      <tp t="e">
        <v>#N/A</v>
        <stp/>
        <stp>BDH|695938319536231197</stp>
        <tr r="Q112" s="18"/>
      </tp>
      <tp t="e">
        <v>#N/A</v>
        <stp/>
        <stp>BDH|540640658168980479</stp>
        <tr r="V72" s="24"/>
      </tp>
      <tp t="e">
        <v>#N/A</v>
        <stp/>
        <stp>BDH|801728299580190150</stp>
        <tr r="L69" s="24"/>
      </tp>
      <tp t="e">
        <v>#N/A</v>
        <stp/>
        <stp>BDH|295365980587362371</stp>
        <tr r="D75" s="12"/>
      </tp>
      <tp t="e">
        <v>#N/A</v>
        <stp/>
        <stp>BDH|198543112159660211</stp>
        <tr r="H23" s="6"/>
      </tp>
      <tp t="e">
        <v>#N/A</v>
        <stp/>
        <stp>BDH|979885535333043746</stp>
        <tr r="T37" s="12"/>
      </tp>
      <tp t="e">
        <v>#N/A</v>
        <stp/>
        <stp>BDH|138159069858497080</stp>
        <tr r="H92" s="17"/>
        <tr r="H7" s="27"/>
      </tp>
      <tp t="e">
        <v>#N/A</v>
        <stp/>
        <stp>BDH|585323416499837481</stp>
        <tr r="Z20" s="23"/>
      </tp>
      <tp t="e">
        <v>#N/A</v>
        <stp/>
        <stp>BDH|554431845229134636</stp>
        <tr r="Y145" s="18"/>
      </tp>
      <tp t="e">
        <v>#N/A</v>
        <stp/>
        <stp>BDH|652078193857126127</stp>
        <tr r="C76" s="18"/>
      </tp>
      <tp t="e">
        <v>#N/A</v>
        <stp/>
        <stp>BDH|829199182435690346</stp>
        <tr r="O22" s="30"/>
        <tr r="O24" s="23"/>
      </tp>
      <tp t="e">
        <v>#N/A</v>
        <stp/>
        <stp>BDH|450046988551878616</stp>
        <tr r="T170" s="18"/>
      </tp>
      <tp t="e">
        <v>#N/A</v>
        <stp/>
        <stp>BDH|856679693136860661</stp>
        <tr r="Q11" s="29"/>
      </tp>
      <tp t="e">
        <v>#N/A</v>
        <stp/>
        <stp>BDH|279048926188371517</stp>
        <tr r="P13" s="2"/>
      </tp>
      <tp t="e">
        <v>#N/A</v>
        <stp/>
        <stp>BDH|237245063823221850</stp>
        <tr r="H18" s="5"/>
        <tr r="H37" s="6"/>
      </tp>
      <tp t="e">
        <v>#N/A</v>
        <stp/>
        <stp>BDH|578416396123043106</stp>
        <tr r="N54" s="12"/>
      </tp>
      <tp t="e">
        <v>#N/A</v>
        <stp/>
        <stp>BDH|765912107763470568</stp>
        <tr r="S48" s="12"/>
      </tp>
      <tp t="e">
        <v>#N/A</v>
        <stp/>
        <stp>BDH|385245694243583757</stp>
        <tr r="T19" s="11"/>
      </tp>
      <tp t="e">
        <v>#N/A</v>
        <stp/>
        <stp>BDH|588654887884975428</stp>
        <tr r="D65" s="24"/>
      </tp>
      <tp t="e">
        <v>#N/A</v>
        <stp/>
        <stp>BDH|370114099775078370</stp>
        <tr r="H17" s="18"/>
      </tp>
      <tp t="e">
        <v>#N/A</v>
        <stp/>
        <stp>BDH|791833737246989365</stp>
        <tr r="Z86" s="24"/>
      </tp>
      <tp t="e">
        <v>#N/A</v>
        <stp/>
        <stp>BDH|208615982581530199</stp>
        <tr r="N26" s="18"/>
      </tp>
      <tp t="e">
        <v>#N/A</v>
        <stp/>
        <stp>BDH|582571768439258458</stp>
        <tr r="F6" s="15"/>
        <tr r="F12" s="2"/>
        <tr r="F11" s="4"/>
        <tr r="F6" s="10"/>
      </tp>
      <tp t="e">
        <v>#N/A</v>
        <stp/>
        <stp>BDH|622640513218782180</stp>
        <tr r="H50" s="21"/>
      </tp>
      <tp t="e">
        <v>#N/A</v>
        <stp/>
        <stp>BDH|752590854196749839</stp>
        <tr r="X13" s="7"/>
      </tp>
      <tp t="e">
        <v>#N/A</v>
        <stp/>
        <stp>BDH|141795869407972860</stp>
        <tr r="O89" s="12"/>
      </tp>
      <tp t="e">
        <v>#N/A</v>
        <stp/>
        <stp>BDH|514388697306329262</stp>
        <tr r="S17" s="6"/>
      </tp>
      <tp t="e">
        <v>#N/A</v>
        <stp/>
        <stp>BDH|242977448897132431</stp>
        <tr r="O60" s="34"/>
      </tp>
      <tp t="e">
        <v>#N/A</v>
        <stp/>
        <stp>BDH|146406092756483583</stp>
        <tr r="H22" s="6"/>
      </tp>
      <tp t="e">
        <v>#N/A</v>
        <stp/>
        <stp>BDH|137836118045066250</stp>
        <tr r="L26" s="18"/>
      </tp>
      <tp t="e">
        <v>#N/A</v>
        <stp/>
        <stp>BDH|807111556153778973</stp>
        <tr r="M34" s="9"/>
      </tp>
      <tp t="e">
        <v>#N/A</v>
        <stp/>
        <stp>BDH|203381285606509328</stp>
        <tr r="J11" s="22"/>
      </tp>
      <tp t="e">
        <v>#N/A</v>
        <stp/>
        <stp>BDH|971841449131506395</stp>
        <tr r="P23" s="25"/>
        <tr r="N20" s="11"/>
      </tp>
      <tp t="e">
        <v>#N/A</v>
        <stp/>
        <stp>BDH|504541157529869761</stp>
        <tr r="O8" s="2"/>
      </tp>
      <tp t="e">
        <v>#N/A</v>
        <stp/>
        <stp>BDH|154784437083321954</stp>
        <tr r="F10" s="21"/>
      </tp>
      <tp t="e">
        <v>#N/A</v>
        <stp/>
        <stp>BDH|697242662083018995</stp>
        <tr r="R44" s="21"/>
      </tp>
      <tp t="e">
        <v>#N/A</v>
        <stp/>
        <stp>BDH|981119210697352920</stp>
        <tr r="P22" s="6"/>
      </tp>
      <tp t="e">
        <v>#N/A</v>
        <stp/>
        <stp>BDH|998800762671021128</stp>
        <tr r="AA49" s="12"/>
      </tp>
      <tp t="e">
        <v>#N/A</v>
        <stp/>
        <stp>BDH|451296690292627715</stp>
        <tr r="E31" s="34"/>
      </tp>
      <tp t="e">
        <v>#N/A</v>
        <stp/>
        <stp>BDH|447977230491872516</stp>
        <tr r="C29" s="29"/>
        <tr r="C7" s="29"/>
      </tp>
      <tp t="e">
        <v>#N/A</v>
        <stp/>
        <stp>BDH|959321289631986401</stp>
        <tr r="O35" s="34"/>
      </tp>
      <tp t="e">
        <v>#N/A</v>
        <stp/>
        <stp>BDH|436667392953862232</stp>
        <tr r="Y32" s="25"/>
        <tr r="Y18" s="27"/>
      </tp>
      <tp t="e">
        <v>#N/A</v>
        <stp/>
        <stp>BDH|585043580671815720</stp>
        <tr r="Q11" s="24"/>
      </tp>
      <tp t="e">
        <v>#N/A</v>
        <stp/>
        <stp>BDH|957629090404016508</stp>
        <tr r="C27" s="26"/>
      </tp>
      <tp t="e">
        <v>#N/A</v>
        <stp/>
        <stp>BDH|856397058289157130</stp>
        <tr r="T22" s="27"/>
      </tp>
      <tp t="e">
        <v>#N/A</v>
        <stp/>
        <stp>BDH|196207928067475992</stp>
        <tr r="P24" s="17"/>
      </tp>
      <tp t="e">
        <v>#N/A</v>
        <stp/>
        <stp>BDH|366239981365010155</stp>
        <tr r="L189" s="18"/>
      </tp>
      <tp t="e">
        <v>#N/A</v>
        <stp/>
        <stp>BDH|712075074909903092</stp>
        <tr r="X35" s="4"/>
      </tp>
      <tp t="e">
        <v>#N/A</v>
        <stp/>
        <stp>BDH|771244426578167602</stp>
        <tr r="X11" s="11"/>
      </tp>
      <tp t="e">
        <v>#N/A</v>
        <stp/>
        <stp>BDH|156106527739374410</stp>
        <tr r="V53" s="13"/>
      </tp>
      <tp t="e">
        <v>#N/A</v>
        <stp/>
        <stp>BDH|978307096886271299</stp>
        <tr r="R18" s="24"/>
      </tp>
      <tp t="e">
        <v>#N/A</v>
        <stp/>
        <stp>BDH|690955354304638659</stp>
        <tr r="U22" s="11"/>
      </tp>
      <tp t="e">
        <v>#N/A</v>
        <stp/>
        <stp>BDH|685804829616270298</stp>
        <tr r="Q6" s="6"/>
      </tp>
      <tp t="e">
        <v>#N/A</v>
        <stp/>
        <stp>BDH|470166987033515459</stp>
        <tr r="J18" s="5"/>
        <tr r="J37" s="6"/>
      </tp>
      <tp t="e">
        <v>#N/A</v>
        <stp/>
        <stp>BDH|175663714968611103</stp>
        <tr r="T21" s="24"/>
      </tp>
      <tp t="e">
        <v>#N/A</v>
        <stp/>
        <stp>BDH|764053068579779185</stp>
        <tr r="W10" s="24"/>
      </tp>
      <tp t="e">
        <v>#N/A</v>
        <stp/>
        <stp>BDH|703551908142627992</stp>
        <tr r="P71" s="34"/>
      </tp>
      <tp t="e">
        <v>#N/A</v>
        <stp/>
        <stp>BDH|646374627439452677</stp>
        <tr r="S10" s="24"/>
      </tp>
      <tp t="e">
        <v>#N/A</v>
        <stp/>
        <stp>BDH|738031196254335346</stp>
        <tr r="W18" s="34"/>
      </tp>
      <tp t="e">
        <v>#N/A</v>
        <stp/>
        <stp>BDH|604715835003703900</stp>
        <tr r="O27" s="24"/>
      </tp>
      <tp t="e">
        <v>#N/A</v>
        <stp/>
        <stp>BDH|621887076410796191</stp>
        <tr r="M12" s="17"/>
      </tp>
      <tp t="e">
        <v>#N/A</v>
        <stp/>
        <stp>BDH|150357803869132407</stp>
        <tr r="O54" s="11"/>
      </tp>
      <tp t="e">
        <v>#N/A</v>
        <stp/>
        <stp>BDH|720186918907687977</stp>
        <tr r="S96" s="18"/>
      </tp>
      <tp t="e">
        <v>#N/A</v>
        <stp/>
        <stp>BDH|344974499738212692</stp>
        <tr r="Q46" s="21"/>
      </tp>
      <tp t="e">
        <v>#N/A</v>
        <stp/>
        <stp>BDH|990632918379046056</stp>
        <tr r="Z23" s="18"/>
      </tp>
      <tp t="e">
        <v>#N/A</v>
        <stp/>
        <stp>BDH|115993238740648412</stp>
        <tr r="V163" s="18"/>
      </tp>
      <tp t="e">
        <v>#N/A</v>
        <stp/>
        <stp>BDH|147616430913295828</stp>
        <tr r="T35" s="25"/>
      </tp>
      <tp t="e">
        <v>#N/A</v>
        <stp/>
        <stp>BDH|800511449089312638</stp>
        <tr r="K74" s="24"/>
      </tp>
      <tp t="e">
        <v>#N/A</v>
        <stp/>
        <stp>BDH|682716452185425910</stp>
        <tr r="F24" s="22"/>
      </tp>
      <tp t="e">
        <v>#N/A</v>
        <stp/>
        <stp>BDH|538811554545049600</stp>
        <tr r="Q74" s="18"/>
      </tp>
      <tp t="e">
        <v>#N/A</v>
        <stp/>
        <stp>BDH|774924802837425039</stp>
        <tr r="H8" s="22"/>
      </tp>
      <tp t="e">
        <v>#N/A</v>
        <stp/>
        <stp>BDH|778564453767735953</stp>
        <tr r="T10" s="12"/>
      </tp>
      <tp t="e">
        <v>#N/A</v>
        <stp/>
        <stp>BDH|803678738852612914</stp>
        <tr r="U10" s="13"/>
      </tp>
      <tp t="e">
        <v>#N/A</v>
        <stp/>
        <stp>BDH|603559224681785818</stp>
        <tr r="M9" s="26"/>
      </tp>
      <tp t="e">
        <v>#N/A</v>
        <stp/>
        <stp>BDH|680471172314475960</stp>
        <tr r="S50" s="34"/>
      </tp>
      <tp t="e">
        <v>#N/A</v>
        <stp/>
        <stp>BDH|198802369110140089</stp>
        <tr r="U9" s="6"/>
      </tp>
      <tp t="e">
        <v>#N/A</v>
        <stp/>
        <stp>BDH|136881461562276283</stp>
        <tr r="C8" s="10"/>
      </tp>
      <tp t="e">
        <v>#N/A</v>
        <stp/>
        <stp>BDH|441560872225030920</stp>
        <tr r="P55" s="17"/>
      </tp>
      <tp t="e">
        <v>#N/A</v>
        <stp/>
        <stp>BDH|869967841307519499</stp>
        <tr r="F20" s="26"/>
      </tp>
      <tp t="e">
        <v>#N/A</v>
        <stp/>
        <stp>BDH|234265666688305228</stp>
        <tr r="E20" s="27"/>
      </tp>
      <tp t="e">
        <v>#N/A</v>
        <stp/>
        <stp>BDH|695940171728775877</stp>
        <tr r="Y152" s="18"/>
      </tp>
      <tp t="e">
        <v>#N/A</v>
        <stp/>
        <stp>BDH|699591016133952932</stp>
        <tr r="R21" s="3"/>
      </tp>
      <tp t="e">
        <v>#N/A</v>
        <stp/>
        <stp>BDH|818463797061367299</stp>
        <tr r="H22" s="24"/>
      </tp>
      <tp t="e">
        <v>#N/A</v>
        <stp/>
        <stp>BDH|341022765141312947</stp>
        <tr r="I51" s="21"/>
      </tp>
      <tp t="e">
        <v>#N/A</v>
        <stp/>
        <stp>BDH|887638588557210725</stp>
        <tr r="Y78" s="17"/>
      </tp>
      <tp t="e">
        <v>#N/A</v>
        <stp/>
        <stp>BDH|288047265491582957</stp>
        <tr r="H104" s="18"/>
      </tp>
      <tp t="e">
        <v>#N/A</v>
        <stp/>
        <stp>BDH|539725219287326819</stp>
        <tr r="I47" s="34"/>
      </tp>
      <tp t="e">
        <v>#N/A</v>
        <stp/>
        <stp>BDH|825426380483153678</stp>
        <tr r="W14" s="24"/>
      </tp>
      <tp t="e">
        <v>#N/A</v>
        <stp/>
        <stp>BDH|709856519433428330</stp>
        <tr r="R26" s="10"/>
        <tr r="T35" s="13"/>
      </tp>
      <tp t="e">
        <v>#N/A</v>
        <stp/>
        <stp>BDH|178275678874722840</stp>
        <tr r="R42" s="4"/>
      </tp>
      <tp t="e">
        <v>#N/A</v>
        <stp/>
        <stp>BDH|494361139620187970</stp>
        <tr r="I15" s="18"/>
      </tp>
      <tp t="e">
        <v>#N/A</v>
        <stp/>
        <stp>BDH|649778142993914972</stp>
        <tr r="Y146" s="18"/>
      </tp>
      <tp t="e">
        <v>#N/A</v>
        <stp/>
        <stp>BDH|745231316703993950</stp>
        <tr r="U16" s="20"/>
      </tp>
      <tp t="e">
        <v>#N/A</v>
        <stp/>
        <stp>BDH|475981341870076437</stp>
        <tr r="F66" s="12"/>
      </tp>
      <tp t="e">
        <v>#N/A</v>
        <stp/>
        <stp>BDH|789162199762112373</stp>
        <tr r="L36" s="4"/>
      </tp>
      <tp t="e">
        <v>#N/A</v>
        <stp/>
        <stp>BDH|128002688182653315</stp>
        <tr r="Z28" s="21"/>
      </tp>
      <tp t="e">
        <v>#N/A</v>
        <stp/>
        <stp>BDH|680832945011625489</stp>
        <tr r="I140" s="18"/>
      </tp>
      <tp t="e">
        <v>#N/A</v>
        <stp/>
        <stp>BDH|196192170549780608</stp>
        <tr r="I16" s="21"/>
      </tp>
      <tp t="e">
        <v>#N/A</v>
        <stp/>
        <stp>BDH|919737713459547638</stp>
        <tr r="R42" s="17"/>
      </tp>
      <tp t="e">
        <v>#N/A</v>
        <stp/>
        <stp>BDH|932779157513483828</stp>
        <tr r="X23" s="20"/>
      </tp>
      <tp t="e">
        <v>#N/A</v>
        <stp/>
        <stp>BDH|634133783920104085</stp>
        <tr r="V135" s="18"/>
      </tp>
      <tp t="e">
        <v>#N/A</v>
        <stp/>
        <stp>BDH|970109596510281121</stp>
        <tr r="Z63" s="24"/>
      </tp>
      <tp t="e">
        <v>#N/A</v>
        <stp/>
        <stp>BDH|717074608880659919</stp>
        <tr r="AA38" s="34"/>
      </tp>
      <tp t="e">
        <v>#N/A</v>
        <stp/>
        <stp>BDH|889002094945047532</stp>
        <tr r="O68" s="10"/>
      </tp>
      <tp t="e">
        <v>#N/A</v>
        <stp/>
        <stp>BDH|176756128359383571</stp>
        <tr r="P71" s="24"/>
      </tp>
      <tp t="e">
        <v>#N/A</v>
        <stp/>
        <stp>BDH|582859438484534650</stp>
        <tr r="X98" s="12"/>
      </tp>
      <tp t="e">
        <v>#N/A</v>
        <stp/>
        <stp>BDH|758675319408395628</stp>
        <tr r="N47" s="21"/>
      </tp>
      <tp t="e">
        <v>#N/A</v>
        <stp/>
        <stp>BDH|873379851317344847</stp>
        <tr r="E24" s="5"/>
      </tp>
      <tp t="e">
        <v>#N/A</v>
        <stp/>
        <stp>BDH|403847035951887349</stp>
        <tr r="M95" s="12"/>
      </tp>
      <tp t="e">
        <v>#N/A</v>
        <stp/>
        <stp>BDH|847996133086392584</stp>
        <tr r="C92" s="18"/>
      </tp>
      <tp t="e">
        <v>#N/A</v>
        <stp/>
        <stp>BDH|647169204758866058</stp>
        <tr r="T42" s="24"/>
      </tp>
      <tp t="e">
        <v>#N/A</v>
        <stp/>
        <stp>BDH|276264577575986905</stp>
        <tr r="W32" s="10"/>
        <tr r="Y41" s="13"/>
      </tp>
      <tp t="e">
        <v>#N/A</v>
        <stp/>
        <stp>BDH|546532183353614794</stp>
        <tr r="M17" s="21"/>
      </tp>
      <tp t="e">
        <v>#N/A</v>
        <stp/>
        <stp>BDH|933585411558902528</stp>
        <tr r="O10" s="10"/>
      </tp>
      <tp t="e">
        <v>#N/A</v>
        <stp/>
        <stp>BDH|237005369396629968</stp>
        <tr r="I10" s="34"/>
      </tp>
      <tp t="e">
        <v>#N/A</v>
        <stp/>
        <stp>BDH|660243738739786167</stp>
        <tr r="W25" s="26"/>
      </tp>
      <tp t="e">
        <v>#N/A</v>
        <stp/>
        <stp>BDH|443190220488151278</stp>
        <tr r="L52" s="4"/>
        <tr r="N8" s="3"/>
        <tr r="L44" s="10"/>
        <tr r="L34" s="11"/>
        <tr r="N45" s="13"/>
      </tp>
      <tp t="e">
        <v>#N/A</v>
        <stp/>
        <stp>BDH|625748330854860917</stp>
        <tr r="J65" s="18"/>
      </tp>
      <tp t="e">
        <v>#N/A</v>
        <stp/>
        <stp>BDH|287842821254502761</stp>
        <tr r="T93" s="18"/>
      </tp>
      <tp t="e">
        <v>#N/A</v>
        <stp/>
        <stp>BDH|317339835249940081</stp>
        <tr r="T31" s="34"/>
      </tp>
      <tp t="e">
        <v>#N/A</v>
        <stp/>
        <stp>BDH|165562915528549535</stp>
        <tr r="N159" s="18"/>
      </tp>
      <tp t="e">
        <v>#N/A</v>
        <stp/>
        <stp>BDH|160529920508580624</stp>
        <tr r="V26" s="24"/>
      </tp>
      <tp t="e">
        <v>#N/A</v>
        <stp/>
        <stp>BDH|653605987864258378</stp>
        <tr r="J7" s="10"/>
      </tp>
      <tp t="e">
        <v>#N/A</v>
        <stp/>
        <stp>BDH|614341293353351078</stp>
        <tr r="K35" s="4"/>
      </tp>
      <tp t="e">
        <v>#N/A</v>
        <stp/>
        <stp>BDH|350443357891444914</stp>
        <tr r="K9" s="11"/>
      </tp>
      <tp t="e">
        <v>#N/A</v>
        <stp/>
        <stp>BDH|992766074870759990</stp>
        <tr r="O24" s="29"/>
      </tp>
      <tp t="e">
        <v>#N/A</v>
        <stp/>
        <stp>BDH|692023605471220854</stp>
        <tr r="Y53" s="18"/>
      </tp>
      <tp t="e">
        <v>#N/A</v>
        <stp/>
        <stp>BDH|449964120025475703</stp>
        <tr r="R53" s="10"/>
        <tr r="R43" s="11"/>
        <tr r="R16" s="7"/>
      </tp>
      <tp t="e">
        <v>#N/A</v>
        <stp/>
        <stp>BDH|843188782543525300</stp>
        <tr r="G12" s="3"/>
        <tr r="E55" s="10"/>
        <tr r="E45" s="11"/>
        <tr r="E7" s="7"/>
      </tp>
      <tp t="e">
        <v>#N/A</v>
        <stp/>
        <stp>BDH|551970681931616923</stp>
        <tr r="H14" s="28"/>
      </tp>
      <tp t="e">
        <v>#N/A</v>
        <stp/>
        <stp>BDH|472101484516049679</stp>
        <tr r="R137" s="18"/>
      </tp>
      <tp t="e">
        <v>#N/A</v>
        <stp/>
        <stp>BDH|891811378134417227</stp>
        <tr r="W72" s="13"/>
      </tp>
      <tp t="e">
        <v>#N/A</v>
        <stp/>
        <stp>BDH|606917124620013242</stp>
        <tr r="J30" s="5"/>
        <tr r="J30" s="9"/>
      </tp>
      <tp t="e">
        <v>#N/A</v>
        <stp/>
        <stp>BDH|645928432722994181</stp>
        <tr r="H92" s="12"/>
      </tp>
      <tp t="e">
        <v>#N/A</v>
        <stp/>
        <stp>BDH|544295477485507996</stp>
        <tr r="T54" s="12"/>
      </tp>
      <tp t="e">
        <v>#N/A</v>
        <stp/>
        <stp>BDH|465747503637018947</stp>
        <tr r="I29" s="34"/>
      </tp>
      <tp t="e">
        <v>#N/A</v>
        <stp/>
        <stp>BDH|108716624984119828</stp>
        <tr r="R9" s="29"/>
      </tp>
      <tp t="e">
        <v>#N/A</v>
        <stp/>
        <stp>BDH|636996428602877080</stp>
        <tr r="J32" s="9"/>
      </tp>
      <tp t="e">
        <v>#N/A</v>
        <stp/>
        <stp>BDH|334260496245708748</stp>
        <tr r="Y23" s="26"/>
      </tp>
      <tp t="e">
        <v>#N/A</v>
        <stp/>
        <stp>BDH|389863399458807043</stp>
        <tr r="Y39" s="34"/>
      </tp>
      <tp t="e">
        <v>#N/A</v>
        <stp/>
        <stp>BDH|342019183848103906</stp>
        <tr r="L69" s="13"/>
      </tp>
      <tp t="e">
        <v>#N/A</v>
        <stp/>
        <stp>BDH|806039620809310284</stp>
        <tr r="G13" s="24"/>
      </tp>
      <tp t="e">
        <v>#N/A</v>
        <stp/>
        <stp>BDH|929356793797620488</stp>
        <tr r="M183" s="18"/>
      </tp>
      <tp t="e">
        <v>#N/A</v>
        <stp/>
        <stp>BDH|125470183023005640</stp>
        <tr r="K73" s="13"/>
      </tp>
      <tp t="e">
        <v>#N/A</v>
        <stp/>
        <stp>BDH|177896458447450350</stp>
        <tr r="Z74" s="12"/>
      </tp>
      <tp t="e">
        <v>#N/A</v>
        <stp/>
        <stp>BDH|432533569819898371</stp>
        <tr r="R160" s="18"/>
      </tp>
      <tp t="e">
        <v>#N/A</v>
        <stp/>
        <stp>BDH|657566160312274836</stp>
        <tr r="M120" s="18"/>
        <tr r="M8" s="20"/>
      </tp>
      <tp t="e">
        <v>#N/A</v>
        <stp/>
        <stp>BDH|925580928647343988</stp>
        <tr r="AA45" s="12"/>
      </tp>
      <tp t="e">
        <v>#N/A</v>
        <stp/>
        <stp>BDH|287712727518045462</stp>
        <tr r="E208" s="18"/>
      </tp>
      <tp t="e">
        <v>#N/A</v>
        <stp/>
        <stp>BDH|498636645559007204</stp>
        <tr r="V9" s="26"/>
      </tp>
      <tp t="e">
        <v>#N/A</v>
        <stp/>
        <stp>BDH|407057794415550526</stp>
        <tr r="W108" s="18"/>
      </tp>
      <tp t="e">
        <v>#N/A</v>
        <stp/>
        <stp>BDH|619191229673623925</stp>
        <tr r="E77" s="17"/>
        <tr r="E19" s="3"/>
      </tp>
      <tp t="e">
        <v>#N/A</v>
        <stp/>
        <stp>BDH|225180098145245422</stp>
        <tr r="G142" s="18"/>
      </tp>
      <tp t="e">
        <v>#N/A</v>
        <stp/>
        <stp>BDH|761691395911219654</stp>
        <tr r="K36" s="34"/>
      </tp>
      <tp t="e">
        <v>#N/A</v>
        <stp/>
        <stp>BDH|393380487874848784</stp>
        <tr r="L63" s="18"/>
      </tp>
      <tp t="e">
        <v>#N/A</v>
        <stp/>
        <stp>BDH|429230883687053580</stp>
        <tr r="O12" s="6"/>
      </tp>
      <tp t="e">
        <v>#N/A</v>
        <stp/>
        <stp>BDH|487982932863764152</stp>
        <tr r="J68" s="12"/>
      </tp>
      <tp t="e">
        <v>#N/A</v>
        <stp/>
        <stp>BDH|632720381266995123</stp>
        <tr r="H24" s="9"/>
      </tp>
      <tp t="e">
        <v>#N/A</v>
        <stp/>
        <stp>BDH|227929655764336080</stp>
        <tr r="U24" s="4"/>
        <tr r="U55" s="11"/>
      </tp>
      <tp t="e">
        <v>#N/A</v>
        <stp/>
        <stp>BDH|885049574556408925</stp>
        <tr r="U48" s="17"/>
      </tp>
      <tp t="e">
        <v>#N/A</v>
        <stp/>
        <stp>BDH|294408678438553314</stp>
        <tr r="H17" s="22"/>
      </tp>
      <tp t="e">
        <v>#N/A</v>
        <stp/>
        <stp>BDH|686283525111508913</stp>
        <tr r="K7" s="10"/>
      </tp>
      <tp t="e">
        <v>#N/A</v>
        <stp/>
        <stp>BDH|161096947778936497</stp>
        <tr r="E23" s="14"/>
      </tp>
      <tp t="e">
        <v>#N/A</v>
        <stp/>
        <stp>BDH|237075800501276981</stp>
        <tr r="G18" s="14"/>
      </tp>
      <tp t="e">
        <v>#N/A</v>
        <stp/>
        <stp>BDH|813678915538739757</stp>
        <tr r="H49" s="21"/>
      </tp>
      <tp t="e">
        <v>#N/A</v>
        <stp/>
        <stp>BDH|220809119881189025</stp>
        <tr r="R8" s="17"/>
      </tp>
      <tp t="e">
        <v>#N/A</v>
        <stp/>
        <stp>BDH|323732509119215636</stp>
        <tr r="D39" s="25"/>
        <tr r="D7" s="3"/>
        <tr r="D22" s="13"/>
        <tr r="D7" s="13"/>
      </tp>
      <tp t="e">
        <v>#N/A</v>
        <stp/>
        <stp>BDH|599969755652799684</stp>
        <tr r="M32" s="17"/>
      </tp>
      <tp t="e">
        <v>#N/A</v>
        <stp/>
        <stp>BDH|797984583620030959</stp>
        <tr r="D73" s="24"/>
      </tp>
      <tp t="e">
        <v>#N/A</v>
        <stp/>
        <stp>BDH|604444203005174992</stp>
        <tr r="T64" s="21"/>
      </tp>
      <tp t="e">
        <v>#N/A</v>
        <stp/>
        <stp>BDH|980204062878001420</stp>
        <tr r="Y8" s="14"/>
      </tp>
      <tp t="e">
        <v>#N/A</v>
        <stp/>
        <stp>BDH|551347017318738286</stp>
        <tr r="K65" s="17"/>
      </tp>
      <tp t="e">
        <v>#N/A</v>
        <stp/>
        <stp>BDH|877024394967135652</stp>
        <tr r="E45" s="18"/>
      </tp>
      <tp t="e">
        <v>#N/A</v>
        <stp/>
        <stp>BDH|132186682071793076</stp>
        <tr r="Q109" s="18"/>
      </tp>
      <tp t="e">
        <v>#N/A</v>
        <stp/>
        <stp>BDH|346959005298132992</stp>
        <tr r="T8" s="10"/>
      </tp>
      <tp t="e">
        <v>#N/A</v>
        <stp/>
        <stp>BDH|569854709729771952</stp>
        <tr r="J24" s="24"/>
      </tp>
      <tp t="e">
        <v>#N/A</v>
        <stp/>
        <stp>BDH|866104191166777652</stp>
        <tr r="Y48" s="13"/>
      </tp>
      <tp t="e">
        <v>#N/A</v>
        <stp/>
        <stp>BDH|912666503166032870</stp>
        <tr r="F48" s="18"/>
      </tp>
      <tp t="e">
        <v>#N/A</v>
        <stp/>
        <stp>BDH|194964043286828387</stp>
        <tr r="C39" s="4"/>
        <tr r="C66" s="10"/>
      </tp>
      <tp t="e">
        <v>#N/A</v>
        <stp/>
        <stp>BDH|130726207937579851</stp>
        <tr r="O18" s="9"/>
      </tp>
      <tp t="e">
        <v>#N/A</v>
        <stp/>
        <stp>BDH|704937434316726438</stp>
        <tr r="W64" s="24"/>
      </tp>
      <tp t="e">
        <v>#N/A</v>
        <stp/>
        <stp>BDH|424125798569833923</stp>
        <tr r="P52" s="13"/>
      </tp>
      <tp t="e">
        <v>#N/A</v>
        <stp/>
        <stp>BDH|777977403405169462</stp>
        <tr r="P56" s="17"/>
      </tp>
      <tp t="e">
        <v>#N/A</v>
        <stp/>
        <stp>BDH|599036293413624266</stp>
        <tr r="K21" s="4"/>
      </tp>
      <tp t="e">
        <v>#N/A</v>
        <stp/>
        <stp>BDH|408071250819218449</stp>
        <tr r="D15" s="11"/>
      </tp>
      <tp t="e">
        <v>#N/A</v>
        <stp/>
        <stp>BDH|618029614199402018</stp>
        <tr r="N83" s="17"/>
      </tp>
      <tp t="e">
        <v>#N/A</v>
        <stp/>
        <stp>BDH|924876868534180219</stp>
        <tr r="O23" s="14"/>
      </tp>
      <tp t="e">
        <v>#N/A</v>
        <stp/>
        <stp>BDH|995387964374156933</stp>
        <tr r="U192" s="18"/>
      </tp>
      <tp t="e">
        <v>#N/A</v>
        <stp/>
        <stp>BDH|107351850847360906</stp>
        <tr r="W65" s="21"/>
        <tr r="U23" s="7"/>
      </tp>
      <tp t="e">
        <v>#N/A</v>
        <stp/>
        <stp>BDH|943683621085415932</stp>
        <tr r="M70" s="10"/>
        <tr r="M60" s="11"/>
        <tr r="M20" s="7"/>
      </tp>
      <tp t="e">
        <v>#N/A</v>
        <stp/>
        <stp>BDH|449549130706761875</stp>
        <tr r="K15" s="21"/>
      </tp>
      <tp t="e">
        <v>#N/A</v>
        <stp/>
        <stp>BDH|323654386817164114</stp>
        <tr r="Y35" s="14"/>
      </tp>
      <tp t="e">
        <v>#N/A</v>
        <stp/>
        <stp>BDH|915166883083572290</stp>
        <tr r="Z10" s="34"/>
      </tp>
      <tp t="e">
        <v>#N/A</v>
        <stp/>
        <stp>BDH|222648144302193837</stp>
        <tr r="I71" s="34"/>
      </tp>
      <tp t="e">
        <v>#N/A</v>
        <stp/>
        <stp>BDH|658036397333486273</stp>
        <tr r="W100" s="12"/>
      </tp>
      <tp t="e">
        <v>#N/A</v>
        <stp/>
        <stp>BDH|150243291157699433</stp>
        <tr r="K31" s="25"/>
        <tr r="H14" s="5"/>
        <tr r="K17" s="27"/>
      </tp>
      <tp t="e">
        <v>#N/A</v>
        <stp/>
        <stp>BDH|315036341395043904</stp>
        <tr r="G42" s="17"/>
      </tp>
      <tp t="e">
        <v>#N/A</v>
        <stp/>
        <stp>BDH|433766709176879910</stp>
        <tr r="Q60" s="34"/>
      </tp>
      <tp t="e">
        <v>#N/A</v>
        <stp/>
        <stp>BDH|475257053238542756</stp>
        <tr r="D86" s="24"/>
      </tp>
      <tp t="e">
        <v>#N/A</v>
        <stp/>
        <stp>BDH|800113869166558971</stp>
        <tr r="F20" s="34"/>
      </tp>
      <tp t="e">
        <v>#N/A</v>
        <stp/>
        <stp>BDH|850886500183076321</stp>
        <tr r="H83" s="17"/>
      </tp>
      <tp t="e">
        <v>#N/A</v>
        <stp/>
        <stp>BDH|506634891997279066</stp>
        <tr r="T15" s="9"/>
      </tp>
      <tp t="e">
        <v>#N/A</v>
        <stp/>
        <stp>BDH|509819356047987280</stp>
        <tr r="T15" s="21"/>
      </tp>
      <tp t="e">
        <v>#N/A</v>
        <stp/>
        <stp>BDH|674413768698408287</stp>
        <tr r="F55" s="13"/>
      </tp>
      <tp t="e">
        <v>#N/A</v>
        <stp/>
        <stp>BDH|408207329589490254</stp>
        <tr r="F24" s="18"/>
      </tp>
      <tp t="e">
        <v>#N/A</v>
        <stp/>
        <stp>BDH|565052829738256175</stp>
        <tr r="O24" s="9"/>
      </tp>
      <tp t="e">
        <v>#N/A</v>
        <stp/>
        <stp>BDH|145697220108592707</stp>
        <tr r="E22" s="12"/>
      </tp>
      <tp t="e">
        <v>#N/A</v>
        <stp/>
        <stp>BDH|708311302870191885</stp>
        <tr r="L72" s="24"/>
      </tp>
      <tp t="e">
        <v>#N/A</v>
        <stp/>
        <stp>BDH|904189211163873867</stp>
        <tr r="Z133" s="18"/>
      </tp>
      <tp t="e">
        <v>#N/A</v>
        <stp/>
        <stp>BDH|881344238482318990</stp>
        <tr r="N11" s="11"/>
      </tp>
      <tp t="e">
        <v>#N/A</v>
        <stp/>
        <stp>BDH|769509536959963461</stp>
        <tr r="F48" s="6"/>
        <tr r="H9" s="8"/>
      </tp>
      <tp t="e">
        <v>#N/A</v>
        <stp/>
        <stp>BDH|147881125952313305</stp>
        <tr r="G20" s="10"/>
      </tp>
      <tp t="e">
        <v>#N/A</v>
        <stp/>
        <stp>BDH|116859087909879248</stp>
        <tr r="X55" s="12"/>
      </tp>
      <tp t="e">
        <v>#N/A</v>
        <stp/>
        <stp>BDH|203966612635909607</stp>
        <tr r="F193" s="18"/>
      </tp>
      <tp t="e">
        <v>#N/A</v>
        <stp/>
        <stp>BDH|308511548079538306</stp>
        <tr r="X35" s="26"/>
      </tp>
      <tp t="e">
        <v>#N/A</v>
        <stp/>
        <stp>BDH|556109660508914447</stp>
        <tr r="I38" s="25"/>
      </tp>
      <tp t="e">
        <v>#N/A</v>
        <stp/>
        <stp>BDH|194016558516528858</stp>
        <tr r="L106" s="18"/>
      </tp>
      <tp t="e">
        <v>#N/A</v>
        <stp/>
        <stp>BDH|632829334011861115</stp>
        <tr r="E14" s="21"/>
      </tp>
      <tp t="e">
        <v>#N/A</v>
        <stp/>
        <stp>BDH|660374644055891945</stp>
        <tr r="AA141" s="18"/>
      </tp>
      <tp t="e">
        <v>#N/A</v>
        <stp/>
        <stp>BDH|828685418229417557</stp>
        <tr r="R23" s="23"/>
      </tp>
      <tp t="e">
        <v>#N/A</v>
        <stp/>
        <stp>BDH|900895865603425686</stp>
        <tr r="I32" s="14"/>
      </tp>
      <tp t="e">
        <v>#N/A</v>
        <stp/>
        <stp>BDH|588378892984252586</stp>
        <tr r="R20" s="2"/>
        <tr r="R18" s="4"/>
        <tr r="R58" s="10"/>
        <tr r="R48" s="11"/>
        <tr r="R19" s="7"/>
        <tr r="T74" s="13"/>
      </tp>
      <tp t="e">
        <v>#N/A</v>
        <stp/>
        <stp>BDH|189928418124693772</stp>
        <tr r="J23" s="14"/>
      </tp>
      <tp t="e">
        <v>#N/A</v>
        <stp/>
        <stp>BDH|245780601319486557</stp>
        <tr r="X43" s="22"/>
      </tp>
      <tp t="e">
        <v>#N/A</v>
        <stp/>
        <stp>BDH|108843729368599935</stp>
        <tr r="Q28" s="10"/>
        <tr r="S37" s="13"/>
      </tp>
      <tp t="e">
        <v>#N/A</v>
        <stp/>
        <stp>BDH|737891175804564041</stp>
        <tr r="C13" s="34"/>
      </tp>
      <tp t="e">
        <v>#N/A</v>
        <stp/>
        <stp>BDH|896104860319615542</stp>
        <tr r="S25" s="34"/>
      </tp>
      <tp t="e">
        <v>#N/A</v>
        <stp/>
        <stp>BDH|835151563749436500</stp>
        <tr r="M197" s="18"/>
      </tp>
      <tp t="e">
        <v>#N/A</v>
        <stp/>
        <stp>BDH|835987383488851213</stp>
        <tr r="X24" s="6"/>
      </tp>
      <tp t="e">
        <v>#N/A</v>
        <stp/>
        <stp>BDH|412965731147013688</stp>
        <tr r="Y11" s="17"/>
      </tp>
      <tp t="e">
        <v>#N/A</v>
        <stp/>
        <stp>BDH|289880233417552774</stp>
        <tr r="X30" s="5"/>
        <tr r="X30" s="9"/>
      </tp>
      <tp t="e">
        <v>#N/A</v>
        <stp/>
        <stp>BDH|509186518033964870</stp>
        <tr r="M10" s="4"/>
        <tr r="L6" s="16"/>
        <tr r="O6" s="3"/>
        <tr r="M6" s="11"/>
      </tp>
      <tp t="e">
        <v>#N/A</v>
        <stp/>
        <stp>BDH|812808737715207595</stp>
        <tr r="O24" s="20"/>
      </tp>
      <tp t="e">
        <v>#N/A</v>
        <stp/>
        <stp>BDH|221872074315488110</stp>
        <tr r="W132" s="18"/>
      </tp>
      <tp t="e">
        <v>#N/A</v>
        <stp/>
        <stp>BDH|971572916969401684</stp>
        <tr r="Q28" s="13"/>
      </tp>
      <tp t="e">
        <v>#N/A</v>
        <stp/>
        <stp>BDH|569438164991264841</stp>
        <tr r="G72" s="10"/>
        <tr r="G62" s="11"/>
      </tp>
      <tp t="e">
        <v>#N/A</v>
        <stp/>
        <stp>BDH|243781896611882410</stp>
        <tr r="E15" s="4"/>
      </tp>
      <tp t="e">
        <v>#N/A</v>
        <stp/>
        <stp>BDH|214917574760017522</stp>
        <tr r="E43" s="10"/>
        <tr r="E33" s="11"/>
      </tp>
      <tp t="e">
        <v>#N/A</v>
        <stp/>
        <stp>BDH|785409781693450472</stp>
        <tr r="I23" s="13"/>
      </tp>
      <tp t="e">
        <v>#N/A</v>
        <stp/>
        <stp>BDH|230233451579673508</stp>
        <tr r="D16" s="14"/>
      </tp>
      <tp t="e">
        <v>#N/A</v>
        <stp/>
        <stp>BDH|175823807437381416</stp>
        <tr r="G67" s="34"/>
      </tp>
      <tp t="e">
        <v>#N/A</v>
        <stp/>
        <stp>BDH|161399978627751813</stp>
        <tr r="W13" s="29"/>
        <tr r="W22" s="29"/>
        <tr r="W36" s="29"/>
      </tp>
      <tp t="e">
        <v>#N/A</v>
        <stp/>
        <stp>BDH|316722983831356573</stp>
        <tr r="K88" s="12"/>
      </tp>
      <tp t="e">
        <v>#N/A</v>
        <stp/>
        <stp>BDH|735826603655811681</stp>
        <tr r="Q44" s="24"/>
      </tp>
      <tp t="e">
        <v>#N/A</v>
        <stp/>
        <stp>BDH|161573036565674806</stp>
        <tr r="Q90" s="12"/>
      </tp>
      <tp t="e">
        <v>#N/A</v>
        <stp/>
        <stp>BDH|691603527727566831</stp>
        <tr r="R75" s="18"/>
      </tp>
      <tp t="e">
        <v>#N/A</v>
        <stp/>
        <stp>BDH|218323415509447069</stp>
        <tr r="Z78" s="12"/>
      </tp>
      <tp t="e">
        <v>#N/A</v>
        <stp/>
        <stp>BDH|211062571609214509</stp>
        <tr r="E102" s="12"/>
      </tp>
      <tp t="e">
        <v>#N/A</v>
        <stp/>
        <stp>BDH|632904360421569548</stp>
        <tr r="I71" s="18"/>
      </tp>
      <tp t="e">
        <v>#N/A</v>
        <stp/>
        <stp>BDH|450247102260653932</stp>
        <tr r="Z64" s="12"/>
      </tp>
      <tp t="e">
        <v>#N/A</v>
        <stp/>
        <stp>BDH|532774297184206178</stp>
        <tr r="Y9" s="17"/>
      </tp>
      <tp t="e">
        <v>#N/A</v>
        <stp/>
        <stp>BDH|429422692241788738</stp>
        <tr r="H13" s="17"/>
        <tr r="H16" s="28"/>
      </tp>
      <tp t="e">
        <v>#N/A</v>
        <stp/>
        <stp>BDH|624173470149837491</stp>
        <tr r="Z56" s="18"/>
      </tp>
      <tp t="e">
        <v>#N/A</v>
        <stp/>
        <stp>BDH|247012230791224911</stp>
        <tr r="H13" s="6"/>
      </tp>
      <tp t="e">
        <v>#N/A</v>
        <stp/>
        <stp>BDH|257950751446103171</stp>
        <tr r="M25" s="7"/>
      </tp>
      <tp t="e">
        <v>#N/A</v>
        <stp/>
        <stp>BDH|354776790182659721</stp>
        <tr r="Q13" s="29"/>
        <tr r="Q22" s="29"/>
        <tr r="Q36" s="29"/>
      </tp>
      <tp t="e">
        <v>#N/A</v>
        <stp/>
        <stp>BDH|543220723482075942</stp>
        <tr r="W22" s="6"/>
      </tp>
      <tp t="e">
        <v>#N/A</v>
        <stp/>
        <stp>BDH|549145430521684865</stp>
        <tr r="F93" s="12"/>
      </tp>
      <tp t="e">
        <v>#N/A</v>
        <stp/>
        <stp>BDH|910588016096318954</stp>
        <tr r="Z93" s="12"/>
      </tp>
      <tp t="e">
        <v>#N/A</v>
        <stp/>
        <stp>BDH|781531065631729971</stp>
        <tr r="S36" s="21"/>
      </tp>
      <tp t="e">
        <v>#N/A</v>
        <stp/>
        <stp>BDH|167075988691971265</stp>
        <tr r="AA28" s="13"/>
      </tp>
      <tp t="e">
        <v>#N/A</v>
        <stp/>
        <stp>BDH|884634444768962147</stp>
        <tr r="M82" s="17"/>
        <tr r="M20" s="3"/>
        <tr r="K6" s="7"/>
      </tp>
      <tp t="e">
        <v>#N/A</v>
        <stp/>
        <stp>BDH|249859801116135550</stp>
        <tr r="Z12" s="14"/>
      </tp>
      <tp t="e">
        <v>#N/A</v>
        <stp/>
        <stp>BDH|601041510859905395</stp>
        <tr r="U30" s="22"/>
      </tp>
      <tp t="e">
        <v>#N/A</v>
        <stp/>
        <stp>BDH|649792990976499397</stp>
        <tr r="V7" s="28"/>
      </tp>
      <tp t="e">
        <v>#N/A</v>
        <stp/>
        <stp>BDH|583980845873986522</stp>
        <tr r="G18" s="2"/>
        <tr r="G53" s="4"/>
        <tr r="G46" s="10"/>
        <tr r="G36" s="11"/>
        <tr r="I58" s="13"/>
      </tp>
      <tp t="e">
        <v>#N/A</v>
        <stp/>
        <stp>BDH|523754238547294899</stp>
        <tr r="Z146" s="18"/>
      </tp>
      <tp t="e">
        <v>#N/A</v>
        <stp/>
        <stp>BDH|963813477773513794</stp>
        <tr r="AA13" s="30"/>
      </tp>
      <tp t="e">
        <v>#N/A</v>
        <stp/>
        <stp>BDH|862107109289488292</stp>
        <tr r="Y80" s="24"/>
      </tp>
      <tp t="e">
        <v>#N/A</v>
        <stp/>
        <stp>BDH|777949673642836649</stp>
        <tr r="V53" s="10"/>
        <tr r="V43" s="11"/>
        <tr r="V16" s="7"/>
      </tp>
      <tp t="e">
        <v>#N/A</v>
        <stp/>
        <stp>BDH|269769998823022706</stp>
        <tr r="H26" s="13"/>
      </tp>
      <tp t="e">
        <v>#N/A</v>
        <stp/>
        <stp>BDH|324346497560441086</stp>
        <tr r="M35" s="22"/>
      </tp>
      <tp t="e">
        <v>#N/A</v>
        <stp/>
        <stp>BDH|459907865630402593</stp>
        <tr r="M84" s="12"/>
      </tp>
      <tp t="e">
        <v>#N/A</v>
        <stp/>
        <stp>BDH|155397419469503194</stp>
        <tr r="G135" s="18"/>
      </tp>
      <tp t="e">
        <v>#N/A</v>
        <stp/>
        <stp>BDH|275181257196468843</stp>
        <tr r="D15" s="30"/>
      </tp>
      <tp t="e">
        <v>#N/A</v>
        <stp/>
        <stp>BDH|960385389957713628</stp>
        <tr r="D90" s="12"/>
      </tp>
      <tp t="e">
        <v>#N/A</v>
        <stp/>
        <stp>BDH|409433289277072132</stp>
        <tr r="I35" s="4"/>
      </tp>
      <tp t="e">
        <v>#N/A</v>
        <stp/>
        <stp>BDH|392407192080721792</stp>
        <tr r="H91" s="18"/>
      </tp>
      <tp t="e">
        <v>#N/A</v>
        <stp/>
        <stp>BDH|403427865649472189</stp>
        <tr r="O29" s="29"/>
        <tr r="O7" s="29"/>
      </tp>
      <tp t="e">
        <v>#N/A</v>
        <stp/>
        <stp>BDH|709589485450277703</stp>
        <tr r="T73" s="10"/>
        <tr r="T63" s="11"/>
      </tp>
      <tp t="e">
        <v>#N/A</v>
        <stp/>
        <stp>BDH|930203887640193076</stp>
        <tr r="M8" s="10"/>
      </tp>
      <tp t="e">
        <v>#N/A</v>
        <stp/>
        <stp>BDH|265251902308810059</stp>
        <tr r="F65" s="17"/>
      </tp>
      <tp t="e">
        <v>#N/A</v>
        <stp/>
        <stp>BDH|309821573484889137</stp>
        <tr r="Q11" s="14"/>
      </tp>
      <tp t="e">
        <v>#N/A</v>
        <stp/>
        <stp>BDH|644079287637864573</stp>
        <tr r="R177" s="18"/>
      </tp>
      <tp t="e">
        <v>#N/A</v>
        <stp/>
        <stp>BDH|695071287481974369</stp>
        <tr r="AA165" s="18"/>
      </tp>
      <tp t="e">
        <v>#N/A</v>
        <stp/>
        <stp>BDH|503559079870729873</stp>
        <tr r="P31" s="5"/>
      </tp>
      <tp t="e">
        <v>#N/A</v>
        <stp/>
        <stp>BDH|272175088504355773</stp>
        <tr r="Y77" s="34"/>
      </tp>
      <tp t="e">
        <v>#N/A</v>
        <stp/>
        <stp>BDH|207187270414597851</stp>
        <tr r="N9" s="21"/>
      </tp>
      <tp t="e">
        <v>#N/A</v>
        <stp/>
        <stp>BDH|976574225499799460</stp>
        <tr r="C21" s="17"/>
        <tr r="C15" s="3"/>
      </tp>
      <tp t="e">
        <v>#N/A</v>
        <stp/>
        <stp>BDH|654861707697532581</stp>
        <tr r="S76" s="17"/>
        <tr r="P9" s="5"/>
        <tr r="P9" s="9"/>
      </tp>
      <tp t="e">
        <v>#N/A</v>
        <stp/>
        <stp>BDH|360301498186785675</stp>
        <tr r="W58" s="17"/>
      </tp>
      <tp t="e">
        <v>#N/A</v>
        <stp/>
        <stp>BDH|715507687771251696</stp>
        <tr r="W35" s="26"/>
      </tp>
      <tp t="e">
        <v>#N/A</v>
        <stp/>
        <stp>BDH|503657798684218110</stp>
        <tr r="Z44" s="24"/>
      </tp>
      <tp t="e">
        <v>#N/A</v>
        <stp/>
        <stp>BDH|599953681448995337</stp>
        <tr r="N34" s="22"/>
      </tp>
      <tp t="e">
        <v>#N/A</v>
        <stp/>
        <stp>BDH|932942068262742796</stp>
        <tr r="T18" s="5"/>
        <tr r="T37" s="6"/>
      </tp>
      <tp t="e">
        <v>#N/A</v>
        <stp/>
        <stp>BDH|804301095543744316</stp>
        <tr r="M23" s="22"/>
      </tp>
      <tp t="e">
        <v>#N/A</v>
        <stp/>
        <stp>BDH|477187783552675126</stp>
        <tr r="D47" s="34"/>
      </tp>
      <tp t="e">
        <v>#N/A</v>
        <stp/>
        <stp>BDH|562761803449608429</stp>
        <tr r="W40" s="24"/>
      </tp>
      <tp t="e">
        <v>#N/A</v>
        <stp/>
        <stp>BDH|687860546017066125</stp>
        <tr r="E10" s="22"/>
      </tp>
      <tp t="e">
        <v>#N/A</v>
        <stp/>
        <stp>BDH|460059886433511170</stp>
        <tr r="T25" s="18"/>
      </tp>
      <tp t="e">
        <v>#N/A</v>
        <stp/>
        <stp>BDH|149297005919817106</stp>
        <tr r="H40" s="17"/>
      </tp>
      <tp t="e">
        <v>#N/A</v>
        <stp/>
        <stp>BDH|101704777539600352</stp>
        <tr r="W68" s="12"/>
      </tp>
      <tp t="e">
        <v>#N/A</v>
        <stp/>
        <stp>BDH|726707517699543507</stp>
        <tr r="K34" s="29"/>
      </tp>
      <tp t="e">
        <v>#N/A</v>
        <stp/>
        <stp>BDH|310950641951175605</stp>
        <tr r="W19" s="9"/>
      </tp>
      <tp t="e">
        <v>#N/A</v>
        <stp/>
        <stp>BDH|856109498326357458</stp>
        <tr r="U98" s="12"/>
      </tp>
      <tp t="e">
        <v>#N/A</v>
        <stp/>
        <stp>BDH|638998424001867058</stp>
        <tr r="V14" s="10"/>
      </tp>
      <tp t="e">
        <v>#N/A</v>
        <stp/>
        <stp>BDH|767694474992925943</stp>
        <tr r="D27" s="34"/>
      </tp>
      <tp t="e">
        <v>#N/A</v>
        <stp/>
        <stp>BDH|665549476739772140</stp>
        <tr r="D27" s="10"/>
        <tr r="F36" s="13"/>
      </tp>
      <tp t="e">
        <v>#N/A</v>
        <stp/>
        <stp>BDH|488578332379350555</stp>
        <tr r="W210" s="18"/>
      </tp>
      <tp t="e">
        <v>#N/A</v>
        <stp/>
        <stp>BDH|635144045668108716</stp>
        <tr r="C62" s="18"/>
      </tp>
      <tp t="e">
        <v>#N/A</v>
        <stp/>
        <stp>BDH|471897364671801562</stp>
        <tr r="AA66" s="13"/>
      </tp>
      <tp t="e">
        <v>#N/A</v>
        <stp/>
        <stp>BDH|312805205012629006</stp>
        <tr r="K46" s="34"/>
      </tp>
      <tp t="e">
        <v>#N/A</v>
        <stp/>
        <stp>BDH|967701219039963596</stp>
        <tr r="E21" s="3"/>
      </tp>
      <tp t="e">
        <v>#N/A</v>
        <stp/>
        <stp>BDH|246032956497661813</stp>
        <tr r="M23" s="23"/>
      </tp>
      <tp t="e">
        <v>#N/A</v>
        <stp/>
        <stp>BDH|179585150303042992</stp>
        <tr r="L14" s="24"/>
      </tp>
      <tp t="e">
        <v>#N/A</v>
        <stp/>
        <stp>BDH|497012492012288140</stp>
        <tr r="M15" s="12"/>
      </tp>
      <tp t="e">
        <v>#N/A</v>
        <stp/>
        <stp>BDH|392018984302250057</stp>
        <tr r="S60" s="17"/>
      </tp>
      <tp t="e">
        <v>#N/A</v>
        <stp/>
        <stp>BDH|852310291217977704</stp>
        <tr r="AA67" s="13"/>
      </tp>
      <tp t="e">
        <v>#N/A</v>
        <stp/>
        <stp>BDH|151205244919774504</stp>
        <tr r="E55" s="17"/>
      </tp>
      <tp t="e">
        <v>#N/A</v>
        <stp/>
        <stp>BDH|490177763508264504</stp>
        <tr r="U22" s="27"/>
      </tp>
      <tp t="e">
        <v>#N/A</v>
        <stp/>
        <stp>BDH|748475512598149714</stp>
        <tr r="H20" s="17"/>
      </tp>
      <tp t="e">
        <v>#N/A</v>
        <stp/>
        <stp>BDH|508678698351889419</stp>
        <tr r="M18" s="13"/>
      </tp>
      <tp t="e">
        <v>#N/A</v>
        <stp/>
        <stp>BDH|297138235880549822</stp>
        <tr r="T23" s="25"/>
        <tr r="R20" s="11"/>
      </tp>
      <tp t="e">
        <v>#N/A</v>
        <stp/>
        <stp>BDH|231312683266587767</stp>
        <tr r="S31" s="22"/>
      </tp>
      <tp t="e">
        <v>#N/A</v>
        <stp/>
        <stp>BDH|278976287133712866</stp>
        <tr r="V85" s="12"/>
      </tp>
      <tp t="e">
        <v>#N/A</v>
        <stp/>
        <stp>BDH|111208786664691423</stp>
        <tr r="O93" s="24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tabSelected="1" workbookViewId="0">
      <selection activeCell="N11" sqref="N11"/>
    </sheetView>
  </sheetViews>
  <sheetFormatPr defaultRowHeight="15" x14ac:dyDescent="0.25"/>
  <cols>
    <col min="1" max="1" width="23.57031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8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31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</row>
    <row r="6" spans="1:27" x14ac:dyDescent="0.25">
      <c r="A6" s="6" t="s">
        <v>60</v>
      </c>
      <c r="B6" s="6" t="s">
        <v>61</v>
      </c>
      <c r="C6" s="19">
        <f>_xll.BDH("AMGN US Equity","HISTORICAL_MARKET_CAP","FQ2 2019","FQ2 2019","Currency=USD","Period=FQ","BEST_FPERIOD_OVERRIDE=FQ","FILING_STATUS=MR","SCALING_FORMAT=MLN","Sort=A","Dates=H","DateFormat=P","Fill=—","Direction=H","UseDPDF=Y")</f>
        <v>110954.988</v>
      </c>
      <c r="D6" s="19">
        <f>_xll.BDH("AMGN US Equity","HISTORICAL_MARKET_CAP","FQ3 2019","FQ3 2019","Currency=USD","Period=FQ","BEST_FPERIOD_OVERRIDE=FQ","FILING_STATUS=MR","SCALING_FORMAT=MLN","Sort=A","Dates=H","DateFormat=P","Fill=—","Direction=H","UseDPDF=Y")</f>
        <v>115370.662</v>
      </c>
      <c r="E6" s="19">
        <f>_xll.BDH("AMGN US Equity","HISTORICAL_MARKET_CAP","FQ4 2019","FQ4 2019","Currency=USD","Period=FQ","BEST_FPERIOD_OVERRIDE=FQ","FILING_STATUS=MR","SCALING_FORMAT=MLN","Sort=A","Dates=H","DateFormat=P","Fill=—","Direction=H","UseDPDF=Y")</f>
        <v>142568.79800000001</v>
      </c>
      <c r="F6" s="19">
        <f>_xll.BDH("AMGN US Equity","HISTORICAL_MARKET_CAP","FQ1 2020","FQ1 2020","Currency=USD","Period=FQ","BEST_FPERIOD_OVERRIDE=FQ","FILING_STATUS=MR","SCALING_FORMAT=MLN","Sort=A","Dates=H","DateFormat=P","Fill=—","Direction=H","UseDPDF=Y")</f>
        <v>119205.24</v>
      </c>
      <c r="G6" s="19">
        <f>_xll.BDH("AMGN US Equity","HISTORICAL_MARKET_CAP","FQ2 2020","FQ2 2020","Currency=USD","Period=FQ","BEST_FPERIOD_OVERRIDE=FQ","FILING_STATUS=MR","SCALING_FORMAT=MLN","Sort=A","Dates=H","DateFormat=P","Fill=—","Direction=H","UseDPDF=Y")</f>
        <v>138308.304</v>
      </c>
      <c r="H6" s="19">
        <f>_xll.BDH("AMGN US Equity","HISTORICAL_MARKET_CAP","FQ3 2020","FQ3 2020","Currency=USD","Period=FQ","BEST_FPERIOD_OVERRIDE=FQ","FILING_STATUS=MR","SCALING_FORMAT=MLN","Sort=A","Dates=H","DateFormat=P","Fill=—","Direction=H","UseDPDF=Y")</f>
        <v>148302.35999999999</v>
      </c>
      <c r="I6" s="19">
        <f>_xll.BDH("AMGN US Equity","HISTORICAL_MARKET_CAP","FQ4 2020","FQ4 2020","Currency=USD","Period=FQ","BEST_FPERIOD_OVERRIDE=FQ","FILING_STATUS=MR","SCALING_FORMAT=MLN","Sort=A","Dates=H","DateFormat=P","Fill=—","Direction=H","UseDPDF=Y")</f>
        <v>132962.736</v>
      </c>
      <c r="J6" s="19">
        <f>_xll.BDH("AMGN US Equity","HISTORICAL_MARKET_CAP","FQ1 2021","FQ1 2021","Currency=USD","Period=FQ","BEST_FPERIOD_OVERRIDE=FQ","FILING_STATUS=MR","SCALING_FORMAT=MLN","Sort=A","Dates=H","DateFormat=P","Fill=—","Direction=H","UseDPDF=Y")</f>
        <v>143140.39300000001</v>
      </c>
      <c r="K6" s="19">
        <f>_xll.BDH("AMGN US Equity","HISTORICAL_MARKET_CAP","FQ2 2021","FQ2 2021","Currency=USD","Period=FQ","BEST_FPERIOD_OVERRIDE=FQ","FILING_STATUS=MR","SCALING_FORMAT=MLN","Sort=A","Dates=H","DateFormat=P","Fill=—","Direction=H","UseDPDF=Y")</f>
        <v>138840</v>
      </c>
      <c r="L6" s="19">
        <f>_xll.BDH("AMGN US Equity","HISTORICAL_MARKET_CAP","FQ3 2021","FQ3 2021","Currency=USD","Period=FQ","BEST_FPERIOD_OVERRIDE=FQ","FILING_STATUS=MR","SCALING_FORMAT=MLN","Sort=A","Dates=H","DateFormat=P","Fill=—","Direction=H","UseDPDF=Y")</f>
        <v>120147.25</v>
      </c>
      <c r="M6" s="19">
        <f>_xll.BDH("AMGN US Equity","HISTORICAL_MARKET_CAP","FQ4 2021","FQ4 2021","Currency=USD","Period=FQ","BEST_FPERIOD_OVERRIDE=FQ","FILING_STATUS=MR","SCALING_FORMAT=MLN","Sort=A","Dates=H","DateFormat=P","Fill=—","Direction=H","UseDPDF=Y")</f>
        <v>120133.98</v>
      </c>
      <c r="N6" s="19">
        <f>_xll.BDH("AMGN US Equity","HISTORICAL_MARKET_CAP","FQ1 2022","FQ1 2022","Currency=USD","Period=FQ","BEST_FPERIOD_OVERRIDE=FQ","FILING_STATUS=MR","SCALING_FORMAT=MLN","Sort=A","Dates=H","DateFormat=P","Fill=—","Direction=H","UseDPDF=Y")</f>
        <v>129180.24400000001</v>
      </c>
      <c r="O6" s="19">
        <f>_xll.BDH("AMGN US Equity","HISTORICAL_MARKET_CAP","FQ2 2022","FQ2 2022","Currency=USD","Period=FQ","BEST_FPERIOD_OVERRIDE=FQ","FILING_STATUS=MR","SCALING_FORMAT=MLN","Sort=A","Dates=H","DateFormat=P","Fill=—","Direction=H","UseDPDF=Y")</f>
        <v>130141.17</v>
      </c>
      <c r="P6" s="19">
        <f>_xll.BDH("AMGN US Equity","HISTORICAL_MARKET_CAP","FQ3 2022","FQ3 2022","Currency=USD","Period=FQ","BEST_FPERIOD_OVERRIDE=FQ","FILING_STATUS=MR","SCALING_FORMAT=MLN","Sort=A","Dates=H","DateFormat=P","Fill=—","Direction=H","UseDPDF=Y")</f>
        <v>120250.9</v>
      </c>
      <c r="Q6" s="19">
        <f>_xll.BDH("AMGN US Equity","HISTORICAL_MARKET_CAP","FQ4 2022","FQ4 2022","Currency=USD","Period=FQ","BEST_FPERIOD_OVERRIDE=FQ","FILING_STATUS=MR","SCALING_FORMAT=MLN","Sort=A","Dates=H","DateFormat=P","Fill=—","Direction=H","UseDPDF=Y")</f>
        <v>140249.76</v>
      </c>
      <c r="R6" s="19">
        <f>_xll.BDH("AMGN US Equity","HISTORICAL_MARKET_CAP","FQ1 2023","FQ1 2023","Currency=USD","Period=FQ","BEST_FPERIOD_OVERRIDE=FQ","FILING_STATUS=MR","SCALING_FORMAT=MLN","Sort=A","Dates=H","DateFormat=P","Fill=—","Direction=H","UseDPDF=Y")</f>
        <v>129167.02499999999</v>
      </c>
      <c r="S6" s="19">
        <f>_xll.BDH("AMGN US Equity","HISTORICAL_MARKET_CAP","FQ2 2023","FQ2 2023","Currency=USD","Period=FQ","BEST_FPERIOD_OVERRIDE=FQ","FILING_STATUS=MR","SCALING_FORMAT=MLN","Sort=A","Dates=H","DateFormat=P","Fill=—","Direction=H","UseDPDF=Y")</f>
        <v>118758.49800000001</v>
      </c>
      <c r="T6" s="19">
        <f>_xll.BDH("AMGN US Equity","HISTORICAL_MARKET_CAP","FQ3 2023","FQ3 2023","Currency=USD","Period=FQ","BEST_FPERIOD_OVERRIDE=FQ","FILING_STATUS=MR","SCALING_FORMAT=MLN","Sort=A","Dates=H","DateFormat=P","Fill=—","Direction=H","UseDPDF=Y")</f>
        <v>143813.476</v>
      </c>
      <c r="U6" s="19">
        <f>_xll.BDH("AMGN US Equity","HISTORICAL_MARKET_CAP","FQ4 2023","FQ4 2023","Currency=USD","Period=FQ","BEST_FPERIOD_OVERRIDE=FQ","FILING_STATUS=MR","SCALING_FORMAT=MLN","Sort=A","Dates=H","DateFormat=P","Fill=—","Direction=H","UseDPDF=Y")</f>
        <v>154205.908</v>
      </c>
      <c r="V6" s="19">
        <f>_xll.BDH("AMGN US Equity","HISTORICAL_MARKET_CAP","FQ1 2024","FQ1 2024","Currency=USD","Period=FQ","BEST_FPERIOD_OVERRIDE=FQ","FILING_STATUS=MR","SCALING_FORMAT=MLN","Sort=A","Dates=H","DateFormat=P","Fill=—","Direction=H","UseDPDF=Y")</f>
        <v>152509.24799999999</v>
      </c>
      <c r="W6" s="19">
        <f>_xll.BDH("AMGN US Equity","HISTORICAL_MARKET_CAP","FQ2 2024","FQ2 2024","Currency=USD","Period=FQ","BEST_FPERIOD_OVERRIDE=FQ","FILING_STATUS=MR","SCALING_FORMAT=MLN","Sort=A","Dates=H","DateFormat=P","Fill=—","Direction=H","UseDPDF=Y")</f>
        <v>167848.14</v>
      </c>
      <c r="X6" s="19">
        <f>_xll.BDH("AMGN US Equity","HISTORICAL_MARKET_CAP","FQ3 2024","FQ3 2024","Currency=USD","Period=FQ","BEST_FPERIOD_OVERRIDE=FQ","FILING_STATUS=MR","SCALING_FORMAT=MLN","Sort=A","Dates=H","DateFormat=P","Fill=—","Direction=H","UseDPDF=Y")</f>
        <v>173187.875</v>
      </c>
      <c r="Y6" s="19">
        <f>_xll.BDH("AMGN US Equity","HISTORICAL_MARKET_CAP","FQ4 2024","FQ4 2024","Currency=USD","Period=FQ","BEST_FPERIOD_OVERRIDE=FQ","FILING_STATUS=MR","SCALING_FORMAT=MLN","Sort=A","Dates=H","DateFormat=P","Fill=—","Direction=H","UseDPDF=Y")</f>
        <v>139937.61600000001</v>
      </c>
      <c r="Z6" s="19"/>
      <c r="AA6" s="19"/>
    </row>
    <row r="7" spans="1:27" x14ac:dyDescent="0.25">
      <c r="A7" s="10" t="s">
        <v>62</v>
      </c>
      <c r="B7" s="10" t="s">
        <v>63</v>
      </c>
      <c r="C7" s="13">
        <f>_xll.BDH("AMGN US Equity","CASH_AND_MARKETABLE_SECURITIES","FQ2 2019","FQ2 2019","Currency=USD","Period=FQ","BEST_FPERIOD_OVERRIDE=FQ","FILING_STATUS=MR","SCALING_FORMAT=MLN","Sort=A","Dates=H","DateFormat=P","Fill=—","Direction=H","UseDPDF=Y")</f>
        <v>21758</v>
      </c>
      <c r="D7" s="13">
        <f>_xll.BDH("AMGN US Equity","CASH_AND_MARKETABLE_SECURITIES","FQ3 2019","FQ3 2019","Currency=USD","Period=FQ","BEST_FPERIOD_OVERRIDE=FQ","FILING_STATUS=MR","SCALING_FORMAT=MLN","Sort=A","Dates=H","DateFormat=P","Fill=—","Direction=H","UseDPDF=Y")</f>
        <v>20853</v>
      </c>
      <c r="E7" s="13">
        <f>_xll.BDH("AMGN US Equity","CASH_AND_MARKETABLE_SECURITIES","FQ4 2019","FQ4 2019","Currency=USD","Period=FQ","BEST_FPERIOD_OVERRIDE=FQ","FILING_STATUS=MR","SCALING_FORMAT=MLN","Sort=A","Dates=H","DateFormat=P","Fill=—","Direction=H","UseDPDF=Y")</f>
        <v>8911</v>
      </c>
      <c r="F7" s="13">
        <f>_xll.BDH("AMGN US Equity","CASH_AND_MARKETABLE_SECURITIES","FQ1 2020","FQ1 2020","Currency=USD","Period=FQ","BEST_FPERIOD_OVERRIDE=FQ","FILING_STATUS=MR","SCALING_FORMAT=MLN","Sort=A","Dates=H","DateFormat=P","Fill=—","Direction=H","UseDPDF=Y")</f>
        <v>8012</v>
      </c>
      <c r="G7" s="13">
        <f>_xll.BDH("AMGN US Equity","CASH_AND_MARKETABLE_SECURITIES","FQ2 2020","FQ2 2020","Currency=USD","Period=FQ","BEST_FPERIOD_OVERRIDE=FQ","FILING_STATUS=MR","SCALING_FORMAT=MLN","Sort=A","Dates=H","DateFormat=P","Fill=—","Direction=H","UseDPDF=Y")</f>
        <v>11421</v>
      </c>
      <c r="H7" s="13">
        <f>_xll.BDH("AMGN US Equity","CASH_AND_MARKETABLE_SECURITIES","FQ3 2020","FQ3 2020","Currency=USD","Period=FQ","BEST_FPERIOD_OVERRIDE=FQ","FILING_STATUS=MR","SCALING_FORMAT=MLN","Sort=A","Dates=H","DateFormat=P","Fill=—","Direction=H","UseDPDF=Y")</f>
        <v>12360</v>
      </c>
      <c r="I7" s="13">
        <f>_xll.BDH("AMGN US Equity","CASH_AND_MARKETABLE_SECURITIES","FQ4 2020","FQ4 2020","Currency=USD","Period=FQ","BEST_FPERIOD_OVERRIDE=FQ","FILING_STATUS=MR","SCALING_FORMAT=MLN","Sort=A","Dates=H","DateFormat=P","Fill=—","Direction=H","UseDPDF=Y")</f>
        <v>10647</v>
      </c>
      <c r="J7" s="13">
        <f>_xll.BDH("AMGN US Equity","CASH_AND_MARKETABLE_SECURITIES","FQ1 2021","FQ1 2021","Currency=USD","Period=FQ","BEST_FPERIOD_OVERRIDE=FQ","FILING_STATUS=MR","SCALING_FORMAT=MLN","Sort=A","Dates=H","DateFormat=P","Fill=—","Direction=H","UseDPDF=Y")</f>
        <v>10566</v>
      </c>
      <c r="K7" s="13">
        <f>_xll.BDH("AMGN US Equity","CASH_AND_MARKETABLE_SECURITIES","FQ2 2021","FQ2 2021","Currency=USD","Period=FQ","BEST_FPERIOD_OVERRIDE=FQ","FILING_STATUS=MR","SCALING_FORMAT=MLN","Sort=A","Dates=H","DateFormat=P","Fill=—","Direction=H","UseDPDF=Y")</f>
        <v>8082</v>
      </c>
      <c r="L7" s="13">
        <f>_xll.BDH("AMGN US Equity","CASH_AND_MARKETABLE_SECURITIES","FQ3 2021","FQ3 2021","Currency=USD","Period=FQ","BEST_FPERIOD_OVERRIDE=FQ","FILING_STATUS=MR","SCALING_FORMAT=MLN","Sort=A","Dates=H","DateFormat=P","Fill=—","Direction=H","UseDPDF=Y")</f>
        <v>12921</v>
      </c>
      <c r="M7" s="13">
        <f>_xll.BDH("AMGN US Equity","CASH_AND_MARKETABLE_SECURITIES","FQ4 2021","FQ4 2021","Currency=USD","Period=FQ","BEST_FPERIOD_OVERRIDE=FQ","FILING_STATUS=MR","SCALING_FORMAT=MLN","Sort=A","Dates=H","DateFormat=P","Fill=—","Direction=H","UseDPDF=Y")</f>
        <v>8037</v>
      </c>
      <c r="N7" s="13">
        <f>_xll.BDH("AMGN US Equity","CASH_AND_MARKETABLE_SECURITIES","FQ1 2022","FQ1 2022","Currency=USD","Period=FQ","BEST_FPERIOD_OVERRIDE=FQ","FILING_STATUS=MR","SCALING_FORMAT=MLN","Sort=A","Dates=H","DateFormat=P","Fill=—","Direction=H","UseDPDF=Y")</f>
        <v>6544</v>
      </c>
      <c r="O7" s="13">
        <f>_xll.BDH("AMGN US Equity","CASH_AND_MARKETABLE_SECURITIES","FQ2 2022","FQ2 2022","Currency=USD","Period=FQ","BEST_FPERIOD_OVERRIDE=FQ","FILING_STATUS=MR","SCALING_FORMAT=MLN","Sort=A","Dates=H","DateFormat=P","Fill=—","Direction=H","UseDPDF=Y")</f>
        <v>7183</v>
      </c>
      <c r="P7" s="13">
        <f>_xll.BDH("AMGN US Equity","CASH_AND_MARKETABLE_SECURITIES","FQ3 2022","FQ3 2022","Currency=USD","Period=FQ","BEST_FPERIOD_OVERRIDE=FQ","FILING_STATUS=MR","SCALING_FORMAT=MLN","Sort=A","Dates=H","DateFormat=P","Fill=—","Direction=H","UseDPDF=Y")</f>
        <v>11478</v>
      </c>
      <c r="Q7" s="13">
        <f>_xll.BDH("AMGN US Equity","CASH_AND_MARKETABLE_SECURITIES","FQ4 2022","FQ4 2022","Currency=USD","Period=FQ","BEST_FPERIOD_OVERRIDE=FQ","FILING_STATUS=MR","SCALING_FORMAT=MLN","Sort=A","Dates=H","DateFormat=P","Fill=—","Direction=H","UseDPDF=Y")</f>
        <v>9305</v>
      </c>
      <c r="R7" s="13">
        <f>_xll.BDH("AMGN US Equity","CASH_AND_MARKETABLE_SECURITIES","FQ1 2023","FQ1 2023","Currency=USD","Period=FQ","BEST_FPERIOD_OVERRIDE=FQ","FILING_STATUS=MR","SCALING_FORMAT=MLN","Sort=A","Dates=H","DateFormat=P","Fill=—","Direction=H","UseDPDF=Y")</f>
        <v>31561</v>
      </c>
      <c r="S7" s="13">
        <f>_xll.BDH("AMGN US Equity","CASH_AND_MARKETABLE_SECURITIES","FQ2 2023","FQ2 2023","Currency=USD","Period=FQ","BEST_FPERIOD_OVERRIDE=FQ","FILING_STATUS=MR","SCALING_FORMAT=MLN","Sort=A","Dates=H","DateFormat=P","Fill=—","Direction=H","UseDPDF=Y")</f>
        <v>34248</v>
      </c>
      <c r="T7" s="13">
        <f>_xll.BDH("AMGN US Equity","CASH_AND_MARKETABLE_SECURITIES","FQ3 2023","FQ3 2023","Currency=USD","Period=FQ","BEST_FPERIOD_OVERRIDE=FQ","FILING_STATUS=MR","SCALING_FORMAT=MLN","Sort=A","Dates=H","DateFormat=P","Fill=—","Direction=H","UseDPDF=Y")</f>
        <v>34741</v>
      </c>
      <c r="U7" s="13">
        <f>_xll.BDH("AMGN US Equity","CASH_AND_MARKETABLE_SECURITIES","FQ4 2023","FQ4 2023","Currency=USD","Period=FQ","BEST_FPERIOD_OVERRIDE=FQ","FILING_STATUS=MR","SCALING_FORMAT=MLN","Sort=A","Dates=H","DateFormat=P","Fill=—","Direction=H","UseDPDF=Y")</f>
        <v>10944</v>
      </c>
      <c r="V7" s="13">
        <f>_xll.BDH("AMGN US Equity","CASH_AND_MARKETABLE_SECURITIES","FQ1 2024","FQ1 2024","Currency=USD","Period=FQ","BEST_FPERIOD_OVERRIDE=FQ","FILING_STATUS=MR","SCALING_FORMAT=MLN","Sort=A","Dates=H","DateFormat=P","Fill=—","Direction=H","UseDPDF=Y")</f>
        <v>9708</v>
      </c>
      <c r="W7" s="13">
        <f>_xll.BDH("AMGN US Equity","CASH_AND_MARKETABLE_SECURITIES","FQ2 2024","FQ2 2024","Currency=USD","Period=FQ","BEST_FPERIOD_OVERRIDE=FQ","FILING_STATUS=MR","SCALING_FORMAT=MLN","Sort=A","Dates=H","DateFormat=P","Fill=—","Direction=H","UseDPDF=Y")</f>
        <v>9301</v>
      </c>
      <c r="X7" s="13">
        <f>_xll.BDH("AMGN US Equity","CASH_AND_MARKETABLE_SECURITIES","FQ3 2024","FQ3 2024","Currency=USD","Period=FQ","BEST_FPERIOD_OVERRIDE=FQ","FILING_STATUS=MR","SCALING_FORMAT=MLN","Sort=A","Dates=H","DateFormat=P","Fill=—","Direction=H","UseDPDF=Y")</f>
        <v>9011</v>
      </c>
      <c r="Y7" s="13">
        <f>_xll.BDH("AMGN US Equity","CASH_AND_MARKETABLE_SECURITIES","FQ4 2024","FQ4 2024","Currency=USD","Period=FQ","BEST_FPERIOD_OVERRIDE=FQ","FILING_STATUS=MR","SCALING_FORMAT=MLN","Sort=A","Dates=H","DateFormat=P","Fill=—","Direction=H","UseDPDF=Y")</f>
        <v>11973</v>
      </c>
      <c r="Z7" s="13"/>
      <c r="AA7" s="13"/>
    </row>
    <row r="8" spans="1:27" x14ac:dyDescent="0.25">
      <c r="A8" s="10" t="s">
        <v>64</v>
      </c>
      <c r="B8" s="10" t="s">
        <v>65</v>
      </c>
      <c r="C8" s="13">
        <f>_xll.BDH("AMGN US Equity","PFD_EQTY_MINORTY_INTEREST","FQ2 2019","FQ2 2019","Currency=USD","Period=FQ","BEST_FPERIOD_OVERRIDE=FQ","FILING_STATUS=MR","SCALING_FORMAT=MLN","Sort=A","Dates=H","DateFormat=P","Fill=—","Direction=H","UseDPDF=Y")</f>
        <v>0</v>
      </c>
      <c r="D8" s="13">
        <f>_xll.BDH("AMGN US Equity","PFD_EQTY_MINORTY_INTEREST","FQ3 2019","FQ3 2019","Currency=USD","Period=FQ","BEST_FPERIOD_OVERRIDE=FQ","FILING_STATUS=MR","SCALING_FORMAT=MLN","Sort=A","Dates=H","DateFormat=P","Fill=—","Direction=H","UseDPDF=Y")</f>
        <v>0</v>
      </c>
      <c r="E8" s="13">
        <f>_xll.BDH("AMGN US Equity","PFD_EQTY_MINORTY_INTEREST","FQ4 2019","FQ4 2019","Currency=USD","Period=FQ","BEST_FPERIOD_OVERRIDE=FQ","FILING_STATUS=MR","SCALING_FORMAT=MLN","Sort=A","Dates=H","DateFormat=P","Fill=—","Direction=H","UseDPDF=Y")</f>
        <v>0</v>
      </c>
      <c r="F8" s="13">
        <f>_xll.BDH("AMGN US Equity","PFD_EQTY_MINORTY_INTEREST","FQ1 2020","FQ1 2020","Currency=USD","Period=FQ","BEST_FPERIOD_OVERRIDE=FQ","FILING_STATUS=MR","SCALING_FORMAT=MLN","Sort=A","Dates=H","DateFormat=P","Fill=—","Direction=H","UseDPDF=Y")</f>
        <v>0</v>
      </c>
      <c r="G8" s="13">
        <f>_xll.BDH("AMGN US Equity","PFD_EQTY_MINORTY_INTEREST","FQ2 2020","FQ2 2020","Currency=USD","Period=FQ","BEST_FPERIOD_OVERRIDE=FQ","FILING_STATUS=MR","SCALING_FORMAT=MLN","Sort=A","Dates=H","DateFormat=P","Fill=—","Direction=H","UseDPDF=Y")</f>
        <v>0</v>
      </c>
      <c r="H8" s="13">
        <f>_xll.BDH("AMGN US Equity","PFD_EQTY_MINORTY_INTEREST","FQ3 2020","FQ3 2020","Currency=USD","Period=FQ","BEST_FPERIOD_OVERRIDE=FQ","FILING_STATUS=MR","SCALING_FORMAT=MLN","Sort=A","Dates=H","DateFormat=P","Fill=—","Direction=H","UseDPDF=Y")</f>
        <v>0</v>
      </c>
      <c r="I8" s="13">
        <f>_xll.BDH("AMGN US Equity","PFD_EQTY_MINORTY_INTEREST","FQ4 2020","FQ4 2020","Currency=USD","Period=FQ","BEST_FPERIOD_OVERRIDE=FQ","FILING_STATUS=MR","SCALING_FORMAT=MLN","Sort=A","Dates=H","DateFormat=P","Fill=—","Direction=H","UseDPDF=Y")</f>
        <v>0</v>
      </c>
      <c r="J8" s="13">
        <f>_xll.BDH("AMGN US Equity","PFD_EQTY_MINORTY_INTEREST","FQ1 2021","FQ1 2021","Currency=USD","Period=FQ","BEST_FPERIOD_OVERRIDE=FQ","FILING_STATUS=MR","SCALING_FORMAT=MLN","Sort=A","Dates=H","DateFormat=P","Fill=—","Direction=H","UseDPDF=Y")</f>
        <v>0</v>
      </c>
      <c r="K8" s="13">
        <f>_xll.BDH("AMGN US Equity","PFD_EQTY_MINORTY_INTEREST","FQ2 2021","FQ2 2021","Currency=USD","Period=FQ","BEST_FPERIOD_OVERRIDE=FQ","FILING_STATUS=MR","SCALING_FORMAT=MLN","Sort=A","Dates=H","DateFormat=P","Fill=—","Direction=H","UseDPDF=Y")</f>
        <v>0</v>
      </c>
      <c r="L8" s="13">
        <f>_xll.BDH("AMGN US Equity","PFD_EQTY_MINORTY_INTEREST","FQ3 2021","FQ3 2021","Currency=USD","Period=FQ","BEST_FPERIOD_OVERRIDE=FQ","FILING_STATUS=MR","SCALING_FORMAT=MLN","Sort=A","Dates=H","DateFormat=P","Fill=—","Direction=H","UseDPDF=Y")</f>
        <v>0</v>
      </c>
      <c r="M8" s="13">
        <f>_xll.BDH("AMGN US Equity","PFD_EQTY_MINORTY_INTEREST","FQ4 2021","FQ4 2021","Currency=USD","Period=FQ","BEST_FPERIOD_OVERRIDE=FQ","FILING_STATUS=MR","SCALING_FORMAT=MLN","Sort=A","Dates=H","DateFormat=P","Fill=—","Direction=H","UseDPDF=Y")</f>
        <v>0</v>
      </c>
      <c r="N8" s="13">
        <f>_xll.BDH("AMGN US Equity","PFD_EQTY_MINORTY_INTEREST","FQ1 2022","FQ1 2022","Currency=USD","Period=FQ","BEST_FPERIOD_OVERRIDE=FQ","FILING_STATUS=MR","SCALING_FORMAT=MLN","Sort=A","Dates=H","DateFormat=P","Fill=—","Direction=H","UseDPDF=Y")</f>
        <v>0</v>
      </c>
      <c r="O8" s="13">
        <f>_xll.BDH("AMGN US Equity","PFD_EQTY_MINORTY_INTEREST","FQ2 2022","FQ2 2022","Currency=USD","Period=FQ","BEST_FPERIOD_OVERRIDE=FQ","FILING_STATUS=MR","SCALING_FORMAT=MLN","Sort=A","Dates=H","DateFormat=P","Fill=—","Direction=H","UseDPDF=Y")</f>
        <v>0</v>
      </c>
      <c r="P8" s="13">
        <f>_xll.BDH("AMGN US Equity","PFD_EQTY_MINORTY_INTEREST","FQ3 2022","FQ3 2022","Currency=USD","Period=FQ","BEST_FPERIOD_OVERRIDE=FQ","FILING_STATUS=MR","SCALING_FORMAT=MLN","Sort=A","Dates=H","DateFormat=P","Fill=—","Direction=H","UseDPDF=Y")</f>
        <v>0</v>
      </c>
      <c r="Q8" s="13">
        <f>_xll.BDH("AMGN US Equity","PFD_EQTY_MINORTY_INTEREST","FQ4 2022","FQ4 2022","Currency=USD","Period=FQ","BEST_FPERIOD_OVERRIDE=FQ","FILING_STATUS=MR","SCALING_FORMAT=MLN","Sort=A","Dates=H","DateFormat=P","Fill=—","Direction=H","UseDPDF=Y")</f>
        <v>0</v>
      </c>
      <c r="R8" s="13">
        <f>_xll.BDH("AMGN US Equity","PFD_EQTY_MINORTY_INTEREST","FQ1 2023","FQ1 2023","Currency=USD","Period=FQ","BEST_FPERIOD_OVERRIDE=FQ","FILING_STATUS=MR","SCALING_FORMAT=MLN","Sort=A","Dates=H","DateFormat=P","Fill=—","Direction=H","UseDPDF=Y")</f>
        <v>0</v>
      </c>
      <c r="S8" s="13">
        <f>_xll.BDH("AMGN US Equity","PFD_EQTY_MINORTY_INTEREST","FQ2 2023","FQ2 2023","Currency=USD","Period=FQ","BEST_FPERIOD_OVERRIDE=FQ","FILING_STATUS=MR","SCALING_FORMAT=MLN","Sort=A","Dates=H","DateFormat=P","Fill=—","Direction=H","UseDPDF=Y")</f>
        <v>0</v>
      </c>
      <c r="T8" s="13">
        <f>_xll.BDH("AMGN US Equity","PFD_EQTY_MINORTY_INTEREST","FQ3 2023","FQ3 2023","Currency=USD","Period=FQ","BEST_FPERIOD_OVERRIDE=FQ","FILING_STATUS=MR","SCALING_FORMAT=MLN","Sort=A","Dates=H","DateFormat=P","Fill=—","Direction=H","UseDPDF=Y")</f>
        <v>0</v>
      </c>
      <c r="U8" s="13">
        <f>_xll.BDH("AMGN US Equity","PFD_EQTY_MINORTY_INTEREST","FQ4 2023","FQ4 2023","Currency=USD","Period=FQ","BEST_FPERIOD_OVERRIDE=FQ","FILING_STATUS=MR","SCALING_FORMAT=MLN","Sort=A","Dates=H","DateFormat=P","Fill=—","Direction=H","UseDPDF=Y")</f>
        <v>0</v>
      </c>
      <c r="V8" s="13">
        <f>_xll.BDH("AMGN US Equity","PFD_EQTY_MINORTY_INTEREST","FQ1 2024","FQ1 2024","Currency=USD","Period=FQ","BEST_FPERIOD_OVERRIDE=FQ","FILING_STATUS=MR","SCALING_FORMAT=MLN","Sort=A","Dates=H","DateFormat=P","Fill=—","Direction=H","UseDPDF=Y")</f>
        <v>0</v>
      </c>
      <c r="W8" s="13">
        <f>_xll.BDH("AMGN US Equity","PFD_EQTY_MINORTY_INTEREST","FQ2 2024","FQ2 2024","Currency=USD","Period=FQ","BEST_FPERIOD_OVERRIDE=FQ","FILING_STATUS=MR","SCALING_FORMAT=MLN","Sort=A","Dates=H","DateFormat=P","Fill=—","Direction=H","UseDPDF=Y")</f>
        <v>0</v>
      </c>
      <c r="X8" s="13">
        <f>_xll.BDH("AMGN US Equity","PFD_EQTY_MINORTY_INTEREST","FQ3 2024","FQ3 2024","Currency=USD","Period=FQ","BEST_FPERIOD_OVERRIDE=FQ","FILING_STATUS=MR","SCALING_FORMAT=MLN","Sort=A","Dates=H","DateFormat=P","Fill=—","Direction=H","UseDPDF=Y")</f>
        <v>0</v>
      </c>
      <c r="Y8" s="13">
        <f>_xll.BDH("AMGN US Equity","PFD_EQTY_MINORTY_INTEREST","FQ4 2024","FQ4 2024","Currency=USD","Period=FQ","BEST_FPERIOD_OVERRIDE=FQ","FILING_STATUS=MR","SCALING_FORMAT=MLN","Sort=A","Dates=H","DateFormat=P","Fill=—","Direction=H","UseDPDF=Y")</f>
        <v>0</v>
      </c>
      <c r="Z8" s="13"/>
      <c r="AA8" s="13"/>
    </row>
    <row r="9" spans="1:27" x14ac:dyDescent="0.25">
      <c r="A9" s="10" t="s">
        <v>66</v>
      </c>
      <c r="B9" s="10" t="s">
        <v>67</v>
      </c>
      <c r="C9" s="13">
        <f>_xll.BDH("AMGN US Equity","SHORT_AND_LONG_TERM_DEBT","FQ2 2019","FQ2 2019","Currency=USD","Period=FQ","BEST_FPERIOD_OVERRIDE=FQ","FILING_STATUS=MR","SCALING_FORMAT=MLN","Sort=A","Dates=H","DateFormat=P","Fill=—","Direction=H","UseDPDF=Y")</f>
        <v>31111</v>
      </c>
      <c r="D9" s="13">
        <f>_xll.BDH("AMGN US Equity","SHORT_AND_LONG_TERM_DEBT","FQ3 2019","FQ3 2019","Currency=USD","Period=FQ","BEST_FPERIOD_OVERRIDE=FQ","FILING_STATUS=MR","SCALING_FORMAT=MLN","Sort=A","Dates=H","DateFormat=P","Fill=—","Direction=H","UseDPDF=Y")</f>
        <v>30277</v>
      </c>
      <c r="E9" s="13">
        <f>_xll.BDH("AMGN US Equity","SHORT_AND_LONG_TERM_DEBT","FQ4 2019","FQ4 2019","Currency=USD","Period=FQ","BEST_FPERIOD_OVERRIDE=FQ","FILING_STATUS=MR","SCALING_FORMAT=MLN","Sort=A","Dates=H","DateFormat=P","Fill=—","Direction=H","UseDPDF=Y")</f>
        <v>30431</v>
      </c>
      <c r="F9" s="13">
        <f>_xll.BDH("AMGN US Equity","SHORT_AND_LONG_TERM_DEBT","FQ1 2020","FQ1 2020","Currency=USD","Period=FQ","BEST_FPERIOD_OVERRIDE=FQ","FILING_STATUS=MR","SCALING_FORMAT=MLN","Sort=A","Dates=H","DateFormat=P","Fill=—","Direction=H","UseDPDF=Y")</f>
        <v>31848</v>
      </c>
      <c r="G9" s="13">
        <f>_xll.BDH("AMGN US Equity","SHORT_AND_LONG_TERM_DEBT","FQ2 2020","FQ2 2020","Currency=USD","Period=FQ","BEST_FPERIOD_OVERRIDE=FQ","FILING_STATUS=MR","SCALING_FORMAT=MLN","Sort=A","Dates=H","DateFormat=P","Fill=—","Direction=H","UseDPDF=Y")</f>
        <v>34224</v>
      </c>
      <c r="H9" s="13">
        <f>_xll.BDH("AMGN US Equity","SHORT_AND_LONG_TERM_DEBT","FQ3 2020","FQ3 2020","Currency=USD","Period=FQ","BEST_FPERIOD_OVERRIDE=FQ","FILING_STATUS=MR","SCALING_FORMAT=MLN","Sort=A","Dates=H","DateFormat=P","Fill=—","Direction=H","UseDPDF=Y")</f>
        <v>34287</v>
      </c>
      <c r="I9" s="13">
        <f>_xll.BDH("AMGN US Equity","SHORT_AND_LONG_TERM_DEBT","FQ4 2020","FQ4 2020","Currency=USD","Period=FQ","BEST_FPERIOD_OVERRIDE=FQ","FILING_STATUS=MR","SCALING_FORMAT=MLN","Sort=A","Dates=H","DateFormat=P","Fill=—","Direction=H","UseDPDF=Y")</f>
        <v>33445</v>
      </c>
      <c r="J9" s="13">
        <f>_xll.BDH("AMGN US Equity","SHORT_AND_LONG_TERM_DEBT","FQ1 2021","FQ1 2021","Currency=USD","Period=FQ","BEST_FPERIOD_OVERRIDE=FQ","FILING_STATUS=MR","SCALING_FORMAT=MLN","Sort=A","Dates=H","DateFormat=P","Fill=—","Direction=H","UseDPDF=Y")</f>
        <v>32685</v>
      </c>
      <c r="K9" s="13">
        <f>_xll.BDH("AMGN US Equity","SHORT_AND_LONG_TERM_DEBT","FQ2 2021","FQ2 2021","Currency=USD","Period=FQ","BEST_FPERIOD_OVERRIDE=FQ","FILING_STATUS=MR","SCALING_FORMAT=MLN","Sort=A","Dates=H","DateFormat=P","Fill=—","Direction=H","UseDPDF=Y")</f>
        <v>32782</v>
      </c>
      <c r="L9" s="13">
        <f>_xll.BDH("AMGN US Equity","SHORT_AND_LONG_TERM_DEBT","FQ3 2021","FQ3 2021","Currency=USD","Period=FQ","BEST_FPERIOD_OVERRIDE=FQ","FILING_STATUS=MR","SCALING_FORMAT=MLN","Sort=A","Dates=H","DateFormat=P","Fill=—","Direction=H","UseDPDF=Y")</f>
        <v>37579</v>
      </c>
      <c r="M9" s="13">
        <f>_xll.BDH("AMGN US Equity","SHORT_AND_LONG_TERM_DEBT","FQ4 2021","FQ4 2021","Currency=USD","Period=FQ","BEST_FPERIOD_OVERRIDE=FQ","FILING_STATUS=MR","SCALING_FORMAT=MLN","Sort=A","Dates=H","DateFormat=P","Fill=—","Direction=H","UseDPDF=Y")</f>
        <v>33979</v>
      </c>
      <c r="N9" s="13">
        <f>_xll.BDH("AMGN US Equity","SHORT_AND_LONG_TERM_DEBT","FQ1 2022","FQ1 2022","Currency=USD","Period=FQ","BEST_FPERIOD_OVERRIDE=FQ","FILING_STATUS=MR","SCALING_FORMAT=MLN","Sort=A","Dates=H","DateFormat=P","Fill=—","Direction=H","UseDPDF=Y")</f>
        <v>36854</v>
      </c>
      <c r="O9" s="13">
        <f>_xll.BDH("AMGN US Equity","SHORT_AND_LONG_TERM_DEBT","FQ2 2022","FQ2 2022","Currency=USD","Period=FQ","BEST_FPERIOD_OVERRIDE=FQ","FILING_STATUS=MR","SCALING_FORMAT=MLN","Sort=A","Dates=H","DateFormat=P","Fill=—","Direction=H","UseDPDF=Y")</f>
        <v>36522</v>
      </c>
      <c r="P9" s="13">
        <f>_xll.BDH("AMGN US Equity","SHORT_AND_LONG_TERM_DEBT","FQ3 2022","FQ3 2022","Currency=USD","Period=FQ","BEST_FPERIOD_OVERRIDE=FQ","FILING_STATUS=MR","SCALING_FORMAT=MLN","Sort=A","Dates=H","DateFormat=P","Fill=—","Direction=H","UseDPDF=Y")</f>
        <v>38704</v>
      </c>
      <c r="Q9" s="13">
        <f>_xll.BDH("AMGN US Equity","SHORT_AND_LONG_TERM_DEBT","FQ4 2022","FQ4 2022","Currency=USD","Period=FQ","BEST_FPERIOD_OVERRIDE=FQ","FILING_STATUS=MR","SCALING_FORMAT=MLN","Sort=A","Dates=H","DateFormat=P","Fill=—","Direction=H","UseDPDF=Y")</f>
        <v>39640</v>
      </c>
      <c r="R9" s="13">
        <f>_xll.BDH("AMGN US Equity","SHORT_AND_LONG_TERM_DEBT","FQ1 2023","FQ1 2023","Currency=USD","Period=FQ","BEST_FPERIOD_OVERRIDE=FQ","FILING_STATUS=MR","SCALING_FORMAT=MLN","Sort=A","Dates=H","DateFormat=P","Fill=—","Direction=H","UseDPDF=Y")</f>
        <v>61595</v>
      </c>
      <c r="S9" s="13">
        <f>_xll.BDH("AMGN US Equity","SHORT_AND_LONG_TERM_DEBT","FQ2 2023","FQ2 2023","Currency=USD","Period=FQ","BEST_FPERIOD_OVERRIDE=FQ","FILING_STATUS=MR","SCALING_FORMAT=MLN","Sort=A","Dates=H","DateFormat=P","Fill=—","Direction=H","UseDPDF=Y")</f>
        <v>61544</v>
      </c>
      <c r="T9" s="13">
        <f>_xll.BDH("AMGN US Equity","SHORT_AND_LONG_TERM_DEBT","FQ3 2023","FQ3 2023","Currency=USD","Period=FQ","BEST_FPERIOD_OVERRIDE=FQ","FILING_STATUS=MR","SCALING_FORMAT=MLN","Sort=A","Dates=H","DateFormat=P","Fill=—","Direction=H","UseDPDF=Y")</f>
        <v>60468</v>
      </c>
      <c r="U9" s="13">
        <f>_xll.BDH("AMGN US Equity","SHORT_AND_LONG_TERM_DEBT","FQ4 2023","FQ4 2023","Currency=USD","Period=FQ","BEST_FPERIOD_OVERRIDE=FQ","FILING_STATUS=MR","SCALING_FORMAT=MLN","Sort=A","Dates=H","DateFormat=P","Fill=—","Direction=H","UseDPDF=Y")</f>
        <v>65423</v>
      </c>
      <c r="V9" s="13">
        <f>_xll.BDH("AMGN US Equity","SHORT_AND_LONG_TERM_DEBT","FQ1 2024","FQ1 2024","Currency=USD","Period=FQ","BEST_FPERIOD_OVERRIDE=FQ","FILING_STATUS=MR","SCALING_FORMAT=MLN","Sort=A","Dates=H","DateFormat=P","Fill=—","Direction=H","UseDPDF=Y")</f>
        <v>64020</v>
      </c>
      <c r="W9" s="13">
        <f>_xll.BDH("AMGN US Equity","SHORT_AND_LONG_TERM_DEBT","FQ2 2024","FQ2 2024","Currency=USD","Period=FQ","BEST_FPERIOD_OVERRIDE=FQ","FILING_STATUS=MR","SCALING_FORMAT=MLN","Sort=A","Dates=H","DateFormat=P","Fill=—","Direction=H","UseDPDF=Y")</f>
        <v>62645</v>
      </c>
      <c r="X9" s="13">
        <f>_xll.BDH("AMGN US Equity","SHORT_AND_LONG_TERM_DEBT","FQ3 2024","FQ3 2024","Currency=USD","Period=FQ","BEST_FPERIOD_OVERRIDE=FQ","FILING_STATUS=MR","SCALING_FORMAT=MLN","Sort=A","Dates=H","DateFormat=P","Fill=—","Direction=H","UseDPDF=Y")</f>
        <v>60398</v>
      </c>
      <c r="Y9" s="13">
        <f>_xll.BDH("AMGN US Equity","SHORT_AND_LONG_TERM_DEBT","FQ4 2024","FQ4 2024","Currency=USD","Period=FQ","BEST_FPERIOD_OVERRIDE=FQ","FILING_STATUS=MR","SCALING_FORMAT=MLN","Sort=A","Dates=H","DateFormat=P","Fill=—","Direction=H","UseDPDF=Y")</f>
        <v>60879</v>
      </c>
      <c r="Z9" s="13"/>
      <c r="AA9" s="13"/>
    </row>
    <row r="10" spans="1:27" x14ac:dyDescent="0.25">
      <c r="A10" s="6" t="s">
        <v>68</v>
      </c>
      <c r="B10" s="6" t="s">
        <v>69</v>
      </c>
      <c r="C10" s="19">
        <f>_xll.BDH("AMGN US Equity","ENTERPRISE_VALUE","FQ2 2019","FQ2 2019","Currency=USD","Period=FQ","BEST_FPERIOD_OVERRIDE=FQ","FILING_STATUS=MR","SCALING_FORMAT=MLN","Sort=A","Dates=H","DateFormat=P","Fill=—","Direction=H","UseDPDF=Y")</f>
        <v>120307.988</v>
      </c>
      <c r="D10" s="19">
        <f>_xll.BDH("AMGN US Equity","ENTERPRISE_VALUE","FQ3 2019","FQ3 2019","Currency=USD","Period=FQ","BEST_FPERIOD_OVERRIDE=FQ","FILING_STATUS=MR","SCALING_FORMAT=MLN","Sort=A","Dates=H","DateFormat=P","Fill=—","Direction=H","UseDPDF=Y")</f>
        <v>124794.662</v>
      </c>
      <c r="E10" s="19">
        <f>_xll.BDH("AMGN US Equity","ENTERPRISE_VALUE","FQ4 2019","FQ4 2019","Currency=USD","Period=FQ","BEST_FPERIOD_OVERRIDE=FQ","FILING_STATUS=MR","SCALING_FORMAT=MLN","Sort=A","Dates=H","DateFormat=P","Fill=—","Direction=H","UseDPDF=Y")</f>
        <v>164088.79800000001</v>
      </c>
      <c r="F10" s="19">
        <f>_xll.BDH("AMGN US Equity","ENTERPRISE_VALUE","FQ1 2020","FQ1 2020","Currency=USD","Period=FQ","BEST_FPERIOD_OVERRIDE=FQ","FILING_STATUS=MR","SCALING_FORMAT=MLN","Sort=A","Dates=H","DateFormat=P","Fill=—","Direction=H","UseDPDF=Y")</f>
        <v>143041.24</v>
      </c>
      <c r="G10" s="19">
        <f>_xll.BDH("AMGN US Equity","ENTERPRISE_VALUE","FQ2 2020","FQ2 2020","Currency=USD","Period=FQ","BEST_FPERIOD_OVERRIDE=FQ","FILING_STATUS=MR","SCALING_FORMAT=MLN","Sort=A","Dates=H","DateFormat=P","Fill=—","Direction=H","UseDPDF=Y")</f>
        <v>161111.304</v>
      </c>
      <c r="H10" s="19">
        <f>_xll.BDH("AMGN US Equity","ENTERPRISE_VALUE","FQ3 2020","FQ3 2020","Currency=USD","Period=FQ","BEST_FPERIOD_OVERRIDE=FQ","FILING_STATUS=MR","SCALING_FORMAT=MLN","Sort=A","Dates=H","DateFormat=P","Fill=—","Direction=H","UseDPDF=Y")</f>
        <v>170229.36</v>
      </c>
      <c r="I10" s="19">
        <f>_xll.BDH("AMGN US Equity","ENTERPRISE_VALUE","FQ4 2020","FQ4 2020","Currency=USD","Period=FQ","BEST_FPERIOD_OVERRIDE=FQ","FILING_STATUS=MR","SCALING_FORMAT=MLN","Sort=A","Dates=H","DateFormat=P","Fill=—","Direction=H","UseDPDF=Y")</f>
        <v>155760.736</v>
      </c>
      <c r="J10" s="19">
        <f>_xll.BDH("AMGN US Equity","ENTERPRISE_VALUE","FQ1 2021","FQ1 2021","Currency=USD","Period=FQ","BEST_FPERIOD_OVERRIDE=FQ","FILING_STATUS=MR","SCALING_FORMAT=MLN","Sort=A","Dates=H","DateFormat=P","Fill=—","Direction=H","UseDPDF=Y")</f>
        <v>165259.39300000001</v>
      </c>
      <c r="K10" s="19">
        <f>_xll.BDH("AMGN US Equity","ENTERPRISE_VALUE","FQ2 2021","FQ2 2021","Currency=USD","Period=FQ","BEST_FPERIOD_OVERRIDE=FQ","FILING_STATUS=MR","SCALING_FORMAT=MLN","Sort=A","Dates=H","DateFormat=P","Fill=—","Direction=H","UseDPDF=Y")</f>
        <v>163540</v>
      </c>
      <c r="L10" s="19">
        <f>_xll.BDH("AMGN US Equity","ENTERPRISE_VALUE","FQ3 2021","FQ3 2021","Currency=USD","Period=FQ","BEST_FPERIOD_OVERRIDE=FQ","FILING_STATUS=MR","SCALING_FORMAT=MLN","Sort=A","Dates=H","DateFormat=P","Fill=—","Direction=H","UseDPDF=Y")</f>
        <v>144805.25</v>
      </c>
      <c r="M10" s="19">
        <f>_xll.BDH("AMGN US Equity","ENTERPRISE_VALUE","FQ4 2021","FQ4 2021","Currency=USD","Period=FQ","BEST_FPERIOD_OVERRIDE=FQ","FILING_STATUS=MR","SCALING_FORMAT=MLN","Sort=A","Dates=H","DateFormat=P","Fill=—","Direction=H","UseDPDF=Y")</f>
        <v>146075.98000000001</v>
      </c>
      <c r="N10" s="19">
        <f>_xll.BDH("AMGN US Equity","ENTERPRISE_VALUE","FQ1 2022","FQ1 2022","Currency=USD","Period=FQ","BEST_FPERIOD_OVERRIDE=FQ","FILING_STATUS=MR","SCALING_FORMAT=MLN","Sort=A","Dates=H","DateFormat=P","Fill=—","Direction=H","UseDPDF=Y")</f>
        <v>159490.24400000001</v>
      </c>
      <c r="O10" s="19">
        <f>_xll.BDH("AMGN US Equity","ENTERPRISE_VALUE","FQ2 2022","FQ2 2022","Currency=USD","Period=FQ","BEST_FPERIOD_OVERRIDE=FQ","FILING_STATUS=MR","SCALING_FORMAT=MLN","Sort=A","Dates=H","DateFormat=P","Fill=—","Direction=H","UseDPDF=Y")</f>
        <v>159480.17000000001</v>
      </c>
      <c r="P10" s="19">
        <f>_xll.BDH("AMGN US Equity","ENTERPRISE_VALUE","FQ3 2022","FQ3 2022","Currency=USD","Period=FQ","BEST_FPERIOD_OVERRIDE=FQ","FILING_STATUS=MR","SCALING_FORMAT=MLN","Sort=A","Dates=H","DateFormat=P","Fill=—","Direction=H","UseDPDF=Y")</f>
        <v>147476.9</v>
      </c>
      <c r="Q10" s="19">
        <f>_xll.BDH("AMGN US Equity","ENTERPRISE_VALUE","FQ4 2022","FQ4 2022","Currency=USD","Period=FQ","BEST_FPERIOD_OVERRIDE=FQ","FILING_STATUS=MR","SCALING_FORMAT=MLN","Sort=A","Dates=H","DateFormat=P","Fill=—","Direction=H","UseDPDF=Y")</f>
        <v>170584.76</v>
      </c>
      <c r="R10" s="19">
        <f>_xll.BDH("AMGN US Equity","ENTERPRISE_VALUE","FQ1 2023","FQ1 2023","Currency=USD","Period=FQ","BEST_FPERIOD_OVERRIDE=FQ","FILING_STATUS=MR","SCALING_FORMAT=MLN","Sort=A","Dates=H","DateFormat=P","Fill=—","Direction=H","UseDPDF=Y")</f>
        <v>159201.02499999999</v>
      </c>
      <c r="S10" s="19">
        <f>_xll.BDH("AMGN US Equity","ENTERPRISE_VALUE","FQ2 2023","FQ2 2023","Currency=USD","Period=FQ","BEST_FPERIOD_OVERRIDE=FQ","FILING_STATUS=MR","SCALING_FORMAT=MLN","Sort=A","Dates=H","DateFormat=P","Fill=—","Direction=H","UseDPDF=Y")</f>
        <v>146054.49799999999</v>
      </c>
      <c r="T10" s="19">
        <f>_xll.BDH("AMGN US Equity","ENTERPRISE_VALUE","FQ3 2023","FQ3 2023","Currency=USD","Period=FQ","BEST_FPERIOD_OVERRIDE=FQ","FILING_STATUS=MR","SCALING_FORMAT=MLN","Sort=A","Dates=H","DateFormat=P","Fill=—","Direction=H","UseDPDF=Y")</f>
        <v>169540.476</v>
      </c>
      <c r="U10" s="19">
        <f>_xll.BDH("AMGN US Equity","ENTERPRISE_VALUE","FQ4 2023","FQ4 2023","Currency=USD","Period=FQ","BEST_FPERIOD_OVERRIDE=FQ","FILING_STATUS=MR","SCALING_FORMAT=MLN","Sort=A","Dates=H","DateFormat=P","Fill=—","Direction=H","UseDPDF=Y")</f>
        <v>208684.908</v>
      </c>
      <c r="V10" s="19">
        <f>_xll.BDH("AMGN US Equity","ENTERPRISE_VALUE","FQ1 2024","FQ1 2024","Currency=USD","Period=FQ","BEST_FPERIOD_OVERRIDE=FQ","FILING_STATUS=MR","SCALING_FORMAT=MLN","Sort=A","Dates=H","DateFormat=P","Fill=—","Direction=H","UseDPDF=Y")</f>
        <v>206821.24799999999</v>
      </c>
      <c r="W10" s="19">
        <f>_xll.BDH("AMGN US Equity","ENTERPRISE_VALUE","FQ2 2024","FQ2 2024","Currency=USD","Period=FQ","BEST_FPERIOD_OVERRIDE=FQ","FILING_STATUS=MR","SCALING_FORMAT=MLN","Sort=A","Dates=H","DateFormat=P","Fill=—","Direction=H","UseDPDF=Y")</f>
        <v>221192.14</v>
      </c>
      <c r="X10" s="19">
        <f>_xll.BDH("AMGN US Equity","ENTERPRISE_VALUE","FQ3 2024","FQ3 2024","Currency=USD","Period=FQ","BEST_FPERIOD_OVERRIDE=FQ","FILING_STATUS=MR","SCALING_FORMAT=MLN","Sort=A","Dates=H","DateFormat=P","Fill=—","Direction=H","UseDPDF=Y")</f>
        <v>224574.875</v>
      </c>
      <c r="Y10" s="19">
        <f>_xll.BDH("AMGN US Equity","ENTERPRISE_VALUE","FQ4 2024","FQ4 2024","Currency=USD","Period=FQ","BEST_FPERIOD_OVERRIDE=FQ","FILING_STATUS=MR","SCALING_FORMAT=MLN","Sort=A","Dates=H","DateFormat=P","Fill=—","Direction=H","UseDPDF=Y")</f>
        <v>188843.61600000001</v>
      </c>
      <c r="Z10" s="19"/>
      <c r="AA10" s="19"/>
    </row>
    <row r="11" spans="1:27" x14ac:dyDescent="0.25">
      <c r="A11" s="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x14ac:dyDescent="0.25">
      <c r="A12" s="6" t="s">
        <v>70</v>
      </c>
      <c r="B12" s="6" t="s">
        <v>71</v>
      </c>
      <c r="C12" s="19">
        <f>_xll.BDH("AMGN US Equity","SALES_REV_TURN","FQ2 2019","FQ2 2019","Currency=USD","Period=FQ","BEST_FPERIOD_OVERRIDE=FQ","FILING_STATUS=MR","SCALING_FORMAT=MLN","FA_ADJUSTED=Adjusted","Sort=A","Dates=H","DateFormat=P","Fill=—","Direction=H","UseDPDF=Y")</f>
        <v>5871</v>
      </c>
      <c r="D12" s="19">
        <f>_xll.BDH("AMGN US Equity","SALES_REV_TURN","FQ3 2019","FQ3 2019","Currency=USD","Period=FQ","BEST_FPERIOD_OVERRIDE=FQ","FILING_STATUS=MR","SCALING_FORMAT=MLN","FA_ADJUSTED=Adjusted","Sort=A","Dates=H","DateFormat=P","Fill=—","Direction=H","UseDPDF=Y")</f>
        <v>5737</v>
      </c>
      <c r="E12" s="19">
        <f>_xll.BDH("AMGN US Equity","SALES_REV_TURN","FQ4 2019","FQ4 2019","Currency=USD","Period=FQ","BEST_FPERIOD_OVERRIDE=FQ","FILING_STATUS=MR","SCALING_FORMAT=MLN","FA_ADJUSTED=Adjusted","Sort=A","Dates=H","DateFormat=P","Fill=—","Direction=H","UseDPDF=Y")</f>
        <v>6197</v>
      </c>
      <c r="F12" s="19">
        <f>_xll.BDH("AMGN US Equity","SALES_REV_TURN","FQ1 2020","FQ1 2020","Currency=USD","Period=FQ","BEST_FPERIOD_OVERRIDE=FQ","FILING_STATUS=MR","SCALING_FORMAT=MLN","FA_ADJUSTED=Adjusted","Sort=A","Dates=H","DateFormat=P","Fill=—","Direction=H","UseDPDF=Y")</f>
        <v>6161</v>
      </c>
      <c r="G12" s="19">
        <f>_xll.BDH("AMGN US Equity","SALES_REV_TURN","FQ2 2020","FQ2 2020","Currency=USD","Period=FQ","BEST_FPERIOD_OVERRIDE=FQ","FILING_STATUS=MR","SCALING_FORMAT=MLN","FA_ADJUSTED=Adjusted","Sort=A","Dates=H","DateFormat=P","Fill=—","Direction=H","UseDPDF=Y")</f>
        <v>6206</v>
      </c>
      <c r="H12" s="19">
        <f>_xll.BDH("AMGN US Equity","SALES_REV_TURN","FQ3 2020","FQ3 2020","Currency=USD","Period=FQ","BEST_FPERIOD_OVERRIDE=FQ","FILING_STATUS=MR","SCALING_FORMAT=MLN","FA_ADJUSTED=Adjusted","Sort=A","Dates=H","DateFormat=P","Fill=—","Direction=H","UseDPDF=Y")</f>
        <v>6423</v>
      </c>
      <c r="I12" s="19">
        <f>_xll.BDH("AMGN US Equity","SALES_REV_TURN","FQ4 2020","FQ4 2020","Currency=USD","Period=FQ","BEST_FPERIOD_OVERRIDE=FQ","FILING_STATUS=MR","SCALING_FORMAT=MLN","FA_ADJUSTED=Adjusted","Sort=A","Dates=H","DateFormat=P","Fill=—","Direction=H","UseDPDF=Y")</f>
        <v>6634</v>
      </c>
      <c r="J12" s="19">
        <f>_xll.BDH("AMGN US Equity","SALES_REV_TURN","FQ1 2021","FQ1 2021","Currency=USD","Period=FQ","BEST_FPERIOD_OVERRIDE=FQ","FILING_STATUS=MR","SCALING_FORMAT=MLN","FA_ADJUSTED=Adjusted","Sort=A","Dates=H","DateFormat=P","Fill=—","Direction=H","UseDPDF=Y")</f>
        <v>5901</v>
      </c>
      <c r="K12" s="19">
        <f>_xll.BDH("AMGN US Equity","SALES_REV_TURN","FQ2 2021","FQ2 2021","Currency=USD","Period=FQ","BEST_FPERIOD_OVERRIDE=FQ","FILING_STATUS=MR","SCALING_FORMAT=MLN","FA_ADJUSTED=Adjusted","Sort=A","Dates=H","DateFormat=P","Fill=—","Direction=H","UseDPDF=Y")</f>
        <v>6526</v>
      </c>
      <c r="L12" s="19">
        <f>_xll.BDH("AMGN US Equity","SALES_REV_TURN","FQ3 2021","FQ3 2021","Currency=USD","Period=FQ","BEST_FPERIOD_OVERRIDE=FQ","FILING_STATUS=MR","SCALING_FORMAT=MLN","FA_ADJUSTED=Adjusted","Sort=A","Dates=H","DateFormat=P","Fill=—","Direction=H","UseDPDF=Y")</f>
        <v>6706</v>
      </c>
      <c r="M12" s="19">
        <f>_xll.BDH("AMGN US Equity","SALES_REV_TURN","FQ4 2021","FQ4 2021","Currency=USD","Period=FQ","BEST_FPERIOD_OVERRIDE=FQ","FILING_STATUS=MR","SCALING_FORMAT=MLN","FA_ADJUSTED=Adjusted","Sort=A","Dates=H","DateFormat=P","Fill=—","Direction=H","UseDPDF=Y")</f>
        <v>6846</v>
      </c>
      <c r="N12" s="19">
        <f>_xll.BDH("AMGN US Equity","SALES_REV_TURN","FQ1 2022","FQ1 2022","Currency=USD","Period=FQ","BEST_FPERIOD_OVERRIDE=FQ","FILING_STATUS=MR","SCALING_FORMAT=MLN","FA_ADJUSTED=Adjusted","Sort=A","Dates=H","DateFormat=P","Fill=—","Direction=H","UseDPDF=Y")</f>
        <v>6238</v>
      </c>
      <c r="O12" s="19">
        <f>_xll.BDH("AMGN US Equity","SALES_REV_TURN","FQ2 2022","FQ2 2022","Currency=USD","Period=FQ","BEST_FPERIOD_OVERRIDE=FQ","FILING_STATUS=MR","SCALING_FORMAT=MLN","FA_ADJUSTED=Adjusted","Sort=A","Dates=H","DateFormat=P","Fill=—","Direction=H","UseDPDF=Y")</f>
        <v>6594</v>
      </c>
      <c r="P12" s="19">
        <f>_xll.BDH("AMGN US Equity","SALES_REV_TURN","FQ3 2022","FQ3 2022","Currency=USD","Period=FQ","BEST_FPERIOD_OVERRIDE=FQ","FILING_STATUS=MR","SCALING_FORMAT=MLN","FA_ADJUSTED=Adjusted","Sort=A","Dates=H","DateFormat=P","Fill=—","Direction=H","UseDPDF=Y")</f>
        <v>6652</v>
      </c>
      <c r="Q12" s="19">
        <f>_xll.BDH("AMGN US Equity","SALES_REV_TURN","FQ4 2022","FQ4 2022","Currency=USD","Period=FQ","BEST_FPERIOD_OVERRIDE=FQ","FILING_STATUS=MR","SCALING_FORMAT=MLN","FA_ADJUSTED=Adjusted","Sort=A","Dates=H","DateFormat=P","Fill=—","Direction=H","UseDPDF=Y")</f>
        <v>6839</v>
      </c>
      <c r="R12" s="19">
        <f>_xll.BDH("AMGN US Equity","SALES_REV_TURN","FQ1 2023","FQ1 2023","Currency=USD","Period=FQ","BEST_FPERIOD_OVERRIDE=FQ","FILING_STATUS=MR","SCALING_FORMAT=MLN","FA_ADJUSTED=Adjusted","Sort=A","Dates=H","DateFormat=P","Fill=—","Direction=H","UseDPDF=Y")</f>
        <v>6105</v>
      </c>
      <c r="S12" s="19">
        <f>_xll.BDH("AMGN US Equity","SALES_REV_TURN","FQ2 2023","FQ2 2023","Currency=USD","Period=FQ","BEST_FPERIOD_OVERRIDE=FQ","FILING_STATUS=MR","SCALING_FORMAT=MLN","FA_ADJUSTED=Adjusted","Sort=A","Dates=H","DateFormat=P","Fill=—","Direction=H","UseDPDF=Y")</f>
        <v>6986</v>
      </c>
      <c r="T12" s="19">
        <f>_xll.BDH("AMGN US Equity","SALES_REV_TURN","FQ3 2023","FQ3 2023","Currency=USD","Period=FQ","BEST_FPERIOD_OVERRIDE=FQ","FILING_STATUS=MR","SCALING_FORMAT=MLN","FA_ADJUSTED=Adjusted","Sort=A","Dates=H","DateFormat=P","Fill=—","Direction=H","UseDPDF=Y")</f>
        <v>6903</v>
      </c>
      <c r="U12" s="19">
        <f>_xll.BDH("AMGN US Equity","SALES_REV_TURN","FQ4 2023","FQ4 2023","Currency=USD","Period=FQ","BEST_FPERIOD_OVERRIDE=FQ","FILING_STATUS=MR","SCALING_FORMAT=MLN","FA_ADJUSTED=Adjusted","Sort=A","Dates=H","DateFormat=P","Fill=—","Direction=H","UseDPDF=Y")</f>
        <v>8196</v>
      </c>
      <c r="V12" s="19">
        <f>_xll.BDH("AMGN US Equity","SALES_REV_TURN","FQ1 2024","FQ1 2024","Currency=USD","Period=FQ","BEST_FPERIOD_OVERRIDE=FQ","FILING_STATUS=MR","SCALING_FORMAT=MLN","FA_ADJUSTED=Adjusted","Sort=A","Dates=H","DateFormat=P","Fill=—","Direction=H","UseDPDF=Y")</f>
        <v>7447</v>
      </c>
      <c r="W12" s="19">
        <f>_xll.BDH("AMGN US Equity","SALES_REV_TURN","FQ2 2024","FQ2 2024","Currency=USD","Period=FQ","BEST_FPERIOD_OVERRIDE=FQ","FILING_STATUS=MR","SCALING_FORMAT=MLN","FA_ADJUSTED=Adjusted","Sort=A","Dates=H","DateFormat=P","Fill=—","Direction=H","UseDPDF=Y")</f>
        <v>8388</v>
      </c>
      <c r="X12" s="19">
        <f>_xll.BDH("AMGN US Equity","SALES_REV_TURN","FQ3 2024","FQ3 2024","Currency=USD","Period=FQ","BEST_FPERIOD_OVERRIDE=FQ","FILING_STATUS=MR","SCALING_FORMAT=MLN","FA_ADJUSTED=Adjusted","Sort=A","Dates=H","DateFormat=P","Fill=—","Direction=H","UseDPDF=Y")</f>
        <v>8503</v>
      </c>
      <c r="Y12" s="19">
        <f>_xll.BDH("AMGN US Equity","SALES_REV_TURN","FQ4 2024","FQ4 2024","Currency=USD","Period=FQ","BEST_FPERIOD_OVERRIDE=FQ","FILING_STATUS=MR","SCALING_FORMAT=MLN","FA_ADJUSTED=Adjusted","Sort=A","Dates=H","DateFormat=P","Fill=—","Direction=H","UseDPDF=Y")</f>
        <v>9086</v>
      </c>
      <c r="Z12" s="19">
        <v>8068.5829999999996</v>
      </c>
      <c r="AA12" s="19">
        <v>8866</v>
      </c>
    </row>
    <row r="13" spans="1:27" x14ac:dyDescent="0.25">
      <c r="A13" s="11" t="s">
        <v>72</v>
      </c>
      <c r="B13" s="11" t="s">
        <v>73</v>
      </c>
      <c r="C13" s="25">
        <f>_xll.BDH("AMGN US Equity","SALES_GROWTH","FQ2 2019","FQ2 2019","Currency=USD","Period=FQ","BEST_FPERIOD_OVERRIDE=FQ","FILING_STATUS=MR","FA_ADJUSTED=Adjusted","Sort=A","Dates=H","DateFormat=P","Fill=—","Direction=H","UseDPDF=Y")</f>
        <v>-3.1027999999999998</v>
      </c>
      <c r="D13" s="25">
        <f>_xll.BDH("AMGN US Equity","SALES_GROWTH","FQ3 2019","FQ3 2019","Currency=USD","Period=FQ","BEST_FPERIOD_OVERRIDE=FQ","FILING_STATUS=MR","FA_ADJUSTED=Adjusted","Sort=A","Dates=H","DateFormat=P","Fill=—","Direction=H","UseDPDF=Y")</f>
        <v>-2.8285999999999998</v>
      </c>
      <c r="E13" s="25">
        <f>_xll.BDH("AMGN US Equity","SALES_GROWTH","FQ4 2019","FQ4 2019","Currency=USD","Period=FQ","BEST_FPERIOD_OVERRIDE=FQ","FILING_STATUS=MR","FA_ADJUSTED=Adjusted","Sort=A","Dates=H","DateFormat=P","Fill=—","Direction=H","UseDPDF=Y")</f>
        <v>-0.52969999999999995</v>
      </c>
      <c r="F13" s="25">
        <f>_xll.BDH("AMGN US Equity","SALES_GROWTH","FQ1 2020","FQ1 2020","Currency=USD","Period=FQ","BEST_FPERIOD_OVERRIDE=FQ","FILING_STATUS=MR","FA_ADJUSTED=Adjusted","Sort=A","Dates=H","DateFormat=P","Fill=—","Direction=H","UseDPDF=Y")</f>
        <v>10.869199999999999</v>
      </c>
      <c r="G13" s="25">
        <f>_xll.BDH("AMGN US Equity","SALES_GROWTH","FQ2 2020","FQ2 2020","Currency=USD","Period=FQ","BEST_FPERIOD_OVERRIDE=FQ","FILING_STATUS=MR","FA_ADJUSTED=Adjusted","Sort=A","Dates=H","DateFormat=P","Fill=—","Direction=H","UseDPDF=Y")</f>
        <v>5.7060000000000004</v>
      </c>
      <c r="H13" s="25">
        <f>_xll.BDH("AMGN US Equity","SALES_GROWTH","FQ3 2020","FQ3 2020","Currency=USD","Period=FQ","BEST_FPERIOD_OVERRIDE=FQ","FILING_STATUS=MR","FA_ADJUSTED=Adjusted","Sort=A","Dates=H","DateFormat=P","Fill=—","Direction=H","UseDPDF=Y")</f>
        <v>11.9575</v>
      </c>
      <c r="I13" s="25">
        <f>_xll.BDH("AMGN US Equity","SALES_GROWTH","FQ4 2020","FQ4 2020","Currency=USD","Period=FQ","BEST_FPERIOD_OVERRIDE=FQ","FILING_STATUS=MR","FA_ADJUSTED=Adjusted","Sort=A","Dates=H","DateFormat=P","Fill=—","Direction=H","UseDPDF=Y")</f>
        <v>7.0518000000000001</v>
      </c>
      <c r="J13" s="25">
        <f>_xll.BDH("AMGN US Equity","SALES_GROWTH","FQ1 2021","FQ1 2021","Currency=USD","Period=FQ","BEST_FPERIOD_OVERRIDE=FQ","FILING_STATUS=MR","FA_ADJUSTED=Adjusted","Sort=A","Dates=H","DateFormat=P","Fill=—","Direction=H","UseDPDF=Y")</f>
        <v>-4.2201000000000004</v>
      </c>
      <c r="K13" s="25">
        <f>_xll.BDH("AMGN US Equity","SALES_GROWTH","FQ2 2021","FQ2 2021","Currency=USD","Period=FQ","BEST_FPERIOD_OVERRIDE=FQ","FILING_STATUS=MR","FA_ADJUSTED=Adjusted","Sort=A","Dates=H","DateFormat=P","Fill=—","Direction=H","UseDPDF=Y")</f>
        <v>5.1562999999999999</v>
      </c>
      <c r="L13" s="25">
        <f>_xll.BDH("AMGN US Equity","SALES_GROWTH","FQ3 2021","FQ3 2021","Currency=USD","Period=FQ","BEST_FPERIOD_OVERRIDE=FQ","FILING_STATUS=MR","FA_ADJUSTED=Adjusted","Sort=A","Dates=H","DateFormat=P","Fill=—","Direction=H","UseDPDF=Y")</f>
        <v>4.4059999999999997</v>
      </c>
      <c r="M13" s="25">
        <f>_xll.BDH("AMGN US Equity","SALES_GROWTH","FQ4 2021","FQ4 2021","Currency=USD","Period=FQ","BEST_FPERIOD_OVERRIDE=FQ","FILING_STATUS=MR","FA_ADJUSTED=Adjusted","Sort=A","Dates=H","DateFormat=P","Fill=—","Direction=H","UseDPDF=Y")</f>
        <v>3.1957</v>
      </c>
      <c r="N13" s="25">
        <f>_xll.BDH("AMGN US Equity","SALES_GROWTH","FQ1 2022","FQ1 2022","Currency=USD","Period=FQ","BEST_FPERIOD_OVERRIDE=FQ","FILING_STATUS=MR","FA_ADJUSTED=Adjusted","Sort=A","Dates=H","DateFormat=P","Fill=—","Direction=H","UseDPDF=Y")</f>
        <v>5.7108999999999996</v>
      </c>
      <c r="O13" s="25">
        <f>_xll.BDH("AMGN US Equity","SALES_GROWTH","FQ2 2022","FQ2 2022","Currency=USD","Period=FQ","BEST_FPERIOD_OVERRIDE=FQ","FILING_STATUS=MR","FA_ADJUSTED=Adjusted","Sort=A","Dates=H","DateFormat=P","Fill=—","Direction=H","UseDPDF=Y")</f>
        <v>1.042</v>
      </c>
      <c r="P13" s="25">
        <f>_xll.BDH("AMGN US Equity","SALES_GROWTH","FQ3 2022","FQ3 2022","Currency=USD","Period=FQ","BEST_FPERIOD_OVERRIDE=FQ","FILING_STATUS=MR","FA_ADJUSTED=Adjusted","Sort=A","Dates=H","DateFormat=P","Fill=—","Direction=H","UseDPDF=Y")</f>
        <v>-0.80520000000000003</v>
      </c>
      <c r="Q13" s="25">
        <f>_xll.BDH("AMGN US Equity","SALES_GROWTH","FQ4 2022","FQ4 2022","Currency=USD","Period=FQ","BEST_FPERIOD_OVERRIDE=FQ","FILING_STATUS=MR","FA_ADJUSTED=Adjusted","Sort=A","Dates=H","DateFormat=P","Fill=—","Direction=H","UseDPDF=Y")</f>
        <v>-0.1022</v>
      </c>
      <c r="R13" s="25">
        <f>_xll.BDH("AMGN US Equity","SALES_GROWTH","FQ1 2023","FQ1 2023","Currency=USD","Period=FQ","BEST_FPERIOD_OVERRIDE=FQ","FILING_STATUS=MR","FA_ADJUSTED=Adjusted","Sort=A","Dates=H","DateFormat=P","Fill=—","Direction=H","UseDPDF=Y")</f>
        <v>-2.1320999999999999</v>
      </c>
      <c r="S13" s="25">
        <f>_xll.BDH("AMGN US Equity","SALES_GROWTH","FQ2 2023","FQ2 2023","Currency=USD","Period=FQ","BEST_FPERIOD_OVERRIDE=FQ","FILING_STATUS=MR","FA_ADJUSTED=Adjusted","Sort=A","Dates=H","DateFormat=P","Fill=—","Direction=H","UseDPDF=Y")</f>
        <v>5.9447999999999999</v>
      </c>
      <c r="T13" s="25">
        <f>_xll.BDH("AMGN US Equity","SALES_GROWTH","FQ3 2023","FQ3 2023","Currency=USD","Period=FQ","BEST_FPERIOD_OVERRIDE=FQ","FILING_STATUS=MR","FA_ADJUSTED=Adjusted","Sort=A","Dates=H","DateFormat=P","Fill=—","Direction=H","UseDPDF=Y")</f>
        <v>3.7732999999999999</v>
      </c>
      <c r="U13" s="25">
        <f>_xll.BDH("AMGN US Equity","SALES_GROWTH","FQ4 2023","FQ4 2023","Currency=USD","Period=FQ","BEST_FPERIOD_OVERRIDE=FQ","FILING_STATUS=MR","FA_ADJUSTED=Adjusted","Sort=A","Dates=H","DateFormat=P","Fill=—","Direction=H","UseDPDF=Y")</f>
        <v>19.842099999999999</v>
      </c>
      <c r="V13" s="25">
        <f>_xll.BDH("AMGN US Equity","SALES_GROWTH","FQ1 2024","FQ1 2024","Currency=USD","Period=FQ","BEST_FPERIOD_OVERRIDE=FQ","FILING_STATUS=MR","FA_ADJUSTED=Adjusted","Sort=A","Dates=H","DateFormat=P","Fill=—","Direction=H","UseDPDF=Y")</f>
        <v>21.981999999999999</v>
      </c>
      <c r="W13" s="25">
        <f>_xll.BDH("AMGN US Equity","SALES_GROWTH","FQ2 2024","FQ2 2024","Currency=USD","Period=FQ","BEST_FPERIOD_OVERRIDE=FQ","FILING_STATUS=MR","FA_ADJUSTED=Adjusted","Sort=A","Dates=H","DateFormat=P","Fill=—","Direction=H","UseDPDF=Y")</f>
        <v>20.0687</v>
      </c>
      <c r="X13" s="25">
        <f>_xll.BDH("AMGN US Equity","SALES_GROWTH","FQ3 2024","FQ3 2024","Currency=USD","Period=FQ","BEST_FPERIOD_OVERRIDE=FQ","FILING_STATUS=MR","FA_ADJUSTED=Adjusted","Sort=A","Dates=H","DateFormat=P","Fill=—","Direction=H","UseDPDF=Y")</f>
        <v>23.1783</v>
      </c>
      <c r="Y13" s="25">
        <f>_xll.BDH("AMGN US Equity","SALES_GROWTH","FQ4 2024","FQ4 2024","Currency=USD","Period=FQ","BEST_FPERIOD_OVERRIDE=FQ","FILING_STATUS=MR","FA_ADJUSTED=Adjusted","Sort=A","Dates=H","DateFormat=P","Fill=—","Direction=H","UseDPDF=Y")</f>
        <v>10.859</v>
      </c>
      <c r="Z13" s="25">
        <v>8.3467570833892903</v>
      </c>
      <c r="AA13" s="25">
        <v>5.6986170720076297</v>
      </c>
    </row>
    <row r="14" spans="1:27" x14ac:dyDescent="0.25">
      <c r="A14" s="6" t="s">
        <v>74</v>
      </c>
      <c r="B14" s="6" t="s">
        <v>75</v>
      </c>
      <c r="C14" s="19">
        <f>_xll.BDH("AMGN US Equity","GROSS_PROFIT","FQ2 2019","FQ2 2019","Currency=USD","Period=FQ","BEST_FPERIOD_OVERRIDE=FQ","FILING_STATUS=MR","SCALING_FORMAT=MLN","FA_ADJUSTED=Adjusted","Sort=A","Dates=H","DateFormat=P","Fill=—","Direction=H","UseDPDF=Y")</f>
        <v>4859</v>
      </c>
      <c r="D14" s="19">
        <f>_xll.BDH("AMGN US Equity","GROSS_PROFIT","FQ3 2019","FQ3 2019","Currency=USD","Period=FQ","BEST_FPERIOD_OVERRIDE=FQ","FILING_STATUS=MR","SCALING_FORMAT=MLN","FA_ADJUSTED=Adjusted","Sort=A","Dates=H","DateFormat=P","Fill=—","Direction=H","UseDPDF=Y")</f>
        <v>4701</v>
      </c>
      <c r="E14" s="19">
        <f>_xll.BDH("AMGN US Equity","GROSS_PROFIT","FQ4 2019","FQ4 2019","Currency=USD","Period=FQ","BEST_FPERIOD_OVERRIDE=FQ","FILING_STATUS=MR","SCALING_FORMAT=MLN","FA_ADJUSTED=Adjusted","Sort=A","Dates=H","DateFormat=P","Fill=—","Direction=H","UseDPDF=Y")</f>
        <v>4944</v>
      </c>
      <c r="F14" s="19">
        <f>_xll.BDH("AMGN US Equity","GROSS_PROFIT","FQ1 2020","FQ1 2020","Currency=USD","Period=FQ","BEST_FPERIOD_OVERRIDE=FQ","FILING_STATUS=MR","SCALING_FORMAT=MLN","FA_ADJUSTED=Adjusted","Sort=A","Dates=H","DateFormat=P","Fill=—","Direction=H","UseDPDF=Y")</f>
        <v>4648</v>
      </c>
      <c r="G14" s="19">
        <f>_xll.BDH("AMGN US Equity","GROSS_PROFIT","FQ2 2020","FQ2 2020","Currency=USD","Period=FQ","BEST_FPERIOD_OVERRIDE=FQ","FILING_STATUS=MR","SCALING_FORMAT=MLN","FA_ADJUSTED=Adjusted","Sort=A","Dates=H","DateFormat=P","Fill=—","Direction=H","UseDPDF=Y")</f>
        <v>4718</v>
      </c>
      <c r="H14" s="19">
        <f>_xll.BDH("AMGN US Equity","GROSS_PROFIT","FQ3 2020","FQ3 2020","Currency=USD","Period=FQ","BEST_FPERIOD_OVERRIDE=FQ","FILING_STATUS=MR","SCALING_FORMAT=MLN","FA_ADJUSTED=Adjusted","Sort=A","Dates=H","DateFormat=P","Fill=—","Direction=H","UseDPDF=Y")</f>
        <v>5549</v>
      </c>
      <c r="I14" s="19">
        <f>_xll.BDH("AMGN US Equity","GROSS_PROFIT","FQ4 2020","FQ4 2020","Currency=USD","Period=FQ","BEST_FPERIOD_OVERRIDE=FQ","FILING_STATUS=MR","SCALING_FORMAT=MLN","FA_ADJUSTED=Adjusted","Sort=A","Dates=H","DateFormat=P","Fill=—","Direction=H","UseDPDF=Y")</f>
        <v>5037</v>
      </c>
      <c r="J14" s="19">
        <f>_xll.BDH("AMGN US Equity","GROSS_PROFIT","FQ1 2021","FQ1 2021","Currency=USD","Period=FQ","BEST_FPERIOD_OVERRIDE=FQ","FILING_STATUS=MR","SCALING_FORMAT=MLN","FA_ADJUSTED=Adjusted","Sort=A","Dates=H","DateFormat=P","Fill=—","Direction=H","UseDPDF=Y")</f>
        <v>4411</v>
      </c>
      <c r="K14" s="19">
        <f>_xll.BDH("AMGN US Equity","GROSS_PROFIT","FQ2 2021","FQ2 2021","Currency=USD","Period=FQ","BEST_FPERIOD_OVERRIDE=FQ","FILING_STATUS=MR","SCALING_FORMAT=MLN","FA_ADJUSTED=Adjusted","Sort=A","Dates=H","DateFormat=P","Fill=—","Direction=H","UseDPDF=Y")</f>
        <v>5492</v>
      </c>
      <c r="L14" s="19">
        <f>_xll.BDH("AMGN US Equity","GROSS_PROFIT","FQ3 2021","FQ3 2021","Currency=USD","Period=FQ","BEST_FPERIOD_OVERRIDE=FQ","FILING_STATUS=MR","SCALING_FORMAT=MLN","FA_ADJUSTED=Adjusted","Sort=A","Dates=H","DateFormat=P","Fill=—","Direction=H","UseDPDF=Y")</f>
        <v>5097</v>
      </c>
      <c r="M14" s="19">
        <f>_xll.BDH("AMGN US Equity","GROSS_PROFIT","FQ4 2021","FQ4 2021","Currency=USD","Period=FQ","BEST_FPERIOD_OVERRIDE=FQ","FILING_STATUS=MR","SCALING_FORMAT=MLN","FA_ADJUSTED=Adjusted","Sort=A","Dates=H","DateFormat=P","Fill=—","Direction=H","UseDPDF=Y")</f>
        <v>5134</v>
      </c>
      <c r="N14" s="19">
        <f>_xll.BDH("AMGN US Equity","GROSS_PROFIT","FQ1 2022","FQ1 2022","Currency=USD","Period=FQ","BEST_FPERIOD_OVERRIDE=FQ","FILING_STATUS=MR","SCALING_FORMAT=MLN","FA_ADJUSTED=Adjusted","Sort=A","Dates=H","DateFormat=P","Fill=—","Direction=H","UseDPDF=Y")</f>
        <v>4677</v>
      </c>
      <c r="O14" s="19">
        <f>_xll.BDH("AMGN US Equity","GROSS_PROFIT","FQ2 2022","FQ2 2022","Currency=USD","Period=FQ","BEST_FPERIOD_OVERRIDE=FQ","FILING_STATUS=MR","SCALING_FORMAT=MLN","FA_ADJUSTED=Adjusted","Sort=A","Dates=H","DateFormat=P","Fill=—","Direction=H","UseDPDF=Y")</f>
        <v>5668</v>
      </c>
      <c r="P14" s="19">
        <f>_xll.BDH("AMGN US Equity","GROSS_PROFIT","FQ3 2022","FQ3 2022","Currency=USD","Period=FQ","BEST_FPERIOD_OVERRIDE=FQ","FILING_STATUS=MR","SCALING_FORMAT=MLN","FA_ADJUSTED=Adjusted","Sort=A","Dates=H","DateFormat=P","Fill=—","Direction=H","UseDPDF=Y")</f>
        <v>5064</v>
      </c>
      <c r="Q14" s="19">
        <f>_xll.BDH("AMGN US Equity","GROSS_PROFIT","FQ4 2022","FQ4 2022","Currency=USD","Period=FQ","BEST_FPERIOD_OVERRIDE=FQ","FILING_STATUS=MR","SCALING_FORMAT=MLN","FA_ADJUSTED=Adjusted","Sort=A","Dates=H","DateFormat=P","Fill=—","Direction=H","UseDPDF=Y")</f>
        <v>5092</v>
      </c>
      <c r="R14" s="19">
        <f>_xll.BDH("AMGN US Equity","GROSS_PROFIT","FQ1 2023","FQ1 2023","Currency=USD","Period=FQ","BEST_FPERIOD_OVERRIDE=FQ","FILING_STATUS=MR","SCALING_FORMAT=MLN","FA_ADJUSTED=Adjusted","Sort=A","Dates=H","DateFormat=P","Fill=—","Direction=H","UseDPDF=Y")</f>
        <v>5054</v>
      </c>
      <c r="S14" s="19">
        <f>_xll.BDH("AMGN US Equity","GROSS_PROFIT","FQ2 2023","FQ2 2023","Currency=USD","Period=FQ","BEST_FPERIOD_OVERRIDE=FQ","FILING_STATUS=MR","SCALING_FORMAT=MLN","FA_ADJUSTED=Adjusted","Sort=A","Dates=H","DateFormat=P","Fill=—","Direction=H","UseDPDF=Y")</f>
        <v>5173</v>
      </c>
      <c r="T14" s="19">
        <f>_xll.BDH("AMGN US Equity","GROSS_PROFIT","FQ3 2023","FQ3 2023","Currency=USD","Period=FQ","BEST_FPERIOD_OVERRIDE=FQ","FILING_STATUS=MR","SCALING_FORMAT=MLN","FA_ADJUSTED=Adjusted","Sort=A","Dates=H","DateFormat=P","Fill=—","Direction=H","UseDPDF=Y")</f>
        <v>5097</v>
      </c>
      <c r="U14" s="19">
        <f>_xll.BDH("AMGN US Equity","GROSS_PROFIT","FQ4 2023","FQ4 2023","Currency=USD","Period=FQ","BEST_FPERIOD_OVERRIDE=FQ","FILING_STATUS=MR","SCALING_FORMAT=MLN","FA_ADJUSTED=Adjusted","Sort=A","Dates=H","DateFormat=P","Fill=—","Direction=H","UseDPDF=Y")</f>
        <v>6918</v>
      </c>
      <c r="V14" s="19">
        <f>_xll.BDH("AMGN US Equity","GROSS_PROFIT","FQ1 2024","FQ1 2024","Currency=USD","Period=FQ","BEST_FPERIOD_OVERRIDE=FQ","FILING_STATUS=MR","SCALING_FORMAT=MLN","FA_ADJUSTED=Adjusted","Sort=A","Dates=H","DateFormat=P","Fill=—","Direction=H","UseDPDF=Y")</f>
        <v>4247</v>
      </c>
      <c r="W14" s="19">
        <f>_xll.BDH("AMGN US Equity","GROSS_PROFIT","FQ2 2024","FQ2 2024","Currency=USD","Period=FQ","BEST_FPERIOD_OVERRIDE=FQ","FILING_STATUS=MR","SCALING_FORMAT=MLN","FA_ADJUSTED=Adjusted","Sort=A","Dates=H","DateFormat=P","Fill=—","Direction=H","UseDPDF=Y")</f>
        <v>5152</v>
      </c>
      <c r="X14" s="19">
        <f>_xll.BDH("AMGN US Equity","GROSS_PROFIT","FQ3 2024","FQ3 2024","Currency=USD","Period=FQ","BEST_FPERIOD_OVERRIDE=FQ","FILING_STATUS=MR","SCALING_FORMAT=MLN","FA_ADJUSTED=Adjusted","Sort=A","Dates=H","DateFormat=P","Fill=—","Direction=H","UseDPDF=Y")</f>
        <v>5193</v>
      </c>
      <c r="Y14" s="19">
        <f>_xll.BDH("AMGN US Equity","GROSS_PROFIT","FQ4 2024","FQ4 2024","Currency=USD","Period=FQ","BEST_FPERIOD_OVERRIDE=FQ","FILING_STATUS=MR","SCALING_FORMAT=MLN","FA_ADJUSTED=Adjusted","Sort=A","Dates=H","DateFormat=P","Fill=—","Direction=H","UseDPDF=Y")</f>
        <v>5974</v>
      </c>
      <c r="Z14" s="19">
        <v>6598.72923489</v>
      </c>
      <c r="AA14" s="19">
        <v>7326.8624</v>
      </c>
    </row>
    <row r="15" spans="1:27" x14ac:dyDescent="0.25">
      <c r="A15" s="11" t="s">
        <v>76</v>
      </c>
      <c r="B15" s="11" t="s">
        <v>75</v>
      </c>
      <c r="C15" s="25">
        <v>82.762732072900704</v>
      </c>
      <c r="D15" s="25">
        <v>81.941781418860003</v>
      </c>
      <c r="E15" s="25">
        <v>79.780538970469607</v>
      </c>
      <c r="F15" s="25">
        <v>75.442298328193502</v>
      </c>
      <c r="G15" s="25">
        <v>76.0232033515952</v>
      </c>
      <c r="H15" s="25">
        <v>86.392651408998901</v>
      </c>
      <c r="I15" s="25">
        <v>75.927042508290597</v>
      </c>
      <c r="J15" s="25">
        <v>74.750042365700693</v>
      </c>
      <c r="K15" s="25">
        <v>84.155684952497694</v>
      </c>
      <c r="L15" s="25">
        <v>76.006561288398402</v>
      </c>
      <c r="M15" s="25">
        <v>74.992696465089097</v>
      </c>
      <c r="N15" s="25">
        <v>74.975953831356193</v>
      </c>
      <c r="O15" s="25">
        <v>85.956930542917803</v>
      </c>
      <c r="P15" s="25">
        <v>76.127480457005404</v>
      </c>
      <c r="Q15" s="25">
        <v>74.455329726568195</v>
      </c>
      <c r="R15" s="25">
        <v>82.784602784602797</v>
      </c>
      <c r="S15" s="25">
        <v>74.048096192384804</v>
      </c>
      <c r="T15" s="25">
        <v>73.837461973055198</v>
      </c>
      <c r="U15" s="25">
        <v>84.407027818448</v>
      </c>
      <c r="V15" s="25">
        <v>57.0296763797502</v>
      </c>
      <c r="W15" s="25">
        <v>61.421077730090602</v>
      </c>
      <c r="X15" s="25">
        <v>61.0725626249559</v>
      </c>
      <c r="Y15" s="25">
        <v>65.749504732555593</v>
      </c>
      <c r="Z15" s="25">
        <v>81.783000000000001</v>
      </c>
      <c r="AA15" s="25">
        <v>82.64</v>
      </c>
    </row>
    <row r="16" spans="1:27" x14ac:dyDescent="0.25">
      <c r="A16" s="6" t="s">
        <v>77</v>
      </c>
      <c r="B16" s="6" t="s">
        <v>78</v>
      </c>
      <c r="C16" s="19">
        <f>_xll.BDH("AMGN US Equity","EBITDA","FQ2 2019","FQ2 2019","Currency=USD","Period=FQ","BEST_FPERIOD_OVERRIDE=FQ","FILING_STATUS=MR","SCALING_FORMAT=MLN","FA_ADJUSTED=Adjusted","Sort=A","Dates=H","DateFormat=P","Fill=—","Direction=H","UseDPDF=Y")</f>
        <v>3218</v>
      </c>
      <c r="D16" s="19">
        <f>_xll.BDH("AMGN US Equity","EBITDA","FQ3 2019","FQ3 2019","Currency=USD","Period=FQ","BEST_FPERIOD_OVERRIDE=FQ","FILING_STATUS=MR","SCALING_FORMAT=MLN","FA_ADJUSTED=Adjusted","Sort=A","Dates=H","DateFormat=P","Fill=—","Direction=H","UseDPDF=Y")</f>
        <v>3026</v>
      </c>
      <c r="E16" s="19">
        <f>_xll.BDH("AMGN US Equity","EBITDA","FQ4 2019","FQ4 2019","Currency=USD","Period=FQ","BEST_FPERIOD_OVERRIDE=FQ","FILING_STATUS=MR","SCALING_FORMAT=MLN","FA_ADJUSTED=Adjusted","Sort=A","Dates=H","DateFormat=P","Fill=—","Direction=H","UseDPDF=Y")</f>
        <v>2870</v>
      </c>
      <c r="F16" s="19">
        <f>_xll.BDH("AMGN US Equity","EBITDA","FQ1 2020","FQ1 2020","Currency=USD","Period=FQ","BEST_FPERIOD_OVERRIDE=FQ","FILING_STATUS=MR","SCALING_FORMAT=MLN","FA_ADJUSTED=Adjusted","Sort=A","Dates=H","DateFormat=P","Fill=—","Direction=H","UseDPDF=Y")</f>
        <v>3277</v>
      </c>
      <c r="G16" s="19">
        <f>_xll.BDH("AMGN US Equity","EBITDA","FQ2 2020","FQ2 2020","Currency=USD","Period=FQ","BEST_FPERIOD_OVERRIDE=FQ","FILING_STATUS=MR","SCALING_FORMAT=MLN","FA_ADJUSTED=Adjusted","Sort=A","Dates=H","DateFormat=P","Fill=—","Direction=H","UseDPDF=Y")</f>
        <v>3353</v>
      </c>
      <c r="H16" s="19">
        <f>_xll.BDH("AMGN US Equity","EBITDA","FQ3 2020","FQ3 2020","Currency=USD","Period=FQ","BEST_FPERIOD_OVERRIDE=FQ","FILING_STATUS=MR","SCALING_FORMAT=MLN","FA_ADJUSTED=Adjusted","Sort=A","Dates=H","DateFormat=P","Fill=—","Direction=H","UseDPDF=Y")</f>
        <v>4083</v>
      </c>
      <c r="I16" s="19">
        <f>_xll.BDH("AMGN US Equity","EBITDA","FQ4 2020","FQ4 2020","Currency=USD","Period=FQ","BEST_FPERIOD_OVERRIDE=FQ","FILING_STATUS=MR","SCALING_FORMAT=MLN","FA_ADJUSTED=Adjusted","Sort=A","Dates=H","DateFormat=P","Fill=—","Direction=H","UseDPDF=Y")</f>
        <v>2946</v>
      </c>
      <c r="J16" s="19">
        <f>_xll.BDH("AMGN US Equity","EBITDA","FQ1 2021","FQ1 2021","Currency=USD","Period=FQ","BEST_FPERIOD_OVERRIDE=FQ","FILING_STATUS=MR","SCALING_FORMAT=MLN","FA_ADJUSTED=Adjusted","Sort=A","Dates=H","DateFormat=P","Fill=—","Direction=H","UseDPDF=Y")</f>
        <v>3705</v>
      </c>
      <c r="K16" s="19">
        <f>_xll.BDH("AMGN US Equity","EBITDA","FQ2 2021","FQ2 2021","Currency=USD","Period=FQ","BEST_FPERIOD_OVERRIDE=FQ","FILING_STATUS=MR","SCALING_FORMAT=MLN","FA_ADJUSTED=Adjusted","Sort=A","Dates=H","DateFormat=P","Fill=—","Direction=H","UseDPDF=Y")</f>
        <v>3966</v>
      </c>
      <c r="L16" s="19">
        <f>_xll.BDH("AMGN US Equity","EBITDA","FQ3 2021","FQ3 2021","Currency=USD","Period=FQ","BEST_FPERIOD_OVERRIDE=FQ","FILING_STATUS=MR","SCALING_FORMAT=MLN","FA_ADJUSTED=Adjusted","Sort=A","Dates=H","DateFormat=P","Fill=—","Direction=H","UseDPDF=Y")</f>
        <v>3255</v>
      </c>
      <c r="M16" s="19">
        <f>_xll.BDH("AMGN US Equity","EBITDA","FQ4 2021","FQ4 2021","Currency=USD","Period=FQ","BEST_FPERIOD_OVERRIDE=FQ","FILING_STATUS=MR","SCALING_FORMAT=MLN","FA_ADJUSTED=Adjusted","Sort=A","Dates=H","DateFormat=P","Fill=—","Direction=H","UseDPDF=Y")</f>
        <v>3098</v>
      </c>
      <c r="N16" s="19">
        <f>_xll.BDH("AMGN US Equity","EBITDA","FQ1 2022","FQ1 2022","Currency=USD","Period=FQ","BEST_FPERIOD_OVERRIDE=FQ","FILING_STATUS=MR","SCALING_FORMAT=MLN","FA_ADJUSTED=Adjusted","Sort=A","Dates=H","DateFormat=P","Fill=—","Direction=H","UseDPDF=Y")</f>
        <v>3981</v>
      </c>
      <c r="O16" s="19">
        <f>_xll.BDH("AMGN US Equity","EBITDA","FQ2 2022","FQ2 2022","Currency=USD","Period=FQ","BEST_FPERIOD_OVERRIDE=FQ","FILING_STATUS=MR","SCALING_FORMAT=MLN","FA_ADJUSTED=Adjusted","Sort=A","Dates=H","DateFormat=P","Fill=—","Direction=H","UseDPDF=Y")</f>
        <v>4163</v>
      </c>
      <c r="P16" s="19">
        <f>_xll.BDH("AMGN US Equity","EBITDA","FQ3 2022","FQ3 2022","Currency=USD","Period=FQ","BEST_FPERIOD_OVERRIDE=FQ","FILING_STATUS=MR","SCALING_FORMAT=MLN","FA_ADJUSTED=Adjusted","Sort=A","Dates=H","DateFormat=P","Fill=—","Direction=H","UseDPDF=Y")</f>
        <v>3502</v>
      </c>
      <c r="Q16" s="19">
        <f>_xll.BDH("AMGN US Equity","EBITDA","FQ4 2022","FQ4 2022","Currency=USD","Period=FQ","BEST_FPERIOD_OVERRIDE=FQ","FILING_STATUS=MR","SCALING_FORMAT=MLN","FA_ADJUSTED=Adjusted","Sort=A","Dates=H","DateFormat=P","Fill=—","Direction=H","UseDPDF=Y")</f>
        <v>3107</v>
      </c>
      <c r="R16" s="19">
        <f>_xll.BDH("AMGN US Equity","EBITDA","FQ1 2023","FQ1 2023","Currency=USD","Period=FQ","BEST_FPERIOD_OVERRIDE=FQ","FILING_STATUS=MR","SCALING_FORMAT=MLN","FA_ADJUSTED=Adjusted","Sort=A","Dates=H","DateFormat=P","Fill=—","Direction=H","UseDPDF=Y")</f>
        <v>3721</v>
      </c>
      <c r="S16" s="19">
        <f>_xll.BDH("AMGN US Equity","EBITDA","FQ2 2023","FQ2 2023","Currency=USD","Period=FQ","BEST_FPERIOD_OVERRIDE=FQ","FILING_STATUS=MR","SCALING_FORMAT=MLN","FA_ADJUSTED=Adjusted","Sort=A","Dates=H","DateFormat=P","Fill=—","Direction=H","UseDPDF=Y")</f>
        <v>3622</v>
      </c>
      <c r="T16" s="19">
        <f>_xll.BDH("AMGN US Equity","EBITDA","FQ3 2023","FQ3 2023","Currency=USD","Period=FQ","BEST_FPERIOD_OVERRIDE=FQ","FILING_STATUS=MR","SCALING_FORMAT=MLN","FA_ADJUSTED=Adjusted","Sort=A","Dates=H","DateFormat=P","Fill=—","Direction=H","UseDPDF=Y")</f>
        <v>3579</v>
      </c>
      <c r="U16" s="19">
        <f>_xll.BDH("AMGN US Equity","EBITDA","FQ4 2023","FQ4 2023","Currency=USD","Period=FQ","BEST_FPERIOD_OVERRIDE=FQ","FILING_STATUS=MR","SCALING_FORMAT=MLN","FA_ADJUSTED=Adjusted","Sort=A","Dates=H","DateFormat=P","Fill=—","Direction=H","UseDPDF=Y")</f>
        <v>3178</v>
      </c>
      <c r="V16" s="19">
        <f>_xll.BDH("AMGN US Equity","EBITDA","FQ1 2024","FQ1 2024","Currency=USD","Period=FQ","BEST_FPERIOD_OVERRIDE=FQ","FILING_STATUS=MR","SCALING_FORMAT=MLN","FA_ADJUSTED=Adjusted","Sort=A","Dates=H","DateFormat=P","Fill=—","Direction=H","UseDPDF=Y")</f>
        <v>2495</v>
      </c>
      <c r="W16" s="19">
        <f>_xll.BDH("AMGN US Equity","EBITDA","FQ2 2024","FQ2 2024","Currency=USD","Period=FQ","BEST_FPERIOD_OVERRIDE=FQ","FILING_STATUS=MR","SCALING_FORMAT=MLN","FA_ADJUSTED=Adjusted","Sort=A","Dates=H","DateFormat=P","Fill=—","Direction=H","UseDPDF=Y")</f>
        <v>3443</v>
      </c>
      <c r="X16" s="19">
        <f>_xll.BDH("AMGN US Equity","EBITDA","FQ3 2024","FQ3 2024","Currency=USD","Period=FQ","BEST_FPERIOD_OVERRIDE=FQ","FILING_STATUS=MR","SCALING_FORMAT=MLN","FA_ADJUSTED=Adjusted","Sort=A","Dates=H","DateFormat=P","Fill=—","Direction=H","UseDPDF=Y")</f>
        <v>3584</v>
      </c>
      <c r="Y16" s="19">
        <f>_xll.BDH("AMGN US Equity","EBITDA","FQ4 2024","FQ4 2024","Currency=USD","Period=FQ","BEST_FPERIOD_OVERRIDE=FQ","FILING_STATUS=MR","SCALING_FORMAT=MLN","FA_ADJUSTED=Adjusted","Sort=A","Dates=H","DateFormat=P","Fill=—","Direction=H","UseDPDF=Y")</f>
        <v>3854</v>
      </c>
      <c r="Z16" s="19">
        <v>3909.375</v>
      </c>
      <c r="AA16" s="19">
        <v>4794.625</v>
      </c>
    </row>
    <row r="17" spans="1:27" x14ac:dyDescent="0.25">
      <c r="A17" s="11" t="s">
        <v>76</v>
      </c>
      <c r="B17" s="11" t="s">
        <v>78</v>
      </c>
      <c r="C17" s="25">
        <v>54.811786748424502</v>
      </c>
      <c r="D17" s="25">
        <v>52.745337284294898</v>
      </c>
      <c r="E17" s="25">
        <v>46.312731967080801</v>
      </c>
      <c r="F17" s="25">
        <v>53.189417302385998</v>
      </c>
      <c r="G17" s="25">
        <v>54.0283596519497</v>
      </c>
      <c r="H17" s="25">
        <v>63.568425969173298</v>
      </c>
      <c r="I17" s="25">
        <v>44.407597226409401</v>
      </c>
      <c r="J17" s="25">
        <v>62.785968479918701</v>
      </c>
      <c r="K17" s="25">
        <v>60.772295433650001</v>
      </c>
      <c r="L17" s="25">
        <v>48.538622129436298</v>
      </c>
      <c r="M17" s="25">
        <v>45.252702307916998</v>
      </c>
      <c r="N17" s="25">
        <v>63.818531580634797</v>
      </c>
      <c r="O17" s="25">
        <v>63.133151349711902</v>
      </c>
      <c r="P17" s="25">
        <v>52.645820805772701</v>
      </c>
      <c r="Q17" s="25">
        <v>45.430618511478301</v>
      </c>
      <c r="R17" s="25">
        <v>60.950040950041</v>
      </c>
      <c r="S17" s="25">
        <v>51.846550243343799</v>
      </c>
      <c r="T17" s="25">
        <v>51.847023033463699</v>
      </c>
      <c r="U17" s="25">
        <v>38.7750122010737</v>
      </c>
      <c r="V17" s="25">
        <v>33.503424197663499</v>
      </c>
      <c r="W17" s="25">
        <v>41.046733428707697</v>
      </c>
      <c r="X17" s="25">
        <v>42.149829471951101</v>
      </c>
      <c r="Y17" s="25">
        <v>42.4169051287695</v>
      </c>
      <c r="Z17" s="25">
        <v>48.451816136736802</v>
      </c>
      <c r="AA17" s="25">
        <v>54.0787841191067</v>
      </c>
    </row>
    <row r="18" spans="1:27" x14ac:dyDescent="0.25">
      <c r="A18" s="6" t="s">
        <v>79</v>
      </c>
      <c r="B18" s="6" t="s">
        <v>80</v>
      </c>
      <c r="C18" s="19">
        <f>_xll.BDH("AMGN US Equity","EARN_FOR_COMMON","FQ2 2019","FQ2 2019","Currency=USD","Period=FQ","BEST_FPERIOD_OVERRIDE=FQ","FILING_STATUS=MR","SCALING_FORMAT=MLN","FA_ADJUSTED=Adjusted","Sort=A","Dates=H","DateFormat=P","Fill=—","Direction=H","UseDPDF=Y")</f>
        <v>2195.7094999999999</v>
      </c>
      <c r="D18" s="19">
        <f>_xll.BDH("AMGN US Equity","EARN_FOR_COMMON","FQ3 2019","FQ3 2019","Currency=USD","Period=FQ","BEST_FPERIOD_OVERRIDE=FQ","FILING_STATUS=MR","SCALING_FORMAT=MLN","FA_ADJUSTED=Adjusted","Sort=A","Dates=H","DateFormat=P","Fill=—","Direction=H","UseDPDF=Y")</f>
        <v>1976</v>
      </c>
      <c r="E18" s="19">
        <f>_xll.BDH("AMGN US Equity","EARN_FOR_COMMON","FQ4 2019","FQ4 2019","Currency=USD","Period=FQ","BEST_FPERIOD_OVERRIDE=FQ","FILING_STATUS=MR","SCALING_FORMAT=MLN","FA_ADJUSTED=Adjusted","Sort=A","Dates=H","DateFormat=P","Fill=—","Direction=H","UseDPDF=Y")</f>
        <v>1760.3874000000001</v>
      </c>
      <c r="F18" s="19">
        <f>_xll.BDH("AMGN US Equity","EARN_FOR_COMMON","FQ1 2020","FQ1 2020","Currency=USD","Period=FQ","BEST_FPERIOD_OVERRIDE=FQ","FILING_STATUS=MR","SCALING_FORMAT=MLN","FA_ADJUSTED=Adjusted","Sort=A","Dates=H","DateFormat=P","Fill=—","Direction=H","UseDPDF=Y")</f>
        <v>1845.7964999999999</v>
      </c>
      <c r="G18" s="19">
        <f>_xll.BDH("AMGN US Equity","EARN_FOR_COMMON","FQ2 2020","FQ2 2020","Currency=USD","Period=FQ","BEST_FPERIOD_OVERRIDE=FQ","FILING_STATUS=MR","SCALING_FORMAT=MLN","FA_ADJUSTED=Adjusted","Sort=A","Dates=H","DateFormat=P","Fill=—","Direction=H","UseDPDF=Y")</f>
        <v>1875.5315000000001</v>
      </c>
      <c r="H18" s="19">
        <f>_xll.BDH("AMGN US Equity","EARN_FOR_COMMON","FQ3 2020","FQ3 2020","Currency=USD","Period=FQ","BEST_FPERIOD_OVERRIDE=FQ","FILING_STATUS=MR","SCALING_FORMAT=MLN","FA_ADJUSTED=Adjusted","Sort=A","Dates=H","DateFormat=P","Fill=—","Direction=H","UseDPDF=Y")</f>
        <v>2569.9627999999998</v>
      </c>
      <c r="I18" s="19">
        <f>_xll.BDH("AMGN US Equity","EARN_FOR_COMMON","FQ4 2020","FQ4 2020","Currency=USD","Period=FQ","BEST_FPERIOD_OVERRIDE=FQ","FILING_STATUS=MR","SCALING_FORMAT=MLN","FA_ADJUSTED=Adjusted","Sort=A","Dates=H","DateFormat=P","Fill=—","Direction=H","UseDPDF=Y")</f>
        <v>1664.0646999999999</v>
      </c>
      <c r="J18" s="19">
        <f>_xll.BDH("AMGN US Equity","EARN_FOR_COMMON","FQ1 2021","FQ1 2021","Currency=USD","Period=FQ","BEST_FPERIOD_OVERRIDE=FQ","FILING_STATUS=MR","SCALING_FORMAT=MLN","FA_ADJUSTED=Adjusted","Sort=A","Dates=H","DateFormat=P","Fill=—","Direction=H","UseDPDF=Y")</f>
        <v>2110.7057</v>
      </c>
      <c r="K18" s="19">
        <f>_xll.BDH("AMGN US Equity","EARN_FOR_COMMON","FQ2 2021","FQ2 2021","Currency=USD","Period=FQ","BEST_FPERIOD_OVERRIDE=FQ","FILING_STATUS=MR","SCALING_FORMAT=MLN","FA_ADJUSTED=Adjusted","Sort=A","Dates=H","DateFormat=P","Fill=—","Direction=H","UseDPDF=Y")</f>
        <v>2485.0016999999998</v>
      </c>
      <c r="L18" s="19">
        <f>_xll.BDH("AMGN US Equity","EARN_FOR_COMMON","FQ3 2021","FQ3 2021","Currency=USD","Period=FQ","BEST_FPERIOD_OVERRIDE=FQ","FILING_STATUS=MR","SCALING_FORMAT=MLN","FA_ADJUSTED=Adjusted","Sort=A","Dates=H","DateFormat=P","Fill=—","Direction=H","UseDPDF=Y")</f>
        <v>1709.0492999999999</v>
      </c>
      <c r="M18" s="19">
        <f>_xll.BDH("AMGN US Equity","EARN_FOR_COMMON","FQ4 2021","FQ4 2021","Currency=USD","Period=FQ","BEST_FPERIOD_OVERRIDE=FQ","FILING_STATUS=MR","SCALING_FORMAT=MLN","FA_ADJUSTED=Adjusted","Sort=A","Dates=H","DateFormat=P","Fill=—","Direction=H","UseDPDF=Y")</f>
        <v>1864.2515000000001</v>
      </c>
      <c r="N18" s="19">
        <f>_xll.BDH("AMGN US Equity","EARN_FOR_COMMON","FQ1 2022","FQ1 2022","Currency=USD","Period=FQ","BEST_FPERIOD_OVERRIDE=FQ","FILING_STATUS=MR","SCALING_FORMAT=MLN","FA_ADJUSTED=Adjusted","Sort=A","Dates=H","DateFormat=P","Fill=—","Direction=H","UseDPDF=Y")</f>
        <v>2304.4439000000002</v>
      </c>
      <c r="O18" s="19">
        <f>_xll.BDH("AMGN US Equity","EARN_FOR_COMMON","FQ2 2022","FQ2 2022","Currency=USD","Period=FQ","BEST_FPERIOD_OVERRIDE=FQ","FILING_STATUS=MR","SCALING_FORMAT=MLN","FA_ADJUSTED=Adjusted","Sort=A","Dates=H","DateFormat=P","Fill=—","Direction=H","UseDPDF=Y")</f>
        <v>2453.5925000000002</v>
      </c>
      <c r="P18" s="19">
        <f>_xll.BDH("AMGN US Equity","EARN_FOR_COMMON","FQ3 2022","FQ3 2022","Currency=USD","Period=FQ","BEST_FPERIOD_OVERRIDE=FQ","FILING_STATUS=MR","SCALING_FORMAT=MLN","FA_ADJUSTED=Adjusted","Sort=A","Dates=H","DateFormat=P","Fill=—","Direction=H","UseDPDF=Y")</f>
        <v>2027.4163000000001</v>
      </c>
      <c r="Q18" s="19">
        <f>_xll.BDH("AMGN US Equity","EARN_FOR_COMMON","FQ4 2022","FQ4 2022","Currency=USD","Period=FQ","BEST_FPERIOD_OVERRIDE=FQ","FILING_STATUS=MR","SCALING_FORMAT=MLN","FA_ADJUSTED=Adjusted","Sort=A","Dates=H","DateFormat=P","Fill=—","Direction=H","UseDPDF=Y")</f>
        <v>1513.0811000000001</v>
      </c>
      <c r="R18" s="19">
        <f>_xll.BDH("AMGN US Equity","EARN_FOR_COMMON","FQ1 2023","FQ1 2023","Currency=USD","Period=FQ","BEST_FPERIOD_OVERRIDE=FQ","FILING_STATUS=MR","SCALING_FORMAT=MLN","FA_ADJUSTED=Adjusted","Sort=A","Dates=H","DateFormat=P","Fill=—","Direction=H","UseDPDF=Y")</f>
        <v>2024</v>
      </c>
      <c r="S18" s="19">
        <f>_xll.BDH("AMGN US Equity","EARN_FOR_COMMON","FQ2 2023","FQ2 2023","Currency=USD","Period=FQ","BEST_FPERIOD_OVERRIDE=FQ","FILING_STATUS=MR","SCALING_FORMAT=MLN","FA_ADJUSTED=Adjusted","Sort=A","Dates=H","DateFormat=P","Fill=—","Direction=H","UseDPDF=Y")</f>
        <v>1851.94</v>
      </c>
      <c r="T18" s="19">
        <f>_xll.BDH("AMGN US Equity","EARN_FOR_COMMON","FQ3 2023","FQ3 2023","Currency=USD","Period=FQ","BEST_FPERIOD_OVERRIDE=FQ","FILING_STATUS=MR","SCALING_FORMAT=MLN","FA_ADJUSTED=Adjusted","Sort=A","Dates=H","DateFormat=P","Fill=—","Direction=H","UseDPDF=Y")</f>
        <v>2078.9131000000002</v>
      </c>
      <c r="U18" s="19">
        <f>_xll.BDH("AMGN US Equity","EARN_FOR_COMMON","FQ4 2023","FQ4 2023","Currency=USD","Period=FQ","BEST_FPERIOD_OVERRIDE=FQ","FILING_STATUS=MR","SCALING_FORMAT=MLN","FA_ADJUSTED=Adjusted","Sort=A","Dates=H","DateFormat=P","Fill=—","Direction=H","UseDPDF=Y")</f>
        <v>1011.3668</v>
      </c>
      <c r="V18" s="19">
        <f>_xll.BDH("AMGN US Equity","EARN_FOR_COMMON","FQ1 2024","FQ1 2024","Currency=USD","Period=FQ","BEST_FPERIOD_OVERRIDE=FQ","FILING_STATUS=MR","SCALING_FORMAT=MLN","FA_ADJUSTED=Adjusted","Sort=A","Dates=H","DateFormat=P","Fill=—","Direction=H","UseDPDF=Y")</f>
        <v>431.9846</v>
      </c>
      <c r="W18" s="19">
        <f>_xll.BDH("AMGN US Equity","EARN_FOR_COMMON","FQ2 2024","FQ2 2024","Currency=USD","Period=FQ","BEST_FPERIOD_OVERRIDE=FQ","FILING_STATUS=MR","SCALING_FORMAT=MLN","FA_ADJUSTED=Adjusted","Sort=A","Dates=H","DateFormat=P","Fill=—","Direction=H","UseDPDF=Y")</f>
        <v>1207.5881999999999</v>
      </c>
      <c r="X18" s="19">
        <f>_xll.BDH("AMGN US Equity","EARN_FOR_COMMON","FQ3 2024","FQ3 2024","Currency=USD","Period=FQ","BEST_FPERIOD_OVERRIDE=FQ","FILING_STATUS=MR","SCALING_FORMAT=MLN","FA_ADJUSTED=Adjusted","Sort=A","Dates=H","DateFormat=P","Fill=—","Direction=H","UseDPDF=Y")</f>
        <v>2043.6077</v>
      </c>
      <c r="Y18" s="19">
        <f>_xll.BDH("AMGN US Equity","EARN_FOR_COMMON","FQ4 2024","FQ4 2024","Currency=USD","Period=FQ","BEST_FPERIOD_OVERRIDE=FQ","FILING_STATUS=MR","SCALING_FORMAT=MLN","FA_ADJUSTED=Adjusted","Sort=A","Dates=H","DateFormat=P","Fill=—","Direction=H","UseDPDF=Y")</f>
        <v>1307.2090000000001</v>
      </c>
      <c r="Z18" s="19">
        <v>2215.5219999999999</v>
      </c>
      <c r="AA18" s="19">
        <v>2773.174</v>
      </c>
    </row>
    <row r="19" spans="1:27" x14ac:dyDescent="0.25">
      <c r="A19" s="11" t="s">
        <v>76</v>
      </c>
      <c r="B19" s="11" t="s">
        <v>80</v>
      </c>
      <c r="C19" s="25">
        <v>37.399241338783902</v>
      </c>
      <c r="D19" s="25">
        <v>34.443088722328703</v>
      </c>
      <c r="E19" s="25">
        <v>28.4070910924641</v>
      </c>
      <c r="F19" s="25">
        <v>29.9593655575394</v>
      </c>
      <c r="G19" s="25">
        <v>30.221262197872999</v>
      </c>
      <c r="H19" s="25">
        <v>40.011875681145902</v>
      </c>
      <c r="I19" s="25">
        <v>25.083881956587302</v>
      </c>
      <c r="J19" s="25">
        <v>35.768610337231003</v>
      </c>
      <c r="K19" s="25">
        <v>38.0784817652467</v>
      </c>
      <c r="L19" s="25">
        <v>25.485376319713701</v>
      </c>
      <c r="M19" s="25">
        <v>27.231252322524099</v>
      </c>
      <c r="N19" s="25">
        <v>36.942031356203898</v>
      </c>
      <c r="O19" s="25">
        <v>37.209471322414302</v>
      </c>
      <c r="P19" s="25">
        <v>30.478297384245302</v>
      </c>
      <c r="Q19" s="25">
        <v>22.124303480040901</v>
      </c>
      <c r="R19" s="25">
        <v>33.153153153153198</v>
      </c>
      <c r="S19" s="25">
        <v>26.509304322931602</v>
      </c>
      <c r="T19" s="25">
        <v>30.116081109662499</v>
      </c>
      <c r="U19" s="25">
        <v>12.339760541727699</v>
      </c>
      <c r="V19" s="25">
        <v>5.8007868671948399</v>
      </c>
      <c r="W19" s="25">
        <v>14.3966170123987</v>
      </c>
      <c r="X19" s="25">
        <v>24.0339608608726</v>
      </c>
      <c r="Y19" s="25">
        <v>14.387068225842</v>
      </c>
      <c r="Z19" s="25">
        <v>27.4586256347614</v>
      </c>
      <c r="AA19" s="25">
        <v>31.278750281976102</v>
      </c>
    </row>
    <row r="20" spans="1:27" x14ac:dyDescent="0.25">
      <c r="A20" s="6" t="s">
        <v>81</v>
      </c>
      <c r="B20" s="6" t="s">
        <v>82</v>
      </c>
      <c r="C20" s="20">
        <f>_xll.BDH("AMGN US Equity","IS_DIL_EPS_CONT_OPS","FQ2 2019","FQ2 2019","Currency=USD","Period=FQ","BEST_FPERIOD_OVERRIDE=FQ","FILING_STATUS=MR","Sort=A","Dates=H","DateFormat=P","Fill=—","Direction=H","UseDPDF=Y")</f>
        <v>3.5973999999999999</v>
      </c>
      <c r="D20" s="20">
        <f>_xll.BDH("AMGN US Equity","IS_DIL_EPS_CONT_OPS","FQ3 2019","FQ3 2019","Currency=USD","Period=FQ","BEST_FPERIOD_OVERRIDE=FQ","FILING_STATUS=MR","Sort=A","Dates=H","DateFormat=P","Fill=—","Direction=H","UseDPDF=Y")</f>
        <v>3.2833000000000001</v>
      </c>
      <c r="E20" s="20">
        <f>_xll.BDH("AMGN US Equity","IS_DIL_EPS_CONT_OPS","FQ4 2019","FQ4 2019","Currency=USD","Period=FQ","BEST_FPERIOD_OVERRIDE=FQ","FILING_STATUS=MR","Sort=A","Dates=H","DateFormat=P","Fill=—","Direction=H","UseDPDF=Y")</f>
        <v>2.9460000000000002</v>
      </c>
      <c r="F20" s="20">
        <f>_xll.BDH("AMGN US Equity","IS_DIL_EPS_CONT_OPS","FQ1 2020","FQ1 2020","Currency=USD","Period=FQ","BEST_FPERIOD_OVERRIDE=FQ","FILING_STATUS=MR","Sort=A","Dates=H","DateFormat=P","Fill=—","Direction=H","UseDPDF=Y")</f>
        <v>3.105</v>
      </c>
      <c r="G20" s="20">
        <f>_xll.BDH("AMGN US Equity","IS_DIL_EPS_CONT_OPS","FQ2 2020","FQ2 2020","Currency=USD","Period=FQ","BEST_FPERIOD_OVERRIDE=FQ","FILING_STATUS=MR","Sort=A","Dates=H","DateFormat=P","Fill=—","Direction=H","UseDPDF=Y")</f>
        <v>3.1724999999999999</v>
      </c>
      <c r="H20" s="20">
        <f>_xll.BDH("AMGN US Equity","IS_DIL_EPS_CONT_OPS","FQ3 2020","FQ3 2020","Currency=USD","Period=FQ","BEST_FPERIOD_OVERRIDE=FQ","FILING_STATUS=MR","Sort=A","Dates=H","DateFormat=P","Fill=—","Direction=H","UseDPDF=Y")</f>
        <v>4.3620000000000001</v>
      </c>
      <c r="I20" s="20">
        <f>_xll.BDH("AMGN US Equity","IS_DIL_EPS_CONT_OPS","FQ4 2020","FQ4 2020","Currency=USD","Period=FQ","BEST_FPERIOD_OVERRIDE=FQ","FILING_STATUS=MR","Sort=A","Dates=H","DateFormat=P","Fill=—","Direction=H","UseDPDF=Y")</f>
        <v>2.8439000000000001</v>
      </c>
      <c r="J20" s="20">
        <f>_xll.BDH("AMGN US Equity","IS_DIL_EPS_CONT_OPS","FQ1 2021","FQ1 2021","Currency=USD","Period=FQ","BEST_FPERIOD_OVERRIDE=FQ","FILING_STATUS=MR","Sort=A","Dates=H","DateFormat=P","Fill=—","Direction=H","UseDPDF=Y")</f>
        <v>3.6297999999999999</v>
      </c>
      <c r="K20" s="20">
        <f>_xll.BDH("AMGN US Equity","IS_DIL_EPS_CONT_OPS","FQ2 2021","FQ2 2021","Currency=USD","Period=FQ","BEST_FPERIOD_OVERRIDE=FQ","FILING_STATUS=MR","Sort=A","Dates=H","DateFormat=P","Fill=—","Direction=H","UseDPDF=Y")</f>
        <v>4.3186999999999998</v>
      </c>
      <c r="L20" s="20">
        <f>_xll.BDH("AMGN US Equity","IS_DIL_EPS_CONT_OPS","FQ3 2021","FQ3 2021","Currency=USD","Period=FQ","BEST_FPERIOD_OVERRIDE=FQ","FILING_STATUS=MR","Sort=A","Dates=H","DateFormat=P","Fill=—","Direction=H","UseDPDF=Y")</f>
        <v>3.0030999999999999</v>
      </c>
      <c r="M20" s="20">
        <f>_xll.BDH("AMGN US Equity","IS_DIL_EPS_CONT_OPS","FQ4 2021","FQ4 2021","Currency=USD","Period=FQ","BEST_FPERIOD_OVERRIDE=FQ","FILING_STATUS=MR","Sort=A","Dates=H","DateFormat=P","Fill=—","Direction=H","UseDPDF=Y")</f>
        <v>3.2985000000000002</v>
      </c>
      <c r="N20" s="20">
        <f>_xll.BDH("AMGN US Equity","IS_DIL_EPS_CONT_OPS","FQ1 2022","FQ1 2022","Currency=USD","Period=FQ","BEST_FPERIOD_OVERRIDE=FQ","FILING_STATUS=MR","Sort=A","Dates=H","DateFormat=P","Fill=—","Direction=H","UseDPDF=Y")</f>
        <v>4.1835000000000004</v>
      </c>
      <c r="O20" s="20">
        <f>_xll.BDH("AMGN US Equity","IS_DIL_EPS_CONT_OPS","FQ2 2022","FQ2 2022","Currency=USD","Period=FQ","BEST_FPERIOD_OVERRIDE=FQ","FILING_STATUS=MR","Sort=A","Dates=H","DateFormat=P","Fill=—","Direction=H","UseDPDF=Y")</f>
        <v>4.5666000000000002</v>
      </c>
      <c r="P20" s="20">
        <f>_xll.BDH("AMGN US Equity","IS_DIL_EPS_CONT_OPS","FQ3 2022","FQ3 2022","Currency=USD","Period=FQ","BEST_FPERIOD_OVERRIDE=FQ","FILING_STATUS=MR","Sort=A","Dates=H","DateFormat=P","Fill=—","Direction=H","UseDPDF=Y")</f>
        <v>3.7652000000000001</v>
      </c>
      <c r="Q20" s="20">
        <f>_xll.BDH("AMGN US Equity","IS_DIL_EPS_CONT_OPS","FQ4 2022","FQ4 2022","Currency=USD","Period=FQ","BEST_FPERIOD_OVERRIDE=FQ","FILING_STATUS=MR","Sort=A","Dates=H","DateFormat=P","Fill=—","Direction=H","UseDPDF=Y")</f>
        <v>2.8090999999999999</v>
      </c>
      <c r="R20" s="20">
        <f>_xll.BDH("AMGN US Equity","IS_DIL_EPS_CONT_OPS","FQ1 2023","FQ1 2023","Currency=USD","Period=FQ","BEST_FPERIOD_OVERRIDE=FQ","FILING_STATUS=MR","Sort=A","Dates=H","DateFormat=P","Fill=—","Direction=H","UseDPDF=Y")</f>
        <v>3.7614000000000001</v>
      </c>
      <c r="S20" s="20">
        <f>_xll.BDH("AMGN US Equity","IS_DIL_EPS_CONT_OPS","FQ2 2023","FQ2 2023","Currency=USD","Period=FQ","BEST_FPERIOD_OVERRIDE=FQ","FILING_STATUS=MR","Sort=A","Dates=H","DateFormat=P","Fill=—","Direction=H","UseDPDF=Y")</f>
        <v>3.4506999999999999</v>
      </c>
      <c r="T20" s="20">
        <f>_xll.BDH("AMGN US Equity","IS_DIL_EPS_CONT_OPS","FQ3 2023","FQ3 2023","Currency=USD","Period=FQ","BEST_FPERIOD_OVERRIDE=FQ","FILING_STATUS=MR","Sort=A","Dates=H","DateFormat=P","Fill=—","Direction=H","UseDPDF=Y")</f>
        <v>3.8685</v>
      </c>
      <c r="U20" s="20">
        <f>_xll.BDH("AMGN US Equity","IS_DIL_EPS_CONT_OPS","FQ4 2023","FQ4 2023","Currency=USD","Period=FQ","BEST_FPERIOD_OVERRIDE=FQ","FILING_STATUS=MR","Sort=A","Dates=H","DateFormat=P","Fill=—","Direction=H","UseDPDF=Y")</f>
        <v>1.8725000000000001</v>
      </c>
      <c r="V20" s="20">
        <f>_xll.BDH("AMGN US Equity","IS_DIL_EPS_CONT_OPS","FQ1 2024","FQ1 2024","Currency=USD","Period=FQ","BEST_FPERIOD_OVERRIDE=FQ","FILING_STATUS=MR","Sort=A","Dates=H","DateFormat=P","Fill=—","Direction=H","UseDPDF=Y")</f>
        <v>0.80589999999999995</v>
      </c>
      <c r="W20" s="20">
        <f>_xll.BDH("AMGN US Equity","IS_DIL_EPS_CONT_OPS","FQ2 2024","FQ2 2024","Currency=USD","Period=FQ","BEST_FPERIOD_OVERRIDE=FQ","FILING_STATUS=MR","Sort=A","Dates=H","DateFormat=P","Fill=—","Direction=H","UseDPDF=Y")</f>
        <v>2.2332000000000001</v>
      </c>
      <c r="X20" s="20">
        <f>_xll.BDH("AMGN US Equity","IS_DIL_EPS_CONT_OPS","FQ3 2024","FQ3 2024","Currency=USD","Period=FQ","BEST_FPERIOD_OVERRIDE=FQ","FILING_STATUS=MR","Sort=A","Dates=H","DateFormat=P","Fill=—","Direction=H","UseDPDF=Y")</f>
        <v>3.7690999999999999</v>
      </c>
      <c r="Y20" s="20">
        <f>_xll.BDH("AMGN US Equity","IS_DIL_EPS_CONT_OPS","FQ4 2024","FQ4 2024","Currency=USD","Period=FQ","BEST_FPERIOD_OVERRIDE=FQ","FILING_STATUS=MR","Sort=A","Dates=H","DateFormat=P","Fill=—","Direction=H","UseDPDF=Y")</f>
        <v>2.415</v>
      </c>
      <c r="Z20" s="20">
        <v>4.2480000000000002</v>
      </c>
      <c r="AA20" s="20">
        <v>5.3029999999999999</v>
      </c>
    </row>
    <row r="21" spans="1:27" x14ac:dyDescent="0.25">
      <c r="A21" s="11" t="s">
        <v>72</v>
      </c>
      <c r="B21" s="11" t="s">
        <v>83</v>
      </c>
      <c r="C21" s="26">
        <f>_xll.BDH("AMGN US Equity","DILUTED_EPS_AFT_XO_ITEMS_GROWTH","FQ2 2019","FQ2 2019","Currency=USD","Period=FQ","BEST_FPERIOD_OVERRIDE=FQ","FILING_STATUS=MR","FA_ADJUSTED=Adjusted","Sort=A","Dates=H","DateFormat=P","Fill=—","Direction=H","UseDPDF=Y")</f>
        <v>3.6576</v>
      </c>
      <c r="D21" s="26">
        <f>_xll.BDH("AMGN US Equity","DILUTED_EPS_AFT_XO_ITEMS_GROWTH","FQ3 2019","FQ3 2019","Currency=USD","Period=FQ","BEST_FPERIOD_OVERRIDE=FQ","FILING_STATUS=MR","FA_ADJUSTED=Adjusted","Sort=A","Dates=H","DateFormat=P","Fill=—","Direction=H","UseDPDF=Y")</f>
        <v>-0.57989999999999997</v>
      </c>
      <c r="E21" s="26">
        <f>_xll.BDH("AMGN US Equity","DILUTED_EPS_AFT_XO_ITEMS_GROWTH","FQ4 2019","FQ4 2019","Currency=USD","Period=FQ","BEST_FPERIOD_OVERRIDE=FQ","FILING_STATUS=MR","FA_ADJUSTED=Adjusted","Sort=A","Dates=H","DateFormat=P","Fill=—","Direction=H","UseDPDF=Y")</f>
        <v>-2.9422000000000001</v>
      </c>
      <c r="F21" s="26">
        <f>_xll.BDH("AMGN US Equity","DILUTED_EPS_AFT_XO_ITEMS_GROWTH","FQ1 2020","FQ1 2020","Currency=USD","Period=FQ","BEST_FPERIOD_OVERRIDE=FQ","FILING_STATUS=MR","FA_ADJUSTED=Adjusted","Sort=A","Dates=H","DateFormat=P","Fill=—","Direction=H","UseDPDF=Y")</f>
        <v>-2.6738</v>
      </c>
      <c r="G21" s="26">
        <f>_xll.BDH("AMGN US Equity","DILUTED_EPS_AFT_XO_ITEMS_GROWTH","FQ2 2020","FQ2 2020","Currency=USD","Period=FQ","BEST_FPERIOD_OVERRIDE=FQ","FILING_STATUS=MR","FA_ADJUSTED=Adjusted","Sort=A","Dates=H","DateFormat=P","Fill=—","Direction=H","UseDPDF=Y")</f>
        <v>-11.810600000000001</v>
      </c>
      <c r="H21" s="26">
        <f>_xll.BDH("AMGN US Equity","DILUTED_EPS_AFT_XO_ITEMS_GROWTH","FQ3 2020","FQ3 2020","Currency=USD","Period=FQ","BEST_FPERIOD_OVERRIDE=FQ","FILING_STATUS=MR","FA_ADJUSTED=Adjusted","Sort=A","Dates=H","DateFormat=P","Fill=—","Direction=H","UseDPDF=Y")</f>
        <v>32.8553</v>
      </c>
      <c r="I21" s="26">
        <f>_xll.BDH("AMGN US Equity","DILUTED_EPS_AFT_XO_ITEMS_GROWTH","FQ4 2020","FQ4 2020","Currency=USD","Period=FQ","BEST_FPERIOD_OVERRIDE=FQ","FILING_STATUS=MR","FA_ADJUSTED=Adjusted","Sort=A","Dates=H","DateFormat=P","Fill=—","Direction=H","UseDPDF=Y")</f>
        <v>-3.4655999999999998</v>
      </c>
      <c r="J21" s="26">
        <f>_xll.BDH("AMGN US Equity","DILUTED_EPS_AFT_XO_ITEMS_GROWTH","FQ1 2021","FQ1 2021","Currency=USD","Period=FQ","BEST_FPERIOD_OVERRIDE=FQ","FILING_STATUS=MR","FA_ADJUSTED=Adjusted","Sort=A","Dates=H","DateFormat=P","Fill=—","Direction=H","UseDPDF=Y")</f>
        <v>16.9026</v>
      </c>
      <c r="K21" s="26">
        <f>_xll.BDH("AMGN US Equity","DILUTED_EPS_AFT_XO_ITEMS_GROWTH","FQ2 2021","FQ2 2021","Currency=USD","Period=FQ","BEST_FPERIOD_OVERRIDE=FQ","FILING_STATUS=MR","FA_ADJUSTED=Adjusted","Sort=A","Dates=H","DateFormat=P","Fill=—","Direction=H","UseDPDF=Y")</f>
        <v>36.127899999999997</v>
      </c>
      <c r="L21" s="26">
        <f>_xll.BDH("AMGN US Equity","DILUTED_EPS_AFT_XO_ITEMS_GROWTH","FQ3 2021","FQ3 2021","Currency=USD","Period=FQ","BEST_FPERIOD_OVERRIDE=FQ","FILING_STATUS=MR","FA_ADJUSTED=Adjusted","Sort=A","Dates=H","DateFormat=P","Fill=—","Direction=H","UseDPDF=Y")</f>
        <v>-31.154199999999999</v>
      </c>
      <c r="M21" s="26">
        <f>_xll.BDH("AMGN US Equity","DILUTED_EPS_AFT_XO_ITEMS_GROWTH","FQ4 2021","FQ4 2021","Currency=USD","Period=FQ","BEST_FPERIOD_OVERRIDE=FQ","FILING_STATUS=MR","FA_ADJUSTED=Adjusted","Sort=A","Dates=H","DateFormat=P","Fill=—","Direction=H","UseDPDF=Y")</f>
        <v>15.9862</v>
      </c>
      <c r="N21" s="26">
        <f>_xll.BDH("AMGN US Equity","DILUTED_EPS_AFT_XO_ITEMS_GROWTH","FQ1 2022","FQ1 2022","Currency=USD","Period=FQ","BEST_FPERIOD_OVERRIDE=FQ","FILING_STATUS=MR","FA_ADJUSTED=Adjusted","Sort=A","Dates=H","DateFormat=P","Fill=—","Direction=H","UseDPDF=Y")</f>
        <v>15.2538</v>
      </c>
      <c r="O21" s="26">
        <f>_xll.BDH("AMGN US Equity","DILUTED_EPS_AFT_XO_ITEMS_GROWTH","FQ2 2022","FQ2 2022","Currency=USD","Period=FQ","BEST_FPERIOD_OVERRIDE=FQ","FILING_STATUS=MR","FA_ADJUSTED=Adjusted","Sort=A","Dates=H","DateFormat=P","Fill=—","Direction=H","UseDPDF=Y")</f>
        <v>5.7396000000000003</v>
      </c>
      <c r="P21" s="26">
        <f>_xll.BDH("AMGN US Equity","DILUTED_EPS_AFT_XO_ITEMS_GROWTH","FQ3 2022","FQ3 2022","Currency=USD","Period=FQ","BEST_FPERIOD_OVERRIDE=FQ","FILING_STATUS=MR","FA_ADJUSTED=Adjusted","Sort=A","Dates=H","DateFormat=P","Fill=—","Direction=H","UseDPDF=Y")</f>
        <v>25.377099999999999</v>
      </c>
      <c r="Q21" s="26">
        <f>_xll.BDH("AMGN US Equity","DILUTED_EPS_AFT_XO_ITEMS_GROWTH","FQ4 2022","FQ4 2022","Currency=USD","Period=FQ","BEST_FPERIOD_OVERRIDE=FQ","FILING_STATUS=MR","FA_ADJUSTED=Adjusted","Sort=A","Dates=H","DateFormat=P","Fill=—","Direction=H","UseDPDF=Y")</f>
        <v>-14.8383</v>
      </c>
      <c r="R21" s="26">
        <f>_xll.BDH("AMGN US Equity","DILUTED_EPS_AFT_XO_ITEMS_GROWTH","FQ1 2023","FQ1 2023","Currency=USD","Period=FQ","BEST_FPERIOD_OVERRIDE=FQ","FILING_STATUS=MR","FA_ADJUSTED=Adjusted","Sort=A","Dates=H","DateFormat=P","Fill=—","Direction=H","UseDPDF=Y")</f>
        <v>-10.0899</v>
      </c>
      <c r="S21" s="26">
        <f>_xll.BDH("AMGN US Equity","DILUTED_EPS_AFT_XO_ITEMS_GROWTH","FQ2 2023","FQ2 2023","Currency=USD","Period=FQ","BEST_FPERIOD_OVERRIDE=FQ","FILING_STATUS=MR","FA_ADJUSTED=Adjusted","Sort=A","Dates=H","DateFormat=P","Fill=—","Direction=H","UseDPDF=Y")</f>
        <v>-24.435300000000002</v>
      </c>
      <c r="T21" s="26">
        <f>_xll.BDH("AMGN US Equity","DILUTED_EPS_AFT_XO_ITEMS_GROWTH","FQ3 2023","FQ3 2023","Currency=USD","Period=FQ","BEST_FPERIOD_OVERRIDE=FQ","FILING_STATUS=MR","FA_ADJUSTED=Adjusted","Sort=A","Dates=H","DateFormat=P","Fill=—","Direction=H","UseDPDF=Y")</f>
        <v>2.7456</v>
      </c>
      <c r="U21" s="26">
        <f>_xll.BDH("AMGN US Equity","DILUTED_EPS_AFT_XO_ITEMS_GROWTH","FQ4 2023","FQ4 2023","Currency=USD","Period=FQ","BEST_FPERIOD_OVERRIDE=FQ","FILING_STATUS=MR","FA_ADJUSTED=Adjusted","Sort=A","Dates=H","DateFormat=P","Fill=—","Direction=H","UseDPDF=Y")</f>
        <v>-33.339500000000001</v>
      </c>
      <c r="V21" s="26">
        <f>_xll.BDH("AMGN US Equity","DILUTED_EPS_AFT_XO_ITEMS_GROWTH","FQ1 2024","FQ1 2024","Currency=USD","Period=FQ","BEST_FPERIOD_OVERRIDE=FQ","FILING_STATUS=MR","FA_ADJUSTED=Adjusted","Sort=A","Dates=H","DateFormat=P","Fill=—","Direction=H","UseDPDF=Y")</f>
        <v>-78.573499999999996</v>
      </c>
      <c r="W21" s="26">
        <f>_xll.BDH("AMGN US Equity","DILUTED_EPS_AFT_XO_ITEMS_GROWTH","FQ2 2024","FQ2 2024","Currency=USD","Period=FQ","BEST_FPERIOD_OVERRIDE=FQ","FILING_STATUS=MR","FA_ADJUSTED=Adjusted","Sort=A","Dates=H","DateFormat=P","Fill=—","Direction=H","UseDPDF=Y")</f>
        <v>-35.282499999999999</v>
      </c>
      <c r="X21" s="26">
        <f>_xll.BDH("AMGN US Equity","DILUTED_EPS_AFT_XO_ITEMS_GROWTH","FQ3 2024","FQ3 2024","Currency=USD","Period=FQ","BEST_FPERIOD_OVERRIDE=FQ","FILING_STATUS=MR","FA_ADJUSTED=Adjusted","Sort=A","Dates=H","DateFormat=P","Fill=—","Direction=H","UseDPDF=Y")</f>
        <v>-2.5706000000000002</v>
      </c>
      <c r="Y21" s="26">
        <f>_xll.BDH("AMGN US Equity","DILUTED_EPS_AFT_XO_ITEMS_GROWTH","FQ4 2024","FQ4 2024","Currency=USD","Period=FQ","BEST_FPERIOD_OVERRIDE=FQ","FILING_STATUS=MR","FA_ADJUSTED=Adjusted","Sort=A","Dates=H","DateFormat=P","Fill=—","Direction=H","UseDPDF=Y")</f>
        <v>28.9697</v>
      </c>
      <c r="Z21" s="26">
        <v>427.08572960055398</v>
      </c>
      <c r="AA21" s="26">
        <v>137.46055571053901</v>
      </c>
    </row>
    <row r="22" spans="1:27" x14ac:dyDescent="0.25">
      <c r="A22" s="6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x14ac:dyDescent="0.25">
      <c r="A23" s="6" t="s">
        <v>84</v>
      </c>
      <c r="B23" s="6" t="s">
        <v>85</v>
      </c>
      <c r="C23" s="19">
        <f>_xll.BDH("AMGN US Equity","CF_CASH_FROM_OPER","FQ2 2019","FQ2 2019","Currency=USD","Period=FQ","BEST_FPERIOD_OVERRIDE=FQ","FILING_STATUS=MR","SCALING_FORMAT=MLN","Sort=A","Dates=H","DateFormat=P","Fill=—","Direction=H","UseDPDF=Y")</f>
        <v>1414</v>
      </c>
      <c r="D23" s="19">
        <f>_xll.BDH("AMGN US Equity","CF_CASH_FROM_OPER","FQ3 2019","FQ3 2019","Currency=USD","Period=FQ","BEST_FPERIOD_OVERRIDE=FQ","FILING_STATUS=MR","SCALING_FORMAT=MLN","Sort=A","Dates=H","DateFormat=P","Fill=—","Direction=H","UseDPDF=Y")</f>
        <v>3377</v>
      </c>
      <c r="E23" s="19">
        <f>_xll.BDH("AMGN US Equity","CF_CASH_FROM_OPER","FQ4 2019","FQ4 2019","Currency=USD","Period=FQ","BEST_FPERIOD_OVERRIDE=FQ","FILING_STATUS=MR","SCALING_FORMAT=MLN","Sort=A","Dates=H","DateFormat=P","Fill=—","Direction=H","UseDPDF=Y")</f>
        <v>2514</v>
      </c>
      <c r="F23" s="19">
        <f>_xll.BDH("AMGN US Equity","CF_CASH_FROM_OPER","FQ1 2020","FQ1 2020","Currency=USD","Period=FQ","BEST_FPERIOD_OVERRIDE=FQ","FILING_STATUS=MR","SCALING_FORMAT=MLN","Sort=A","Dates=H","DateFormat=P","Fill=—","Direction=H","UseDPDF=Y")</f>
        <v>2134</v>
      </c>
      <c r="G23" s="19">
        <f>_xll.BDH("AMGN US Equity","CF_CASH_FROM_OPER","FQ2 2020","FQ2 2020","Currency=USD","Period=FQ","BEST_FPERIOD_OVERRIDE=FQ","FILING_STATUS=MR","SCALING_FORMAT=MLN","Sort=A","Dates=H","DateFormat=P","Fill=—","Direction=H","UseDPDF=Y")</f>
        <v>2842</v>
      </c>
      <c r="H23" s="19">
        <f>_xll.BDH("AMGN US Equity","CF_CASH_FROM_OPER","FQ3 2020","FQ3 2020","Currency=USD","Period=FQ","BEST_FPERIOD_OVERRIDE=FQ","FILING_STATUS=MR","SCALING_FORMAT=MLN","Sort=A","Dates=H","DateFormat=P","Fill=—","Direction=H","UseDPDF=Y")</f>
        <v>3368</v>
      </c>
      <c r="I23" s="19">
        <f>_xll.BDH("AMGN US Equity","CF_CASH_FROM_OPER","FQ4 2020","FQ4 2020","Currency=USD","Period=FQ","BEST_FPERIOD_OVERRIDE=FQ","FILING_STATUS=MR","SCALING_FORMAT=MLN","Sort=A","Dates=H","DateFormat=P","Fill=—","Direction=H","UseDPDF=Y")</f>
        <v>2413</v>
      </c>
      <c r="J23" s="19">
        <f>_xll.BDH("AMGN US Equity","CF_CASH_FROM_OPER","FQ1 2021","FQ1 2021","Currency=USD","Period=FQ","BEST_FPERIOD_OVERRIDE=FQ","FILING_STATUS=MR","SCALING_FORMAT=MLN","Sort=A","Dates=H","DateFormat=P","Fill=—","Direction=H","UseDPDF=Y")</f>
        <v>2104</v>
      </c>
      <c r="K23" s="19">
        <f>_xll.BDH("AMGN US Equity","CF_CASH_FROM_OPER","FQ2 2021","FQ2 2021","Currency=USD","Period=FQ","BEST_FPERIOD_OVERRIDE=FQ","FILING_STATUS=MR","SCALING_FORMAT=MLN","Sort=A","Dates=H","DateFormat=P","Fill=—","Direction=H","UseDPDF=Y")</f>
        <v>1931</v>
      </c>
      <c r="L23" s="19">
        <f>_xll.BDH("AMGN US Equity","CF_CASH_FROM_OPER","FQ3 2021","FQ3 2021","Currency=USD","Period=FQ","BEST_FPERIOD_OVERRIDE=FQ","FILING_STATUS=MR","SCALING_FORMAT=MLN","Sort=A","Dates=H","DateFormat=P","Fill=—","Direction=H","UseDPDF=Y")</f>
        <v>2418</v>
      </c>
      <c r="M23" s="19">
        <f>_xll.BDH("AMGN US Equity","CF_CASH_FROM_OPER","FQ4 2021","FQ4 2021","Currency=USD","Period=FQ","BEST_FPERIOD_OVERRIDE=FQ","FILING_STATUS=MR","SCALING_FORMAT=MLN","Sort=A","Dates=H","DateFormat=P","Fill=—","Direction=H","UseDPDF=Y")</f>
        <v>2808</v>
      </c>
      <c r="N23" s="19">
        <f>_xll.BDH("AMGN US Equity","CF_CASH_FROM_OPER","FQ1 2022","FQ1 2022","Currency=USD","Period=FQ","BEST_FPERIOD_OVERRIDE=FQ","FILING_STATUS=MR","SCALING_FORMAT=MLN","Sort=A","Dates=H","DateFormat=P","Fill=—","Direction=H","UseDPDF=Y")</f>
        <v>2164</v>
      </c>
      <c r="O23" s="19">
        <f>_xll.BDH("AMGN US Equity","CF_CASH_FROM_OPER","FQ2 2022","FQ2 2022","Currency=USD","Period=FQ","BEST_FPERIOD_OVERRIDE=FQ","FILING_STATUS=MR","SCALING_FORMAT=MLN","Sort=A","Dates=H","DateFormat=P","Fill=—","Direction=H","UseDPDF=Y")</f>
        <v>1930</v>
      </c>
      <c r="P23" s="19">
        <f>_xll.BDH("AMGN US Equity","CF_CASH_FROM_OPER","FQ3 2022","FQ3 2022","Currency=USD","Period=FQ","BEST_FPERIOD_OVERRIDE=FQ","FILING_STATUS=MR","SCALING_FORMAT=MLN","Sort=A","Dates=H","DateFormat=P","Fill=—","Direction=H","UseDPDF=Y")</f>
        <v>2978</v>
      </c>
      <c r="Q23" s="19">
        <f>_xll.BDH("AMGN US Equity","CF_CASH_FROM_OPER","FQ4 2022","FQ4 2022","Currency=USD","Period=FQ","BEST_FPERIOD_OVERRIDE=FQ","FILING_STATUS=MR","SCALING_FORMAT=MLN","Sort=A","Dates=H","DateFormat=P","Fill=—","Direction=H","UseDPDF=Y")</f>
        <v>2649</v>
      </c>
      <c r="R23" s="19">
        <f>_xll.BDH("AMGN US Equity","CF_CASH_FROM_OPER","FQ1 2023","FQ1 2023","Currency=USD","Period=FQ","BEST_FPERIOD_OVERRIDE=FQ","FILING_STATUS=MR","SCALING_FORMAT=MLN","Sort=A","Dates=H","DateFormat=P","Fill=—","Direction=H","UseDPDF=Y")</f>
        <v>1064</v>
      </c>
      <c r="S23" s="19">
        <f>_xll.BDH("AMGN US Equity","CF_CASH_FROM_OPER","FQ2 2023","FQ2 2023","Currency=USD","Period=FQ","BEST_FPERIOD_OVERRIDE=FQ","FILING_STATUS=MR","SCALING_FORMAT=MLN","Sort=A","Dates=H","DateFormat=P","Fill=—","Direction=H","UseDPDF=Y")</f>
        <v>4109</v>
      </c>
      <c r="T23" s="19">
        <f>_xll.BDH("AMGN US Equity","CF_CASH_FROM_OPER","FQ3 2023","FQ3 2023","Currency=USD","Period=FQ","BEST_FPERIOD_OVERRIDE=FQ","FILING_STATUS=MR","SCALING_FORMAT=MLN","Sort=A","Dates=H","DateFormat=P","Fill=—","Direction=H","UseDPDF=Y")</f>
        <v>2760</v>
      </c>
      <c r="U23" s="19">
        <f>_xll.BDH("AMGN US Equity","CF_CASH_FROM_OPER","FQ4 2023","FQ4 2023","Currency=USD","Period=FQ","BEST_FPERIOD_OVERRIDE=FQ","FILING_STATUS=MR","SCALING_FORMAT=MLN","Sort=A","Dates=H","DateFormat=P","Fill=—","Direction=H","UseDPDF=Y")</f>
        <v>538</v>
      </c>
      <c r="V23" s="19">
        <f>_xll.BDH("AMGN US Equity","CF_CASH_FROM_OPER","FQ1 2024","FQ1 2024","Currency=USD","Period=FQ","BEST_FPERIOD_OVERRIDE=FQ","FILING_STATUS=MR","SCALING_FORMAT=MLN","Sort=A","Dates=H","DateFormat=P","Fill=—","Direction=H","UseDPDF=Y")</f>
        <v>689</v>
      </c>
      <c r="W23" s="19">
        <f>_xll.BDH("AMGN US Equity","CF_CASH_FROM_OPER","FQ2 2024","FQ2 2024","Currency=USD","Period=FQ","BEST_FPERIOD_OVERRIDE=FQ","FILING_STATUS=MR","SCALING_FORMAT=MLN","Sort=A","Dates=H","DateFormat=P","Fill=—","Direction=H","UseDPDF=Y")</f>
        <v>2459</v>
      </c>
      <c r="X23" s="19">
        <f>_xll.BDH("AMGN US Equity","CF_CASH_FROM_OPER","FQ3 2024","FQ3 2024","Currency=USD","Period=FQ","BEST_FPERIOD_OVERRIDE=FQ","FILING_STATUS=MR","SCALING_FORMAT=MLN","Sort=A","Dates=H","DateFormat=P","Fill=—","Direction=H","UseDPDF=Y")</f>
        <v>3571</v>
      </c>
      <c r="Y23" s="19">
        <f>_xll.BDH("AMGN US Equity","CF_CASH_FROM_OPER","FQ4 2024","FQ4 2024","Currency=USD","Period=FQ","BEST_FPERIOD_OVERRIDE=FQ","FILING_STATUS=MR","SCALING_FORMAT=MLN","Sort=A","Dates=H","DateFormat=P","Fill=—","Direction=H","UseDPDF=Y")</f>
        <v>4771</v>
      </c>
      <c r="Z23" s="19"/>
      <c r="AA23" s="19"/>
    </row>
    <row r="24" spans="1:27" x14ac:dyDescent="0.25">
      <c r="A24" s="6" t="s">
        <v>86</v>
      </c>
      <c r="B24" s="6" t="s">
        <v>87</v>
      </c>
      <c r="C24" s="19">
        <f>_xll.BDH("AMGN US Equity","CAPITAL_EXPEND","FQ2 2019","FQ2 2019","Currency=USD","Period=FQ","BEST_FPERIOD_OVERRIDE=FQ","FILING_STATUS=MR","SCALING_FORMAT=MLN","Sort=A","Dates=H","DateFormat=P","Fill=—","Direction=H","UseDPDF=Y")</f>
        <v>-144</v>
      </c>
      <c r="D24" s="19">
        <f>_xll.BDH("AMGN US Equity","CAPITAL_EXPEND","FQ3 2019","FQ3 2019","Currency=USD","Period=FQ","BEST_FPERIOD_OVERRIDE=FQ","FILING_STATUS=MR","SCALING_FORMAT=MLN","Sort=A","Dates=H","DateFormat=P","Fill=—","Direction=H","UseDPDF=Y")</f>
        <v>-170</v>
      </c>
      <c r="E24" s="19">
        <f>_xll.BDH("AMGN US Equity","CAPITAL_EXPEND","FQ4 2019","FQ4 2019","Currency=USD","Period=FQ","BEST_FPERIOD_OVERRIDE=FQ","FILING_STATUS=MR","SCALING_FORMAT=MLN","Sort=A","Dates=H","DateFormat=P","Fill=—","Direction=H","UseDPDF=Y")</f>
        <v>-188</v>
      </c>
      <c r="F24" s="19">
        <f>_xll.BDH("AMGN US Equity","CAPITAL_EXPEND","FQ1 2020","FQ1 2020","Currency=USD","Period=FQ","BEST_FPERIOD_OVERRIDE=FQ","FILING_STATUS=MR","SCALING_FORMAT=MLN","Sort=A","Dates=H","DateFormat=P","Fill=—","Direction=H","UseDPDF=Y")</f>
        <v>-142</v>
      </c>
      <c r="G24" s="19">
        <f>_xll.BDH("AMGN US Equity","CAPITAL_EXPEND","FQ2 2020","FQ2 2020","Currency=USD","Period=FQ","BEST_FPERIOD_OVERRIDE=FQ","FILING_STATUS=MR","SCALING_FORMAT=MLN","Sort=A","Dates=H","DateFormat=P","Fill=—","Direction=H","UseDPDF=Y")</f>
        <v>-158</v>
      </c>
      <c r="H24" s="19">
        <f>_xll.BDH("AMGN US Equity","CAPITAL_EXPEND","FQ3 2020","FQ3 2020","Currency=USD","Period=FQ","BEST_FPERIOD_OVERRIDE=FQ","FILING_STATUS=MR","SCALING_FORMAT=MLN","Sort=A","Dates=H","DateFormat=P","Fill=—","Direction=H","UseDPDF=Y")</f>
        <v>-135</v>
      </c>
      <c r="I24" s="19">
        <f>_xll.BDH("AMGN US Equity","CAPITAL_EXPEND","FQ4 2020","FQ4 2020","Currency=USD","Period=FQ","BEST_FPERIOD_OVERRIDE=FQ","FILING_STATUS=MR","SCALING_FORMAT=MLN","Sort=A","Dates=H","DateFormat=P","Fill=—","Direction=H","UseDPDF=Y")</f>
        <v>-173</v>
      </c>
      <c r="J24" s="19">
        <f>_xll.BDH("AMGN US Equity","CAPITAL_EXPEND","FQ1 2021","FQ1 2021","Currency=USD","Period=FQ","BEST_FPERIOD_OVERRIDE=FQ","FILING_STATUS=MR","SCALING_FORMAT=MLN","Sort=A","Dates=H","DateFormat=P","Fill=—","Direction=H","UseDPDF=Y")</f>
        <v>-166</v>
      </c>
      <c r="K24" s="19">
        <f>_xll.BDH("AMGN US Equity","CAPITAL_EXPEND","FQ2 2021","FQ2 2021","Currency=USD","Period=FQ","BEST_FPERIOD_OVERRIDE=FQ","FILING_STATUS=MR","SCALING_FORMAT=MLN","Sort=A","Dates=H","DateFormat=P","Fill=—","Direction=H","UseDPDF=Y")</f>
        <v>-185</v>
      </c>
      <c r="L24" s="19">
        <f>_xll.BDH("AMGN US Equity","CAPITAL_EXPEND","FQ3 2021","FQ3 2021","Currency=USD","Period=FQ","BEST_FPERIOD_OVERRIDE=FQ","FILING_STATUS=MR","SCALING_FORMAT=MLN","Sort=A","Dates=H","DateFormat=P","Fill=—","Direction=H","UseDPDF=Y")</f>
        <v>-242</v>
      </c>
      <c r="M24" s="19">
        <f>_xll.BDH("AMGN US Equity","CAPITAL_EXPEND","FQ4 2021","FQ4 2021","Currency=USD","Period=FQ","BEST_FPERIOD_OVERRIDE=FQ","FILING_STATUS=MR","SCALING_FORMAT=MLN","Sort=A","Dates=H","DateFormat=P","Fill=—","Direction=H","UseDPDF=Y")</f>
        <v>-287</v>
      </c>
      <c r="N24" s="19">
        <f>_xll.BDH("AMGN US Equity","CAPITAL_EXPEND","FQ1 2022","FQ1 2022","Currency=USD","Period=FQ","BEST_FPERIOD_OVERRIDE=FQ","FILING_STATUS=MR","SCALING_FORMAT=MLN","Sort=A","Dates=H","DateFormat=P","Fill=—","Direction=H","UseDPDF=Y")</f>
        <v>-190</v>
      </c>
      <c r="O24" s="19">
        <f>_xll.BDH("AMGN US Equity","CAPITAL_EXPEND","FQ2 2022","FQ2 2022","Currency=USD","Period=FQ","BEST_FPERIOD_OVERRIDE=FQ","FILING_STATUS=MR","SCALING_FORMAT=MLN","Sort=A","Dates=H","DateFormat=P","Fill=—","Direction=H","UseDPDF=Y")</f>
        <v>-246</v>
      </c>
      <c r="P24" s="19">
        <f>_xll.BDH("AMGN US Equity","CAPITAL_EXPEND","FQ3 2022","FQ3 2022","Currency=USD","Period=FQ","BEST_FPERIOD_OVERRIDE=FQ","FILING_STATUS=MR","SCALING_FORMAT=MLN","Sort=A","Dates=H","DateFormat=P","Fill=—","Direction=H","UseDPDF=Y")</f>
        <v>-160</v>
      </c>
      <c r="Q24" s="19">
        <f>_xll.BDH("AMGN US Equity","CAPITAL_EXPEND","FQ4 2022","FQ4 2022","Currency=USD","Period=FQ","BEST_FPERIOD_OVERRIDE=FQ","FILING_STATUS=MR","SCALING_FORMAT=MLN","Sort=A","Dates=H","DateFormat=P","Fill=—","Direction=H","UseDPDF=Y")</f>
        <v>-340</v>
      </c>
      <c r="R24" s="19">
        <f>_xll.BDH("AMGN US Equity","CAPITAL_EXPEND","FQ1 2023","FQ1 2023","Currency=USD","Period=FQ","BEST_FPERIOD_OVERRIDE=FQ","FILING_STATUS=MR","SCALING_FORMAT=MLN","Sort=A","Dates=H","DateFormat=P","Fill=—","Direction=H","UseDPDF=Y")</f>
        <v>-344</v>
      </c>
      <c r="S24" s="19">
        <f>_xll.BDH("AMGN US Equity","CAPITAL_EXPEND","FQ2 2023","FQ2 2023","Currency=USD","Period=FQ","BEST_FPERIOD_OVERRIDE=FQ","FILING_STATUS=MR","SCALING_FORMAT=MLN","Sort=A","Dates=H","DateFormat=P","Fill=—","Direction=H","UseDPDF=Y")</f>
        <v>-271</v>
      </c>
      <c r="T24" s="19">
        <f>_xll.BDH("AMGN US Equity","CAPITAL_EXPEND","FQ3 2023","FQ3 2023","Currency=USD","Period=FQ","BEST_FPERIOD_OVERRIDE=FQ","FILING_STATUS=MR","SCALING_FORMAT=MLN","Sort=A","Dates=H","DateFormat=P","Fill=—","Direction=H","UseDPDF=Y")</f>
        <v>-248</v>
      </c>
      <c r="U24" s="19">
        <f>_xll.BDH("AMGN US Equity","CAPITAL_EXPEND","FQ4 2023","FQ4 2023","Currency=USD","Period=FQ","BEST_FPERIOD_OVERRIDE=FQ","FILING_STATUS=MR","SCALING_FORMAT=MLN","Sort=A","Dates=H","DateFormat=P","Fill=—","Direction=H","UseDPDF=Y")</f>
        <v>-249</v>
      </c>
      <c r="V24" s="19">
        <f>_xll.BDH("AMGN US Equity","CAPITAL_EXPEND","FQ1 2024","FQ1 2024","Currency=USD","Period=FQ","BEST_FPERIOD_OVERRIDE=FQ","FILING_STATUS=MR","SCALING_FORMAT=MLN","Sort=A","Dates=H","DateFormat=P","Fill=—","Direction=H","UseDPDF=Y")</f>
        <v>-230</v>
      </c>
      <c r="W24" s="19">
        <f>_xll.BDH("AMGN US Equity","CAPITAL_EXPEND","FQ2 2024","FQ2 2024","Currency=USD","Period=FQ","BEST_FPERIOD_OVERRIDE=FQ","FILING_STATUS=MR","SCALING_FORMAT=MLN","Sort=A","Dates=H","DateFormat=P","Fill=—","Direction=H","UseDPDF=Y")</f>
        <v>-238</v>
      </c>
      <c r="X24" s="19">
        <f>_xll.BDH("AMGN US Equity","CAPITAL_EXPEND","FQ3 2024","FQ3 2024","Currency=USD","Period=FQ","BEST_FPERIOD_OVERRIDE=FQ","FILING_STATUS=MR","SCALING_FORMAT=MLN","Sort=A","Dates=H","DateFormat=P","Fill=—","Direction=H","UseDPDF=Y")</f>
        <v>-257</v>
      </c>
      <c r="Y24" s="19">
        <f>_xll.BDH("AMGN US Equity","CAPITAL_EXPEND","FQ4 2024","FQ4 2024","Currency=USD","Period=FQ","BEST_FPERIOD_OVERRIDE=FQ","FILING_STATUS=MR","SCALING_FORMAT=MLN","Sort=A","Dates=H","DateFormat=P","Fill=—","Direction=H","UseDPDF=Y")</f>
        <v>-371</v>
      </c>
      <c r="Z24" s="19">
        <v>-476.8</v>
      </c>
      <c r="AA24" s="19">
        <v>-513.44399999999996</v>
      </c>
    </row>
    <row r="25" spans="1:27" x14ac:dyDescent="0.25">
      <c r="A25" s="6" t="s">
        <v>88</v>
      </c>
      <c r="B25" s="6" t="s">
        <v>89</v>
      </c>
      <c r="C25" s="19">
        <f>_xll.BDH("AMGN US Equity","CF_FREE_CASH_FLOW","FQ2 2019","FQ2 2019","Currency=USD","Period=FQ","BEST_FPERIOD_OVERRIDE=FQ","FILING_STATUS=MR","SCALING_FORMAT=MLN","Sort=A","Dates=H","DateFormat=P","Fill=—","Direction=H","UseDPDF=Y")</f>
        <v>1270</v>
      </c>
      <c r="D25" s="19">
        <f>_xll.BDH("AMGN US Equity","CF_FREE_CASH_FLOW","FQ3 2019","FQ3 2019","Currency=USD","Period=FQ","BEST_FPERIOD_OVERRIDE=FQ","FILING_STATUS=MR","SCALING_FORMAT=MLN","Sort=A","Dates=H","DateFormat=P","Fill=—","Direction=H","UseDPDF=Y")</f>
        <v>3207</v>
      </c>
      <c r="E25" s="19">
        <f>_xll.BDH("AMGN US Equity","CF_FREE_CASH_FLOW","FQ4 2019","FQ4 2019","Currency=USD","Period=FQ","BEST_FPERIOD_OVERRIDE=FQ","FILING_STATUS=MR","SCALING_FORMAT=MLN","Sort=A","Dates=H","DateFormat=P","Fill=—","Direction=H","UseDPDF=Y")</f>
        <v>2326</v>
      </c>
      <c r="F25" s="19">
        <f>_xll.BDH("AMGN US Equity","CF_FREE_CASH_FLOW","FQ1 2020","FQ1 2020","Currency=USD","Period=FQ","BEST_FPERIOD_OVERRIDE=FQ","FILING_STATUS=MR","SCALING_FORMAT=MLN","Sort=A","Dates=H","DateFormat=P","Fill=—","Direction=H","UseDPDF=Y")</f>
        <v>1992</v>
      </c>
      <c r="G25" s="19">
        <f>_xll.BDH("AMGN US Equity","CF_FREE_CASH_FLOW","FQ2 2020","FQ2 2020","Currency=USD","Period=FQ","BEST_FPERIOD_OVERRIDE=FQ","FILING_STATUS=MR","SCALING_FORMAT=MLN","Sort=A","Dates=H","DateFormat=P","Fill=—","Direction=H","UseDPDF=Y")</f>
        <v>2684</v>
      </c>
      <c r="H25" s="19">
        <f>_xll.BDH("AMGN US Equity","CF_FREE_CASH_FLOW","FQ3 2020","FQ3 2020","Currency=USD","Period=FQ","BEST_FPERIOD_OVERRIDE=FQ","FILING_STATUS=MR","SCALING_FORMAT=MLN","Sort=A","Dates=H","DateFormat=P","Fill=—","Direction=H","UseDPDF=Y")</f>
        <v>3233</v>
      </c>
      <c r="I25" s="19">
        <f>_xll.BDH("AMGN US Equity","CF_FREE_CASH_FLOW","FQ4 2020","FQ4 2020","Currency=USD","Period=FQ","BEST_FPERIOD_OVERRIDE=FQ","FILING_STATUS=MR","SCALING_FORMAT=MLN","Sort=A","Dates=H","DateFormat=P","Fill=—","Direction=H","UseDPDF=Y")</f>
        <v>2240</v>
      </c>
      <c r="J25" s="19">
        <f>_xll.BDH("AMGN US Equity","CF_FREE_CASH_FLOW","FQ1 2021","FQ1 2021","Currency=USD","Period=FQ","BEST_FPERIOD_OVERRIDE=FQ","FILING_STATUS=MR","SCALING_FORMAT=MLN","Sort=A","Dates=H","DateFormat=P","Fill=—","Direction=H","UseDPDF=Y")</f>
        <v>1938</v>
      </c>
      <c r="K25" s="19">
        <f>_xll.BDH("AMGN US Equity","CF_FREE_CASH_FLOW","FQ2 2021","FQ2 2021","Currency=USD","Period=FQ","BEST_FPERIOD_OVERRIDE=FQ","FILING_STATUS=MR","SCALING_FORMAT=MLN","Sort=A","Dates=H","DateFormat=P","Fill=—","Direction=H","UseDPDF=Y")</f>
        <v>1746</v>
      </c>
      <c r="L25" s="19">
        <f>_xll.BDH("AMGN US Equity","CF_FREE_CASH_FLOW","FQ3 2021","FQ3 2021","Currency=USD","Period=FQ","BEST_FPERIOD_OVERRIDE=FQ","FILING_STATUS=MR","SCALING_FORMAT=MLN","Sort=A","Dates=H","DateFormat=P","Fill=—","Direction=H","UseDPDF=Y")</f>
        <v>2176</v>
      </c>
      <c r="M25" s="19">
        <f>_xll.BDH("AMGN US Equity","CF_FREE_CASH_FLOW","FQ4 2021","FQ4 2021","Currency=USD","Period=FQ","BEST_FPERIOD_OVERRIDE=FQ","FILING_STATUS=MR","SCALING_FORMAT=MLN","Sort=A","Dates=H","DateFormat=P","Fill=—","Direction=H","UseDPDF=Y")</f>
        <v>2521</v>
      </c>
      <c r="N25" s="19">
        <f>_xll.BDH("AMGN US Equity","CF_FREE_CASH_FLOW","FQ1 2022","FQ1 2022","Currency=USD","Period=FQ","BEST_FPERIOD_OVERRIDE=FQ","FILING_STATUS=MR","SCALING_FORMAT=MLN","Sort=A","Dates=H","DateFormat=P","Fill=—","Direction=H","UseDPDF=Y")</f>
        <v>1974</v>
      </c>
      <c r="O25" s="19">
        <f>_xll.BDH("AMGN US Equity","CF_FREE_CASH_FLOW","FQ2 2022","FQ2 2022","Currency=USD","Period=FQ","BEST_FPERIOD_OVERRIDE=FQ","FILING_STATUS=MR","SCALING_FORMAT=MLN","Sort=A","Dates=H","DateFormat=P","Fill=—","Direction=H","UseDPDF=Y")</f>
        <v>1684</v>
      </c>
      <c r="P25" s="19">
        <f>_xll.BDH("AMGN US Equity","CF_FREE_CASH_FLOW","FQ3 2022","FQ3 2022","Currency=USD","Period=FQ","BEST_FPERIOD_OVERRIDE=FQ","FILING_STATUS=MR","SCALING_FORMAT=MLN","Sort=A","Dates=H","DateFormat=P","Fill=—","Direction=H","UseDPDF=Y")</f>
        <v>2818</v>
      </c>
      <c r="Q25" s="19">
        <f>_xll.BDH("AMGN US Equity","CF_FREE_CASH_FLOW","FQ4 2022","FQ4 2022","Currency=USD","Period=FQ","BEST_FPERIOD_OVERRIDE=FQ","FILING_STATUS=MR","SCALING_FORMAT=MLN","Sort=A","Dates=H","DateFormat=P","Fill=—","Direction=H","UseDPDF=Y")</f>
        <v>2309</v>
      </c>
      <c r="R25" s="19">
        <f>_xll.BDH("AMGN US Equity","CF_FREE_CASH_FLOW","FQ1 2023","FQ1 2023","Currency=USD","Period=FQ","BEST_FPERIOD_OVERRIDE=FQ","FILING_STATUS=MR","SCALING_FORMAT=MLN","Sort=A","Dates=H","DateFormat=P","Fill=—","Direction=H","UseDPDF=Y")</f>
        <v>720</v>
      </c>
      <c r="S25" s="19">
        <f>_xll.BDH("AMGN US Equity","CF_FREE_CASH_FLOW","FQ2 2023","FQ2 2023","Currency=USD","Period=FQ","BEST_FPERIOD_OVERRIDE=FQ","FILING_STATUS=MR","SCALING_FORMAT=MLN","Sort=A","Dates=H","DateFormat=P","Fill=—","Direction=H","UseDPDF=Y")</f>
        <v>3838</v>
      </c>
      <c r="T25" s="19">
        <f>_xll.BDH("AMGN US Equity","CF_FREE_CASH_FLOW","FQ3 2023","FQ3 2023","Currency=USD","Period=FQ","BEST_FPERIOD_OVERRIDE=FQ","FILING_STATUS=MR","SCALING_FORMAT=MLN","Sort=A","Dates=H","DateFormat=P","Fill=—","Direction=H","UseDPDF=Y")</f>
        <v>2512</v>
      </c>
      <c r="U25" s="19">
        <f>_xll.BDH("AMGN US Equity","CF_FREE_CASH_FLOW","FQ4 2023","FQ4 2023","Currency=USD","Period=FQ","BEST_FPERIOD_OVERRIDE=FQ","FILING_STATUS=MR","SCALING_FORMAT=MLN","Sort=A","Dates=H","DateFormat=P","Fill=—","Direction=H","UseDPDF=Y")</f>
        <v>289</v>
      </c>
      <c r="V25" s="19">
        <f>_xll.BDH("AMGN US Equity","CF_FREE_CASH_FLOW","FQ1 2024","FQ1 2024","Currency=USD","Period=FQ","BEST_FPERIOD_OVERRIDE=FQ","FILING_STATUS=MR","SCALING_FORMAT=MLN","Sort=A","Dates=H","DateFormat=P","Fill=—","Direction=H","UseDPDF=Y")</f>
        <v>459</v>
      </c>
      <c r="W25" s="19">
        <f>_xll.BDH("AMGN US Equity","CF_FREE_CASH_FLOW","FQ2 2024","FQ2 2024","Currency=USD","Period=FQ","BEST_FPERIOD_OVERRIDE=FQ","FILING_STATUS=MR","SCALING_FORMAT=MLN","Sort=A","Dates=H","DateFormat=P","Fill=—","Direction=H","UseDPDF=Y")</f>
        <v>2221</v>
      </c>
      <c r="X25" s="19">
        <f>_xll.BDH("AMGN US Equity","CF_FREE_CASH_FLOW","FQ3 2024","FQ3 2024","Currency=USD","Period=FQ","BEST_FPERIOD_OVERRIDE=FQ","FILING_STATUS=MR","SCALING_FORMAT=MLN","Sort=A","Dates=H","DateFormat=P","Fill=—","Direction=H","UseDPDF=Y")</f>
        <v>3314</v>
      </c>
      <c r="Y25" s="19">
        <f>_xll.BDH("AMGN US Equity","CF_FREE_CASH_FLOW","FQ4 2024","FQ4 2024","Currency=USD","Period=FQ","BEST_FPERIOD_OVERRIDE=FQ","FILING_STATUS=MR","SCALING_FORMAT=MLN","Sort=A","Dates=H","DateFormat=P","Fill=—","Direction=H","UseDPDF=Y")</f>
        <v>4400</v>
      </c>
      <c r="Z25" s="19">
        <v>596.30999999999995</v>
      </c>
      <c r="AA25" s="19">
        <v>2792.1669999999999</v>
      </c>
    </row>
    <row r="26" spans="1:27" x14ac:dyDescent="0.25">
      <c r="A26" s="7" t="s">
        <v>90</v>
      </c>
      <c r="B26" s="7"/>
      <c r="C26" s="7" t="s">
        <v>5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64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406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31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</row>
    <row r="6" spans="1:27" x14ac:dyDescent="0.25">
      <c r="A6" s="6" t="s">
        <v>0</v>
      </c>
      <c r="B6" s="6" t="s">
        <v>71</v>
      </c>
      <c r="C6" s="19">
        <f>_xll.BDH("AMGN US Equity","SALES_REV_TURN","FQ2 2019","FQ2 2019","Currency=USD","Period=FQ","BEST_FPERIOD_OVERRIDE=FQ","FILING_STATUS=MR","SCALING_FORMAT=MLN","FA_ADJUSTED=GAAP","Sort=A","Dates=H","DateFormat=P","Fill=—","Direction=H","UseDPDF=Y")</f>
        <v>5871</v>
      </c>
      <c r="D6" s="19">
        <f>_xll.BDH("AMGN US Equity","SALES_REV_TURN","FQ3 2019","FQ3 2019","Currency=USD","Period=FQ","BEST_FPERIOD_OVERRIDE=FQ","FILING_STATUS=MR","SCALING_FORMAT=MLN","FA_ADJUSTED=GAAP","Sort=A","Dates=H","DateFormat=P","Fill=—","Direction=H","UseDPDF=Y")</f>
        <v>5737</v>
      </c>
      <c r="E6" s="19">
        <f>_xll.BDH("AMGN US Equity","SALES_REV_TURN","FQ4 2019","FQ4 2019","Currency=USD","Period=FQ","BEST_FPERIOD_OVERRIDE=FQ","FILING_STATUS=MR","SCALING_FORMAT=MLN","FA_ADJUSTED=GAAP","Sort=A","Dates=H","DateFormat=P","Fill=—","Direction=H","UseDPDF=Y")</f>
        <v>6197</v>
      </c>
      <c r="F6" s="19">
        <f>_xll.BDH("AMGN US Equity","SALES_REV_TURN","FQ1 2020","FQ1 2020","Currency=USD","Period=FQ","BEST_FPERIOD_OVERRIDE=FQ","FILING_STATUS=MR","SCALING_FORMAT=MLN","FA_ADJUSTED=GAAP","Sort=A","Dates=H","DateFormat=P","Fill=—","Direction=H","UseDPDF=Y")</f>
        <v>6161</v>
      </c>
      <c r="G6" s="19">
        <f>_xll.BDH("AMGN US Equity","SALES_REV_TURN","FQ2 2020","FQ2 2020","Currency=USD","Period=FQ","BEST_FPERIOD_OVERRIDE=FQ","FILING_STATUS=MR","SCALING_FORMAT=MLN","FA_ADJUSTED=GAAP","Sort=A","Dates=H","DateFormat=P","Fill=—","Direction=H","UseDPDF=Y")</f>
        <v>6206</v>
      </c>
      <c r="H6" s="19">
        <f>_xll.BDH("AMGN US Equity","SALES_REV_TURN","FQ3 2020","FQ3 2020","Currency=USD","Period=FQ","BEST_FPERIOD_OVERRIDE=FQ","FILING_STATUS=MR","SCALING_FORMAT=MLN","FA_ADJUSTED=GAAP","Sort=A","Dates=H","DateFormat=P","Fill=—","Direction=H","UseDPDF=Y")</f>
        <v>6423</v>
      </c>
      <c r="I6" s="19">
        <f>_xll.BDH("AMGN US Equity","SALES_REV_TURN","FQ4 2020","FQ4 2020","Currency=USD","Period=FQ","BEST_FPERIOD_OVERRIDE=FQ","FILING_STATUS=MR","SCALING_FORMAT=MLN","FA_ADJUSTED=GAAP","Sort=A","Dates=H","DateFormat=P","Fill=—","Direction=H","UseDPDF=Y")</f>
        <v>6634</v>
      </c>
      <c r="J6" s="19">
        <f>_xll.BDH("AMGN US Equity","SALES_REV_TURN","FQ1 2021","FQ1 2021","Currency=USD","Period=FQ","BEST_FPERIOD_OVERRIDE=FQ","FILING_STATUS=MR","SCALING_FORMAT=MLN","FA_ADJUSTED=GAAP","Sort=A","Dates=H","DateFormat=P","Fill=—","Direction=H","UseDPDF=Y")</f>
        <v>5901</v>
      </c>
      <c r="K6" s="19">
        <f>_xll.BDH("AMGN US Equity","SALES_REV_TURN","FQ2 2021","FQ2 2021","Currency=USD","Period=FQ","BEST_FPERIOD_OVERRIDE=FQ","FILING_STATUS=MR","SCALING_FORMAT=MLN","FA_ADJUSTED=GAAP","Sort=A","Dates=H","DateFormat=P","Fill=—","Direction=H","UseDPDF=Y")</f>
        <v>6526</v>
      </c>
      <c r="L6" s="19">
        <f>_xll.BDH("AMGN US Equity","SALES_REV_TURN","FQ3 2021","FQ3 2021","Currency=USD","Period=FQ","BEST_FPERIOD_OVERRIDE=FQ","FILING_STATUS=MR","SCALING_FORMAT=MLN","FA_ADJUSTED=GAAP","Sort=A","Dates=H","DateFormat=P","Fill=—","Direction=H","UseDPDF=Y")</f>
        <v>6706</v>
      </c>
      <c r="M6" s="19">
        <f>_xll.BDH("AMGN US Equity","SALES_REV_TURN","FQ4 2021","FQ4 2021","Currency=USD","Period=FQ","BEST_FPERIOD_OVERRIDE=FQ","FILING_STATUS=MR","SCALING_FORMAT=MLN","FA_ADJUSTED=GAAP","Sort=A","Dates=H","DateFormat=P","Fill=—","Direction=H","UseDPDF=Y")</f>
        <v>6846</v>
      </c>
      <c r="N6" s="19">
        <f>_xll.BDH("AMGN US Equity","SALES_REV_TURN","FQ1 2022","FQ1 2022","Currency=USD","Period=FQ","BEST_FPERIOD_OVERRIDE=FQ","FILING_STATUS=MR","SCALING_FORMAT=MLN","FA_ADJUSTED=GAAP","Sort=A","Dates=H","DateFormat=P","Fill=—","Direction=H","UseDPDF=Y")</f>
        <v>6238</v>
      </c>
      <c r="O6" s="19">
        <f>_xll.BDH("AMGN US Equity","SALES_REV_TURN","FQ2 2022","FQ2 2022","Currency=USD","Period=FQ","BEST_FPERIOD_OVERRIDE=FQ","FILING_STATUS=MR","SCALING_FORMAT=MLN","FA_ADJUSTED=GAAP","Sort=A","Dates=H","DateFormat=P","Fill=—","Direction=H","UseDPDF=Y")</f>
        <v>6594</v>
      </c>
      <c r="P6" s="19">
        <f>_xll.BDH("AMGN US Equity","SALES_REV_TURN","FQ3 2022","FQ3 2022","Currency=USD","Period=FQ","BEST_FPERIOD_OVERRIDE=FQ","FILING_STATUS=MR","SCALING_FORMAT=MLN","FA_ADJUSTED=GAAP","Sort=A","Dates=H","DateFormat=P","Fill=—","Direction=H","UseDPDF=Y")</f>
        <v>6652</v>
      </c>
      <c r="Q6" s="19">
        <f>_xll.BDH("AMGN US Equity","SALES_REV_TURN","FQ4 2022","FQ4 2022","Currency=USD","Period=FQ","BEST_FPERIOD_OVERRIDE=FQ","FILING_STATUS=MR","SCALING_FORMAT=MLN","FA_ADJUSTED=GAAP","Sort=A","Dates=H","DateFormat=P","Fill=—","Direction=H","UseDPDF=Y")</f>
        <v>6839</v>
      </c>
      <c r="R6" s="19">
        <f>_xll.BDH("AMGN US Equity","SALES_REV_TURN","FQ1 2023","FQ1 2023","Currency=USD","Period=FQ","BEST_FPERIOD_OVERRIDE=FQ","FILING_STATUS=MR","SCALING_FORMAT=MLN","FA_ADJUSTED=GAAP","Sort=A","Dates=H","DateFormat=P","Fill=—","Direction=H","UseDPDF=Y")</f>
        <v>6105</v>
      </c>
      <c r="S6" s="19">
        <f>_xll.BDH("AMGN US Equity","SALES_REV_TURN","FQ2 2023","FQ2 2023","Currency=USD","Period=FQ","BEST_FPERIOD_OVERRIDE=FQ","FILING_STATUS=MR","SCALING_FORMAT=MLN","FA_ADJUSTED=GAAP","Sort=A","Dates=H","DateFormat=P","Fill=—","Direction=H","UseDPDF=Y")</f>
        <v>6986</v>
      </c>
      <c r="T6" s="19">
        <f>_xll.BDH("AMGN US Equity","SALES_REV_TURN","FQ3 2023","FQ3 2023","Currency=USD","Period=FQ","BEST_FPERIOD_OVERRIDE=FQ","FILING_STATUS=MR","SCALING_FORMAT=MLN","FA_ADJUSTED=GAAP","Sort=A","Dates=H","DateFormat=P","Fill=—","Direction=H","UseDPDF=Y")</f>
        <v>6903</v>
      </c>
      <c r="U6" s="19">
        <f>_xll.BDH("AMGN US Equity","SALES_REV_TURN","FQ4 2023","FQ4 2023","Currency=USD","Period=FQ","BEST_FPERIOD_OVERRIDE=FQ","FILING_STATUS=MR","SCALING_FORMAT=MLN","FA_ADJUSTED=GAAP","Sort=A","Dates=H","DateFormat=P","Fill=—","Direction=H","UseDPDF=Y")</f>
        <v>8196</v>
      </c>
      <c r="V6" s="19">
        <f>_xll.BDH("AMGN US Equity","SALES_REV_TURN","FQ1 2024","FQ1 2024","Currency=USD","Period=FQ","BEST_FPERIOD_OVERRIDE=FQ","FILING_STATUS=MR","SCALING_FORMAT=MLN","FA_ADJUSTED=GAAP","Sort=A","Dates=H","DateFormat=P","Fill=—","Direction=H","UseDPDF=Y")</f>
        <v>7447</v>
      </c>
      <c r="W6" s="19">
        <f>_xll.BDH("AMGN US Equity","SALES_REV_TURN","FQ2 2024","FQ2 2024","Currency=USD","Period=FQ","BEST_FPERIOD_OVERRIDE=FQ","FILING_STATUS=MR","SCALING_FORMAT=MLN","FA_ADJUSTED=GAAP","Sort=A","Dates=H","DateFormat=P","Fill=—","Direction=H","UseDPDF=Y")</f>
        <v>8388</v>
      </c>
      <c r="X6" s="19">
        <f>_xll.BDH("AMGN US Equity","SALES_REV_TURN","FQ3 2024","FQ3 2024","Currency=USD","Period=FQ","BEST_FPERIOD_OVERRIDE=FQ","FILING_STATUS=MR","SCALING_FORMAT=MLN","FA_ADJUSTED=GAAP","Sort=A","Dates=H","DateFormat=P","Fill=—","Direction=H","UseDPDF=Y")</f>
        <v>8503</v>
      </c>
      <c r="Y6" s="19">
        <f>_xll.BDH("AMGN US Equity","SALES_REV_TURN","FQ4 2024","FQ4 2024","Currency=USD","Period=FQ","BEST_FPERIOD_OVERRIDE=FQ","FILING_STATUS=MR","SCALING_FORMAT=MLN","FA_ADJUSTED=GAAP","Sort=A","Dates=H","DateFormat=P","Fill=—","Direction=H","UseDPDF=Y")</f>
        <v>9086</v>
      </c>
      <c r="Z6" s="19">
        <v>8068.5829999999996</v>
      </c>
      <c r="AA6" s="19">
        <v>8866</v>
      </c>
    </row>
    <row r="7" spans="1:27" x14ac:dyDescent="0.25">
      <c r="A7" s="10" t="s">
        <v>308</v>
      </c>
      <c r="B7" s="10" t="s">
        <v>309</v>
      </c>
      <c r="C7" s="13">
        <f>_xll.BDH("AMGN US Equity","IS_SALES_AND_SERVICES_REVENUES","FQ2 2019","FQ2 2019","Currency=USD","Period=FQ","BEST_FPERIOD_OVERRIDE=FQ","FILING_STATUS=MR","SCALING_FORMAT=MLN","FA_ADJUSTED=GAAP","Sort=A","Dates=H","DateFormat=P","Fill=—","Direction=H","UseDPDF=Y")</f>
        <v>5574</v>
      </c>
      <c r="D7" s="13">
        <f>_xll.BDH("AMGN US Equity","IS_SALES_AND_SERVICES_REVENUES","FQ3 2019","FQ3 2019","Currency=USD","Period=FQ","BEST_FPERIOD_OVERRIDE=FQ","FILING_STATUS=MR","SCALING_FORMAT=MLN","FA_ADJUSTED=GAAP","Sort=A","Dates=H","DateFormat=P","Fill=—","Direction=H","UseDPDF=Y")</f>
        <v>5463</v>
      </c>
      <c r="E7" s="13">
        <f>_xll.BDH("AMGN US Equity","IS_SALES_AND_SERVICES_REVENUES","FQ4 2019","FQ4 2019","Currency=USD","Period=FQ","BEST_FPERIOD_OVERRIDE=FQ","FILING_STATUS=MR","SCALING_FORMAT=MLN","FA_ADJUSTED=GAAP","Sort=A","Dates=H","DateFormat=P","Fill=—","Direction=H","UseDPDF=Y")</f>
        <v>5881</v>
      </c>
      <c r="F7" s="13">
        <f>_xll.BDH("AMGN US Equity","IS_SALES_AND_SERVICES_REVENUES","FQ1 2020","FQ1 2020","Currency=USD","Period=FQ","BEST_FPERIOD_OVERRIDE=FQ","FILING_STATUS=MR","SCALING_FORMAT=MLN","FA_ADJUSTED=GAAP","Sort=A","Dates=H","DateFormat=P","Fill=—","Direction=H","UseDPDF=Y")</f>
        <v>5894</v>
      </c>
      <c r="G7" s="13">
        <f>_xll.BDH("AMGN US Equity","IS_SALES_AND_SERVICES_REVENUES","FQ2 2020","FQ2 2020","Currency=USD","Period=FQ","BEST_FPERIOD_OVERRIDE=FQ","FILING_STATUS=MR","SCALING_FORMAT=MLN","FA_ADJUSTED=GAAP","Sort=A","Dates=H","DateFormat=P","Fill=—","Direction=H","UseDPDF=Y")</f>
        <v>5908</v>
      </c>
      <c r="H7" s="13">
        <f>_xll.BDH("AMGN US Equity","IS_SALES_AND_SERVICES_REVENUES","FQ3 2020","FQ3 2020","Currency=USD","Period=FQ","BEST_FPERIOD_OVERRIDE=FQ","FILING_STATUS=MR","SCALING_FORMAT=MLN","FA_ADJUSTED=GAAP","Sort=A","Dates=H","DateFormat=P","Fill=—","Direction=H","UseDPDF=Y")</f>
        <v>6104</v>
      </c>
      <c r="I7" s="13">
        <f>_xll.BDH("AMGN US Equity","IS_SALES_AND_SERVICES_REVENUES","FQ4 2020","FQ4 2020","Currency=USD","Period=FQ","BEST_FPERIOD_OVERRIDE=FQ","FILING_STATUS=MR","SCALING_FORMAT=MLN","FA_ADJUSTED=GAAP","Sort=A","Dates=H","DateFormat=P","Fill=—","Direction=H","UseDPDF=Y")</f>
        <v>6334</v>
      </c>
      <c r="J7" s="13">
        <f>_xll.BDH("AMGN US Equity","IS_SALES_AND_SERVICES_REVENUES","FQ1 2021","FQ1 2021","Currency=USD","Period=FQ","BEST_FPERIOD_OVERRIDE=FQ","FILING_STATUS=MR","SCALING_FORMAT=MLN","FA_ADJUSTED=GAAP","Sort=A","Dates=H","DateFormat=P","Fill=—","Direction=H","UseDPDF=Y")</f>
        <v>5592</v>
      </c>
      <c r="K7" s="13">
        <f>_xll.BDH("AMGN US Equity","IS_SALES_AND_SERVICES_REVENUES","FQ2 2021","FQ2 2021","Currency=USD","Period=FQ","BEST_FPERIOD_OVERRIDE=FQ","FILING_STATUS=MR","SCALING_FORMAT=MLN","FA_ADJUSTED=GAAP","Sort=A","Dates=H","DateFormat=P","Fill=—","Direction=H","UseDPDF=Y")</f>
        <v>6114</v>
      </c>
      <c r="L7" s="13">
        <f>_xll.BDH("AMGN US Equity","IS_SALES_AND_SERVICES_REVENUES","FQ3 2021","FQ3 2021","Currency=USD","Period=FQ","BEST_FPERIOD_OVERRIDE=FQ","FILING_STATUS=MR","SCALING_FORMAT=MLN","FA_ADJUSTED=GAAP","Sort=A","Dates=H","DateFormat=P","Fill=—","Direction=H","UseDPDF=Y")</f>
        <v>6320</v>
      </c>
      <c r="M7" s="13">
        <f>_xll.BDH("AMGN US Equity","IS_SALES_AND_SERVICES_REVENUES","FQ4 2021","FQ4 2021","Currency=USD","Period=FQ","BEST_FPERIOD_OVERRIDE=FQ","FILING_STATUS=MR","SCALING_FORMAT=MLN","FA_ADJUSTED=GAAP","Sort=A","Dates=H","DateFormat=P","Fill=—","Direction=H","UseDPDF=Y")</f>
        <v>6271</v>
      </c>
      <c r="N7" s="13">
        <f>_xll.BDH("AMGN US Equity","IS_SALES_AND_SERVICES_REVENUES","FQ1 2022","FQ1 2022","Currency=USD","Period=FQ","BEST_FPERIOD_OVERRIDE=FQ","FILING_STATUS=MR","SCALING_FORMAT=MLN","FA_ADJUSTED=GAAP","Sort=A","Dates=H","DateFormat=P","Fill=—","Direction=H","UseDPDF=Y")</f>
        <v>5731</v>
      </c>
      <c r="O7" s="13">
        <f>_xll.BDH("AMGN US Equity","IS_SALES_AND_SERVICES_REVENUES","FQ2 2022","FQ2 2022","Currency=USD","Period=FQ","BEST_FPERIOD_OVERRIDE=FQ","FILING_STATUS=MR","SCALING_FORMAT=MLN","FA_ADJUSTED=GAAP","Sort=A","Dates=H","DateFormat=P","Fill=—","Direction=H","UseDPDF=Y")</f>
        <v>6281</v>
      </c>
      <c r="P7" s="13">
        <f>_xll.BDH("AMGN US Equity","IS_SALES_AND_SERVICES_REVENUES","FQ3 2022","FQ3 2022","Currency=USD","Period=FQ","BEST_FPERIOD_OVERRIDE=FQ","FILING_STATUS=MR","SCALING_FORMAT=MLN","FA_ADJUSTED=GAAP","Sort=A","Dates=H","DateFormat=P","Fill=—","Direction=H","UseDPDF=Y")</f>
        <v>6237</v>
      </c>
      <c r="Q7" s="13">
        <f>_xll.BDH("AMGN US Equity","IS_SALES_AND_SERVICES_REVENUES","FQ4 2022","FQ4 2022","Currency=USD","Period=FQ","BEST_FPERIOD_OVERRIDE=FQ","FILING_STATUS=MR","SCALING_FORMAT=MLN","FA_ADJUSTED=GAAP","Sort=A","Dates=H","DateFormat=P","Fill=—","Direction=H","UseDPDF=Y")</f>
        <v>6552</v>
      </c>
      <c r="R7" s="13">
        <f>_xll.BDH("AMGN US Equity","IS_SALES_AND_SERVICES_REVENUES","FQ1 2023","FQ1 2023","Currency=USD","Period=FQ","BEST_FPERIOD_OVERRIDE=FQ","FILING_STATUS=MR","SCALING_FORMAT=MLN","FA_ADJUSTED=GAAP","Sort=A","Dates=H","DateFormat=P","Fill=—","Direction=H","UseDPDF=Y")</f>
        <v>5846</v>
      </c>
      <c r="S7" s="13">
        <f>_xll.BDH("AMGN US Equity","IS_SALES_AND_SERVICES_REVENUES","FQ2 2023","FQ2 2023","Currency=USD","Period=FQ","BEST_FPERIOD_OVERRIDE=FQ","FILING_STATUS=MR","SCALING_FORMAT=MLN","FA_ADJUSTED=GAAP","Sort=A","Dates=H","DateFormat=P","Fill=—","Direction=H","UseDPDF=Y")</f>
        <v>6683</v>
      </c>
      <c r="T7" s="13">
        <f>_xll.BDH("AMGN US Equity","IS_SALES_AND_SERVICES_REVENUES","FQ3 2023","FQ3 2023","Currency=USD","Period=FQ","BEST_FPERIOD_OVERRIDE=FQ","FILING_STATUS=MR","SCALING_FORMAT=MLN","FA_ADJUSTED=GAAP","Sort=A","Dates=H","DateFormat=P","Fill=—","Direction=H","UseDPDF=Y")</f>
        <v>6548</v>
      </c>
      <c r="U7" s="13">
        <f>_xll.BDH("AMGN US Equity","IS_SALES_AND_SERVICES_REVENUES","FQ4 2023","FQ4 2023","Currency=USD","Period=FQ","BEST_FPERIOD_OVERRIDE=FQ","FILING_STATUS=MR","SCALING_FORMAT=MLN","FA_ADJUSTED=GAAP","Sort=A","Dates=H","DateFormat=P","Fill=—","Direction=H","UseDPDF=Y")</f>
        <v>7833</v>
      </c>
      <c r="V7" s="13">
        <f>_xll.BDH("AMGN US Equity","IS_SALES_AND_SERVICES_REVENUES","FQ1 2024","FQ1 2024","Currency=USD","Period=FQ","BEST_FPERIOD_OVERRIDE=FQ","FILING_STATUS=MR","SCALING_FORMAT=MLN","FA_ADJUSTED=GAAP","Sort=A","Dates=H","DateFormat=P","Fill=—","Direction=H","UseDPDF=Y")</f>
        <v>7118</v>
      </c>
      <c r="W7" s="13">
        <f>_xll.BDH("AMGN US Equity","IS_SALES_AND_SERVICES_REVENUES","FQ2 2024","FQ2 2024","Currency=USD","Period=FQ","BEST_FPERIOD_OVERRIDE=FQ","FILING_STATUS=MR","SCALING_FORMAT=MLN","FA_ADJUSTED=GAAP","Sort=A","Dates=H","DateFormat=P","Fill=—","Direction=H","UseDPDF=Y")</f>
        <v>8041</v>
      </c>
      <c r="X7" s="13">
        <f>_xll.BDH("AMGN US Equity","IS_SALES_AND_SERVICES_REVENUES","FQ3 2024","FQ3 2024","Currency=USD","Period=FQ","BEST_FPERIOD_OVERRIDE=FQ","FILING_STATUS=MR","SCALING_FORMAT=MLN","FA_ADJUSTED=GAAP","Sort=A","Dates=H","DateFormat=P","Fill=—","Direction=H","UseDPDF=Y")</f>
        <v>8151</v>
      </c>
      <c r="Y7" s="13">
        <f>_xll.BDH("AMGN US Equity","IS_SALES_AND_SERVICES_REVENUES","FQ4 2024","FQ4 2024","Currency=USD","Period=FQ","BEST_FPERIOD_OVERRIDE=FQ","FILING_STATUS=MR","SCALING_FORMAT=MLN","FA_ADJUSTED=GAAP","Sort=A","Dates=H","DateFormat=P","Fill=—","Direction=H","UseDPDF=Y")</f>
        <v>8716</v>
      </c>
      <c r="Z7" s="13"/>
      <c r="AA7" s="13"/>
    </row>
    <row r="8" spans="1:27" x14ac:dyDescent="0.25">
      <c r="A8" s="10" t="s">
        <v>310</v>
      </c>
      <c r="B8" s="10" t="s">
        <v>311</v>
      </c>
      <c r="C8" s="13">
        <f>_xll.BDH("AMGN US Equity","IS_OTHER_REVENUE","FQ2 2019","FQ2 2019","Currency=USD","Period=FQ","BEST_FPERIOD_OVERRIDE=FQ","FILING_STATUS=MR","SCALING_FORMAT=MLN","FA_ADJUSTED=GAAP","Sort=A","Dates=H","DateFormat=P","Fill=—","Direction=H","UseDPDF=Y")</f>
        <v>297</v>
      </c>
      <c r="D8" s="13">
        <f>_xll.BDH("AMGN US Equity","IS_OTHER_REVENUE","FQ3 2019","FQ3 2019","Currency=USD","Period=FQ","BEST_FPERIOD_OVERRIDE=FQ","FILING_STATUS=MR","SCALING_FORMAT=MLN","FA_ADJUSTED=GAAP","Sort=A","Dates=H","DateFormat=P","Fill=—","Direction=H","UseDPDF=Y")</f>
        <v>274</v>
      </c>
      <c r="E8" s="13">
        <f>_xll.BDH("AMGN US Equity","IS_OTHER_REVENUE","FQ4 2019","FQ4 2019","Currency=USD","Period=FQ","BEST_FPERIOD_OVERRIDE=FQ","FILING_STATUS=MR","SCALING_FORMAT=MLN","FA_ADJUSTED=GAAP","Sort=A","Dates=H","DateFormat=P","Fill=—","Direction=H","UseDPDF=Y")</f>
        <v>316</v>
      </c>
      <c r="F8" s="13">
        <f>_xll.BDH("AMGN US Equity","IS_OTHER_REVENUE","FQ1 2020","FQ1 2020","Currency=USD","Period=FQ","BEST_FPERIOD_OVERRIDE=FQ","FILING_STATUS=MR","SCALING_FORMAT=MLN","FA_ADJUSTED=GAAP","Sort=A","Dates=H","DateFormat=P","Fill=—","Direction=H","UseDPDF=Y")</f>
        <v>267</v>
      </c>
      <c r="G8" s="13">
        <f>_xll.BDH("AMGN US Equity","IS_OTHER_REVENUE","FQ2 2020","FQ2 2020","Currency=USD","Period=FQ","BEST_FPERIOD_OVERRIDE=FQ","FILING_STATUS=MR","SCALING_FORMAT=MLN","FA_ADJUSTED=GAAP","Sort=A","Dates=H","DateFormat=P","Fill=—","Direction=H","UseDPDF=Y")</f>
        <v>298</v>
      </c>
      <c r="H8" s="13">
        <f>_xll.BDH("AMGN US Equity","IS_OTHER_REVENUE","FQ3 2020","FQ3 2020","Currency=USD","Period=FQ","BEST_FPERIOD_OVERRIDE=FQ","FILING_STATUS=MR","SCALING_FORMAT=MLN","FA_ADJUSTED=GAAP","Sort=A","Dates=H","DateFormat=P","Fill=—","Direction=H","UseDPDF=Y")</f>
        <v>319</v>
      </c>
      <c r="I8" s="13">
        <f>_xll.BDH("AMGN US Equity","IS_OTHER_REVENUE","FQ4 2020","FQ4 2020","Currency=USD","Period=FQ","BEST_FPERIOD_OVERRIDE=FQ","FILING_STATUS=MR","SCALING_FORMAT=MLN","FA_ADJUSTED=GAAP","Sort=A","Dates=H","DateFormat=P","Fill=—","Direction=H","UseDPDF=Y")</f>
        <v>300</v>
      </c>
      <c r="J8" s="13">
        <f>_xll.BDH("AMGN US Equity","IS_OTHER_REVENUE","FQ1 2021","FQ1 2021","Currency=USD","Period=FQ","BEST_FPERIOD_OVERRIDE=FQ","FILING_STATUS=MR","SCALING_FORMAT=MLN","FA_ADJUSTED=GAAP","Sort=A","Dates=H","DateFormat=P","Fill=—","Direction=H","UseDPDF=Y")</f>
        <v>309</v>
      </c>
      <c r="K8" s="13">
        <f>_xll.BDH("AMGN US Equity","IS_OTHER_REVENUE","FQ2 2021","FQ2 2021","Currency=USD","Period=FQ","BEST_FPERIOD_OVERRIDE=FQ","FILING_STATUS=MR","SCALING_FORMAT=MLN","FA_ADJUSTED=GAAP","Sort=A","Dates=H","DateFormat=P","Fill=—","Direction=H","UseDPDF=Y")</f>
        <v>412</v>
      </c>
      <c r="L8" s="13">
        <f>_xll.BDH("AMGN US Equity","IS_OTHER_REVENUE","FQ3 2021","FQ3 2021","Currency=USD","Period=FQ","BEST_FPERIOD_OVERRIDE=FQ","FILING_STATUS=MR","SCALING_FORMAT=MLN","FA_ADJUSTED=GAAP","Sort=A","Dates=H","DateFormat=P","Fill=—","Direction=H","UseDPDF=Y")</f>
        <v>386</v>
      </c>
      <c r="M8" s="13">
        <f>_xll.BDH("AMGN US Equity","IS_OTHER_REVENUE","FQ4 2021","FQ4 2021","Currency=USD","Period=FQ","BEST_FPERIOD_OVERRIDE=FQ","FILING_STATUS=MR","SCALING_FORMAT=MLN","FA_ADJUSTED=GAAP","Sort=A","Dates=H","DateFormat=P","Fill=—","Direction=H","UseDPDF=Y")</f>
        <v>575</v>
      </c>
      <c r="N8" s="13">
        <f>_xll.BDH("AMGN US Equity","IS_OTHER_REVENUE","FQ1 2022","FQ1 2022","Currency=USD","Period=FQ","BEST_FPERIOD_OVERRIDE=FQ","FILING_STATUS=MR","SCALING_FORMAT=MLN","FA_ADJUSTED=GAAP","Sort=A","Dates=H","DateFormat=P","Fill=—","Direction=H","UseDPDF=Y")</f>
        <v>507</v>
      </c>
      <c r="O8" s="13">
        <f>_xll.BDH("AMGN US Equity","IS_OTHER_REVENUE","FQ2 2022","FQ2 2022","Currency=USD","Period=FQ","BEST_FPERIOD_OVERRIDE=FQ","FILING_STATUS=MR","SCALING_FORMAT=MLN","FA_ADJUSTED=GAAP","Sort=A","Dates=H","DateFormat=P","Fill=—","Direction=H","UseDPDF=Y")</f>
        <v>313</v>
      </c>
      <c r="P8" s="13">
        <f>_xll.BDH("AMGN US Equity","IS_OTHER_REVENUE","FQ3 2022","FQ3 2022","Currency=USD","Period=FQ","BEST_FPERIOD_OVERRIDE=FQ","FILING_STATUS=MR","SCALING_FORMAT=MLN","FA_ADJUSTED=GAAP","Sort=A","Dates=H","DateFormat=P","Fill=—","Direction=H","UseDPDF=Y")</f>
        <v>415</v>
      </c>
      <c r="Q8" s="13">
        <f>_xll.BDH("AMGN US Equity","IS_OTHER_REVENUE","FQ4 2022","FQ4 2022","Currency=USD","Period=FQ","BEST_FPERIOD_OVERRIDE=FQ","FILING_STATUS=MR","SCALING_FORMAT=MLN","FA_ADJUSTED=GAAP","Sort=A","Dates=H","DateFormat=P","Fill=—","Direction=H","UseDPDF=Y")</f>
        <v>287</v>
      </c>
      <c r="R8" s="13">
        <f>_xll.BDH("AMGN US Equity","IS_OTHER_REVENUE","FQ1 2023","FQ1 2023","Currency=USD","Period=FQ","BEST_FPERIOD_OVERRIDE=FQ","FILING_STATUS=MR","SCALING_FORMAT=MLN","FA_ADJUSTED=GAAP","Sort=A","Dates=H","DateFormat=P","Fill=—","Direction=H","UseDPDF=Y")</f>
        <v>259</v>
      </c>
      <c r="S8" s="13">
        <f>_xll.BDH("AMGN US Equity","IS_OTHER_REVENUE","FQ2 2023","FQ2 2023","Currency=USD","Period=FQ","BEST_FPERIOD_OVERRIDE=FQ","FILING_STATUS=MR","SCALING_FORMAT=MLN","FA_ADJUSTED=GAAP","Sort=A","Dates=H","DateFormat=P","Fill=—","Direction=H","UseDPDF=Y")</f>
        <v>303</v>
      </c>
      <c r="T8" s="13">
        <f>_xll.BDH("AMGN US Equity","IS_OTHER_REVENUE","FQ3 2023","FQ3 2023","Currency=USD","Period=FQ","BEST_FPERIOD_OVERRIDE=FQ","FILING_STATUS=MR","SCALING_FORMAT=MLN","FA_ADJUSTED=GAAP","Sort=A","Dates=H","DateFormat=P","Fill=—","Direction=H","UseDPDF=Y")</f>
        <v>355</v>
      </c>
      <c r="U8" s="13">
        <f>_xll.BDH("AMGN US Equity","IS_OTHER_REVENUE","FQ4 2023","FQ4 2023","Currency=USD","Period=FQ","BEST_FPERIOD_OVERRIDE=FQ","FILING_STATUS=MR","SCALING_FORMAT=MLN","FA_ADJUSTED=GAAP","Sort=A","Dates=H","DateFormat=P","Fill=—","Direction=H","UseDPDF=Y")</f>
        <v>363</v>
      </c>
      <c r="V8" s="13">
        <f>_xll.BDH("AMGN US Equity","IS_OTHER_REVENUE","FQ1 2024","FQ1 2024","Currency=USD","Period=FQ","BEST_FPERIOD_OVERRIDE=FQ","FILING_STATUS=MR","SCALING_FORMAT=MLN","FA_ADJUSTED=GAAP","Sort=A","Dates=H","DateFormat=P","Fill=—","Direction=H","UseDPDF=Y")</f>
        <v>329</v>
      </c>
      <c r="W8" s="13">
        <f>_xll.BDH("AMGN US Equity","IS_OTHER_REVENUE","FQ2 2024","FQ2 2024","Currency=USD","Period=FQ","BEST_FPERIOD_OVERRIDE=FQ","FILING_STATUS=MR","SCALING_FORMAT=MLN","FA_ADJUSTED=GAAP","Sort=A","Dates=H","DateFormat=P","Fill=—","Direction=H","UseDPDF=Y")</f>
        <v>347</v>
      </c>
      <c r="X8" s="13">
        <f>_xll.BDH("AMGN US Equity","IS_OTHER_REVENUE","FQ3 2024","FQ3 2024","Currency=USD","Period=FQ","BEST_FPERIOD_OVERRIDE=FQ","FILING_STATUS=MR","SCALING_FORMAT=MLN","FA_ADJUSTED=GAAP","Sort=A","Dates=H","DateFormat=P","Fill=—","Direction=H","UseDPDF=Y")</f>
        <v>352</v>
      </c>
      <c r="Y8" s="13">
        <f>_xll.BDH("AMGN US Equity","IS_OTHER_REVENUE","FQ4 2024","FQ4 2024","Currency=USD","Period=FQ","BEST_FPERIOD_OVERRIDE=FQ","FILING_STATUS=MR","SCALING_FORMAT=MLN","FA_ADJUSTED=GAAP","Sort=A","Dates=H","DateFormat=P","Fill=—","Direction=H","UseDPDF=Y")</f>
        <v>370</v>
      </c>
      <c r="Z8" s="13"/>
      <c r="AA8" s="13"/>
    </row>
    <row r="9" spans="1:27" x14ac:dyDescent="0.25">
      <c r="A9" s="10" t="s">
        <v>312</v>
      </c>
      <c r="B9" s="10" t="s">
        <v>313</v>
      </c>
      <c r="C9" s="13">
        <f>_xll.BDH("AMGN US Equity","IS_COGS_TO_FE_AND_PP_AND_G","FQ2 2019","FQ2 2019","Currency=USD","Period=FQ","BEST_FPERIOD_OVERRIDE=FQ","FILING_STATUS=MR","SCALING_FORMAT=MLN","FA_ADJUSTED=GAAP","Sort=A","Dates=H","DateFormat=P","Fill=—","Direction=H","UseDPDF=Y")</f>
        <v>1012</v>
      </c>
      <c r="D9" s="13">
        <f>_xll.BDH("AMGN US Equity","IS_COGS_TO_FE_AND_PP_AND_G","FQ3 2019","FQ3 2019","Currency=USD","Period=FQ","BEST_FPERIOD_OVERRIDE=FQ","FILING_STATUS=MR","SCALING_FORMAT=MLN","FA_ADJUSTED=GAAP","Sort=A","Dates=H","DateFormat=P","Fill=—","Direction=H","UseDPDF=Y")</f>
        <v>1036</v>
      </c>
      <c r="E9" s="13">
        <f>_xll.BDH("AMGN US Equity","IS_COGS_TO_FE_AND_PP_AND_G","FQ4 2019","FQ4 2019","Currency=USD","Period=FQ","BEST_FPERIOD_OVERRIDE=FQ","FILING_STATUS=MR","SCALING_FORMAT=MLN","FA_ADJUSTED=GAAP","Sort=A","Dates=H","DateFormat=P","Fill=—","Direction=H","UseDPDF=Y")</f>
        <v>1253</v>
      </c>
      <c r="F9" s="13">
        <f>_xll.BDH("AMGN US Equity","IS_COGS_TO_FE_AND_PP_AND_G","FQ1 2020","FQ1 2020","Currency=USD","Period=FQ","BEST_FPERIOD_OVERRIDE=FQ","FILING_STATUS=MR","SCALING_FORMAT=MLN","FA_ADJUSTED=GAAP","Sort=A","Dates=H","DateFormat=P","Fill=—","Direction=H","UseDPDF=Y")</f>
        <v>1513</v>
      </c>
      <c r="G9" s="13">
        <f>_xll.BDH("AMGN US Equity","IS_COGS_TO_FE_AND_PP_AND_G","FQ2 2020","FQ2 2020","Currency=USD","Period=FQ","BEST_FPERIOD_OVERRIDE=FQ","FILING_STATUS=MR","SCALING_FORMAT=MLN","FA_ADJUSTED=GAAP","Sort=A","Dates=H","DateFormat=P","Fill=—","Direction=H","UseDPDF=Y")</f>
        <v>1488</v>
      </c>
      <c r="H9" s="13">
        <f>_xll.BDH("AMGN US Equity","IS_COGS_TO_FE_AND_PP_AND_G","FQ3 2020","FQ3 2020","Currency=USD","Period=FQ","BEST_FPERIOD_OVERRIDE=FQ","FILING_STATUS=MR","SCALING_FORMAT=MLN","FA_ADJUSTED=GAAP","Sort=A","Dates=H","DateFormat=P","Fill=—","Direction=H","UseDPDF=Y")</f>
        <v>1561</v>
      </c>
      <c r="I9" s="13">
        <f>_xll.BDH("AMGN US Equity","IS_COGS_TO_FE_AND_PP_AND_G","FQ4 2020","FQ4 2020","Currency=USD","Period=FQ","BEST_FPERIOD_OVERRIDE=FQ","FILING_STATUS=MR","SCALING_FORMAT=MLN","FA_ADJUSTED=GAAP","Sort=A","Dates=H","DateFormat=P","Fill=—","Direction=H","UseDPDF=Y")</f>
        <v>1597</v>
      </c>
      <c r="J9" s="13">
        <f>_xll.BDH("AMGN US Equity","IS_COGS_TO_FE_AND_PP_AND_G","FQ1 2021","FQ1 2021","Currency=USD","Period=FQ","BEST_FPERIOD_OVERRIDE=FQ","FILING_STATUS=MR","SCALING_FORMAT=MLN","FA_ADJUSTED=GAAP","Sort=A","Dates=H","DateFormat=P","Fill=—","Direction=H","UseDPDF=Y")</f>
        <v>1490</v>
      </c>
      <c r="K9" s="13">
        <f>_xll.BDH("AMGN US Equity","IS_COGS_TO_FE_AND_PP_AND_G","FQ2 2021","FQ2 2021","Currency=USD","Period=FQ","BEST_FPERIOD_OVERRIDE=FQ","FILING_STATUS=MR","SCALING_FORMAT=MLN","FA_ADJUSTED=GAAP","Sort=A","Dates=H","DateFormat=P","Fill=—","Direction=H","UseDPDF=Y")</f>
        <v>1637</v>
      </c>
      <c r="L9" s="13">
        <f>_xll.BDH("AMGN US Equity","IS_COGS_TO_FE_AND_PP_AND_G","FQ3 2021","FQ3 2021","Currency=USD","Period=FQ","BEST_FPERIOD_OVERRIDE=FQ","FILING_STATUS=MR","SCALING_FORMAT=MLN","FA_ADJUSTED=GAAP","Sort=A","Dates=H","DateFormat=P","Fill=—","Direction=H","UseDPDF=Y")</f>
        <v>1609</v>
      </c>
      <c r="M9" s="13">
        <f>_xll.BDH("AMGN US Equity","IS_COGS_TO_FE_AND_PP_AND_G","FQ4 2021","FQ4 2021","Currency=USD","Period=FQ","BEST_FPERIOD_OVERRIDE=FQ","FILING_STATUS=MR","SCALING_FORMAT=MLN","FA_ADJUSTED=GAAP","Sort=A","Dates=H","DateFormat=P","Fill=—","Direction=H","UseDPDF=Y")</f>
        <v>1718</v>
      </c>
      <c r="N9" s="13">
        <f>_xll.BDH("AMGN US Equity","IS_COGS_TO_FE_AND_PP_AND_G","FQ1 2022","FQ1 2022","Currency=USD","Period=FQ","BEST_FPERIOD_OVERRIDE=FQ","FILING_STATUS=MR","SCALING_FORMAT=MLN","FA_ADJUSTED=GAAP","Sort=A","Dates=H","DateFormat=P","Fill=—","Direction=H","UseDPDF=Y")</f>
        <v>1561</v>
      </c>
      <c r="O9" s="13">
        <f>_xll.BDH("AMGN US Equity","IS_COGS_TO_FE_AND_PP_AND_G","FQ2 2022","FQ2 2022","Currency=USD","Period=FQ","BEST_FPERIOD_OVERRIDE=FQ","FILING_STATUS=MR","SCALING_FORMAT=MLN","FA_ADJUSTED=GAAP","Sort=A","Dates=H","DateFormat=P","Fill=—","Direction=H","UseDPDF=Y")</f>
        <v>1510</v>
      </c>
      <c r="P9" s="13">
        <f>_xll.BDH("AMGN US Equity","IS_COGS_TO_FE_AND_PP_AND_G","FQ3 2022","FQ3 2022","Currency=USD","Period=FQ","BEST_FPERIOD_OVERRIDE=FQ","FILING_STATUS=MR","SCALING_FORMAT=MLN","FA_ADJUSTED=GAAP","Sort=A","Dates=H","DateFormat=P","Fill=—","Direction=H","UseDPDF=Y")</f>
        <v>1588</v>
      </c>
      <c r="Q9" s="13">
        <f>_xll.BDH("AMGN US Equity","IS_COGS_TO_FE_AND_PP_AND_G","FQ4 2022","FQ4 2022","Currency=USD","Period=FQ","BEST_FPERIOD_OVERRIDE=FQ","FILING_STATUS=MR","SCALING_FORMAT=MLN","FA_ADJUSTED=GAAP","Sort=A","Dates=H","DateFormat=P","Fill=—","Direction=H","UseDPDF=Y")</f>
        <v>1747</v>
      </c>
      <c r="R9" s="13">
        <f>_xll.BDH("AMGN US Equity","IS_COGS_TO_FE_AND_PP_AND_G","FQ1 2023","FQ1 2023","Currency=USD","Period=FQ","BEST_FPERIOD_OVERRIDE=FQ","FILING_STATUS=MR","SCALING_FORMAT=MLN","FA_ADJUSTED=GAAP","Sort=A","Dates=H","DateFormat=P","Fill=—","Direction=H","UseDPDF=Y")</f>
        <v>1720</v>
      </c>
      <c r="S9" s="13">
        <f>_xll.BDH("AMGN US Equity","IS_COGS_TO_FE_AND_PP_AND_G","FQ2 2023","FQ2 2023","Currency=USD","Period=FQ","BEST_FPERIOD_OVERRIDE=FQ","FILING_STATUS=MR","SCALING_FORMAT=MLN","FA_ADJUSTED=GAAP","Sort=A","Dates=H","DateFormat=P","Fill=—","Direction=H","UseDPDF=Y")</f>
        <v>1813</v>
      </c>
      <c r="T9" s="13">
        <f>_xll.BDH("AMGN US Equity","IS_COGS_TO_FE_AND_PP_AND_G","FQ3 2023","FQ3 2023","Currency=USD","Period=FQ","BEST_FPERIOD_OVERRIDE=FQ","FILING_STATUS=MR","SCALING_FORMAT=MLN","FA_ADJUSTED=GAAP","Sort=A","Dates=H","DateFormat=P","Fill=—","Direction=H","UseDPDF=Y")</f>
        <v>1806</v>
      </c>
      <c r="U9" s="13">
        <f>_xll.BDH("AMGN US Equity","IS_COGS_TO_FE_AND_PP_AND_G","FQ4 2023","FQ4 2023","Currency=USD","Period=FQ","BEST_FPERIOD_OVERRIDE=FQ","FILING_STATUS=MR","SCALING_FORMAT=MLN","FA_ADJUSTED=GAAP","Sort=A","Dates=H","DateFormat=P","Fill=—","Direction=H","UseDPDF=Y")</f>
        <v>3112</v>
      </c>
      <c r="V9" s="13">
        <f>_xll.BDH("AMGN US Equity","IS_COGS_TO_FE_AND_PP_AND_G","FQ1 2024","FQ1 2024","Currency=USD","Period=FQ","BEST_FPERIOD_OVERRIDE=FQ","FILING_STATUS=MR","SCALING_FORMAT=MLN","FA_ADJUSTED=GAAP","Sort=A","Dates=H","DateFormat=P","Fill=—","Direction=H","UseDPDF=Y")</f>
        <v>3200</v>
      </c>
      <c r="W9" s="13">
        <f>_xll.BDH("AMGN US Equity","IS_COGS_TO_FE_AND_PP_AND_G","FQ2 2024","FQ2 2024","Currency=USD","Period=FQ","BEST_FPERIOD_OVERRIDE=FQ","FILING_STATUS=MR","SCALING_FORMAT=MLN","FA_ADJUSTED=GAAP","Sort=A","Dates=H","DateFormat=P","Fill=—","Direction=H","UseDPDF=Y")</f>
        <v>3236</v>
      </c>
      <c r="X9" s="13">
        <f>_xll.BDH("AMGN US Equity","IS_COGS_TO_FE_AND_PP_AND_G","FQ3 2024","FQ3 2024","Currency=USD","Period=FQ","BEST_FPERIOD_OVERRIDE=FQ","FILING_STATUS=MR","SCALING_FORMAT=MLN","FA_ADJUSTED=GAAP","Sort=A","Dates=H","DateFormat=P","Fill=—","Direction=H","UseDPDF=Y")</f>
        <v>3310</v>
      </c>
      <c r="Y9" s="13">
        <f>_xll.BDH("AMGN US Equity","IS_COGS_TO_FE_AND_PP_AND_G","FQ4 2024","FQ4 2024","Currency=USD","Period=FQ","BEST_FPERIOD_OVERRIDE=FQ","FILING_STATUS=MR","SCALING_FORMAT=MLN","FA_ADJUSTED=GAAP","Sort=A","Dates=H","DateFormat=P","Fill=—","Direction=H","UseDPDF=Y")</f>
        <v>3112</v>
      </c>
      <c r="Z9" s="13"/>
      <c r="AA9" s="13"/>
    </row>
    <row r="10" spans="1:27" x14ac:dyDescent="0.25">
      <c r="A10" s="10" t="s">
        <v>314</v>
      </c>
      <c r="B10" s="10" t="s">
        <v>315</v>
      </c>
      <c r="C10" s="13">
        <f>_xll.BDH("AMGN US Equity","IS_COG_AND_SERVICES_SOLD","FQ2 2019","FQ2 2019","Currency=USD","Period=FQ","BEST_FPERIOD_OVERRIDE=FQ","FILING_STATUS=MR","SCALING_FORMAT=MLN","FA_ADJUSTED=GAAP","Sort=A","Dates=H","DateFormat=P","Fill=—","Direction=H","UseDPDF=Y")</f>
        <v>1012</v>
      </c>
      <c r="D10" s="13">
        <f>_xll.BDH("AMGN US Equity","IS_COG_AND_SERVICES_SOLD","FQ3 2019","FQ3 2019","Currency=USD","Period=FQ","BEST_FPERIOD_OVERRIDE=FQ","FILING_STATUS=MR","SCALING_FORMAT=MLN","FA_ADJUSTED=GAAP","Sort=A","Dates=H","DateFormat=P","Fill=—","Direction=H","UseDPDF=Y")</f>
        <v>1036</v>
      </c>
      <c r="E10" s="13">
        <f>_xll.BDH("AMGN US Equity","IS_COG_AND_SERVICES_SOLD","FQ4 2019","FQ4 2019","Currency=USD","Period=FQ","BEST_FPERIOD_OVERRIDE=FQ","FILING_STATUS=MR","SCALING_FORMAT=MLN","FA_ADJUSTED=GAAP","Sort=A","Dates=H","DateFormat=P","Fill=—","Direction=H","UseDPDF=Y")</f>
        <v>1253</v>
      </c>
      <c r="F10" s="13">
        <f>_xll.BDH("AMGN US Equity","IS_COG_AND_SERVICES_SOLD","FQ1 2020","FQ1 2020","Currency=USD","Period=FQ","BEST_FPERIOD_OVERRIDE=FQ","FILING_STATUS=MR","SCALING_FORMAT=MLN","FA_ADJUSTED=GAAP","Sort=A","Dates=H","DateFormat=P","Fill=—","Direction=H","UseDPDF=Y")</f>
        <v>1513</v>
      </c>
      <c r="G10" s="13">
        <f>_xll.BDH("AMGN US Equity","IS_COG_AND_SERVICES_SOLD","FQ2 2020","FQ2 2020","Currency=USD","Period=FQ","BEST_FPERIOD_OVERRIDE=FQ","FILING_STATUS=MR","SCALING_FORMAT=MLN","FA_ADJUSTED=GAAP","Sort=A","Dates=H","DateFormat=P","Fill=—","Direction=H","UseDPDF=Y")</f>
        <v>1488</v>
      </c>
      <c r="H10" s="13">
        <f>_xll.BDH("AMGN US Equity","IS_COG_AND_SERVICES_SOLD","FQ3 2020","FQ3 2020","Currency=USD","Period=FQ","BEST_FPERIOD_OVERRIDE=FQ","FILING_STATUS=MR","SCALING_FORMAT=MLN","FA_ADJUSTED=GAAP","Sort=A","Dates=H","DateFormat=P","Fill=—","Direction=H","UseDPDF=Y")</f>
        <v>1561</v>
      </c>
      <c r="I10" s="13">
        <f>_xll.BDH("AMGN US Equity","IS_COG_AND_SERVICES_SOLD","FQ4 2020","FQ4 2020","Currency=USD","Period=FQ","BEST_FPERIOD_OVERRIDE=FQ","FILING_STATUS=MR","SCALING_FORMAT=MLN","FA_ADJUSTED=GAAP","Sort=A","Dates=H","DateFormat=P","Fill=—","Direction=H","UseDPDF=Y")</f>
        <v>1597</v>
      </c>
      <c r="J10" s="13">
        <f>_xll.BDH("AMGN US Equity","IS_COG_AND_SERVICES_SOLD","FQ1 2021","FQ1 2021","Currency=USD","Period=FQ","BEST_FPERIOD_OVERRIDE=FQ","FILING_STATUS=MR","SCALING_FORMAT=MLN","FA_ADJUSTED=GAAP","Sort=A","Dates=H","DateFormat=P","Fill=—","Direction=H","UseDPDF=Y")</f>
        <v>1490</v>
      </c>
      <c r="K10" s="13">
        <f>_xll.BDH("AMGN US Equity","IS_COG_AND_SERVICES_SOLD","FQ2 2021","FQ2 2021","Currency=USD","Period=FQ","BEST_FPERIOD_OVERRIDE=FQ","FILING_STATUS=MR","SCALING_FORMAT=MLN","FA_ADJUSTED=GAAP","Sort=A","Dates=H","DateFormat=P","Fill=—","Direction=H","UseDPDF=Y")</f>
        <v>1637</v>
      </c>
      <c r="L10" s="13">
        <f>_xll.BDH("AMGN US Equity","IS_COG_AND_SERVICES_SOLD","FQ3 2021","FQ3 2021","Currency=USD","Period=FQ","BEST_FPERIOD_OVERRIDE=FQ","FILING_STATUS=MR","SCALING_FORMAT=MLN","FA_ADJUSTED=GAAP","Sort=A","Dates=H","DateFormat=P","Fill=—","Direction=H","UseDPDF=Y")</f>
        <v>1609</v>
      </c>
      <c r="M10" s="13">
        <f>_xll.BDH("AMGN US Equity","IS_COG_AND_SERVICES_SOLD","FQ4 2021","FQ4 2021","Currency=USD","Period=FQ","BEST_FPERIOD_OVERRIDE=FQ","FILING_STATUS=MR","SCALING_FORMAT=MLN","FA_ADJUSTED=GAAP","Sort=A","Dates=H","DateFormat=P","Fill=—","Direction=H","UseDPDF=Y")</f>
        <v>1718</v>
      </c>
      <c r="N10" s="13">
        <f>_xll.BDH("AMGN US Equity","IS_COG_AND_SERVICES_SOLD","FQ1 2022","FQ1 2022","Currency=USD","Period=FQ","BEST_FPERIOD_OVERRIDE=FQ","FILING_STATUS=MR","SCALING_FORMAT=MLN","FA_ADJUSTED=GAAP","Sort=A","Dates=H","DateFormat=P","Fill=—","Direction=H","UseDPDF=Y")</f>
        <v>1561</v>
      </c>
      <c r="O10" s="13">
        <f>_xll.BDH("AMGN US Equity","IS_COG_AND_SERVICES_SOLD","FQ2 2022","FQ2 2022","Currency=USD","Period=FQ","BEST_FPERIOD_OVERRIDE=FQ","FILING_STATUS=MR","SCALING_FORMAT=MLN","FA_ADJUSTED=GAAP","Sort=A","Dates=H","DateFormat=P","Fill=—","Direction=H","UseDPDF=Y")</f>
        <v>1510</v>
      </c>
      <c r="P10" s="13">
        <f>_xll.BDH("AMGN US Equity","IS_COG_AND_SERVICES_SOLD","FQ3 2022","FQ3 2022","Currency=USD","Period=FQ","BEST_FPERIOD_OVERRIDE=FQ","FILING_STATUS=MR","SCALING_FORMAT=MLN","FA_ADJUSTED=GAAP","Sort=A","Dates=H","DateFormat=P","Fill=—","Direction=H","UseDPDF=Y")</f>
        <v>1588</v>
      </c>
      <c r="Q10" s="13">
        <f>_xll.BDH("AMGN US Equity","IS_COG_AND_SERVICES_SOLD","FQ4 2022","FQ4 2022","Currency=USD","Period=FQ","BEST_FPERIOD_OVERRIDE=FQ","FILING_STATUS=MR","SCALING_FORMAT=MLN","FA_ADJUSTED=GAAP","Sort=A","Dates=H","DateFormat=P","Fill=—","Direction=H","UseDPDF=Y")</f>
        <v>1747</v>
      </c>
      <c r="R10" s="13">
        <f>_xll.BDH("AMGN US Equity","IS_COG_AND_SERVICES_SOLD","FQ1 2023","FQ1 2023","Currency=USD","Period=FQ","BEST_FPERIOD_OVERRIDE=FQ","FILING_STATUS=MR","SCALING_FORMAT=MLN","FA_ADJUSTED=GAAP","Sort=A","Dates=H","DateFormat=P","Fill=—","Direction=H","UseDPDF=Y")</f>
        <v>1720</v>
      </c>
      <c r="S10" s="13">
        <f>_xll.BDH("AMGN US Equity","IS_COG_AND_SERVICES_SOLD","FQ2 2023","FQ2 2023","Currency=USD","Period=FQ","BEST_FPERIOD_OVERRIDE=FQ","FILING_STATUS=MR","SCALING_FORMAT=MLN","FA_ADJUSTED=GAAP","Sort=A","Dates=H","DateFormat=P","Fill=—","Direction=H","UseDPDF=Y")</f>
        <v>1813</v>
      </c>
      <c r="T10" s="13">
        <f>_xll.BDH("AMGN US Equity","IS_COG_AND_SERVICES_SOLD","FQ3 2023","FQ3 2023","Currency=USD","Period=FQ","BEST_FPERIOD_OVERRIDE=FQ","FILING_STATUS=MR","SCALING_FORMAT=MLN","FA_ADJUSTED=GAAP","Sort=A","Dates=H","DateFormat=P","Fill=—","Direction=H","UseDPDF=Y")</f>
        <v>1806</v>
      </c>
      <c r="U10" s="13">
        <f>_xll.BDH("AMGN US Equity","IS_COG_AND_SERVICES_SOLD","FQ4 2023","FQ4 2023","Currency=USD","Period=FQ","BEST_FPERIOD_OVERRIDE=FQ","FILING_STATUS=MR","SCALING_FORMAT=MLN","FA_ADJUSTED=GAAP","Sort=A","Dates=H","DateFormat=P","Fill=—","Direction=H","UseDPDF=Y")</f>
        <v>3112</v>
      </c>
      <c r="V10" s="13">
        <f>_xll.BDH("AMGN US Equity","IS_COG_AND_SERVICES_SOLD","FQ1 2024","FQ1 2024","Currency=USD","Period=FQ","BEST_FPERIOD_OVERRIDE=FQ","FILING_STATUS=MR","SCALING_FORMAT=MLN","FA_ADJUSTED=GAAP","Sort=A","Dates=H","DateFormat=P","Fill=—","Direction=H","UseDPDF=Y")</f>
        <v>3200</v>
      </c>
      <c r="W10" s="13">
        <f>_xll.BDH("AMGN US Equity","IS_COG_AND_SERVICES_SOLD","FQ2 2024","FQ2 2024","Currency=USD","Period=FQ","BEST_FPERIOD_OVERRIDE=FQ","FILING_STATUS=MR","SCALING_FORMAT=MLN","FA_ADJUSTED=GAAP","Sort=A","Dates=H","DateFormat=P","Fill=—","Direction=H","UseDPDF=Y")</f>
        <v>3236</v>
      </c>
      <c r="X10" s="13">
        <f>_xll.BDH("AMGN US Equity","IS_COG_AND_SERVICES_SOLD","FQ3 2024","FQ3 2024","Currency=USD","Period=FQ","BEST_FPERIOD_OVERRIDE=FQ","FILING_STATUS=MR","SCALING_FORMAT=MLN","FA_ADJUSTED=GAAP","Sort=A","Dates=H","DateFormat=P","Fill=—","Direction=H","UseDPDF=Y")</f>
        <v>3310</v>
      </c>
      <c r="Y10" s="13">
        <f>_xll.BDH("AMGN US Equity","IS_COG_AND_SERVICES_SOLD","FQ4 2024","FQ4 2024","Currency=USD","Period=FQ","BEST_FPERIOD_OVERRIDE=FQ","FILING_STATUS=MR","SCALING_FORMAT=MLN","FA_ADJUSTED=GAAP","Sort=A","Dates=H","DateFormat=P","Fill=—","Direction=H","UseDPDF=Y")</f>
        <v>3112</v>
      </c>
      <c r="Z10" s="13"/>
      <c r="AA10" s="13"/>
    </row>
    <row r="11" spans="1:27" x14ac:dyDescent="0.25">
      <c r="A11" s="6" t="s">
        <v>2</v>
      </c>
      <c r="B11" s="6" t="s">
        <v>75</v>
      </c>
      <c r="C11" s="19">
        <f>_xll.BDH("AMGN US Equity","GROSS_PROFIT","FQ2 2019","FQ2 2019","Currency=USD","Period=FQ","BEST_FPERIOD_OVERRIDE=FQ","FILING_STATUS=MR","SCALING_FORMAT=MLN","FA_ADJUSTED=GAAP","Sort=A","Dates=H","DateFormat=P","Fill=—","Direction=H","UseDPDF=Y")</f>
        <v>4859</v>
      </c>
      <c r="D11" s="19">
        <f>_xll.BDH("AMGN US Equity","GROSS_PROFIT","FQ3 2019","FQ3 2019","Currency=USD","Period=FQ","BEST_FPERIOD_OVERRIDE=FQ","FILING_STATUS=MR","SCALING_FORMAT=MLN","FA_ADJUSTED=GAAP","Sort=A","Dates=H","DateFormat=P","Fill=—","Direction=H","UseDPDF=Y")</f>
        <v>4701</v>
      </c>
      <c r="E11" s="19">
        <f>_xll.BDH("AMGN US Equity","GROSS_PROFIT","FQ4 2019","FQ4 2019","Currency=USD","Period=FQ","BEST_FPERIOD_OVERRIDE=FQ","FILING_STATUS=MR","SCALING_FORMAT=MLN","FA_ADJUSTED=GAAP","Sort=A","Dates=H","DateFormat=P","Fill=—","Direction=H","UseDPDF=Y")</f>
        <v>4944</v>
      </c>
      <c r="F11" s="19">
        <f>_xll.BDH("AMGN US Equity","GROSS_PROFIT","FQ1 2020","FQ1 2020","Currency=USD","Period=FQ","BEST_FPERIOD_OVERRIDE=FQ","FILING_STATUS=MR","SCALING_FORMAT=MLN","FA_ADJUSTED=GAAP","Sort=A","Dates=H","DateFormat=P","Fill=—","Direction=H","UseDPDF=Y")</f>
        <v>4648</v>
      </c>
      <c r="G11" s="19">
        <f>_xll.BDH("AMGN US Equity","GROSS_PROFIT","FQ2 2020","FQ2 2020","Currency=USD","Period=FQ","BEST_FPERIOD_OVERRIDE=FQ","FILING_STATUS=MR","SCALING_FORMAT=MLN","FA_ADJUSTED=GAAP","Sort=A","Dates=H","DateFormat=P","Fill=—","Direction=H","UseDPDF=Y")</f>
        <v>4718</v>
      </c>
      <c r="H11" s="19">
        <f>_xll.BDH("AMGN US Equity","GROSS_PROFIT","FQ3 2020","FQ3 2020","Currency=USD","Period=FQ","BEST_FPERIOD_OVERRIDE=FQ","FILING_STATUS=MR","SCALING_FORMAT=MLN","FA_ADJUSTED=GAAP","Sort=A","Dates=H","DateFormat=P","Fill=—","Direction=H","UseDPDF=Y")</f>
        <v>4862</v>
      </c>
      <c r="I11" s="19">
        <f>_xll.BDH("AMGN US Equity","GROSS_PROFIT","FQ4 2020","FQ4 2020","Currency=USD","Period=FQ","BEST_FPERIOD_OVERRIDE=FQ","FILING_STATUS=MR","SCALING_FORMAT=MLN","FA_ADJUSTED=GAAP","Sort=A","Dates=H","DateFormat=P","Fill=—","Direction=H","UseDPDF=Y")</f>
        <v>5037</v>
      </c>
      <c r="J11" s="19">
        <f>_xll.BDH("AMGN US Equity","GROSS_PROFIT","FQ1 2021","FQ1 2021","Currency=USD","Period=FQ","BEST_FPERIOD_OVERRIDE=FQ","FILING_STATUS=MR","SCALING_FORMAT=MLN","FA_ADJUSTED=GAAP","Sort=A","Dates=H","DateFormat=P","Fill=—","Direction=H","UseDPDF=Y")</f>
        <v>4411</v>
      </c>
      <c r="K11" s="19">
        <f>_xll.BDH("AMGN US Equity","GROSS_PROFIT","FQ2 2021","FQ2 2021","Currency=USD","Period=FQ","BEST_FPERIOD_OVERRIDE=FQ","FILING_STATUS=MR","SCALING_FORMAT=MLN","FA_ADJUSTED=GAAP","Sort=A","Dates=H","DateFormat=P","Fill=—","Direction=H","UseDPDF=Y")</f>
        <v>4889</v>
      </c>
      <c r="L11" s="19">
        <f>_xll.BDH("AMGN US Equity","GROSS_PROFIT","FQ3 2021","FQ3 2021","Currency=USD","Period=FQ","BEST_FPERIOD_OVERRIDE=FQ","FILING_STATUS=MR","SCALING_FORMAT=MLN","FA_ADJUSTED=GAAP","Sort=A","Dates=H","DateFormat=P","Fill=—","Direction=H","UseDPDF=Y")</f>
        <v>5097</v>
      </c>
      <c r="M11" s="19">
        <f>_xll.BDH("AMGN US Equity","GROSS_PROFIT","FQ4 2021","FQ4 2021","Currency=USD","Period=FQ","BEST_FPERIOD_OVERRIDE=FQ","FILING_STATUS=MR","SCALING_FORMAT=MLN","FA_ADJUSTED=GAAP","Sort=A","Dates=H","DateFormat=P","Fill=—","Direction=H","UseDPDF=Y")</f>
        <v>5128</v>
      </c>
      <c r="N11" s="19">
        <f>_xll.BDH("AMGN US Equity","GROSS_PROFIT","FQ1 2022","FQ1 2022","Currency=USD","Period=FQ","BEST_FPERIOD_OVERRIDE=FQ","FILING_STATUS=MR","SCALING_FORMAT=MLN","FA_ADJUSTED=GAAP","Sort=A","Dates=H","DateFormat=P","Fill=—","Direction=H","UseDPDF=Y")</f>
        <v>4677</v>
      </c>
      <c r="O11" s="19">
        <f>_xll.BDH("AMGN US Equity","GROSS_PROFIT","FQ2 2022","FQ2 2022","Currency=USD","Period=FQ","BEST_FPERIOD_OVERRIDE=FQ","FILING_STATUS=MR","SCALING_FORMAT=MLN","FA_ADJUSTED=GAAP","Sort=A","Dates=H","DateFormat=P","Fill=—","Direction=H","UseDPDF=Y")</f>
        <v>5084</v>
      </c>
      <c r="P11" s="19">
        <f>_xll.BDH("AMGN US Equity","GROSS_PROFIT","FQ3 2022","FQ3 2022","Currency=USD","Period=FQ","BEST_FPERIOD_OVERRIDE=FQ","FILING_STATUS=MR","SCALING_FORMAT=MLN","FA_ADJUSTED=GAAP","Sort=A","Dates=H","DateFormat=P","Fill=—","Direction=H","UseDPDF=Y")</f>
        <v>5064</v>
      </c>
      <c r="Q11" s="19">
        <f>_xll.BDH("AMGN US Equity","GROSS_PROFIT","FQ4 2022","FQ4 2022","Currency=USD","Period=FQ","BEST_FPERIOD_OVERRIDE=FQ","FILING_STATUS=MR","SCALING_FORMAT=MLN","FA_ADJUSTED=GAAP","Sort=A","Dates=H","DateFormat=P","Fill=—","Direction=H","UseDPDF=Y")</f>
        <v>5092</v>
      </c>
      <c r="R11" s="19">
        <f>_xll.BDH("AMGN US Equity","GROSS_PROFIT","FQ1 2023","FQ1 2023","Currency=USD","Period=FQ","BEST_FPERIOD_OVERRIDE=FQ","FILING_STATUS=MR","SCALING_FORMAT=MLN","FA_ADJUSTED=GAAP","Sort=A","Dates=H","DateFormat=P","Fill=—","Direction=H","UseDPDF=Y")</f>
        <v>4385</v>
      </c>
      <c r="S11" s="19">
        <f>_xll.BDH("AMGN US Equity","GROSS_PROFIT","FQ2 2023","FQ2 2023","Currency=USD","Period=FQ","BEST_FPERIOD_OVERRIDE=FQ","FILING_STATUS=MR","SCALING_FORMAT=MLN","FA_ADJUSTED=GAAP","Sort=A","Dates=H","DateFormat=P","Fill=—","Direction=H","UseDPDF=Y")</f>
        <v>5173</v>
      </c>
      <c r="T11" s="19">
        <f>_xll.BDH("AMGN US Equity","GROSS_PROFIT","FQ3 2023","FQ3 2023","Currency=USD","Period=FQ","BEST_FPERIOD_OVERRIDE=FQ","FILING_STATUS=MR","SCALING_FORMAT=MLN","FA_ADJUSTED=GAAP","Sort=A","Dates=H","DateFormat=P","Fill=—","Direction=H","UseDPDF=Y")</f>
        <v>5097</v>
      </c>
      <c r="U11" s="19">
        <f>_xll.BDH("AMGN US Equity","GROSS_PROFIT","FQ4 2023","FQ4 2023","Currency=USD","Period=FQ","BEST_FPERIOD_OVERRIDE=FQ","FILING_STATUS=MR","SCALING_FORMAT=MLN","FA_ADJUSTED=GAAP","Sort=A","Dates=H","DateFormat=P","Fill=—","Direction=H","UseDPDF=Y")</f>
        <v>5084</v>
      </c>
      <c r="V11" s="19">
        <f>_xll.BDH("AMGN US Equity","GROSS_PROFIT","FQ1 2024","FQ1 2024","Currency=USD","Period=FQ","BEST_FPERIOD_OVERRIDE=FQ","FILING_STATUS=MR","SCALING_FORMAT=MLN","FA_ADJUSTED=GAAP","Sort=A","Dates=H","DateFormat=P","Fill=—","Direction=H","UseDPDF=Y")</f>
        <v>4247</v>
      </c>
      <c r="W11" s="19">
        <f>_xll.BDH("AMGN US Equity","GROSS_PROFIT","FQ2 2024","FQ2 2024","Currency=USD","Period=FQ","BEST_FPERIOD_OVERRIDE=FQ","FILING_STATUS=MR","SCALING_FORMAT=MLN","FA_ADJUSTED=GAAP","Sort=A","Dates=H","DateFormat=P","Fill=—","Direction=H","UseDPDF=Y")</f>
        <v>5152</v>
      </c>
      <c r="X11" s="19">
        <f>_xll.BDH("AMGN US Equity","GROSS_PROFIT","FQ3 2024","FQ3 2024","Currency=USD","Period=FQ","BEST_FPERIOD_OVERRIDE=FQ","FILING_STATUS=MR","SCALING_FORMAT=MLN","FA_ADJUSTED=GAAP","Sort=A","Dates=H","DateFormat=P","Fill=—","Direction=H","UseDPDF=Y")</f>
        <v>5193</v>
      </c>
      <c r="Y11" s="19">
        <f>_xll.BDH("AMGN US Equity","GROSS_PROFIT","FQ4 2024","FQ4 2024","Currency=USD","Period=FQ","BEST_FPERIOD_OVERRIDE=FQ","FILING_STATUS=MR","SCALING_FORMAT=MLN","FA_ADJUSTED=GAAP","Sort=A","Dates=H","DateFormat=P","Fill=—","Direction=H","UseDPDF=Y")</f>
        <v>5974</v>
      </c>
      <c r="Z11" s="19">
        <v>6598.72923489</v>
      </c>
      <c r="AA11" s="19">
        <v>7326.8624</v>
      </c>
    </row>
    <row r="12" spans="1:27" x14ac:dyDescent="0.25">
      <c r="A12" s="10" t="s">
        <v>316</v>
      </c>
      <c r="B12" s="10" t="s">
        <v>317</v>
      </c>
      <c r="C12" s="13">
        <f>_xll.BDH("AMGN US Equity","IS_OTHER_OPER_INC","FQ2 2019","FQ2 2019","Currency=USD","Period=FQ","BEST_FPERIOD_OVERRIDE=FQ","FILING_STATUS=MR","SCALING_FORMAT=MLN","FA_ADJUSTED=GAAP","Sort=A","Dates=H","DateFormat=P","Fill=—","Direction=H","UseDPDF=Y")</f>
        <v>3</v>
      </c>
      <c r="D12" s="13">
        <f>_xll.BDH("AMGN US Equity","IS_OTHER_OPER_INC","FQ3 2019","FQ3 2019","Currency=USD","Period=FQ","BEST_FPERIOD_OVERRIDE=FQ","FILING_STATUS=MR","SCALING_FORMAT=MLN","FA_ADJUSTED=GAAP","Sort=A","Dates=H","DateFormat=P","Fill=—","Direction=H","UseDPDF=Y")</f>
        <v>0</v>
      </c>
      <c r="E12" s="13">
        <f>_xll.BDH("AMGN US Equity","IS_OTHER_OPER_INC","FQ4 2019","FQ4 2019","Currency=USD","Period=FQ","BEST_FPERIOD_OVERRIDE=FQ","FILING_STATUS=MR","SCALING_FORMAT=MLN","FA_ADJUSTED=GAAP","Sort=A","Dates=H","DateFormat=P","Fill=—","Direction=H","UseDPDF=Y")</f>
        <v>0</v>
      </c>
      <c r="F12" s="13">
        <f>_xll.BDH("AMGN US Equity","IS_OTHER_OPER_INC","FQ1 2020","FQ1 2020","Currency=USD","Period=FQ","BEST_FPERIOD_OVERRIDE=FQ","FILING_STATUS=MR","SCALING_FORMAT=MLN","FA_ADJUSTED=GAAP","Sort=A","Dates=H","DateFormat=P","Fill=—","Direction=H","UseDPDF=Y")</f>
        <v>0</v>
      </c>
      <c r="G12" s="13">
        <f>_xll.BDH("AMGN US Equity","IS_OTHER_OPER_INC","FQ2 2020","FQ2 2020","Currency=USD","Period=FQ","BEST_FPERIOD_OVERRIDE=FQ","FILING_STATUS=MR","SCALING_FORMAT=MLN","FA_ADJUSTED=GAAP","Sort=A","Dates=H","DateFormat=P","Fill=—","Direction=H","UseDPDF=Y")</f>
        <v>0</v>
      </c>
      <c r="H12" s="13">
        <f>_xll.BDH("AMGN US Equity","IS_OTHER_OPER_INC","FQ3 2020","FQ3 2020","Currency=USD","Period=FQ","BEST_FPERIOD_OVERRIDE=FQ","FILING_STATUS=MR","SCALING_FORMAT=MLN","FA_ADJUSTED=GAAP","Sort=A","Dates=H","DateFormat=P","Fill=—","Direction=H","UseDPDF=Y")</f>
        <v>0</v>
      </c>
      <c r="I12" s="13">
        <f>_xll.BDH("AMGN US Equity","IS_OTHER_OPER_INC","FQ4 2020","FQ4 2020","Currency=USD","Period=FQ","BEST_FPERIOD_OVERRIDE=FQ","FILING_STATUS=MR","SCALING_FORMAT=MLN","FA_ADJUSTED=GAAP","Sort=A","Dates=H","DateFormat=P","Fill=—","Direction=H","UseDPDF=Y")</f>
        <v>0</v>
      </c>
      <c r="J12" s="13">
        <f>_xll.BDH("AMGN US Equity","IS_OTHER_OPER_INC","FQ1 2021","FQ1 2021","Currency=USD","Period=FQ","BEST_FPERIOD_OVERRIDE=FQ","FILING_STATUS=MR","SCALING_FORMAT=MLN","FA_ADJUSTED=GAAP","Sort=A","Dates=H","DateFormat=P","Fill=—","Direction=H","UseDPDF=Y")</f>
        <v>0</v>
      </c>
      <c r="K12" s="13">
        <f>_xll.BDH("AMGN US Equity","IS_OTHER_OPER_INC","FQ2 2021","FQ2 2021","Currency=USD","Period=FQ","BEST_FPERIOD_OVERRIDE=FQ","FILING_STATUS=MR","SCALING_FORMAT=MLN","FA_ADJUSTED=GAAP","Sort=A","Dates=H","DateFormat=P","Fill=—","Direction=H","UseDPDF=Y")</f>
        <v>0</v>
      </c>
      <c r="L12" s="13">
        <f>_xll.BDH("AMGN US Equity","IS_OTHER_OPER_INC","FQ3 2021","FQ3 2021","Currency=USD","Period=FQ","BEST_FPERIOD_OVERRIDE=FQ","FILING_STATUS=MR","SCALING_FORMAT=MLN","FA_ADJUSTED=GAAP","Sort=A","Dates=H","DateFormat=P","Fill=—","Direction=H","UseDPDF=Y")</f>
        <v>0</v>
      </c>
      <c r="M12" s="13">
        <f>_xll.BDH("AMGN US Equity","IS_OTHER_OPER_INC","FQ4 2021","FQ4 2021","Currency=USD","Period=FQ","BEST_FPERIOD_OVERRIDE=FQ","FILING_STATUS=MR","SCALING_FORMAT=MLN","FA_ADJUSTED=GAAP","Sort=A","Dates=H","DateFormat=P","Fill=—","Direction=H","UseDPDF=Y")</f>
        <v>0</v>
      </c>
      <c r="N12" s="13">
        <f>_xll.BDH("AMGN US Equity","IS_OTHER_OPER_INC","FQ1 2022","FQ1 2022","Currency=USD","Period=FQ","BEST_FPERIOD_OVERRIDE=FQ","FILING_STATUS=MR","SCALING_FORMAT=MLN","FA_ADJUSTED=GAAP","Sort=A","Dates=H","DateFormat=P","Fill=—","Direction=H","UseDPDF=Y")</f>
        <v>0</v>
      </c>
      <c r="O12" s="13">
        <f>_xll.BDH("AMGN US Equity","IS_OTHER_OPER_INC","FQ2 2022","FQ2 2022","Currency=USD","Period=FQ","BEST_FPERIOD_OVERRIDE=FQ","FILING_STATUS=MR","SCALING_FORMAT=MLN","FA_ADJUSTED=GAAP","Sort=A","Dates=H","DateFormat=P","Fill=—","Direction=H","UseDPDF=Y")</f>
        <v>0</v>
      </c>
      <c r="P12" s="13">
        <f>_xll.BDH("AMGN US Equity","IS_OTHER_OPER_INC","FQ3 2022","FQ3 2022","Currency=USD","Period=FQ","BEST_FPERIOD_OVERRIDE=FQ","FILING_STATUS=MR","SCALING_FORMAT=MLN","FA_ADJUSTED=GAAP","Sort=A","Dates=H","DateFormat=P","Fill=—","Direction=H","UseDPDF=Y")</f>
        <v>0</v>
      </c>
      <c r="Q12" s="13">
        <f>_xll.BDH("AMGN US Equity","IS_OTHER_OPER_INC","FQ4 2022","FQ4 2022","Currency=USD","Period=FQ","BEST_FPERIOD_OVERRIDE=FQ","FILING_STATUS=MR","SCALING_FORMAT=MLN","FA_ADJUSTED=GAAP","Sort=A","Dates=H","DateFormat=P","Fill=—","Direction=H","UseDPDF=Y")</f>
        <v>0</v>
      </c>
      <c r="R12" s="13">
        <f>_xll.BDH("AMGN US Equity","IS_OTHER_OPER_INC","FQ1 2023","FQ1 2023","Currency=USD","Period=FQ","BEST_FPERIOD_OVERRIDE=FQ","FILING_STATUS=MR","SCALING_FORMAT=MLN","FA_ADJUSTED=GAAP","Sort=A","Dates=H","DateFormat=P","Fill=—","Direction=H","UseDPDF=Y")</f>
        <v>0</v>
      </c>
      <c r="S12" s="13">
        <f>_xll.BDH("AMGN US Equity","IS_OTHER_OPER_INC","FQ2 2023","FQ2 2023","Currency=USD","Period=FQ","BEST_FPERIOD_OVERRIDE=FQ","FILING_STATUS=MR","SCALING_FORMAT=MLN","FA_ADJUSTED=GAAP","Sort=A","Dates=H","DateFormat=P","Fill=—","Direction=H","UseDPDF=Y")</f>
        <v>0</v>
      </c>
      <c r="T12" s="13">
        <f>_xll.BDH("AMGN US Equity","IS_OTHER_OPER_INC","FQ3 2023","FQ3 2023","Currency=USD","Period=FQ","BEST_FPERIOD_OVERRIDE=FQ","FILING_STATUS=MR","SCALING_FORMAT=MLN","FA_ADJUSTED=GAAP","Sort=A","Dates=H","DateFormat=P","Fill=—","Direction=H","UseDPDF=Y")</f>
        <v>0</v>
      </c>
      <c r="U12" s="13">
        <f>_xll.BDH("AMGN US Equity","IS_OTHER_OPER_INC","FQ4 2023","FQ4 2023","Currency=USD","Period=FQ","BEST_FPERIOD_OVERRIDE=FQ","FILING_STATUS=MR","SCALING_FORMAT=MLN","FA_ADJUSTED=GAAP","Sort=A","Dates=H","DateFormat=P","Fill=—","Direction=H","UseDPDF=Y")</f>
        <v>0</v>
      </c>
      <c r="V12" s="13">
        <f>_xll.BDH("AMGN US Equity","IS_OTHER_OPER_INC","FQ1 2024","FQ1 2024","Currency=USD","Period=FQ","BEST_FPERIOD_OVERRIDE=FQ","FILING_STATUS=MR","SCALING_FORMAT=MLN","FA_ADJUSTED=GAAP","Sort=A","Dates=H","DateFormat=P","Fill=—","Direction=H","UseDPDF=Y")</f>
        <v>0</v>
      </c>
      <c r="W12" s="13">
        <f>_xll.BDH("AMGN US Equity","IS_OTHER_OPER_INC","FQ2 2024","FQ2 2024","Currency=USD","Period=FQ","BEST_FPERIOD_OVERRIDE=FQ","FILING_STATUS=MR","SCALING_FORMAT=MLN","FA_ADJUSTED=GAAP","Sort=A","Dates=H","DateFormat=P","Fill=—","Direction=H","UseDPDF=Y")</f>
        <v>0</v>
      </c>
      <c r="X12" s="13">
        <f>_xll.BDH("AMGN US Equity","IS_OTHER_OPER_INC","FQ3 2024","FQ3 2024","Currency=USD","Period=FQ","BEST_FPERIOD_OVERRIDE=FQ","FILING_STATUS=MR","SCALING_FORMAT=MLN","FA_ADJUSTED=GAAP","Sort=A","Dates=H","DateFormat=P","Fill=—","Direction=H","UseDPDF=Y")</f>
        <v>0</v>
      </c>
      <c r="Y12" s="13">
        <f>_xll.BDH("AMGN US Equity","IS_OTHER_OPER_INC","FQ4 2024","FQ4 2024","Currency=USD","Period=FQ","BEST_FPERIOD_OVERRIDE=FQ","FILING_STATUS=MR","SCALING_FORMAT=MLN","FA_ADJUSTED=GAAP","Sort=A","Dates=H","DateFormat=P","Fill=—","Direction=H","UseDPDF=Y")</f>
        <v>0</v>
      </c>
      <c r="Z12" s="13"/>
      <c r="AA12" s="13"/>
    </row>
    <row r="13" spans="1:27" x14ac:dyDescent="0.25">
      <c r="A13" s="10" t="s">
        <v>318</v>
      </c>
      <c r="B13" s="10" t="s">
        <v>319</v>
      </c>
      <c r="C13" s="13">
        <f>_xll.BDH("AMGN US Equity","IS_OPERATING_EXPN","FQ2 2019","FQ2 2019","Currency=USD","Period=FQ","BEST_FPERIOD_OVERRIDE=FQ","FILING_STATUS=MR","SCALING_FORMAT=MLN","FA_ADJUSTED=GAAP","Sort=A","Dates=H","DateFormat=P","Fill=—","Direction=H","UseDPDF=Y")</f>
        <v>2184</v>
      </c>
      <c r="D13" s="13">
        <f>_xll.BDH("AMGN US Equity","IS_OPERATING_EXPN","FQ3 2019","FQ3 2019","Currency=USD","Period=FQ","BEST_FPERIOD_OVERRIDE=FQ","FILING_STATUS=MR","SCALING_FORMAT=MLN","FA_ADJUSTED=GAAP","Sort=A","Dates=H","DateFormat=P","Fill=—","Direction=H","UseDPDF=Y")</f>
        <v>2225</v>
      </c>
      <c r="E13" s="13">
        <f>_xll.BDH("AMGN US Equity","IS_OPERATING_EXPN","FQ4 2019","FQ4 2019","Currency=USD","Period=FQ","BEST_FPERIOD_OVERRIDE=FQ","FILING_STATUS=MR","SCALING_FORMAT=MLN","FA_ADJUSTED=GAAP","Sort=A","Dates=H","DateFormat=P","Fill=—","Direction=H","UseDPDF=Y")</f>
        <v>2896</v>
      </c>
      <c r="F13" s="13">
        <f>_xll.BDH("AMGN US Equity","IS_OPERATING_EXPN","FQ1 2020","FQ1 2020","Currency=USD","Period=FQ","BEST_FPERIOD_OVERRIDE=FQ","FILING_STATUS=MR","SCALING_FORMAT=MLN","FA_ADJUSTED=GAAP","Sort=A","Dates=H","DateFormat=P","Fill=—","Direction=H","UseDPDF=Y")</f>
        <v>2293</v>
      </c>
      <c r="G13" s="13">
        <f>_xll.BDH("AMGN US Equity","IS_OPERATING_EXPN","FQ2 2020","FQ2 2020","Currency=USD","Period=FQ","BEST_FPERIOD_OVERRIDE=FQ","FILING_STATUS=MR","SCALING_FORMAT=MLN","FA_ADJUSTED=GAAP","Sort=A","Dates=H","DateFormat=P","Fill=—","Direction=H","UseDPDF=Y")</f>
        <v>2395</v>
      </c>
      <c r="H13" s="13">
        <f>_xll.BDH("AMGN US Equity","IS_OPERATING_EXPN","FQ3 2020","FQ3 2020","Currency=USD","Period=FQ","BEST_FPERIOD_OVERRIDE=FQ","FILING_STATUS=MR","SCALING_FORMAT=MLN","FA_ADJUSTED=GAAP","Sort=A","Dates=H","DateFormat=P","Fill=—","Direction=H","UseDPDF=Y")</f>
        <v>2409</v>
      </c>
      <c r="I13" s="13">
        <f>_xll.BDH("AMGN US Equity","IS_OPERATING_EXPN","FQ4 2020","FQ4 2020","Currency=USD","Period=FQ","BEST_FPERIOD_OVERRIDE=FQ","FILING_STATUS=MR","SCALING_FORMAT=MLN","FA_ADJUSTED=GAAP","Sort=A","Dates=H","DateFormat=P","Fill=—","Direction=H","UseDPDF=Y")</f>
        <v>3029</v>
      </c>
      <c r="J13" s="13">
        <f>_xll.BDH("AMGN US Equity","IS_OPERATING_EXPN","FQ1 2021","FQ1 2021","Currency=USD","Period=FQ","BEST_FPERIOD_OVERRIDE=FQ","FILING_STATUS=MR","SCALING_FORMAT=MLN","FA_ADJUSTED=GAAP","Sort=A","Dates=H","DateFormat=P","Fill=—","Direction=H","UseDPDF=Y")</f>
        <v>2282</v>
      </c>
      <c r="K13" s="13">
        <f>_xll.BDH("AMGN US Equity","IS_OPERATING_EXPN","FQ2 2021","FQ2 2021","Currency=USD","Period=FQ","BEST_FPERIOD_OVERRIDE=FQ","FILING_STATUS=MR","SCALING_FORMAT=MLN","FA_ADJUSTED=GAAP","Sort=A","Dates=H","DateFormat=P","Fill=—","Direction=H","UseDPDF=Y")</f>
        <v>4061</v>
      </c>
      <c r="L13" s="13">
        <f>_xll.BDH("AMGN US Equity","IS_OPERATING_EXPN","FQ3 2021","FQ3 2021","Currency=USD","Period=FQ","BEST_FPERIOD_OVERRIDE=FQ","FILING_STATUS=MR","SCALING_FORMAT=MLN","FA_ADJUSTED=GAAP","Sort=A","Dates=H","DateFormat=P","Fill=—","Direction=H","UseDPDF=Y")</f>
        <v>2719</v>
      </c>
      <c r="M13" s="13">
        <f>_xll.BDH("AMGN US Equity","IS_OPERATING_EXPN","FQ4 2021","FQ4 2021","Currency=USD","Period=FQ","BEST_FPERIOD_OVERRIDE=FQ","FILING_STATUS=MR","SCALING_FORMAT=MLN","FA_ADJUSTED=GAAP","Sort=A","Dates=H","DateFormat=P","Fill=—","Direction=H","UseDPDF=Y")</f>
        <v>2824</v>
      </c>
      <c r="N13" s="13">
        <f>_xll.BDH("AMGN US Equity","IS_OPERATING_EXPN","FQ1 2022","FQ1 2022","Currency=USD","Period=FQ","BEST_FPERIOD_OVERRIDE=FQ","FILING_STATUS=MR","SCALING_FORMAT=MLN","FA_ADJUSTED=GAAP","Sort=A","Dates=H","DateFormat=P","Fill=—","Direction=H","UseDPDF=Y")</f>
        <v>2177</v>
      </c>
      <c r="O13" s="13">
        <f>_xll.BDH("AMGN US Equity","IS_OPERATING_EXPN","FQ2 2022","FQ2 2022","Currency=USD","Period=FQ","BEST_FPERIOD_OVERRIDE=FQ","FILING_STATUS=MR","SCALING_FORMAT=MLN","FA_ADJUSTED=GAAP","Sort=A","Dates=H","DateFormat=P","Fill=—","Direction=H","UseDPDF=Y")</f>
        <v>2908</v>
      </c>
      <c r="P13" s="13">
        <f>_xll.BDH("AMGN US Equity","IS_OPERATING_EXPN","FQ3 2022","FQ3 2022","Currency=USD","Period=FQ","BEST_FPERIOD_OVERRIDE=FQ","FILING_STATUS=MR","SCALING_FORMAT=MLN","FA_ADJUSTED=GAAP","Sort=A","Dates=H","DateFormat=P","Fill=—","Direction=H","UseDPDF=Y")</f>
        <v>2404</v>
      </c>
      <c r="Q13" s="13">
        <f>_xll.BDH("AMGN US Equity","IS_OPERATING_EXPN","FQ4 2022","FQ4 2022","Currency=USD","Period=FQ","BEST_FPERIOD_OVERRIDE=FQ","FILING_STATUS=MR","SCALING_FORMAT=MLN","FA_ADJUSTED=GAAP","Sort=A","Dates=H","DateFormat=P","Fill=—","Direction=H","UseDPDF=Y")</f>
        <v>2862</v>
      </c>
      <c r="R13" s="13">
        <f>_xll.BDH("AMGN US Equity","IS_OPERATING_EXPN","FQ1 2023","FQ1 2023","Currency=USD","Period=FQ","BEST_FPERIOD_OVERRIDE=FQ","FILING_STATUS=MR","SCALING_FORMAT=MLN","FA_ADJUSTED=GAAP","Sort=A","Dates=H","DateFormat=P","Fill=—","Direction=H","UseDPDF=Y")</f>
        <v>2464</v>
      </c>
      <c r="S13" s="13">
        <f>_xll.BDH("AMGN US Equity","IS_OPERATING_EXPN","FQ2 2023","FQ2 2023","Currency=USD","Period=FQ","BEST_FPERIOD_OVERRIDE=FQ","FILING_STATUS=MR","SCALING_FORMAT=MLN","FA_ADJUSTED=GAAP","Sort=A","Dates=H","DateFormat=P","Fill=—","Direction=H","UseDPDF=Y")</f>
        <v>2489</v>
      </c>
      <c r="T13" s="13">
        <f>_xll.BDH("AMGN US Equity","IS_OPERATING_EXPN","FQ3 2023","FQ3 2023","Currency=USD","Period=FQ","BEST_FPERIOD_OVERRIDE=FQ","FILING_STATUS=MR","SCALING_FORMAT=MLN","FA_ADJUSTED=GAAP","Sort=A","Dates=H","DateFormat=P","Fill=—","Direction=H","UseDPDF=Y")</f>
        <v>3076</v>
      </c>
      <c r="U13" s="13">
        <f>_xll.BDH("AMGN US Equity","IS_OPERATING_EXPN","FQ4 2023","FQ4 2023","Currency=USD","Period=FQ","BEST_FPERIOD_OVERRIDE=FQ","FILING_STATUS=MR","SCALING_FORMAT=MLN","FA_ADJUSTED=GAAP","Sort=A","Dates=H","DateFormat=P","Fill=—","Direction=H","UseDPDF=Y")</f>
        <v>3813</v>
      </c>
      <c r="V13" s="13">
        <f>_xll.BDH("AMGN US Equity","IS_OPERATING_EXPN","FQ1 2024","FQ1 2024","Currency=USD","Period=FQ","BEST_FPERIOD_OVERRIDE=FQ","FILING_STATUS=MR","SCALING_FORMAT=MLN","FA_ADJUSTED=GAAP","Sort=A","Dates=H","DateFormat=P","Fill=—","Direction=H","UseDPDF=Y")</f>
        <v>3256</v>
      </c>
      <c r="W13" s="13">
        <f>_xll.BDH("AMGN US Equity","IS_OPERATING_EXPN","FQ2 2024","FQ2 2024","Currency=USD","Period=FQ","BEST_FPERIOD_OVERRIDE=FQ","FILING_STATUS=MR","SCALING_FORMAT=MLN","FA_ADJUSTED=GAAP","Sort=A","Dates=H","DateFormat=P","Fill=—","Direction=H","UseDPDF=Y")</f>
        <v>3243</v>
      </c>
      <c r="X13" s="13">
        <f>_xll.BDH("AMGN US Equity","IS_OPERATING_EXPN","FQ3 2024","FQ3 2024","Currency=USD","Period=FQ","BEST_FPERIOD_OVERRIDE=FQ","FILING_STATUS=MR","SCALING_FORMAT=MLN","FA_ADJUSTED=GAAP","Sort=A","Dates=H","DateFormat=P","Fill=—","Direction=H","UseDPDF=Y")</f>
        <v>3146</v>
      </c>
      <c r="Y13" s="13">
        <f>_xll.BDH("AMGN US Equity","IS_OPERATING_EXPN","FQ4 2024","FQ4 2024","Currency=USD","Period=FQ","BEST_FPERIOD_OVERRIDE=FQ","FILING_STATUS=MR","SCALING_FORMAT=MLN","FA_ADJUSTED=GAAP","Sort=A","Dates=H","DateFormat=P","Fill=—","Direction=H","UseDPDF=Y")</f>
        <v>3663</v>
      </c>
      <c r="Z13" s="13"/>
      <c r="AA13" s="13"/>
    </row>
    <row r="14" spans="1:27" x14ac:dyDescent="0.25">
      <c r="A14" s="10" t="s">
        <v>320</v>
      </c>
      <c r="B14" s="10" t="s">
        <v>321</v>
      </c>
      <c r="C14" s="13">
        <f>_xll.BDH("AMGN US Equity","IS_SGA_EXPENSE","FQ2 2019","FQ2 2019","Currency=USD","Period=FQ","BEST_FPERIOD_OVERRIDE=FQ","FILING_STATUS=MR","SCALING_FORMAT=MLN","FA_ADJUSTED=GAAP","Sort=A","Dates=H","DateFormat=P","Fill=—","Direction=H","UseDPDF=Y")</f>
        <v>1260</v>
      </c>
      <c r="D14" s="13">
        <f>_xll.BDH("AMGN US Equity","IS_SGA_EXPENSE","FQ3 2019","FQ3 2019","Currency=USD","Period=FQ","BEST_FPERIOD_OVERRIDE=FQ","FILING_STATUS=MR","SCALING_FORMAT=MLN","FA_ADJUSTED=GAAP","Sort=A","Dates=H","DateFormat=P","Fill=—","Direction=H","UseDPDF=Y")</f>
        <v>1223</v>
      </c>
      <c r="E14" s="13">
        <f>_xll.BDH("AMGN US Equity","IS_SGA_EXPENSE","FQ4 2019","FQ4 2019","Currency=USD","Period=FQ","BEST_FPERIOD_OVERRIDE=FQ","FILING_STATUS=MR","SCALING_FORMAT=MLN","FA_ADJUSTED=GAAP","Sort=A","Dates=H","DateFormat=P","Fill=—","Direction=H","UseDPDF=Y")</f>
        <v>1513</v>
      </c>
      <c r="F14" s="13">
        <f>_xll.BDH("AMGN US Equity","IS_SGA_EXPENSE","FQ1 2020","FQ1 2020","Currency=USD","Period=FQ","BEST_FPERIOD_OVERRIDE=FQ","FILING_STATUS=MR","SCALING_FORMAT=MLN","FA_ADJUSTED=GAAP","Sort=A","Dates=H","DateFormat=P","Fill=—","Direction=H","UseDPDF=Y")</f>
        <v>1316</v>
      </c>
      <c r="G14" s="13">
        <f>_xll.BDH("AMGN US Equity","IS_SGA_EXPENSE","FQ2 2020","FQ2 2020","Currency=USD","Period=FQ","BEST_FPERIOD_OVERRIDE=FQ","FILING_STATUS=MR","SCALING_FORMAT=MLN","FA_ADJUSTED=GAAP","Sort=A","Dates=H","DateFormat=P","Fill=—","Direction=H","UseDPDF=Y")</f>
        <v>1295</v>
      </c>
      <c r="H14" s="13">
        <f>_xll.BDH("AMGN US Equity","IS_SGA_EXPENSE","FQ3 2020","FQ3 2020","Currency=USD","Period=FQ","BEST_FPERIOD_OVERRIDE=FQ","FILING_STATUS=MR","SCALING_FORMAT=MLN","FA_ADJUSTED=GAAP","Sort=A","Dates=H","DateFormat=P","Fill=—","Direction=H","UseDPDF=Y")</f>
        <v>1346</v>
      </c>
      <c r="I14" s="13">
        <f>_xll.BDH("AMGN US Equity","IS_SGA_EXPENSE","FQ4 2020","FQ4 2020","Currency=USD","Period=FQ","BEST_FPERIOD_OVERRIDE=FQ","FILING_STATUS=MR","SCALING_FORMAT=MLN","FA_ADJUSTED=GAAP","Sort=A","Dates=H","DateFormat=P","Fill=—","Direction=H","UseDPDF=Y")</f>
        <v>1773</v>
      </c>
      <c r="J14" s="13">
        <f>_xll.BDH("AMGN US Equity","IS_SGA_EXPENSE","FQ1 2021","FQ1 2021","Currency=USD","Period=FQ","BEST_FPERIOD_OVERRIDE=FQ","FILING_STATUS=MR","SCALING_FORMAT=MLN","FA_ADJUSTED=GAAP","Sort=A","Dates=H","DateFormat=P","Fill=—","Direction=H","UseDPDF=Y")</f>
        <v>1254</v>
      </c>
      <c r="K14" s="13">
        <f>_xll.BDH("AMGN US Equity","IS_SGA_EXPENSE","FQ2 2021","FQ2 2021","Currency=USD","Period=FQ","BEST_FPERIOD_OVERRIDE=FQ","FILING_STATUS=MR","SCALING_FORMAT=MLN","FA_ADJUSTED=GAAP","Sort=A","Dates=H","DateFormat=P","Fill=—","Direction=H","UseDPDF=Y")</f>
        <v>1384</v>
      </c>
      <c r="L14" s="13">
        <f>_xll.BDH("AMGN US Equity","IS_SGA_EXPENSE","FQ3 2021","FQ3 2021","Currency=USD","Period=FQ","BEST_FPERIOD_OVERRIDE=FQ","FILING_STATUS=MR","SCALING_FORMAT=MLN","FA_ADJUSTED=GAAP","Sort=A","Dates=H","DateFormat=P","Fill=—","Direction=H","UseDPDF=Y")</f>
        <v>1305</v>
      </c>
      <c r="M14" s="13">
        <f>_xll.BDH("AMGN US Equity","IS_SGA_EXPENSE","FQ4 2021","FQ4 2021","Currency=USD","Period=FQ","BEST_FPERIOD_OVERRIDE=FQ","FILING_STATUS=MR","SCALING_FORMAT=MLN","FA_ADJUSTED=GAAP","Sort=A","Dates=H","DateFormat=P","Fill=—","Direction=H","UseDPDF=Y")</f>
        <v>1425</v>
      </c>
      <c r="N14" s="13">
        <f>_xll.BDH("AMGN US Equity","IS_SGA_EXPENSE","FQ1 2022","FQ1 2022","Currency=USD","Period=FQ","BEST_FPERIOD_OVERRIDE=FQ","FILING_STATUS=MR","SCALING_FORMAT=MLN","FA_ADJUSTED=GAAP","Sort=A","Dates=H","DateFormat=P","Fill=—","Direction=H","UseDPDF=Y")</f>
        <v>1228</v>
      </c>
      <c r="O14" s="13">
        <f>_xll.BDH("AMGN US Equity","IS_SGA_EXPENSE","FQ2 2022","FQ2 2022","Currency=USD","Period=FQ","BEST_FPERIOD_OVERRIDE=FQ","FILING_STATUS=MR","SCALING_FORMAT=MLN","FA_ADJUSTED=GAAP","Sort=A","Dates=H","DateFormat=P","Fill=—","Direction=H","UseDPDF=Y")</f>
        <v>1327</v>
      </c>
      <c r="P14" s="13">
        <f>_xll.BDH("AMGN US Equity","IS_SGA_EXPENSE","FQ3 2022","FQ3 2022","Currency=USD","Period=FQ","BEST_FPERIOD_OVERRIDE=FQ","FILING_STATUS=MR","SCALING_FORMAT=MLN","FA_ADJUSTED=GAAP","Sort=A","Dates=H","DateFormat=P","Fill=—","Direction=H","UseDPDF=Y")</f>
        <v>1287</v>
      </c>
      <c r="Q14" s="13">
        <f>_xll.BDH("AMGN US Equity","IS_SGA_EXPENSE","FQ4 2022","FQ4 2022","Currency=USD","Period=FQ","BEST_FPERIOD_OVERRIDE=FQ","FILING_STATUS=MR","SCALING_FORMAT=MLN","FA_ADJUSTED=GAAP","Sort=A","Dates=H","DateFormat=P","Fill=—","Direction=H","UseDPDF=Y")</f>
        <v>1572</v>
      </c>
      <c r="R14" s="13">
        <f>_xll.BDH("AMGN US Equity","IS_SGA_EXPENSE","FQ1 2023","FQ1 2023","Currency=USD","Period=FQ","BEST_FPERIOD_OVERRIDE=FQ","FILING_STATUS=MR","SCALING_FORMAT=MLN","FA_ADJUSTED=GAAP","Sort=A","Dates=H","DateFormat=P","Fill=—","Direction=H","UseDPDF=Y")</f>
        <v>1258</v>
      </c>
      <c r="S14" s="13">
        <f>_xll.BDH("AMGN US Equity","IS_SGA_EXPENSE","FQ2 2023","FQ2 2023","Currency=USD","Period=FQ","BEST_FPERIOD_OVERRIDE=FQ","FILING_STATUS=MR","SCALING_FORMAT=MLN","FA_ADJUSTED=GAAP","Sort=A","Dates=H","DateFormat=P","Fill=—","Direction=H","UseDPDF=Y")</f>
        <v>1294</v>
      </c>
      <c r="T14" s="13">
        <f>_xll.BDH("AMGN US Equity","IS_SGA_EXPENSE","FQ3 2023","FQ3 2023","Currency=USD","Period=FQ","BEST_FPERIOD_OVERRIDE=FQ","FILING_STATUS=MR","SCALING_FORMAT=MLN","FA_ADJUSTED=GAAP","Sort=A","Dates=H","DateFormat=P","Fill=—","Direction=H","UseDPDF=Y")</f>
        <v>1353</v>
      </c>
      <c r="U14" s="13">
        <f>_xll.BDH("AMGN US Equity","IS_SGA_EXPENSE","FQ4 2023","FQ4 2023","Currency=USD","Period=FQ","BEST_FPERIOD_OVERRIDE=FQ","FILING_STATUS=MR","SCALING_FORMAT=MLN","FA_ADJUSTED=GAAP","Sort=A","Dates=H","DateFormat=P","Fill=—","Direction=H","UseDPDF=Y")</f>
        <v>2274</v>
      </c>
      <c r="V14" s="13">
        <f>_xll.BDH("AMGN US Equity","IS_SGA_EXPENSE","FQ1 2024","FQ1 2024","Currency=USD","Period=FQ","BEST_FPERIOD_OVERRIDE=FQ","FILING_STATUS=MR","SCALING_FORMAT=MLN","FA_ADJUSTED=GAAP","Sort=A","Dates=H","DateFormat=P","Fill=—","Direction=H","UseDPDF=Y")</f>
        <v>1808</v>
      </c>
      <c r="W14" s="13">
        <f>_xll.BDH("AMGN US Equity","IS_SGA_EXPENSE","FQ2 2024","FQ2 2024","Currency=USD","Period=FQ","BEST_FPERIOD_OVERRIDE=FQ","FILING_STATUS=MR","SCALING_FORMAT=MLN","FA_ADJUSTED=GAAP","Sort=A","Dates=H","DateFormat=P","Fill=—","Direction=H","UseDPDF=Y")</f>
        <v>1785</v>
      </c>
      <c r="X14" s="13">
        <f>_xll.BDH("AMGN US Equity","IS_SGA_EXPENSE","FQ3 2024","FQ3 2024","Currency=USD","Period=FQ","BEST_FPERIOD_OVERRIDE=FQ","FILING_STATUS=MR","SCALING_FORMAT=MLN","FA_ADJUSTED=GAAP","Sort=A","Dates=H","DateFormat=P","Fill=—","Direction=H","UseDPDF=Y")</f>
        <v>1625</v>
      </c>
      <c r="Y14" s="13">
        <f>_xll.BDH("AMGN US Equity","IS_SGA_EXPENSE","FQ4 2024","FQ4 2024","Currency=USD","Period=FQ","BEST_FPERIOD_OVERRIDE=FQ","FILING_STATUS=MR","SCALING_FORMAT=MLN","FA_ADJUSTED=GAAP","Sort=A","Dates=H","DateFormat=P","Fill=—","Direction=H","UseDPDF=Y")</f>
        <v>1878</v>
      </c>
      <c r="Z14" s="13"/>
      <c r="AA14" s="13"/>
    </row>
    <row r="15" spans="1:27" x14ac:dyDescent="0.25">
      <c r="A15" s="10" t="s">
        <v>322</v>
      </c>
      <c r="B15" s="10" t="s">
        <v>407</v>
      </c>
      <c r="C15" s="13">
        <f>_xll.BDH("AMGN US Equity","IS_OPER_EXPENSES_RD_GAAP","FQ2 2019","FQ2 2019","Currency=USD","Period=FQ","BEST_FPERIOD_OVERRIDE=FQ","FILING_STATUS=MR","SCALING_FORMAT=MLN","FA_ADJUSTED=GAAP","Sort=A","Dates=H","DateFormat=P","Fill=—","Direction=H","UseDPDF=Y")</f>
        <v>924</v>
      </c>
      <c r="D15" s="13">
        <f>_xll.BDH("AMGN US Equity","IS_OPER_EXPENSES_RD_GAAP","FQ3 2019","FQ3 2019","Currency=USD","Period=FQ","BEST_FPERIOD_OVERRIDE=FQ","FILING_STATUS=MR","SCALING_FORMAT=MLN","FA_ADJUSTED=GAAP","Sort=A","Dates=H","DateFormat=P","Fill=—","Direction=H","UseDPDF=Y")</f>
        <v>1001</v>
      </c>
      <c r="E15" s="13">
        <f>_xll.BDH("AMGN US Equity","IS_OPER_EXPENSES_RD_GAAP","FQ4 2019","FQ4 2019","Currency=USD","Period=FQ","BEST_FPERIOD_OVERRIDE=FQ","FILING_STATUS=MR","SCALING_FORMAT=MLN","FA_ADJUSTED=GAAP","Sort=A","Dates=H","DateFormat=P","Fill=—","Direction=H","UseDPDF=Y")</f>
        <v>1312</v>
      </c>
      <c r="F15" s="13">
        <f>_xll.BDH("AMGN US Equity","IS_OPER_EXPENSES_RD_GAAP","FQ1 2020","FQ1 2020","Currency=USD","Period=FQ","BEST_FPERIOD_OVERRIDE=FQ","FILING_STATUS=MR","SCALING_FORMAT=MLN","FA_ADJUSTED=GAAP","Sort=A","Dates=H","DateFormat=P","Fill=—","Direction=H","UseDPDF=Y")</f>
        <v>952</v>
      </c>
      <c r="G15" s="13">
        <f>_xll.BDH("AMGN US Equity","IS_OPER_EXPENSES_RD_GAAP","FQ2 2020","FQ2 2020","Currency=USD","Period=FQ","BEST_FPERIOD_OVERRIDE=FQ","FILING_STATUS=MR","SCALING_FORMAT=MLN","FA_ADJUSTED=GAAP","Sort=A","Dates=H","DateFormat=P","Fill=—","Direction=H","UseDPDF=Y")</f>
        <v>964</v>
      </c>
      <c r="H15" s="13">
        <f>_xll.BDH("AMGN US Equity","IS_OPER_EXPENSES_RD_GAAP","FQ3 2020","FQ3 2020","Currency=USD","Period=FQ","BEST_FPERIOD_OVERRIDE=FQ","FILING_STATUS=MR","SCALING_FORMAT=MLN","FA_ADJUSTED=GAAP","Sort=A","Dates=H","DateFormat=P","Fill=—","Direction=H","UseDPDF=Y")</f>
        <v>1062</v>
      </c>
      <c r="I15" s="13">
        <f>_xll.BDH("AMGN US Equity","IS_OPER_EXPENSES_RD_GAAP","FQ4 2020","FQ4 2020","Currency=USD","Period=FQ","BEST_FPERIOD_OVERRIDE=FQ","FILING_STATUS=MR","SCALING_FORMAT=MLN","FA_ADJUSTED=GAAP","Sort=A","Dates=H","DateFormat=P","Fill=—","Direction=H","UseDPDF=Y")</f>
        <v>1229</v>
      </c>
      <c r="J15" s="13">
        <f>_xll.BDH("AMGN US Equity","IS_OPER_EXPENSES_RD_GAAP","FQ1 2021","FQ1 2021","Currency=USD","Period=FQ","BEST_FPERIOD_OVERRIDE=FQ","FILING_STATUS=MR","SCALING_FORMAT=MLN","FA_ADJUSTED=GAAP","Sort=A","Dates=H","DateFormat=P","Fill=—","Direction=H","UseDPDF=Y")</f>
        <v>967</v>
      </c>
      <c r="K15" s="13">
        <f>_xll.BDH("AMGN US Equity","IS_OPER_EXPENSES_RD_GAAP","FQ2 2021","FQ2 2021","Currency=USD","Period=FQ","BEST_FPERIOD_OVERRIDE=FQ","FILING_STATUS=MR","SCALING_FORMAT=MLN","FA_ADJUSTED=GAAP","Sort=A","Dates=H","DateFormat=P","Fill=—","Direction=H","UseDPDF=Y")</f>
        <v>1082</v>
      </c>
      <c r="L15" s="13">
        <f>_xll.BDH("AMGN US Equity","IS_OPER_EXPENSES_RD_GAAP","FQ3 2021","FQ3 2021","Currency=USD","Period=FQ","BEST_FPERIOD_OVERRIDE=FQ","FILING_STATUS=MR","SCALING_FORMAT=MLN","FA_ADJUSTED=GAAP","Sort=A","Dates=H","DateFormat=P","Fill=—","Direction=H","UseDPDF=Y")</f>
        <v>1422</v>
      </c>
      <c r="M15" s="13">
        <f>_xll.BDH("AMGN US Equity","IS_OPER_EXPENSES_RD_GAAP","FQ4 2021","FQ4 2021","Currency=USD","Period=FQ","BEST_FPERIOD_OVERRIDE=FQ","FILING_STATUS=MR","SCALING_FORMAT=MLN","FA_ADJUSTED=GAAP","Sort=A","Dates=H","DateFormat=P","Fill=—","Direction=H","UseDPDF=Y")</f>
        <v>1348</v>
      </c>
      <c r="N15" s="13">
        <f>_xll.BDH("AMGN US Equity","IS_OPER_EXPENSES_RD_GAAP","FQ1 2022","FQ1 2022","Currency=USD","Period=FQ","BEST_FPERIOD_OVERRIDE=FQ","FILING_STATUS=MR","SCALING_FORMAT=MLN","FA_ADJUSTED=GAAP","Sort=A","Dates=H","DateFormat=P","Fill=—","Direction=H","UseDPDF=Y")</f>
        <v>959</v>
      </c>
      <c r="O15" s="13">
        <f>_xll.BDH("AMGN US Equity","IS_OPER_EXPENSES_RD_GAAP","FQ2 2022","FQ2 2022","Currency=USD","Period=FQ","BEST_FPERIOD_OVERRIDE=FQ","FILING_STATUS=MR","SCALING_FORMAT=MLN","FA_ADJUSTED=GAAP","Sort=A","Dates=H","DateFormat=P","Fill=—","Direction=H","UseDPDF=Y")</f>
        <v>1039</v>
      </c>
      <c r="P15" s="13">
        <f>_xll.BDH("AMGN US Equity","IS_OPER_EXPENSES_RD_GAAP","FQ3 2022","FQ3 2022","Currency=USD","Period=FQ","BEST_FPERIOD_OVERRIDE=FQ","FILING_STATUS=MR","SCALING_FORMAT=MLN","FA_ADJUSTED=GAAP","Sort=A","Dates=H","DateFormat=P","Fill=—","Direction=H","UseDPDF=Y")</f>
        <v>1112</v>
      </c>
      <c r="Q15" s="13">
        <f>_xll.BDH("AMGN US Equity","IS_OPER_EXPENSES_RD_GAAP","FQ4 2022","FQ4 2022","Currency=USD","Period=FQ","BEST_FPERIOD_OVERRIDE=FQ","FILING_STATUS=MR","SCALING_FORMAT=MLN","FA_ADJUSTED=GAAP","Sort=A","Dates=H","DateFormat=P","Fill=—","Direction=H","UseDPDF=Y")</f>
        <v>1324</v>
      </c>
      <c r="R15" s="13">
        <f>_xll.BDH("AMGN US Equity","IS_OPER_EXPENSES_RD_GAAP","FQ1 2023","FQ1 2023","Currency=USD","Period=FQ","BEST_FPERIOD_OVERRIDE=FQ","FILING_STATUS=MR","SCALING_FORMAT=MLN","FA_ADJUSTED=GAAP","Sort=A","Dates=H","DateFormat=P","Fill=—","Direction=H","UseDPDF=Y")</f>
        <v>1058</v>
      </c>
      <c r="S15" s="13">
        <f>_xll.BDH("AMGN US Equity","IS_OPER_EXPENSES_RD_GAAP","FQ2 2023","FQ2 2023","Currency=USD","Period=FQ","BEST_FPERIOD_OVERRIDE=FQ","FILING_STATUS=MR","SCALING_FORMAT=MLN","FA_ADJUSTED=GAAP","Sort=A","Dates=H","DateFormat=P","Fill=—","Direction=H","UseDPDF=Y")</f>
        <v>1113</v>
      </c>
      <c r="T15" s="13">
        <f>_xll.BDH("AMGN US Equity","IS_OPER_EXPENSES_RD_GAAP","FQ3 2023","FQ3 2023","Currency=USD","Period=FQ","BEST_FPERIOD_OVERRIDE=FQ","FILING_STATUS=MR","SCALING_FORMAT=MLN","FA_ADJUSTED=GAAP","Sort=A","Dates=H","DateFormat=P","Fill=—","Direction=H","UseDPDF=Y")</f>
        <v>1079</v>
      </c>
      <c r="U15" s="13">
        <f>_xll.BDH("AMGN US Equity","IS_OPER_EXPENSES_RD_GAAP","FQ4 2023","FQ4 2023","Currency=USD","Period=FQ","BEST_FPERIOD_OVERRIDE=FQ","FILING_STATUS=MR","SCALING_FORMAT=MLN","FA_ADJUSTED=GAAP","Sort=A","Dates=H","DateFormat=P","Fill=—","Direction=H","UseDPDF=Y")</f>
        <v>1534</v>
      </c>
      <c r="V15" s="13">
        <f>_xll.BDH("AMGN US Equity","IS_OPER_EXPENSES_RD_GAAP","FQ1 2024","FQ1 2024","Currency=USD","Period=FQ","BEST_FPERIOD_OVERRIDE=FQ","FILING_STATUS=MR","SCALING_FORMAT=MLN","FA_ADJUSTED=GAAP","Sort=A","Dates=H","DateFormat=P","Fill=—","Direction=H","UseDPDF=Y")</f>
        <v>1343</v>
      </c>
      <c r="W15" s="13">
        <f>_xll.BDH("AMGN US Equity","IS_OPER_EXPENSES_RD_GAAP","FQ2 2024","FQ2 2024","Currency=USD","Period=FQ","BEST_FPERIOD_OVERRIDE=FQ","FILING_STATUS=MR","SCALING_FORMAT=MLN","FA_ADJUSTED=GAAP","Sort=A","Dates=H","DateFormat=P","Fill=—","Direction=H","UseDPDF=Y")</f>
        <v>1447</v>
      </c>
      <c r="X15" s="13">
        <f>_xll.BDH("AMGN US Equity","IS_OPER_EXPENSES_RD_GAAP","FQ3 2024","FQ3 2024","Currency=USD","Period=FQ","BEST_FPERIOD_OVERRIDE=FQ","FILING_STATUS=MR","SCALING_FORMAT=MLN","FA_ADJUSTED=GAAP","Sort=A","Dates=H","DateFormat=P","Fill=—","Direction=H","UseDPDF=Y")</f>
        <v>1450</v>
      </c>
      <c r="Y15" s="13">
        <f>_xll.BDH("AMGN US Equity","IS_OPER_EXPENSES_RD_GAAP","FQ4 2024","FQ4 2024","Currency=USD","Period=FQ","BEST_FPERIOD_OVERRIDE=FQ","FILING_STATUS=MR","SCALING_FORMAT=MLN","FA_ADJUSTED=GAAP","Sort=A","Dates=H","DateFormat=P","Fill=—","Direction=H","UseDPDF=Y")</f>
        <v>1724</v>
      </c>
      <c r="Z15" s="13"/>
      <c r="AA15" s="13"/>
    </row>
    <row r="16" spans="1:27" x14ac:dyDescent="0.25">
      <c r="A16" s="10" t="s">
        <v>324</v>
      </c>
      <c r="B16" s="10" t="s">
        <v>408</v>
      </c>
      <c r="C16" s="13">
        <f>_xll.BDH("AMGN US Equity","OTHER_OPERATING_EXPENSES_RATIO","FQ2 2019","FQ2 2019","Currency=USD","Period=FQ","BEST_FPERIOD_OVERRIDE=FQ","FILING_STATUS=MR","SCALING_FORMAT=MLN","FA_ADJUSTED=GAAP","Sort=A","Dates=H","DateFormat=P","Fill=—","Direction=H","UseDPDF=Y")</f>
        <v>0</v>
      </c>
      <c r="D16" s="13">
        <f>_xll.BDH("AMGN US Equity","OTHER_OPERATING_EXPENSES_RATIO","FQ3 2019","FQ3 2019","Currency=USD","Period=FQ","BEST_FPERIOD_OVERRIDE=FQ","FILING_STATUS=MR","SCALING_FORMAT=MLN","FA_ADJUSTED=GAAP","Sort=A","Dates=H","DateFormat=P","Fill=—","Direction=H","UseDPDF=Y")</f>
        <v>1</v>
      </c>
      <c r="E16" s="13">
        <f>_xll.BDH("AMGN US Equity","OTHER_OPERATING_EXPENSES_RATIO","FQ4 2019","FQ4 2019","Currency=USD","Period=FQ","BEST_FPERIOD_OVERRIDE=FQ","FILING_STATUS=MR","SCALING_FORMAT=MLN","FA_ADJUSTED=GAAP","Sort=A","Dates=H","DateFormat=P","Fill=—","Direction=H","UseDPDF=Y")</f>
        <v>71</v>
      </c>
      <c r="F16" s="13">
        <f>_xll.BDH("AMGN US Equity","OTHER_OPERATING_EXPENSES_RATIO","FQ1 2020","FQ1 2020","Currency=USD","Period=FQ","BEST_FPERIOD_OVERRIDE=FQ","FILING_STATUS=MR","SCALING_FORMAT=MLN","FA_ADJUSTED=GAAP","Sort=A","Dates=H","DateFormat=P","Fill=—","Direction=H","UseDPDF=Y")</f>
        <v>25</v>
      </c>
      <c r="G16" s="13">
        <f>_xll.BDH("AMGN US Equity","OTHER_OPERATING_EXPENSES_RATIO","FQ2 2020","FQ2 2020","Currency=USD","Period=FQ","BEST_FPERIOD_OVERRIDE=FQ","FILING_STATUS=MR","SCALING_FORMAT=MLN","FA_ADJUSTED=GAAP","Sort=A","Dates=H","DateFormat=P","Fill=—","Direction=H","UseDPDF=Y")</f>
        <v>136</v>
      </c>
      <c r="H16" s="13">
        <f>_xll.BDH("AMGN US Equity","OTHER_OPERATING_EXPENSES_RATIO","FQ3 2020","FQ3 2020","Currency=USD","Period=FQ","BEST_FPERIOD_OVERRIDE=FQ","FILING_STATUS=MR","SCALING_FORMAT=MLN","FA_ADJUSTED=GAAP","Sort=A","Dates=H","DateFormat=P","Fill=—","Direction=H","UseDPDF=Y")</f>
        <v>1</v>
      </c>
      <c r="I16" s="13">
        <f>_xll.BDH("AMGN US Equity","OTHER_OPERATING_EXPENSES_RATIO","FQ4 2020","FQ4 2020","Currency=USD","Period=FQ","BEST_FPERIOD_OVERRIDE=FQ","FILING_STATUS=MR","SCALING_FORMAT=MLN","FA_ADJUSTED=GAAP","Sort=A","Dates=H","DateFormat=P","Fill=—","Direction=H","UseDPDF=Y")</f>
        <v>27</v>
      </c>
      <c r="J16" s="13">
        <f>_xll.BDH("AMGN US Equity","OTHER_OPERATING_EXPENSES_RATIO","FQ1 2021","FQ1 2021","Currency=USD","Period=FQ","BEST_FPERIOD_OVERRIDE=FQ","FILING_STATUS=MR","SCALING_FORMAT=MLN","FA_ADJUSTED=GAAP","Sort=A","Dates=H","DateFormat=P","Fill=—","Direction=H","UseDPDF=Y")</f>
        <v>61</v>
      </c>
      <c r="K16" s="13">
        <f>_xll.BDH("AMGN US Equity","OTHER_OPERATING_EXPENSES_RATIO","FQ2 2021","FQ2 2021","Currency=USD","Period=FQ","BEST_FPERIOD_OVERRIDE=FQ","FILING_STATUS=MR","SCALING_FORMAT=MLN","FA_ADJUSTED=GAAP","Sort=A","Dates=H","DateFormat=P","Fill=—","Direction=H","UseDPDF=Y")</f>
        <v>1595</v>
      </c>
      <c r="L16" s="13">
        <f>_xll.BDH("AMGN US Equity","OTHER_OPERATING_EXPENSES_RATIO","FQ3 2021","FQ3 2021","Currency=USD","Period=FQ","BEST_FPERIOD_OVERRIDE=FQ","FILING_STATUS=MR","SCALING_FORMAT=MLN","FA_ADJUSTED=GAAP","Sort=A","Dates=H","DateFormat=P","Fill=—","Direction=H","UseDPDF=Y")</f>
        <v>-8</v>
      </c>
      <c r="M16" s="13">
        <f>_xll.BDH("AMGN US Equity","OTHER_OPERATING_EXPENSES_RATIO","FQ4 2021","FQ4 2021","Currency=USD","Period=FQ","BEST_FPERIOD_OVERRIDE=FQ","FILING_STATUS=MR","SCALING_FORMAT=MLN","FA_ADJUSTED=GAAP","Sort=A","Dates=H","DateFormat=P","Fill=—","Direction=H","UseDPDF=Y")</f>
        <v>51</v>
      </c>
      <c r="N16" s="13">
        <f>_xll.BDH("AMGN US Equity","OTHER_OPERATING_EXPENSES_RATIO","FQ1 2022","FQ1 2022","Currency=USD","Period=FQ","BEST_FPERIOD_OVERRIDE=FQ","FILING_STATUS=MR","SCALING_FORMAT=MLN","FA_ADJUSTED=GAAP","Sort=A","Dates=H","DateFormat=P","Fill=—","Direction=H","UseDPDF=Y")</f>
        <v>-10</v>
      </c>
      <c r="O16" s="13">
        <f>_xll.BDH("AMGN US Equity","OTHER_OPERATING_EXPENSES_RATIO","FQ2 2022","FQ2 2022","Currency=USD","Period=FQ","BEST_FPERIOD_OVERRIDE=FQ","FILING_STATUS=MR","SCALING_FORMAT=MLN","FA_ADJUSTED=GAAP","Sort=A","Dates=H","DateFormat=P","Fill=—","Direction=H","UseDPDF=Y")</f>
        <v>542</v>
      </c>
      <c r="P16" s="13">
        <f>_xll.BDH("AMGN US Equity","OTHER_OPERATING_EXPENSES_RATIO","FQ3 2022","FQ3 2022","Currency=USD","Period=FQ","BEST_FPERIOD_OVERRIDE=FQ","FILING_STATUS=MR","SCALING_FORMAT=MLN","FA_ADJUSTED=GAAP","Sort=A","Dates=H","DateFormat=P","Fill=—","Direction=H","UseDPDF=Y")</f>
        <v>5</v>
      </c>
      <c r="Q16" s="13">
        <f>_xll.BDH("AMGN US Equity","OTHER_OPERATING_EXPENSES_RATIO","FQ4 2022","FQ4 2022","Currency=USD","Period=FQ","BEST_FPERIOD_OVERRIDE=FQ","FILING_STATUS=MR","SCALING_FORMAT=MLN","FA_ADJUSTED=GAAP","Sort=A","Dates=H","DateFormat=P","Fill=—","Direction=H","UseDPDF=Y")</f>
        <v>-34</v>
      </c>
      <c r="R16" s="13">
        <f>_xll.BDH("AMGN US Equity","OTHER_OPERATING_EXPENSES_RATIO","FQ1 2023","FQ1 2023","Currency=USD","Period=FQ","BEST_FPERIOD_OVERRIDE=FQ","FILING_STATUS=MR","SCALING_FORMAT=MLN","FA_ADJUSTED=GAAP","Sort=A","Dates=H","DateFormat=P","Fill=—","Direction=H","UseDPDF=Y")</f>
        <v>148</v>
      </c>
      <c r="S16" s="13">
        <f>_xll.BDH("AMGN US Equity","OTHER_OPERATING_EXPENSES_RATIO","FQ2 2023","FQ2 2023","Currency=USD","Period=FQ","BEST_FPERIOD_OVERRIDE=FQ","FILING_STATUS=MR","SCALING_FORMAT=MLN","FA_ADJUSTED=GAAP","Sort=A","Dates=H","DateFormat=P","Fill=—","Direction=H","UseDPDF=Y")</f>
        <v>82</v>
      </c>
      <c r="T16" s="13">
        <f>_xll.BDH("AMGN US Equity","OTHER_OPERATING_EXPENSES_RATIO","FQ3 2023","FQ3 2023","Currency=USD","Period=FQ","BEST_FPERIOD_OVERRIDE=FQ","FILING_STATUS=MR","SCALING_FORMAT=MLN","FA_ADJUSTED=GAAP","Sort=A","Dates=H","DateFormat=P","Fill=—","Direction=H","UseDPDF=Y")</f>
        <v>644</v>
      </c>
      <c r="U16" s="13">
        <f>_xll.BDH("AMGN US Equity","OTHER_OPERATING_EXPENSES_RATIO","FQ4 2023","FQ4 2023","Currency=USD","Period=FQ","BEST_FPERIOD_OVERRIDE=FQ","FILING_STATUS=MR","SCALING_FORMAT=MLN","FA_ADJUSTED=GAAP","Sort=A","Dates=H","DateFormat=P","Fill=—","Direction=H","UseDPDF=Y")</f>
        <v>5</v>
      </c>
      <c r="V16" s="13">
        <f>_xll.BDH("AMGN US Equity","OTHER_OPERATING_EXPENSES_RATIO","FQ1 2024","FQ1 2024","Currency=USD","Period=FQ","BEST_FPERIOD_OVERRIDE=FQ","FILING_STATUS=MR","SCALING_FORMAT=MLN","FA_ADJUSTED=GAAP","Sort=A","Dates=H","DateFormat=P","Fill=—","Direction=H","UseDPDF=Y")</f>
        <v>105</v>
      </c>
      <c r="W16" s="13">
        <f>_xll.BDH("AMGN US Equity","OTHER_OPERATING_EXPENSES_RATIO","FQ2 2024","FQ2 2024","Currency=USD","Period=FQ","BEST_FPERIOD_OVERRIDE=FQ","FILING_STATUS=MR","SCALING_FORMAT=MLN","FA_ADJUSTED=GAAP","Sort=A","Dates=H","DateFormat=P","Fill=—","Direction=H","UseDPDF=Y")</f>
        <v>11</v>
      </c>
      <c r="X16" s="13">
        <f>_xll.BDH("AMGN US Equity","OTHER_OPERATING_EXPENSES_RATIO","FQ3 2024","FQ3 2024","Currency=USD","Period=FQ","BEST_FPERIOD_OVERRIDE=FQ","FILING_STATUS=MR","SCALING_FORMAT=MLN","FA_ADJUSTED=GAAP","Sort=A","Dates=H","DateFormat=P","Fill=—","Direction=H","UseDPDF=Y")</f>
        <v>71</v>
      </c>
      <c r="Y16" s="13">
        <f>_xll.BDH("AMGN US Equity","OTHER_OPERATING_EXPENSES_RATIO","FQ4 2024","FQ4 2024","Currency=USD","Period=FQ","BEST_FPERIOD_OVERRIDE=FQ","FILING_STATUS=MR","SCALING_FORMAT=MLN","FA_ADJUSTED=GAAP","Sort=A","Dates=H","DateFormat=P","Fill=—","Direction=H","UseDPDF=Y")</f>
        <v>61</v>
      </c>
      <c r="Z16" s="13"/>
      <c r="AA16" s="13"/>
    </row>
    <row r="17" spans="1:27" x14ac:dyDescent="0.25">
      <c r="A17" s="6" t="s">
        <v>326</v>
      </c>
      <c r="B17" s="6" t="s">
        <v>99</v>
      </c>
      <c r="C17" s="19">
        <f>_xll.BDH("AMGN US Equity","IS_OPER_INC","FQ2 2019","FQ2 2019","Currency=USD","Period=FQ","BEST_FPERIOD_OVERRIDE=FQ","FILING_STATUS=MR","SCALING_FORMAT=MLN","FA_ADJUSTED=GAAP","Sort=A","Dates=H","DateFormat=P","Fill=—","Direction=H","UseDPDF=Y")</f>
        <v>2678</v>
      </c>
      <c r="D17" s="19">
        <f>_xll.BDH("AMGN US Equity","IS_OPER_INC","FQ3 2019","FQ3 2019","Currency=USD","Period=FQ","BEST_FPERIOD_OVERRIDE=FQ","FILING_STATUS=MR","SCALING_FORMAT=MLN","FA_ADJUSTED=GAAP","Sort=A","Dates=H","DateFormat=P","Fill=—","Direction=H","UseDPDF=Y")</f>
        <v>2476</v>
      </c>
      <c r="E17" s="19">
        <f>_xll.BDH("AMGN US Equity","IS_OPER_INC","FQ4 2019","FQ4 2019","Currency=USD","Period=FQ","BEST_FPERIOD_OVERRIDE=FQ","FILING_STATUS=MR","SCALING_FORMAT=MLN","FA_ADJUSTED=GAAP","Sort=A","Dates=H","DateFormat=P","Fill=—","Direction=H","UseDPDF=Y")</f>
        <v>2048</v>
      </c>
      <c r="F17" s="19">
        <f>_xll.BDH("AMGN US Equity","IS_OPER_INC","FQ1 2020","FQ1 2020","Currency=USD","Period=FQ","BEST_FPERIOD_OVERRIDE=FQ","FILING_STATUS=MR","SCALING_FORMAT=MLN","FA_ADJUSTED=GAAP","Sort=A","Dates=H","DateFormat=P","Fill=—","Direction=H","UseDPDF=Y")</f>
        <v>2355</v>
      </c>
      <c r="G17" s="19">
        <f>_xll.BDH("AMGN US Equity","IS_OPER_INC","FQ2 2020","FQ2 2020","Currency=USD","Period=FQ","BEST_FPERIOD_OVERRIDE=FQ","FILING_STATUS=MR","SCALING_FORMAT=MLN","FA_ADJUSTED=GAAP","Sort=A","Dates=H","DateFormat=P","Fill=—","Direction=H","UseDPDF=Y")</f>
        <v>2323</v>
      </c>
      <c r="H17" s="19">
        <f>_xll.BDH("AMGN US Equity","IS_OPER_INC","FQ3 2020","FQ3 2020","Currency=USD","Period=FQ","BEST_FPERIOD_OVERRIDE=FQ","FILING_STATUS=MR","SCALING_FORMAT=MLN","FA_ADJUSTED=GAAP","Sort=A","Dates=H","DateFormat=P","Fill=—","Direction=H","UseDPDF=Y")</f>
        <v>2453</v>
      </c>
      <c r="I17" s="19">
        <f>_xll.BDH("AMGN US Equity","IS_OPER_INC","FQ4 2020","FQ4 2020","Currency=USD","Period=FQ","BEST_FPERIOD_OVERRIDE=FQ","FILING_STATUS=MR","SCALING_FORMAT=MLN","FA_ADJUSTED=GAAP","Sort=A","Dates=H","DateFormat=P","Fill=—","Direction=H","UseDPDF=Y")</f>
        <v>2008</v>
      </c>
      <c r="J17" s="19">
        <f>_xll.BDH("AMGN US Equity","IS_OPER_INC","FQ1 2021","FQ1 2021","Currency=USD","Period=FQ","BEST_FPERIOD_OVERRIDE=FQ","FILING_STATUS=MR","SCALING_FORMAT=MLN","FA_ADJUSTED=GAAP","Sort=A","Dates=H","DateFormat=P","Fill=—","Direction=H","UseDPDF=Y")</f>
        <v>2129</v>
      </c>
      <c r="K17" s="19">
        <f>_xll.BDH("AMGN US Equity","IS_OPER_INC","FQ2 2021","FQ2 2021","Currency=USD","Period=FQ","BEST_FPERIOD_OVERRIDE=FQ","FILING_STATUS=MR","SCALING_FORMAT=MLN","FA_ADJUSTED=GAAP","Sort=A","Dates=H","DateFormat=P","Fill=—","Direction=H","UseDPDF=Y")</f>
        <v>828</v>
      </c>
      <c r="L17" s="19">
        <f>_xll.BDH("AMGN US Equity","IS_OPER_INC","FQ3 2021","FQ3 2021","Currency=USD","Period=FQ","BEST_FPERIOD_OVERRIDE=FQ","FILING_STATUS=MR","SCALING_FORMAT=MLN","FA_ADJUSTED=GAAP","Sort=A","Dates=H","DateFormat=P","Fill=—","Direction=H","UseDPDF=Y")</f>
        <v>2378</v>
      </c>
      <c r="M17" s="19">
        <f>_xll.BDH("AMGN US Equity","IS_OPER_INC","FQ4 2021","FQ4 2021","Currency=USD","Period=FQ","BEST_FPERIOD_OVERRIDE=FQ","FILING_STATUS=MR","SCALING_FORMAT=MLN","FA_ADJUSTED=GAAP","Sort=A","Dates=H","DateFormat=P","Fill=—","Direction=H","UseDPDF=Y")</f>
        <v>2304</v>
      </c>
      <c r="N17" s="19">
        <f>_xll.BDH("AMGN US Equity","IS_OPER_INC","FQ1 2022","FQ1 2022","Currency=USD","Period=FQ","BEST_FPERIOD_OVERRIDE=FQ","FILING_STATUS=MR","SCALING_FORMAT=MLN","FA_ADJUSTED=GAAP","Sort=A","Dates=H","DateFormat=P","Fill=—","Direction=H","UseDPDF=Y")</f>
        <v>2500</v>
      </c>
      <c r="O17" s="19">
        <f>_xll.BDH("AMGN US Equity","IS_OPER_INC","FQ2 2022","FQ2 2022","Currency=USD","Period=FQ","BEST_FPERIOD_OVERRIDE=FQ","FILING_STATUS=MR","SCALING_FORMAT=MLN","FA_ADJUSTED=GAAP","Sort=A","Dates=H","DateFormat=P","Fill=—","Direction=H","UseDPDF=Y")</f>
        <v>2176</v>
      </c>
      <c r="P17" s="19">
        <f>_xll.BDH("AMGN US Equity","IS_OPER_INC","FQ3 2022","FQ3 2022","Currency=USD","Period=FQ","BEST_FPERIOD_OVERRIDE=FQ","FILING_STATUS=MR","SCALING_FORMAT=MLN","FA_ADJUSTED=GAAP","Sort=A","Dates=H","DateFormat=P","Fill=—","Direction=H","UseDPDF=Y")</f>
        <v>2660</v>
      </c>
      <c r="Q17" s="19">
        <f>_xll.BDH("AMGN US Equity","IS_OPER_INC","FQ4 2022","FQ4 2022","Currency=USD","Period=FQ","BEST_FPERIOD_OVERRIDE=FQ","FILING_STATUS=MR","SCALING_FORMAT=MLN","FA_ADJUSTED=GAAP","Sort=A","Dates=H","DateFormat=P","Fill=—","Direction=H","UseDPDF=Y")</f>
        <v>2230</v>
      </c>
      <c r="R17" s="19">
        <f>_xll.BDH("AMGN US Equity","IS_OPER_INC","FQ1 2023","FQ1 2023","Currency=USD","Period=FQ","BEST_FPERIOD_OVERRIDE=FQ","FILING_STATUS=MR","SCALING_FORMAT=MLN","FA_ADJUSTED=GAAP","Sort=A","Dates=H","DateFormat=P","Fill=—","Direction=H","UseDPDF=Y")</f>
        <v>1921</v>
      </c>
      <c r="S17" s="19">
        <f>_xll.BDH("AMGN US Equity","IS_OPER_INC","FQ2 2023","FQ2 2023","Currency=USD","Period=FQ","BEST_FPERIOD_OVERRIDE=FQ","FILING_STATUS=MR","SCALING_FORMAT=MLN","FA_ADJUSTED=GAAP","Sort=A","Dates=H","DateFormat=P","Fill=—","Direction=H","UseDPDF=Y")</f>
        <v>2684</v>
      </c>
      <c r="T17" s="19">
        <f>_xll.BDH("AMGN US Equity","IS_OPER_INC","FQ3 2023","FQ3 2023","Currency=USD","Period=FQ","BEST_FPERIOD_OVERRIDE=FQ","FILING_STATUS=MR","SCALING_FORMAT=MLN","FA_ADJUSTED=GAAP","Sort=A","Dates=H","DateFormat=P","Fill=—","Direction=H","UseDPDF=Y")</f>
        <v>2021</v>
      </c>
      <c r="U17" s="19">
        <f>_xll.BDH("AMGN US Equity","IS_OPER_INC","FQ4 2023","FQ4 2023","Currency=USD","Period=FQ","BEST_FPERIOD_OVERRIDE=FQ","FILING_STATUS=MR","SCALING_FORMAT=MLN","FA_ADJUSTED=GAAP","Sort=A","Dates=H","DateFormat=P","Fill=—","Direction=H","UseDPDF=Y")</f>
        <v>1271</v>
      </c>
      <c r="V17" s="19">
        <f>_xll.BDH("AMGN US Equity","IS_OPER_INC","FQ1 2024","FQ1 2024","Currency=USD","Period=FQ","BEST_FPERIOD_OVERRIDE=FQ","FILING_STATUS=MR","SCALING_FORMAT=MLN","FA_ADJUSTED=GAAP","Sort=A","Dates=H","DateFormat=P","Fill=—","Direction=H","UseDPDF=Y")</f>
        <v>991</v>
      </c>
      <c r="W17" s="19">
        <f>_xll.BDH("AMGN US Equity","IS_OPER_INC","FQ2 2024","FQ2 2024","Currency=USD","Period=FQ","BEST_FPERIOD_OVERRIDE=FQ","FILING_STATUS=MR","SCALING_FORMAT=MLN","FA_ADJUSTED=GAAP","Sort=A","Dates=H","DateFormat=P","Fill=—","Direction=H","UseDPDF=Y")</f>
        <v>1909</v>
      </c>
      <c r="X17" s="19">
        <f>_xll.BDH("AMGN US Equity","IS_OPER_INC","FQ3 2024","FQ3 2024","Currency=USD","Period=FQ","BEST_FPERIOD_OVERRIDE=FQ","FILING_STATUS=MR","SCALING_FORMAT=MLN","FA_ADJUSTED=GAAP","Sort=A","Dates=H","DateFormat=P","Fill=—","Direction=H","UseDPDF=Y")</f>
        <v>2047</v>
      </c>
      <c r="Y17" s="19">
        <f>_xll.BDH("AMGN US Equity","IS_OPER_INC","FQ4 2024","FQ4 2024","Currency=USD","Period=FQ","BEST_FPERIOD_OVERRIDE=FQ","FILING_STATUS=MR","SCALING_FORMAT=MLN","FA_ADJUSTED=GAAP","Sort=A","Dates=H","DateFormat=P","Fill=—","Direction=H","UseDPDF=Y")</f>
        <v>2311</v>
      </c>
      <c r="Z17" s="19">
        <v>3326.6959999999999</v>
      </c>
      <c r="AA17" s="19">
        <v>3984.3910000000001</v>
      </c>
    </row>
    <row r="18" spans="1:27" x14ac:dyDescent="0.25">
      <c r="A18" s="10" t="s">
        <v>327</v>
      </c>
      <c r="B18" s="10" t="s">
        <v>409</v>
      </c>
      <c r="C18" s="13">
        <f>_xll.BDH("AMGN US Equity","NONOP_INCOME_LOSS","FQ2 2019","FQ2 2019","Currency=USD","Period=FQ","BEST_FPERIOD_OVERRIDE=FQ","FILING_STATUS=MR","SCALING_FORMAT=MLN","FA_ADJUSTED=GAAP","Sort=A","Dates=H","DateFormat=P","Fill=—","Direction=H","UseDPDF=Y")</f>
        <v>114</v>
      </c>
      <c r="D18" s="13">
        <f>_xll.BDH("AMGN US Equity","NONOP_INCOME_LOSS","FQ3 2019","FQ3 2019","Currency=USD","Period=FQ","BEST_FPERIOD_OVERRIDE=FQ","FILING_STATUS=MR","SCALING_FORMAT=MLN","FA_ADJUSTED=GAAP","Sort=A","Dates=H","DateFormat=P","Fill=—","Direction=H","UseDPDF=Y")</f>
        <v>199</v>
      </c>
      <c r="E18" s="13">
        <f>_xll.BDH("AMGN US Equity","NONOP_INCOME_LOSS","FQ4 2019","FQ4 2019","Currency=USD","Period=FQ","BEST_FPERIOD_OVERRIDE=FQ","FILING_STATUS=MR","SCALING_FORMAT=MLN","FA_ADJUSTED=GAAP","Sort=A","Dates=H","DateFormat=P","Fill=—","Direction=H","UseDPDF=Y")</f>
        <v>65</v>
      </c>
      <c r="F18" s="13">
        <f>_xll.BDH("AMGN US Equity","NONOP_INCOME_LOSS","FQ1 2020","FQ1 2020","Currency=USD","Period=FQ","BEST_FPERIOD_OVERRIDE=FQ","FILING_STATUS=MR","SCALING_FORMAT=MLN","FA_ADJUSTED=GAAP","Sort=A","Dates=H","DateFormat=P","Fill=—","Direction=H","UseDPDF=Y")</f>
        <v>335</v>
      </c>
      <c r="G18" s="13">
        <f>_xll.BDH("AMGN US Equity","NONOP_INCOME_LOSS","FQ2 2020","FQ2 2020","Currency=USD","Period=FQ","BEST_FPERIOD_OVERRIDE=FQ","FILING_STATUS=MR","SCALING_FORMAT=MLN","FA_ADJUSTED=GAAP","Sort=A","Dates=H","DateFormat=P","Fill=—","Direction=H","UseDPDF=Y")</f>
        <v>293</v>
      </c>
      <c r="H18" s="13">
        <f>_xll.BDH("AMGN US Equity","NONOP_INCOME_LOSS","FQ3 2020","FQ3 2020","Currency=USD","Period=FQ","BEST_FPERIOD_OVERRIDE=FQ","FILING_STATUS=MR","SCALING_FORMAT=MLN","FA_ADJUSTED=GAAP","Sort=A","Dates=H","DateFormat=P","Fill=—","Direction=H","UseDPDF=Y")</f>
        <v>247</v>
      </c>
      <c r="I18" s="13">
        <f>_xll.BDH("AMGN US Equity","NONOP_INCOME_LOSS","FQ4 2020","FQ4 2020","Currency=USD","Period=FQ","BEST_FPERIOD_OVERRIDE=FQ","FILING_STATUS=MR","SCALING_FORMAT=MLN","FA_ADJUSTED=GAAP","Sort=A","Dates=H","DateFormat=P","Fill=—","Direction=H","UseDPDF=Y")</f>
        <v>131</v>
      </c>
      <c r="J18" s="13">
        <f>_xll.BDH("AMGN US Equity","NONOP_INCOME_LOSS","FQ1 2021","FQ1 2021","Currency=USD","Period=FQ","BEST_FPERIOD_OVERRIDE=FQ","FILING_STATUS=MR","SCALING_FORMAT=MLN","FA_ADJUSTED=GAAP","Sort=A","Dates=H","DateFormat=P","Fill=—","Direction=H","UseDPDF=Y")</f>
        <v>272</v>
      </c>
      <c r="K18" s="13">
        <f>_xll.BDH("AMGN US Equity","NONOP_INCOME_LOSS","FQ2 2021","FQ2 2021","Currency=USD","Period=FQ","BEST_FPERIOD_OVERRIDE=FQ","FILING_STATUS=MR","SCALING_FORMAT=MLN","FA_ADJUSTED=GAAP","Sort=A","Dates=H","DateFormat=P","Fill=—","Direction=H","UseDPDF=Y")</f>
        <v>270</v>
      </c>
      <c r="L18" s="13">
        <f>_xll.BDH("AMGN US Equity","NONOP_INCOME_LOSS","FQ3 2021","FQ3 2021","Currency=USD","Period=FQ","BEST_FPERIOD_OVERRIDE=FQ","FILING_STATUS=MR","SCALING_FORMAT=MLN","FA_ADJUSTED=GAAP","Sort=A","Dates=H","DateFormat=P","Fill=—","Direction=H","UseDPDF=Y")</f>
        <v>223</v>
      </c>
      <c r="M18" s="13">
        <f>_xll.BDH("AMGN US Equity","NONOP_INCOME_LOSS","FQ4 2021","FQ4 2021","Currency=USD","Period=FQ","BEST_FPERIOD_OVERRIDE=FQ","FILING_STATUS=MR","SCALING_FORMAT=MLN","FA_ADJUSTED=GAAP","Sort=A","Dates=H","DateFormat=P","Fill=—","Direction=H","UseDPDF=Y")</f>
        <v>173</v>
      </c>
      <c r="N18" s="13">
        <f>_xll.BDH("AMGN US Equity","NONOP_INCOME_LOSS","FQ1 2022","FQ1 2022","Currency=USD","Period=FQ","BEST_FPERIOD_OVERRIDE=FQ","FILING_STATUS=MR","SCALING_FORMAT=MLN","FA_ADJUSTED=GAAP","Sort=A","Dates=H","DateFormat=P","Fill=—","Direction=H","UseDPDF=Y")</f>
        <v>825</v>
      </c>
      <c r="O18" s="13">
        <f>_xll.BDH("AMGN US Equity","NONOP_INCOME_LOSS","FQ2 2022","FQ2 2022","Currency=USD","Period=FQ","BEST_FPERIOD_OVERRIDE=FQ","FILING_STATUS=MR","SCALING_FORMAT=MLN","FA_ADJUSTED=GAAP","Sort=A","Dates=H","DateFormat=P","Fill=—","Direction=H","UseDPDF=Y")</f>
        <v>645</v>
      </c>
      <c r="P18" s="13">
        <f>_xll.BDH("AMGN US Equity","NONOP_INCOME_LOSS","FQ3 2022","FQ3 2022","Currency=USD","Period=FQ","BEST_FPERIOD_OVERRIDE=FQ","FILING_STATUS=MR","SCALING_FORMAT=MLN","FA_ADJUSTED=GAAP","Sort=A","Dates=H","DateFormat=P","Fill=—","Direction=H","UseDPDF=Y")</f>
        <v>268</v>
      </c>
      <c r="Q18" s="13">
        <f>_xll.BDH("AMGN US Equity","NONOP_INCOME_LOSS","FQ4 2022","FQ4 2022","Currency=USD","Period=FQ","BEST_FPERIOD_OVERRIDE=FQ","FILING_STATUS=MR","SCALING_FORMAT=MLN","FA_ADJUSTED=GAAP","Sort=A","Dates=H","DateFormat=P","Fill=—","Direction=H","UseDPDF=Y")</f>
        <v>482</v>
      </c>
      <c r="R18" s="13">
        <f>_xll.BDH("AMGN US Equity","NONOP_INCOME_LOSS","FQ1 2023","FQ1 2023","Currency=USD","Period=FQ","BEST_FPERIOD_OVERRIDE=FQ","FILING_STATUS=MR","SCALING_FORMAT=MLN","FA_ADJUSTED=GAAP","Sort=A","Dates=H","DateFormat=P","Fill=—","Direction=H","UseDPDF=Y")</f>
        <v>-1521</v>
      </c>
      <c r="S18" s="13">
        <f>_xll.BDH("AMGN US Equity","NONOP_INCOME_LOSS","FQ2 2023","FQ2 2023","Currency=USD","Period=FQ","BEST_FPERIOD_OVERRIDE=FQ","FILING_STATUS=MR","SCALING_FORMAT=MLN","FA_ADJUSTED=GAAP","Sort=A","Dates=H","DateFormat=P","Fill=—","Direction=H","UseDPDF=Y")</f>
        <v>1070</v>
      </c>
      <c r="T18" s="13">
        <f>_xll.BDH("AMGN US Equity","NONOP_INCOME_LOSS","FQ3 2023","FQ3 2023","Currency=USD","Period=FQ","BEST_FPERIOD_OVERRIDE=FQ","FILING_STATUS=MR","SCALING_FORMAT=MLN","FA_ADJUSTED=GAAP","Sort=A","Dates=H","DateFormat=P","Fill=—","Direction=H","UseDPDF=Y")</f>
        <v>74</v>
      </c>
      <c r="U18" s="13">
        <f>_xll.BDH("AMGN US Equity","NONOP_INCOME_LOSS","FQ4 2023","FQ4 2023","Currency=USD","Period=FQ","BEST_FPERIOD_OVERRIDE=FQ","FILING_STATUS=MR","SCALING_FORMAT=MLN","FA_ADJUSTED=GAAP","Sort=A","Dates=H","DateFormat=P","Fill=—","Direction=H","UseDPDF=Y")</f>
        <v>419</v>
      </c>
      <c r="V18" s="13">
        <f>_xll.BDH("AMGN US Equity","NONOP_INCOME_LOSS","FQ1 2024","FQ1 2024","Currency=USD","Period=FQ","BEST_FPERIOD_OVERRIDE=FQ","FILING_STATUS=MR","SCALING_FORMAT=MLN","FA_ADJUSTED=GAAP","Sort=A","Dates=H","DateFormat=P","Fill=—","Direction=H","UseDPDF=Y")</f>
        <v>1059</v>
      </c>
      <c r="W18" s="13">
        <f>_xll.BDH("AMGN US Equity","NONOP_INCOME_LOSS","FQ2 2024","FQ2 2024","Currency=USD","Period=FQ","BEST_FPERIOD_OVERRIDE=FQ","FILING_STATUS=MR","SCALING_FORMAT=MLN","FA_ADJUSTED=GAAP","Sort=A","Dates=H","DateFormat=P","Fill=—","Direction=H","UseDPDF=Y")</f>
        <v>1115</v>
      </c>
      <c r="X18" s="13">
        <f>_xll.BDH("AMGN US Equity","NONOP_INCOME_LOSS","FQ3 2024","FQ3 2024","Currency=USD","Period=FQ","BEST_FPERIOD_OVERRIDE=FQ","FILING_STATUS=MR","SCALING_FORMAT=MLN","FA_ADJUSTED=GAAP","Sort=A","Dates=H","DateFormat=P","Fill=—","Direction=H","UseDPDF=Y")</f>
        <v>-1054</v>
      </c>
      <c r="Y18" s="13">
        <f>_xll.BDH("AMGN US Equity","NONOP_INCOME_LOSS","FQ4 2024","FQ4 2024","Currency=USD","Period=FQ","BEST_FPERIOD_OVERRIDE=FQ","FILING_STATUS=MR","SCALING_FORMAT=MLN","FA_ADJUSTED=GAAP","Sort=A","Dates=H","DateFormat=P","Fill=—","Direction=H","UseDPDF=Y")</f>
        <v>1529</v>
      </c>
      <c r="Z18" s="13"/>
      <c r="AA18" s="13"/>
    </row>
    <row r="19" spans="1:27" x14ac:dyDescent="0.25">
      <c r="A19" s="10" t="s">
        <v>329</v>
      </c>
      <c r="B19" s="10" t="s">
        <v>330</v>
      </c>
      <c r="C19" s="13">
        <f>_xll.BDH("AMGN US Equity","IS_NET_INTEREST_EXPENSE","FQ2 2019","FQ2 2019","Currency=USD","Period=FQ","BEST_FPERIOD_OVERRIDE=FQ","FILING_STATUS=MR","SCALING_FORMAT=MLN","FA_ADJUSTED=GAAP","Sort=A","Dates=H","DateFormat=P","Fill=—","Direction=H","UseDPDF=Y")</f>
        <v>332</v>
      </c>
      <c r="D19" s="13">
        <f>_xll.BDH("AMGN US Equity","IS_NET_INTEREST_EXPENSE","FQ3 2019","FQ3 2019","Currency=USD","Period=FQ","BEST_FPERIOD_OVERRIDE=FQ","FILING_STATUS=MR","SCALING_FORMAT=MLN","FA_ADJUSTED=GAAP","Sort=A","Dates=H","DateFormat=P","Fill=—","Direction=H","UseDPDF=Y")</f>
        <v>313</v>
      </c>
      <c r="E19" s="13">
        <f>_xll.BDH("AMGN US Equity","IS_NET_INTEREST_EXPENSE","FQ4 2019","FQ4 2019","Currency=USD","Period=FQ","BEST_FPERIOD_OVERRIDE=FQ","FILING_STATUS=MR","SCALING_FORMAT=MLN","FA_ADJUSTED=GAAP","Sort=A","Dates=H","DateFormat=P","Fill=—","Direction=H","UseDPDF=Y")</f>
        <v>301</v>
      </c>
      <c r="F19" s="13">
        <f>_xll.BDH("AMGN US Equity","IS_NET_INTEREST_EXPENSE","FQ1 2020","FQ1 2020","Currency=USD","Period=FQ","BEST_FPERIOD_OVERRIDE=FQ","FILING_STATUS=MR","SCALING_FORMAT=MLN","FA_ADJUSTED=GAAP","Sort=A","Dates=H","DateFormat=P","Fill=—","Direction=H","UseDPDF=Y")</f>
        <v>346</v>
      </c>
      <c r="G19" s="13">
        <f>_xll.BDH("AMGN US Equity","IS_NET_INTEREST_EXPENSE","FQ2 2020","FQ2 2020","Currency=USD","Period=FQ","BEST_FPERIOD_OVERRIDE=FQ","FILING_STATUS=MR","SCALING_FORMAT=MLN","FA_ADJUSTED=GAAP","Sort=A","Dates=H","DateFormat=P","Fill=—","Direction=H","UseDPDF=Y")</f>
        <v>296</v>
      </c>
      <c r="H19" s="13">
        <f>_xll.BDH("AMGN US Equity","IS_NET_INTEREST_EXPENSE","FQ3 2020","FQ3 2020","Currency=USD","Period=FQ","BEST_FPERIOD_OVERRIDE=FQ","FILING_STATUS=MR","SCALING_FORMAT=MLN","FA_ADJUSTED=GAAP","Sort=A","Dates=H","DateFormat=P","Fill=—","Direction=H","UseDPDF=Y")</f>
        <v>302</v>
      </c>
      <c r="I19" s="13">
        <f>_xll.BDH("AMGN US Equity","IS_NET_INTEREST_EXPENSE","FQ4 2020","FQ4 2020","Currency=USD","Period=FQ","BEST_FPERIOD_OVERRIDE=FQ","FILING_STATUS=MR","SCALING_FORMAT=MLN","FA_ADJUSTED=GAAP","Sort=A","Dates=H","DateFormat=P","Fill=—","Direction=H","UseDPDF=Y")</f>
        <v>318</v>
      </c>
      <c r="J19" s="13">
        <f>_xll.BDH("AMGN US Equity","IS_NET_INTEREST_EXPENSE","FQ1 2021","FQ1 2021","Currency=USD","Period=FQ","BEST_FPERIOD_OVERRIDE=FQ","FILING_STATUS=MR","SCALING_FORMAT=MLN","FA_ADJUSTED=GAAP","Sort=A","Dates=H","DateFormat=P","Fill=—","Direction=H","UseDPDF=Y")</f>
        <v>285</v>
      </c>
      <c r="K19" s="13">
        <f>_xll.BDH("AMGN US Equity","IS_NET_INTEREST_EXPENSE","FQ2 2021","FQ2 2021","Currency=USD","Period=FQ","BEST_FPERIOD_OVERRIDE=FQ","FILING_STATUS=MR","SCALING_FORMAT=MLN","FA_ADJUSTED=GAAP","Sort=A","Dates=H","DateFormat=P","Fill=—","Direction=H","UseDPDF=Y")</f>
        <v>281</v>
      </c>
      <c r="L19" s="13">
        <f>_xll.BDH("AMGN US Equity","IS_NET_INTEREST_EXPENSE","FQ3 2021","FQ3 2021","Currency=USD","Period=FQ","BEST_FPERIOD_OVERRIDE=FQ","FILING_STATUS=MR","SCALING_FORMAT=MLN","FA_ADJUSTED=GAAP","Sort=A","Dates=H","DateFormat=P","Fill=—","Direction=H","UseDPDF=Y")</f>
        <v>296</v>
      </c>
      <c r="M19" s="13">
        <f>_xll.BDH("AMGN US Equity","IS_NET_INTEREST_EXPENSE","FQ4 2021","FQ4 2021","Currency=USD","Period=FQ","BEST_FPERIOD_OVERRIDE=FQ","FILING_STATUS=MR","SCALING_FORMAT=MLN","FA_ADJUSTED=GAAP","Sort=A","Dates=H","DateFormat=P","Fill=—","Direction=H","UseDPDF=Y")</f>
        <v>335</v>
      </c>
      <c r="N19" s="13">
        <f>_xll.BDH("AMGN US Equity","IS_NET_INTEREST_EXPENSE","FQ1 2022","FQ1 2022","Currency=USD","Period=FQ","BEST_FPERIOD_OVERRIDE=FQ","FILING_STATUS=MR","SCALING_FORMAT=MLN","FA_ADJUSTED=GAAP","Sort=A","Dates=H","DateFormat=P","Fill=—","Direction=H","UseDPDF=Y")</f>
        <v>295</v>
      </c>
      <c r="O19" s="13">
        <f>_xll.BDH("AMGN US Equity","IS_NET_INTEREST_EXPENSE","FQ2 2022","FQ2 2022","Currency=USD","Period=FQ","BEST_FPERIOD_OVERRIDE=FQ","FILING_STATUS=MR","SCALING_FORMAT=MLN","FA_ADJUSTED=GAAP","Sort=A","Dates=H","DateFormat=P","Fill=—","Direction=H","UseDPDF=Y")</f>
        <v>328</v>
      </c>
      <c r="P19" s="13">
        <f>_xll.BDH("AMGN US Equity","IS_NET_INTEREST_EXPENSE","FQ3 2022","FQ3 2022","Currency=USD","Period=FQ","BEST_FPERIOD_OVERRIDE=FQ","FILING_STATUS=MR","SCALING_FORMAT=MLN","FA_ADJUSTED=GAAP","Sort=A","Dates=H","DateFormat=P","Fill=—","Direction=H","UseDPDF=Y")</f>
        <v>368</v>
      </c>
      <c r="Q19" s="13">
        <f>_xll.BDH("AMGN US Equity","IS_NET_INTEREST_EXPENSE","FQ4 2022","FQ4 2022","Currency=USD","Period=FQ","BEST_FPERIOD_OVERRIDE=FQ","FILING_STATUS=MR","SCALING_FORMAT=MLN","FA_ADJUSTED=GAAP","Sort=A","Dates=H","DateFormat=P","Fill=—","Direction=H","UseDPDF=Y")</f>
        <v>415</v>
      </c>
      <c r="R19" s="13">
        <f>_xll.BDH("AMGN US Equity","IS_NET_INTEREST_EXPENSE","FQ1 2023","FQ1 2023","Currency=USD","Period=FQ","BEST_FPERIOD_OVERRIDE=FQ","FILING_STATUS=MR","SCALING_FORMAT=MLN","FA_ADJUSTED=GAAP","Sort=A","Dates=H","DateFormat=P","Fill=—","Direction=H","UseDPDF=Y")</f>
        <v>543</v>
      </c>
      <c r="S19" s="13">
        <f>_xll.BDH("AMGN US Equity","IS_NET_INTEREST_EXPENSE","FQ2 2023","FQ2 2023","Currency=USD","Period=FQ","BEST_FPERIOD_OVERRIDE=FQ","FILING_STATUS=MR","SCALING_FORMAT=MLN","FA_ADJUSTED=GAAP","Sort=A","Dates=H","DateFormat=P","Fill=—","Direction=H","UseDPDF=Y")</f>
        <v>752</v>
      </c>
      <c r="T19" s="13">
        <f>_xll.BDH("AMGN US Equity","IS_NET_INTEREST_EXPENSE","FQ3 2023","FQ3 2023","Currency=USD","Period=FQ","BEST_FPERIOD_OVERRIDE=FQ","FILING_STATUS=MR","SCALING_FORMAT=MLN","FA_ADJUSTED=GAAP","Sort=A","Dates=H","DateFormat=P","Fill=—","Direction=H","UseDPDF=Y")</f>
        <v>759</v>
      </c>
      <c r="U19" s="13">
        <f>_xll.BDH("AMGN US Equity","IS_NET_INTEREST_EXPENSE","FQ4 2023","FQ4 2023","Currency=USD","Period=FQ","BEST_FPERIOD_OVERRIDE=FQ","FILING_STATUS=MR","SCALING_FORMAT=MLN","FA_ADJUSTED=GAAP","Sort=A","Dates=H","DateFormat=P","Fill=—","Direction=H","UseDPDF=Y")</f>
        <v>821</v>
      </c>
      <c r="V19" s="13">
        <f>_xll.BDH("AMGN US Equity","IS_NET_INTEREST_EXPENSE","FQ1 2024","FQ1 2024","Currency=USD","Period=FQ","BEST_FPERIOD_OVERRIDE=FQ","FILING_STATUS=MR","SCALING_FORMAT=MLN","FA_ADJUSTED=GAAP","Sort=A","Dates=H","DateFormat=P","Fill=—","Direction=H","UseDPDF=Y")</f>
        <v>824</v>
      </c>
      <c r="W19" s="13">
        <f>_xll.BDH("AMGN US Equity","IS_NET_INTEREST_EXPENSE","FQ2 2024","FQ2 2024","Currency=USD","Period=FQ","BEST_FPERIOD_OVERRIDE=FQ","FILING_STATUS=MR","SCALING_FORMAT=MLN","FA_ADJUSTED=GAAP","Sort=A","Dates=H","DateFormat=P","Fill=—","Direction=H","UseDPDF=Y")</f>
        <v>808</v>
      </c>
      <c r="X19" s="13">
        <f>_xll.BDH("AMGN US Equity","IS_NET_INTEREST_EXPENSE","FQ3 2024","FQ3 2024","Currency=USD","Period=FQ","BEST_FPERIOD_OVERRIDE=FQ","FILING_STATUS=MR","SCALING_FORMAT=MLN","FA_ADJUSTED=GAAP","Sort=A","Dates=H","DateFormat=P","Fill=—","Direction=H","UseDPDF=Y")</f>
        <v>776</v>
      </c>
      <c r="Y19" s="13">
        <f>_xll.BDH("AMGN US Equity","IS_NET_INTEREST_EXPENSE","FQ4 2024","FQ4 2024","Currency=USD","Period=FQ","BEST_FPERIOD_OVERRIDE=FQ","FILING_STATUS=MR","SCALING_FORMAT=MLN","FA_ADJUSTED=GAAP","Sort=A","Dates=H","DateFormat=P","Fill=—","Direction=H","UseDPDF=Y")</f>
        <v>747</v>
      </c>
      <c r="Z19" s="13"/>
      <c r="AA19" s="13"/>
    </row>
    <row r="20" spans="1:27" x14ac:dyDescent="0.25">
      <c r="A20" s="11" t="s">
        <v>331</v>
      </c>
      <c r="B20" s="11" t="s">
        <v>332</v>
      </c>
      <c r="C20" s="25">
        <f>_xll.BDH("AMGN US Equity","IS_INT_EXPENSE","FQ2 2019","FQ2 2019","Currency=USD","Period=FQ","BEST_FPERIOD_OVERRIDE=FQ","FILING_STATUS=MR","SCALING_FORMAT=MLN","FA_ADJUSTED=GAAP","Sort=A","Dates=H","DateFormat=P","Fill=—","Direction=H","UseDPDF=Y")</f>
        <v>332</v>
      </c>
      <c r="D20" s="25">
        <f>_xll.BDH("AMGN US Equity","IS_INT_EXPENSE","FQ3 2019","FQ3 2019","Currency=USD","Period=FQ","BEST_FPERIOD_OVERRIDE=FQ","FILING_STATUS=MR","SCALING_FORMAT=MLN","FA_ADJUSTED=GAAP","Sort=A","Dates=H","DateFormat=P","Fill=—","Direction=H","UseDPDF=Y")</f>
        <v>313</v>
      </c>
      <c r="E20" s="25">
        <f>_xll.BDH("AMGN US Equity","IS_INT_EXPENSE","FQ4 2019","FQ4 2019","Currency=USD","Period=FQ","BEST_FPERIOD_OVERRIDE=FQ","FILING_STATUS=MR","SCALING_FORMAT=MLN","FA_ADJUSTED=GAAP","Sort=A","Dates=H","DateFormat=P","Fill=—","Direction=H","UseDPDF=Y")</f>
        <v>301</v>
      </c>
      <c r="F20" s="25">
        <f>_xll.BDH("AMGN US Equity","IS_INT_EXPENSE","FQ1 2020","FQ1 2020","Currency=USD","Period=FQ","BEST_FPERIOD_OVERRIDE=FQ","FILING_STATUS=MR","SCALING_FORMAT=MLN","FA_ADJUSTED=GAAP","Sort=A","Dates=H","DateFormat=P","Fill=—","Direction=H","UseDPDF=Y")</f>
        <v>346</v>
      </c>
      <c r="G20" s="25">
        <f>_xll.BDH("AMGN US Equity","IS_INT_EXPENSE","FQ2 2020","FQ2 2020","Currency=USD","Period=FQ","BEST_FPERIOD_OVERRIDE=FQ","FILING_STATUS=MR","SCALING_FORMAT=MLN","FA_ADJUSTED=GAAP","Sort=A","Dates=H","DateFormat=P","Fill=—","Direction=H","UseDPDF=Y")</f>
        <v>296</v>
      </c>
      <c r="H20" s="25">
        <f>_xll.BDH("AMGN US Equity","IS_INT_EXPENSE","FQ3 2020","FQ3 2020","Currency=USD","Period=FQ","BEST_FPERIOD_OVERRIDE=FQ","FILING_STATUS=MR","SCALING_FORMAT=MLN","FA_ADJUSTED=GAAP","Sort=A","Dates=H","DateFormat=P","Fill=—","Direction=H","UseDPDF=Y")</f>
        <v>302</v>
      </c>
      <c r="I20" s="25">
        <f>_xll.BDH("AMGN US Equity","IS_INT_EXPENSE","FQ4 2020","FQ4 2020","Currency=USD","Period=FQ","BEST_FPERIOD_OVERRIDE=FQ","FILING_STATUS=MR","SCALING_FORMAT=MLN","FA_ADJUSTED=GAAP","Sort=A","Dates=H","DateFormat=P","Fill=—","Direction=H","UseDPDF=Y")</f>
        <v>318</v>
      </c>
      <c r="J20" s="25">
        <f>_xll.BDH("AMGN US Equity","IS_INT_EXPENSE","FQ1 2021","FQ1 2021","Currency=USD","Period=FQ","BEST_FPERIOD_OVERRIDE=FQ","FILING_STATUS=MR","SCALING_FORMAT=MLN","FA_ADJUSTED=GAAP","Sort=A","Dates=H","DateFormat=P","Fill=—","Direction=H","UseDPDF=Y")</f>
        <v>285</v>
      </c>
      <c r="K20" s="25">
        <f>_xll.BDH("AMGN US Equity","IS_INT_EXPENSE","FQ2 2021","FQ2 2021","Currency=USD","Period=FQ","BEST_FPERIOD_OVERRIDE=FQ","FILING_STATUS=MR","SCALING_FORMAT=MLN","FA_ADJUSTED=GAAP","Sort=A","Dates=H","DateFormat=P","Fill=—","Direction=H","UseDPDF=Y")</f>
        <v>281</v>
      </c>
      <c r="L20" s="25">
        <f>_xll.BDH("AMGN US Equity","IS_INT_EXPENSE","FQ3 2021","FQ3 2021","Currency=USD","Period=FQ","BEST_FPERIOD_OVERRIDE=FQ","FILING_STATUS=MR","SCALING_FORMAT=MLN","FA_ADJUSTED=GAAP","Sort=A","Dates=H","DateFormat=P","Fill=—","Direction=H","UseDPDF=Y")</f>
        <v>296</v>
      </c>
      <c r="M20" s="25">
        <f>_xll.BDH("AMGN US Equity","IS_INT_EXPENSE","FQ4 2021","FQ4 2021","Currency=USD","Period=FQ","BEST_FPERIOD_OVERRIDE=FQ","FILING_STATUS=MR","SCALING_FORMAT=MLN","FA_ADJUSTED=GAAP","Sort=A","Dates=H","DateFormat=P","Fill=—","Direction=H","UseDPDF=Y")</f>
        <v>335</v>
      </c>
      <c r="N20" s="25">
        <f>_xll.BDH("AMGN US Equity","IS_INT_EXPENSE","FQ1 2022","FQ1 2022","Currency=USD","Period=FQ","BEST_FPERIOD_OVERRIDE=FQ","FILING_STATUS=MR","SCALING_FORMAT=MLN","FA_ADJUSTED=GAAP","Sort=A","Dates=H","DateFormat=P","Fill=—","Direction=H","UseDPDF=Y")</f>
        <v>295</v>
      </c>
      <c r="O20" s="25">
        <f>_xll.BDH("AMGN US Equity","IS_INT_EXPENSE","FQ2 2022","FQ2 2022","Currency=USD","Period=FQ","BEST_FPERIOD_OVERRIDE=FQ","FILING_STATUS=MR","SCALING_FORMAT=MLN","FA_ADJUSTED=GAAP","Sort=A","Dates=H","DateFormat=P","Fill=—","Direction=H","UseDPDF=Y")</f>
        <v>328</v>
      </c>
      <c r="P20" s="25">
        <f>_xll.BDH("AMGN US Equity","IS_INT_EXPENSE","FQ3 2022","FQ3 2022","Currency=USD","Period=FQ","BEST_FPERIOD_OVERRIDE=FQ","FILING_STATUS=MR","SCALING_FORMAT=MLN","FA_ADJUSTED=GAAP","Sort=A","Dates=H","DateFormat=P","Fill=—","Direction=H","UseDPDF=Y")</f>
        <v>368</v>
      </c>
      <c r="Q20" s="25">
        <f>_xll.BDH("AMGN US Equity","IS_INT_EXPENSE","FQ4 2022","FQ4 2022","Currency=USD","Period=FQ","BEST_FPERIOD_OVERRIDE=FQ","FILING_STATUS=MR","SCALING_FORMAT=MLN","FA_ADJUSTED=GAAP","Sort=A","Dates=H","DateFormat=P","Fill=—","Direction=H","UseDPDF=Y")</f>
        <v>415</v>
      </c>
      <c r="R20" s="25">
        <f>_xll.BDH("AMGN US Equity","IS_INT_EXPENSE","FQ1 2023","FQ1 2023","Currency=USD","Period=FQ","BEST_FPERIOD_OVERRIDE=FQ","FILING_STATUS=MR","SCALING_FORMAT=MLN","FA_ADJUSTED=GAAP","Sort=A","Dates=H","DateFormat=P","Fill=—","Direction=H","UseDPDF=Y")</f>
        <v>543</v>
      </c>
      <c r="S20" s="25">
        <f>_xll.BDH("AMGN US Equity","IS_INT_EXPENSE","FQ2 2023","FQ2 2023","Currency=USD","Period=FQ","BEST_FPERIOD_OVERRIDE=FQ","FILING_STATUS=MR","SCALING_FORMAT=MLN","FA_ADJUSTED=GAAP","Sort=A","Dates=H","DateFormat=P","Fill=—","Direction=H","UseDPDF=Y")</f>
        <v>752</v>
      </c>
      <c r="T20" s="25">
        <f>_xll.BDH("AMGN US Equity","IS_INT_EXPENSE","FQ3 2023","FQ3 2023","Currency=USD","Period=FQ","BEST_FPERIOD_OVERRIDE=FQ","FILING_STATUS=MR","SCALING_FORMAT=MLN","FA_ADJUSTED=GAAP","Sort=A","Dates=H","DateFormat=P","Fill=—","Direction=H","UseDPDF=Y")</f>
        <v>759</v>
      </c>
      <c r="U20" s="25">
        <f>_xll.BDH("AMGN US Equity","IS_INT_EXPENSE","FQ4 2023","FQ4 2023","Currency=USD","Period=FQ","BEST_FPERIOD_OVERRIDE=FQ","FILING_STATUS=MR","SCALING_FORMAT=MLN","FA_ADJUSTED=GAAP","Sort=A","Dates=H","DateFormat=P","Fill=—","Direction=H","UseDPDF=Y")</f>
        <v>821</v>
      </c>
      <c r="V20" s="25">
        <f>_xll.BDH("AMGN US Equity","IS_INT_EXPENSE","FQ1 2024","FQ1 2024","Currency=USD","Period=FQ","BEST_FPERIOD_OVERRIDE=FQ","FILING_STATUS=MR","SCALING_FORMAT=MLN","FA_ADJUSTED=GAAP","Sort=A","Dates=H","DateFormat=P","Fill=—","Direction=H","UseDPDF=Y")</f>
        <v>824</v>
      </c>
      <c r="W20" s="25">
        <f>_xll.BDH("AMGN US Equity","IS_INT_EXPENSE","FQ2 2024","FQ2 2024","Currency=USD","Period=FQ","BEST_FPERIOD_OVERRIDE=FQ","FILING_STATUS=MR","SCALING_FORMAT=MLN","FA_ADJUSTED=GAAP","Sort=A","Dates=H","DateFormat=P","Fill=—","Direction=H","UseDPDF=Y")</f>
        <v>808</v>
      </c>
      <c r="X20" s="25">
        <f>_xll.BDH("AMGN US Equity","IS_INT_EXPENSE","FQ3 2024","FQ3 2024","Currency=USD","Period=FQ","BEST_FPERIOD_OVERRIDE=FQ","FILING_STATUS=MR","SCALING_FORMAT=MLN","FA_ADJUSTED=GAAP","Sort=A","Dates=H","DateFormat=P","Fill=—","Direction=H","UseDPDF=Y")</f>
        <v>776</v>
      </c>
      <c r="Y20" s="25">
        <f>_xll.BDH("AMGN US Equity","IS_INT_EXPENSE","FQ4 2024","FQ4 2024","Currency=USD","Period=FQ","BEST_FPERIOD_OVERRIDE=FQ","FILING_STATUS=MR","SCALING_FORMAT=MLN","FA_ADJUSTED=GAAP","Sort=A","Dates=H","DateFormat=P","Fill=—","Direction=H","UseDPDF=Y")</f>
        <v>747</v>
      </c>
      <c r="Z20" s="25"/>
      <c r="AA20" s="25"/>
    </row>
    <row r="21" spans="1:27" x14ac:dyDescent="0.25">
      <c r="A21" s="11" t="s">
        <v>333</v>
      </c>
      <c r="B21" s="11" t="s">
        <v>334</v>
      </c>
      <c r="C21" s="25">
        <f>_xll.BDH("AMGN US Equity","IS_INT_INC","FQ2 2019","FQ2 2019","Currency=USD","Period=FQ","BEST_FPERIOD_OVERRIDE=FQ","FILING_STATUS=MR","SCALING_FORMAT=MLN","FA_ADJUSTED=GAAP","Sort=A","Dates=H","DateFormat=P","Fill=—","Direction=H","UseDPDF=Y")</f>
        <v>0</v>
      </c>
      <c r="D21" s="25">
        <f>_xll.BDH("AMGN US Equity","IS_INT_INC","FQ3 2019","FQ3 2019","Currency=USD","Period=FQ","BEST_FPERIOD_OVERRIDE=FQ","FILING_STATUS=MR","SCALING_FORMAT=MLN","FA_ADJUSTED=GAAP","Sort=A","Dates=H","DateFormat=P","Fill=—","Direction=H","UseDPDF=Y")</f>
        <v>0</v>
      </c>
      <c r="E21" s="25">
        <f>_xll.BDH("AMGN US Equity","IS_INT_INC","FQ4 2019","FQ4 2019","Currency=USD","Period=FQ","BEST_FPERIOD_OVERRIDE=FQ","FILING_STATUS=MR","SCALING_FORMAT=MLN","FA_ADJUSTED=GAAP","Sort=A","Dates=H","DateFormat=P","Fill=—","Direction=H","UseDPDF=Y")</f>
        <v>0</v>
      </c>
      <c r="F21" s="25">
        <f>_xll.BDH("AMGN US Equity","IS_INT_INC","FQ1 2020","FQ1 2020","Currency=USD","Period=FQ","BEST_FPERIOD_OVERRIDE=FQ","FILING_STATUS=MR","SCALING_FORMAT=MLN","FA_ADJUSTED=GAAP","Sort=A","Dates=H","DateFormat=P","Fill=—","Direction=H","UseDPDF=Y")</f>
        <v>0</v>
      </c>
      <c r="G21" s="25">
        <f>_xll.BDH("AMGN US Equity","IS_INT_INC","FQ2 2020","FQ2 2020","Currency=USD","Period=FQ","BEST_FPERIOD_OVERRIDE=FQ","FILING_STATUS=MR","SCALING_FORMAT=MLN","FA_ADJUSTED=GAAP","Sort=A","Dates=H","DateFormat=P","Fill=—","Direction=H","UseDPDF=Y")</f>
        <v>0</v>
      </c>
      <c r="H21" s="25">
        <f>_xll.BDH("AMGN US Equity","IS_INT_INC","FQ3 2020","FQ3 2020","Currency=USD","Period=FQ","BEST_FPERIOD_OVERRIDE=FQ","FILING_STATUS=MR","SCALING_FORMAT=MLN","FA_ADJUSTED=GAAP","Sort=A","Dates=H","DateFormat=P","Fill=—","Direction=H","UseDPDF=Y")</f>
        <v>0</v>
      </c>
      <c r="I21" s="25">
        <f>_xll.BDH("AMGN US Equity","IS_INT_INC","FQ4 2020","FQ4 2020","Currency=USD","Period=FQ","BEST_FPERIOD_OVERRIDE=FQ","FILING_STATUS=MR","SCALING_FORMAT=MLN","FA_ADJUSTED=GAAP","Sort=A","Dates=H","DateFormat=P","Fill=—","Direction=H","UseDPDF=Y")</f>
        <v>0</v>
      </c>
      <c r="J21" s="25">
        <f>_xll.BDH("AMGN US Equity","IS_INT_INC","FQ1 2021","FQ1 2021","Currency=USD","Period=FQ","BEST_FPERIOD_OVERRIDE=FQ","FILING_STATUS=MR","SCALING_FORMAT=MLN","FA_ADJUSTED=GAAP","Sort=A","Dates=H","DateFormat=P","Fill=—","Direction=H","UseDPDF=Y")</f>
        <v>0</v>
      </c>
      <c r="K21" s="25">
        <f>_xll.BDH("AMGN US Equity","IS_INT_INC","FQ2 2021","FQ2 2021","Currency=USD","Period=FQ","BEST_FPERIOD_OVERRIDE=FQ","FILING_STATUS=MR","SCALING_FORMAT=MLN","FA_ADJUSTED=GAAP","Sort=A","Dates=H","DateFormat=P","Fill=—","Direction=H","UseDPDF=Y")</f>
        <v>0</v>
      </c>
      <c r="L21" s="25">
        <f>_xll.BDH("AMGN US Equity","IS_INT_INC","FQ3 2021","FQ3 2021","Currency=USD","Period=FQ","BEST_FPERIOD_OVERRIDE=FQ","FILING_STATUS=MR","SCALING_FORMAT=MLN","FA_ADJUSTED=GAAP","Sort=A","Dates=H","DateFormat=P","Fill=—","Direction=H","UseDPDF=Y")</f>
        <v>0</v>
      </c>
      <c r="M21" s="25">
        <f>_xll.BDH("AMGN US Equity","IS_INT_INC","FQ4 2021","FQ4 2021","Currency=USD","Period=FQ","BEST_FPERIOD_OVERRIDE=FQ","FILING_STATUS=MR","SCALING_FORMAT=MLN","FA_ADJUSTED=GAAP","Sort=A","Dates=H","DateFormat=P","Fill=—","Direction=H","UseDPDF=Y")</f>
        <v>0</v>
      </c>
      <c r="N21" s="25">
        <f>_xll.BDH("AMGN US Equity","IS_INT_INC","FQ1 2022","FQ1 2022","Currency=USD","Period=FQ","BEST_FPERIOD_OVERRIDE=FQ","FILING_STATUS=MR","SCALING_FORMAT=MLN","FA_ADJUSTED=GAAP","Sort=A","Dates=H","DateFormat=P","Fill=—","Direction=H","UseDPDF=Y")</f>
        <v>0</v>
      </c>
      <c r="O21" s="25">
        <f>_xll.BDH("AMGN US Equity","IS_INT_INC","FQ2 2022","FQ2 2022","Currency=USD","Period=FQ","BEST_FPERIOD_OVERRIDE=FQ","FILING_STATUS=MR","SCALING_FORMAT=MLN","FA_ADJUSTED=GAAP","Sort=A","Dates=H","DateFormat=P","Fill=—","Direction=H","UseDPDF=Y")</f>
        <v>0</v>
      </c>
      <c r="P21" s="25">
        <f>_xll.BDH("AMGN US Equity","IS_INT_INC","FQ3 2022","FQ3 2022","Currency=USD","Period=FQ","BEST_FPERIOD_OVERRIDE=FQ","FILING_STATUS=MR","SCALING_FORMAT=MLN","FA_ADJUSTED=GAAP","Sort=A","Dates=H","DateFormat=P","Fill=—","Direction=H","UseDPDF=Y")</f>
        <v>0</v>
      </c>
      <c r="Q21" s="25">
        <f>_xll.BDH("AMGN US Equity","IS_INT_INC","FQ4 2022","FQ4 2022","Currency=USD","Period=FQ","BEST_FPERIOD_OVERRIDE=FQ","FILING_STATUS=MR","SCALING_FORMAT=MLN","FA_ADJUSTED=GAAP","Sort=A","Dates=H","DateFormat=P","Fill=—","Direction=H","UseDPDF=Y")</f>
        <v>0</v>
      </c>
      <c r="R21" s="25">
        <f>_xll.BDH("AMGN US Equity","IS_INT_INC","FQ1 2023","FQ1 2023","Currency=USD","Period=FQ","BEST_FPERIOD_OVERRIDE=FQ","FILING_STATUS=MR","SCALING_FORMAT=MLN","FA_ADJUSTED=GAAP","Sort=A","Dates=H","DateFormat=P","Fill=—","Direction=H","UseDPDF=Y")</f>
        <v>0</v>
      </c>
      <c r="S21" s="25">
        <f>_xll.BDH("AMGN US Equity","IS_INT_INC","FQ2 2023","FQ2 2023","Currency=USD","Period=FQ","BEST_FPERIOD_OVERRIDE=FQ","FILING_STATUS=MR","SCALING_FORMAT=MLN","FA_ADJUSTED=GAAP","Sort=A","Dates=H","DateFormat=P","Fill=—","Direction=H","UseDPDF=Y")</f>
        <v>0</v>
      </c>
      <c r="T21" s="25">
        <f>_xll.BDH("AMGN US Equity","IS_INT_INC","FQ3 2023","FQ3 2023","Currency=USD","Period=FQ","BEST_FPERIOD_OVERRIDE=FQ","FILING_STATUS=MR","SCALING_FORMAT=MLN","FA_ADJUSTED=GAAP","Sort=A","Dates=H","DateFormat=P","Fill=—","Direction=H","UseDPDF=Y")</f>
        <v>0</v>
      </c>
      <c r="U21" s="25">
        <f>_xll.BDH("AMGN US Equity","IS_INT_INC","FQ4 2023","FQ4 2023","Currency=USD","Period=FQ","BEST_FPERIOD_OVERRIDE=FQ","FILING_STATUS=MR","SCALING_FORMAT=MLN","FA_ADJUSTED=GAAP","Sort=A","Dates=H","DateFormat=P","Fill=—","Direction=H","UseDPDF=Y")</f>
        <v>0</v>
      </c>
      <c r="V21" s="25">
        <f>_xll.BDH("AMGN US Equity","IS_INT_INC","FQ1 2024","FQ1 2024","Currency=USD","Period=FQ","BEST_FPERIOD_OVERRIDE=FQ","FILING_STATUS=MR","SCALING_FORMAT=MLN","FA_ADJUSTED=GAAP","Sort=A","Dates=H","DateFormat=P","Fill=—","Direction=H","UseDPDF=Y")</f>
        <v>0</v>
      </c>
      <c r="W21" s="25">
        <f>_xll.BDH("AMGN US Equity","IS_INT_INC","FQ2 2024","FQ2 2024","Currency=USD","Period=FQ","BEST_FPERIOD_OVERRIDE=FQ","FILING_STATUS=MR","SCALING_FORMAT=MLN","FA_ADJUSTED=GAAP","Sort=A","Dates=H","DateFormat=P","Fill=—","Direction=H","UseDPDF=Y")</f>
        <v>0</v>
      </c>
      <c r="X21" s="25">
        <f>_xll.BDH("AMGN US Equity","IS_INT_INC","FQ3 2024","FQ3 2024","Currency=USD","Period=FQ","BEST_FPERIOD_OVERRIDE=FQ","FILING_STATUS=MR","SCALING_FORMAT=MLN","FA_ADJUSTED=GAAP","Sort=A","Dates=H","DateFormat=P","Fill=—","Direction=H","UseDPDF=Y")</f>
        <v>0</v>
      </c>
      <c r="Y21" s="25">
        <f>_xll.BDH("AMGN US Equity","IS_INT_INC","FQ4 2024","FQ4 2024","Currency=USD","Period=FQ","BEST_FPERIOD_OVERRIDE=FQ","FILING_STATUS=MR","SCALING_FORMAT=MLN","FA_ADJUSTED=GAAP","Sort=A","Dates=H","DateFormat=P","Fill=—","Direction=H","UseDPDF=Y")</f>
        <v>0</v>
      </c>
      <c r="Z21" s="25"/>
      <c r="AA21" s="25"/>
    </row>
    <row r="22" spans="1:27" x14ac:dyDescent="0.25">
      <c r="A22" s="10" t="s">
        <v>335</v>
      </c>
      <c r="B22" s="10" t="s">
        <v>410</v>
      </c>
      <c r="C22" s="13">
        <f>_xll.BDH("AMGN US Equity","OTHER_NONOP_INCOME_LOSS","FQ2 2019","FQ2 2019","Currency=USD","Period=FQ","BEST_FPERIOD_OVERRIDE=FQ","FILING_STATUS=MR","SCALING_FORMAT=MLN","FA_ADJUSTED=GAAP","Sort=A","Dates=H","DateFormat=P","Fill=—","Direction=H","UseDPDF=Y")</f>
        <v>-218</v>
      </c>
      <c r="D22" s="13">
        <f>_xll.BDH("AMGN US Equity","OTHER_NONOP_INCOME_LOSS","FQ3 2019","FQ3 2019","Currency=USD","Period=FQ","BEST_FPERIOD_OVERRIDE=FQ","FILING_STATUS=MR","SCALING_FORMAT=MLN","FA_ADJUSTED=GAAP","Sort=A","Dates=H","DateFormat=P","Fill=—","Direction=H","UseDPDF=Y")</f>
        <v>-114</v>
      </c>
      <c r="E22" s="13">
        <f>_xll.BDH("AMGN US Equity","OTHER_NONOP_INCOME_LOSS","FQ4 2019","FQ4 2019","Currency=USD","Period=FQ","BEST_FPERIOD_OVERRIDE=FQ","FILING_STATUS=MR","SCALING_FORMAT=MLN","FA_ADJUSTED=GAAP","Sort=A","Dates=H","DateFormat=P","Fill=—","Direction=H","UseDPDF=Y")</f>
        <v>-236</v>
      </c>
      <c r="F22" s="13">
        <f>_xll.BDH("AMGN US Equity","OTHER_NONOP_INCOME_LOSS","FQ1 2020","FQ1 2020","Currency=USD","Period=FQ","BEST_FPERIOD_OVERRIDE=FQ","FILING_STATUS=MR","SCALING_FORMAT=MLN","FA_ADJUSTED=GAAP","Sort=A","Dates=H","DateFormat=P","Fill=—","Direction=H","UseDPDF=Y")</f>
        <v>-11</v>
      </c>
      <c r="G22" s="13">
        <f>_xll.BDH("AMGN US Equity","OTHER_NONOP_INCOME_LOSS","FQ2 2020","FQ2 2020","Currency=USD","Period=FQ","BEST_FPERIOD_OVERRIDE=FQ","FILING_STATUS=MR","SCALING_FORMAT=MLN","FA_ADJUSTED=GAAP","Sort=A","Dates=H","DateFormat=P","Fill=—","Direction=H","UseDPDF=Y")</f>
        <v>-3</v>
      </c>
      <c r="H22" s="13">
        <f>_xll.BDH("AMGN US Equity","OTHER_NONOP_INCOME_LOSS","FQ3 2020","FQ3 2020","Currency=USD","Period=FQ","BEST_FPERIOD_OVERRIDE=FQ","FILING_STATUS=MR","SCALING_FORMAT=MLN","FA_ADJUSTED=GAAP","Sort=A","Dates=H","DateFormat=P","Fill=—","Direction=H","UseDPDF=Y")</f>
        <v>-55</v>
      </c>
      <c r="I22" s="13">
        <f>_xll.BDH("AMGN US Equity","OTHER_NONOP_INCOME_LOSS","FQ4 2020","FQ4 2020","Currency=USD","Period=FQ","BEST_FPERIOD_OVERRIDE=FQ","FILING_STATUS=MR","SCALING_FORMAT=MLN","FA_ADJUSTED=GAAP","Sort=A","Dates=H","DateFormat=P","Fill=—","Direction=H","UseDPDF=Y")</f>
        <v>-187</v>
      </c>
      <c r="J22" s="13">
        <f>_xll.BDH("AMGN US Equity","OTHER_NONOP_INCOME_LOSS","FQ1 2021","FQ1 2021","Currency=USD","Period=FQ","BEST_FPERIOD_OVERRIDE=FQ","FILING_STATUS=MR","SCALING_FORMAT=MLN","FA_ADJUSTED=GAAP","Sort=A","Dates=H","DateFormat=P","Fill=—","Direction=H","UseDPDF=Y")</f>
        <v>-13</v>
      </c>
      <c r="K22" s="13">
        <f>_xll.BDH("AMGN US Equity","OTHER_NONOP_INCOME_LOSS","FQ2 2021","FQ2 2021","Currency=USD","Period=FQ","BEST_FPERIOD_OVERRIDE=FQ","FILING_STATUS=MR","SCALING_FORMAT=MLN","FA_ADJUSTED=GAAP","Sort=A","Dates=H","DateFormat=P","Fill=—","Direction=H","UseDPDF=Y")</f>
        <v>-11</v>
      </c>
      <c r="L22" s="13">
        <f>_xll.BDH("AMGN US Equity","OTHER_NONOP_INCOME_LOSS","FQ3 2021","FQ3 2021","Currency=USD","Period=FQ","BEST_FPERIOD_OVERRIDE=FQ","FILING_STATUS=MR","SCALING_FORMAT=MLN","FA_ADJUSTED=GAAP","Sort=A","Dates=H","DateFormat=P","Fill=—","Direction=H","UseDPDF=Y")</f>
        <v>-73</v>
      </c>
      <c r="M22" s="13">
        <f>_xll.BDH("AMGN US Equity","OTHER_NONOP_INCOME_LOSS","FQ4 2021","FQ4 2021","Currency=USD","Period=FQ","BEST_FPERIOD_OVERRIDE=FQ","FILING_STATUS=MR","SCALING_FORMAT=MLN","FA_ADJUSTED=GAAP","Sort=A","Dates=H","DateFormat=P","Fill=—","Direction=H","UseDPDF=Y")</f>
        <v>-162</v>
      </c>
      <c r="N22" s="13">
        <f>_xll.BDH("AMGN US Equity","OTHER_NONOP_INCOME_LOSS","FQ1 2022","FQ1 2022","Currency=USD","Period=FQ","BEST_FPERIOD_OVERRIDE=FQ","FILING_STATUS=MR","SCALING_FORMAT=MLN","FA_ADJUSTED=GAAP","Sort=A","Dates=H","DateFormat=P","Fill=—","Direction=H","UseDPDF=Y")</f>
        <v>530</v>
      </c>
      <c r="O22" s="13">
        <f>_xll.BDH("AMGN US Equity","OTHER_NONOP_INCOME_LOSS","FQ2 2022","FQ2 2022","Currency=USD","Period=FQ","BEST_FPERIOD_OVERRIDE=FQ","FILING_STATUS=MR","SCALING_FORMAT=MLN","FA_ADJUSTED=GAAP","Sort=A","Dates=H","DateFormat=P","Fill=—","Direction=H","UseDPDF=Y")</f>
        <v>317</v>
      </c>
      <c r="P22" s="13">
        <f>_xll.BDH("AMGN US Equity","OTHER_NONOP_INCOME_LOSS","FQ3 2022","FQ3 2022","Currency=USD","Period=FQ","BEST_FPERIOD_OVERRIDE=FQ","FILING_STATUS=MR","SCALING_FORMAT=MLN","FA_ADJUSTED=GAAP","Sort=A","Dates=H","DateFormat=P","Fill=—","Direction=H","UseDPDF=Y")</f>
        <v>-100</v>
      </c>
      <c r="Q22" s="13">
        <f>_xll.BDH("AMGN US Equity","OTHER_NONOP_INCOME_LOSS","FQ4 2022","FQ4 2022","Currency=USD","Period=FQ","BEST_FPERIOD_OVERRIDE=FQ","FILING_STATUS=MR","SCALING_FORMAT=MLN","FA_ADJUSTED=GAAP","Sort=A","Dates=H","DateFormat=P","Fill=—","Direction=H","UseDPDF=Y")</f>
        <v>67</v>
      </c>
      <c r="R22" s="13">
        <f>_xll.BDH("AMGN US Equity","OTHER_NONOP_INCOME_LOSS","FQ1 2023","FQ1 2023","Currency=USD","Period=FQ","BEST_FPERIOD_OVERRIDE=FQ","FILING_STATUS=MR","SCALING_FORMAT=MLN","FA_ADJUSTED=GAAP","Sort=A","Dates=H","DateFormat=P","Fill=—","Direction=H","UseDPDF=Y")</f>
        <v>-2064</v>
      </c>
      <c r="S22" s="13">
        <f>_xll.BDH("AMGN US Equity","OTHER_NONOP_INCOME_LOSS","FQ2 2023","FQ2 2023","Currency=USD","Period=FQ","BEST_FPERIOD_OVERRIDE=FQ","FILING_STATUS=MR","SCALING_FORMAT=MLN","FA_ADJUSTED=GAAP","Sort=A","Dates=H","DateFormat=P","Fill=—","Direction=H","UseDPDF=Y")</f>
        <v>318</v>
      </c>
      <c r="T22" s="13">
        <f>_xll.BDH("AMGN US Equity","OTHER_NONOP_INCOME_LOSS","FQ3 2023","FQ3 2023","Currency=USD","Period=FQ","BEST_FPERIOD_OVERRIDE=FQ","FILING_STATUS=MR","SCALING_FORMAT=MLN","FA_ADJUSTED=GAAP","Sort=A","Dates=H","DateFormat=P","Fill=—","Direction=H","UseDPDF=Y")</f>
        <v>-685</v>
      </c>
      <c r="U22" s="13">
        <f>_xll.BDH("AMGN US Equity","OTHER_NONOP_INCOME_LOSS","FQ4 2023","FQ4 2023","Currency=USD","Period=FQ","BEST_FPERIOD_OVERRIDE=FQ","FILING_STATUS=MR","SCALING_FORMAT=MLN","FA_ADJUSTED=GAAP","Sort=A","Dates=H","DateFormat=P","Fill=—","Direction=H","UseDPDF=Y")</f>
        <v>-402</v>
      </c>
      <c r="V22" s="13">
        <f>_xll.BDH("AMGN US Equity","OTHER_NONOP_INCOME_LOSS","FQ1 2024","FQ1 2024","Currency=USD","Period=FQ","BEST_FPERIOD_OVERRIDE=FQ","FILING_STATUS=MR","SCALING_FORMAT=MLN","FA_ADJUSTED=GAAP","Sort=A","Dates=H","DateFormat=P","Fill=—","Direction=H","UseDPDF=Y")</f>
        <v>235</v>
      </c>
      <c r="W22" s="13">
        <f>_xll.BDH("AMGN US Equity","OTHER_NONOP_INCOME_LOSS","FQ2 2024","FQ2 2024","Currency=USD","Period=FQ","BEST_FPERIOD_OVERRIDE=FQ","FILING_STATUS=MR","SCALING_FORMAT=MLN","FA_ADJUSTED=GAAP","Sort=A","Dates=H","DateFormat=P","Fill=—","Direction=H","UseDPDF=Y")</f>
        <v>307</v>
      </c>
      <c r="X22" s="13">
        <f>_xll.BDH("AMGN US Equity","OTHER_NONOP_INCOME_LOSS","FQ3 2024","FQ3 2024","Currency=USD","Period=FQ","BEST_FPERIOD_OVERRIDE=FQ","FILING_STATUS=MR","SCALING_FORMAT=MLN","FA_ADJUSTED=GAAP","Sort=A","Dates=H","DateFormat=P","Fill=—","Direction=H","UseDPDF=Y")</f>
        <v>-1830</v>
      </c>
      <c r="Y22" s="13">
        <f>_xll.BDH("AMGN US Equity","OTHER_NONOP_INCOME_LOSS","FQ4 2024","FQ4 2024","Currency=USD","Period=FQ","BEST_FPERIOD_OVERRIDE=FQ","FILING_STATUS=MR","SCALING_FORMAT=MLN","FA_ADJUSTED=GAAP","Sort=A","Dates=H","DateFormat=P","Fill=—","Direction=H","UseDPDF=Y")</f>
        <v>782</v>
      </c>
      <c r="Z22" s="13"/>
      <c r="AA22" s="13"/>
    </row>
    <row r="23" spans="1:27" x14ac:dyDescent="0.25">
      <c r="A23" s="6" t="s">
        <v>411</v>
      </c>
      <c r="B23" s="6" t="s">
        <v>158</v>
      </c>
      <c r="C23" s="19">
        <f>_xll.BDH("AMGN US Equity","PRETAX_INC","FQ2 2019","FQ2 2019","Currency=USD","Period=FQ","BEST_FPERIOD_OVERRIDE=FQ","FILING_STATUS=MR","SCALING_FORMAT=MLN","FA_ADJUSTED=GAAP","Sort=A","Dates=H","DateFormat=P","Fill=—","Direction=H","UseDPDF=Y")</f>
        <v>2564</v>
      </c>
      <c r="D23" s="19">
        <f>_xll.BDH("AMGN US Equity","PRETAX_INC","FQ3 2019","FQ3 2019","Currency=USD","Period=FQ","BEST_FPERIOD_OVERRIDE=FQ","FILING_STATUS=MR","SCALING_FORMAT=MLN","FA_ADJUSTED=GAAP","Sort=A","Dates=H","DateFormat=P","Fill=—","Direction=H","UseDPDF=Y")</f>
        <v>2277</v>
      </c>
      <c r="E23" s="19">
        <f>_xll.BDH("AMGN US Equity","PRETAX_INC","FQ4 2019","FQ4 2019","Currency=USD","Period=FQ","BEST_FPERIOD_OVERRIDE=FQ","FILING_STATUS=MR","SCALING_FORMAT=MLN","FA_ADJUSTED=GAAP","Sort=A","Dates=H","DateFormat=P","Fill=—","Direction=H","UseDPDF=Y")</f>
        <v>1983</v>
      </c>
      <c r="F23" s="19">
        <f>_xll.BDH("AMGN US Equity","PRETAX_INC","FQ1 2020","FQ1 2020","Currency=USD","Period=FQ","BEST_FPERIOD_OVERRIDE=FQ","FILING_STATUS=MR","SCALING_FORMAT=MLN","FA_ADJUSTED=GAAP","Sort=A","Dates=H","DateFormat=P","Fill=—","Direction=H","UseDPDF=Y")</f>
        <v>2020</v>
      </c>
      <c r="G23" s="19">
        <f>_xll.BDH("AMGN US Equity","PRETAX_INC","FQ2 2020","FQ2 2020","Currency=USD","Period=FQ","BEST_FPERIOD_OVERRIDE=FQ","FILING_STATUS=MR","SCALING_FORMAT=MLN","FA_ADJUSTED=GAAP","Sort=A","Dates=H","DateFormat=P","Fill=—","Direction=H","UseDPDF=Y")</f>
        <v>2030</v>
      </c>
      <c r="H23" s="19">
        <f>_xll.BDH("AMGN US Equity","PRETAX_INC","FQ3 2020","FQ3 2020","Currency=USD","Period=FQ","BEST_FPERIOD_OVERRIDE=FQ","FILING_STATUS=MR","SCALING_FORMAT=MLN","FA_ADJUSTED=GAAP","Sort=A","Dates=H","DateFormat=P","Fill=—","Direction=H","UseDPDF=Y")</f>
        <v>2206</v>
      </c>
      <c r="I23" s="19">
        <f>_xll.BDH("AMGN US Equity","PRETAX_INC","FQ4 2020","FQ4 2020","Currency=USD","Period=FQ","BEST_FPERIOD_OVERRIDE=FQ","FILING_STATUS=MR","SCALING_FORMAT=MLN","FA_ADJUSTED=GAAP","Sort=A","Dates=H","DateFormat=P","Fill=—","Direction=H","UseDPDF=Y")</f>
        <v>1877</v>
      </c>
      <c r="J23" s="19">
        <f>_xll.BDH("AMGN US Equity","PRETAX_INC","FQ1 2021","FQ1 2021","Currency=USD","Period=FQ","BEST_FPERIOD_OVERRIDE=FQ","FILING_STATUS=MR","SCALING_FORMAT=MLN","FA_ADJUSTED=GAAP","Sort=A","Dates=H","DateFormat=P","Fill=—","Direction=H","UseDPDF=Y")</f>
        <v>1857</v>
      </c>
      <c r="K23" s="19">
        <f>_xll.BDH("AMGN US Equity","PRETAX_INC","FQ2 2021","FQ2 2021","Currency=USD","Period=FQ","BEST_FPERIOD_OVERRIDE=FQ","FILING_STATUS=MR","SCALING_FORMAT=MLN","FA_ADJUSTED=GAAP","Sort=A","Dates=H","DateFormat=P","Fill=—","Direction=H","UseDPDF=Y")</f>
        <v>558</v>
      </c>
      <c r="L23" s="19">
        <f>_xll.BDH("AMGN US Equity","PRETAX_INC","FQ3 2021","FQ3 2021","Currency=USD","Period=FQ","BEST_FPERIOD_OVERRIDE=FQ","FILING_STATUS=MR","SCALING_FORMAT=MLN","FA_ADJUSTED=GAAP","Sort=A","Dates=H","DateFormat=P","Fill=—","Direction=H","UseDPDF=Y")</f>
        <v>2155</v>
      </c>
      <c r="M23" s="19">
        <f>_xll.BDH("AMGN US Equity","PRETAX_INC","FQ4 2021","FQ4 2021","Currency=USD","Period=FQ","BEST_FPERIOD_OVERRIDE=FQ","FILING_STATUS=MR","SCALING_FORMAT=MLN","FA_ADJUSTED=GAAP","Sort=A","Dates=H","DateFormat=P","Fill=—","Direction=H","UseDPDF=Y")</f>
        <v>2131</v>
      </c>
      <c r="N23" s="19">
        <f>_xll.BDH("AMGN US Equity","PRETAX_INC","FQ1 2022","FQ1 2022","Currency=USD","Period=FQ","BEST_FPERIOD_OVERRIDE=FQ","FILING_STATUS=MR","SCALING_FORMAT=MLN","FA_ADJUSTED=GAAP","Sort=A","Dates=H","DateFormat=P","Fill=—","Direction=H","UseDPDF=Y")</f>
        <v>1675</v>
      </c>
      <c r="O23" s="19">
        <f>_xll.BDH("AMGN US Equity","PRETAX_INC","FQ2 2022","FQ2 2022","Currency=USD","Period=FQ","BEST_FPERIOD_OVERRIDE=FQ","FILING_STATUS=MR","SCALING_FORMAT=MLN","FA_ADJUSTED=GAAP","Sort=A","Dates=H","DateFormat=P","Fill=—","Direction=H","UseDPDF=Y")</f>
        <v>1531</v>
      </c>
      <c r="P23" s="19">
        <f>_xll.BDH("AMGN US Equity","PRETAX_INC","FQ3 2022","FQ3 2022","Currency=USD","Period=FQ","BEST_FPERIOD_OVERRIDE=FQ","FILING_STATUS=MR","SCALING_FORMAT=MLN","FA_ADJUSTED=GAAP","Sort=A","Dates=H","DateFormat=P","Fill=—","Direction=H","UseDPDF=Y")</f>
        <v>2392</v>
      </c>
      <c r="Q23" s="19">
        <f>_xll.BDH("AMGN US Equity","PRETAX_INC","FQ4 2022","FQ4 2022","Currency=USD","Period=FQ","BEST_FPERIOD_OVERRIDE=FQ","FILING_STATUS=MR","SCALING_FORMAT=MLN","FA_ADJUSTED=GAAP","Sort=A","Dates=H","DateFormat=P","Fill=—","Direction=H","UseDPDF=Y")</f>
        <v>1748</v>
      </c>
      <c r="R23" s="19">
        <f>_xll.BDH("AMGN US Equity","PRETAX_INC","FQ1 2023","FQ1 2023","Currency=USD","Period=FQ","BEST_FPERIOD_OVERRIDE=FQ","FILING_STATUS=MR","SCALING_FORMAT=MLN","FA_ADJUSTED=GAAP","Sort=A","Dates=H","DateFormat=P","Fill=—","Direction=H","UseDPDF=Y")</f>
        <v>3442</v>
      </c>
      <c r="S23" s="19">
        <f>_xll.BDH("AMGN US Equity","PRETAX_INC","FQ2 2023","FQ2 2023","Currency=USD","Period=FQ","BEST_FPERIOD_OVERRIDE=FQ","FILING_STATUS=MR","SCALING_FORMAT=MLN","FA_ADJUSTED=GAAP","Sort=A","Dates=H","DateFormat=P","Fill=—","Direction=H","UseDPDF=Y")</f>
        <v>1614</v>
      </c>
      <c r="T23" s="19">
        <f>_xll.BDH("AMGN US Equity","PRETAX_INC","FQ3 2023","FQ3 2023","Currency=USD","Period=FQ","BEST_FPERIOD_OVERRIDE=FQ","FILING_STATUS=MR","SCALING_FORMAT=MLN","FA_ADJUSTED=GAAP","Sort=A","Dates=H","DateFormat=P","Fill=—","Direction=H","UseDPDF=Y")</f>
        <v>1947</v>
      </c>
      <c r="U23" s="19">
        <f>_xll.BDH("AMGN US Equity","PRETAX_INC","FQ4 2023","FQ4 2023","Currency=USD","Period=FQ","BEST_FPERIOD_OVERRIDE=FQ","FILING_STATUS=MR","SCALING_FORMAT=MLN","FA_ADJUSTED=GAAP","Sort=A","Dates=H","DateFormat=P","Fill=—","Direction=H","UseDPDF=Y")</f>
        <v>852</v>
      </c>
      <c r="V23" s="19">
        <f>_xll.BDH("AMGN US Equity","PRETAX_INC","FQ1 2024","FQ1 2024","Currency=USD","Period=FQ","BEST_FPERIOD_OVERRIDE=FQ","FILING_STATUS=MR","SCALING_FORMAT=MLN","FA_ADJUSTED=GAAP","Sort=A","Dates=H","DateFormat=P","Fill=—","Direction=H","UseDPDF=Y")</f>
        <v>-68</v>
      </c>
      <c r="W23" s="19">
        <f>_xll.BDH("AMGN US Equity","PRETAX_INC","FQ2 2024","FQ2 2024","Currency=USD","Period=FQ","BEST_FPERIOD_OVERRIDE=FQ","FILING_STATUS=MR","SCALING_FORMAT=MLN","FA_ADJUSTED=GAAP","Sort=A","Dates=H","DateFormat=P","Fill=—","Direction=H","UseDPDF=Y")</f>
        <v>794</v>
      </c>
      <c r="X23" s="19">
        <f>_xll.BDH("AMGN US Equity","PRETAX_INC","FQ3 2024","FQ3 2024","Currency=USD","Period=FQ","BEST_FPERIOD_OVERRIDE=FQ","FILING_STATUS=MR","SCALING_FORMAT=MLN","FA_ADJUSTED=GAAP","Sort=A","Dates=H","DateFormat=P","Fill=—","Direction=H","UseDPDF=Y")</f>
        <v>3101</v>
      </c>
      <c r="Y23" s="19">
        <f>_xll.BDH("AMGN US Equity","PRETAX_INC","FQ4 2024","FQ4 2024","Currency=USD","Period=FQ","BEST_FPERIOD_OVERRIDE=FQ","FILING_STATUS=MR","SCALING_FORMAT=MLN","FA_ADJUSTED=GAAP","Sort=A","Dates=H","DateFormat=P","Fill=—","Direction=H","UseDPDF=Y")</f>
        <v>782</v>
      </c>
      <c r="Z23" s="19">
        <v>2724.857</v>
      </c>
      <c r="AA23" s="19">
        <v>3384.0479999999998</v>
      </c>
    </row>
    <row r="24" spans="1:27" x14ac:dyDescent="0.25">
      <c r="A24" s="10" t="s">
        <v>357</v>
      </c>
      <c r="B24" s="10" t="s">
        <v>358</v>
      </c>
      <c r="C24" s="13">
        <f>_xll.BDH("AMGN US Equity","IS_INC_TAX_EXP","FQ2 2019","FQ2 2019","Currency=USD","Period=FQ","BEST_FPERIOD_OVERRIDE=FQ","FILING_STATUS=MR","SCALING_FORMAT=MLN","FA_ADJUSTED=GAAP","Sort=A","Dates=H","DateFormat=P","Fill=—","Direction=H","UseDPDF=Y")</f>
        <v>385</v>
      </c>
      <c r="D24" s="13">
        <f>_xll.BDH("AMGN US Equity","IS_INC_TAX_EXP","FQ3 2019","FQ3 2019","Currency=USD","Period=FQ","BEST_FPERIOD_OVERRIDE=FQ","FILING_STATUS=MR","SCALING_FORMAT=MLN","FA_ADJUSTED=GAAP","Sort=A","Dates=H","DateFormat=P","Fill=—","Direction=H","UseDPDF=Y")</f>
        <v>309</v>
      </c>
      <c r="E24" s="13">
        <f>_xll.BDH("AMGN US Equity","IS_INC_TAX_EXP","FQ4 2019","FQ4 2019","Currency=USD","Period=FQ","BEST_FPERIOD_OVERRIDE=FQ","FILING_STATUS=MR","SCALING_FORMAT=MLN","FA_ADJUSTED=GAAP","Sort=A","Dates=H","DateFormat=P","Fill=—","Direction=H","UseDPDF=Y")</f>
        <v>280</v>
      </c>
      <c r="F24" s="13">
        <f>_xll.BDH("AMGN US Equity","IS_INC_TAX_EXP","FQ1 2020","FQ1 2020","Currency=USD","Period=FQ","BEST_FPERIOD_OVERRIDE=FQ","FILING_STATUS=MR","SCALING_FORMAT=MLN","FA_ADJUSTED=GAAP","Sort=A","Dates=H","DateFormat=P","Fill=—","Direction=H","UseDPDF=Y")</f>
        <v>195</v>
      </c>
      <c r="G24" s="13">
        <f>_xll.BDH("AMGN US Equity","IS_INC_TAX_EXP","FQ2 2020","FQ2 2020","Currency=USD","Period=FQ","BEST_FPERIOD_OVERRIDE=FQ","FILING_STATUS=MR","SCALING_FORMAT=MLN","FA_ADJUSTED=GAAP","Sort=A","Dates=H","DateFormat=P","Fill=—","Direction=H","UseDPDF=Y")</f>
        <v>227</v>
      </c>
      <c r="H24" s="13">
        <f>_xll.BDH("AMGN US Equity","IS_INC_TAX_EXP","FQ3 2020","FQ3 2020","Currency=USD","Period=FQ","BEST_FPERIOD_OVERRIDE=FQ","FILING_STATUS=MR","SCALING_FORMAT=MLN","FA_ADJUSTED=GAAP","Sort=A","Dates=H","DateFormat=P","Fill=—","Direction=H","UseDPDF=Y")</f>
        <v>185</v>
      </c>
      <c r="I24" s="13">
        <f>_xll.BDH("AMGN US Equity","IS_INC_TAX_EXP","FQ4 2020","FQ4 2020","Currency=USD","Period=FQ","BEST_FPERIOD_OVERRIDE=FQ","FILING_STATUS=MR","SCALING_FORMAT=MLN","FA_ADJUSTED=GAAP","Sort=A","Dates=H","DateFormat=P","Fill=—","Direction=H","UseDPDF=Y")</f>
        <v>262</v>
      </c>
      <c r="J24" s="13">
        <f>_xll.BDH("AMGN US Equity","IS_INC_TAX_EXP","FQ1 2021","FQ1 2021","Currency=USD","Period=FQ","BEST_FPERIOD_OVERRIDE=FQ","FILING_STATUS=MR","SCALING_FORMAT=MLN","FA_ADJUSTED=GAAP","Sort=A","Dates=H","DateFormat=P","Fill=—","Direction=H","UseDPDF=Y")</f>
        <v>211</v>
      </c>
      <c r="K24" s="13">
        <f>_xll.BDH("AMGN US Equity","IS_INC_TAX_EXP","FQ2 2021","FQ2 2021","Currency=USD","Period=FQ","BEST_FPERIOD_OVERRIDE=FQ","FILING_STATUS=MR","SCALING_FORMAT=MLN","FA_ADJUSTED=GAAP","Sort=A","Dates=H","DateFormat=P","Fill=—","Direction=H","UseDPDF=Y")</f>
        <v>94</v>
      </c>
      <c r="L24" s="13">
        <f>_xll.BDH("AMGN US Equity","IS_INC_TAX_EXP","FQ3 2021","FQ3 2021","Currency=USD","Period=FQ","BEST_FPERIOD_OVERRIDE=FQ","FILING_STATUS=MR","SCALING_FORMAT=MLN","FA_ADJUSTED=GAAP","Sort=A","Dates=H","DateFormat=P","Fill=—","Direction=H","UseDPDF=Y")</f>
        <v>271</v>
      </c>
      <c r="M24" s="13">
        <f>_xll.BDH("AMGN US Equity","IS_INC_TAX_EXP","FQ4 2021","FQ4 2021","Currency=USD","Period=FQ","BEST_FPERIOD_OVERRIDE=FQ","FILING_STATUS=MR","SCALING_FORMAT=MLN","FA_ADJUSTED=GAAP","Sort=A","Dates=H","DateFormat=P","Fill=—","Direction=H","UseDPDF=Y")</f>
        <v>232</v>
      </c>
      <c r="N24" s="13">
        <f>_xll.BDH("AMGN US Equity","IS_INC_TAX_EXP","FQ1 2022","FQ1 2022","Currency=USD","Period=FQ","BEST_FPERIOD_OVERRIDE=FQ","FILING_STATUS=MR","SCALING_FORMAT=MLN","FA_ADJUSTED=GAAP","Sort=A","Dates=H","DateFormat=P","Fill=—","Direction=H","UseDPDF=Y")</f>
        <v>199</v>
      </c>
      <c r="O24" s="13">
        <f>_xll.BDH("AMGN US Equity","IS_INC_TAX_EXP","FQ2 2022","FQ2 2022","Currency=USD","Period=FQ","BEST_FPERIOD_OVERRIDE=FQ","FILING_STATUS=MR","SCALING_FORMAT=MLN","FA_ADJUSTED=GAAP","Sort=A","Dates=H","DateFormat=P","Fill=—","Direction=H","UseDPDF=Y")</f>
        <v>214</v>
      </c>
      <c r="P24" s="13">
        <f>_xll.BDH("AMGN US Equity","IS_INC_TAX_EXP","FQ3 2022","FQ3 2022","Currency=USD","Period=FQ","BEST_FPERIOD_OVERRIDE=FQ","FILING_STATUS=MR","SCALING_FORMAT=MLN","FA_ADJUSTED=GAAP","Sort=A","Dates=H","DateFormat=P","Fill=—","Direction=H","UseDPDF=Y")</f>
        <v>249</v>
      </c>
      <c r="Q24" s="13">
        <f>_xll.BDH("AMGN US Equity","IS_INC_TAX_EXP","FQ4 2022","FQ4 2022","Currency=USD","Period=FQ","BEST_FPERIOD_OVERRIDE=FQ","FILING_STATUS=MR","SCALING_FORMAT=MLN","FA_ADJUSTED=GAAP","Sort=A","Dates=H","DateFormat=P","Fill=—","Direction=H","UseDPDF=Y")</f>
        <v>132</v>
      </c>
      <c r="R24" s="13">
        <f>_xll.BDH("AMGN US Equity","IS_INC_TAX_EXP","FQ1 2023","FQ1 2023","Currency=USD","Period=FQ","BEST_FPERIOD_OVERRIDE=FQ","FILING_STATUS=MR","SCALING_FORMAT=MLN","FA_ADJUSTED=GAAP","Sort=A","Dates=H","DateFormat=P","Fill=—","Direction=H","UseDPDF=Y")</f>
        <v>601</v>
      </c>
      <c r="S24" s="13">
        <f>_xll.BDH("AMGN US Equity","IS_INC_TAX_EXP","FQ2 2023","FQ2 2023","Currency=USD","Period=FQ","BEST_FPERIOD_OVERRIDE=FQ","FILING_STATUS=MR","SCALING_FORMAT=MLN","FA_ADJUSTED=GAAP","Sort=A","Dates=H","DateFormat=P","Fill=—","Direction=H","UseDPDF=Y")</f>
        <v>235</v>
      </c>
      <c r="T24" s="13">
        <f>_xll.BDH("AMGN US Equity","IS_INC_TAX_EXP","FQ3 2023","FQ3 2023","Currency=USD","Period=FQ","BEST_FPERIOD_OVERRIDE=FQ","FILING_STATUS=MR","SCALING_FORMAT=MLN","FA_ADJUSTED=GAAP","Sort=A","Dates=H","DateFormat=P","Fill=—","Direction=H","UseDPDF=Y")</f>
        <v>217</v>
      </c>
      <c r="U24" s="13">
        <f>_xll.BDH("AMGN US Equity","IS_INC_TAX_EXP","FQ4 2023","FQ4 2023","Currency=USD","Period=FQ","BEST_FPERIOD_OVERRIDE=FQ","FILING_STATUS=MR","SCALING_FORMAT=MLN","FA_ADJUSTED=GAAP","Sort=A","Dates=H","DateFormat=P","Fill=—","Direction=H","UseDPDF=Y")</f>
        <v>85</v>
      </c>
      <c r="V24" s="13">
        <f>_xll.BDH("AMGN US Equity","IS_INC_TAX_EXP","FQ1 2024","FQ1 2024","Currency=USD","Period=FQ","BEST_FPERIOD_OVERRIDE=FQ","FILING_STATUS=MR","SCALING_FORMAT=MLN","FA_ADJUSTED=GAAP","Sort=A","Dates=H","DateFormat=P","Fill=—","Direction=H","UseDPDF=Y")</f>
        <v>45</v>
      </c>
      <c r="W24" s="13">
        <f>_xll.BDH("AMGN US Equity","IS_INC_TAX_EXP","FQ2 2024","FQ2 2024","Currency=USD","Period=FQ","BEST_FPERIOD_OVERRIDE=FQ","FILING_STATUS=MR","SCALING_FORMAT=MLN","FA_ADJUSTED=GAAP","Sort=A","Dates=H","DateFormat=P","Fill=—","Direction=H","UseDPDF=Y")</f>
        <v>48</v>
      </c>
      <c r="X24" s="13">
        <f>_xll.BDH("AMGN US Equity","IS_INC_TAX_EXP","FQ3 2024","FQ3 2024","Currency=USD","Period=FQ","BEST_FPERIOD_OVERRIDE=FQ","FILING_STATUS=MR","SCALING_FORMAT=MLN","FA_ADJUSTED=GAAP","Sort=A","Dates=H","DateFormat=P","Fill=—","Direction=H","UseDPDF=Y")</f>
        <v>271</v>
      </c>
      <c r="Y24" s="13">
        <f>_xll.BDH("AMGN US Equity","IS_INC_TAX_EXP","FQ4 2024","FQ4 2024","Currency=USD","Period=FQ","BEST_FPERIOD_OVERRIDE=FQ","FILING_STATUS=MR","SCALING_FORMAT=MLN","FA_ADJUSTED=GAAP","Sort=A","Dates=H","DateFormat=P","Fill=—","Direction=H","UseDPDF=Y")</f>
        <v>155</v>
      </c>
      <c r="Z24" s="13"/>
      <c r="AA24" s="13"/>
    </row>
    <row r="25" spans="1:27" x14ac:dyDescent="0.25">
      <c r="A25" s="6" t="s">
        <v>359</v>
      </c>
      <c r="B25" s="6" t="s">
        <v>360</v>
      </c>
      <c r="C25" s="19">
        <f>_xll.BDH("AMGN US Equity","IS_INC_BEF_XO_ITEM","FQ2 2019","FQ2 2019","Currency=USD","Period=FQ","BEST_FPERIOD_OVERRIDE=FQ","FILING_STATUS=MR","SCALING_FORMAT=MLN","Sort=A","Dates=H","DateFormat=P","Fill=—","Direction=H","UseDPDF=Y")</f>
        <v>2179</v>
      </c>
      <c r="D25" s="19">
        <f>_xll.BDH("AMGN US Equity","IS_INC_BEF_XO_ITEM","FQ3 2019","FQ3 2019","Currency=USD","Period=FQ","BEST_FPERIOD_OVERRIDE=FQ","FILING_STATUS=MR","SCALING_FORMAT=MLN","Sort=A","Dates=H","DateFormat=P","Fill=—","Direction=H","UseDPDF=Y")</f>
        <v>1968</v>
      </c>
      <c r="E25" s="19">
        <f>_xll.BDH("AMGN US Equity","IS_INC_BEF_XO_ITEM","FQ4 2019","FQ4 2019","Currency=USD","Period=FQ","BEST_FPERIOD_OVERRIDE=FQ","FILING_STATUS=MR","SCALING_FORMAT=MLN","Sort=A","Dates=H","DateFormat=P","Fill=—","Direction=H","UseDPDF=Y")</f>
        <v>1703</v>
      </c>
      <c r="F25" s="19">
        <f>_xll.BDH("AMGN US Equity","IS_INC_BEF_XO_ITEM","FQ1 2020","FQ1 2020","Currency=USD","Period=FQ","BEST_FPERIOD_OVERRIDE=FQ","FILING_STATUS=MR","SCALING_FORMAT=MLN","Sort=A","Dates=H","DateFormat=P","Fill=—","Direction=H","UseDPDF=Y")</f>
        <v>1825</v>
      </c>
      <c r="G25" s="19">
        <f>_xll.BDH("AMGN US Equity","IS_INC_BEF_XO_ITEM","FQ2 2020","FQ2 2020","Currency=USD","Period=FQ","BEST_FPERIOD_OVERRIDE=FQ","FILING_STATUS=MR","SCALING_FORMAT=MLN","Sort=A","Dates=H","DateFormat=P","Fill=—","Direction=H","UseDPDF=Y")</f>
        <v>1803</v>
      </c>
      <c r="H25" s="19">
        <f>_xll.BDH("AMGN US Equity","IS_INC_BEF_XO_ITEM","FQ3 2020","FQ3 2020","Currency=USD","Period=FQ","BEST_FPERIOD_OVERRIDE=FQ","FILING_STATUS=MR","SCALING_FORMAT=MLN","Sort=A","Dates=H","DateFormat=P","Fill=—","Direction=H","UseDPDF=Y")</f>
        <v>2021</v>
      </c>
      <c r="I25" s="19">
        <f>_xll.BDH("AMGN US Equity","IS_INC_BEF_XO_ITEM","FQ4 2020","FQ4 2020","Currency=USD","Period=FQ","BEST_FPERIOD_OVERRIDE=FQ","FILING_STATUS=MR","SCALING_FORMAT=MLN","Sort=A","Dates=H","DateFormat=P","Fill=—","Direction=H","UseDPDF=Y")</f>
        <v>1615</v>
      </c>
      <c r="J25" s="19">
        <f>_xll.BDH("AMGN US Equity","IS_INC_BEF_XO_ITEM","FQ1 2021","FQ1 2021","Currency=USD","Period=FQ","BEST_FPERIOD_OVERRIDE=FQ","FILING_STATUS=MR","SCALING_FORMAT=MLN","Sort=A","Dates=H","DateFormat=P","Fill=—","Direction=H","UseDPDF=Y")</f>
        <v>1646</v>
      </c>
      <c r="K25" s="19">
        <f>_xll.BDH("AMGN US Equity","IS_INC_BEF_XO_ITEM","FQ2 2021","FQ2 2021","Currency=USD","Period=FQ","BEST_FPERIOD_OVERRIDE=FQ","FILING_STATUS=MR","SCALING_FORMAT=MLN","Sort=A","Dates=H","DateFormat=P","Fill=—","Direction=H","UseDPDF=Y")</f>
        <v>464</v>
      </c>
      <c r="L25" s="19">
        <f>_xll.BDH("AMGN US Equity","IS_INC_BEF_XO_ITEM","FQ3 2021","FQ3 2021","Currency=USD","Period=FQ","BEST_FPERIOD_OVERRIDE=FQ","FILING_STATUS=MR","SCALING_FORMAT=MLN","Sort=A","Dates=H","DateFormat=P","Fill=—","Direction=H","UseDPDF=Y")</f>
        <v>1884</v>
      </c>
      <c r="M25" s="19">
        <f>_xll.BDH("AMGN US Equity","IS_INC_BEF_XO_ITEM","FQ4 2021","FQ4 2021","Currency=USD","Period=FQ","BEST_FPERIOD_OVERRIDE=FQ","FILING_STATUS=MR","SCALING_FORMAT=MLN","Sort=A","Dates=H","DateFormat=P","Fill=—","Direction=H","UseDPDF=Y")</f>
        <v>1899</v>
      </c>
      <c r="N25" s="19">
        <f>_xll.BDH("AMGN US Equity","IS_INC_BEF_XO_ITEM","FQ1 2022","FQ1 2022","Currency=USD","Period=FQ","BEST_FPERIOD_OVERRIDE=FQ","FILING_STATUS=MR","SCALING_FORMAT=MLN","Sort=A","Dates=H","DateFormat=P","Fill=—","Direction=H","UseDPDF=Y")</f>
        <v>1476</v>
      </c>
      <c r="O25" s="19">
        <f>_xll.BDH("AMGN US Equity","IS_INC_BEF_XO_ITEM","FQ2 2022","FQ2 2022","Currency=USD","Period=FQ","BEST_FPERIOD_OVERRIDE=FQ","FILING_STATUS=MR","SCALING_FORMAT=MLN","Sort=A","Dates=H","DateFormat=P","Fill=—","Direction=H","UseDPDF=Y")</f>
        <v>1317</v>
      </c>
      <c r="P25" s="19">
        <f>_xll.BDH("AMGN US Equity","IS_INC_BEF_XO_ITEM","FQ3 2022","FQ3 2022","Currency=USD","Period=FQ","BEST_FPERIOD_OVERRIDE=FQ","FILING_STATUS=MR","SCALING_FORMAT=MLN","Sort=A","Dates=H","DateFormat=P","Fill=—","Direction=H","UseDPDF=Y")</f>
        <v>2143</v>
      </c>
      <c r="Q25" s="19">
        <f>_xll.BDH("AMGN US Equity","IS_INC_BEF_XO_ITEM","FQ4 2022","FQ4 2022","Currency=USD","Period=FQ","BEST_FPERIOD_OVERRIDE=FQ","FILING_STATUS=MR","SCALING_FORMAT=MLN","Sort=A","Dates=H","DateFormat=P","Fill=—","Direction=H","UseDPDF=Y")</f>
        <v>1616</v>
      </c>
      <c r="R25" s="19">
        <f>_xll.BDH("AMGN US Equity","IS_INC_BEF_XO_ITEM","FQ1 2023","FQ1 2023","Currency=USD","Period=FQ","BEST_FPERIOD_OVERRIDE=FQ","FILING_STATUS=MR","SCALING_FORMAT=MLN","Sort=A","Dates=H","DateFormat=P","Fill=—","Direction=H","UseDPDF=Y")</f>
        <v>2841</v>
      </c>
      <c r="S25" s="19">
        <f>_xll.BDH("AMGN US Equity","IS_INC_BEF_XO_ITEM","FQ2 2023","FQ2 2023","Currency=USD","Period=FQ","BEST_FPERIOD_OVERRIDE=FQ","FILING_STATUS=MR","SCALING_FORMAT=MLN","Sort=A","Dates=H","DateFormat=P","Fill=—","Direction=H","UseDPDF=Y")</f>
        <v>1379</v>
      </c>
      <c r="T25" s="19">
        <f>_xll.BDH("AMGN US Equity","IS_INC_BEF_XO_ITEM","FQ3 2023","FQ3 2023","Currency=USD","Period=FQ","BEST_FPERIOD_OVERRIDE=FQ","FILING_STATUS=MR","SCALING_FORMAT=MLN","Sort=A","Dates=H","DateFormat=P","Fill=—","Direction=H","UseDPDF=Y")</f>
        <v>1730</v>
      </c>
      <c r="U25" s="19">
        <f>_xll.BDH("AMGN US Equity","IS_INC_BEF_XO_ITEM","FQ4 2023","FQ4 2023","Currency=USD","Period=FQ","BEST_FPERIOD_OVERRIDE=FQ","FILING_STATUS=MR","SCALING_FORMAT=MLN","Sort=A","Dates=H","DateFormat=P","Fill=—","Direction=H","UseDPDF=Y")</f>
        <v>767</v>
      </c>
      <c r="V25" s="19">
        <f>_xll.BDH("AMGN US Equity","IS_INC_BEF_XO_ITEM","FQ1 2024","FQ1 2024","Currency=USD","Period=FQ","BEST_FPERIOD_OVERRIDE=FQ","FILING_STATUS=MR","SCALING_FORMAT=MLN","Sort=A","Dates=H","DateFormat=P","Fill=—","Direction=H","UseDPDF=Y")</f>
        <v>-113</v>
      </c>
      <c r="W25" s="19">
        <f>_xll.BDH("AMGN US Equity","IS_INC_BEF_XO_ITEM","FQ2 2024","FQ2 2024","Currency=USD","Period=FQ","BEST_FPERIOD_OVERRIDE=FQ","FILING_STATUS=MR","SCALING_FORMAT=MLN","Sort=A","Dates=H","DateFormat=P","Fill=—","Direction=H","UseDPDF=Y")</f>
        <v>746</v>
      </c>
      <c r="X25" s="19">
        <f>_xll.BDH("AMGN US Equity","IS_INC_BEF_XO_ITEM","FQ3 2024","FQ3 2024","Currency=USD","Period=FQ","BEST_FPERIOD_OVERRIDE=FQ","FILING_STATUS=MR","SCALING_FORMAT=MLN","Sort=A","Dates=H","DateFormat=P","Fill=—","Direction=H","UseDPDF=Y")</f>
        <v>2830</v>
      </c>
      <c r="Y25" s="19">
        <f>_xll.BDH("AMGN US Equity","IS_INC_BEF_XO_ITEM","FQ4 2024","FQ4 2024","Currency=USD","Period=FQ","BEST_FPERIOD_OVERRIDE=FQ","FILING_STATUS=MR","SCALING_FORMAT=MLN","Sort=A","Dates=H","DateFormat=P","Fill=—","Direction=H","UseDPDF=Y")</f>
        <v>627</v>
      </c>
      <c r="Z25" s="19">
        <v>1233.143</v>
      </c>
      <c r="AA25" s="19">
        <v>1814.143</v>
      </c>
    </row>
    <row r="26" spans="1:27" x14ac:dyDescent="0.25">
      <c r="A26" s="10" t="s">
        <v>361</v>
      </c>
      <c r="B26" s="10" t="s">
        <v>362</v>
      </c>
      <c r="C26" s="13">
        <f>_xll.BDH("AMGN US Equity","XO_GL_NET_OF_TAX","FQ2 2019","FQ2 2019","Currency=USD","Period=FQ","BEST_FPERIOD_OVERRIDE=FQ","FILING_STATUS=MR","SCALING_FORMAT=MLN","Sort=A","Dates=H","DateFormat=P","Fill=—","Direction=H","UseDPDF=Y")</f>
        <v>0</v>
      </c>
      <c r="D26" s="13">
        <f>_xll.BDH("AMGN US Equity","XO_GL_NET_OF_TAX","FQ3 2019","FQ3 2019","Currency=USD","Period=FQ","BEST_FPERIOD_OVERRIDE=FQ","FILING_STATUS=MR","SCALING_FORMAT=MLN","Sort=A","Dates=H","DateFormat=P","Fill=—","Direction=H","UseDPDF=Y")</f>
        <v>0</v>
      </c>
      <c r="E26" s="13">
        <f>_xll.BDH("AMGN US Equity","XO_GL_NET_OF_TAX","FQ4 2019","FQ4 2019","Currency=USD","Period=FQ","BEST_FPERIOD_OVERRIDE=FQ","FILING_STATUS=MR","SCALING_FORMAT=MLN","Sort=A","Dates=H","DateFormat=P","Fill=—","Direction=H","UseDPDF=Y")</f>
        <v>0</v>
      </c>
      <c r="F26" s="13">
        <f>_xll.BDH("AMGN US Equity","XO_GL_NET_OF_TAX","FQ1 2020","FQ1 2020","Currency=USD","Period=FQ","BEST_FPERIOD_OVERRIDE=FQ","FILING_STATUS=MR","SCALING_FORMAT=MLN","Sort=A","Dates=H","DateFormat=P","Fill=—","Direction=H","UseDPDF=Y")</f>
        <v>0</v>
      </c>
      <c r="G26" s="13">
        <f>_xll.BDH("AMGN US Equity","XO_GL_NET_OF_TAX","FQ2 2020","FQ2 2020","Currency=USD","Period=FQ","BEST_FPERIOD_OVERRIDE=FQ","FILING_STATUS=MR","SCALING_FORMAT=MLN","Sort=A","Dates=H","DateFormat=P","Fill=—","Direction=H","UseDPDF=Y")</f>
        <v>0</v>
      </c>
      <c r="H26" s="13">
        <f>_xll.BDH("AMGN US Equity","XO_GL_NET_OF_TAX","FQ3 2020","FQ3 2020","Currency=USD","Period=FQ","BEST_FPERIOD_OVERRIDE=FQ","FILING_STATUS=MR","SCALING_FORMAT=MLN","Sort=A","Dates=H","DateFormat=P","Fill=—","Direction=H","UseDPDF=Y")</f>
        <v>0</v>
      </c>
      <c r="I26" s="13">
        <f>_xll.BDH("AMGN US Equity","XO_GL_NET_OF_TAX","FQ4 2020","FQ4 2020","Currency=USD","Period=FQ","BEST_FPERIOD_OVERRIDE=FQ","FILING_STATUS=MR","SCALING_FORMAT=MLN","Sort=A","Dates=H","DateFormat=P","Fill=—","Direction=H","UseDPDF=Y")</f>
        <v>0</v>
      </c>
      <c r="J26" s="13">
        <f>_xll.BDH("AMGN US Equity","XO_GL_NET_OF_TAX","FQ1 2021","FQ1 2021","Currency=USD","Period=FQ","BEST_FPERIOD_OVERRIDE=FQ","FILING_STATUS=MR","SCALING_FORMAT=MLN","Sort=A","Dates=H","DateFormat=P","Fill=—","Direction=H","UseDPDF=Y")</f>
        <v>0</v>
      </c>
      <c r="K26" s="13">
        <f>_xll.BDH("AMGN US Equity","XO_GL_NET_OF_TAX","FQ2 2021","FQ2 2021","Currency=USD","Period=FQ","BEST_FPERIOD_OVERRIDE=FQ","FILING_STATUS=MR","SCALING_FORMAT=MLN","Sort=A","Dates=H","DateFormat=P","Fill=—","Direction=H","UseDPDF=Y")</f>
        <v>0</v>
      </c>
      <c r="L26" s="13">
        <f>_xll.BDH("AMGN US Equity","XO_GL_NET_OF_TAX","FQ3 2021","FQ3 2021","Currency=USD","Period=FQ","BEST_FPERIOD_OVERRIDE=FQ","FILING_STATUS=MR","SCALING_FORMAT=MLN","Sort=A","Dates=H","DateFormat=P","Fill=—","Direction=H","UseDPDF=Y")</f>
        <v>0</v>
      </c>
      <c r="M26" s="13">
        <f>_xll.BDH("AMGN US Equity","XO_GL_NET_OF_TAX","FQ4 2021","FQ4 2021","Currency=USD","Period=FQ","BEST_FPERIOD_OVERRIDE=FQ","FILING_STATUS=MR","SCALING_FORMAT=MLN","Sort=A","Dates=H","DateFormat=P","Fill=—","Direction=H","UseDPDF=Y")</f>
        <v>0</v>
      </c>
      <c r="N26" s="13">
        <f>_xll.BDH("AMGN US Equity","XO_GL_NET_OF_TAX","FQ1 2022","FQ1 2022","Currency=USD","Period=FQ","BEST_FPERIOD_OVERRIDE=FQ","FILING_STATUS=MR","SCALING_FORMAT=MLN","Sort=A","Dates=H","DateFormat=P","Fill=—","Direction=H","UseDPDF=Y")</f>
        <v>0</v>
      </c>
      <c r="O26" s="13">
        <f>_xll.BDH("AMGN US Equity","XO_GL_NET_OF_TAX","FQ2 2022","FQ2 2022","Currency=USD","Period=FQ","BEST_FPERIOD_OVERRIDE=FQ","FILING_STATUS=MR","SCALING_FORMAT=MLN","Sort=A","Dates=H","DateFormat=P","Fill=—","Direction=H","UseDPDF=Y")</f>
        <v>0</v>
      </c>
      <c r="P26" s="13">
        <f>_xll.BDH("AMGN US Equity","XO_GL_NET_OF_TAX","FQ3 2022","FQ3 2022","Currency=USD","Period=FQ","BEST_FPERIOD_OVERRIDE=FQ","FILING_STATUS=MR","SCALING_FORMAT=MLN","Sort=A","Dates=H","DateFormat=P","Fill=—","Direction=H","UseDPDF=Y")</f>
        <v>0</v>
      </c>
      <c r="Q26" s="13">
        <f>_xll.BDH("AMGN US Equity","XO_GL_NET_OF_TAX","FQ4 2022","FQ4 2022","Currency=USD","Period=FQ","BEST_FPERIOD_OVERRIDE=FQ","FILING_STATUS=MR","SCALING_FORMAT=MLN","Sort=A","Dates=H","DateFormat=P","Fill=—","Direction=H","UseDPDF=Y")</f>
        <v>0</v>
      </c>
      <c r="R26" s="13">
        <f>_xll.BDH("AMGN US Equity","XO_GL_NET_OF_TAX","FQ1 2023","FQ1 2023","Currency=USD","Period=FQ","BEST_FPERIOD_OVERRIDE=FQ","FILING_STATUS=MR","SCALING_FORMAT=MLN","Sort=A","Dates=H","DateFormat=P","Fill=—","Direction=H","UseDPDF=Y")</f>
        <v>0</v>
      </c>
      <c r="S26" s="13">
        <f>_xll.BDH("AMGN US Equity","XO_GL_NET_OF_TAX","FQ2 2023","FQ2 2023","Currency=USD","Period=FQ","BEST_FPERIOD_OVERRIDE=FQ","FILING_STATUS=MR","SCALING_FORMAT=MLN","Sort=A","Dates=H","DateFormat=P","Fill=—","Direction=H","UseDPDF=Y")</f>
        <v>0</v>
      </c>
      <c r="T26" s="13">
        <f>_xll.BDH("AMGN US Equity","XO_GL_NET_OF_TAX","FQ3 2023","FQ3 2023","Currency=USD","Period=FQ","BEST_FPERIOD_OVERRIDE=FQ","FILING_STATUS=MR","SCALING_FORMAT=MLN","Sort=A","Dates=H","DateFormat=P","Fill=—","Direction=H","UseDPDF=Y")</f>
        <v>0</v>
      </c>
      <c r="U26" s="13">
        <f>_xll.BDH("AMGN US Equity","XO_GL_NET_OF_TAX","FQ4 2023","FQ4 2023","Currency=USD","Period=FQ","BEST_FPERIOD_OVERRIDE=FQ","FILING_STATUS=MR","SCALING_FORMAT=MLN","Sort=A","Dates=H","DateFormat=P","Fill=—","Direction=H","UseDPDF=Y")</f>
        <v>0</v>
      </c>
      <c r="V26" s="13">
        <f>_xll.BDH("AMGN US Equity","XO_GL_NET_OF_TAX","FQ1 2024","FQ1 2024","Currency=USD","Period=FQ","BEST_FPERIOD_OVERRIDE=FQ","FILING_STATUS=MR","SCALING_FORMAT=MLN","Sort=A","Dates=H","DateFormat=P","Fill=—","Direction=H","UseDPDF=Y")</f>
        <v>0</v>
      </c>
      <c r="W26" s="13">
        <f>_xll.BDH("AMGN US Equity","XO_GL_NET_OF_TAX","FQ2 2024","FQ2 2024","Currency=USD","Period=FQ","BEST_FPERIOD_OVERRIDE=FQ","FILING_STATUS=MR","SCALING_FORMAT=MLN","Sort=A","Dates=H","DateFormat=P","Fill=—","Direction=H","UseDPDF=Y")</f>
        <v>0</v>
      </c>
      <c r="X26" s="13">
        <f>_xll.BDH("AMGN US Equity","XO_GL_NET_OF_TAX","FQ3 2024","FQ3 2024","Currency=USD","Period=FQ","BEST_FPERIOD_OVERRIDE=FQ","FILING_STATUS=MR","SCALING_FORMAT=MLN","Sort=A","Dates=H","DateFormat=P","Fill=—","Direction=H","UseDPDF=Y")</f>
        <v>0</v>
      </c>
      <c r="Y26" s="13">
        <f>_xll.BDH("AMGN US Equity","XO_GL_NET_OF_TAX","FQ4 2024","FQ4 2024","Currency=USD","Period=FQ","BEST_FPERIOD_OVERRIDE=FQ","FILING_STATUS=MR","SCALING_FORMAT=MLN","Sort=A","Dates=H","DateFormat=P","Fill=—","Direction=H","UseDPDF=Y")</f>
        <v>0</v>
      </c>
      <c r="Z26" s="13"/>
      <c r="AA26" s="13"/>
    </row>
    <row r="27" spans="1:27" x14ac:dyDescent="0.25">
      <c r="A27" s="10" t="s">
        <v>363</v>
      </c>
      <c r="B27" s="10" t="s">
        <v>364</v>
      </c>
      <c r="C27" s="13">
        <f>_xll.BDH("AMGN US Equity","IS_DISCONTINUED_OPERATIONS","FQ2 2019","FQ2 2019","Currency=USD","Period=FQ","BEST_FPERIOD_OVERRIDE=FQ","FILING_STATUS=MR","SCALING_FORMAT=MLN","Sort=A","Dates=H","DateFormat=P","Fill=—","Direction=H","UseDPDF=Y")</f>
        <v>0</v>
      </c>
      <c r="D27" s="13">
        <f>_xll.BDH("AMGN US Equity","IS_DISCONTINUED_OPERATIONS","FQ3 2019","FQ3 2019","Currency=USD","Period=FQ","BEST_FPERIOD_OVERRIDE=FQ","FILING_STATUS=MR","SCALING_FORMAT=MLN","Sort=A","Dates=H","DateFormat=P","Fill=—","Direction=H","UseDPDF=Y")</f>
        <v>0</v>
      </c>
      <c r="E27" s="13">
        <f>_xll.BDH("AMGN US Equity","IS_DISCONTINUED_OPERATIONS","FQ4 2019","FQ4 2019","Currency=USD","Period=FQ","BEST_FPERIOD_OVERRIDE=FQ","FILING_STATUS=MR","SCALING_FORMAT=MLN","Sort=A","Dates=H","DateFormat=P","Fill=—","Direction=H","UseDPDF=Y")</f>
        <v>0</v>
      </c>
      <c r="F27" s="13">
        <f>_xll.BDH("AMGN US Equity","IS_DISCONTINUED_OPERATIONS","FQ1 2020","FQ1 2020","Currency=USD","Period=FQ","BEST_FPERIOD_OVERRIDE=FQ","FILING_STATUS=MR","SCALING_FORMAT=MLN","Sort=A","Dates=H","DateFormat=P","Fill=—","Direction=H","UseDPDF=Y")</f>
        <v>0</v>
      </c>
      <c r="G27" s="13">
        <f>_xll.BDH("AMGN US Equity","IS_DISCONTINUED_OPERATIONS","FQ2 2020","FQ2 2020","Currency=USD","Period=FQ","BEST_FPERIOD_OVERRIDE=FQ","FILING_STATUS=MR","SCALING_FORMAT=MLN","Sort=A","Dates=H","DateFormat=P","Fill=—","Direction=H","UseDPDF=Y")</f>
        <v>0</v>
      </c>
      <c r="H27" s="13">
        <f>_xll.BDH("AMGN US Equity","IS_DISCONTINUED_OPERATIONS","FQ3 2020","FQ3 2020","Currency=USD","Period=FQ","BEST_FPERIOD_OVERRIDE=FQ","FILING_STATUS=MR","SCALING_FORMAT=MLN","Sort=A","Dates=H","DateFormat=P","Fill=—","Direction=H","UseDPDF=Y")</f>
        <v>0</v>
      </c>
      <c r="I27" s="13">
        <f>_xll.BDH("AMGN US Equity","IS_DISCONTINUED_OPERATIONS","FQ4 2020","FQ4 2020","Currency=USD","Period=FQ","BEST_FPERIOD_OVERRIDE=FQ","FILING_STATUS=MR","SCALING_FORMAT=MLN","Sort=A","Dates=H","DateFormat=P","Fill=—","Direction=H","UseDPDF=Y")</f>
        <v>0</v>
      </c>
      <c r="J27" s="13">
        <f>_xll.BDH("AMGN US Equity","IS_DISCONTINUED_OPERATIONS","FQ1 2021","FQ1 2021","Currency=USD","Period=FQ","BEST_FPERIOD_OVERRIDE=FQ","FILING_STATUS=MR","SCALING_FORMAT=MLN","Sort=A","Dates=H","DateFormat=P","Fill=—","Direction=H","UseDPDF=Y")</f>
        <v>0</v>
      </c>
      <c r="K27" s="13">
        <f>_xll.BDH("AMGN US Equity","IS_DISCONTINUED_OPERATIONS","FQ2 2021","FQ2 2021","Currency=USD","Period=FQ","BEST_FPERIOD_OVERRIDE=FQ","FILING_STATUS=MR","SCALING_FORMAT=MLN","Sort=A","Dates=H","DateFormat=P","Fill=—","Direction=H","UseDPDF=Y")</f>
        <v>0</v>
      </c>
      <c r="L27" s="13">
        <f>_xll.BDH("AMGN US Equity","IS_DISCONTINUED_OPERATIONS","FQ3 2021","FQ3 2021","Currency=USD","Period=FQ","BEST_FPERIOD_OVERRIDE=FQ","FILING_STATUS=MR","SCALING_FORMAT=MLN","Sort=A","Dates=H","DateFormat=P","Fill=—","Direction=H","UseDPDF=Y")</f>
        <v>0</v>
      </c>
      <c r="M27" s="13">
        <f>_xll.BDH("AMGN US Equity","IS_DISCONTINUED_OPERATIONS","FQ4 2021","FQ4 2021","Currency=USD","Period=FQ","BEST_FPERIOD_OVERRIDE=FQ","FILING_STATUS=MR","SCALING_FORMAT=MLN","Sort=A","Dates=H","DateFormat=P","Fill=—","Direction=H","UseDPDF=Y")</f>
        <v>0</v>
      </c>
      <c r="N27" s="13">
        <f>_xll.BDH("AMGN US Equity","IS_DISCONTINUED_OPERATIONS","FQ1 2022","FQ1 2022","Currency=USD","Period=FQ","BEST_FPERIOD_OVERRIDE=FQ","FILING_STATUS=MR","SCALING_FORMAT=MLN","Sort=A","Dates=H","DateFormat=P","Fill=—","Direction=H","UseDPDF=Y")</f>
        <v>0</v>
      </c>
      <c r="O27" s="13">
        <f>_xll.BDH("AMGN US Equity","IS_DISCONTINUED_OPERATIONS","FQ2 2022","FQ2 2022","Currency=USD","Period=FQ","BEST_FPERIOD_OVERRIDE=FQ","FILING_STATUS=MR","SCALING_FORMAT=MLN","Sort=A","Dates=H","DateFormat=P","Fill=—","Direction=H","UseDPDF=Y")</f>
        <v>0</v>
      </c>
      <c r="P27" s="13">
        <f>_xll.BDH("AMGN US Equity","IS_DISCONTINUED_OPERATIONS","FQ3 2022","FQ3 2022","Currency=USD","Period=FQ","BEST_FPERIOD_OVERRIDE=FQ","FILING_STATUS=MR","SCALING_FORMAT=MLN","Sort=A","Dates=H","DateFormat=P","Fill=—","Direction=H","UseDPDF=Y")</f>
        <v>0</v>
      </c>
      <c r="Q27" s="13">
        <f>_xll.BDH("AMGN US Equity","IS_DISCONTINUED_OPERATIONS","FQ4 2022","FQ4 2022","Currency=USD","Period=FQ","BEST_FPERIOD_OVERRIDE=FQ","FILING_STATUS=MR","SCALING_FORMAT=MLN","Sort=A","Dates=H","DateFormat=P","Fill=—","Direction=H","UseDPDF=Y")</f>
        <v>0</v>
      </c>
      <c r="R27" s="13">
        <f>_xll.BDH("AMGN US Equity","IS_DISCONTINUED_OPERATIONS","FQ1 2023","FQ1 2023","Currency=USD","Period=FQ","BEST_FPERIOD_OVERRIDE=FQ","FILING_STATUS=MR","SCALING_FORMAT=MLN","Sort=A","Dates=H","DateFormat=P","Fill=—","Direction=H","UseDPDF=Y")</f>
        <v>0</v>
      </c>
      <c r="S27" s="13">
        <f>_xll.BDH("AMGN US Equity","IS_DISCONTINUED_OPERATIONS","FQ2 2023","FQ2 2023","Currency=USD","Period=FQ","BEST_FPERIOD_OVERRIDE=FQ","FILING_STATUS=MR","SCALING_FORMAT=MLN","Sort=A","Dates=H","DateFormat=P","Fill=—","Direction=H","UseDPDF=Y")</f>
        <v>0</v>
      </c>
      <c r="T27" s="13">
        <f>_xll.BDH("AMGN US Equity","IS_DISCONTINUED_OPERATIONS","FQ3 2023","FQ3 2023","Currency=USD","Period=FQ","BEST_FPERIOD_OVERRIDE=FQ","FILING_STATUS=MR","SCALING_FORMAT=MLN","Sort=A","Dates=H","DateFormat=P","Fill=—","Direction=H","UseDPDF=Y")</f>
        <v>0</v>
      </c>
      <c r="U27" s="13">
        <f>_xll.BDH("AMGN US Equity","IS_DISCONTINUED_OPERATIONS","FQ4 2023","FQ4 2023","Currency=USD","Period=FQ","BEST_FPERIOD_OVERRIDE=FQ","FILING_STATUS=MR","SCALING_FORMAT=MLN","Sort=A","Dates=H","DateFormat=P","Fill=—","Direction=H","UseDPDF=Y")</f>
        <v>0</v>
      </c>
      <c r="V27" s="13">
        <f>_xll.BDH("AMGN US Equity","IS_DISCONTINUED_OPERATIONS","FQ1 2024","FQ1 2024","Currency=USD","Period=FQ","BEST_FPERIOD_OVERRIDE=FQ","FILING_STATUS=MR","SCALING_FORMAT=MLN","Sort=A","Dates=H","DateFormat=P","Fill=—","Direction=H","UseDPDF=Y")</f>
        <v>0</v>
      </c>
      <c r="W27" s="13">
        <f>_xll.BDH("AMGN US Equity","IS_DISCONTINUED_OPERATIONS","FQ2 2024","FQ2 2024","Currency=USD","Period=FQ","BEST_FPERIOD_OVERRIDE=FQ","FILING_STATUS=MR","SCALING_FORMAT=MLN","Sort=A","Dates=H","DateFormat=P","Fill=—","Direction=H","UseDPDF=Y")</f>
        <v>0</v>
      </c>
      <c r="X27" s="13">
        <f>_xll.BDH("AMGN US Equity","IS_DISCONTINUED_OPERATIONS","FQ3 2024","FQ3 2024","Currency=USD","Period=FQ","BEST_FPERIOD_OVERRIDE=FQ","FILING_STATUS=MR","SCALING_FORMAT=MLN","Sort=A","Dates=H","DateFormat=P","Fill=—","Direction=H","UseDPDF=Y")</f>
        <v>0</v>
      </c>
      <c r="Y27" s="13">
        <f>_xll.BDH("AMGN US Equity","IS_DISCONTINUED_OPERATIONS","FQ4 2024","FQ4 2024","Currency=USD","Period=FQ","BEST_FPERIOD_OVERRIDE=FQ","FILING_STATUS=MR","SCALING_FORMAT=MLN","Sort=A","Dates=H","DateFormat=P","Fill=—","Direction=H","UseDPDF=Y")</f>
        <v>0</v>
      </c>
      <c r="Z27" s="13"/>
      <c r="AA27" s="13"/>
    </row>
    <row r="28" spans="1:27" x14ac:dyDescent="0.25">
      <c r="A28" s="10" t="s">
        <v>365</v>
      </c>
      <c r="B28" s="10" t="s">
        <v>366</v>
      </c>
      <c r="C28" s="13">
        <f>_xll.BDH("AMGN US Equity","EXTRAORD_ITEMS_ACCOUNTING_CHANGS","FQ2 2019","FQ2 2019","Currency=USD","Period=FQ","BEST_FPERIOD_OVERRIDE=FQ","FILING_STATUS=MR","SCALING_FORMAT=MLN","Sort=A","Dates=H","DateFormat=P","Fill=—","Direction=H","UseDPDF=Y")</f>
        <v>0</v>
      </c>
      <c r="D28" s="13">
        <f>_xll.BDH("AMGN US Equity","EXTRAORD_ITEMS_ACCOUNTING_CHANGS","FQ3 2019","FQ3 2019","Currency=USD","Period=FQ","BEST_FPERIOD_OVERRIDE=FQ","FILING_STATUS=MR","SCALING_FORMAT=MLN","Sort=A","Dates=H","DateFormat=P","Fill=—","Direction=H","UseDPDF=Y")</f>
        <v>0</v>
      </c>
      <c r="E28" s="13">
        <f>_xll.BDH("AMGN US Equity","EXTRAORD_ITEMS_ACCOUNTING_CHANGS","FQ4 2019","FQ4 2019","Currency=USD","Period=FQ","BEST_FPERIOD_OVERRIDE=FQ","FILING_STATUS=MR","SCALING_FORMAT=MLN","Sort=A","Dates=H","DateFormat=P","Fill=—","Direction=H","UseDPDF=Y")</f>
        <v>0</v>
      </c>
      <c r="F28" s="13">
        <f>_xll.BDH("AMGN US Equity","EXTRAORD_ITEMS_ACCOUNTING_CHANGS","FQ1 2020","FQ1 2020","Currency=USD","Period=FQ","BEST_FPERIOD_OVERRIDE=FQ","FILING_STATUS=MR","SCALING_FORMAT=MLN","Sort=A","Dates=H","DateFormat=P","Fill=—","Direction=H","UseDPDF=Y")</f>
        <v>0</v>
      </c>
      <c r="G28" s="13">
        <f>_xll.BDH("AMGN US Equity","EXTRAORD_ITEMS_ACCOUNTING_CHANGS","FQ2 2020","FQ2 2020","Currency=USD","Period=FQ","BEST_FPERIOD_OVERRIDE=FQ","FILING_STATUS=MR","SCALING_FORMAT=MLN","Sort=A","Dates=H","DateFormat=P","Fill=—","Direction=H","UseDPDF=Y")</f>
        <v>0</v>
      </c>
      <c r="H28" s="13">
        <f>_xll.BDH("AMGN US Equity","EXTRAORD_ITEMS_ACCOUNTING_CHANGS","FQ3 2020","FQ3 2020","Currency=USD","Period=FQ","BEST_FPERIOD_OVERRIDE=FQ","FILING_STATUS=MR","SCALING_FORMAT=MLN","Sort=A","Dates=H","DateFormat=P","Fill=—","Direction=H","UseDPDF=Y")</f>
        <v>0</v>
      </c>
      <c r="I28" s="13">
        <f>_xll.BDH("AMGN US Equity","EXTRAORD_ITEMS_ACCOUNTING_CHANGS","FQ4 2020","FQ4 2020","Currency=USD","Period=FQ","BEST_FPERIOD_OVERRIDE=FQ","FILING_STATUS=MR","SCALING_FORMAT=MLN","Sort=A","Dates=H","DateFormat=P","Fill=—","Direction=H","UseDPDF=Y")</f>
        <v>0</v>
      </c>
      <c r="J28" s="13">
        <f>_xll.BDH("AMGN US Equity","EXTRAORD_ITEMS_ACCOUNTING_CHANGS","FQ1 2021","FQ1 2021","Currency=USD","Period=FQ","BEST_FPERIOD_OVERRIDE=FQ","FILING_STATUS=MR","SCALING_FORMAT=MLN","Sort=A","Dates=H","DateFormat=P","Fill=—","Direction=H","UseDPDF=Y")</f>
        <v>0</v>
      </c>
      <c r="K28" s="13">
        <f>_xll.BDH("AMGN US Equity","EXTRAORD_ITEMS_ACCOUNTING_CHANGS","FQ2 2021","FQ2 2021","Currency=USD","Period=FQ","BEST_FPERIOD_OVERRIDE=FQ","FILING_STATUS=MR","SCALING_FORMAT=MLN","Sort=A","Dates=H","DateFormat=P","Fill=—","Direction=H","UseDPDF=Y")</f>
        <v>0</v>
      </c>
      <c r="L28" s="13">
        <f>_xll.BDH("AMGN US Equity","EXTRAORD_ITEMS_ACCOUNTING_CHANGS","FQ3 2021","FQ3 2021","Currency=USD","Period=FQ","BEST_FPERIOD_OVERRIDE=FQ","FILING_STATUS=MR","SCALING_FORMAT=MLN","Sort=A","Dates=H","DateFormat=P","Fill=—","Direction=H","UseDPDF=Y")</f>
        <v>0</v>
      </c>
      <c r="M28" s="13">
        <f>_xll.BDH("AMGN US Equity","EXTRAORD_ITEMS_ACCOUNTING_CHANGS","FQ4 2021","FQ4 2021","Currency=USD","Period=FQ","BEST_FPERIOD_OVERRIDE=FQ","FILING_STATUS=MR","SCALING_FORMAT=MLN","Sort=A","Dates=H","DateFormat=P","Fill=—","Direction=H","UseDPDF=Y")</f>
        <v>0</v>
      </c>
      <c r="N28" s="13">
        <f>_xll.BDH("AMGN US Equity","EXTRAORD_ITEMS_ACCOUNTING_CHANGS","FQ1 2022","FQ1 2022","Currency=USD","Period=FQ","BEST_FPERIOD_OVERRIDE=FQ","FILING_STATUS=MR","SCALING_FORMAT=MLN","Sort=A","Dates=H","DateFormat=P","Fill=—","Direction=H","UseDPDF=Y")</f>
        <v>0</v>
      </c>
      <c r="O28" s="13">
        <f>_xll.BDH("AMGN US Equity","EXTRAORD_ITEMS_ACCOUNTING_CHANGS","FQ2 2022","FQ2 2022","Currency=USD","Period=FQ","BEST_FPERIOD_OVERRIDE=FQ","FILING_STATUS=MR","SCALING_FORMAT=MLN","Sort=A","Dates=H","DateFormat=P","Fill=—","Direction=H","UseDPDF=Y")</f>
        <v>0</v>
      </c>
      <c r="P28" s="13">
        <f>_xll.BDH("AMGN US Equity","EXTRAORD_ITEMS_ACCOUNTING_CHANGS","FQ3 2022","FQ3 2022","Currency=USD","Period=FQ","BEST_FPERIOD_OVERRIDE=FQ","FILING_STATUS=MR","SCALING_FORMAT=MLN","Sort=A","Dates=H","DateFormat=P","Fill=—","Direction=H","UseDPDF=Y")</f>
        <v>0</v>
      </c>
      <c r="Q28" s="13">
        <f>_xll.BDH("AMGN US Equity","EXTRAORD_ITEMS_ACCOUNTING_CHANGS","FQ4 2022","FQ4 2022","Currency=USD","Period=FQ","BEST_FPERIOD_OVERRIDE=FQ","FILING_STATUS=MR","SCALING_FORMAT=MLN","Sort=A","Dates=H","DateFormat=P","Fill=—","Direction=H","UseDPDF=Y")</f>
        <v>0</v>
      </c>
      <c r="R28" s="13">
        <f>_xll.BDH("AMGN US Equity","EXTRAORD_ITEMS_ACCOUNTING_CHANGS","FQ1 2023","FQ1 2023","Currency=USD","Period=FQ","BEST_FPERIOD_OVERRIDE=FQ","FILING_STATUS=MR","SCALING_FORMAT=MLN","Sort=A","Dates=H","DateFormat=P","Fill=—","Direction=H","UseDPDF=Y")</f>
        <v>0</v>
      </c>
      <c r="S28" s="13">
        <f>_xll.BDH("AMGN US Equity","EXTRAORD_ITEMS_ACCOUNTING_CHANGS","FQ2 2023","FQ2 2023","Currency=USD","Period=FQ","BEST_FPERIOD_OVERRIDE=FQ","FILING_STATUS=MR","SCALING_FORMAT=MLN","Sort=A","Dates=H","DateFormat=P","Fill=—","Direction=H","UseDPDF=Y")</f>
        <v>0</v>
      </c>
      <c r="T28" s="13">
        <f>_xll.BDH("AMGN US Equity","EXTRAORD_ITEMS_ACCOUNTING_CHANGS","FQ3 2023","FQ3 2023","Currency=USD","Period=FQ","BEST_FPERIOD_OVERRIDE=FQ","FILING_STATUS=MR","SCALING_FORMAT=MLN","Sort=A","Dates=H","DateFormat=P","Fill=—","Direction=H","UseDPDF=Y")</f>
        <v>0</v>
      </c>
      <c r="U28" s="13">
        <f>_xll.BDH("AMGN US Equity","EXTRAORD_ITEMS_ACCOUNTING_CHANGS","FQ4 2023","FQ4 2023","Currency=USD","Period=FQ","BEST_FPERIOD_OVERRIDE=FQ","FILING_STATUS=MR","SCALING_FORMAT=MLN","Sort=A","Dates=H","DateFormat=P","Fill=—","Direction=H","UseDPDF=Y")</f>
        <v>0</v>
      </c>
      <c r="V28" s="13">
        <f>_xll.BDH("AMGN US Equity","EXTRAORD_ITEMS_ACCOUNTING_CHANGS","FQ1 2024","FQ1 2024","Currency=USD","Period=FQ","BEST_FPERIOD_OVERRIDE=FQ","FILING_STATUS=MR","SCALING_FORMAT=MLN","Sort=A","Dates=H","DateFormat=P","Fill=—","Direction=H","UseDPDF=Y")</f>
        <v>0</v>
      </c>
      <c r="W28" s="13">
        <f>_xll.BDH("AMGN US Equity","EXTRAORD_ITEMS_ACCOUNTING_CHANGS","FQ2 2024","FQ2 2024","Currency=USD","Period=FQ","BEST_FPERIOD_OVERRIDE=FQ","FILING_STATUS=MR","SCALING_FORMAT=MLN","Sort=A","Dates=H","DateFormat=P","Fill=—","Direction=H","UseDPDF=Y")</f>
        <v>0</v>
      </c>
      <c r="X28" s="13">
        <f>_xll.BDH("AMGN US Equity","EXTRAORD_ITEMS_ACCOUNTING_CHANGS","FQ3 2024","FQ3 2024","Currency=USD","Period=FQ","BEST_FPERIOD_OVERRIDE=FQ","FILING_STATUS=MR","SCALING_FORMAT=MLN","Sort=A","Dates=H","DateFormat=P","Fill=—","Direction=H","UseDPDF=Y")</f>
        <v>0</v>
      </c>
      <c r="Y28" s="13">
        <f>_xll.BDH("AMGN US Equity","EXTRAORD_ITEMS_ACCOUNTING_CHANGS","FQ4 2024","FQ4 2024","Currency=USD","Period=FQ","BEST_FPERIOD_OVERRIDE=FQ","FILING_STATUS=MR","SCALING_FORMAT=MLN","Sort=A","Dates=H","DateFormat=P","Fill=—","Direction=H","UseDPDF=Y")</f>
        <v>0</v>
      </c>
      <c r="Z28" s="13"/>
      <c r="AA28" s="13"/>
    </row>
    <row r="29" spans="1:27" x14ac:dyDescent="0.25">
      <c r="A29" s="6" t="s">
        <v>367</v>
      </c>
      <c r="B29" s="6" t="s">
        <v>368</v>
      </c>
      <c r="C29" s="19">
        <f>_xll.BDH("AMGN US Equity","NI_INCLUDING_MINORITY_INT_RATIO","FQ2 2019","FQ2 2019","Currency=USD","Period=FQ","BEST_FPERIOD_OVERRIDE=FQ","FILING_STATUS=MR","SCALING_FORMAT=MLN","FA_ADJUSTED=GAAP","Sort=A","Dates=H","DateFormat=P","Fill=—","Direction=H","UseDPDF=Y")</f>
        <v>2179</v>
      </c>
      <c r="D29" s="19">
        <f>_xll.BDH("AMGN US Equity","NI_INCLUDING_MINORITY_INT_RATIO","FQ3 2019","FQ3 2019","Currency=USD","Period=FQ","BEST_FPERIOD_OVERRIDE=FQ","FILING_STATUS=MR","SCALING_FORMAT=MLN","FA_ADJUSTED=GAAP","Sort=A","Dates=H","DateFormat=P","Fill=—","Direction=H","UseDPDF=Y")</f>
        <v>1968</v>
      </c>
      <c r="E29" s="19">
        <f>_xll.BDH("AMGN US Equity","NI_INCLUDING_MINORITY_INT_RATIO","FQ4 2019","FQ4 2019","Currency=USD","Period=FQ","BEST_FPERIOD_OVERRIDE=FQ","FILING_STATUS=MR","SCALING_FORMAT=MLN","FA_ADJUSTED=GAAP","Sort=A","Dates=H","DateFormat=P","Fill=—","Direction=H","UseDPDF=Y")</f>
        <v>1703</v>
      </c>
      <c r="F29" s="19">
        <f>_xll.BDH("AMGN US Equity","NI_INCLUDING_MINORITY_INT_RATIO","FQ1 2020","FQ1 2020","Currency=USD","Period=FQ","BEST_FPERIOD_OVERRIDE=FQ","FILING_STATUS=MR","SCALING_FORMAT=MLN","FA_ADJUSTED=GAAP","Sort=A","Dates=H","DateFormat=P","Fill=—","Direction=H","UseDPDF=Y")</f>
        <v>1825</v>
      </c>
      <c r="G29" s="19">
        <f>_xll.BDH("AMGN US Equity","NI_INCLUDING_MINORITY_INT_RATIO","FQ2 2020","FQ2 2020","Currency=USD","Period=FQ","BEST_FPERIOD_OVERRIDE=FQ","FILING_STATUS=MR","SCALING_FORMAT=MLN","FA_ADJUSTED=GAAP","Sort=A","Dates=H","DateFormat=P","Fill=—","Direction=H","UseDPDF=Y")</f>
        <v>1803</v>
      </c>
      <c r="H29" s="19">
        <f>_xll.BDH("AMGN US Equity","NI_INCLUDING_MINORITY_INT_RATIO","FQ3 2020","FQ3 2020","Currency=USD","Period=FQ","BEST_FPERIOD_OVERRIDE=FQ","FILING_STATUS=MR","SCALING_FORMAT=MLN","FA_ADJUSTED=GAAP","Sort=A","Dates=H","DateFormat=P","Fill=—","Direction=H","UseDPDF=Y")</f>
        <v>2021</v>
      </c>
      <c r="I29" s="19">
        <f>_xll.BDH("AMGN US Equity","NI_INCLUDING_MINORITY_INT_RATIO","FQ4 2020","FQ4 2020","Currency=USD","Period=FQ","BEST_FPERIOD_OVERRIDE=FQ","FILING_STATUS=MR","SCALING_FORMAT=MLN","FA_ADJUSTED=GAAP","Sort=A","Dates=H","DateFormat=P","Fill=—","Direction=H","UseDPDF=Y")</f>
        <v>1615</v>
      </c>
      <c r="J29" s="19">
        <f>_xll.BDH("AMGN US Equity","NI_INCLUDING_MINORITY_INT_RATIO","FQ1 2021","FQ1 2021","Currency=USD","Period=FQ","BEST_FPERIOD_OVERRIDE=FQ","FILING_STATUS=MR","SCALING_FORMAT=MLN","FA_ADJUSTED=GAAP","Sort=A","Dates=H","DateFormat=P","Fill=—","Direction=H","UseDPDF=Y")</f>
        <v>1646</v>
      </c>
      <c r="K29" s="19">
        <f>_xll.BDH("AMGN US Equity","NI_INCLUDING_MINORITY_INT_RATIO","FQ2 2021","FQ2 2021","Currency=USD","Period=FQ","BEST_FPERIOD_OVERRIDE=FQ","FILING_STATUS=MR","SCALING_FORMAT=MLN","FA_ADJUSTED=GAAP","Sort=A","Dates=H","DateFormat=P","Fill=—","Direction=H","UseDPDF=Y")</f>
        <v>464</v>
      </c>
      <c r="L29" s="19">
        <f>_xll.BDH("AMGN US Equity","NI_INCLUDING_MINORITY_INT_RATIO","FQ3 2021","FQ3 2021","Currency=USD","Period=FQ","BEST_FPERIOD_OVERRIDE=FQ","FILING_STATUS=MR","SCALING_FORMAT=MLN","FA_ADJUSTED=GAAP","Sort=A","Dates=H","DateFormat=P","Fill=—","Direction=H","UseDPDF=Y")</f>
        <v>1884</v>
      </c>
      <c r="M29" s="19">
        <f>_xll.BDH("AMGN US Equity","NI_INCLUDING_MINORITY_INT_RATIO","FQ4 2021","FQ4 2021","Currency=USD","Period=FQ","BEST_FPERIOD_OVERRIDE=FQ","FILING_STATUS=MR","SCALING_FORMAT=MLN","FA_ADJUSTED=GAAP","Sort=A","Dates=H","DateFormat=P","Fill=—","Direction=H","UseDPDF=Y")</f>
        <v>1899</v>
      </c>
      <c r="N29" s="19">
        <f>_xll.BDH("AMGN US Equity","NI_INCLUDING_MINORITY_INT_RATIO","FQ1 2022","FQ1 2022","Currency=USD","Period=FQ","BEST_FPERIOD_OVERRIDE=FQ","FILING_STATUS=MR","SCALING_FORMAT=MLN","FA_ADJUSTED=GAAP","Sort=A","Dates=H","DateFormat=P","Fill=—","Direction=H","UseDPDF=Y")</f>
        <v>1476</v>
      </c>
      <c r="O29" s="19">
        <f>_xll.BDH("AMGN US Equity","NI_INCLUDING_MINORITY_INT_RATIO","FQ2 2022","FQ2 2022","Currency=USD","Period=FQ","BEST_FPERIOD_OVERRIDE=FQ","FILING_STATUS=MR","SCALING_FORMAT=MLN","FA_ADJUSTED=GAAP","Sort=A","Dates=H","DateFormat=P","Fill=—","Direction=H","UseDPDF=Y")</f>
        <v>1317</v>
      </c>
      <c r="P29" s="19">
        <f>_xll.BDH("AMGN US Equity","NI_INCLUDING_MINORITY_INT_RATIO","FQ3 2022","FQ3 2022","Currency=USD","Period=FQ","BEST_FPERIOD_OVERRIDE=FQ","FILING_STATUS=MR","SCALING_FORMAT=MLN","FA_ADJUSTED=GAAP","Sort=A","Dates=H","DateFormat=P","Fill=—","Direction=H","UseDPDF=Y")</f>
        <v>2143</v>
      </c>
      <c r="Q29" s="19">
        <f>_xll.BDH("AMGN US Equity","NI_INCLUDING_MINORITY_INT_RATIO","FQ4 2022","FQ4 2022","Currency=USD","Period=FQ","BEST_FPERIOD_OVERRIDE=FQ","FILING_STATUS=MR","SCALING_FORMAT=MLN","FA_ADJUSTED=GAAP","Sort=A","Dates=H","DateFormat=P","Fill=—","Direction=H","UseDPDF=Y")</f>
        <v>1616</v>
      </c>
      <c r="R29" s="19">
        <f>_xll.BDH("AMGN US Equity","NI_INCLUDING_MINORITY_INT_RATIO","FQ1 2023","FQ1 2023","Currency=USD","Period=FQ","BEST_FPERIOD_OVERRIDE=FQ","FILING_STATUS=MR","SCALING_FORMAT=MLN","FA_ADJUSTED=GAAP","Sort=A","Dates=H","DateFormat=P","Fill=—","Direction=H","UseDPDF=Y")</f>
        <v>2841</v>
      </c>
      <c r="S29" s="19">
        <f>_xll.BDH("AMGN US Equity","NI_INCLUDING_MINORITY_INT_RATIO","FQ2 2023","FQ2 2023","Currency=USD","Period=FQ","BEST_FPERIOD_OVERRIDE=FQ","FILING_STATUS=MR","SCALING_FORMAT=MLN","FA_ADJUSTED=GAAP","Sort=A","Dates=H","DateFormat=P","Fill=—","Direction=H","UseDPDF=Y")</f>
        <v>1379</v>
      </c>
      <c r="T29" s="19">
        <f>_xll.BDH("AMGN US Equity","NI_INCLUDING_MINORITY_INT_RATIO","FQ3 2023","FQ3 2023","Currency=USD","Period=FQ","BEST_FPERIOD_OVERRIDE=FQ","FILING_STATUS=MR","SCALING_FORMAT=MLN","FA_ADJUSTED=GAAP","Sort=A","Dates=H","DateFormat=P","Fill=—","Direction=H","UseDPDF=Y")</f>
        <v>1730</v>
      </c>
      <c r="U29" s="19">
        <f>_xll.BDH("AMGN US Equity","NI_INCLUDING_MINORITY_INT_RATIO","FQ4 2023","FQ4 2023","Currency=USD","Period=FQ","BEST_FPERIOD_OVERRIDE=FQ","FILING_STATUS=MR","SCALING_FORMAT=MLN","FA_ADJUSTED=GAAP","Sort=A","Dates=H","DateFormat=P","Fill=—","Direction=H","UseDPDF=Y")</f>
        <v>767</v>
      </c>
      <c r="V29" s="19">
        <f>_xll.BDH("AMGN US Equity","NI_INCLUDING_MINORITY_INT_RATIO","FQ1 2024","FQ1 2024","Currency=USD","Period=FQ","BEST_FPERIOD_OVERRIDE=FQ","FILING_STATUS=MR","SCALING_FORMAT=MLN","FA_ADJUSTED=GAAP","Sort=A","Dates=H","DateFormat=P","Fill=—","Direction=H","UseDPDF=Y")</f>
        <v>-113</v>
      </c>
      <c r="W29" s="19">
        <f>_xll.BDH("AMGN US Equity","NI_INCLUDING_MINORITY_INT_RATIO","FQ2 2024","FQ2 2024","Currency=USD","Period=FQ","BEST_FPERIOD_OVERRIDE=FQ","FILING_STATUS=MR","SCALING_FORMAT=MLN","FA_ADJUSTED=GAAP","Sort=A","Dates=H","DateFormat=P","Fill=—","Direction=H","UseDPDF=Y")</f>
        <v>746</v>
      </c>
      <c r="X29" s="19">
        <f>_xll.BDH("AMGN US Equity","NI_INCLUDING_MINORITY_INT_RATIO","FQ3 2024","FQ3 2024","Currency=USD","Period=FQ","BEST_FPERIOD_OVERRIDE=FQ","FILING_STATUS=MR","SCALING_FORMAT=MLN","FA_ADJUSTED=GAAP","Sort=A","Dates=H","DateFormat=P","Fill=—","Direction=H","UseDPDF=Y")</f>
        <v>2830</v>
      </c>
      <c r="Y29" s="19">
        <f>_xll.BDH("AMGN US Equity","NI_INCLUDING_MINORITY_INT_RATIO","FQ4 2024","FQ4 2024","Currency=USD","Period=FQ","BEST_FPERIOD_OVERRIDE=FQ","FILING_STATUS=MR","SCALING_FORMAT=MLN","FA_ADJUSTED=GAAP","Sort=A","Dates=H","DateFormat=P","Fill=—","Direction=H","UseDPDF=Y")</f>
        <v>627</v>
      </c>
      <c r="Z29" s="19"/>
      <c r="AA29" s="19"/>
    </row>
    <row r="30" spans="1:27" x14ac:dyDescent="0.25">
      <c r="A30" s="10" t="s">
        <v>369</v>
      </c>
      <c r="B30" s="10" t="s">
        <v>370</v>
      </c>
      <c r="C30" s="13">
        <f>_xll.BDH("AMGN US Equity","MIN_NONCONTROL_INTEREST_CREDITS","FQ2 2019","FQ2 2019","Currency=USD","Period=FQ","BEST_FPERIOD_OVERRIDE=FQ","FILING_STATUS=MR","SCALING_FORMAT=MLN","FA_ADJUSTED=GAAP","Sort=A","Dates=H","DateFormat=P","Fill=—","Direction=H","UseDPDF=Y")</f>
        <v>0</v>
      </c>
      <c r="D30" s="13">
        <f>_xll.BDH("AMGN US Equity","MIN_NONCONTROL_INTEREST_CREDITS","FQ3 2019","FQ3 2019","Currency=USD","Period=FQ","BEST_FPERIOD_OVERRIDE=FQ","FILING_STATUS=MR","SCALING_FORMAT=MLN","FA_ADJUSTED=GAAP","Sort=A","Dates=H","DateFormat=P","Fill=—","Direction=H","UseDPDF=Y")</f>
        <v>0</v>
      </c>
      <c r="E30" s="13">
        <f>_xll.BDH("AMGN US Equity","MIN_NONCONTROL_INTEREST_CREDITS","FQ4 2019","FQ4 2019","Currency=USD","Period=FQ","BEST_FPERIOD_OVERRIDE=FQ","FILING_STATUS=MR","SCALING_FORMAT=MLN","FA_ADJUSTED=GAAP","Sort=A","Dates=H","DateFormat=P","Fill=—","Direction=H","UseDPDF=Y")</f>
        <v>0</v>
      </c>
      <c r="F30" s="13">
        <f>_xll.BDH("AMGN US Equity","MIN_NONCONTROL_INTEREST_CREDITS","FQ1 2020","FQ1 2020","Currency=USD","Period=FQ","BEST_FPERIOD_OVERRIDE=FQ","FILING_STATUS=MR","SCALING_FORMAT=MLN","FA_ADJUSTED=GAAP","Sort=A","Dates=H","DateFormat=P","Fill=—","Direction=H","UseDPDF=Y")</f>
        <v>0</v>
      </c>
      <c r="G30" s="13">
        <f>_xll.BDH("AMGN US Equity","MIN_NONCONTROL_INTEREST_CREDITS","FQ2 2020","FQ2 2020","Currency=USD","Period=FQ","BEST_FPERIOD_OVERRIDE=FQ","FILING_STATUS=MR","SCALING_FORMAT=MLN","FA_ADJUSTED=GAAP","Sort=A","Dates=H","DateFormat=P","Fill=—","Direction=H","UseDPDF=Y")</f>
        <v>0</v>
      </c>
      <c r="H30" s="13">
        <f>_xll.BDH("AMGN US Equity","MIN_NONCONTROL_INTEREST_CREDITS","FQ3 2020","FQ3 2020","Currency=USD","Period=FQ","BEST_FPERIOD_OVERRIDE=FQ","FILING_STATUS=MR","SCALING_FORMAT=MLN","FA_ADJUSTED=GAAP","Sort=A","Dates=H","DateFormat=P","Fill=—","Direction=H","UseDPDF=Y")</f>
        <v>0</v>
      </c>
      <c r="I30" s="13">
        <f>_xll.BDH("AMGN US Equity","MIN_NONCONTROL_INTEREST_CREDITS","FQ4 2020","FQ4 2020","Currency=USD","Period=FQ","BEST_FPERIOD_OVERRIDE=FQ","FILING_STATUS=MR","SCALING_FORMAT=MLN","FA_ADJUSTED=GAAP","Sort=A","Dates=H","DateFormat=P","Fill=—","Direction=H","UseDPDF=Y")</f>
        <v>0</v>
      </c>
      <c r="J30" s="13">
        <f>_xll.BDH("AMGN US Equity","MIN_NONCONTROL_INTEREST_CREDITS","FQ1 2021","FQ1 2021","Currency=USD","Period=FQ","BEST_FPERIOD_OVERRIDE=FQ","FILING_STATUS=MR","SCALING_FORMAT=MLN","FA_ADJUSTED=GAAP","Sort=A","Dates=H","DateFormat=P","Fill=—","Direction=H","UseDPDF=Y")</f>
        <v>0</v>
      </c>
      <c r="K30" s="13">
        <f>_xll.BDH("AMGN US Equity","MIN_NONCONTROL_INTEREST_CREDITS","FQ2 2021","FQ2 2021","Currency=USD","Period=FQ","BEST_FPERIOD_OVERRIDE=FQ","FILING_STATUS=MR","SCALING_FORMAT=MLN","FA_ADJUSTED=GAAP","Sort=A","Dates=H","DateFormat=P","Fill=—","Direction=H","UseDPDF=Y")</f>
        <v>0</v>
      </c>
      <c r="L30" s="13">
        <f>_xll.BDH("AMGN US Equity","MIN_NONCONTROL_INTEREST_CREDITS","FQ3 2021","FQ3 2021","Currency=USD","Period=FQ","BEST_FPERIOD_OVERRIDE=FQ","FILING_STATUS=MR","SCALING_FORMAT=MLN","FA_ADJUSTED=GAAP","Sort=A","Dates=H","DateFormat=P","Fill=—","Direction=H","UseDPDF=Y")</f>
        <v>0</v>
      </c>
      <c r="M30" s="13">
        <f>_xll.BDH("AMGN US Equity","MIN_NONCONTROL_INTEREST_CREDITS","FQ4 2021","FQ4 2021","Currency=USD","Period=FQ","BEST_FPERIOD_OVERRIDE=FQ","FILING_STATUS=MR","SCALING_FORMAT=MLN","FA_ADJUSTED=GAAP","Sort=A","Dates=H","DateFormat=P","Fill=—","Direction=H","UseDPDF=Y")</f>
        <v>0</v>
      </c>
      <c r="N30" s="13">
        <f>_xll.BDH("AMGN US Equity","MIN_NONCONTROL_INTEREST_CREDITS","FQ1 2022","FQ1 2022","Currency=USD","Period=FQ","BEST_FPERIOD_OVERRIDE=FQ","FILING_STATUS=MR","SCALING_FORMAT=MLN","FA_ADJUSTED=GAAP","Sort=A","Dates=H","DateFormat=P","Fill=—","Direction=H","UseDPDF=Y")</f>
        <v>0</v>
      </c>
      <c r="O30" s="13">
        <f>_xll.BDH("AMGN US Equity","MIN_NONCONTROL_INTEREST_CREDITS","FQ2 2022","FQ2 2022","Currency=USD","Period=FQ","BEST_FPERIOD_OVERRIDE=FQ","FILING_STATUS=MR","SCALING_FORMAT=MLN","FA_ADJUSTED=GAAP","Sort=A","Dates=H","DateFormat=P","Fill=—","Direction=H","UseDPDF=Y")</f>
        <v>0</v>
      </c>
      <c r="P30" s="13">
        <f>_xll.BDH("AMGN US Equity","MIN_NONCONTROL_INTEREST_CREDITS","FQ3 2022","FQ3 2022","Currency=USD","Period=FQ","BEST_FPERIOD_OVERRIDE=FQ","FILING_STATUS=MR","SCALING_FORMAT=MLN","FA_ADJUSTED=GAAP","Sort=A","Dates=H","DateFormat=P","Fill=—","Direction=H","UseDPDF=Y")</f>
        <v>0</v>
      </c>
      <c r="Q30" s="13">
        <f>_xll.BDH("AMGN US Equity","MIN_NONCONTROL_INTEREST_CREDITS","FQ4 2022","FQ4 2022","Currency=USD","Period=FQ","BEST_FPERIOD_OVERRIDE=FQ","FILING_STATUS=MR","SCALING_FORMAT=MLN","FA_ADJUSTED=GAAP","Sort=A","Dates=H","DateFormat=P","Fill=—","Direction=H","UseDPDF=Y")</f>
        <v>0</v>
      </c>
      <c r="R30" s="13">
        <f>_xll.BDH("AMGN US Equity","MIN_NONCONTROL_INTEREST_CREDITS","FQ1 2023","FQ1 2023","Currency=USD","Period=FQ","BEST_FPERIOD_OVERRIDE=FQ","FILING_STATUS=MR","SCALING_FORMAT=MLN","FA_ADJUSTED=GAAP","Sort=A","Dates=H","DateFormat=P","Fill=—","Direction=H","UseDPDF=Y")</f>
        <v>0</v>
      </c>
      <c r="S30" s="13">
        <f>_xll.BDH("AMGN US Equity","MIN_NONCONTROL_INTEREST_CREDITS","FQ2 2023","FQ2 2023","Currency=USD","Period=FQ","BEST_FPERIOD_OVERRIDE=FQ","FILING_STATUS=MR","SCALING_FORMAT=MLN","FA_ADJUSTED=GAAP","Sort=A","Dates=H","DateFormat=P","Fill=—","Direction=H","UseDPDF=Y")</f>
        <v>0</v>
      </c>
      <c r="T30" s="13">
        <f>_xll.BDH("AMGN US Equity","MIN_NONCONTROL_INTEREST_CREDITS","FQ3 2023","FQ3 2023","Currency=USD","Period=FQ","BEST_FPERIOD_OVERRIDE=FQ","FILING_STATUS=MR","SCALING_FORMAT=MLN","FA_ADJUSTED=GAAP","Sort=A","Dates=H","DateFormat=P","Fill=—","Direction=H","UseDPDF=Y")</f>
        <v>0</v>
      </c>
      <c r="U30" s="13">
        <f>_xll.BDH("AMGN US Equity","MIN_NONCONTROL_INTEREST_CREDITS","FQ4 2023","FQ4 2023","Currency=USD","Period=FQ","BEST_FPERIOD_OVERRIDE=FQ","FILING_STATUS=MR","SCALING_FORMAT=MLN","FA_ADJUSTED=GAAP","Sort=A","Dates=H","DateFormat=P","Fill=—","Direction=H","UseDPDF=Y")</f>
        <v>0</v>
      </c>
      <c r="V30" s="13">
        <f>_xll.BDH("AMGN US Equity","MIN_NONCONTROL_INTEREST_CREDITS","FQ1 2024","FQ1 2024","Currency=USD","Period=FQ","BEST_FPERIOD_OVERRIDE=FQ","FILING_STATUS=MR","SCALING_FORMAT=MLN","FA_ADJUSTED=GAAP","Sort=A","Dates=H","DateFormat=P","Fill=—","Direction=H","UseDPDF=Y")</f>
        <v>0</v>
      </c>
      <c r="W30" s="13">
        <f>_xll.BDH("AMGN US Equity","MIN_NONCONTROL_INTEREST_CREDITS","FQ2 2024","FQ2 2024","Currency=USD","Period=FQ","BEST_FPERIOD_OVERRIDE=FQ","FILING_STATUS=MR","SCALING_FORMAT=MLN","FA_ADJUSTED=GAAP","Sort=A","Dates=H","DateFormat=P","Fill=—","Direction=H","UseDPDF=Y")</f>
        <v>0</v>
      </c>
      <c r="X30" s="13">
        <f>_xll.BDH("AMGN US Equity","MIN_NONCONTROL_INTEREST_CREDITS","FQ3 2024","FQ3 2024","Currency=USD","Period=FQ","BEST_FPERIOD_OVERRIDE=FQ","FILING_STATUS=MR","SCALING_FORMAT=MLN","FA_ADJUSTED=GAAP","Sort=A","Dates=H","DateFormat=P","Fill=—","Direction=H","UseDPDF=Y")</f>
        <v>0</v>
      </c>
      <c r="Y30" s="13">
        <f>_xll.BDH("AMGN US Equity","MIN_NONCONTROL_INTEREST_CREDITS","FQ4 2024","FQ4 2024","Currency=USD","Period=FQ","BEST_FPERIOD_OVERRIDE=FQ","FILING_STATUS=MR","SCALING_FORMAT=MLN","FA_ADJUSTED=GAAP","Sort=A","Dates=H","DateFormat=P","Fill=—","Direction=H","UseDPDF=Y")</f>
        <v>0</v>
      </c>
      <c r="Z30" s="13"/>
      <c r="AA30" s="13"/>
    </row>
    <row r="31" spans="1:27" x14ac:dyDescent="0.25">
      <c r="A31" s="6" t="s">
        <v>371</v>
      </c>
      <c r="B31" s="6" t="s">
        <v>372</v>
      </c>
      <c r="C31" s="19">
        <f>_xll.BDH("AMGN US Equity","NET_INCOME","FQ2 2019","FQ2 2019","Currency=USD","Period=FQ","BEST_FPERIOD_OVERRIDE=FQ","FILING_STATUS=MR","SCALING_FORMAT=MLN","FA_ADJUSTED=GAAP","Sort=A","Dates=H","DateFormat=P","Fill=—","Direction=H","UseDPDF=Y")</f>
        <v>2179</v>
      </c>
      <c r="D31" s="19">
        <f>_xll.BDH("AMGN US Equity","NET_INCOME","FQ3 2019","FQ3 2019","Currency=USD","Period=FQ","BEST_FPERIOD_OVERRIDE=FQ","FILING_STATUS=MR","SCALING_FORMAT=MLN","FA_ADJUSTED=GAAP","Sort=A","Dates=H","DateFormat=P","Fill=—","Direction=H","UseDPDF=Y")</f>
        <v>1968</v>
      </c>
      <c r="E31" s="19">
        <f>_xll.BDH("AMGN US Equity","NET_INCOME","FQ4 2019","FQ4 2019","Currency=USD","Period=FQ","BEST_FPERIOD_OVERRIDE=FQ","FILING_STATUS=MR","SCALING_FORMAT=MLN","FA_ADJUSTED=GAAP","Sort=A","Dates=H","DateFormat=P","Fill=—","Direction=H","UseDPDF=Y")</f>
        <v>1703</v>
      </c>
      <c r="F31" s="19">
        <f>_xll.BDH("AMGN US Equity","NET_INCOME","FQ1 2020","FQ1 2020","Currency=USD","Period=FQ","BEST_FPERIOD_OVERRIDE=FQ","FILING_STATUS=MR","SCALING_FORMAT=MLN","FA_ADJUSTED=GAAP","Sort=A","Dates=H","DateFormat=P","Fill=—","Direction=H","UseDPDF=Y")</f>
        <v>1825</v>
      </c>
      <c r="G31" s="19">
        <f>_xll.BDH("AMGN US Equity","NET_INCOME","FQ2 2020","FQ2 2020","Currency=USD","Period=FQ","BEST_FPERIOD_OVERRIDE=FQ","FILING_STATUS=MR","SCALING_FORMAT=MLN","FA_ADJUSTED=GAAP","Sort=A","Dates=H","DateFormat=P","Fill=—","Direction=H","UseDPDF=Y")</f>
        <v>1803</v>
      </c>
      <c r="H31" s="19">
        <f>_xll.BDH("AMGN US Equity","NET_INCOME","FQ3 2020","FQ3 2020","Currency=USD","Period=FQ","BEST_FPERIOD_OVERRIDE=FQ","FILING_STATUS=MR","SCALING_FORMAT=MLN","FA_ADJUSTED=GAAP","Sort=A","Dates=H","DateFormat=P","Fill=—","Direction=H","UseDPDF=Y")</f>
        <v>2021</v>
      </c>
      <c r="I31" s="19">
        <f>_xll.BDH("AMGN US Equity","NET_INCOME","FQ4 2020","FQ4 2020","Currency=USD","Period=FQ","BEST_FPERIOD_OVERRIDE=FQ","FILING_STATUS=MR","SCALING_FORMAT=MLN","FA_ADJUSTED=GAAP","Sort=A","Dates=H","DateFormat=P","Fill=—","Direction=H","UseDPDF=Y")</f>
        <v>1615</v>
      </c>
      <c r="J31" s="19">
        <f>_xll.BDH("AMGN US Equity","NET_INCOME","FQ1 2021","FQ1 2021","Currency=USD","Period=FQ","BEST_FPERIOD_OVERRIDE=FQ","FILING_STATUS=MR","SCALING_FORMAT=MLN","FA_ADJUSTED=GAAP","Sort=A","Dates=H","DateFormat=P","Fill=—","Direction=H","UseDPDF=Y")</f>
        <v>1646</v>
      </c>
      <c r="K31" s="19">
        <f>_xll.BDH("AMGN US Equity","NET_INCOME","FQ2 2021","FQ2 2021","Currency=USD","Period=FQ","BEST_FPERIOD_OVERRIDE=FQ","FILING_STATUS=MR","SCALING_FORMAT=MLN","FA_ADJUSTED=GAAP","Sort=A","Dates=H","DateFormat=P","Fill=—","Direction=H","UseDPDF=Y")</f>
        <v>464</v>
      </c>
      <c r="L31" s="19">
        <f>_xll.BDH("AMGN US Equity","NET_INCOME","FQ3 2021","FQ3 2021","Currency=USD","Period=FQ","BEST_FPERIOD_OVERRIDE=FQ","FILING_STATUS=MR","SCALING_FORMAT=MLN","FA_ADJUSTED=GAAP","Sort=A","Dates=H","DateFormat=P","Fill=—","Direction=H","UseDPDF=Y")</f>
        <v>1884</v>
      </c>
      <c r="M31" s="19">
        <f>_xll.BDH("AMGN US Equity","NET_INCOME","FQ4 2021","FQ4 2021","Currency=USD","Period=FQ","BEST_FPERIOD_OVERRIDE=FQ","FILING_STATUS=MR","SCALING_FORMAT=MLN","FA_ADJUSTED=GAAP","Sort=A","Dates=H","DateFormat=P","Fill=—","Direction=H","UseDPDF=Y")</f>
        <v>1899</v>
      </c>
      <c r="N31" s="19">
        <f>_xll.BDH("AMGN US Equity","NET_INCOME","FQ1 2022","FQ1 2022","Currency=USD","Period=FQ","BEST_FPERIOD_OVERRIDE=FQ","FILING_STATUS=MR","SCALING_FORMAT=MLN","FA_ADJUSTED=GAAP","Sort=A","Dates=H","DateFormat=P","Fill=—","Direction=H","UseDPDF=Y")</f>
        <v>1476</v>
      </c>
      <c r="O31" s="19">
        <f>_xll.BDH("AMGN US Equity","NET_INCOME","FQ2 2022","FQ2 2022","Currency=USD","Period=FQ","BEST_FPERIOD_OVERRIDE=FQ","FILING_STATUS=MR","SCALING_FORMAT=MLN","FA_ADJUSTED=GAAP","Sort=A","Dates=H","DateFormat=P","Fill=—","Direction=H","UseDPDF=Y")</f>
        <v>1317</v>
      </c>
      <c r="P31" s="19">
        <f>_xll.BDH("AMGN US Equity","NET_INCOME","FQ3 2022","FQ3 2022","Currency=USD","Period=FQ","BEST_FPERIOD_OVERRIDE=FQ","FILING_STATUS=MR","SCALING_FORMAT=MLN","FA_ADJUSTED=GAAP","Sort=A","Dates=H","DateFormat=P","Fill=—","Direction=H","UseDPDF=Y")</f>
        <v>2143</v>
      </c>
      <c r="Q31" s="19">
        <f>_xll.BDH("AMGN US Equity","NET_INCOME","FQ4 2022","FQ4 2022","Currency=USD","Period=FQ","BEST_FPERIOD_OVERRIDE=FQ","FILING_STATUS=MR","SCALING_FORMAT=MLN","FA_ADJUSTED=GAAP","Sort=A","Dates=H","DateFormat=P","Fill=—","Direction=H","UseDPDF=Y")</f>
        <v>1616</v>
      </c>
      <c r="R31" s="19">
        <f>_xll.BDH("AMGN US Equity","NET_INCOME","FQ1 2023","FQ1 2023","Currency=USD","Period=FQ","BEST_FPERIOD_OVERRIDE=FQ","FILING_STATUS=MR","SCALING_FORMAT=MLN","FA_ADJUSTED=GAAP","Sort=A","Dates=H","DateFormat=P","Fill=—","Direction=H","UseDPDF=Y")</f>
        <v>2841</v>
      </c>
      <c r="S31" s="19">
        <f>_xll.BDH("AMGN US Equity","NET_INCOME","FQ2 2023","FQ2 2023","Currency=USD","Period=FQ","BEST_FPERIOD_OVERRIDE=FQ","FILING_STATUS=MR","SCALING_FORMAT=MLN","FA_ADJUSTED=GAAP","Sort=A","Dates=H","DateFormat=P","Fill=—","Direction=H","UseDPDF=Y")</f>
        <v>1379</v>
      </c>
      <c r="T31" s="19">
        <f>_xll.BDH("AMGN US Equity","NET_INCOME","FQ3 2023","FQ3 2023","Currency=USD","Period=FQ","BEST_FPERIOD_OVERRIDE=FQ","FILING_STATUS=MR","SCALING_FORMAT=MLN","FA_ADJUSTED=GAAP","Sort=A","Dates=H","DateFormat=P","Fill=—","Direction=H","UseDPDF=Y")</f>
        <v>1730</v>
      </c>
      <c r="U31" s="19">
        <f>_xll.BDH("AMGN US Equity","NET_INCOME","FQ4 2023","FQ4 2023","Currency=USD","Period=FQ","BEST_FPERIOD_OVERRIDE=FQ","FILING_STATUS=MR","SCALING_FORMAT=MLN","FA_ADJUSTED=GAAP","Sort=A","Dates=H","DateFormat=P","Fill=—","Direction=H","UseDPDF=Y")</f>
        <v>767</v>
      </c>
      <c r="V31" s="19">
        <f>_xll.BDH("AMGN US Equity","NET_INCOME","FQ1 2024","FQ1 2024","Currency=USD","Period=FQ","BEST_FPERIOD_OVERRIDE=FQ","FILING_STATUS=MR","SCALING_FORMAT=MLN","FA_ADJUSTED=GAAP","Sort=A","Dates=H","DateFormat=P","Fill=—","Direction=H","UseDPDF=Y")</f>
        <v>-113</v>
      </c>
      <c r="W31" s="19">
        <f>_xll.BDH("AMGN US Equity","NET_INCOME","FQ2 2024","FQ2 2024","Currency=USD","Period=FQ","BEST_FPERIOD_OVERRIDE=FQ","FILING_STATUS=MR","SCALING_FORMAT=MLN","FA_ADJUSTED=GAAP","Sort=A","Dates=H","DateFormat=P","Fill=—","Direction=H","UseDPDF=Y")</f>
        <v>746</v>
      </c>
      <c r="X31" s="19">
        <f>_xll.BDH("AMGN US Equity","NET_INCOME","FQ3 2024","FQ3 2024","Currency=USD","Period=FQ","BEST_FPERIOD_OVERRIDE=FQ","FILING_STATUS=MR","SCALING_FORMAT=MLN","FA_ADJUSTED=GAAP","Sort=A","Dates=H","DateFormat=P","Fill=—","Direction=H","UseDPDF=Y")</f>
        <v>2830</v>
      </c>
      <c r="Y31" s="19">
        <f>_xll.BDH("AMGN US Equity","NET_INCOME","FQ4 2024","FQ4 2024","Currency=USD","Period=FQ","BEST_FPERIOD_OVERRIDE=FQ","FILING_STATUS=MR","SCALING_FORMAT=MLN","FA_ADJUSTED=GAAP","Sort=A","Dates=H","DateFormat=P","Fill=—","Direction=H","UseDPDF=Y")</f>
        <v>627</v>
      </c>
      <c r="Z31" s="19">
        <v>1233.143</v>
      </c>
      <c r="AA31" s="19">
        <v>1814.143</v>
      </c>
    </row>
    <row r="32" spans="1:27" x14ac:dyDescent="0.25">
      <c r="A32" s="10" t="s">
        <v>373</v>
      </c>
      <c r="B32" s="10" t="s">
        <v>374</v>
      </c>
      <c r="C32" s="13">
        <f>_xll.BDH("AMGN US Equity","IS_TOT_CASH_PFD_DVD","FQ2 2019","FQ2 2019","Currency=USD","Period=FQ","BEST_FPERIOD_OVERRIDE=FQ","FILING_STATUS=MR","SCALING_FORMAT=MLN","Sort=A","Dates=H","DateFormat=P","Fill=—","Direction=H","UseDPDF=Y")</f>
        <v>0</v>
      </c>
      <c r="D32" s="13">
        <f>_xll.BDH("AMGN US Equity","IS_TOT_CASH_PFD_DVD","FQ3 2019","FQ3 2019","Currency=USD","Period=FQ","BEST_FPERIOD_OVERRIDE=FQ","FILING_STATUS=MR","SCALING_FORMAT=MLN","Sort=A","Dates=H","DateFormat=P","Fill=—","Direction=H","UseDPDF=Y")</f>
        <v>0</v>
      </c>
      <c r="E32" s="13">
        <f>_xll.BDH("AMGN US Equity","IS_TOT_CASH_PFD_DVD","FQ4 2019","FQ4 2019","Currency=USD","Period=FQ","BEST_FPERIOD_OVERRIDE=FQ","FILING_STATUS=MR","SCALING_FORMAT=MLN","Sort=A","Dates=H","DateFormat=P","Fill=—","Direction=H","UseDPDF=Y")</f>
        <v>0</v>
      </c>
      <c r="F32" s="13">
        <f>_xll.BDH("AMGN US Equity","IS_TOT_CASH_PFD_DVD","FQ1 2020","FQ1 2020","Currency=USD","Period=FQ","BEST_FPERIOD_OVERRIDE=FQ","FILING_STATUS=MR","SCALING_FORMAT=MLN","Sort=A","Dates=H","DateFormat=P","Fill=—","Direction=H","UseDPDF=Y")</f>
        <v>0</v>
      </c>
      <c r="G32" s="13">
        <f>_xll.BDH("AMGN US Equity","IS_TOT_CASH_PFD_DVD","FQ2 2020","FQ2 2020","Currency=USD","Period=FQ","BEST_FPERIOD_OVERRIDE=FQ","FILING_STATUS=MR","SCALING_FORMAT=MLN","Sort=A","Dates=H","DateFormat=P","Fill=—","Direction=H","UseDPDF=Y")</f>
        <v>0</v>
      </c>
      <c r="H32" s="13">
        <f>_xll.BDH("AMGN US Equity","IS_TOT_CASH_PFD_DVD","FQ3 2020","FQ3 2020","Currency=USD","Period=FQ","BEST_FPERIOD_OVERRIDE=FQ","FILING_STATUS=MR","SCALING_FORMAT=MLN","Sort=A","Dates=H","DateFormat=P","Fill=—","Direction=H","UseDPDF=Y")</f>
        <v>0</v>
      </c>
      <c r="I32" s="13">
        <f>_xll.BDH("AMGN US Equity","IS_TOT_CASH_PFD_DVD","FQ4 2020","FQ4 2020","Currency=USD","Period=FQ","BEST_FPERIOD_OVERRIDE=FQ","FILING_STATUS=MR","SCALING_FORMAT=MLN","Sort=A","Dates=H","DateFormat=P","Fill=—","Direction=H","UseDPDF=Y")</f>
        <v>0</v>
      </c>
      <c r="J32" s="13">
        <f>_xll.BDH("AMGN US Equity","IS_TOT_CASH_PFD_DVD","FQ1 2021","FQ1 2021","Currency=USD","Period=FQ","BEST_FPERIOD_OVERRIDE=FQ","FILING_STATUS=MR","SCALING_FORMAT=MLN","Sort=A","Dates=H","DateFormat=P","Fill=—","Direction=H","UseDPDF=Y")</f>
        <v>0</v>
      </c>
      <c r="K32" s="13">
        <f>_xll.BDH("AMGN US Equity","IS_TOT_CASH_PFD_DVD","FQ2 2021","FQ2 2021","Currency=USD","Period=FQ","BEST_FPERIOD_OVERRIDE=FQ","FILING_STATUS=MR","SCALING_FORMAT=MLN","Sort=A","Dates=H","DateFormat=P","Fill=—","Direction=H","UseDPDF=Y")</f>
        <v>0</v>
      </c>
      <c r="L32" s="13">
        <f>_xll.BDH("AMGN US Equity","IS_TOT_CASH_PFD_DVD","FQ3 2021","FQ3 2021","Currency=USD","Period=FQ","BEST_FPERIOD_OVERRIDE=FQ","FILING_STATUS=MR","SCALING_FORMAT=MLN","Sort=A","Dates=H","DateFormat=P","Fill=—","Direction=H","UseDPDF=Y")</f>
        <v>0</v>
      </c>
      <c r="M32" s="13">
        <f>_xll.BDH("AMGN US Equity","IS_TOT_CASH_PFD_DVD","FQ4 2021","FQ4 2021","Currency=USD","Period=FQ","BEST_FPERIOD_OVERRIDE=FQ","FILING_STATUS=MR","SCALING_FORMAT=MLN","Sort=A","Dates=H","DateFormat=P","Fill=—","Direction=H","UseDPDF=Y")</f>
        <v>0</v>
      </c>
      <c r="N32" s="13">
        <f>_xll.BDH("AMGN US Equity","IS_TOT_CASH_PFD_DVD","FQ1 2022","FQ1 2022","Currency=USD","Period=FQ","BEST_FPERIOD_OVERRIDE=FQ","FILING_STATUS=MR","SCALING_FORMAT=MLN","Sort=A","Dates=H","DateFormat=P","Fill=—","Direction=H","UseDPDF=Y")</f>
        <v>0</v>
      </c>
      <c r="O32" s="13">
        <f>_xll.BDH("AMGN US Equity","IS_TOT_CASH_PFD_DVD","FQ2 2022","FQ2 2022","Currency=USD","Period=FQ","BEST_FPERIOD_OVERRIDE=FQ","FILING_STATUS=MR","SCALING_FORMAT=MLN","Sort=A","Dates=H","DateFormat=P","Fill=—","Direction=H","UseDPDF=Y")</f>
        <v>0</v>
      </c>
      <c r="P32" s="13">
        <f>_xll.BDH("AMGN US Equity","IS_TOT_CASH_PFD_DVD","FQ3 2022","FQ3 2022","Currency=USD","Period=FQ","BEST_FPERIOD_OVERRIDE=FQ","FILING_STATUS=MR","SCALING_FORMAT=MLN","Sort=A","Dates=H","DateFormat=P","Fill=—","Direction=H","UseDPDF=Y")</f>
        <v>0</v>
      </c>
      <c r="Q32" s="13">
        <f>_xll.BDH("AMGN US Equity","IS_TOT_CASH_PFD_DVD","FQ4 2022","FQ4 2022","Currency=USD","Period=FQ","BEST_FPERIOD_OVERRIDE=FQ","FILING_STATUS=MR","SCALING_FORMAT=MLN","Sort=A","Dates=H","DateFormat=P","Fill=—","Direction=H","UseDPDF=Y")</f>
        <v>0</v>
      </c>
      <c r="R32" s="13">
        <f>_xll.BDH("AMGN US Equity","IS_TOT_CASH_PFD_DVD","FQ1 2023","FQ1 2023","Currency=USD","Period=FQ","BEST_FPERIOD_OVERRIDE=FQ","FILING_STATUS=MR","SCALING_FORMAT=MLN","Sort=A","Dates=H","DateFormat=P","Fill=—","Direction=H","UseDPDF=Y")</f>
        <v>0</v>
      </c>
      <c r="S32" s="13">
        <f>_xll.BDH("AMGN US Equity","IS_TOT_CASH_PFD_DVD","FQ2 2023","FQ2 2023","Currency=USD","Period=FQ","BEST_FPERIOD_OVERRIDE=FQ","FILING_STATUS=MR","SCALING_FORMAT=MLN","Sort=A","Dates=H","DateFormat=P","Fill=—","Direction=H","UseDPDF=Y")</f>
        <v>0</v>
      </c>
      <c r="T32" s="13">
        <f>_xll.BDH("AMGN US Equity","IS_TOT_CASH_PFD_DVD","FQ3 2023","FQ3 2023","Currency=USD","Period=FQ","BEST_FPERIOD_OVERRIDE=FQ","FILING_STATUS=MR","SCALING_FORMAT=MLN","Sort=A","Dates=H","DateFormat=P","Fill=—","Direction=H","UseDPDF=Y")</f>
        <v>0</v>
      </c>
      <c r="U32" s="13">
        <f>_xll.BDH("AMGN US Equity","IS_TOT_CASH_PFD_DVD","FQ4 2023","FQ4 2023","Currency=USD","Period=FQ","BEST_FPERIOD_OVERRIDE=FQ","FILING_STATUS=MR","SCALING_FORMAT=MLN","Sort=A","Dates=H","DateFormat=P","Fill=—","Direction=H","UseDPDF=Y")</f>
        <v>0</v>
      </c>
      <c r="V32" s="13">
        <f>_xll.BDH("AMGN US Equity","IS_TOT_CASH_PFD_DVD","FQ1 2024","FQ1 2024","Currency=USD","Period=FQ","BEST_FPERIOD_OVERRIDE=FQ","FILING_STATUS=MR","SCALING_FORMAT=MLN","Sort=A","Dates=H","DateFormat=P","Fill=—","Direction=H","UseDPDF=Y")</f>
        <v>0</v>
      </c>
      <c r="W32" s="13">
        <f>_xll.BDH("AMGN US Equity","IS_TOT_CASH_PFD_DVD","FQ2 2024","FQ2 2024","Currency=USD","Period=FQ","BEST_FPERIOD_OVERRIDE=FQ","FILING_STATUS=MR","SCALING_FORMAT=MLN","Sort=A","Dates=H","DateFormat=P","Fill=—","Direction=H","UseDPDF=Y")</f>
        <v>0</v>
      </c>
      <c r="X32" s="13">
        <f>_xll.BDH("AMGN US Equity","IS_TOT_CASH_PFD_DVD","FQ3 2024","FQ3 2024","Currency=USD","Period=FQ","BEST_FPERIOD_OVERRIDE=FQ","FILING_STATUS=MR","SCALING_FORMAT=MLN","Sort=A","Dates=H","DateFormat=P","Fill=—","Direction=H","UseDPDF=Y")</f>
        <v>0</v>
      </c>
      <c r="Y32" s="13">
        <f>_xll.BDH("AMGN US Equity","IS_TOT_CASH_PFD_DVD","FQ4 2024","FQ4 2024","Currency=USD","Period=FQ","BEST_FPERIOD_OVERRIDE=FQ","FILING_STATUS=MR","SCALING_FORMAT=MLN","Sort=A","Dates=H","DateFormat=P","Fill=—","Direction=H","UseDPDF=Y")</f>
        <v>0</v>
      </c>
      <c r="Z32" s="13"/>
      <c r="AA32" s="13"/>
    </row>
    <row r="33" spans="1:27" x14ac:dyDescent="0.25">
      <c r="A33" s="10" t="s">
        <v>375</v>
      </c>
      <c r="B33" s="10" t="s">
        <v>376</v>
      </c>
      <c r="C33" s="13">
        <f>_xll.BDH("AMGN US Equity","OTHER_ADJUSTMENTS","FQ2 2019","FQ2 2019","Currency=USD","Period=FQ","BEST_FPERIOD_OVERRIDE=FQ","FILING_STATUS=MR","SCALING_FORMAT=MLN","Sort=A","Dates=H","DateFormat=P","Fill=—","Direction=H","UseDPDF=Y")</f>
        <v>0</v>
      </c>
      <c r="D33" s="13">
        <f>_xll.BDH("AMGN US Equity","OTHER_ADJUSTMENTS","FQ3 2019","FQ3 2019","Currency=USD","Period=FQ","BEST_FPERIOD_OVERRIDE=FQ","FILING_STATUS=MR","SCALING_FORMAT=MLN","Sort=A","Dates=H","DateFormat=P","Fill=—","Direction=H","UseDPDF=Y")</f>
        <v>0</v>
      </c>
      <c r="E33" s="13">
        <f>_xll.BDH("AMGN US Equity","OTHER_ADJUSTMENTS","FQ4 2019","FQ4 2019","Currency=USD","Period=FQ","BEST_FPERIOD_OVERRIDE=FQ","FILING_STATUS=MR","SCALING_FORMAT=MLN","Sort=A","Dates=H","DateFormat=P","Fill=—","Direction=H","UseDPDF=Y")</f>
        <v>0</v>
      </c>
      <c r="F33" s="13">
        <f>_xll.BDH("AMGN US Equity","OTHER_ADJUSTMENTS","FQ1 2020","FQ1 2020","Currency=USD","Period=FQ","BEST_FPERIOD_OVERRIDE=FQ","FILING_STATUS=MR","SCALING_FORMAT=MLN","Sort=A","Dates=H","DateFormat=P","Fill=—","Direction=H","UseDPDF=Y")</f>
        <v>0</v>
      </c>
      <c r="G33" s="13">
        <f>_xll.BDH("AMGN US Equity","OTHER_ADJUSTMENTS","FQ2 2020","FQ2 2020","Currency=USD","Period=FQ","BEST_FPERIOD_OVERRIDE=FQ","FILING_STATUS=MR","SCALING_FORMAT=MLN","Sort=A","Dates=H","DateFormat=P","Fill=—","Direction=H","UseDPDF=Y")</f>
        <v>0</v>
      </c>
      <c r="H33" s="13">
        <f>_xll.BDH("AMGN US Equity","OTHER_ADJUSTMENTS","FQ3 2020","FQ3 2020","Currency=USD","Period=FQ","BEST_FPERIOD_OVERRIDE=FQ","FILING_STATUS=MR","SCALING_FORMAT=MLN","Sort=A","Dates=H","DateFormat=P","Fill=—","Direction=H","UseDPDF=Y")</f>
        <v>0</v>
      </c>
      <c r="I33" s="13">
        <f>_xll.BDH("AMGN US Equity","OTHER_ADJUSTMENTS","FQ4 2020","FQ4 2020","Currency=USD","Period=FQ","BEST_FPERIOD_OVERRIDE=FQ","FILING_STATUS=MR","SCALING_FORMAT=MLN","Sort=A","Dates=H","DateFormat=P","Fill=—","Direction=H","UseDPDF=Y")</f>
        <v>0</v>
      </c>
      <c r="J33" s="13">
        <f>_xll.BDH("AMGN US Equity","OTHER_ADJUSTMENTS","FQ1 2021","FQ1 2021","Currency=USD","Period=FQ","BEST_FPERIOD_OVERRIDE=FQ","FILING_STATUS=MR","SCALING_FORMAT=MLN","Sort=A","Dates=H","DateFormat=P","Fill=—","Direction=H","UseDPDF=Y")</f>
        <v>0</v>
      </c>
      <c r="K33" s="13">
        <f>_xll.BDH("AMGN US Equity","OTHER_ADJUSTMENTS","FQ2 2021","FQ2 2021","Currency=USD","Period=FQ","BEST_FPERIOD_OVERRIDE=FQ","FILING_STATUS=MR","SCALING_FORMAT=MLN","Sort=A","Dates=H","DateFormat=P","Fill=—","Direction=H","UseDPDF=Y")</f>
        <v>0</v>
      </c>
      <c r="L33" s="13">
        <f>_xll.BDH("AMGN US Equity","OTHER_ADJUSTMENTS","FQ3 2021","FQ3 2021","Currency=USD","Period=FQ","BEST_FPERIOD_OVERRIDE=FQ","FILING_STATUS=MR","SCALING_FORMAT=MLN","Sort=A","Dates=H","DateFormat=P","Fill=—","Direction=H","UseDPDF=Y")</f>
        <v>0</v>
      </c>
      <c r="M33" s="13">
        <f>_xll.BDH("AMGN US Equity","OTHER_ADJUSTMENTS","FQ4 2021","FQ4 2021","Currency=USD","Period=FQ","BEST_FPERIOD_OVERRIDE=FQ","FILING_STATUS=MR","SCALING_FORMAT=MLN","Sort=A","Dates=H","DateFormat=P","Fill=—","Direction=H","UseDPDF=Y")</f>
        <v>0</v>
      </c>
      <c r="N33" s="13">
        <f>_xll.BDH("AMGN US Equity","OTHER_ADJUSTMENTS","FQ1 2022","FQ1 2022","Currency=USD","Period=FQ","BEST_FPERIOD_OVERRIDE=FQ","FILING_STATUS=MR","SCALING_FORMAT=MLN","Sort=A","Dates=H","DateFormat=P","Fill=—","Direction=H","UseDPDF=Y")</f>
        <v>0</v>
      </c>
      <c r="O33" s="13">
        <f>_xll.BDH("AMGN US Equity","OTHER_ADJUSTMENTS","FQ2 2022","FQ2 2022","Currency=USD","Period=FQ","BEST_FPERIOD_OVERRIDE=FQ","FILING_STATUS=MR","SCALING_FORMAT=MLN","Sort=A","Dates=H","DateFormat=P","Fill=—","Direction=H","UseDPDF=Y")</f>
        <v>0</v>
      </c>
      <c r="P33" s="13">
        <f>_xll.BDH("AMGN US Equity","OTHER_ADJUSTMENTS","FQ3 2022","FQ3 2022","Currency=USD","Period=FQ","BEST_FPERIOD_OVERRIDE=FQ","FILING_STATUS=MR","SCALING_FORMAT=MLN","Sort=A","Dates=H","DateFormat=P","Fill=—","Direction=H","UseDPDF=Y")</f>
        <v>0</v>
      </c>
      <c r="Q33" s="13">
        <f>_xll.BDH("AMGN US Equity","OTHER_ADJUSTMENTS","FQ4 2022","FQ4 2022","Currency=USD","Period=FQ","BEST_FPERIOD_OVERRIDE=FQ","FILING_STATUS=MR","SCALING_FORMAT=MLN","Sort=A","Dates=H","DateFormat=P","Fill=—","Direction=H","UseDPDF=Y")</f>
        <v>0</v>
      </c>
      <c r="R33" s="13">
        <f>_xll.BDH("AMGN US Equity","OTHER_ADJUSTMENTS","FQ1 2023","FQ1 2023","Currency=USD","Period=FQ","BEST_FPERIOD_OVERRIDE=FQ","FILING_STATUS=MR","SCALING_FORMAT=MLN","Sort=A","Dates=H","DateFormat=P","Fill=—","Direction=H","UseDPDF=Y")</f>
        <v>0</v>
      </c>
      <c r="S33" s="13">
        <f>_xll.BDH("AMGN US Equity","OTHER_ADJUSTMENTS","FQ2 2023","FQ2 2023","Currency=USD","Period=FQ","BEST_FPERIOD_OVERRIDE=FQ","FILING_STATUS=MR","SCALING_FORMAT=MLN","Sort=A","Dates=H","DateFormat=P","Fill=—","Direction=H","UseDPDF=Y")</f>
        <v>0</v>
      </c>
      <c r="T33" s="13">
        <f>_xll.BDH("AMGN US Equity","OTHER_ADJUSTMENTS","FQ3 2023","FQ3 2023","Currency=USD","Period=FQ","BEST_FPERIOD_OVERRIDE=FQ","FILING_STATUS=MR","SCALING_FORMAT=MLN","Sort=A","Dates=H","DateFormat=P","Fill=—","Direction=H","UseDPDF=Y")</f>
        <v>0</v>
      </c>
      <c r="U33" s="13">
        <f>_xll.BDH("AMGN US Equity","OTHER_ADJUSTMENTS","FQ4 2023","FQ4 2023","Currency=USD","Period=FQ","BEST_FPERIOD_OVERRIDE=FQ","FILING_STATUS=MR","SCALING_FORMAT=MLN","Sort=A","Dates=H","DateFormat=P","Fill=—","Direction=H","UseDPDF=Y")</f>
        <v>0</v>
      </c>
      <c r="V33" s="13">
        <f>_xll.BDH("AMGN US Equity","OTHER_ADJUSTMENTS","FQ1 2024","FQ1 2024","Currency=USD","Period=FQ","BEST_FPERIOD_OVERRIDE=FQ","FILING_STATUS=MR","SCALING_FORMAT=MLN","Sort=A","Dates=H","DateFormat=P","Fill=—","Direction=H","UseDPDF=Y")</f>
        <v>0</v>
      </c>
      <c r="W33" s="13">
        <f>_xll.BDH("AMGN US Equity","OTHER_ADJUSTMENTS","FQ2 2024","FQ2 2024","Currency=USD","Period=FQ","BEST_FPERIOD_OVERRIDE=FQ","FILING_STATUS=MR","SCALING_FORMAT=MLN","Sort=A","Dates=H","DateFormat=P","Fill=—","Direction=H","UseDPDF=Y")</f>
        <v>0</v>
      </c>
      <c r="X33" s="13">
        <f>_xll.BDH("AMGN US Equity","OTHER_ADJUSTMENTS","FQ3 2024","FQ3 2024","Currency=USD","Period=FQ","BEST_FPERIOD_OVERRIDE=FQ","FILING_STATUS=MR","SCALING_FORMAT=MLN","Sort=A","Dates=H","DateFormat=P","Fill=—","Direction=H","UseDPDF=Y")</f>
        <v>0</v>
      </c>
      <c r="Y33" s="13">
        <f>_xll.BDH("AMGN US Equity","OTHER_ADJUSTMENTS","FQ4 2024","FQ4 2024","Currency=USD","Period=FQ","BEST_FPERIOD_OVERRIDE=FQ","FILING_STATUS=MR","SCALING_FORMAT=MLN","Sort=A","Dates=H","DateFormat=P","Fill=—","Direction=H","UseDPDF=Y")</f>
        <v>0</v>
      </c>
      <c r="Z33" s="13"/>
      <c r="AA33" s="13"/>
    </row>
    <row r="34" spans="1:27" x14ac:dyDescent="0.25">
      <c r="A34" s="6" t="s">
        <v>377</v>
      </c>
      <c r="B34" s="6" t="s">
        <v>80</v>
      </c>
      <c r="C34" s="19">
        <f>_xll.BDH("AMGN US Equity","EARN_FOR_COMMON","FQ2 2019","FQ2 2019","Currency=USD","Period=FQ","BEST_FPERIOD_OVERRIDE=FQ","FILING_STATUS=MR","SCALING_FORMAT=MLN","FA_ADJUSTED=GAAP","Sort=A","Dates=H","DateFormat=P","Fill=—","Direction=H","UseDPDF=Y")</f>
        <v>2179</v>
      </c>
      <c r="D34" s="19">
        <f>_xll.BDH("AMGN US Equity","EARN_FOR_COMMON","FQ3 2019","FQ3 2019","Currency=USD","Period=FQ","BEST_FPERIOD_OVERRIDE=FQ","FILING_STATUS=MR","SCALING_FORMAT=MLN","FA_ADJUSTED=GAAP","Sort=A","Dates=H","DateFormat=P","Fill=—","Direction=H","UseDPDF=Y")</f>
        <v>1968</v>
      </c>
      <c r="E34" s="19">
        <f>_xll.BDH("AMGN US Equity","EARN_FOR_COMMON","FQ4 2019","FQ4 2019","Currency=USD","Period=FQ","BEST_FPERIOD_OVERRIDE=FQ","FILING_STATUS=MR","SCALING_FORMAT=MLN","FA_ADJUSTED=GAAP","Sort=A","Dates=H","DateFormat=P","Fill=—","Direction=H","UseDPDF=Y")</f>
        <v>1703</v>
      </c>
      <c r="F34" s="19">
        <f>_xll.BDH("AMGN US Equity","EARN_FOR_COMMON","FQ1 2020","FQ1 2020","Currency=USD","Period=FQ","BEST_FPERIOD_OVERRIDE=FQ","FILING_STATUS=MR","SCALING_FORMAT=MLN","FA_ADJUSTED=GAAP","Sort=A","Dates=H","DateFormat=P","Fill=—","Direction=H","UseDPDF=Y")</f>
        <v>1825</v>
      </c>
      <c r="G34" s="19">
        <f>_xll.BDH("AMGN US Equity","EARN_FOR_COMMON","FQ2 2020","FQ2 2020","Currency=USD","Period=FQ","BEST_FPERIOD_OVERRIDE=FQ","FILING_STATUS=MR","SCALING_FORMAT=MLN","FA_ADJUSTED=GAAP","Sort=A","Dates=H","DateFormat=P","Fill=—","Direction=H","UseDPDF=Y")</f>
        <v>1803</v>
      </c>
      <c r="H34" s="19">
        <f>_xll.BDH("AMGN US Equity","EARN_FOR_COMMON","FQ3 2020","FQ3 2020","Currency=USD","Period=FQ","BEST_FPERIOD_OVERRIDE=FQ","FILING_STATUS=MR","SCALING_FORMAT=MLN","FA_ADJUSTED=GAAP","Sort=A","Dates=H","DateFormat=P","Fill=—","Direction=H","UseDPDF=Y")</f>
        <v>2021</v>
      </c>
      <c r="I34" s="19">
        <f>_xll.BDH("AMGN US Equity","EARN_FOR_COMMON","FQ4 2020","FQ4 2020","Currency=USD","Period=FQ","BEST_FPERIOD_OVERRIDE=FQ","FILING_STATUS=MR","SCALING_FORMAT=MLN","FA_ADJUSTED=GAAP","Sort=A","Dates=H","DateFormat=P","Fill=—","Direction=H","UseDPDF=Y")</f>
        <v>1615</v>
      </c>
      <c r="J34" s="19">
        <f>_xll.BDH("AMGN US Equity","EARN_FOR_COMMON","FQ1 2021","FQ1 2021","Currency=USD","Period=FQ","BEST_FPERIOD_OVERRIDE=FQ","FILING_STATUS=MR","SCALING_FORMAT=MLN","FA_ADJUSTED=GAAP","Sort=A","Dates=H","DateFormat=P","Fill=—","Direction=H","UseDPDF=Y")</f>
        <v>1646</v>
      </c>
      <c r="K34" s="19">
        <f>_xll.BDH("AMGN US Equity","EARN_FOR_COMMON","FQ2 2021","FQ2 2021","Currency=USD","Period=FQ","BEST_FPERIOD_OVERRIDE=FQ","FILING_STATUS=MR","SCALING_FORMAT=MLN","FA_ADJUSTED=GAAP","Sort=A","Dates=H","DateFormat=P","Fill=—","Direction=H","UseDPDF=Y")</f>
        <v>464</v>
      </c>
      <c r="L34" s="19">
        <f>_xll.BDH("AMGN US Equity","EARN_FOR_COMMON","FQ3 2021","FQ3 2021","Currency=USD","Period=FQ","BEST_FPERIOD_OVERRIDE=FQ","FILING_STATUS=MR","SCALING_FORMAT=MLN","FA_ADJUSTED=GAAP","Sort=A","Dates=H","DateFormat=P","Fill=—","Direction=H","UseDPDF=Y")</f>
        <v>1884</v>
      </c>
      <c r="M34" s="19">
        <f>_xll.BDH("AMGN US Equity","EARN_FOR_COMMON","FQ4 2021","FQ4 2021","Currency=USD","Period=FQ","BEST_FPERIOD_OVERRIDE=FQ","FILING_STATUS=MR","SCALING_FORMAT=MLN","FA_ADJUSTED=GAAP","Sort=A","Dates=H","DateFormat=P","Fill=—","Direction=H","UseDPDF=Y")</f>
        <v>1899</v>
      </c>
      <c r="N34" s="19">
        <f>_xll.BDH("AMGN US Equity","EARN_FOR_COMMON","FQ1 2022","FQ1 2022","Currency=USD","Period=FQ","BEST_FPERIOD_OVERRIDE=FQ","FILING_STATUS=MR","SCALING_FORMAT=MLN","FA_ADJUSTED=GAAP","Sort=A","Dates=H","DateFormat=P","Fill=—","Direction=H","UseDPDF=Y")</f>
        <v>1476</v>
      </c>
      <c r="O34" s="19">
        <f>_xll.BDH("AMGN US Equity","EARN_FOR_COMMON","FQ2 2022","FQ2 2022","Currency=USD","Period=FQ","BEST_FPERIOD_OVERRIDE=FQ","FILING_STATUS=MR","SCALING_FORMAT=MLN","FA_ADJUSTED=GAAP","Sort=A","Dates=H","DateFormat=P","Fill=—","Direction=H","UseDPDF=Y")</f>
        <v>1317</v>
      </c>
      <c r="P34" s="19">
        <f>_xll.BDH("AMGN US Equity","EARN_FOR_COMMON","FQ3 2022","FQ3 2022","Currency=USD","Period=FQ","BEST_FPERIOD_OVERRIDE=FQ","FILING_STATUS=MR","SCALING_FORMAT=MLN","FA_ADJUSTED=GAAP","Sort=A","Dates=H","DateFormat=P","Fill=—","Direction=H","UseDPDF=Y")</f>
        <v>2143</v>
      </c>
      <c r="Q34" s="19">
        <f>_xll.BDH("AMGN US Equity","EARN_FOR_COMMON","FQ4 2022","FQ4 2022","Currency=USD","Period=FQ","BEST_FPERIOD_OVERRIDE=FQ","FILING_STATUS=MR","SCALING_FORMAT=MLN","FA_ADJUSTED=GAAP","Sort=A","Dates=H","DateFormat=P","Fill=—","Direction=H","UseDPDF=Y")</f>
        <v>1616</v>
      </c>
      <c r="R34" s="19">
        <f>_xll.BDH("AMGN US Equity","EARN_FOR_COMMON","FQ1 2023","FQ1 2023","Currency=USD","Period=FQ","BEST_FPERIOD_OVERRIDE=FQ","FILING_STATUS=MR","SCALING_FORMAT=MLN","FA_ADJUSTED=GAAP","Sort=A","Dates=H","DateFormat=P","Fill=—","Direction=H","UseDPDF=Y")</f>
        <v>2841</v>
      </c>
      <c r="S34" s="19">
        <f>_xll.BDH("AMGN US Equity","EARN_FOR_COMMON","FQ2 2023","FQ2 2023","Currency=USD","Period=FQ","BEST_FPERIOD_OVERRIDE=FQ","FILING_STATUS=MR","SCALING_FORMAT=MLN","FA_ADJUSTED=GAAP","Sort=A","Dates=H","DateFormat=P","Fill=—","Direction=H","UseDPDF=Y")</f>
        <v>1379</v>
      </c>
      <c r="T34" s="19">
        <f>_xll.BDH("AMGN US Equity","EARN_FOR_COMMON","FQ3 2023","FQ3 2023","Currency=USD","Period=FQ","BEST_FPERIOD_OVERRIDE=FQ","FILING_STATUS=MR","SCALING_FORMAT=MLN","FA_ADJUSTED=GAAP","Sort=A","Dates=H","DateFormat=P","Fill=—","Direction=H","UseDPDF=Y")</f>
        <v>1730</v>
      </c>
      <c r="U34" s="19">
        <f>_xll.BDH("AMGN US Equity","EARN_FOR_COMMON","FQ4 2023","FQ4 2023","Currency=USD","Period=FQ","BEST_FPERIOD_OVERRIDE=FQ","FILING_STATUS=MR","SCALING_FORMAT=MLN","FA_ADJUSTED=GAAP","Sort=A","Dates=H","DateFormat=P","Fill=—","Direction=H","UseDPDF=Y")</f>
        <v>767</v>
      </c>
      <c r="V34" s="19">
        <f>_xll.BDH("AMGN US Equity","EARN_FOR_COMMON","FQ1 2024","FQ1 2024","Currency=USD","Period=FQ","BEST_FPERIOD_OVERRIDE=FQ","FILING_STATUS=MR","SCALING_FORMAT=MLN","FA_ADJUSTED=GAAP","Sort=A","Dates=H","DateFormat=P","Fill=—","Direction=H","UseDPDF=Y")</f>
        <v>-113</v>
      </c>
      <c r="W34" s="19">
        <f>_xll.BDH("AMGN US Equity","EARN_FOR_COMMON","FQ2 2024","FQ2 2024","Currency=USD","Period=FQ","BEST_FPERIOD_OVERRIDE=FQ","FILING_STATUS=MR","SCALING_FORMAT=MLN","FA_ADJUSTED=GAAP","Sort=A","Dates=H","DateFormat=P","Fill=—","Direction=H","UseDPDF=Y")</f>
        <v>746</v>
      </c>
      <c r="X34" s="19">
        <f>_xll.BDH("AMGN US Equity","EARN_FOR_COMMON","FQ3 2024","FQ3 2024","Currency=USD","Period=FQ","BEST_FPERIOD_OVERRIDE=FQ","FILING_STATUS=MR","SCALING_FORMAT=MLN","FA_ADJUSTED=GAAP","Sort=A","Dates=H","DateFormat=P","Fill=—","Direction=H","UseDPDF=Y")</f>
        <v>2830</v>
      </c>
      <c r="Y34" s="19">
        <f>_xll.BDH("AMGN US Equity","EARN_FOR_COMMON","FQ4 2024","FQ4 2024","Currency=USD","Period=FQ","BEST_FPERIOD_OVERRIDE=FQ","FILING_STATUS=MR","SCALING_FORMAT=MLN","FA_ADJUSTED=GAAP","Sort=A","Dates=H","DateFormat=P","Fill=—","Direction=H","UseDPDF=Y")</f>
        <v>627</v>
      </c>
      <c r="Z34" s="19">
        <v>1233.143</v>
      </c>
      <c r="AA34" s="19">
        <v>1814.143</v>
      </c>
    </row>
    <row r="35" spans="1:27" x14ac:dyDescent="0.25">
      <c r="A35" s="6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 x14ac:dyDescent="0.25">
      <c r="A36" s="6" t="s">
        <v>378</v>
      </c>
      <c r="B36" s="6" t="s">
        <v>80</v>
      </c>
      <c r="C36" s="19">
        <f>_xll.BDH("AMGN US Equity","EARN_FOR_COMMON","FQ2 2019","FQ2 2019","Currency=USD","Period=FQ","BEST_FPERIOD_OVERRIDE=FQ","FILING_STATUS=MR","SCALING_FORMAT=MLN","FA_ADJUSTED=Adjusted","Sort=A","Dates=H","DateFormat=P","Fill=—","Direction=H","UseDPDF=Y")</f>
        <v>2195.7094999999999</v>
      </c>
      <c r="D36" s="19">
        <f>_xll.BDH("AMGN US Equity","EARN_FOR_COMMON","FQ3 2019","FQ3 2019","Currency=USD","Period=FQ","BEST_FPERIOD_OVERRIDE=FQ","FILING_STATUS=MR","SCALING_FORMAT=MLN","FA_ADJUSTED=Adjusted","Sort=A","Dates=H","DateFormat=P","Fill=—","Direction=H","UseDPDF=Y")</f>
        <v>1976</v>
      </c>
      <c r="E36" s="19">
        <f>_xll.BDH("AMGN US Equity","EARN_FOR_COMMON","FQ4 2019","FQ4 2019","Currency=USD","Period=FQ","BEST_FPERIOD_OVERRIDE=FQ","FILING_STATUS=MR","SCALING_FORMAT=MLN","FA_ADJUSTED=Adjusted","Sort=A","Dates=H","DateFormat=P","Fill=—","Direction=H","UseDPDF=Y")</f>
        <v>1760.3874000000001</v>
      </c>
      <c r="F36" s="19">
        <f>_xll.BDH("AMGN US Equity","EARN_FOR_COMMON","FQ1 2020","FQ1 2020","Currency=USD","Period=FQ","BEST_FPERIOD_OVERRIDE=FQ","FILING_STATUS=MR","SCALING_FORMAT=MLN","FA_ADJUSTED=Adjusted","Sort=A","Dates=H","DateFormat=P","Fill=—","Direction=H","UseDPDF=Y")</f>
        <v>1845.7964999999999</v>
      </c>
      <c r="G36" s="19">
        <f>_xll.BDH("AMGN US Equity","EARN_FOR_COMMON","FQ2 2020","FQ2 2020","Currency=USD","Period=FQ","BEST_FPERIOD_OVERRIDE=FQ","FILING_STATUS=MR","SCALING_FORMAT=MLN","FA_ADJUSTED=Adjusted","Sort=A","Dates=H","DateFormat=P","Fill=—","Direction=H","UseDPDF=Y")</f>
        <v>1875.5315000000001</v>
      </c>
      <c r="H36" s="19">
        <f>_xll.BDH("AMGN US Equity","EARN_FOR_COMMON","FQ3 2020","FQ3 2020","Currency=USD","Period=FQ","BEST_FPERIOD_OVERRIDE=FQ","FILING_STATUS=MR","SCALING_FORMAT=MLN","FA_ADJUSTED=Adjusted","Sort=A","Dates=H","DateFormat=P","Fill=—","Direction=H","UseDPDF=Y")</f>
        <v>2569.9627999999998</v>
      </c>
      <c r="I36" s="19">
        <f>_xll.BDH("AMGN US Equity","EARN_FOR_COMMON","FQ4 2020","FQ4 2020","Currency=USD","Period=FQ","BEST_FPERIOD_OVERRIDE=FQ","FILING_STATUS=MR","SCALING_FORMAT=MLN","FA_ADJUSTED=Adjusted","Sort=A","Dates=H","DateFormat=P","Fill=—","Direction=H","UseDPDF=Y")</f>
        <v>1664.0646999999999</v>
      </c>
      <c r="J36" s="19">
        <f>_xll.BDH("AMGN US Equity","EARN_FOR_COMMON","FQ1 2021","FQ1 2021","Currency=USD","Period=FQ","BEST_FPERIOD_OVERRIDE=FQ","FILING_STATUS=MR","SCALING_FORMAT=MLN","FA_ADJUSTED=Adjusted","Sort=A","Dates=H","DateFormat=P","Fill=—","Direction=H","UseDPDF=Y")</f>
        <v>2110.7057</v>
      </c>
      <c r="K36" s="19">
        <f>_xll.BDH("AMGN US Equity","EARN_FOR_COMMON","FQ2 2021","FQ2 2021","Currency=USD","Period=FQ","BEST_FPERIOD_OVERRIDE=FQ","FILING_STATUS=MR","SCALING_FORMAT=MLN","FA_ADJUSTED=Adjusted","Sort=A","Dates=H","DateFormat=P","Fill=—","Direction=H","UseDPDF=Y")</f>
        <v>2485.0016999999998</v>
      </c>
      <c r="L36" s="19">
        <f>_xll.BDH("AMGN US Equity","EARN_FOR_COMMON","FQ3 2021","FQ3 2021","Currency=USD","Period=FQ","BEST_FPERIOD_OVERRIDE=FQ","FILING_STATUS=MR","SCALING_FORMAT=MLN","FA_ADJUSTED=Adjusted","Sort=A","Dates=H","DateFormat=P","Fill=—","Direction=H","UseDPDF=Y")</f>
        <v>1709.0492999999999</v>
      </c>
      <c r="M36" s="19">
        <f>_xll.BDH("AMGN US Equity","EARN_FOR_COMMON","FQ4 2021","FQ4 2021","Currency=USD","Period=FQ","BEST_FPERIOD_OVERRIDE=FQ","FILING_STATUS=MR","SCALING_FORMAT=MLN","FA_ADJUSTED=Adjusted","Sort=A","Dates=H","DateFormat=P","Fill=—","Direction=H","UseDPDF=Y")</f>
        <v>1864.2515000000001</v>
      </c>
      <c r="N36" s="19">
        <f>_xll.BDH("AMGN US Equity","EARN_FOR_COMMON","FQ1 2022","FQ1 2022","Currency=USD","Period=FQ","BEST_FPERIOD_OVERRIDE=FQ","FILING_STATUS=MR","SCALING_FORMAT=MLN","FA_ADJUSTED=Adjusted","Sort=A","Dates=H","DateFormat=P","Fill=—","Direction=H","UseDPDF=Y")</f>
        <v>2304.4439000000002</v>
      </c>
      <c r="O36" s="19">
        <f>_xll.BDH("AMGN US Equity","EARN_FOR_COMMON","FQ2 2022","FQ2 2022","Currency=USD","Period=FQ","BEST_FPERIOD_OVERRIDE=FQ","FILING_STATUS=MR","SCALING_FORMAT=MLN","FA_ADJUSTED=Adjusted","Sort=A","Dates=H","DateFormat=P","Fill=—","Direction=H","UseDPDF=Y")</f>
        <v>2453.5925000000002</v>
      </c>
      <c r="P36" s="19">
        <f>_xll.BDH("AMGN US Equity","EARN_FOR_COMMON","FQ3 2022","FQ3 2022","Currency=USD","Period=FQ","BEST_FPERIOD_OVERRIDE=FQ","FILING_STATUS=MR","SCALING_FORMAT=MLN","FA_ADJUSTED=Adjusted","Sort=A","Dates=H","DateFormat=P","Fill=—","Direction=H","UseDPDF=Y")</f>
        <v>2027.4163000000001</v>
      </c>
      <c r="Q36" s="19">
        <f>_xll.BDH("AMGN US Equity","EARN_FOR_COMMON","FQ4 2022","FQ4 2022","Currency=USD","Period=FQ","BEST_FPERIOD_OVERRIDE=FQ","FILING_STATUS=MR","SCALING_FORMAT=MLN","FA_ADJUSTED=Adjusted","Sort=A","Dates=H","DateFormat=P","Fill=—","Direction=H","UseDPDF=Y")</f>
        <v>1513.0811000000001</v>
      </c>
      <c r="R36" s="19">
        <f>_xll.BDH("AMGN US Equity","EARN_FOR_COMMON","FQ1 2023","FQ1 2023","Currency=USD","Period=FQ","BEST_FPERIOD_OVERRIDE=FQ","FILING_STATUS=MR","SCALING_FORMAT=MLN","FA_ADJUSTED=Adjusted","Sort=A","Dates=H","DateFormat=P","Fill=—","Direction=H","UseDPDF=Y")</f>
        <v>2024</v>
      </c>
      <c r="S36" s="19">
        <f>_xll.BDH("AMGN US Equity","EARN_FOR_COMMON","FQ2 2023","FQ2 2023","Currency=USD","Period=FQ","BEST_FPERIOD_OVERRIDE=FQ","FILING_STATUS=MR","SCALING_FORMAT=MLN","FA_ADJUSTED=Adjusted","Sort=A","Dates=H","DateFormat=P","Fill=—","Direction=H","UseDPDF=Y")</f>
        <v>1851.94</v>
      </c>
      <c r="T36" s="19">
        <f>_xll.BDH("AMGN US Equity","EARN_FOR_COMMON","FQ3 2023","FQ3 2023","Currency=USD","Period=FQ","BEST_FPERIOD_OVERRIDE=FQ","FILING_STATUS=MR","SCALING_FORMAT=MLN","FA_ADJUSTED=Adjusted","Sort=A","Dates=H","DateFormat=P","Fill=—","Direction=H","UseDPDF=Y")</f>
        <v>2078.9131000000002</v>
      </c>
      <c r="U36" s="19">
        <f>_xll.BDH("AMGN US Equity","EARN_FOR_COMMON","FQ4 2023","FQ4 2023","Currency=USD","Period=FQ","BEST_FPERIOD_OVERRIDE=FQ","FILING_STATUS=MR","SCALING_FORMAT=MLN","FA_ADJUSTED=Adjusted","Sort=A","Dates=H","DateFormat=P","Fill=—","Direction=H","UseDPDF=Y")</f>
        <v>1011.3668</v>
      </c>
      <c r="V36" s="19">
        <f>_xll.BDH("AMGN US Equity","EARN_FOR_COMMON","FQ1 2024","FQ1 2024","Currency=USD","Period=FQ","BEST_FPERIOD_OVERRIDE=FQ","FILING_STATUS=MR","SCALING_FORMAT=MLN","FA_ADJUSTED=Adjusted","Sort=A","Dates=H","DateFormat=P","Fill=—","Direction=H","UseDPDF=Y")</f>
        <v>431.9846</v>
      </c>
      <c r="W36" s="19">
        <f>_xll.BDH("AMGN US Equity","EARN_FOR_COMMON","FQ2 2024","FQ2 2024","Currency=USD","Period=FQ","BEST_FPERIOD_OVERRIDE=FQ","FILING_STATUS=MR","SCALING_FORMAT=MLN","FA_ADJUSTED=Adjusted","Sort=A","Dates=H","DateFormat=P","Fill=—","Direction=H","UseDPDF=Y")</f>
        <v>1207.5881999999999</v>
      </c>
      <c r="X36" s="19">
        <f>_xll.BDH("AMGN US Equity","EARN_FOR_COMMON","FQ3 2024","FQ3 2024","Currency=USD","Period=FQ","BEST_FPERIOD_OVERRIDE=FQ","FILING_STATUS=MR","SCALING_FORMAT=MLN","FA_ADJUSTED=Adjusted","Sort=A","Dates=H","DateFormat=P","Fill=—","Direction=H","UseDPDF=Y")</f>
        <v>2043.6077</v>
      </c>
      <c r="Y36" s="19">
        <f>_xll.BDH("AMGN US Equity","EARN_FOR_COMMON","FQ4 2024","FQ4 2024","Currency=USD","Period=FQ","BEST_FPERIOD_OVERRIDE=FQ","FILING_STATUS=MR","SCALING_FORMAT=MLN","FA_ADJUSTED=Adjusted","Sort=A","Dates=H","DateFormat=P","Fill=—","Direction=H","UseDPDF=Y")</f>
        <v>1307.2090000000001</v>
      </c>
      <c r="Z36" s="19">
        <v>2215.5219999999999</v>
      </c>
      <c r="AA36" s="19">
        <v>2773.174</v>
      </c>
    </row>
    <row r="37" spans="1:27" x14ac:dyDescent="0.25">
      <c r="A37" s="10" t="s">
        <v>379</v>
      </c>
      <c r="B37" s="10" t="s">
        <v>380</v>
      </c>
      <c r="C37" s="13">
        <f>_xll.BDH("AMGN US Equity","IS_NET_ABNORMAL_ITEMS","FQ2 2019","FQ2 2019","Currency=USD","Period=FQ","BEST_FPERIOD_OVERRIDE=FQ","FILING_STATUS=MR","SCALING_FORMAT=MLN","Sort=A","Dates=H","DateFormat=P","Fill=—","Direction=H","UseDPDF=Y")</f>
        <v>16.709499999999998</v>
      </c>
      <c r="D37" s="13">
        <f>_xll.BDH("AMGN US Equity","IS_NET_ABNORMAL_ITEMS","FQ3 2019","FQ3 2019","Currency=USD","Period=FQ","BEST_FPERIOD_OVERRIDE=FQ","FILING_STATUS=MR","SCALING_FORMAT=MLN","Sort=A","Dates=H","DateFormat=P","Fill=—","Direction=H","UseDPDF=Y")</f>
        <v>8</v>
      </c>
      <c r="E37" s="13">
        <f>_xll.BDH("AMGN US Equity","IS_NET_ABNORMAL_ITEMS","FQ4 2019","FQ4 2019","Currency=USD","Period=FQ","BEST_FPERIOD_OVERRIDE=FQ","FILING_STATUS=MR","SCALING_FORMAT=MLN","Sort=A","Dates=H","DateFormat=P","Fill=—","Direction=H","UseDPDF=Y")</f>
        <v>57.3874</v>
      </c>
      <c r="F37" s="13">
        <f>_xll.BDH("AMGN US Equity","IS_NET_ABNORMAL_ITEMS","FQ1 2020","FQ1 2020","Currency=USD","Period=FQ","BEST_FPERIOD_OVERRIDE=FQ","FILING_STATUS=MR","SCALING_FORMAT=MLN","Sort=A","Dates=H","DateFormat=P","Fill=—","Direction=H","UseDPDF=Y")</f>
        <v>20.796500000000002</v>
      </c>
      <c r="G37" s="13">
        <f>_xll.BDH("AMGN US Equity","IS_NET_ABNORMAL_ITEMS","FQ2 2020","FQ2 2020","Currency=USD","Period=FQ","BEST_FPERIOD_OVERRIDE=FQ","FILING_STATUS=MR","SCALING_FORMAT=MLN","Sort=A","Dates=H","DateFormat=P","Fill=—","Direction=H","UseDPDF=Y")</f>
        <v>72.531499999999994</v>
      </c>
      <c r="H37" s="13">
        <f>_xll.BDH("AMGN US Equity","IS_NET_ABNORMAL_ITEMS","FQ3 2020","FQ3 2020","Currency=USD","Period=FQ","BEST_FPERIOD_OVERRIDE=FQ","FILING_STATUS=MR","SCALING_FORMAT=MLN","Sort=A","Dates=H","DateFormat=P","Fill=—","Direction=H","UseDPDF=Y")</f>
        <v>548.96280000000002</v>
      </c>
      <c r="I37" s="13">
        <f>_xll.BDH("AMGN US Equity","IS_NET_ABNORMAL_ITEMS","FQ4 2020","FQ4 2020","Currency=USD","Period=FQ","BEST_FPERIOD_OVERRIDE=FQ","FILING_STATUS=MR","SCALING_FORMAT=MLN","Sort=A","Dates=H","DateFormat=P","Fill=—","Direction=H","UseDPDF=Y")</f>
        <v>49.064700000000002</v>
      </c>
      <c r="J37" s="13">
        <f>_xll.BDH("AMGN US Equity","IS_NET_ABNORMAL_ITEMS","FQ1 2021","FQ1 2021","Currency=USD","Period=FQ","BEST_FPERIOD_OVERRIDE=FQ","FILING_STATUS=MR","SCALING_FORMAT=MLN","Sort=A","Dates=H","DateFormat=P","Fill=—","Direction=H","UseDPDF=Y")</f>
        <v>464.70569999999998</v>
      </c>
      <c r="K37" s="13">
        <f>_xll.BDH("AMGN US Equity","IS_NET_ABNORMAL_ITEMS","FQ2 2021","FQ2 2021","Currency=USD","Period=FQ","BEST_FPERIOD_OVERRIDE=FQ","FILING_STATUS=MR","SCALING_FORMAT=MLN","Sort=A","Dates=H","DateFormat=P","Fill=—","Direction=H","UseDPDF=Y")</f>
        <v>2021.0017</v>
      </c>
      <c r="L37" s="13">
        <f>_xll.BDH("AMGN US Equity","IS_NET_ABNORMAL_ITEMS","FQ3 2021","FQ3 2021","Currency=USD","Period=FQ","BEST_FPERIOD_OVERRIDE=FQ","FILING_STATUS=MR","SCALING_FORMAT=MLN","Sort=A","Dates=H","DateFormat=P","Fill=—","Direction=H","UseDPDF=Y")</f>
        <v>-174.95070000000001</v>
      </c>
      <c r="M37" s="13">
        <f>_xll.BDH("AMGN US Equity","IS_NET_ABNORMAL_ITEMS","FQ4 2021","FQ4 2021","Currency=USD","Period=FQ","BEST_FPERIOD_OVERRIDE=FQ","FILING_STATUS=MR","SCALING_FORMAT=MLN","Sort=A","Dates=H","DateFormat=P","Fill=—","Direction=H","UseDPDF=Y")</f>
        <v>-34.7485</v>
      </c>
      <c r="N37" s="13">
        <f>_xll.BDH("AMGN US Equity","IS_NET_ABNORMAL_ITEMS","FQ1 2022","FQ1 2022","Currency=USD","Period=FQ","BEST_FPERIOD_OVERRIDE=FQ","FILING_STATUS=MR","SCALING_FORMAT=MLN","Sort=A","Dates=H","DateFormat=P","Fill=—","Direction=H","UseDPDF=Y")</f>
        <v>828.44389999999999</v>
      </c>
      <c r="O37" s="13">
        <f>_xll.BDH("AMGN US Equity","IS_NET_ABNORMAL_ITEMS","FQ2 2022","FQ2 2022","Currency=USD","Period=FQ","BEST_FPERIOD_OVERRIDE=FQ","FILING_STATUS=MR","SCALING_FORMAT=MLN","Sort=A","Dates=H","DateFormat=P","Fill=—","Direction=H","UseDPDF=Y")</f>
        <v>1136.5925</v>
      </c>
      <c r="P37" s="13">
        <f>_xll.BDH("AMGN US Equity","IS_NET_ABNORMAL_ITEMS","FQ3 2022","FQ3 2022","Currency=USD","Period=FQ","BEST_FPERIOD_OVERRIDE=FQ","FILING_STATUS=MR","SCALING_FORMAT=MLN","Sort=A","Dates=H","DateFormat=P","Fill=—","Direction=H","UseDPDF=Y")</f>
        <v>-115.58369999999999</v>
      </c>
      <c r="Q37" s="13">
        <f>_xll.BDH("AMGN US Equity","IS_NET_ABNORMAL_ITEMS","FQ4 2022","FQ4 2022","Currency=USD","Period=FQ","BEST_FPERIOD_OVERRIDE=FQ","FILING_STATUS=MR","SCALING_FORMAT=MLN","Sort=A","Dates=H","DateFormat=P","Fill=—","Direction=H","UseDPDF=Y")</f>
        <v>-102.91889999999999</v>
      </c>
      <c r="R37" s="13">
        <f>_xll.BDH("AMGN US Equity","IS_NET_ABNORMAL_ITEMS","FQ1 2023","FQ1 2023","Currency=USD","Period=FQ","BEST_FPERIOD_OVERRIDE=FQ","FILING_STATUS=MR","SCALING_FORMAT=MLN","Sort=A","Dates=H","DateFormat=P","Fill=—","Direction=H","UseDPDF=Y")</f>
        <v>-817</v>
      </c>
      <c r="S37" s="13">
        <f>_xll.BDH("AMGN US Equity","IS_NET_ABNORMAL_ITEMS","FQ2 2023","FQ2 2023","Currency=USD","Period=FQ","BEST_FPERIOD_OVERRIDE=FQ","FILING_STATUS=MR","SCALING_FORMAT=MLN","Sort=A","Dates=H","DateFormat=P","Fill=—","Direction=H","UseDPDF=Y")</f>
        <v>472.94</v>
      </c>
      <c r="T37" s="13">
        <f>_xll.BDH("AMGN US Equity","IS_NET_ABNORMAL_ITEMS","FQ3 2023","FQ3 2023","Currency=USD","Period=FQ","BEST_FPERIOD_OVERRIDE=FQ","FILING_STATUS=MR","SCALING_FORMAT=MLN","Sort=A","Dates=H","DateFormat=P","Fill=—","Direction=H","UseDPDF=Y")</f>
        <v>348.91309999999999</v>
      </c>
      <c r="U37" s="13">
        <f>_xll.BDH("AMGN US Equity","IS_NET_ABNORMAL_ITEMS","FQ4 2023","FQ4 2023","Currency=USD","Period=FQ","BEST_FPERIOD_OVERRIDE=FQ","FILING_STATUS=MR","SCALING_FORMAT=MLN","Sort=A","Dates=H","DateFormat=P","Fill=—","Direction=H","UseDPDF=Y")</f>
        <v>244.36680000000001</v>
      </c>
      <c r="V37" s="13">
        <f>_xll.BDH("AMGN US Equity","IS_NET_ABNORMAL_ITEMS","FQ1 2024","FQ1 2024","Currency=USD","Period=FQ","BEST_FPERIOD_OVERRIDE=FQ","FILING_STATUS=MR","SCALING_FORMAT=MLN","Sort=A","Dates=H","DateFormat=P","Fill=—","Direction=H","UseDPDF=Y")</f>
        <v>544.9846</v>
      </c>
      <c r="W37" s="13">
        <f>_xll.BDH("AMGN US Equity","IS_NET_ABNORMAL_ITEMS","FQ2 2024","FQ2 2024","Currency=USD","Period=FQ","BEST_FPERIOD_OVERRIDE=FQ","FILING_STATUS=MR","SCALING_FORMAT=MLN","Sort=A","Dates=H","DateFormat=P","Fill=—","Direction=H","UseDPDF=Y")</f>
        <v>461.58819999999997</v>
      </c>
      <c r="X37" s="13">
        <f>_xll.BDH("AMGN US Equity","IS_NET_ABNORMAL_ITEMS","FQ3 2024","FQ3 2024","Currency=USD","Period=FQ","BEST_FPERIOD_OVERRIDE=FQ","FILING_STATUS=MR","SCALING_FORMAT=MLN","Sort=A","Dates=H","DateFormat=P","Fill=—","Direction=H","UseDPDF=Y")</f>
        <v>-786.39229999999998</v>
      </c>
      <c r="Y37" s="13">
        <f>_xll.BDH("AMGN US Equity","IS_NET_ABNORMAL_ITEMS","FQ4 2024","FQ4 2024","Currency=USD","Period=FQ","BEST_FPERIOD_OVERRIDE=FQ","FILING_STATUS=MR","SCALING_FORMAT=MLN","Sort=A","Dates=H","DateFormat=P","Fill=—","Direction=H","UseDPDF=Y")</f>
        <v>680.20899999999995</v>
      </c>
      <c r="Z37" s="13"/>
      <c r="AA37" s="13"/>
    </row>
    <row r="38" spans="1:27" x14ac:dyDescent="0.25">
      <c r="A38" s="10" t="s">
        <v>381</v>
      </c>
      <c r="B38" s="10" t="s">
        <v>362</v>
      </c>
      <c r="C38" s="13">
        <f>_xll.BDH("AMGN US Equity","XO_GL_NET_OF_TAX","FQ2 2019","FQ2 2019","Currency=USD","Period=FQ","BEST_FPERIOD_OVERRIDE=FQ","FILING_STATUS=MR","SCALING_FORMAT=MLN","Sort=A","Dates=H","DateFormat=P","Fill=—","Direction=H","UseDPDF=Y")</f>
        <v>0</v>
      </c>
      <c r="D38" s="13">
        <f>_xll.BDH("AMGN US Equity","XO_GL_NET_OF_TAX","FQ3 2019","FQ3 2019","Currency=USD","Period=FQ","BEST_FPERIOD_OVERRIDE=FQ","FILING_STATUS=MR","SCALING_FORMAT=MLN","Sort=A","Dates=H","DateFormat=P","Fill=—","Direction=H","UseDPDF=Y")</f>
        <v>0</v>
      </c>
      <c r="E38" s="13">
        <f>_xll.BDH("AMGN US Equity","XO_GL_NET_OF_TAX","FQ4 2019","FQ4 2019","Currency=USD","Period=FQ","BEST_FPERIOD_OVERRIDE=FQ","FILING_STATUS=MR","SCALING_FORMAT=MLN","Sort=A","Dates=H","DateFormat=P","Fill=—","Direction=H","UseDPDF=Y")</f>
        <v>0</v>
      </c>
      <c r="F38" s="13">
        <f>_xll.BDH("AMGN US Equity","XO_GL_NET_OF_TAX","FQ1 2020","FQ1 2020","Currency=USD","Period=FQ","BEST_FPERIOD_OVERRIDE=FQ","FILING_STATUS=MR","SCALING_FORMAT=MLN","Sort=A","Dates=H","DateFormat=P","Fill=—","Direction=H","UseDPDF=Y")</f>
        <v>0</v>
      </c>
      <c r="G38" s="13">
        <f>_xll.BDH("AMGN US Equity","XO_GL_NET_OF_TAX","FQ2 2020","FQ2 2020","Currency=USD","Period=FQ","BEST_FPERIOD_OVERRIDE=FQ","FILING_STATUS=MR","SCALING_FORMAT=MLN","Sort=A","Dates=H","DateFormat=P","Fill=—","Direction=H","UseDPDF=Y")</f>
        <v>0</v>
      </c>
      <c r="H38" s="13">
        <f>_xll.BDH("AMGN US Equity","XO_GL_NET_OF_TAX","FQ3 2020","FQ3 2020","Currency=USD","Period=FQ","BEST_FPERIOD_OVERRIDE=FQ","FILING_STATUS=MR","SCALING_FORMAT=MLN","Sort=A","Dates=H","DateFormat=P","Fill=—","Direction=H","UseDPDF=Y")</f>
        <v>0</v>
      </c>
      <c r="I38" s="13">
        <f>_xll.BDH("AMGN US Equity","XO_GL_NET_OF_TAX","FQ4 2020","FQ4 2020","Currency=USD","Period=FQ","BEST_FPERIOD_OVERRIDE=FQ","FILING_STATUS=MR","SCALING_FORMAT=MLN","Sort=A","Dates=H","DateFormat=P","Fill=—","Direction=H","UseDPDF=Y")</f>
        <v>0</v>
      </c>
      <c r="J38" s="13">
        <f>_xll.BDH("AMGN US Equity","XO_GL_NET_OF_TAX","FQ1 2021","FQ1 2021","Currency=USD","Period=FQ","BEST_FPERIOD_OVERRIDE=FQ","FILING_STATUS=MR","SCALING_FORMAT=MLN","Sort=A","Dates=H","DateFormat=P","Fill=—","Direction=H","UseDPDF=Y")</f>
        <v>0</v>
      </c>
      <c r="K38" s="13">
        <f>_xll.BDH("AMGN US Equity","XO_GL_NET_OF_TAX","FQ2 2021","FQ2 2021","Currency=USD","Period=FQ","BEST_FPERIOD_OVERRIDE=FQ","FILING_STATUS=MR","SCALING_FORMAT=MLN","Sort=A","Dates=H","DateFormat=P","Fill=—","Direction=H","UseDPDF=Y")</f>
        <v>0</v>
      </c>
      <c r="L38" s="13">
        <f>_xll.BDH("AMGN US Equity","XO_GL_NET_OF_TAX","FQ3 2021","FQ3 2021","Currency=USD","Period=FQ","BEST_FPERIOD_OVERRIDE=FQ","FILING_STATUS=MR","SCALING_FORMAT=MLN","Sort=A","Dates=H","DateFormat=P","Fill=—","Direction=H","UseDPDF=Y")</f>
        <v>0</v>
      </c>
      <c r="M38" s="13">
        <f>_xll.BDH("AMGN US Equity","XO_GL_NET_OF_TAX","FQ4 2021","FQ4 2021","Currency=USD","Period=FQ","BEST_FPERIOD_OVERRIDE=FQ","FILING_STATUS=MR","SCALING_FORMAT=MLN","Sort=A","Dates=H","DateFormat=P","Fill=—","Direction=H","UseDPDF=Y")</f>
        <v>0</v>
      </c>
      <c r="N38" s="13">
        <f>_xll.BDH("AMGN US Equity","XO_GL_NET_OF_TAX","FQ1 2022","FQ1 2022","Currency=USD","Period=FQ","BEST_FPERIOD_OVERRIDE=FQ","FILING_STATUS=MR","SCALING_FORMAT=MLN","Sort=A","Dates=H","DateFormat=P","Fill=—","Direction=H","UseDPDF=Y")</f>
        <v>0</v>
      </c>
      <c r="O38" s="13">
        <f>_xll.BDH("AMGN US Equity","XO_GL_NET_OF_TAX","FQ2 2022","FQ2 2022","Currency=USD","Period=FQ","BEST_FPERIOD_OVERRIDE=FQ","FILING_STATUS=MR","SCALING_FORMAT=MLN","Sort=A","Dates=H","DateFormat=P","Fill=—","Direction=H","UseDPDF=Y")</f>
        <v>0</v>
      </c>
      <c r="P38" s="13">
        <f>_xll.BDH("AMGN US Equity","XO_GL_NET_OF_TAX","FQ3 2022","FQ3 2022","Currency=USD","Period=FQ","BEST_FPERIOD_OVERRIDE=FQ","FILING_STATUS=MR","SCALING_FORMAT=MLN","Sort=A","Dates=H","DateFormat=P","Fill=—","Direction=H","UseDPDF=Y")</f>
        <v>0</v>
      </c>
      <c r="Q38" s="13">
        <f>_xll.BDH("AMGN US Equity","XO_GL_NET_OF_TAX","FQ4 2022","FQ4 2022","Currency=USD","Period=FQ","BEST_FPERIOD_OVERRIDE=FQ","FILING_STATUS=MR","SCALING_FORMAT=MLN","Sort=A","Dates=H","DateFormat=P","Fill=—","Direction=H","UseDPDF=Y")</f>
        <v>0</v>
      </c>
      <c r="R38" s="13">
        <f>_xll.BDH("AMGN US Equity","XO_GL_NET_OF_TAX","FQ1 2023","FQ1 2023","Currency=USD","Period=FQ","BEST_FPERIOD_OVERRIDE=FQ","FILING_STATUS=MR","SCALING_FORMAT=MLN","Sort=A","Dates=H","DateFormat=P","Fill=—","Direction=H","UseDPDF=Y")</f>
        <v>0</v>
      </c>
      <c r="S38" s="13">
        <f>_xll.BDH("AMGN US Equity","XO_GL_NET_OF_TAX","FQ2 2023","FQ2 2023","Currency=USD","Period=FQ","BEST_FPERIOD_OVERRIDE=FQ","FILING_STATUS=MR","SCALING_FORMAT=MLN","Sort=A","Dates=H","DateFormat=P","Fill=—","Direction=H","UseDPDF=Y")</f>
        <v>0</v>
      </c>
      <c r="T38" s="13">
        <f>_xll.BDH("AMGN US Equity","XO_GL_NET_OF_TAX","FQ3 2023","FQ3 2023","Currency=USD","Period=FQ","BEST_FPERIOD_OVERRIDE=FQ","FILING_STATUS=MR","SCALING_FORMAT=MLN","Sort=A","Dates=H","DateFormat=P","Fill=—","Direction=H","UseDPDF=Y")</f>
        <v>0</v>
      </c>
      <c r="U38" s="13">
        <f>_xll.BDH("AMGN US Equity","XO_GL_NET_OF_TAX","FQ4 2023","FQ4 2023","Currency=USD","Period=FQ","BEST_FPERIOD_OVERRIDE=FQ","FILING_STATUS=MR","SCALING_FORMAT=MLN","Sort=A","Dates=H","DateFormat=P","Fill=—","Direction=H","UseDPDF=Y")</f>
        <v>0</v>
      </c>
      <c r="V38" s="13">
        <f>_xll.BDH("AMGN US Equity","XO_GL_NET_OF_TAX","FQ1 2024","FQ1 2024","Currency=USD","Period=FQ","BEST_FPERIOD_OVERRIDE=FQ","FILING_STATUS=MR","SCALING_FORMAT=MLN","Sort=A","Dates=H","DateFormat=P","Fill=—","Direction=H","UseDPDF=Y")</f>
        <v>0</v>
      </c>
      <c r="W38" s="13">
        <f>_xll.BDH("AMGN US Equity","XO_GL_NET_OF_TAX","FQ2 2024","FQ2 2024","Currency=USD","Period=FQ","BEST_FPERIOD_OVERRIDE=FQ","FILING_STATUS=MR","SCALING_FORMAT=MLN","Sort=A","Dates=H","DateFormat=P","Fill=—","Direction=H","UseDPDF=Y")</f>
        <v>0</v>
      </c>
      <c r="X38" s="13">
        <f>_xll.BDH("AMGN US Equity","XO_GL_NET_OF_TAX","FQ3 2024","FQ3 2024","Currency=USD","Period=FQ","BEST_FPERIOD_OVERRIDE=FQ","FILING_STATUS=MR","SCALING_FORMAT=MLN","Sort=A","Dates=H","DateFormat=P","Fill=—","Direction=H","UseDPDF=Y")</f>
        <v>0</v>
      </c>
      <c r="Y38" s="13">
        <f>_xll.BDH("AMGN US Equity","XO_GL_NET_OF_TAX","FQ4 2024","FQ4 2024","Currency=USD","Period=FQ","BEST_FPERIOD_OVERRIDE=FQ","FILING_STATUS=MR","SCALING_FORMAT=MLN","Sort=A","Dates=H","DateFormat=P","Fill=—","Direction=H","UseDPDF=Y")</f>
        <v>0</v>
      </c>
      <c r="Z38" s="13"/>
      <c r="AA38" s="13"/>
    </row>
    <row r="39" spans="1:27" x14ac:dyDescent="0.25">
      <c r="A39" s="6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x14ac:dyDescent="0.25">
      <c r="A40" s="10" t="s">
        <v>254</v>
      </c>
      <c r="B40" s="10" t="s">
        <v>106</v>
      </c>
      <c r="C40" s="13">
        <f>_xll.BDH("AMGN US Equity","IS_AVG_NUM_SH_FOR_EPS","FQ2 2019","FQ2 2019","Currency=USD","Period=FQ","BEST_FPERIOD_OVERRIDE=FQ","FILING_STATUS=MR","Sort=A","Dates=H","DateFormat=P","Fill=—","Direction=H","UseDPDF=Y")</f>
        <v>607</v>
      </c>
      <c r="D40" s="13">
        <f>_xll.BDH("AMGN US Equity","IS_AVG_NUM_SH_FOR_EPS","FQ3 2019","FQ3 2019","Currency=USD","Period=FQ","BEST_FPERIOD_OVERRIDE=FQ","FILING_STATUS=MR","Sort=A","Dates=H","DateFormat=P","Fill=—","Direction=H","UseDPDF=Y")</f>
        <v>599</v>
      </c>
      <c r="E40" s="13">
        <f>_xll.BDH("AMGN US Equity","IS_AVG_NUM_SH_FOR_EPS","FQ4 2019","FQ4 2019","Currency=USD","Period=FQ","BEST_FPERIOD_OVERRIDE=FQ","FILING_STATUS=MR","Sort=A","Dates=H","DateFormat=P","Fill=—","Direction=H","UseDPDF=Y")</f>
        <v>593</v>
      </c>
      <c r="F40" s="13">
        <f>_xll.BDH("AMGN US Equity","IS_AVG_NUM_SH_FOR_EPS","FQ1 2020","FQ1 2020","Currency=USD","Period=FQ","BEST_FPERIOD_OVERRIDE=FQ","FILING_STATUS=MR","Sort=A","Dates=H","DateFormat=P","Fill=—","Direction=H","UseDPDF=Y")</f>
        <v>590</v>
      </c>
      <c r="G40" s="13">
        <f>_xll.BDH("AMGN US Equity","IS_AVG_NUM_SH_FOR_EPS","FQ2 2020","FQ2 2020","Currency=USD","Period=FQ","BEST_FPERIOD_OVERRIDE=FQ","FILING_STATUS=MR","Sort=A","Dates=H","DateFormat=P","Fill=—","Direction=H","UseDPDF=Y")</f>
        <v>588</v>
      </c>
      <c r="H40" s="13">
        <f>_xll.BDH("AMGN US Equity","IS_AVG_NUM_SH_FOR_EPS","FQ3 2020","FQ3 2020","Currency=USD","Period=FQ","BEST_FPERIOD_OVERRIDE=FQ","FILING_STATUS=MR","Sort=A","Dates=H","DateFormat=P","Fill=—","Direction=H","UseDPDF=Y")</f>
        <v>585</v>
      </c>
      <c r="I40" s="13">
        <f>_xll.BDH("AMGN US Equity","IS_AVG_NUM_SH_FOR_EPS","FQ4 2020","FQ4 2020","Currency=USD","Period=FQ","BEST_FPERIOD_OVERRIDE=FQ","FILING_STATUS=MR","Sort=A","Dates=H","DateFormat=P","Fill=—","Direction=H","UseDPDF=Y")</f>
        <v>581</v>
      </c>
      <c r="J40" s="13">
        <f>_xll.BDH("AMGN US Equity","IS_AVG_NUM_SH_FOR_EPS","FQ1 2021","FQ1 2021","Currency=USD","Period=FQ","BEST_FPERIOD_OVERRIDE=FQ","FILING_STATUS=MR","Sort=A","Dates=H","DateFormat=P","Fill=—","Direction=H","UseDPDF=Y")</f>
        <v>577</v>
      </c>
      <c r="K40" s="13">
        <f>_xll.BDH("AMGN US Equity","IS_AVG_NUM_SH_FOR_EPS","FQ2 2021","FQ2 2021","Currency=USD","Period=FQ","BEST_FPERIOD_OVERRIDE=FQ","FILING_STATUS=MR","Sort=A","Dates=H","DateFormat=P","Fill=—","Direction=H","UseDPDF=Y")</f>
        <v>573</v>
      </c>
      <c r="L40" s="13">
        <f>_xll.BDH("AMGN US Equity","IS_AVG_NUM_SH_FOR_EPS","FQ3 2021","FQ3 2021","Currency=USD","Period=FQ","BEST_FPERIOD_OVERRIDE=FQ","FILING_STATUS=MR","Sort=A","Dates=H","DateFormat=P","Fill=—","Direction=H","UseDPDF=Y")</f>
        <v>567</v>
      </c>
      <c r="M40" s="13">
        <f>_xll.BDH("AMGN US Equity","IS_AVG_NUM_SH_FOR_EPS","FQ4 2021","FQ4 2021","Currency=USD","Period=FQ","BEST_FPERIOD_OVERRIDE=FQ","FILING_STATUS=MR","Sort=A","Dates=H","DateFormat=P","Fill=—","Direction=H","UseDPDF=Y")</f>
        <v>562</v>
      </c>
      <c r="N40" s="13">
        <f>_xll.BDH("AMGN US Equity","IS_AVG_NUM_SH_FOR_EPS","FQ1 2022","FQ1 2022","Currency=USD","Period=FQ","BEST_FPERIOD_OVERRIDE=FQ","FILING_STATUS=MR","Sort=A","Dates=H","DateFormat=P","Fill=—","Direction=H","UseDPDF=Y")</f>
        <v>548</v>
      </c>
      <c r="O40" s="13">
        <f>_xll.BDH("AMGN US Equity","IS_AVG_NUM_SH_FOR_EPS","FQ2 2022","FQ2 2022","Currency=USD","Period=FQ","BEST_FPERIOD_OVERRIDE=FQ","FILING_STATUS=MR","Sort=A","Dates=H","DateFormat=P","Fill=—","Direction=H","UseDPDF=Y")</f>
        <v>535</v>
      </c>
      <c r="P40" s="13">
        <f>_xll.BDH("AMGN US Equity","IS_AVG_NUM_SH_FOR_EPS","FQ3 2022","FQ3 2022","Currency=USD","Period=FQ","BEST_FPERIOD_OVERRIDE=FQ","FILING_STATUS=MR","Sort=A","Dates=H","DateFormat=P","Fill=—","Direction=H","UseDPDF=Y")</f>
        <v>535</v>
      </c>
      <c r="Q40" s="13">
        <f>_xll.BDH("AMGN US Equity","IS_AVG_NUM_SH_FOR_EPS","FQ4 2022","FQ4 2022","Currency=USD","Period=FQ","BEST_FPERIOD_OVERRIDE=FQ","FILING_STATUS=MR","Sort=A","Dates=H","DateFormat=P","Fill=—","Direction=H","UseDPDF=Y")</f>
        <v>535</v>
      </c>
      <c r="R40" s="13">
        <f>_xll.BDH("AMGN US Equity","IS_AVG_NUM_SH_FOR_EPS","FQ1 2023","FQ1 2023","Currency=USD","Period=FQ","BEST_FPERIOD_OVERRIDE=FQ","FILING_STATUS=MR","Sort=A","Dates=H","DateFormat=P","Fill=—","Direction=H","UseDPDF=Y")</f>
        <v>534</v>
      </c>
      <c r="S40" s="13">
        <f>_xll.BDH("AMGN US Equity","IS_AVG_NUM_SH_FOR_EPS","FQ2 2023","FQ2 2023","Currency=USD","Period=FQ","BEST_FPERIOD_OVERRIDE=FQ","FILING_STATUS=MR","Sort=A","Dates=H","DateFormat=P","Fill=—","Direction=H","UseDPDF=Y")</f>
        <v>535</v>
      </c>
      <c r="T40" s="13">
        <f>_xll.BDH("AMGN US Equity","IS_AVG_NUM_SH_FOR_EPS","FQ3 2023","FQ3 2023","Currency=USD","Period=FQ","BEST_FPERIOD_OVERRIDE=FQ","FILING_STATUS=MR","Sort=A","Dates=H","DateFormat=P","Fill=—","Direction=H","UseDPDF=Y")</f>
        <v>535</v>
      </c>
      <c r="U40" s="13">
        <f>_xll.BDH("AMGN US Equity","IS_AVG_NUM_SH_FOR_EPS","FQ4 2023","FQ4 2023","Currency=USD","Period=FQ","BEST_FPERIOD_OVERRIDE=FQ","FILING_STATUS=MR","Sort=A","Dates=H","DateFormat=P","Fill=—","Direction=H","UseDPDF=Y")</f>
        <v>535</v>
      </c>
      <c r="V40" s="13">
        <f>_xll.BDH("AMGN US Equity","IS_AVG_NUM_SH_FOR_EPS","FQ1 2024","FQ1 2024","Currency=USD","Period=FQ","BEST_FPERIOD_OVERRIDE=FQ","FILING_STATUS=MR","Sort=A","Dates=H","DateFormat=P","Fill=—","Direction=H","UseDPDF=Y")</f>
        <v>536</v>
      </c>
      <c r="W40" s="13">
        <f>_xll.BDH("AMGN US Equity","IS_AVG_NUM_SH_FOR_EPS","FQ2 2024","FQ2 2024","Currency=USD","Period=FQ","BEST_FPERIOD_OVERRIDE=FQ","FILING_STATUS=MR","Sort=A","Dates=H","DateFormat=P","Fill=—","Direction=H","UseDPDF=Y")</f>
        <v>537</v>
      </c>
      <c r="X40" s="13">
        <f>_xll.BDH("AMGN US Equity","IS_AVG_NUM_SH_FOR_EPS","FQ3 2024","FQ3 2024","Currency=USD","Period=FQ","BEST_FPERIOD_OVERRIDE=FQ","FILING_STATUS=MR","Sort=A","Dates=H","DateFormat=P","Fill=—","Direction=H","UseDPDF=Y")</f>
        <v>537</v>
      </c>
      <c r="Y40" s="13">
        <f>_xll.BDH("AMGN US Equity","IS_AVG_NUM_SH_FOR_EPS","FQ4 2024","FQ4 2024","Currency=USD","Period=FQ","BEST_FPERIOD_OVERRIDE=FQ","FILING_STATUS=MR","Sort=A","Dates=H","DateFormat=P","Fill=—","Direction=H","UseDPDF=Y")</f>
        <v>537</v>
      </c>
      <c r="Z40" s="13"/>
      <c r="AA40" s="13"/>
    </row>
    <row r="41" spans="1:27" x14ac:dyDescent="0.25">
      <c r="A41" s="6" t="s">
        <v>101</v>
      </c>
      <c r="B41" s="6" t="s">
        <v>102</v>
      </c>
      <c r="C41" s="20">
        <f>_xll.BDH("AMGN US Equity","IS_EPS","FQ2 2019","FQ2 2019","Currency=USD","Period=FQ","BEST_FPERIOD_OVERRIDE=FQ","FILING_STATUS=MR","FA_ADJUSTED=GAAP","Sort=A","Dates=H","DateFormat=P","Fill=—","Direction=H","UseDPDF=Y")</f>
        <v>3.59</v>
      </c>
      <c r="D41" s="20">
        <f>_xll.BDH("AMGN US Equity","IS_EPS","FQ3 2019","FQ3 2019","Currency=USD","Period=FQ","BEST_FPERIOD_OVERRIDE=FQ","FILING_STATUS=MR","FA_ADJUSTED=GAAP","Sort=A","Dates=H","DateFormat=P","Fill=—","Direction=H","UseDPDF=Y")</f>
        <v>3.29</v>
      </c>
      <c r="E41" s="20">
        <f>_xll.BDH("AMGN US Equity","IS_EPS","FQ4 2019","FQ4 2019","Currency=USD","Period=FQ","BEST_FPERIOD_OVERRIDE=FQ","FILING_STATUS=MR","FA_ADJUSTED=GAAP","Sort=A","Dates=H","DateFormat=P","Fill=—","Direction=H","UseDPDF=Y")</f>
        <v>2.87</v>
      </c>
      <c r="F41" s="20">
        <f>_xll.BDH("AMGN US Equity","IS_EPS","FQ1 2020","FQ1 2020","Currency=USD","Period=FQ","BEST_FPERIOD_OVERRIDE=FQ","FILING_STATUS=MR","FA_ADJUSTED=GAAP","Sort=A","Dates=H","DateFormat=P","Fill=—","Direction=H","UseDPDF=Y")</f>
        <v>3.09</v>
      </c>
      <c r="G41" s="20">
        <f>_xll.BDH("AMGN US Equity","IS_EPS","FQ2 2020","FQ2 2020","Currency=USD","Period=FQ","BEST_FPERIOD_OVERRIDE=FQ","FILING_STATUS=MR","FA_ADJUSTED=GAAP","Sort=A","Dates=H","DateFormat=P","Fill=—","Direction=H","UseDPDF=Y")</f>
        <v>3.07</v>
      </c>
      <c r="H41" s="20">
        <f>_xll.BDH("AMGN US Equity","IS_EPS","FQ3 2020","FQ3 2020","Currency=USD","Period=FQ","BEST_FPERIOD_OVERRIDE=FQ","FILING_STATUS=MR","FA_ADJUSTED=GAAP","Sort=A","Dates=H","DateFormat=P","Fill=—","Direction=H","UseDPDF=Y")</f>
        <v>3.45</v>
      </c>
      <c r="I41" s="20">
        <f>_xll.BDH("AMGN US Equity","IS_EPS","FQ4 2020","FQ4 2020","Currency=USD","Period=FQ","BEST_FPERIOD_OVERRIDE=FQ","FILING_STATUS=MR","FA_ADJUSTED=GAAP","Sort=A","Dates=H","DateFormat=P","Fill=—","Direction=H","UseDPDF=Y")</f>
        <v>2.78</v>
      </c>
      <c r="J41" s="20">
        <f>_xll.BDH("AMGN US Equity","IS_EPS","FQ1 2021","FQ1 2021","Currency=USD","Period=FQ","BEST_FPERIOD_OVERRIDE=FQ","FILING_STATUS=MR","FA_ADJUSTED=GAAP","Sort=A","Dates=H","DateFormat=P","Fill=—","Direction=H","UseDPDF=Y")</f>
        <v>2.85</v>
      </c>
      <c r="K41" s="20">
        <f>_xll.BDH("AMGN US Equity","IS_EPS","FQ2 2021","FQ2 2021","Currency=USD","Period=FQ","BEST_FPERIOD_OVERRIDE=FQ","FILING_STATUS=MR","FA_ADJUSTED=GAAP","Sort=A","Dates=H","DateFormat=P","Fill=—","Direction=H","UseDPDF=Y")</f>
        <v>0.81</v>
      </c>
      <c r="L41" s="20">
        <f>_xll.BDH("AMGN US Equity","IS_EPS","FQ3 2021","FQ3 2021","Currency=USD","Period=FQ","BEST_FPERIOD_OVERRIDE=FQ","FILING_STATUS=MR","FA_ADJUSTED=GAAP","Sort=A","Dates=H","DateFormat=P","Fill=—","Direction=H","UseDPDF=Y")</f>
        <v>3.32</v>
      </c>
      <c r="M41" s="20">
        <f>_xll.BDH("AMGN US Equity","IS_EPS","FQ4 2021","FQ4 2021","Currency=USD","Period=FQ","BEST_FPERIOD_OVERRIDE=FQ","FILING_STATUS=MR","FA_ADJUSTED=GAAP","Sort=A","Dates=H","DateFormat=P","Fill=—","Direction=H","UseDPDF=Y")</f>
        <v>3.38</v>
      </c>
      <c r="N41" s="20">
        <f>_xll.BDH("AMGN US Equity","IS_EPS","FQ1 2022","FQ1 2022","Currency=USD","Period=FQ","BEST_FPERIOD_OVERRIDE=FQ","FILING_STATUS=MR","FA_ADJUSTED=GAAP","Sort=A","Dates=H","DateFormat=P","Fill=—","Direction=H","UseDPDF=Y")</f>
        <v>2.69</v>
      </c>
      <c r="O41" s="20">
        <f>_xll.BDH("AMGN US Equity","IS_EPS","FQ2 2022","FQ2 2022","Currency=USD","Period=FQ","BEST_FPERIOD_OVERRIDE=FQ","FILING_STATUS=MR","FA_ADJUSTED=GAAP","Sort=A","Dates=H","DateFormat=P","Fill=—","Direction=H","UseDPDF=Y")</f>
        <v>2.46</v>
      </c>
      <c r="P41" s="20">
        <f>_xll.BDH("AMGN US Equity","IS_EPS","FQ3 2022","FQ3 2022","Currency=USD","Period=FQ","BEST_FPERIOD_OVERRIDE=FQ","FILING_STATUS=MR","FA_ADJUSTED=GAAP","Sort=A","Dates=H","DateFormat=P","Fill=—","Direction=H","UseDPDF=Y")</f>
        <v>4.01</v>
      </c>
      <c r="Q41" s="20">
        <f>_xll.BDH("AMGN US Equity","IS_EPS","FQ4 2022","FQ4 2022","Currency=USD","Period=FQ","BEST_FPERIOD_OVERRIDE=FQ","FILING_STATUS=MR","FA_ADJUSTED=GAAP","Sort=A","Dates=H","DateFormat=P","Fill=—","Direction=H","UseDPDF=Y")</f>
        <v>3.02</v>
      </c>
      <c r="R41" s="20">
        <f>_xll.BDH("AMGN US Equity","IS_EPS","FQ1 2023","FQ1 2023","Currency=USD","Period=FQ","BEST_FPERIOD_OVERRIDE=FQ","FILING_STATUS=MR","FA_ADJUSTED=GAAP","Sort=A","Dates=H","DateFormat=P","Fill=—","Direction=H","UseDPDF=Y")</f>
        <v>5.32</v>
      </c>
      <c r="S41" s="20">
        <f>_xll.BDH("AMGN US Equity","IS_EPS","FQ2 2023","FQ2 2023","Currency=USD","Period=FQ","BEST_FPERIOD_OVERRIDE=FQ","FILING_STATUS=MR","FA_ADJUSTED=GAAP","Sort=A","Dates=H","DateFormat=P","Fill=—","Direction=H","UseDPDF=Y")</f>
        <v>2.58</v>
      </c>
      <c r="T41" s="20">
        <f>_xll.BDH("AMGN US Equity","IS_EPS","FQ3 2023","FQ3 2023","Currency=USD","Period=FQ","BEST_FPERIOD_OVERRIDE=FQ","FILING_STATUS=MR","FA_ADJUSTED=GAAP","Sort=A","Dates=H","DateFormat=P","Fill=—","Direction=H","UseDPDF=Y")</f>
        <v>3.23</v>
      </c>
      <c r="U41" s="20">
        <f>_xll.BDH("AMGN US Equity","IS_EPS","FQ4 2023","FQ4 2023","Currency=USD","Period=FQ","BEST_FPERIOD_OVERRIDE=FQ","FILING_STATUS=MR","FA_ADJUSTED=GAAP","Sort=A","Dates=H","DateFormat=P","Fill=—","Direction=H","UseDPDF=Y")</f>
        <v>1.43</v>
      </c>
      <c r="V41" s="20">
        <f>_xll.BDH("AMGN US Equity","IS_EPS","FQ1 2024","FQ1 2024","Currency=USD","Period=FQ","BEST_FPERIOD_OVERRIDE=FQ","FILING_STATUS=MR","FA_ADJUSTED=GAAP","Sort=A","Dates=H","DateFormat=P","Fill=—","Direction=H","UseDPDF=Y")</f>
        <v>-0.21</v>
      </c>
      <c r="W41" s="20">
        <f>_xll.BDH("AMGN US Equity","IS_EPS","FQ2 2024","FQ2 2024","Currency=USD","Period=FQ","BEST_FPERIOD_OVERRIDE=FQ","FILING_STATUS=MR","FA_ADJUSTED=GAAP","Sort=A","Dates=H","DateFormat=P","Fill=—","Direction=H","UseDPDF=Y")</f>
        <v>1.39</v>
      </c>
      <c r="X41" s="20">
        <f>_xll.BDH("AMGN US Equity","IS_EPS","FQ3 2024","FQ3 2024","Currency=USD","Period=FQ","BEST_FPERIOD_OVERRIDE=FQ","FILING_STATUS=MR","FA_ADJUSTED=GAAP","Sort=A","Dates=H","DateFormat=P","Fill=—","Direction=H","UseDPDF=Y")</f>
        <v>5.27</v>
      </c>
      <c r="Y41" s="20">
        <f>_xll.BDH("AMGN US Equity","IS_EPS","FQ4 2024","FQ4 2024","Currency=USD","Period=FQ","BEST_FPERIOD_OVERRIDE=FQ","FILING_STATUS=MR","FA_ADJUSTED=GAAP","Sort=A","Dates=H","DateFormat=P","Fill=—","Direction=H","UseDPDF=Y")</f>
        <v>1.17</v>
      </c>
      <c r="Z41" s="20">
        <v>1.9430000000000001</v>
      </c>
      <c r="AA41" s="20">
        <v>3.23</v>
      </c>
    </row>
    <row r="42" spans="1:27" x14ac:dyDescent="0.25">
      <c r="A42" s="6" t="s">
        <v>382</v>
      </c>
      <c r="B42" s="6" t="s">
        <v>261</v>
      </c>
      <c r="C42" s="20">
        <f>_xll.BDH("AMGN US Equity","IS_EARN_BEF_XO_ITEMS_PER_SH","FQ2 2019","FQ2 2019","Currency=USD","Period=FQ","BEST_FPERIOD_OVERRIDE=FQ","FILING_STATUS=MR","Sort=A","Dates=H","DateFormat=P","Fill=—","Direction=H","UseDPDF=Y")</f>
        <v>3.59</v>
      </c>
      <c r="D42" s="20">
        <f>_xll.BDH("AMGN US Equity","IS_EARN_BEF_XO_ITEMS_PER_SH","FQ3 2019","FQ3 2019","Currency=USD","Period=FQ","BEST_FPERIOD_OVERRIDE=FQ","FILING_STATUS=MR","Sort=A","Dates=H","DateFormat=P","Fill=—","Direction=H","UseDPDF=Y")</f>
        <v>3.29</v>
      </c>
      <c r="E42" s="20">
        <f>_xll.BDH("AMGN US Equity","IS_EARN_BEF_XO_ITEMS_PER_SH","FQ4 2019","FQ4 2019","Currency=USD","Period=FQ","BEST_FPERIOD_OVERRIDE=FQ","FILING_STATUS=MR","Sort=A","Dates=H","DateFormat=P","Fill=—","Direction=H","UseDPDF=Y")</f>
        <v>2.87</v>
      </c>
      <c r="F42" s="20">
        <f>_xll.BDH("AMGN US Equity","IS_EARN_BEF_XO_ITEMS_PER_SH","FQ1 2020","FQ1 2020","Currency=USD","Period=FQ","BEST_FPERIOD_OVERRIDE=FQ","FILING_STATUS=MR","Sort=A","Dates=H","DateFormat=P","Fill=—","Direction=H","UseDPDF=Y")</f>
        <v>3.09</v>
      </c>
      <c r="G42" s="20">
        <f>_xll.BDH("AMGN US Equity","IS_EARN_BEF_XO_ITEMS_PER_SH","FQ2 2020","FQ2 2020","Currency=USD","Period=FQ","BEST_FPERIOD_OVERRIDE=FQ","FILING_STATUS=MR","Sort=A","Dates=H","DateFormat=P","Fill=—","Direction=H","UseDPDF=Y")</f>
        <v>3.07</v>
      </c>
      <c r="H42" s="20">
        <f>_xll.BDH("AMGN US Equity","IS_EARN_BEF_XO_ITEMS_PER_SH","FQ3 2020","FQ3 2020","Currency=USD","Period=FQ","BEST_FPERIOD_OVERRIDE=FQ","FILING_STATUS=MR","Sort=A","Dates=H","DateFormat=P","Fill=—","Direction=H","UseDPDF=Y")</f>
        <v>3.45</v>
      </c>
      <c r="I42" s="20">
        <f>_xll.BDH("AMGN US Equity","IS_EARN_BEF_XO_ITEMS_PER_SH","FQ4 2020","FQ4 2020","Currency=USD","Period=FQ","BEST_FPERIOD_OVERRIDE=FQ","FILING_STATUS=MR","Sort=A","Dates=H","DateFormat=P","Fill=—","Direction=H","UseDPDF=Y")</f>
        <v>2.78</v>
      </c>
      <c r="J42" s="20">
        <f>_xll.BDH("AMGN US Equity","IS_EARN_BEF_XO_ITEMS_PER_SH","FQ1 2021","FQ1 2021","Currency=USD","Period=FQ","BEST_FPERIOD_OVERRIDE=FQ","FILING_STATUS=MR","Sort=A","Dates=H","DateFormat=P","Fill=—","Direction=H","UseDPDF=Y")</f>
        <v>2.85</v>
      </c>
      <c r="K42" s="20">
        <f>_xll.BDH("AMGN US Equity","IS_EARN_BEF_XO_ITEMS_PER_SH","FQ2 2021","FQ2 2021","Currency=USD","Period=FQ","BEST_FPERIOD_OVERRIDE=FQ","FILING_STATUS=MR","Sort=A","Dates=H","DateFormat=P","Fill=—","Direction=H","UseDPDF=Y")</f>
        <v>0.81</v>
      </c>
      <c r="L42" s="20">
        <f>_xll.BDH("AMGN US Equity","IS_EARN_BEF_XO_ITEMS_PER_SH","FQ3 2021","FQ3 2021","Currency=USD","Period=FQ","BEST_FPERIOD_OVERRIDE=FQ","FILING_STATUS=MR","Sort=A","Dates=H","DateFormat=P","Fill=—","Direction=H","UseDPDF=Y")</f>
        <v>3.32</v>
      </c>
      <c r="M42" s="20">
        <f>_xll.BDH("AMGN US Equity","IS_EARN_BEF_XO_ITEMS_PER_SH","FQ4 2021","FQ4 2021","Currency=USD","Period=FQ","BEST_FPERIOD_OVERRIDE=FQ","FILING_STATUS=MR","Sort=A","Dates=H","DateFormat=P","Fill=—","Direction=H","UseDPDF=Y")</f>
        <v>3.38</v>
      </c>
      <c r="N42" s="20">
        <f>_xll.BDH("AMGN US Equity","IS_EARN_BEF_XO_ITEMS_PER_SH","FQ1 2022","FQ1 2022","Currency=USD","Period=FQ","BEST_FPERIOD_OVERRIDE=FQ","FILING_STATUS=MR","Sort=A","Dates=H","DateFormat=P","Fill=—","Direction=H","UseDPDF=Y")</f>
        <v>2.69</v>
      </c>
      <c r="O42" s="20">
        <f>_xll.BDH("AMGN US Equity","IS_EARN_BEF_XO_ITEMS_PER_SH","FQ2 2022","FQ2 2022","Currency=USD","Period=FQ","BEST_FPERIOD_OVERRIDE=FQ","FILING_STATUS=MR","Sort=A","Dates=H","DateFormat=P","Fill=—","Direction=H","UseDPDF=Y")</f>
        <v>2.46</v>
      </c>
      <c r="P42" s="20">
        <f>_xll.BDH("AMGN US Equity","IS_EARN_BEF_XO_ITEMS_PER_SH","FQ3 2022","FQ3 2022","Currency=USD","Period=FQ","BEST_FPERIOD_OVERRIDE=FQ","FILING_STATUS=MR","Sort=A","Dates=H","DateFormat=P","Fill=—","Direction=H","UseDPDF=Y")</f>
        <v>4.01</v>
      </c>
      <c r="Q42" s="20">
        <f>_xll.BDH("AMGN US Equity","IS_EARN_BEF_XO_ITEMS_PER_SH","FQ4 2022","FQ4 2022","Currency=USD","Period=FQ","BEST_FPERIOD_OVERRIDE=FQ","FILING_STATUS=MR","Sort=A","Dates=H","DateFormat=P","Fill=—","Direction=H","UseDPDF=Y")</f>
        <v>3.02</v>
      </c>
      <c r="R42" s="20">
        <f>_xll.BDH("AMGN US Equity","IS_EARN_BEF_XO_ITEMS_PER_SH","FQ1 2023","FQ1 2023","Currency=USD","Period=FQ","BEST_FPERIOD_OVERRIDE=FQ","FILING_STATUS=MR","Sort=A","Dates=H","DateFormat=P","Fill=—","Direction=H","UseDPDF=Y")</f>
        <v>5.32</v>
      </c>
      <c r="S42" s="20">
        <f>_xll.BDH("AMGN US Equity","IS_EARN_BEF_XO_ITEMS_PER_SH","FQ2 2023","FQ2 2023","Currency=USD","Period=FQ","BEST_FPERIOD_OVERRIDE=FQ","FILING_STATUS=MR","Sort=A","Dates=H","DateFormat=P","Fill=—","Direction=H","UseDPDF=Y")</f>
        <v>2.58</v>
      </c>
      <c r="T42" s="20">
        <f>_xll.BDH("AMGN US Equity","IS_EARN_BEF_XO_ITEMS_PER_SH","FQ3 2023","FQ3 2023","Currency=USD","Period=FQ","BEST_FPERIOD_OVERRIDE=FQ","FILING_STATUS=MR","Sort=A","Dates=H","DateFormat=P","Fill=—","Direction=H","UseDPDF=Y")</f>
        <v>3.23</v>
      </c>
      <c r="U42" s="20">
        <f>_xll.BDH("AMGN US Equity","IS_EARN_BEF_XO_ITEMS_PER_SH","FQ4 2023","FQ4 2023","Currency=USD","Period=FQ","BEST_FPERIOD_OVERRIDE=FQ","FILING_STATUS=MR","Sort=A","Dates=H","DateFormat=P","Fill=—","Direction=H","UseDPDF=Y")</f>
        <v>1.43</v>
      </c>
      <c r="V42" s="20">
        <f>_xll.BDH("AMGN US Equity","IS_EARN_BEF_XO_ITEMS_PER_SH","FQ1 2024","FQ1 2024","Currency=USD","Period=FQ","BEST_FPERIOD_OVERRIDE=FQ","FILING_STATUS=MR","Sort=A","Dates=H","DateFormat=P","Fill=—","Direction=H","UseDPDF=Y")</f>
        <v>-0.21</v>
      </c>
      <c r="W42" s="20">
        <f>_xll.BDH("AMGN US Equity","IS_EARN_BEF_XO_ITEMS_PER_SH","FQ2 2024","FQ2 2024","Currency=USD","Period=FQ","BEST_FPERIOD_OVERRIDE=FQ","FILING_STATUS=MR","Sort=A","Dates=H","DateFormat=P","Fill=—","Direction=H","UseDPDF=Y")</f>
        <v>1.39</v>
      </c>
      <c r="X42" s="20">
        <f>_xll.BDH("AMGN US Equity","IS_EARN_BEF_XO_ITEMS_PER_SH","FQ3 2024","FQ3 2024","Currency=USD","Period=FQ","BEST_FPERIOD_OVERRIDE=FQ","FILING_STATUS=MR","Sort=A","Dates=H","DateFormat=P","Fill=—","Direction=H","UseDPDF=Y")</f>
        <v>5.27</v>
      </c>
      <c r="Y42" s="20">
        <f>_xll.BDH("AMGN US Equity","IS_EARN_BEF_XO_ITEMS_PER_SH","FQ4 2024","FQ4 2024","Currency=USD","Period=FQ","BEST_FPERIOD_OVERRIDE=FQ","FILING_STATUS=MR","Sort=A","Dates=H","DateFormat=P","Fill=—","Direction=H","UseDPDF=Y")</f>
        <v>1.17</v>
      </c>
      <c r="Z42" s="20">
        <v>1.9430000000000001</v>
      </c>
      <c r="AA42" s="20">
        <v>3.23</v>
      </c>
    </row>
    <row r="43" spans="1:27" x14ac:dyDescent="0.25">
      <c r="A43" s="6" t="s">
        <v>383</v>
      </c>
      <c r="B43" s="6" t="s">
        <v>263</v>
      </c>
      <c r="C43" s="20">
        <f>_xll.BDH("AMGN US Equity","IS_BASIC_EPS_CONT_OPS","FQ2 2019","FQ2 2019","Currency=USD","Period=FQ","BEST_FPERIOD_OVERRIDE=FQ","FILING_STATUS=MR","Sort=A","Dates=H","DateFormat=P","Fill=—","Direction=H","UseDPDF=Y")</f>
        <v>3.6173000000000002</v>
      </c>
      <c r="D43" s="20">
        <f>_xll.BDH("AMGN US Equity","IS_BASIC_EPS_CONT_OPS","FQ3 2019","FQ3 2019","Currency=USD","Period=FQ","BEST_FPERIOD_OVERRIDE=FQ","FILING_STATUS=MR","Sort=A","Dates=H","DateFormat=P","Fill=—","Direction=H","UseDPDF=Y")</f>
        <v>3.2988</v>
      </c>
      <c r="E43" s="20">
        <f>_xll.BDH("AMGN US Equity","IS_BASIC_EPS_CONT_OPS","FQ4 2019","FQ4 2019","Currency=USD","Period=FQ","BEST_FPERIOD_OVERRIDE=FQ","FILING_STATUS=MR","Sort=A","Dates=H","DateFormat=P","Fill=—","Direction=H","UseDPDF=Y")</f>
        <v>2.9685999999999999</v>
      </c>
      <c r="F43" s="20">
        <f>_xll.BDH("AMGN US Equity","IS_BASIC_EPS_CONT_OPS","FQ1 2020","FQ1 2020","Currency=USD","Period=FQ","BEST_FPERIOD_OVERRIDE=FQ","FILING_STATUS=MR","Sort=A","Dates=H","DateFormat=P","Fill=—","Direction=H","UseDPDF=Y")</f>
        <v>3.1284999999999998</v>
      </c>
      <c r="G43" s="20">
        <f>_xll.BDH("AMGN US Equity","IS_BASIC_EPS_CONT_OPS","FQ2 2020","FQ2 2020","Currency=USD","Period=FQ","BEST_FPERIOD_OVERRIDE=FQ","FILING_STATUS=MR","Sort=A","Dates=H","DateFormat=P","Fill=—","Direction=H","UseDPDF=Y")</f>
        <v>3.1897000000000002</v>
      </c>
      <c r="H43" s="20">
        <f>_xll.BDH("AMGN US Equity","IS_BASIC_EPS_CONT_OPS","FQ3 2020","FQ3 2020","Currency=USD","Period=FQ","BEST_FPERIOD_OVERRIDE=FQ","FILING_STATUS=MR","Sort=A","Dates=H","DateFormat=P","Fill=—","Direction=H","UseDPDF=Y")</f>
        <v>4.3930999999999996</v>
      </c>
      <c r="I43" s="20">
        <f>_xll.BDH("AMGN US Equity","IS_BASIC_EPS_CONT_OPS","FQ4 2020","FQ4 2020","Currency=USD","Period=FQ","BEST_FPERIOD_OVERRIDE=FQ","FILING_STATUS=MR","Sort=A","Dates=H","DateFormat=P","Fill=—","Direction=H","UseDPDF=Y")</f>
        <v>2.8641000000000001</v>
      </c>
      <c r="J43" s="20">
        <f>_xll.BDH("AMGN US Equity","IS_BASIC_EPS_CONT_OPS","FQ1 2021","FQ1 2021","Currency=USD","Period=FQ","BEST_FPERIOD_OVERRIDE=FQ","FILING_STATUS=MR","Sort=A","Dates=H","DateFormat=P","Fill=—","Direction=H","UseDPDF=Y")</f>
        <v>3.6581000000000001</v>
      </c>
      <c r="K43" s="20">
        <f>_xll.BDH("AMGN US Equity","IS_BASIC_EPS_CONT_OPS","FQ2 2021","FQ2 2021","Currency=USD","Period=FQ","BEST_FPERIOD_OVERRIDE=FQ","FILING_STATUS=MR","Sort=A","Dates=H","DateFormat=P","Fill=—","Direction=H","UseDPDF=Y")</f>
        <v>4.3368000000000002</v>
      </c>
      <c r="L43" s="20">
        <f>_xll.BDH("AMGN US Equity","IS_BASIC_EPS_CONT_OPS","FQ3 2021","FQ3 2021","Currency=USD","Period=FQ","BEST_FPERIOD_OVERRIDE=FQ","FILING_STATUS=MR","Sort=A","Dates=H","DateFormat=P","Fill=—","Direction=H","UseDPDF=Y")</f>
        <v>3.0142000000000002</v>
      </c>
      <c r="M43" s="20">
        <f>_xll.BDH("AMGN US Equity","IS_BASIC_EPS_CONT_OPS","FQ4 2021","FQ4 2021","Currency=USD","Period=FQ","BEST_FPERIOD_OVERRIDE=FQ","FILING_STATUS=MR","Sort=A","Dates=H","DateFormat=P","Fill=—","Direction=H","UseDPDF=Y")</f>
        <v>3.3172000000000001</v>
      </c>
      <c r="N43" s="20">
        <f>_xll.BDH("AMGN US Equity","IS_BASIC_EPS_CONT_OPS","FQ1 2022","FQ1 2022","Currency=USD","Period=FQ","BEST_FPERIOD_OVERRIDE=FQ","FILING_STATUS=MR","Sort=A","Dates=H","DateFormat=P","Fill=—","Direction=H","UseDPDF=Y")</f>
        <v>4.2051999999999996</v>
      </c>
      <c r="O43" s="20">
        <f>_xll.BDH("AMGN US Equity","IS_BASIC_EPS_CONT_OPS","FQ2 2022","FQ2 2022","Currency=USD","Period=FQ","BEST_FPERIOD_OVERRIDE=FQ","FILING_STATUS=MR","Sort=A","Dates=H","DateFormat=P","Fill=—","Direction=H","UseDPDF=Y")</f>
        <v>4.5861999999999998</v>
      </c>
      <c r="P43" s="20">
        <f>_xll.BDH("AMGN US Equity","IS_BASIC_EPS_CONT_OPS","FQ3 2022","FQ3 2022","Currency=USD","Period=FQ","BEST_FPERIOD_OVERRIDE=FQ","FILING_STATUS=MR","Sort=A","Dates=H","DateFormat=P","Fill=—","Direction=H","UseDPDF=Y")</f>
        <v>3.7896000000000001</v>
      </c>
      <c r="Q43" s="20">
        <f>_xll.BDH("AMGN US Equity","IS_BASIC_EPS_CONT_OPS","FQ4 2022","FQ4 2022","Currency=USD","Period=FQ","BEST_FPERIOD_OVERRIDE=FQ","FILING_STATUS=MR","Sort=A","Dates=H","DateFormat=P","Fill=—","Direction=H","UseDPDF=Y")</f>
        <v>2.8281999999999998</v>
      </c>
      <c r="R43" s="20">
        <f>_xll.BDH("AMGN US Equity","IS_BASIC_EPS_CONT_OPS","FQ1 2023","FQ1 2023","Currency=USD","Period=FQ","BEST_FPERIOD_OVERRIDE=FQ","FILING_STATUS=MR","Sort=A","Dates=H","DateFormat=P","Fill=—","Direction=H","UseDPDF=Y")</f>
        <v>3.7902999999999998</v>
      </c>
      <c r="S43" s="20">
        <f>_xll.BDH("AMGN US Equity","IS_BASIC_EPS_CONT_OPS","FQ2 2023","FQ2 2023","Currency=USD","Period=FQ","BEST_FPERIOD_OVERRIDE=FQ","FILING_STATUS=MR","Sort=A","Dates=H","DateFormat=P","Fill=—","Direction=H","UseDPDF=Y")</f>
        <v>3.4615999999999998</v>
      </c>
      <c r="T43" s="20">
        <f>_xll.BDH("AMGN US Equity","IS_BASIC_EPS_CONT_OPS","FQ3 2023","FQ3 2023","Currency=USD","Period=FQ","BEST_FPERIOD_OVERRIDE=FQ","FILING_STATUS=MR","Sort=A","Dates=H","DateFormat=P","Fill=—","Direction=H","UseDPDF=Y")</f>
        <v>3.8858000000000001</v>
      </c>
      <c r="U43" s="20">
        <f>_xll.BDH("AMGN US Equity","IS_BASIC_EPS_CONT_OPS","FQ4 2023","FQ4 2023","Currency=USD","Period=FQ","BEST_FPERIOD_OVERRIDE=FQ","FILING_STATUS=MR","Sort=A","Dates=H","DateFormat=P","Fill=—","Direction=H","UseDPDF=Y")</f>
        <v>1.8904000000000001</v>
      </c>
      <c r="V43" s="20">
        <f>_xll.BDH("AMGN US Equity","IS_BASIC_EPS_CONT_OPS","FQ1 2024","FQ1 2024","Currency=USD","Period=FQ","BEST_FPERIOD_OVERRIDE=FQ","FILING_STATUS=MR","Sort=A","Dates=H","DateFormat=P","Fill=—","Direction=H","UseDPDF=Y")</f>
        <v>0.80589999999999995</v>
      </c>
      <c r="W43" s="20">
        <f>_xll.BDH("AMGN US Equity","IS_BASIC_EPS_CONT_OPS","FQ2 2024","FQ2 2024","Currency=USD","Period=FQ","BEST_FPERIOD_OVERRIDE=FQ","FILING_STATUS=MR","Sort=A","Dates=H","DateFormat=P","Fill=—","Direction=H","UseDPDF=Y")</f>
        <v>2.2488000000000001</v>
      </c>
      <c r="X43" s="20">
        <f>_xll.BDH("AMGN US Equity","IS_BASIC_EPS_CONT_OPS","FQ3 2024","FQ3 2024","Currency=USD","Period=FQ","BEST_FPERIOD_OVERRIDE=FQ","FILING_STATUS=MR","Sort=A","Dates=H","DateFormat=P","Fill=—","Direction=H","UseDPDF=Y")</f>
        <v>3.8056000000000001</v>
      </c>
      <c r="Y43" s="20">
        <f>_xll.BDH("AMGN US Equity","IS_BASIC_EPS_CONT_OPS","FQ4 2024","FQ4 2024","Currency=USD","Period=FQ","BEST_FPERIOD_OVERRIDE=FQ","FILING_STATUS=MR","Sort=A","Dates=H","DateFormat=P","Fill=—","Direction=H","UseDPDF=Y")</f>
        <v>2.4342999999999999</v>
      </c>
      <c r="Z43" s="20">
        <v>4.2480000000000002</v>
      </c>
      <c r="AA43" s="20">
        <v>5.3029999999999999</v>
      </c>
    </row>
    <row r="44" spans="1:27" x14ac:dyDescent="0.25">
      <c r="A44" s="6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 x14ac:dyDescent="0.25">
      <c r="A45" s="10" t="s">
        <v>253</v>
      </c>
      <c r="B45" s="10" t="s">
        <v>108</v>
      </c>
      <c r="C45" s="13">
        <f>_xll.BDH("AMGN US Equity","IS_SH_FOR_DILUTED_EPS","FQ2 2019","FQ2 2019","Currency=USD","Period=FQ","BEST_FPERIOD_OVERRIDE=FQ","FILING_STATUS=MR","Sort=A","Dates=H","DateFormat=P","Fill=—","Direction=H","UseDPDF=Y")</f>
        <v>610</v>
      </c>
      <c r="D45" s="13">
        <f>_xll.BDH("AMGN US Equity","IS_SH_FOR_DILUTED_EPS","FQ3 2019","FQ3 2019","Currency=USD","Period=FQ","BEST_FPERIOD_OVERRIDE=FQ","FILING_STATUS=MR","Sort=A","Dates=H","DateFormat=P","Fill=—","Direction=H","UseDPDF=Y")</f>
        <v>602</v>
      </c>
      <c r="E45" s="13">
        <f>_xll.BDH("AMGN US Equity","IS_SH_FOR_DILUTED_EPS","FQ4 2019","FQ4 2019","Currency=USD","Period=FQ","BEST_FPERIOD_OVERRIDE=FQ","FILING_STATUS=MR","Sort=A","Dates=H","DateFormat=P","Fill=—","Direction=H","UseDPDF=Y")</f>
        <v>598</v>
      </c>
      <c r="F45" s="13">
        <f>_xll.BDH("AMGN US Equity","IS_SH_FOR_DILUTED_EPS","FQ1 2020","FQ1 2020","Currency=USD","Period=FQ","BEST_FPERIOD_OVERRIDE=FQ","FILING_STATUS=MR","Sort=A","Dates=H","DateFormat=P","Fill=—","Direction=H","UseDPDF=Y")</f>
        <v>594</v>
      </c>
      <c r="G45" s="13">
        <f>_xll.BDH("AMGN US Equity","IS_SH_FOR_DILUTED_EPS","FQ2 2020","FQ2 2020","Currency=USD","Period=FQ","BEST_FPERIOD_OVERRIDE=FQ","FILING_STATUS=MR","Sort=A","Dates=H","DateFormat=P","Fill=—","Direction=H","UseDPDF=Y")</f>
        <v>592</v>
      </c>
      <c r="H45" s="13">
        <f>_xll.BDH("AMGN US Equity","IS_SH_FOR_DILUTED_EPS","FQ3 2020","FQ3 2020","Currency=USD","Period=FQ","BEST_FPERIOD_OVERRIDE=FQ","FILING_STATUS=MR","Sort=A","Dates=H","DateFormat=P","Fill=—","Direction=H","UseDPDF=Y")</f>
        <v>589</v>
      </c>
      <c r="I45" s="13">
        <f>_xll.BDH("AMGN US Equity","IS_SH_FOR_DILUTED_EPS","FQ4 2020","FQ4 2020","Currency=USD","Period=FQ","BEST_FPERIOD_OVERRIDE=FQ","FILING_STATUS=MR","Sort=A","Dates=H","DateFormat=P","Fill=—","Direction=H","UseDPDF=Y")</f>
        <v>585</v>
      </c>
      <c r="J45" s="13">
        <f>_xll.BDH("AMGN US Equity","IS_SH_FOR_DILUTED_EPS","FQ1 2021","FQ1 2021","Currency=USD","Period=FQ","BEST_FPERIOD_OVERRIDE=FQ","FILING_STATUS=MR","Sort=A","Dates=H","DateFormat=P","Fill=—","Direction=H","UseDPDF=Y")</f>
        <v>581</v>
      </c>
      <c r="K45" s="13">
        <f>_xll.BDH("AMGN US Equity","IS_SH_FOR_DILUTED_EPS","FQ2 2021","FQ2 2021","Currency=USD","Period=FQ","BEST_FPERIOD_OVERRIDE=FQ","FILING_STATUS=MR","Sort=A","Dates=H","DateFormat=P","Fill=—","Direction=H","UseDPDF=Y")</f>
        <v>576</v>
      </c>
      <c r="L45" s="13">
        <f>_xll.BDH("AMGN US Equity","IS_SH_FOR_DILUTED_EPS","FQ3 2021","FQ3 2021","Currency=USD","Period=FQ","BEST_FPERIOD_OVERRIDE=FQ","FILING_STATUS=MR","Sort=A","Dates=H","DateFormat=P","Fill=—","Direction=H","UseDPDF=Y")</f>
        <v>570</v>
      </c>
      <c r="M45" s="13">
        <f>_xll.BDH("AMGN US Equity","IS_SH_FOR_DILUTED_EPS","FQ4 2021","FQ4 2021","Currency=USD","Period=FQ","BEST_FPERIOD_OVERRIDE=FQ","FILING_STATUS=MR","Sort=A","Dates=H","DateFormat=P","Fill=—","Direction=H","UseDPDF=Y")</f>
        <v>565</v>
      </c>
      <c r="N45" s="13">
        <f>_xll.BDH("AMGN US Equity","IS_SH_FOR_DILUTED_EPS","FQ1 2022","FQ1 2022","Currency=USD","Period=FQ","BEST_FPERIOD_OVERRIDE=FQ","FILING_STATUS=MR","Sort=A","Dates=H","DateFormat=P","Fill=—","Direction=H","UseDPDF=Y")</f>
        <v>551</v>
      </c>
      <c r="O45" s="13">
        <f>_xll.BDH("AMGN US Equity","IS_SH_FOR_DILUTED_EPS","FQ2 2022","FQ2 2022","Currency=USD","Period=FQ","BEST_FPERIOD_OVERRIDE=FQ","FILING_STATUS=MR","Sort=A","Dates=H","DateFormat=P","Fill=—","Direction=H","UseDPDF=Y")</f>
        <v>537</v>
      </c>
      <c r="P45" s="13">
        <f>_xll.BDH("AMGN US Equity","IS_SH_FOR_DILUTED_EPS","FQ3 2022","FQ3 2022","Currency=USD","Period=FQ","BEST_FPERIOD_OVERRIDE=FQ","FILING_STATUS=MR","Sort=A","Dates=H","DateFormat=P","Fill=—","Direction=H","UseDPDF=Y")</f>
        <v>538</v>
      </c>
      <c r="Q45" s="13">
        <f>_xll.BDH("AMGN US Equity","IS_SH_FOR_DILUTED_EPS","FQ4 2022","FQ4 2022","Currency=USD","Period=FQ","BEST_FPERIOD_OVERRIDE=FQ","FILING_STATUS=MR","Sort=A","Dates=H","DateFormat=P","Fill=—","Direction=H","UseDPDF=Y")</f>
        <v>539</v>
      </c>
      <c r="R45" s="13">
        <f>_xll.BDH("AMGN US Equity","IS_SH_FOR_DILUTED_EPS","FQ1 2023","FQ1 2023","Currency=USD","Period=FQ","BEST_FPERIOD_OVERRIDE=FQ","FILING_STATUS=MR","Sort=A","Dates=H","DateFormat=P","Fill=—","Direction=H","UseDPDF=Y")</f>
        <v>538</v>
      </c>
      <c r="S45" s="13">
        <f>_xll.BDH("AMGN US Equity","IS_SH_FOR_DILUTED_EPS","FQ2 2023","FQ2 2023","Currency=USD","Period=FQ","BEST_FPERIOD_OVERRIDE=FQ","FILING_STATUS=MR","Sort=A","Dates=H","DateFormat=P","Fill=—","Direction=H","UseDPDF=Y")</f>
        <v>537</v>
      </c>
      <c r="T45" s="13">
        <f>_xll.BDH("AMGN US Equity","IS_SH_FOR_DILUTED_EPS","FQ3 2023","FQ3 2023","Currency=USD","Period=FQ","BEST_FPERIOD_OVERRIDE=FQ","FILING_STATUS=MR","Sort=A","Dates=H","DateFormat=P","Fill=—","Direction=H","UseDPDF=Y")</f>
        <v>538</v>
      </c>
      <c r="U45" s="13">
        <f>_xll.BDH("AMGN US Equity","IS_SH_FOR_DILUTED_EPS","FQ4 2023","FQ4 2023","Currency=USD","Period=FQ","BEST_FPERIOD_OVERRIDE=FQ","FILING_STATUS=MR","Sort=A","Dates=H","DateFormat=P","Fill=—","Direction=H","UseDPDF=Y")</f>
        <v>540</v>
      </c>
      <c r="V45" s="13">
        <f>_xll.BDH("AMGN US Equity","IS_SH_FOR_DILUTED_EPS","FQ1 2024","FQ1 2024","Currency=USD","Period=FQ","BEST_FPERIOD_OVERRIDE=FQ","FILING_STATUS=MR","Sort=A","Dates=H","DateFormat=P","Fill=—","Direction=H","UseDPDF=Y")</f>
        <v>536</v>
      </c>
      <c r="W45" s="13">
        <f>_xll.BDH("AMGN US Equity","IS_SH_FOR_DILUTED_EPS","FQ2 2024","FQ2 2024","Currency=USD","Period=FQ","BEST_FPERIOD_OVERRIDE=FQ","FILING_STATUS=MR","Sort=A","Dates=H","DateFormat=P","Fill=—","Direction=H","UseDPDF=Y")</f>
        <v>541</v>
      </c>
      <c r="X45" s="13">
        <f>_xll.BDH("AMGN US Equity","IS_SH_FOR_DILUTED_EPS","FQ3 2024","FQ3 2024","Currency=USD","Period=FQ","BEST_FPERIOD_OVERRIDE=FQ","FILING_STATUS=MR","Sort=A","Dates=H","DateFormat=P","Fill=—","Direction=H","UseDPDF=Y")</f>
        <v>542</v>
      </c>
      <c r="Y45" s="13">
        <f>_xll.BDH("AMGN US Equity","IS_SH_FOR_DILUTED_EPS","FQ4 2024","FQ4 2024","Currency=USD","Period=FQ","BEST_FPERIOD_OVERRIDE=FQ","FILING_STATUS=MR","Sort=A","Dates=H","DateFormat=P","Fill=—","Direction=H","UseDPDF=Y")</f>
        <v>542</v>
      </c>
      <c r="Z45" s="13"/>
      <c r="AA45" s="13"/>
    </row>
    <row r="46" spans="1:27" x14ac:dyDescent="0.25">
      <c r="A46" s="6" t="s">
        <v>103</v>
      </c>
      <c r="B46" s="6" t="s">
        <v>104</v>
      </c>
      <c r="C46" s="20">
        <f>_xll.BDH("AMGN US Equity","IS_DILUTED_EPS","FQ2 2019","FQ2 2019","Currency=USD","Period=FQ","BEST_FPERIOD_OVERRIDE=FQ","FILING_STATUS=MR","FA_ADJUSTED=GAAP","Sort=A","Dates=H","DateFormat=P","Fill=—","Direction=H","UseDPDF=Y")</f>
        <v>3.57</v>
      </c>
      <c r="D46" s="20">
        <f>_xll.BDH("AMGN US Equity","IS_DILUTED_EPS","FQ3 2019","FQ3 2019","Currency=USD","Period=FQ","BEST_FPERIOD_OVERRIDE=FQ","FILING_STATUS=MR","FA_ADJUSTED=GAAP","Sort=A","Dates=H","DateFormat=P","Fill=—","Direction=H","UseDPDF=Y")</f>
        <v>3.27</v>
      </c>
      <c r="E46" s="20">
        <f>_xll.BDH("AMGN US Equity","IS_DILUTED_EPS","FQ4 2019","FQ4 2019","Currency=USD","Period=FQ","BEST_FPERIOD_OVERRIDE=FQ","FILING_STATUS=MR","FA_ADJUSTED=GAAP","Sort=A","Dates=H","DateFormat=P","Fill=—","Direction=H","UseDPDF=Y")</f>
        <v>2.85</v>
      </c>
      <c r="F46" s="20">
        <f>_xll.BDH("AMGN US Equity","IS_DILUTED_EPS","FQ1 2020","FQ1 2020","Currency=USD","Period=FQ","BEST_FPERIOD_OVERRIDE=FQ","FILING_STATUS=MR","FA_ADJUSTED=GAAP","Sort=A","Dates=H","DateFormat=P","Fill=—","Direction=H","UseDPDF=Y")</f>
        <v>3.07</v>
      </c>
      <c r="G46" s="20">
        <f>_xll.BDH("AMGN US Equity","IS_DILUTED_EPS","FQ2 2020","FQ2 2020","Currency=USD","Period=FQ","BEST_FPERIOD_OVERRIDE=FQ","FILING_STATUS=MR","FA_ADJUSTED=GAAP","Sort=A","Dates=H","DateFormat=P","Fill=—","Direction=H","UseDPDF=Y")</f>
        <v>3.05</v>
      </c>
      <c r="H46" s="20">
        <f>_xll.BDH("AMGN US Equity","IS_DILUTED_EPS","FQ3 2020","FQ3 2020","Currency=USD","Period=FQ","BEST_FPERIOD_OVERRIDE=FQ","FILING_STATUS=MR","FA_ADJUSTED=GAAP","Sort=A","Dates=H","DateFormat=P","Fill=—","Direction=H","UseDPDF=Y")</f>
        <v>3.43</v>
      </c>
      <c r="I46" s="20">
        <f>_xll.BDH("AMGN US Equity","IS_DILUTED_EPS","FQ4 2020","FQ4 2020","Currency=USD","Period=FQ","BEST_FPERIOD_OVERRIDE=FQ","FILING_STATUS=MR","FA_ADJUSTED=GAAP","Sort=A","Dates=H","DateFormat=P","Fill=—","Direction=H","UseDPDF=Y")</f>
        <v>2.76</v>
      </c>
      <c r="J46" s="20">
        <f>_xll.BDH("AMGN US Equity","IS_DILUTED_EPS","FQ1 2021","FQ1 2021","Currency=USD","Period=FQ","BEST_FPERIOD_OVERRIDE=FQ","FILING_STATUS=MR","FA_ADJUSTED=GAAP","Sort=A","Dates=H","DateFormat=P","Fill=—","Direction=H","UseDPDF=Y")</f>
        <v>2.83</v>
      </c>
      <c r="K46" s="20">
        <f>_xll.BDH("AMGN US Equity","IS_DILUTED_EPS","FQ2 2021","FQ2 2021","Currency=USD","Period=FQ","BEST_FPERIOD_OVERRIDE=FQ","FILING_STATUS=MR","FA_ADJUSTED=GAAP","Sort=A","Dates=H","DateFormat=P","Fill=—","Direction=H","UseDPDF=Y")</f>
        <v>0.81</v>
      </c>
      <c r="L46" s="20">
        <f>_xll.BDH("AMGN US Equity","IS_DILUTED_EPS","FQ3 2021","FQ3 2021","Currency=USD","Period=FQ","BEST_FPERIOD_OVERRIDE=FQ","FILING_STATUS=MR","FA_ADJUSTED=GAAP","Sort=A","Dates=H","DateFormat=P","Fill=—","Direction=H","UseDPDF=Y")</f>
        <v>3.31</v>
      </c>
      <c r="M46" s="20">
        <f>_xll.BDH("AMGN US Equity","IS_DILUTED_EPS","FQ4 2021","FQ4 2021","Currency=USD","Period=FQ","BEST_FPERIOD_OVERRIDE=FQ","FILING_STATUS=MR","FA_ADJUSTED=GAAP","Sort=A","Dates=H","DateFormat=P","Fill=—","Direction=H","UseDPDF=Y")</f>
        <v>3.36</v>
      </c>
      <c r="N46" s="20">
        <f>_xll.BDH("AMGN US Equity","IS_DILUTED_EPS","FQ1 2022","FQ1 2022","Currency=USD","Period=FQ","BEST_FPERIOD_OVERRIDE=FQ","FILING_STATUS=MR","FA_ADJUSTED=GAAP","Sort=A","Dates=H","DateFormat=P","Fill=—","Direction=H","UseDPDF=Y")</f>
        <v>2.68</v>
      </c>
      <c r="O46" s="20">
        <f>_xll.BDH("AMGN US Equity","IS_DILUTED_EPS","FQ2 2022","FQ2 2022","Currency=USD","Period=FQ","BEST_FPERIOD_OVERRIDE=FQ","FILING_STATUS=MR","FA_ADJUSTED=GAAP","Sort=A","Dates=H","DateFormat=P","Fill=—","Direction=H","UseDPDF=Y")</f>
        <v>2.4500000000000002</v>
      </c>
      <c r="P46" s="20">
        <f>_xll.BDH("AMGN US Equity","IS_DILUTED_EPS","FQ3 2022","FQ3 2022","Currency=USD","Period=FQ","BEST_FPERIOD_OVERRIDE=FQ","FILING_STATUS=MR","FA_ADJUSTED=GAAP","Sort=A","Dates=H","DateFormat=P","Fill=—","Direction=H","UseDPDF=Y")</f>
        <v>3.98</v>
      </c>
      <c r="Q46" s="20">
        <f>_xll.BDH("AMGN US Equity","IS_DILUTED_EPS","FQ4 2022","FQ4 2022","Currency=USD","Period=FQ","BEST_FPERIOD_OVERRIDE=FQ","FILING_STATUS=MR","FA_ADJUSTED=GAAP","Sort=A","Dates=H","DateFormat=P","Fill=—","Direction=H","UseDPDF=Y")</f>
        <v>3</v>
      </c>
      <c r="R46" s="20">
        <f>_xll.BDH("AMGN US Equity","IS_DILUTED_EPS","FQ1 2023","FQ1 2023","Currency=USD","Period=FQ","BEST_FPERIOD_OVERRIDE=FQ","FILING_STATUS=MR","FA_ADJUSTED=GAAP","Sort=A","Dates=H","DateFormat=P","Fill=—","Direction=H","UseDPDF=Y")</f>
        <v>5.28</v>
      </c>
      <c r="S46" s="20">
        <f>_xll.BDH("AMGN US Equity","IS_DILUTED_EPS","FQ2 2023","FQ2 2023","Currency=USD","Period=FQ","BEST_FPERIOD_OVERRIDE=FQ","FILING_STATUS=MR","FA_ADJUSTED=GAAP","Sort=A","Dates=H","DateFormat=P","Fill=—","Direction=H","UseDPDF=Y")</f>
        <v>2.57</v>
      </c>
      <c r="T46" s="20">
        <f>_xll.BDH("AMGN US Equity","IS_DILUTED_EPS","FQ3 2023","FQ3 2023","Currency=USD","Period=FQ","BEST_FPERIOD_OVERRIDE=FQ","FILING_STATUS=MR","FA_ADJUSTED=GAAP","Sort=A","Dates=H","DateFormat=P","Fill=—","Direction=H","UseDPDF=Y")</f>
        <v>3.22</v>
      </c>
      <c r="U46" s="20">
        <f>_xll.BDH("AMGN US Equity","IS_DILUTED_EPS","FQ4 2023","FQ4 2023","Currency=USD","Period=FQ","BEST_FPERIOD_OVERRIDE=FQ","FILING_STATUS=MR","FA_ADJUSTED=GAAP","Sort=A","Dates=H","DateFormat=P","Fill=—","Direction=H","UseDPDF=Y")</f>
        <v>1.42</v>
      </c>
      <c r="V46" s="20">
        <f>_xll.BDH("AMGN US Equity","IS_DILUTED_EPS","FQ1 2024","FQ1 2024","Currency=USD","Period=FQ","BEST_FPERIOD_OVERRIDE=FQ","FILING_STATUS=MR","FA_ADJUSTED=GAAP","Sort=A","Dates=H","DateFormat=P","Fill=—","Direction=H","UseDPDF=Y")</f>
        <v>-0.21</v>
      </c>
      <c r="W46" s="20">
        <f>_xll.BDH("AMGN US Equity","IS_DILUTED_EPS","FQ2 2024","FQ2 2024","Currency=USD","Period=FQ","BEST_FPERIOD_OVERRIDE=FQ","FILING_STATUS=MR","FA_ADJUSTED=GAAP","Sort=A","Dates=H","DateFormat=P","Fill=—","Direction=H","UseDPDF=Y")</f>
        <v>1.38</v>
      </c>
      <c r="X46" s="20">
        <f>_xll.BDH("AMGN US Equity","IS_DILUTED_EPS","FQ3 2024","FQ3 2024","Currency=USD","Period=FQ","BEST_FPERIOD_OVERRIDE=FQ","FILING_STATUS=MR","FA_ADJUSTED=GAAP","Sort=A","Dates=H","DateFormat=P","Fill=—","Direction=H","UseDPDF=Y")</f>
        <v>5.22</v>
      </c>
      <c r="Y46" s="20">
        <f>_xll.BDH("AMGN US Equity","IS_DILUTED_EPS","FQ4 2024","FQ4 2024","Currency=USD","Period=FQ","BEST_FPERIOD_OVERRIDE=FQ","FILING_STATUS=MR","FA_ADJUSTED=GAAP","Sort=A","Dates=H","DateFormat=P","Fill=—","Direction=H","UseDPDF=Y")</f>
        <v>1.1599999999999999</v>
      </c>
      <c r="Z46" s="20">
        <v>1.9430000000000001</v>
      </c>
      <c r="AA46" s="20">
        <v>3.23</v>
      </c>
    </row>
    <row r="47" spans="1:27" x14ac:dyDescent="0.25">
      <c r="A47" s="6" t="s">
        <v>384</v>
      </c>
      <c r="B47" s="6" t="s">
        <v>266</v>
      </c>
      <c r="C47" s="20">
        <f>_xll.BDH("AMGN US Equity","IS_DIL_EPS_BEF_XO","FQ2 2019","FQ2 2019","Currency=USD","Period=FQ","BEST_FPERIOD_OVERRIDE=FQ","FILING_STATUS=MR","Sort=A","Dates=H","DateFormat=P","Fill=—","Direction=H","UseDPDF=Y")</f>
        <v>3.57</v>
      </c>
      <c r="D47" s="20">
        <f>_xll.BDH("AMGN US Equity","IS_DIL_EPS_BEF_XO","FQ3 2019","FQ3 2019","Currency=USD","Period=FQ","BEST_FPERIOD_OVERRIDE=FQ","FILING_STATUS=MR","Sort=A","Dates=H","DateFormat=P","Fill=—","Direction=H","UseDPDF=Y")</f>
        <v>3.27</v>
      </c>
      <c r="E47" s="20">
        <f>_xll.BDH("AMGN US Equity","IS_DIL_EPS_BEF_XO","FQ4 2019","FQ4 2019","Currency=USD","Period=FQ","BEST_FPERIOD_OVERRIDE=FQ","FILING_STATUS=MR","Sort=A","Dates=H","DateFormat=P","Fill=—","Direction=H","UseDPDF=Y")</f>
        <v>2.85</v>
      </c>
      <c r="F47" s="20">
        <f>_xll.BDH("AMGN US Equity","IS_DIL_EPS_BEF_XO","FQ1 2020","FQ1 2020","Currency=USD","Period=FQ","BEST_FPERIOD_OVERRIDE=FQ","FILING_STATUS=MR","Sort=A","Dates=H","DateFormat=P","Fill=—","Direction=H","UseDPDF=Y")</f>
        <v>3.07</v>
      </c>
      <c r="G47" s="20">
        <f>_xll.BDH("AMGN US Equity","IS_DIL_EPS_BEF_XO","FQ2 2020","FQ2 2020","Currency=USD","Period=FQ","BEST_FPERIOD_OVERRIDE=FQ","FILING_STATUS=MR","Sort=A","Dates=H","DateFormat=P","Fill=—","Direction=H","UseDPDF=Y")</f>
        <v>3.05</v>
      </c>
      <c r="H47" s="20">
        <f>_xll.BDH("AMGN US Equity","IS_DIL_EPS_BEF_XO","FQ3 2020","FQ3 2020","Currency=USD","Period=FQ","BEST_FPERIOD_OVERRIDE=FQ","FILING_STATUS=MR","Sort=A","Dates=H","DateFormat=P","Fill=—","Direction=H","UseDPDF=Y")</f>
        <v>3.43</v>
      </c>
      <c r="I47" s="20">
        <f>_xll.BDH("AMGN US Equity","IS_DIL_EPS_BEF_XO","FQ4 2020","FQ4 2020","Currency=USD","Period=FQ","BEST_FPERIOD_OVERRIDE=FQ","FILING_STATUS=MR","Sort=A","Dates=H","DateFormat=P","Fill=—","Direction=H","UseDPDF=Y")</f>
        <v>2.76</v>
      </c>
      <c r="J47" s="20">
        <f>_xll.BDH("AMGN US Equity","IS_DIL_EPS_BEF_XO","FQ1 2021","FQ1 2021","Currency=USD","Period=FQ","BEST_FPERIOD_OVERRIDE=FQ","FILING_STATUS=MR","Sort=A","Dates=H","DateFormat=P","Fill=—","Direction=H","UseDPDF=Y")</f>
        <v>2.83</v>
      </c>
      <c r="K47" s="20">
        <f>_xll.BDH("AMGN US Equity","IS_DIL_EPS_BEF_XO","FQ2 2021","FQ2 2021","Currency=USD","Period=FQ","BEST_FPERIOD_OVERRIDE=FQ","FILING_STATUS=MR","Sort=A","Dates=H","DateFormat=P","Fill=—","Direction=H","UseDPDF=Y")</f>
        <v>0.81</v>
      </c>
      <c r="L47" s="20">
        <f>_xll.BDH("AMGN US Equity","IS_DIL_EPS_BEF_XO","FQ3 2021","FQ3 2021","Currency=USD","Period=FQ","BEST_FPERIOD_OVERRIDE=FQ","FILING_STATUS=MR","Sort=A","Dates=H","DateFormat=P","Fill=—","Direction=H","UseDPDF=Y")</f>
        <v>3.31</v>
      </c>
      <c r="M47" s="20">
        <f>_xll.BDH("AMGN US Equity","IS_DIL_EPS_BEF_XO","FQ4 2021","FQ4 2021","Currency=USD","Period=FQ","BEST_FPERIOD_OVERRIDE=FQ","FILING_STATUS=MR","Sort=A","Dates=H","DateFormat=P","Fill=—","Direction=H","UseDPDF=Y")</f>
        <v>3.36</v>
      </c>
      <c r="N47" s="20">
        <f>_xll.BDH("AMGN US Equity","IS_DIL_EPS_BEF_XO","FQ1 2022","FQ1 2022","Currency=USD","Period=FQ","BEST_FPERIOD_OVERRIDE=FQ","FILING_STATUS=MR","Sort=A","Dates=H","DateFormat=P","Fill=—","Direction=H","UseDPDF=Y")</f>
        <v>2.68</v>
      </c>
      <c r="O47" s="20">
        <f>_xll.BDH("AMGN US Equity","IS_DIL_EPS_BEF_XO","FQ2 2022","FQ2 2022","Currency=USD","Period=FQ","BEST_FPERIOD_OVERRIDE=FQ","FILING_STATUS=MR","Sort=A","Dates=H","DateFormat=P","Fill=—","Direction=H","UseDPDF=Y")</f>
        <v>2.4500000000000002</v>
      </c>
      <c r="P47" s="20">
        <f>_xll.BDH("AMGN US Equity","IS_DIL_EPS_BEF_XO","FQ3 2022","FQ3 2022","Currency=USD","Period=FQ","BEST_FPERIOD_OVERRIDE=FQ","FILING_STATUS=MR","Sort=A","Dates=H","DateFormat=P","Fill=—","Direction=H","UseDPDF=Y")</f>
        <v>3.98</v>
      </c>
      <c r="Q47" s="20">
        <f>_xll.BDH("AMGN US Equity","IS_DIL_EPS_BEF_XO","FQ4 2022","FQ4 2022","Currency=USD","Period=FQ","BEST_FPERIOD_OVERRIDE=FQ","FILING_STATUS=MR","Sort=A","Dates=H","DateFormat=P","Fill=—","Direction=H","UseDPDF=Y")</f>
        <v>3</v>
      </c>
      <c r="R47" s="20">
        <f>_xll.BDH("AMGN US Equity","IS_DIL_EPS_BEF_XO","FQ1 2023","FQ1 2023","Currency=USD","Period=FQ","BEST_FPERIOD_OVERRIDE=FQ","FILING_STATUS=MR","Sort=A","Dates=H","DateFormat=P","Fill=—","Direction=H","UseDPDF=Y")</f>
        <v>5.28</v>
      </c>
      <c r="S47" s="20">
        <f>_xll.BDH("AMGN US Equity","IS_DIL_EPS_BEF_XO","FQ2 2023","FQ2 2023","Currency=USD","Period=FQ","BEST_FPERIOD_OVERRIDE=FQ","FILING_STATUS=MR","Sort=A","Dates=H","DateFormat=P","Fill=—","Direction=H","UseDPDF=Y")</f>
        <v>2.57</v>
      </c>
      <c r="T47" s="20">
        <f>_xll.BDH("AMGN US Equity","IS_DIL_EPS_BEF_XO","FQ3 2023","FQ3 2023","Currency=USD","Period=FQ","BEST_FPERIOD_OVERRIDE=FQ","FILING_STATUS=MR","Sort=A","Dates=H","DateFormat=P","Fill=—","Direction=H","UseDPDF=Y")</f>
        <v>3.22</v>
      </c>
      <c r="U47" s="20">
        <f>_xll.BDH("AMGN US Equity","IS_DIL_EPS_BEF_XO","FQ4 2023","FQ4 2023","Currency=USD","Period=FQ","BEST_FPERIOD_OVERRIDE=FQ","FILING_STATUS=MR","Sort=A","Dates=H","DateFormat=P","Fill=—","Direction=H","UseDPDF=Y")</f>
        <v>1.42</v>
      </c>
      <c r="V47" s="20">
        <f>_xll.BDH("AMGN US Equity","IS_DIL_EPS_BEF_XO","FQ1 2024","FQ1 2024","Currency=USD","Period=FQ","BEST_FPERIOD_OVERRIDE=FQ","FILING_STATUS=MR","Sort=A","Dates=H","DateFormat=P","Fill=—","Direction=H","UseDPDF=Y")</f>
        <v>-0.21</v>
      </c>
      <c r="W47" s="20">
        <f>_xll.BDH("AMGN US Equity","IS_DIL_EPS_BEF_XO","FQ2 2024","FQ2 2024","Currency=USD","Period=FQ","BEST_FPERIOD_OVERRIDE=FQ","FILING_STATUS=MR","Sort=A","Dates=H","DateFormat=P","Fill=—","Direction=H","UseDPDF=Y")</f>
        <v>1.38</v>
      </c>
      <c r="X47" s="20">
        <f>_xll.BDH("AMGN US Equity","IS_DIL_EPS_BEF_XO","FQ3 2024","FQ3 2024","Currency=USD","Period=FQ","BEST_FPERIOD_OVERRIDE=FQ","FILING_STATUS=MR","Sort=A","Dates=H","DateFormat=P","Fill=—","Direction=H","UseDPDF=Y")</f>
        <v>5.22</v>
      </c>
      <c r="Y47" s="20">
        <f>_xll.BDH("AMGN US Equity","IS_DIL_EPS_BEF_XO","FQ4 2024","FQ4 2024","Currency=USD","Period=FQ","BEST_FPERIOD_OVERRIDE=FQ","FILING_STATUS=MR","Sort=A","Dates=H","DateFormat=P","Fill=—","Direction=H","UseDPDF=Y")</f>
        <v>1.1599999999999999</v>
      </c>
      <c r="Z47" s="20">
        <v>1.9430000000000001</v>
      </c>
      <c r="AA47" s="20">
        <v>3.23</v>
      </c>
    </row>
    <row r="48" spans="1:27" x14ac:dyDescent="0.25">
      <c r="A48" s="6" t="s">
        <v>385</v>
      </c>
      <c r="B48" s="6" t="s">
        <v>82</v>
      </c>
      <c r="C48" s="20">
        <f>_xll.BDH("AMGN US Equity","IS_DIL_EPS_CONT_OPS","FQ2 2019","FQ2 2019","Currency=USD","Period=FQ","BEST_FPERIOD_OVERRIDE=FQ","FILING_STATUS=MR","Sort=A","Dates=H","DateFormat=P","Fill=—","Direction=H","UseDPDF=Y")</f>
        <v>3.5973999999999999</v>
      </c>
      <c r="D48" s="20">
        <f>_xll.BDH("AMGN US Equity","IS_DIL_EPS_CONT_OPS","FQ3 2019","FQ3 2019","Currency=USD","Period=FQ","BEST_FPERIOD_OVERRIDE=FQ","FILING_STATUS=MR","Sort=A","Dates=H","DateFormat=P","Fill=—","Direction=H","UseDPDF=Y")</f>
        <v>3.2833000000000001</v>
      </c>
      <c r="E48" s="20">
        <f>_xll.BDH("AMGN US Equity","IS_DIL_EPS_CONT_OPS","FQ4 2019","FQ4 2019","Currency=USD","Period=FQ","BEST_FPERIOD_OVERRIDE=FQ","FILING_STATUS=MR","Sort=A","Dates=H","DateFormat=P","Fill=—","Direction=H","UseDPDF=Y")</f>
        <v>2.9460000000000002</v>
      </c>
      <c r="F48" s="20">
        <f>_xll.BDH("AMGN US Equity","IS_DIL_EPS_CONT_OPS","FQ1 2020","FQ1 2020","Currency=USD","Period=FQ","BEST_FPERIOD_OVERRIDE=FQ","FILING_STATUS=MR","Sort=A","Dates=H","DateFormat=P","Fill=—","Direction=H","UseDPDF=Y")</f>
        <v>3.105</v>
      </c>
      <c r="G48" s="20">
        <f>_xll.BDH("AMGN US Equity","IS_DIL_EPS_CONT_OPS","FQ2 2020","FQ2 2020","Currency=USD","Period=FQ","BEST_FPERIOD_OVERRIDE=FQ","FILING_STATUS=MR","Sort=A","Dates=H","DateFormat=P","Fill=—","Direction=H","UseDPDF=Y")</f>
        <v>3.1724999999999999</v>
      </c>
      <c r="H48" s="20">
        <f>_xll.BDH("AMGN US Equity","IS_DIL_EPS_CONT_OPS","FQ3 2020","FQ3 2020","Currency=USD","Period=FQ","BEST_FPERIOD_OVERRIDE=FQ","FILING_STATUS=MR","Sort=A","Dates=H","DateFormat=P","Fill=—","Direction=H","UseDPDF=Y")</f>
        <v>4.3620000000000001</v>
      </c>
      <c r="I48" s="20">
        <f>_xll.BDH("AMGN US Equity","IS_DIL_EPS_CONT_OPS","FQ4 2020","FQ4 2020","Currency=USD","Period=FQ","BEST_FPERIOD_OVERRIDE=FQ","FILING_STATUS=MR","Sort=A","Dates=H","DateFormat=P","Fill=—","Direction=H","UseDPDF=Y")</f>
        <v>2.8439000000000001</v>
      </c>
      <c r="J48" s="20">
        <f>_xll.BDH("AMGN US Equity","IS_DIL_EPS_CONT_OPS","FQ1 2021","FQ1 2021","Currency=USD","Period=FQ","BEST_FPERIOD_OVERRIDE=FQ","FILING_STATUS=MR","Sort=A","Dates=H","DateFormat=P","Fill=—","Direction=H","UseDPDF=Y")</f>
        <v>3.6297999999999999</v>
      </c>
      <c r="K48" s="20">
        <f>_xll.BDH("AMGN US Equity","IS_DIL_EPS_CONT_OPS","FQ2 2021","FQ2 2021","Currency=USD","Period=FQ","BEST_FPERIOD_OVERRIDE=FQ","FILING_STATUS=MR","Sort=A","Dates=H","DateFormat=P","Fill=—","Direction=H","UseDPDF=Y")</f>
        <v>4.3186999999999998</v>
      </c>
      <c r="L48" s="20">
        <f>_xll.BDH("AMGN US Equity","IS_DIL_EPS_CONT_OPS","FQ3 2021","FQ3 2021","Currency=USD","Period=FQ","BEST_FPERIOD_OVERRIDE=FQ","FILING_STATUS=MR","Sort=A","Dates=H","DateFormat=P","Fill=—","Direction=H","UseDPDF=Y")</f>
        <v>3.0030999999999999</v>
      </c>
      <c r="M48" s="20">
        <f>_xll.BDH("AMGN US Equity","IS_DIL_EPS_CONT_OPS","FQ4 2021","FQ4 2021","Currency=USD","Period=FQ","BEST_FPERIOD_OVERRIDE=FQ","FILING_STATUS=MR","Sort=A","Dates=H","DateFormat=P","Fill=—","Direction=H","UseDPDF=Y")</f>
        <v>3.2985000000000002</v>
      </c>
      <c r="N48" s="20">
        <f>_xll.BDH("AMGN US Equity","IS_DIL_EPS_CONT_OPS","FQ1 2022","FQ1 2022","Currency=USD","Period=FQ","BEST_FPERIOD_OVERRIDE=FQ","FILING_STATUS=MR","Sort=A","Dates=H","DateFormat=P","Fill=—","Direction=H","UseDPDF=Y")</f>
        <v>4.1835000000000004</v>
      </c>
      <c r="O48" s="20">
        <f>_xll.BDH("AMGN US Equity","IS_DIL_EPS_CONT_OPS","FQ2 2022","FQ2 2022","Currency=USD","Period=FQ","BEST_FPERIOD_OVERRIDE=FQ","FILING_STATUS=MR","Sort=A","Dates=H","DateFormat=P","Fill=—","Direction=H","UseDPDF=Y")</f>
        <v>4.5666000000000002</v>
      </c>
      <c r="P48" s="20">
        <f>_xll.BDH("AMGN US Equity","IS_DIL_EPS_CONT_OPS","FQ3 2022","FQ3 2022","Currency=USD","Period=FQ","BEST_FPERIOD_OVERRIDE=FQ","FILING_STATUS=MR","Sort=A","Dates=H","DateFormat=P","Fill=—","Direction=H","UseDPDF=Y")</f>
        <v>3.7652000000000001</v>
      </c>
      <c r="Q48" s="20">
        <f>_xll.BDH("AMGN US Equity","IS_DIL_EPS_CONT_OPS","FQ4 2022","FQ4 2022","Currency=USD","Period=FQ","BEST_FPERIOD_OVERRIDE=FQ","FILING_STATUS=MR","Sort=A","Dates=H","DateFormat=P","Fill=—","Direction=H","UseDPDF=Y")</f>
        <v>2.8090999999999999</v>
      </c>
      <c r="R48" s="20">
        <f>_xll.BDH("AMGN US Equity","IS_DIL_EPS_CONT_OPS","FQ1 2023","FQ1 2023","Currency=USD","Period=FQ","BEST_FPERIOD_OVERRIDE=FQ","FILING_STATUS=MR","Sort=A","Dates=H","DateFormat=P","Fill=—","Direction=H","UseDPDF=Y")</f>
        <v>3.7614000000000001</v>
      </c>
      <c r="S48" s="20">
        <f>_xll.BDH("AMGN US Equity","IS_DIL_EPS_CONT_OPS","FQ2 2023","FQ2 2023","Currency=USD","Period=FQ","BEST_FPERIOD_OVERRIDE=FQ","FILING_STATUS=MR","Sort=A","Dates=H","DateFormat=P","Fill=—","Direction=H","UseDPDF=Y")</f>
        <v>3.4506999999999999</v>
      </c>
      <c r="T48" s="20">
        <f>_xll.BDH("AMGN US Equity","IS_DIL_EPS_CONT_OPS","FQ3 2023","FQ3 2023","Currency=USD","Period=FQ","BEST_FPERIOD_OVERRIDE=FQ","FILING_STATUS=MR","Sort=A","Dates=H","DateFormat=P","Fill=—","Direction=H","UseDPDF=Y")</f>
        <v>3.8685</v>
      </c>
      <c r="U48" s="20">
        <f>_xll.BDH("AMGN US Equity","IS_DIL_EPS_CONT_OPS","FQ4 2023","FQ4 2023","Currency=USD","Period=FQ","BEST_FPERIOD_OVERRIDE=FQ","FILING_STATUS=MR","Sort=A","Dates=H","DateFormat=P","Fill=—","Direction=H","UseDPDF=Y")</f>
        <v>1.8725000000000001</v>
      </c>
      <c r="V48" s="20">
        <f>_xll.BDH("AMGN US Equity","IS_DIL_EPS_CONT_OPS","FQ1 2024","FQ1 2024","Currency=USD","Period=FQ","BEST_FPERIOD_OVERRIDE=FQ","FILING_STATUS=MR","Sort=A","Dates=H","DateFormat=P","Fill=—","Direction=H","UseDPDF=Y")</f>
        <v>0.80589999999999995</v>
      </c>
      <c r="W48" s="20">
        <f>_xll.BDH("AMGN US Equity","IS_DIL_EPS_CONT_OPS","FQ2 2024","FQ2 2024","Currency=USD","Period=FQ","BEST_FPERIOD_OVERRIDE=FQ","FILING_STATUS=MR","Sort=A","Dates=H","DateFormat=P","Fill=—","Direction=H","UseDPDF=Y")</f>
        <v>2.2332000000000001</v>
      </c>
      <c r="X48" s="20">
        <f>_xll.BDH("AMGN US Equity","IS_DIL_EPS_CONT_OPS","FQ3 2024","FQ3 2024","Currency=USD","Period=FQ","BEST_FPERIOD_OVERRIDE=FQ","FILING_STATUS=MR","Sort=A","Dates=H","DateFormat=P","Fill=—","Direction=H","UseDPDF=Y")</f>
        <v>3.7690999999999999</v>
      </c>
      <c r="Y48" s="20">
        <f>_xll.BDH("AMGN US Equity","IS_DIL_EPS_CONT_OPS","FQ4 2024","FQ4 2024","Currency=USD","Period=FQ","BEST_FPERIOD_OVERRIDE=FQ","FILING_STATUS=MR","Sort=A","Dates=H","DateFormat=P","Fill=—","Direction=H","UseDPDF=Y")</f>
        <v>2.415</v>
      </c>
      <c r="Z48" s="20">
        <v>4.2480000000000002</v>
      </c>
      <c r="AA48" s="20">
        <v>5.3029999999999999</v>
      </c>
    </row>
    <row r="49" spans="1:27" x14ac:dyDescent="0.25">
      <c r="A49" s="6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 x14ac:dyDescent="0.25">
      <c r="A50" s="6" t="s">
        <v>4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 x14ac:dyDescent="0.25">
      <c r="A51" s="10" t="s">
        <v>386</v>
      </c>
      <c r="B51" s="10" t="s">
        <v>387</v>
      </c>
      <c r="C51" s="12" t="s">
        <v>388</v>
      </c>
      <c r="D51" s="12" t="s">
        <v>388</v>
      </c>
      <c r="E51" s="12" t="s">
        <v>388</v>
      </c>
      <c r="F51" s="12" t="s">
        <v>388</v>
      </c>
      <c r="G51" s="12" t="s">
        <v>388</v>
      </c>
      <c r="H51" s="12" t="s">
        <v>388</v>
      </c>
      <c r="I51" s="12" t="s">
        <v>388</v>
      </c>
      <c r="J51" s="12" t="s">
        <v>388</v>
      </c>
      <c r="K51" s="12" t="s">
        <v>388</v>
      </c>
      <c r="L51" s="12" t="s">
        <v>388</v>
      </c>
      <c r="M51" s="12" t="s">
        <v>388</v>
      </c>
      <c r="N51" s="12" t="s">
        <v>388</v>
      </c>
      <c r="O51" s="12" t="s">
        <v>388</v>
      </c>
      <c r="P51" s="12" t="s">
        <v>388</v>
      </c>
      <c r="Q51" s="12" t="s">
        <v>388</v>
      </c>
      <c r="R51" s="12" t="s">
        <v>388</v>
      </c>
      <c r="S51" s="12" t="s">
        <v>388</v>
      </c>
      <c r="T51" s="12" t="s">
        <v>388</v>
      </c>
      <c r="U51" s="12" t="s">
        <v>388</v>
      </c>
      <c r="V51" s="12" t="s">
        <v>388</v>
      </c>
      <c r="W51" s="12" t="s">
        <v>388</v>
      </c>
      <c r="X51" s="12" t="s">
        <v>388</v>
      </c>
      <c r="Y51" s="12" t="s">
        <v>388</v>
      </c>
      <c r="Z51" s="12"/>
      <c r="AA51" s="12"/>
    </row>
    <row r="52" spans="1:27" x14ac:dyDescent="0.25">
      <c r="A52" s="10" t="s">
        <v>78</v>
      </c>
      <c r="B52" s="10" t="s">
        <v>78</v>
      </c>
      <c r="C52" s="13">
        <f>_xll.BDH("AMGN US Equity","EBITDA","FQ2 2019","FQ2 2019","Currency=USD","Period=FQ","BEST_FPERIOD_OVERRIDE=FQ","FILING_STATUS=MR","SCALING_FORMAT=MLN","FA_ADJUSTED=GAAP","Sort=A","Dates=H","DateFormat=P","Fill=—","Direction=H","UseDPDF=Y")</f>
        <v>3221</v>
      </c>
      <c r="D52" s="13">
        <f>_xll.BDH("AMGN US Equity","EBITDA","FQ3 2019","FQ3 2019","Currency=USD","Period=FQ","BEST_FPERIOD_OVERRIDE=FQ","FILING_STATUS=MR","SCALING_FORMAT=MLN","FA_ADJUSTED=GAAP","Sort=A","Dates=H","DateFormat=P","Fill=—","Direction=H","UseDPDF=Y")</f>
        <v>3026</v>
      </c>
      <c r="E52" s="13">
        <f>_xll.BDH("AMGN US Equity","EBITDA","FQ4 2019","FQ4 2019","Currency=USD","Period=FQ","BEST_FPERIOD_OVERRIDE=FQ","FILING_STATUS=MR","SCALING_FORMAT=MLN","FA_ADJUSTED=GAAP","Sort=A","Dates=H","DateFormat=P","Fill=—","Direction=H","UseDPDF=Y")</f>
        <v>2797</v>
      </c>
      <c r="F52" s="13">
        <f>_xll.BDH("AMGN US Equity","EBITDA","FQ1 2020","FQ1 2020","Currency=USD","Period=FQ","BEST_FPERIOD_OVERRIDE=FQ","FILING_STATUS=MR","SCALING_FORMAT=MLN","FA_ADJUSTED=GAAP","Sort=A","Dates=H","DateFormat=P","Fill=—","Direction=H","UseDPDF=Y")</f>
        <v>3252</v>
      </c>
      <c r="G52" s="13">
        <f>_xll.BDH("AMGN US Equity","EBITDA","FQ2 2020","FQ2 2020","Currency=USD","Period=FQ","BEST_FPERIOD_OVERRIDE=FQ","FILING_STATUS=MR","SCALING_FORMAT=MLN","FA_ADJUSTED=GAAP","Sort=A","Dates=H","DateFormat=P","Fill=—","Direction=H","UseDPDF=Y")</f>
        <v>3253</v>
      </c>
      <c r="H52" s="13">
        <f>_xll.BDH("AMGN US Equity","EBITDA","FQ3 2020","FQ3 2020","Currency=USD","Period=FQ","BEST_FPERIOD_OVERRIDE=FQ","FILING_STATUS=MR","SCALING_FORMAT=MLN","FA_ADJUSTED=GAAP","Sort=A","Dates=H","DateFormat=P","Fill=—","Direction=H","UseDPDF=Y")</f>
        <v>3354</v>
      </c>
      <c r="I52" s="13">
        <f>_xll.BDH("AMGN US Equity","EBITDA","FQ4 2020","FQ4 2020","Currency=USD","Period=FQ","BEST_FPERIOD_OVERRIDE=FQ","FILING_STATUS=MR","SCALING_FORMAT=MLN","FA_ADJUSTED=GAAP","Sort=A","Dates=H","DateFormat=P","Fill=—","Direction=H","UseDPDF=Y")</f>
        <v>2881</v>
      </c>
      <c r="J52" s="13">
        <f>_xll.BDH("AMGN US Equity","EBITDA","FQ1 2021","FQ1 2021","Currency=USD","Period=FQ","BEST_FPERIOD_OVERRIDE=FQ","FILING_STATUS=MR","SCALING_FORMAT=MLN","FA_ADJUSTED=GAAP","Sort=A","Dates=H","DateFormat=P","Fill=—","Direction=H","UseDPDF=Y")</f>
        <v>2970</v>
      </c>
      <c r="K52" s="13">
        <f>_xll.BDH("AMGN US Equity","EBITDA","FQ2 2021","FQ2 2021","Currency=USD","Period=FQ","BEST_FPERIOD_OVERRIDE=FQ","FILING_STATUS=MR","SCALING_FORMAT=MLN","FA_ADJUSTED=GAAP","Sort=A","Dates=H","DateFormat=P","Fill=—","Direction=H","UseDPDF=Y")</f>
        <v>1683</v>
      </c>
      <c r="L52" s="13">
        <f>_xll.BDH("AMGN US Equity","EBITDA","FQ3 2021","FQ3 2021","Currency=USD","Period=FQ","BEST_FPERIOD_OVERRIDE=FQ","FILING_STATUS=MR","SCALING_FORMAT=MLN","FA_ADJUSTED=GAAP","Sort=A","Dates=H","DateFormat=P","Fill=—","Direction=H","UseDPDF=Y")</f>
        <v>3228</v>
      </c>
      <c r="M52" s="13">
        <f>_xll.BDH("AMGN US Equity","EBITDA","FQ4 2021","FQ4 2021","Currency=USD","Period=FQ","BEST_FPERIOD_OVERRIDE=FQ","FILING_STATUS=MR","SCALING_FORMAT=MLN","FA_ADJUSTED=GAAP","Sort=A","Dates=H","DateFormat=P","Fill=—","Direction=H","UseDPDF=Y")</f>
        <v>3156</v>
      </c>
      <c r="N52" s="13">
        <f>_xll.BDH("AMGN US Equity","EBITDA","FQ1 2022","FQ1 2022","Currency=USD","Period=FQ","BEST_FPERIOD_OVERRIDE=FQ","FILING_STATUS=MR","SCALING_FORMAT=MLN","FA_ADJUSTED=GAAP","Sort=A","Dates=H","DateFormat=P","Fill=—","Direction=H","UseDPDF=Y")</f>
        <v>3341</v>
      </c>
      <c r="O52" s="13">
        <f>_xll.BDH("AMGN US Equity","EBITDA","FQ2 2022","FQ2 2022","Currency=USD","Period=FQ","BEST_FPERIOD_OVERRIDE=FQ","FILING_STATUS=MR","SCALING_FORMAT=MLN","FA_ADJUSTED=GAAP","Sort=A","Dates=H","DateFormat=P","Fill=—","Direction=H","UseDPDF=Y")</f>
        <v>3004</v>
      </c>
      <c r="P52" s="13">
        <f>_xll.BDH("AMGN US Equity","EBITDA","FQ3 2022","FQ3 2022","Currency=USD","Period=FQ","BEST_FPERIOD_OVERRIDE=FQ","FILING_STATUS=MR","SCALING_FORMAT=MLN","FA_ADJUSTED=GAAP","Sort=A","Dates=H","DateFormat=P","Fill=—","Direction=H","UseDPDF=Y")</f>
        <v>3497</v>
      </c>
      <c r="Q52" s="13">
        <f>_xll.BDH("AMGN US Equity","EBITDA","FQ4 2022","FQ4 2022","Currency=USD","Period=FQ","BEST_FPERIOD_OVERRIDE=FQ","FILING_STATUS=MR","SCALING_FORMAT=MLN","FA_ADJUSTED=GAAP","Sort=A","Dates=H","DateFormat=P","Fill=—","Direction=H","UseDPDF=Y")</f>
        <v>3141</v>
      </c>
      <c r="R52" s="13">
        <f>_xll.BDH("AMGN US Equity","EBITDA","FQ1 2023","FQ1 2023","Currency=USD","Period=FQ","BEST_FPERIOD_OVERRIDE=FQ","FILING_STATUS=MR","SCALING_FORMAT=MLN","FA_ADJUSTED=GAAP","Sort=A","Dates=H","DateFormat=P","Fill=—","Direction=H","UseDPDF=Y")</f>
        <v>2821</v>
      </c>
      <c r="S52" s="13">
        <f>_xll.BDH("AMGN US Equity","EBITDA","FQ2 2023","FQ2 2023","Currency=USD","Period=FQ","BEST_FPERIOD_OVERRIDE=FQ","FILING_STATUS=MR","SCALING_FORMAT=MLN","FA_ADJUSTED=GAAP","Sort=A","Dates=H","DateFormat=P","Fill=—","Direction=H","UseDPDF=Y")</f>
        <v>3580</v>
      </c>
      <c r="T52" s="13">
        <f>_xll.BDH("AMGN US Equity","EBITDA","FQ3 2023","FQ3 2023","Currency=USD","Period=FQ","BEST_FPERIOD_OVERRIDE=FQ","FILING_STATUS=MR","SCALING_FORMAT=MLN","FA_ADJUSTED=GAAP","Sort=A","Dates=H","DateFormat=P","Fill=—","Direction=H","UseDPDF=Y")</f>
        <v>2916</v>
      </c>
      <c r="U52" s="13">
        <f>_xll.BDH("AMGN US Equity","EBITDA","FQ4 2023","FQ4 2023","Currency=USD","Period=FQ","BEST_FPERIOD_OVERRIDE=FQ","FILING_STATUS=MR","SCALING_FORMAT=MLN","FA_ADJUSTED=GAAP","Sort=A","Dates=H","DateFormat=P","Fill=—","Direction=H","UseDPDF=Y")</f>
        <v>2651</v>
      </c>
      <c r="V52" s="13">
        <f>_xll.BDH("AMGN US Equity","EBITDA","FQ1 2024","FQ1 2024","Currency=USD","Period=FQ","BEST_FPERIOD_OVERRIDE=FQ","FILING_STATUS=MR","SCALING_FORMAT=MLN","FA_ADJUSTED=GAAP","Sort=A","Dates=H","DateFormat=P","Fill=—","Direction=H","UseDPDF=Y")</f>
        <v>2390</v>
      </c>
      <c r="W52" s="13">
        <f>_xll.BDH("AMGN US Equity","EBITDA","FQ2 2024","FQ2 2024","Currency=USD","Period=FQ","BEST_FPERIOD_OVERRIDE=FQ","FILING_STATUS=MR","SCALING_FORMAT=MLN","FA_ADJUSTED=GAAP","Sort=A","Dates=H","DateFormat=P","Fill=—","Direction=H","UseDPDF=Y")</f>
        <v>3309</v>
      </c>
      <c r="X52" s="13">
        <f>_xll.BDH("AMGN US Equity","EBITDA","FQ3 2024","FQ3 2024","Currency=USD","Period=FQ","BEST_FPERIOD_OVERRIDE=FQ","FILING_STATUS=MR","SCALING_FORMAT=MLN","FA_ADJUSTED=GAAP","Sort=A","Dates=H","DateFormat=P","Fill=—","Direction=H","UseDPDF=Y")</f>
        <v>3443</v>
      </c>
      <c r="Y52" s="13">
        <f>_xll.BDH("AMGN US Equity","EBITDA","FQ4 2024","FQ4 2024","Currency=USD","Period=FQ","BEST_FPERIOD_OVERRIDE=FQ","FILING_STATUS=MR","SCALING_FORMAT=MLN","FA_ADJUSTED=GAAP","Sort=A","Dates=H","DateFormat=P","Fill=—","Direction=H","UseDPDF=Y")</f>
        <v>3708</v>
      </c>
      <c r="Z52" s="13">
        <v>3909.375</v>
      </c>
      <c r="AA52" s="13">
        <v>4794.625</v>
      </c>
    </row>
    <row r="53" spans="1:27" x14ac:dyDescent="0.25">
      <c r="A53" s="10" t="s">
        <v>389</v>
      </c>
      <c r="B53" s="10" t="s">
        <v>390</v>
      </c>
      <c r="C53" s="14">
        <f>_xll.BDH("AMGN US Equity","EBITDA_MARGIN","FQ2 2019","FQ2 2019","Currency=USD","Period=FQ","BEST_FPERIOD_OVERRIDE=FQ","FILING_STATUS=MR","FA_ADJUSTED=GAAP","Sort=A","Dates=H","DateFormat=P","Fill=—","Direction=H","UseDPDF=Y")</f>
        <v>50.606900000000003</v>
      </c>
      <c r="D53" s="14">
        <f>_xll.BDH("AMGN US Equity","EBITDA_MARGIN","FQ3 2019","FQ3 2019","Currency=USD","Period=FQ","BEST_FPERIOD_OVERRIDE=FQ","FILING_STATUS=MR","FA_ADJUSTED=GAAP","Sort=A","Dates=H","DateFormat=P","Fill=—","Direction=H","UseDPDF=Y")</f>
        <v>51.831600000000002</v>
      </c>
      <c r="E53" s="14">
        <f>_xll.BDH("AMGN US Equity","EBITDA_MARGIN","FQ4 2019","FQ4 2019","Currency=USD","Period=FQ","BEST_FPERIOD_OVERRIDE=FQ","FILING_STATUS=MR","FA_ADJUSTED=GAAP","Sort=A","Dates=H","DateFormat=P","Fill=—","Direction=H","UseDPDF=Y")</f>
        <v>51.583799999999997</v>
      </c>
      <c r="F53" s="14">
        <f>_xll.BDH("AMGN US Equity","EBITDA_MARGIN","FQ1 2020","FQ1 2020","Currency=USD","Period=FQ","BEST_FPERIOD_OVERRIDE=FQ","FILING_STATUS=MR","FA_ADJUSTED=GAAP","Sort=A","Dates=H","DateFormat=P","Fill=—","Direction=H","UseDPDF=Y")</f>
        <v>51.305999999999997</v>
      </c>
      <c r="G53" s="14">
        <f>_xll.BDH("AMGN US Equity","EBITDA_MARGIN","FQ2 2020","FQ2 2020","Currency=USD","Period=FQ","BEST_FPERIOD_OVERRIDE=FQ","FILING_STATUS=MR","FA_ADJUSTED=GAAP","Sort=A","Dates=H","DateFormat=P","Fill=—","Direction=H","UseDPDF=Y")</f>
        <v>50.730400000000003</v>
      </c>
      <c r="H53" s="14">
        <f>_xll.BDH("AMGN US Equity","EBITDA_MARGIN","FQ3 2020","FQ3 2020","Currency=USD","Period=FQ","BEST_FPERIOD_OVERRIDE=FQ","FILING_STATUS=MR","FA_ADJUSTED=GAAP","Sort=A","Dates=H","DateFormat=P","Fill=—","Direction=H","UseDPDF=Y")</f>
        <v>50.650300000000001</v>
      </c>
      <c r="I53" s="14">
        <f>_xll.BDH("AMGN US Equity","EBITDA_MARGIN","FQ4 2020","FQ4 2020","Currency=USD","Period=FQ","BEST_FPERIOD_OVERRIDE=FQ","FILING_STATUS=MR","FA_ADJUSTED=GAAP","Sort=A","Dates=H","DateFormat=P","Fill=—","Direction=H","UseDPDF=Y")</f>
        <v>50.110100000000003</v>
      </c>
      <c r="J53" s="14">
        <f>_xll.BDH("AMGN US Equity","EBITDA_MARGIN","FQ1 2021","FQ1 2021","Currency=USD","Period=FQ","BEST_FPERIOD_OVERRIDE=FQ","FILING_STATUS=MR","FA_ADJUSTED=GAAP","Sort=A","Dates=H","DateFormat=P","Fill=—","Direction=H","UseDPDF=Y")</f>
        <v>49.507199999999997</v>
      </c>
      <c r="K53" s="14">
        <f>_xll.BDH("AMGN US Equity","EBITDA_MARGIN","FQ2 2021","FQ2 2021","Currency=USD","Period=FQ","BEST_FPERIOD_OVERRIDE=FQ","FILING_STATUS=MR","FA_ADJUSTED=GAAP","Sort=A","Dates=H","DateFormat=P","Fill=—","Direction=H","UseDPDF=Y")</f>
        <v>42.724800000000002</v>
      </c>
      <c r="L53" s="14">
        <f>_xll.BDH("AMGN US Equity","EBITDA_MARGIN","FQ3 2021","FQ3 2021","Currency=USD","Period=FQ","BEST_FPERIOD_OVERRIDE=FQ","FILING_STATUS=MR","FA_ADJUSTED=GAAP","Sort=A","Dates=H","DateFormat=P","Fill=—","Direction=H","UseDPDF=Y")</f>
        <v>41.766599999999997</v>
      </c>
      <c r="M53" s="14">
        <f>_xll.BDH("AMGN US Equity","EBITDA_MARGIN","FQ4 2021","FQ4 2021","Currency=USD","Period=FQ","BEST_FPERIOD_OVERRIDE=FQ","FILING_STATUS=MR","FA_ADJUSTED=GAAP","Sort=A","Dates=H","DateFormat=P","Fill=—","Direction=H","UseDPDF=Y")</f>
        <v>42.484299999999998</v>
      </c>
      <c r="N53" s="14">
        <f>_xll.BDH("AMGN US Equity","EBITDA_MARGIN","FQ1 2022","FQ1 2022","Currency=USD","Period=FQ","BEST_FPERIOD_OVERRIDE=FQ","FILING_STATUS=MR","FA_ADJUSTED=GAAP","Sort=A","Dates=H","DateFormat=P","Fill=—","Direction=H","UseDPDF=Y")</f>
        <v>43.350099999999998</v>
      </c>
      <c r="O53" s="14">
        <f>_xll.BDH("AMGN US Equity","EBITDA_MARGIN","FQ2 2022","FQ2 2022","Currency=USD","Period=FQ","BEST_FPERIOD_OVERRIDE=FQ","FILING_STATUS=MR","FA_ADJUSTED=GAAP","Sort=A","Dates=H","DateFormat=P","Fill=—","Direction=H","UseDPDF=Y")</f>
        <v>48.245100000000001</v>
      </c>
      <c r="P53" s="14">
        <f>_xll.BDH("AMGN US Equity","EBITDA_MARGIN","FQ3 2022","FQ3 2022","Currency=USD","Period=FQ","BEST_FPERIOD_OVERRIDE=FQ","FILING_STATUS=MR","FA_ADJUSTED=GAAP","Sort=A","Dates=H","DateFormat=P","Fill=—","Direction=H","UseDPDF=Y")</f>
        <v>49.365699999999997</v>
      </c>
      <c r="Q53" s="14">
        <f>_xll.BDH("AMGN US Equity","EBITDA_MARGIN","FQ4 2022","FQ4 2022","Currency=USD","Period=FQ","BEST_FPERIOD_OVERRIDE=FQ","FILING_STATUS=MR","FA_ADJUSTED=GAAP","Sort=A","Dates=H","DateFormat=P","Fill=—","Direction=H","UseDPDF=Y")</f>
        <v>49.321899999999999</v>
      </c>
      <c r="R53" s="14">
        <f>_xll.BDH("AMGN US Equity","EBITDA_MARGIN","FQ1 2023","FQ1 2023","Currency=USD","Period=FQ","BEST_FPERIOD_OVERRIDE=FQ","FILING_STATUS=MR","FA_ADJUSTED=GAAP","Sort=A","Dates=H","DateFormat=P","Fill=—","Direction=H","UseDPDF=Y")</f>
        <v>47.5869</v>
      </c>
      <c r="S53" s="14">
        <f>_xll.BDH("AMGN US Equity","EBITDA_MARGIN","FQ2 2023","FQ2 2023","Currency=USD","Period=FQ","BEST_FPERIOD_OVERRIDE=FQ","FILING_STATUS=MR","FA_ADJUSTED=GAAP","Sort=A","Dates=H","DateFormat=P","Fill=—","Direction=H","UseDPDF=Y")</f>
        <v>49.052</v>
      </c>
      <c r="T53" s="14">
        <f>_xll.BDH("AMGN US Equity","EBITDA_MARGIN","FQ3 2023","FQ3 2023","Currency=USD","Period=FQ","BEST_FPERIOD_OVERRIDE=FQ","FILING_STATUS=MR","FA_ADJUSTED=GAAP","Sort=A","Dates=H","DateFormat=P","Fill=—","Direction=H","UseDPDF=Y")</f>
        <v>46.427900000000001</v>
      </c>
      <c r="U53" s="14">
        <f>_xll.BDH("AMGN US Equity","EBITDA_MARGIN","FQ4 2023","FQ4 2023","Currency=USD","Period=FQ","BEST_FPERIOD_OVERRIDE=FQ","FILING_STATUS=MR","FA_ADJUSTED=GAAP","Sort=A","Dates=H","DateFormat=P","Fill=—","Direction=H","UseDPDF=Y")</f>
        <v>42.454799999999999</v>
      </c>
      <c r="V53" s="14">
        <f>_xll.BDH("AMGN US Equity","EBITDA_MARGIN","FQ1 2024","FQ1 2024","Currency=USD","Period=FQ","BEST_FPERIOD_OVERRIDE=FQ","FILING_STATUS=MR","FA_ADJUSTED=GAAP","Sort=A","Dates=H","DateFormat=P","Fill=—","Direction=H","UseDPDF=Y")</f>
        <v>39.066099999999999</v>
      </c>
      <c r="W53" s="14">
        <f>_xll.BDH("AMGN US Equity","EBITDA_MARGIN","FQ2 2024","FQ2 2024","Currency=USD","Period=FQ","BEST_FPERIOD_OVERRIDE=FQ","FILING_STATUS=MR","FA_ADJUSTED=GAAP","Sort=A","Dates=H","DateFormat=P","Fill=—","Direction=H","UseDPDF=Y")</f>
        <v>36.419499999999999</v>
      </c>
      <c r="X53" s="14">
        <f>_xll.BDH("AMGN US Equity","EBITDA_MARGIN","FQ3 2024","FQ3 2024","Currency=USD","Period=FQ","BEST_FPERIOD_OVERRIDE=FQ","FILING_STATUS=MR","FA_ADJUSTED=GAAP","Sort=A","Dates=H","DateFormat=P","Fill=—","Direction=H","UseDPDF=Y")</f>
        <v>36.248199999999997</v>
      </c>
      <c r="Y53" s="14">
        <f>_xll.BDH("AMGN US Equity","EBITDA_MARGIN","FQ4 2024","FQ4 2024","Currency=USD","Period=FQ","BEST_FPERIOD_OVERRIDE=FQ","FILING_STATUS=MR","FA_ADJUSTED=GAAP","Sort=A","Dates=H","DateFormat=P","Fill=—","Direction=H","UseDPDF=Y")</f>
        <v>38.445399999999999</v>
      </c>
      <c r="Z53" s="14">
        <v>54.461624355307798</v>
      </c>
      <c r="AA53" s="14">
        <v>55.481872516429497</v>
      </c>
    </row>
    <row r="54" spans="1:27" x14ac:dyDescent="0.25">
      <c r="A54" s="10" t="s">
        <v>391</v>
      </c>
      <c r="B54" s="10" t="s">
        <v>391</v>
      </c>
      <c r="C54" s="13">
        <f>_xll.BDH("AMGN US Equity","EBITA","FQ2 2019","FQ2 2019","Currency=USD","Period=FQ","BEST_FPERIOD_OVERRIDE=FQ","FILING_STATUS=MR","SCALING_FORMAT=MLN","FA_ADJUSTED=GAAP","Sort=A","Dates=H","DateFormat=P","Fill=—","Direction=H","UseDPDF=Y")</f>
        <v>3035</v>
      </c>
      <c r="D54" s="13">
        <f>_xll.BDH("AMGN US Equity","EBITA","FQ3 2019","FQ3 2019","Currency=USD","Period=FQ","BEST_FPERIOD_OVERRIDE=FQ","FILING_STATUS=MR","SCALING_FORMAT=MLN","FA_ADJUSTED=GAAP","Sort=A","Dates=H","DateFormat=P","Fill=—","Direction=H","UseDPDF=Y")</f>
        <v>2835</v>
      </c>
      <c r="E54" s="13">
        <f>_xll.BDH("AMGN US Equity","EBITA","FQ4 2019","FQ4 2019","Currency=USD","Period=FQ","BEST_FPERIOD_OVERRIDE=FQ","FILING_STATUS=MR","SCALING_FORMAT=MLN","FA_ADJUSTED=GAAP","Sort=A","Dates=H","DateFormat=P","Fill=—","Direction=H","UseDPDF=Y")</f>
        <v>2547</v>
      </c>
      <c r="F54" s="13">
        <f>_xll.BDH("AMGN US Equity","EBITA","FQ1 2020","FQ1 2020","Currency=USD","Period=FQ","BEST_FPERIOD_OVERRIDE=FQ","FILING_STATUS=MR","SCALING_FORMAT=MLN","FA_ADJUSTED=GAAP","Sort=A","Dates=H","DateFormat=P","Fill=—","Direction=H","UseDPDF=Y")</f>
        <v>3064</v>
      </c>
      <c r="G54" s="13">
        <f>_xll.BDH("AMGN US Equity","EBITA","FQ2 2020","FQ2 2020","Currency=USD","Period=FQ","BEST_FPERIOD_OVERRIDE=FQ","FILING_STATUS=MR","SCALING_FORMAT=MLN","FA_ADJUSTED=GAAP","Sort=A","Dates=H","DateFormat=P","Fill=—","Direction=H","UseDPDF=Y")</f>
        <v>3036</v>
      </c>
      <c r="H54" s="13">
        <f>_xll.BDH("AMGN US Equity","EBITA","FQ3 2020","FQ3 2020","Currency=USD","Period=FQ","BEST_FPERIOD_OVERRIDE=FQ","FILING_STATUS=MR","SCALING_FORMAT=MLN","FA_ADJUSTED=GAAP","Sort=A","Dates=H","DateFormat=P","Fill=—","Direction=H","UseDPDF=Y")</f>
        <v>3179</v>
      </c>
      <c r="I54" s="13">
        <f>_xll.BDH("AMGN US Equity","EBITA","FQ4 2020","FQ4 2020","Currency=USD","Period=FQ","BEST_FPERIOD_OVERRIDE=FQ","FILING_STATUS=MR","SCALING_FORMAT=MLN","FA_ADJUSTED=GAAP","Sort=A","Dates=H","DateFormat=P","Fill=—","Direction=H","UseDPDF=Y")</f>
        <v>2700</v>
      </c>
      <c r="J54" s="13">
        <f>_xll.BDH("AMGN US Equity","EBITA","FQ1 2021","FQ1 2021","Currency=USD","Period=FQ","BEST_FPERIOD_OVERRIDE=FQ","FILING_STATUS=MR","SCALING_FORMAT=MLN","FA_ADJUSTED=GAAP","Sort=A","Dates=H","DateFormat=P","Fill=—","Direction=H","UseDPDF=Y")</f>
        <v>2783</v>
      </c>
      <c r="K54" s="13">
        <f>_xll.BDH("AMGN US Equity","EBITA","FQ2 2021","FQ2 2021","Currency=USD","Period=FQ","BEST_FPERIOD_OVERRIDE=FQ","FILING_STATUS=MR","SCALING_FORMAT=MLN","FA_ADJUSTED=GAAP","Sort=A","Dates=H","DateFormat=P","Fill=—","Direction=H","UseDPDF=Y")</f>
        <v>1480</v>
      </c>
      <c r="L54" s="13">
        <f>_xll.BDH("AMGN US Equity","EBITA","FQ3 2021","FQ3 2021","Currency=USD","Period=FQ","BEST_FPERIOD_OVERRIDE=FQ","FILING_STATUS=MR","SCALING_FORMAT=MLN","FA_ADJUSTED=GAAP","Sort=A","Dates=H","DateFormat=P","Fill=—","Direction=H","UseDPDF=Y")</f>
        <v>3020</v>
      </c>
      <c r="M54" s="13">
        <f>_xll.BDH("AMGN US Equity","EBITA","FQ4 2021","FQ4 2021","Currency=USD","Period=FQ","BEST_FPERIOD_OVERRIDE=FQ","FILING_STATUS=MR","SCALING_FORMAT=MLN","FA_ADJUSTED=GAAP","Sort=A","Dates=H","DateFormat=P","Fill=—","Direction=H","UseDPDF=Y")</f>
        <v>2969</v>
      </c>
      <c r="N54" s="13">
        <f>_xll.BDH("AMGN US Equity","EBITA","FQ1 2022","FQ1 2022","Currency=USD","Period=FQ","BEST_FPERIOD_OVERRIDE=FQ","FILING_STATUS=MR","SCALING_FORMAT=MLN","FA_ADJUSTED=GAAP","Sort=A","Dates=H","DateFormat=P","Fill=—","Direction=H","UseDPDF=Y")</f>
        <v>3137</v>
      </c>
      <c r="O54" s="13">
        <f>_xll.BDH("AMGN US Equity","EBITA","FQ2 2022","FQ2 2022","Currency=USD","Period=FQ","BEST_FPERIOD_OVERRIDE=FQ","FILING_STATUS=MR","SCALING_FORMAT=MLN","FA_ADJUSTED=GAAP","Sort=A","Dates=H","DateFormat=P","Fill=—","Direction=H","UseDPDF=Y")</f>
        <v>2805</v>
      </c>
      <c r="P54" s="13">
        <f>_xll.BDH("AMGN US Equity","EBITA","FQ3 2022","FQ3 2022","Currency=USD","Period=FQ","BEST_FPERIOD_OVERRIDE=FQ","FILING_STATUS=MR","SCALING_FORMAT=MLN","FA_ADJUSTED=GAAP","Sort=A","Dates=H","DateFormat=P","Fill=—","Direction=H","UseDPDF=Y")</f>
        <v>3288</v>
      </c>
      <c r="Q54" s="13">
        <f>_xll.BDH("AMGN US Equity","EBITA","FQ4 2022","FQ4 2022","Currency=USD","Period=FQ","BEST_FPERIOD_OVERRIDE=FQ","FILING_STATUS=MR","SCALING_FORMAT=MLN","FA_ADJUSTED=GAAP","Sort=A","Dates=H","DateFormat=P","Fill=—","Direction=H","UseDPDF=Y")</f>
        <v>3092</v>
      </c>
      <c r="R54" s="13">
        <f>_xll.BDH("AMGN US Equity","EBITA","FQ1 2023","FQ1 2023","Currency=USD","Period=FQ","BEST_FPERIOD_OVERRIDE=FQ","FILING_STATUS=MR","SCALING_FORMAT=MLN","FA_ADJUSTED=GAAP","Sort=A","Dates=H","DateFormat=P","Fill=—","Direction=H","UseDPDF=Y")</f>
        <v>2614</v>
      </c>
      <c r="S54" s="13">
        <f>_xll.BDH("AMGN US Equity","EBITA","FQ2 2023","FQ2 2023","Currency=USD","Period=FQ","BEST_FPERIOD_OVERRIDE=FQ","FILING_STATUS=MR","SCALING_FORMAT=MLN","FA_ADJUSTED=GAAP","Sort=A","Dates=H","DateFormat=P","Fill=—","Direction=H","UseDPDF=Y")</f>
        <v>3416</v>
      </c>
      <c r="T54" s="13">
        <f>_xll.BDH("AMGN US Equity","EBITA","FQ3 2023","FQ3 2023","Currency=USD","Period=FQ","BEST_FPERIOD_OVERRIDE=FQ","FILING_STATUS=MR","SCALING_FORMAT=MLN","FA_ADJUSTED=GAAP","Sort=A","Dates=H","DateFormat=P","Fill=—","Direction=H","UseDPDF=Y")</f>
        <v>2714</v>
      </c>
      <c r="U54" s="13">
        <f>_xll.BDH("AMGN US Equity","EBITA","FQ4 2023","FQ4 2023","Currency=USD","Period=FQ","BEST_FPERIOD_OVERRIDE=FQ","FILING_STATUS=MR","SCALING_FORMAT=MLN","FA_ADJUSTED=GAAP","Sort=A","Dates=H","DateFormat=P","Fill=—","Direction=H","UseDPDF=Y")</f>
        <v>2557</v>
      </c>
      <c r="V54" s="13">
        <f>_xll.BDH("AMGN US Equity","EBITA","FQ1 2024","FQ1 2024","Currency=USD","Period=FQ","BEST_FPERIOD_OVERRIDE=FQ","FILING_STATUS=MR","SCALING_FORMAT=MLN","FA_ADJUSTED=GAAP","Sort=A","Dates=H","DateFormat=P","Fill=—","Direction=H","UseDPDF=Y")</f>
        <v>2191</v>
      </c>
      <c r="W54" s="13">
        <f>_xll.BDH("AMGN US Equity","EBITA","FQ2 2024","FQ2 2024","Currency=USD","Period=FQ","BEST_FPERIOD_OVERRIDE=FQ","FILING_STATUS=MR","SCALING_FORMAT=MLN","FA_ADJUSTED=GAAP","Sort=A","Dates=H","DateFormat=P","Fill=—","Direction=H","UseDPDF=Y")</f>
        <v>3109</v>
      </c>
      <c r="X54" s="13">
        <f>_xll.BDH("AMGN US Equity","EBITA","FQ3 2024","FQ3 2024","Currency=USD","Period=FQ","BEST_FPERIOD_OVERRIDE=FQ","FILING_STATUS=MR","SCALING_FORMAT=MLN","FA_ADJUSTED=GAAP","Sort=A","Dates=H","DateFormat=P","Fill=—","Direction=H","UseDPDF=Y")</f>
        <v>3247</v>
      </c>
      <c r="Y54" s="13">
        <f>_xll.BDH("AMGN US Equity","EBITA","FQ4 2024","FQ4 2024","Currency=USD","Period=FQ","BEST_FPERIOD_OVERRIDE=FQ","FILING_STATUS=MR","SCALING_FORMAT=MLN","FA_ADJUSTED=GAAP","Sort=A","Dates=H","DateFormat=P","Fill=—","Direction=H","UseDPDF=Y")</f>
        <v>3609</v>
      </c>
      <c r="Z54" s="13"/>
      <c r="AA54" s="13"/>
    </row>
    <row r="55" spans="1:27" x14ac:dyDescent="0.25">
      <c r="A55" s="10" t="s">
        <v>141</v>
      </c>
      <c r="B55" s="10" t="s">
        <v>141</v>
      </c>
      <c r="C55" s="13">
        <f>_xll.BDH("AMGN US Equity","EBIT","FQ2 2019","FQ2 2019","Currency=USD","Period=FQ","BEST_FPERIOD_OVERRIDE=FQ","FILING_STATUS=MR","SCALING_FORMAT=MLN","FA_ADJUSTED=GAAP","Sort=A","Dates=H","DateFormat=P","Fill=—","Direction=H","UseDPDF=Y")</f>
        <v>2678</v>
      </c>
      <c r="D55" s="13">
        <f>_xll.BDH("AMGN US Equity","EBIT","FQ3 2019","FQ3 2019","Currency=USD","Period=FQ","BEST_FPERIOD_OVERRIDE=FQ","FILING_STATUS=MR","SCALING_FORMAT=MLN","FA_ADJUSTED=GAAP","Sort=A","Dates=H","DateFormat=P","Fill=—","Direction=H","UseDPDF=Y")</f>
        <v>2476</v>
      </c>
      <c r="E55" s="13">
        <f>_xll.BDH("AMGN US Equity","EBIT","FQ4 2019","FQ4 2019","Currency=USD","Period=FQ","BEST_FPERIOD_OVERRIDE=FQ","FILING_STATUS=MR","SCALING_FORMAT=MLN","FA_ADJUSTED=GAAP","Sort=A","Dates=H","DateFormat=P","Fill=—","Direction=H","UseDPDF=Y")</f>
        <v>2048</v>
      </c>
      <c r="F55" s="13">
        <f>_xll.BDH("AMGN US Equity","EBIT","FQ1 2020","FQ1 2020","Currency=USD","Period=FQ","BEST_FPERIOD_OVERRIDE=FQ","FILING_STATUS=MR","SCALING_FORMAT=MLN","FA_ADJUSTED=GAAP","Sort=A","Dates=H","DateFormat=P","Fill=—","Direction=H","UseDPDF=Y")</f>
        <v>2355</v>
      </c>
      <c r="G55" s="13">
        <f>_xll.BDH("AMGN US Equity","EBIT","FQ2 2020","FQ2 2020","Currency=USD","Period=FQ","BEST_FPERIOD_OVERRIDE=FQ","FILING_STATUS=MR","SCALING_FORMAT=MLN","FA_ADJUSTED=GAAP","Sort=A","Dates=H","DateFormat=P","Fill=—","Direction=H","UseDPDF=Y")</f>
        <v>2323</v>
      </c>
      <c r="H55" s="13">
        <f>_xll.BDH("AMGN US Equity","EBIT","FQ3 2020","FQ3 2020","Currency=USD","Period=FQ","BEST_FPERIOD_OVERRIDE=FQ","FILING_STATUS=MR","SCALING_FORMAT=MLN","FA_ADJUSTED=GAAP","Sort=A","Dates=H","DateFormat=P","Fill=—","Direction=H","UseDPDF=Y")</f>
        <v>2453</v>
      </c>
      <c r="I55" s="13">
        <f>_xll.BDH("AMGN US Equity","EBIT","FQ4 2020","FQ4 2020","Currency=USD","Period=FQ","BEST_FPERIOD_OVERRIDE=FQ","FILING_STATUS=MR","SCALING_FORMAT=MLN","FA_ADJUSTED=GAAP","Sort=A","Dates=H","DateFormat=P","Fill=—","Direction=H","UseDPDF=Y")</f>
        <v>2008</v>
      </c>
      <c r="J55" s="13">
        <f>_xll.BDH("AMGN US Equity","EBIT","FQ1 2021","FQ1 2021","Currency=USD","Period=FQ","BEST_FPERIOD_OVERRIDE=FQ","FILING_STATUS=MR","SCALING_FORMAT=MLN","FA_ADJUSTED=GAAP","Sort=A","Dates=H","DateFormat=P","Fill=—","Direction=H","UseDPDF=Y")</f>
        <v>2129</v>
      </c>
      <c r="K55" s="13">
        <f>_xll.BDH("AMGN US Equity","EBIT","FQ2 2021","FQ2 2021","Currency=USD","Period=FQ","BEST_FPERIOD_OVERRIDE=FQ","FILING_STATUS=MR","SCALING_FORMAT=MLN","FA_ADJUSTED=GAAP","Sort=A","Dates=H","DateFormat=P","Fill=—","Direction=H","UseDPDF=Y")</f>
        <v>828</v>
      </c>
      <c r="L55" s="13">
        <f>_xll.BDH("AMGN US Equity","EBIT","FQ3 2021","FQ3 2021","Currency=USD","Period=FQ","BEST_FPERIOD_OVERRIDE=FQ","FILING_STATUS=MR","SCALING_FORMAT=MLN","FA_ADJUSTED=GAAP","Sort=A","Dates=H","DateFormat=P","Fill=—","Direction=H","UseDPDF=Y")</f>
        <v>2378</v>
      </c>
      <c r="M55" s="13">
        <f>_xll.BDH("AMGN US Equity","EBIT","FQ4 2021","FQ4 2021","Currency=USD","Period=FQ","BEST_FPERIOD_OVERRIDE=FQ","FILING_STATUS=MR","SCALING_FORMAT=MLN","FA_ADJUSTED=GAAP","Sort=A","Dates=H","DateFormat=P","Fill=—","Direction=H","UseDPDF=Y")</f>
        <v>2304</v>
      </c>
      <c r="N55" s="13">
        <f>_xll.BDH("AMGN US Equity","EBIT","FQ1 2022","FQ1 2022","Currency=USD","Period=FQ","BEST_FPERIOD_OVERRIDE=FQ","FILING_STATUS=MR","SCALING_FORMAT=MLN","FA_ADJUSTED=GAAP","Sort=A","Dates=H","DateFormat=P","Fill=—","Direction=H","UseDPDF=Y")</f>
        <v>2500</v>
      </c>
      <c r="O55" s="13">
        <f>_xll.BDH("AMGN US Equity","EBIT","FQ2 2022","FQ2 2022","Currency=USD","Period=FQ","BEST_FPERIOD_OVERRIDE=FQ","FILING_STATUS=MR","SCALING_FORMAT=MLN","FA_ADJUSTED=GAAP","Sort=A","Dates=H","DateFormat=P","Fill=—","Direction=H","UseDPDF=Y")</f>
        <v>2176</v>
      </c>
      <c r="P55" s="13">
        <f>_xll.BDH("AMGN US Equity","EBIT","FQ3 2022","FQ3 2022","Currency=USD","Period=FQ","BEST_FPERIOD_OVERRIDE=FQ","FILING_STATUS=MR","SCALING_FORMAT=MLN","FA_ADJUSTED=GAAP","Sort=A","Dates=H","DateFormat=P","Fill=—","Direction=H","UseDPDF=Y")</f>
        <v>2660</v>
      </c>
      <c r="Q55" s="13">
        <f>_xll.BDH("AMGN US Equity","EBIT","FQ4 2022","FQ4 2022","Currency=USD","Period=FQ","BEST_FPERIOD_OVERRIDE=FQ","FILING_STATUS=MR","SCALING_FORMAT=MLN","FA_ADJUSTED=GAAP","Sort=A","Dates=H","DateFormat=P","Fill=—","Direction=H","UseDPDF=Y")</f>
        <v>2230</v>
      </c>
      <c r="R55" s="13">
        <f>_xll.BDH("AMGN US Equity","EBIT","FQ1 2023","FQ1 2023","Currency=USD","Period=FQ","BEST_FPERIOD_OVERRIDE=FQ","FILING_STATUS=MR","SCALING_FORMAT=MLN","FA_ADJUSTED=GAAP","Sort=A","Dates=H","DateFormat=P","Fill=—","Direction=H","UseDPDF=Y")</f>
        <v>1921</v>
      </c>
      <c r="S55" s="13">
        <f>_xll.BDH("AMGN US Equity","EBIT","FQ2 2023","FQ2 2023","Currency=USD","Period=FQ","BEST_FPERIOD_OVERRIDE=FQ","FILING_STATUS=MR","SCALING_FORMAT=MLN","FA_ADJUSTED=GAAP","Sort=A","Dates=H","DateFormat=P","Fill=—","Direction=H","UseDPDF=Y")</f>
        <v>2684</v>
      </c>
      <c r="T55" s="13">
        <f>_xll.BDH("AMGN US Equity","EBIT","FQ3 2023","FQ3 2023","Currency=USD","Period=FQ","BEST_FPERIOD_OVERRIDE=FQ","FILING_STATUS=MR","SCALING_FORMAT=MLN","FA_ADJUSTED=GAAP","Sort=A","Dates=H","DateFormat=P","Fill=—","Direction=H","UseDPDF=Y")</f>
        <v>2021</v>
      </c>
      <c r="U55" s="13">
        <f>_xll.BDH("AMGN US Equity","EBIT","FQ4 2023","FQ4 2023","Currency=USD","Period=FQ","BEST_FPERIOD_OVERRIDE=FQ","FILING_STATUS=MR","SCALING_FORMAT=MLN","FA_ADJUSTED=GAAP","Sort=A","Dates=H","DateFormat=P","Fill=—","Direction=H","UseDPDF=Y")</f>
        <v>1271</v>
      </c>
      <c r="V55" s="13">
        <f>_xll.BDH("AMGN US Equity","EBIT","FQ1 2024","FQ1 2024","Currency=USD","Period=FQ","BEST_FPERIOD_OVERRIDE=FQ","FILING_STATUS=MR","SCALING_FORMAT=MLN","FA_ADJUSTED=GAAP","Sort=A","Dates=H","DateFormat=P","Fill=—","Direction=H","UseDPDF=Y")</f>
        <v>991</v>
      </c>
      <c r="W55" s="13">
        <f>_xll.BDH("AMGN US Equity","EBIT","FQ2 2024","FQ2 2024","Currency=USD","Period=FQ","BEST_FPERIOD_OVERRIDE=FQ","FILING_STATUS=MR","SCALING_FORMAT=MLN","FA_ADJUSTED=GAAP","Sort=A","Dates=H","DateFormat=P","Fill=—","Direction=H","UseDPDF=Y")</f>
        <v>1909</v>
      </c>
      <c r="X55" s="13">
        <f>_xll.BDH("AMGN US Equity","EBIT","FQ3 2024","FQ3 2024","Currency=USD","Period=FQ","BEST_FPERIOD_OVERRIDE=FQ","FILING_STATUS=MR","SCALING_FORMAT=MLN","FA_ADJUSTED=GAAP","Sort=A","Dates=H","DateFormat=P","Fill=—","Direction=H","UseDPDF=Y")</f>
        <v>2047</v>
      </c>
      <c r="Y55" s="13">
        <f>_xll.BDH("AMGN US Equity","EBIT","FQ4 2024","FQ4 2024","Currency=USD","Period=FQ","BEST_FPERIOD_OVERRIDE=FQ","FILING_STATUS=MR","SCALING_FORMAT=MLN","FA_ADJUSTED=GAAP","Sort=A","Dates=H","DateFormat=P","Fill=—","Direction=H","UseDPDF=Y")</f>
        <v>2311</v>
      </c>
      <c r="Z55" s="13">
        <v>3326.6959999999999</v>
      </c>
      <c r="AA55" s="13">
        <v>3984.3910000000001</v>
      </c>
    </row>
    <row r="56" spans="1:27" x14ac:dyDescent="0.25">
      <c r="A56" s="10" t="s">
        <v>392</v>
      </c>
      <c r="B56" s="10" t="s">
        <v>153</v>
      </c>
      <c r="C56" s="14">
        <f>_xll.BDH("AMGN US Equity","GROSS_MARGIN","FQ2 2019","FQ2 2019","Currency=USD","Period=FQ","BEST_FPERIOD_OVERRIDE=FQ","FILING_STATUS=MR","FA_ADJUSTED=GAAP","Sort=A","Dates=H","DateFormat=P","Fill=—","Direction=H","UseDPDF=Y")</f>
        <v>82.762699999999995</v>
      </c>
      <c r="D56" s="14">
        <f>_xll.BDH("AMGN US Equity","GROSS_MARGIN","FQ3 2019","FQ3 2019","Currency=USD","Period=FQ","BEST_FPERIOD_OVERRIDE=FQ","FILING_STATUS=MR","FA_ADJUSTED=GAAP","Sort=A","Dates=H","DateFormat=P","Fill=—","Direction=H","UseDPDF=Y")</f>
        <v>81.941800000000001</v>
      </c>
      <c r="E56" s="14">
        <f>_xll.BDH("AMGN US Equity","GROSS_MARGIN","FQ4 2019","FQ4 2019","Currency=USD","Period=FQ","BEST_FPERIOD_OVERRIDE=FQ","FILING_STATUS=MR","FA_ADJUSTED=GAAP","Sort=A","Dates=H","DateFormat=P","Fill=—","Direction=H","UseDPDF=Y")</f>
        <v>79.780500000000004</v>
      </c>
      <c r="F56" s="14">
        <f>_xll.BDH("AMGN US Equity","GROSS_MARGIN","FQ1 2020","FQ1 2020","Currency=USD","Period=FQ","BEST_FPERIOD_OVERRIDE=FQ","FILING_STATUS=MR","FA_ADJUSTED=GAAP","Sort=A","Dates=H","DateFormat=P","Fill=—","Direction=H","UseDPDF=Y")</f>
        <v>75.442300000000003</v>
      </c>
      <c r="G56" s="14">
        <f>_xll.BDH("AMGN US Equity","GROSS_MARGIN","FQ2 2020","FQ2 2020","Currency=USD","Period=FQ","BEST_FPERIOD_OVERRIDE=FQ","FILING_STATUS=MR","FA_ADJUSTED=GAAP","Sort=A","Dates=H","DateFormat=P","Fill=—","Direction=H","UseDPDF=Y")</f>
        <v>76.023200000000003</v>
      </c>
      <c r="H56" s="14">
        <f>_xll.BDH("AMGN US Equity","GROSS_MARGIN","FQ3 2020","FQ3 2020","Currency=USD","Period=FQ","BEST_FPERIOD_OVERRIDE=FQ","FILING_STATUS=MR","FA_ADJUSTED=GAAP","Sort=A","Dates=H","DateFormat=P","Fill=—","Direction=H","UseDPDF=Y")</f>
        <v>75.696700000000007</v>
      </c>
      <c r="I56" s="14">
        <f>_xll.BDH("AMGN US Equity","GROSS_MARGIN","FQ4 2020","FQ4 2020","Currency=USD","Period=FQ","BEST_FPERIOD_OVERRIDE=FQ","FILING_STATUS=MR","FA_ADJUSTED=GAAP","Sort=A","Dates=H","DateFormat=P","Fill=—","Direction=H","UseDPDF=Y")</f>
        <v>75.927000000000007</v>
      </c>
      <c r="J56" s="14">
        <f>_xll.BDH("AMGN US Equity","GROSS_MARGIN","FQ1 2021","FQ1 2021","Currency=USD","Period=FQ","BEST_FPERIOD_OVERRIDE=FQ","FILING_STATUS=MR","FA_ADJUSTED=GAAP","Sort=A","Dates=H","DateFormat=P","Fill=—","Direction=H","UseDPDF=Y")</f>
        <v>74.75</v>
      </c>
      <c r="K56" s="14">
        <f>_xll.BDH("AMGN US Equity","GROSS_MARGIN","FQ2 2021","FQ2 2021","Currency=USD","Period=FQ","BEST_FPERIOD_OVERRIDE=FQ","FILING_STATUS=MR","FA_ADJUSTED=GAAP","Sort=A","Dates=H","DateFormat=P","Fill=—","Direction=H","UseDPDF=Y")</f>
        <v>74.915700000000001</v>
      </c>
      <c r="L56" s="14">
        <f>_xll.BDH("AMGN US Equity","GROSS_MARGIN","FQ3 2021","FQ3 2021","Currency=USD","Period=FQ","BEST_FPERIOD_OVERRIDE=FQ","FILING_STATUS=MR","FA_ADJUSTED=GAAP","Sort=A","Dates=H","DateFormat=P","Fill=—","Direction=H","UseDPDF=Y")</f>
        <v>76.006600000000006</v>
      </c>
      <c r="M56" s="14">
        <f>_xll.BDH("AMGN US Equity","GROSS_MARGIN","FQ4 2021","FQ4 2021","Currency=USD","Period=FQ","BEST_FPERIOD_OVERRIDE=FQ","FILING_STATUS=MR","FA_ADJUSTED=GAAP","Sort=A","Dates=H","DateFormat=P","Fill=—","Direction=H","UseDPDF=Y")</f>
        <v>74.905100000000004</v>
      </c>
      <c r="N56" s="14">
        <f>_xll.BDH("AMGN US Equity","GROSS_MARGIN","FQ1 2022","FQ1 2022","Currency=USD","Period=FQ","BEST_FPERIOD_OVERRIDE=FQ","FILING_STATUS=MR","FA_ADJUSTED=GAAP","Sort=A","Dates=H","DateFormat=P","Fill=—","Direction=H","UseDPDF=Y")</f>
        <v>74.975999999999999</v>
      </c>
      <c r="O56" s="14">
        <f>_xll.BDH("AMGN US Equity","GROSS_MARGIN","FQ2 2022","FQ2 2022","Currency=USD","Period=FQ","BEST_FPERIOD_OVERRIDE=FQ","FILING_STATUS=MR","FA_ADJUSTED=GAAP","Sort=A","Dates=H","DateFormat=P","Fill=—","Direction=H","UseDPDF=Y")</f>
        <v>77.100399999999993</v>
      </c>
      <c r="P56" s="14">
        <f>_xll.BDH("AMGN US Equity","GROSS_MARGIN","FQ3 2022","FQ3 2022","Currency=USD","Period=FQ","BEST_FPERIOD_OVERRIDE=FQ","FILING_STATUS=MR","FA_ADJUSTED=GAAP","Sort=A","Dates=H","DateFormat=P","Fill=—","Direction=H","UseDPDF=Y")</f>
        <v>76.127499999999998</v>
      </c>
      <c r="Q56" s="14">
        <f>_xll.BDH("AMGN US Equity","GROSS_MARGIN","FQ4 2022","FQ4 2022","Currency=USD","Period=FQ","BEST_FPERIOD_OVERRIDE=FQ","FILING_STATUS=MR","FA_ADJUSTED=GAAP","Sort=A","Dates=H","DateFormat=P","Fill=—","Direction=H","UseDPDF=Y")</f>
        <v>74.455299999999994</v>
      </c>
      <c r="R56" s="14">
        <f>_xll.BDH("AMGN US Equity","GROSS_MARGIN","FQ1 2023","FQ1 2023","Currency=USD","Period=FQ","BEST_FPERIOD_OVERRIDE=FQ","FILING_STATUS=MR","FA_ADJUSTED=GAAP","Sort=A","Dates=H","DateFormat=P","Fill=—","Direction=H","UseDPDF=Y")</f>
        <v>71.826400000000007</v>
      </c>
      <c r="S56" s="14">
        <f>_xll.BDH("AMGN US Equity","GROSS_MARGIN","FQ2 2023","FQ2 2023","Currency=USD","Period=FQ","BEST_FPERIOD_OVERRIDE=FQ","FILING_STATUS=MR","FA_ADJUSTED=GAAP","Sort=A","Dates=H","DateFormat=P","Fill=—","Direction=H","UseDPDF=Y")</f>
        <v>74.048100000000005</v>
      </c>
      <c r="T56" s="14">
        <f>_xll.BDH("AMGN US Equity","GROSS_MARGIN","FQ3 2023","FQ3 2023","Currency=USD","Period=FQ","BEST_FPERIOD_OVERRIDE=FQ","FILING_STATUS=MR","FA_ADJUSTED=GAAP","Sort=A","Dates=H","DateFormat=P","Fill=—","Direction=H","UseDPDF=Y")</f>
        <v>73.837500000000006</v>
      </c>
      <c r="U56" s="14">
        <f>_xll.BDH("AMGN US Equity","GROSS_MARGIN","FQ4 2023","FQ4 2023","Currency=USD","Period=FQ","BEST_FPERIOD_OVERRIDE=FQ","FILING_STATUS=MR","FA_ADJUSTED=GAAP","Sort=A","Dates=H","DateFormat=P","Fill=—","Direction=H","UseDPDF=Y")</f>
        <v>62.030299999999997</v>
      </c>
      <c r="V56" s="14">
        <f>_xll.BDH("AMGN US Equity","GROSS_MARGIN","FQ1 2024","FQ1 2024","Currency=USD","Period=FQ","BEST_FPERIOD_OVERRIDE=FQ","FILING_STATUS=MR","FA_ADJUSTED=GAAP","Sort=A","Dates=H","DateFormat=P","Fill=—","Direction=H","UseDPDF=Y")</f>
        <v>57.029699999999998</v>
      </c>
      <c r="W56" s="14">
        <f>_xll.BDH("AMGN US Equity","GROSS_MARGIN","FQ2 2024","FQ2 2024","Currency=USD","Period=FQ","BEST_FPERIOD_OVERRIDE=FQ","FILING_STATUS=MR","FA_ADJUSTED=GAAP","Sort=A","Dates=H","DateFormat=P","Fill=—","Direction=H","UseDPDF=Y")</f>
        <v>61.421100000000003</v>
      </c>
      <c r="X56" s="14">
        <f>_xll.BDH("AMGN US Equity","GROSS_MARGIN","FQ3 2024","FQ3 2024","Currency=USD","Period=FQ","BEST_FPERIOD_OVERRIDE=FQ","FILING_STATUS=MR","FA_ADJUSTED=GAAP","Sort=A","Dates=H","DateFormat=P","Fill=—","Direction=H","UseDPDF=Y")</f>
        <v>61.072600000000001</v>
      </c>
      <c r="Y56" s="14">
        <f>_xll.BDH("AMGN US Equity","GROSS_MARGIN","FQ4 2024","FQ4 2024","Currency=USD","Period=FQ","BEST_FPERIOD_OVERRIDE=FQ","FILING_STATUS=MR","FA_ADJUSTED=GAAP","Sort=A","Dates=H","DateFormat=P","Fill=—","Direction=H","UseDPDF=Y")</f>
        <v>65.749499999999998</v>
      </c>
      <c r="Z56" s="14"/>
      <c r="AA56" s="14"/>
    </row>
    <row r="57" spans="1:27" x14ac:dyDescent="0.25">
      <c r="A57" s="10" t="s">
        <v>393</v>
      </c>
      <c r="B57" s="10" t="s">
        <v>394</v>
      </c>
      <c r="C57" s="14">
        <f>_xll.BDH("AMGN US Equity","OPER_MARGIN","FQ2 2019","FQ2 2019","Currency=USD","Period=FQ","BEST_FPERIOD_OVERRIDE=FQ","FILING_STATUS=MR","FA_ADJUSTED=GAAP","Sort=A","Dates=H","DateFormat=P","Fill=—","Direction=H","UseDPDF=Y")</f>
        <v>45.613999999999997</v>
      </c>
      <c r="D57" s="14">
        <f>_xll.BDH("AMGN US Equity","OPER_MARGIN","FQ3 2019","FQ3 2019","Currency=USD","Period=FQ","BEST_FPERIOD_OVERRIDE=FQ","FILING_STATUS=MR","FA_ADJUSTED=GAAP","Sort=A","Dates=H","DateFormat=P","Fill=—","Direction=H","UseDPDF=Y")</f>
        <v>43.1584</v>
      </c>
      <c r="E57" s="14">
        <f>_xll.BDH("AMGN US Equity","OPER_MARGIN","FQ4 2019","FQ4 2019","Currency=USD","Period=FQ","BEST_FPERIOD_OVERRIDE=FQ","FILING_STATUS=MR","FA_ADJUSTED=GAAP","Sort=A","Dates=H","DateFormat=P","Fill=—","Direction=H","UseDPDF=Y")</f>
        <v>33.048200000000001</v>
      </c>
      <c r="F57" s="14">
        <f>_xll.BDH("AMGN US Equity","OPER_MARGIN","FQ1 2020","FQ1 2020","Currency=USD","Period=FQ","BEST_FPERIOD_OVERRIDE=FQ","FILING_STATUS=MR","FA_ADJUSTED=GAAP","Sort=A","Dates=H","DateFormat=P","Fill=—","Direction=H","UseDPDF=Y")</f>
        <v>38.224299999999999</v>
      </c>
      <c r="G57" s="14">
        <f>_xll.BDH("AMGN US Equity","OPER_MARGIN","FQ2 2020","FQ2 2020","Currency=USD","Period=FQ","BEST_FPERIOD_OVERRIDE=FQ","FILING_STATUS=MR","FA_ADJUSTED=GAAP","Sort=A","Dates=H","DateFormat=P","Fill=—","Direction=H","UseDPDF=Y")</f>
        <v>37.4315</v>
      </c>
      <c r="H57" s="14">
        <f>_xll.BDH("AMGN US Equity","OPER_MARGIN","FQ3 2020","FQ3 2020","Currency=USD","Period=FQ","BEST_FPERIOD_OVERRIDE=FQ","FILING_STATUS=MR","FA_ADJUSTED=GAAP","Sort=A","Dates=H","DateFormat=P","Fill=—","Direction=H","UseDPDF=Y")</f>
        <v>38.190899999999999</v>
      </c>
      <c r="I57" s="14">
        <f>_xll.BDH("AMGN US Equity","OPER_MARGIN","FQ4 2020","FQ4 2020","Currency=USD","Period=FQ","BEST_FPERIOD_OVERRIDE=FQ","FILING_STATUS=MR","FA_ADJUSTED=GAAP","Sort=A","Dates=H","DateFormat=P","Fill=—","Direction=H","UseDPDF=Y")</f>
        <v>30.2683</v>
      </c>
      <c r="J57" s="14">
        <f>_xll.BDH("AMGN US Equity","OPER_MARGIN","FQ1 2021","FQ1 2021","Currency=USD","Period=FQ","BEST_FPERIOD_OVERRIDE=FQ","FILING_STATUS=MR","FA_ADJUSTED=GAAP","Sort=A","Dates=H","DateFormat=P","Fill=—","Direction=H","UseDPDF=Y")</f>
        <v>36.078600000000002</v>
      </c>
      <c r="K57" s="14">
        <f>_xll.BDH("AMGN US Equity","OPER_MARGIN","FQ2 2021","FQ2 2021","Currency=USD","Period=FQ","BEST_FPERIOD_OVERRIDE=FQ","FILING_STATUS=MR","FA_ADJUSTED=GAAP","Sort=A","Dates=H","DateFormat=P","Fill=—","Direction=H","UseDPDF=Y")</f>
        <v>12.6877</v>
      </c>
      <c r="L57" s="14">
        <f>_xll.BDH("AMGN US Equity","OPER_MARGIN","FQ3 2021","FQ3 2021","Currency=USD","Period=FQ","BEST_FPERIOD_OVERRIDE=FQ","FILING_STATUS=MR","FA_ADJUSTED=GAAP","Sort=A","Dates=H","DateFormat=P","Fill=—","Direction=H","UseDPDF=Y")</f>
        <v>35.460799999999999</v>
      </c>
      <c r="M57" s="14">
        <f>_xll.BDH("AMGN US Equity","OPER_MARGIN","FQ4 2021","FQ4 2021","Currency=USD","Period=FQ","BEST_FPERIOD_OVERRIDE=FQ","FILING_STATUS=MR","FA_ADJUSTED=GAAP","Sort=A","Dates=H","DateFormat=P","Fill=—","Direction=H","UseDPDF=Y")</f>
        <v>33.654699999999998</v>
      </c>
      <c r="N57" s="14">
        <f>_xll.BDH("AMGN US Equity","OPER_MARGIN","FQ1 2022","FQ1 2022","Currency=USD","Period=FQ","BEST_FPERIOD_OVERRIDE=FQ","FILING_STATUS=MR","FA_ADJUSTED=GAAP","Sort=A","Dates=H","DateFormat=P","Fill=—","Direction=H","UseDPDF=Y")</f>
        <v>40.076900000000002</v>
      </c>
      <c r="O57" s="14">
        <f>_xll.BDH("AMGN US Equity","OPER_MARGIN","FQ2 2022","FQ2 2022","Currency=USD","Period=FQ","BEST_FPERIOD_OVERRIDE=FQ","FILING_STATUS=MR","FA_ADJUSTED=GAAP","Sort=A","Dates=H","DateFormat=P","Fill=—","Direction=H","UseDPDF=Y")</f>
        <v>32.999699999999997</v>
      </c>
      <c r="P57" s="14">
        <f>_xll.BDH("AMGN US Equity","OPER_MARGIN","FQ3 2022","FQ3 2022","Currency=USD","Period=FQ","BEST_FPERIOD_OVERRIDE=FQ","FILING_STATUS=MR","FA_ADJUSTED=GAAP","Sort=A","Dates=H","DateFormat=P","Fill=—","Direction=H","UseDPDF=Y")</f>
        <v>39.988</v>
      </c>
      <c r="Q57" s="14">
        <f>_xll.BDH("AMGN US Equity","OPER_MARGIN","FQ4 2022","FQ4 2022","Currency=USD","Period=FQ","BEST_FPERIOD_OVERRIDE=FQ","FILING_STATUS=MR","FA_ADJUSTED=GAAP","Sort=A","Dates=H","DateFormat=P","Fill=—","Direction=H","UseDPDF=Y")</f>
        <v>32.607100000000003</v>
      </c>
      <c r="R57" s="14">
        <f>_xll.BDH("AMGN US Equity","OPER_MARGIN","FQ1 2023","FQ1 2023","Currency=USD","Period=FQ","BEST_FPERIOD_OVERRIDE=FQ","FILING_STATUS=MR","FA_ADJUSTED=GAAP","Sort=A","Dates=H","DateFormat=P","Fill=—","Direction=H","UseDPDF=Y")</f>
        <v>31.466000000000001</v>
      </c>
      <c r="S57" s="14">
        <f>_xll.BDH("AMGN US Equity","OPER_MARGIN","FQ2 2023","FQ2 2023","Currency=USD","Period=FQ","BEST_FPERIOD_OVERRIDE=FQ","FILING_STATUS=MR","FA_ADJUSTED=GAAP","Sort=A","Dates=H","DateFormat=P","Fill=—","Direction=H","UseDPDF=Y")</f>
        <v>38.419699999999999</v>
      </c>
      <c r="T57" s="14">
        <f>_xll.BDH("AMGN US Equity","OPER_MARGIN","FQ3 2023","FQ3 2023","Currency=USD","Period=FQ","BEST_FPERIOD_OVERRIDE=FQ","FILING_STATUS=MR","FA_ADJUSTED=GAAP","Sort=A","Dates=H","DateFormat=P","Fill=—","Direction=H","UseDPDF=Y")</f>
        <v>29.277100000000001</v>
      </c>
      <c r="U57" s="14">
        <f>_xll.BDH("AMGN US Equity","OPER_MARGIN","FQ4 2023","FQ4 2023","Currency=USD","Period=FQ","BEST_FPERIOD_OVERRIDE=FQ","FILING_STATUS=MR","FA_ADJUSTED=GAAP","Sort=A","Dates=H","DateFormat=P","Fill=—","Direction=H","UseDPDF=Y")</f>
        <v>15.5076</v>
      </c>
      <c r="V57" s="14">
        <f>_xll.BDH("AMGN US Equity","OPER_MARGIN","FQ1 2024","FQ1 2024","Currency=USD","Period=FQ","BEST_FPERIOD_OVERRIDE=FQ","FILING_STATUS=MR","FA_ADJUSTED=GAAP","Sort=A","Dates=H","DateFormat=P","Fill=—","Direction=H","UseDPDF=Y")</f>
        <v>13.307399999999999</v>
      </c>
      <c r="W57" s="14">
        <f>_xll.BDH("AMGN US Equity","OPER_MARGIN","FQ2 2024","FQ2 2024","Currency=USD","Period=FQ","BEST_FPERIOD_OVERRIDE=FQ","FILING_STATUS=MR","FA_ADJUSTED=GAAP","Sort=A","Dates=H","DateFormat=P","Fill=—","Direction=H","UseDPDF=Y")</f>
        <v>22.758700000000001</v>
      </c>
      <c r="X57" s="14">
        <f>_xll.BDH("AMGN US Equity","OPER_MARGIN","FQ3 2024","FQ3 2024","Currency=USD","Period=FQ","BEST_FPERIOD_OVERRIDE=FQ","FILING_STATUS=MR","FA_ADJUSTED=GAAP","Sort=A","Dates=H","DateFormat=P","Fill=—","Direction=H","UseDPDF=Y")</f>
        <v>24.073899999999998</v>
      </c>
      <c r="Y57" s="14">
        <f>_xll.BDH("AMGN US Equity","OPER_MARGIN","FQ4 2024","FQ4 2024","Currency=USD","Period=FQ","BEST_FPERIOD_OVERRIDE=FQ","FILING_STATUS=MR","FA_ADJUSTED=GAAP","Sort=A","Dates=H","DateFormat=P","Fill=—","Direction=H","UseDPDF=Y")</f>
        <v>25.434699999999999</v>
      </c>
      <c r="Z57" s="14">
        <v>41.230238320656802</v>
      </c>
      <c r="AA57" s="14">
        <v>44.9401195578615</v>
      </c>
    </row>
    <row r="58" spans="1:27" x14ac:dyDescent="0.25">
      <c r="A58" s="10" t="s">
        <v>395</v>
      </c>
      <c r="B58" s="10" t="s">
        <v>396</v>
      </c>
      <c r="C58" s="14">
        <f>_xll.BDH("AMGN US Equity","PROF_MARGIN","FQ2 2019","FQ2 2019","Currency=USD","Period=FQ","BEST_FPERIOD_OVERRIDE=FQ","FILING_STATUS=MR","FA_ADJUSTED=GAAP","Sort=A","Dates=H","DateFormat=P","Fill=—","Direction=H","UseDPDF=Y")</f>
        <v>37.114600000000003</v>
      </c>
      <c r="D58" s="14">
        <f>_xll.BDH("AMGN US Equity","PROF_MARGIN","FQ3 2019","FQ3 2019","Currency=USD","Period=FQ","BEST_FPERIOD_OVERRIDE=FQ","FILING_STATUS=MR","FA_ADJUSTED=GAAP","Sort=A","Dates=H","DateFormat=P","Fill=—","Direction=H","UseDPDF=Y")</f>
        <v>34.303600000000003</v>
      </c>
      <c r="E58" s="14">
        <f>_xll.BDH("AMGN US Equity","PROF_MARGIN","FQ4 2019","FQ4 2019","Currency=USD","Period=FQ","BEST_FPERIOD_OVERRIDE=FQ","FILING_STATUS=MR","FA_ADJUSTED=GAAP","Sort=A","Dates=H","DateFormat=P","Fill=—","Direction=H","UseDPDF=Y")</f>
        <v>27.481000000000002</v>
      </c>
      <c r="F58" s="14">
        <f>_xll.BDH("AMGN US Equity","PROF_MARGIN","FQ1 2020","FQ1 2020","Currency=USD","Period=FQ","BEST_FPERIOD_OVERRIDE=FQ","FILING_STATUS=MR","FA_ADJUSTED=GAAP","Sort=A","Dates=H","DateFormat=P","Fill=—","Direction=H","UseDPDF=Y")</f>
        <v>29.6218</v>
      </c>
      <c r="G58" s="14">
        <f>_xll.BDH("AMGN US Equity","PROF_MARGIN","FQ2 2020","FQ2 2020","Currency=USD","Period=FQ","BEST_FPERIOD_OVERRIDE=FQ","FILING_STATUS=MR","FA_ADJUSTED=GAAP","Sort=A","Dates=H","DateFormat=P","Fill=—","Direction=H","UseDPDF=Y")</f>
        <v>29.052499999999998</v>
      </c>
      <c r="H58" s="14">
        <f>_xll.BDH("AMGN US Equity","PROF_MARGIN","FQ3 2020","FQ3 2020","Currency=USD","Period=FQ","BEST_FPERIOD_OVERRIDE=FQ","FILING_STATUS=MR","FA_ADJUSTED=GAAP","Sort=A","Dates=H","DateFormat=P","Fill=—","Direction=H","UseDPDF=Y")</f>
        <v>31.465</v>
      </c>
      <c r="I58" s="14">
        <f>_xll.BDH("AMGN US Equity","PROF_MARGIN","FQ4 2020","FQ4 2020","Currency=USD","Period=FQ","BEST_FPERIOD_OVERRIDE=FQ","FILING_STATUS=MR","FA_ADJUSTED=GAAP","Sort=A","Dates=H","DateFormat=P","Fill=—","Direction=H","UseDPDF=Y")</f>
        <v>24.3443</v>
      </c>
      <c r="J58" s="14">
        <f>_xll.BDH("AMGN US Equity","PROF_MARGIN","FQ1 2021","FQ1 2021","Currency=USD","Period=FQ","BEST_FPERIOD_OVERRIDE=FQ","FILING_STATUS=MR","FA_ADJUSTED=GAAP","Sort=A","Dates=H","DateFormat=P","Fill=—","Direction=H","UseDPDF=Y")</f>
        <v>27.893599999999999</v>
      </c>
      <c r="K58" s="14">
        <f>_xll.BDH("AMGN US Equity","PROF_MARGIN","FQ2 2021","FQ2 2021","Currency=USD","Period=FQ","BEST_FPERIOD_OVERRIDE=FQ","FILING_STATUS=MR","FA_ADJUSTED=GAAP","Sort=A","Dates=H","DateFormat=P","Fill=—","Direction=H","UseDPDF=Y")</f>
        <v>7.11</v>
      </c>
      <c r="L58" s="14">
        <f>_xll.BDH("AMGN US Equity","PROF_MARGIN","FQ3 2021","FQ3 2021","Currency=USD","Period=FQ","BEST_FPERIOD_OVERRIDE=FQ","FILING_STATUS=MR","FA_ADJUSTED=GAAP","Sort=A","Dates=H","DateFormat=P","Fill=—","Direction=H","UseDPDF=Y")</f>
        <v>28.094200000000001</v>
      </c>
      <c r="M58" s="14">
        <f>_xll.BDH("AMGN US Equity","PROF_MARGIN","FQ4 2021","FQ4 2021","Currency=USD","Period=FQ","BEST_FPERIOD_OVERRIDE=FQ","FILING_STATUS=MR","FA_ADJUSTED=GAAP","Sort=A","Dates=H","DateFormat=P","Fill=—","Direction=H","UseDPDF=Y")</f>
        <v>27.738800000000001</v>
      </c>
      <c r="N58" s="14">
        <f>_xll.BDH("AMGN US Equity","PROF_MARGIN","FQ1 2022","FQ1 2022","Currency=USD","Period=FQ","BEST_FPERIOD_OVERRIDE=FQ","FILING_STATUS=MR","FA_ADJUSTED=GAAP","Sort=A","Dates=H","DateFormat=P","Fill=—","Direction=H","UseDPDF=Y")</f>
        <v>23.6614</v>
      </c>
      <c r="O58" s="14">
        <f>_xll.BDH("AMGN US Equity","PROF_MARGIN","FQ2 2022","FQ2 2022","Currency=USD","Period=FQ","BEST_FPERIOD_OVERRIDE=FQ","FILING_STATUS=MR","FA_ADJUSTED=GAAP","Sort=A","Dates=H","DateFormat=P","Fill=—","Direction=H","UseDPDF=Y")</f>
        <v>19.9727</v>
      </c>
      <c r="P58" s="14">
        <f>_xll.BDH("AMGN US Equity","PROF_MARGIN","FQ3 2022","FQ3 2022","Currency=USD","Period=FQ","BEST_FPERIOD_OVERRIDE=FQ","FILING_STATUS=MR","FA_ADJUSTED=GAAP","Sort=A","Dates=H","DateFormat=P","Fill=—","Direction=H","UseDPDF=Y")</f>
        <v>32.215899999999998</v>
      </c>
      <c r="Q58" s="14">
        <f>_xll.BDH("AMGN US Equity","PROF_MARGIN","FQ4 2022","FQ4 2022","Currency=USD","Period=FQ","BEST_FPERIOD_OVERRIDE=FQ","FILING_STATUS=MR","FA_ADJUSTED=GAAP","Sort=A","Dates=H","DateFormat=P","Fill=—","Direction=H","UseDPDF=Y")</f>
        <v>23.629200000000001</v>
      </c>
      <c r="R58" s="14">
        <f>_xll.BDH("AMGN US Equity","PROF_MARGIN","FQ1 2023","FQ1 2023","Currency=USD","Period=FQ","BEST_FPERIOD_OVERRIDE=FQ","FILING_STATUS=MR","FA_ADJUSTED=GAAP","Sort=A","Dates=H","DateFormat=P","Fill=—","Direction=H","UseDPDF=Y")</f>
        <v>46.535600000000002</v>
      </c>
      <c r="S58" s="14">
        <f>_xll.BDH("AMGN US Equity","PROF_MARGIN","FQ2 2023","FQ2 2023","Currency=USD","Period=FQ","BEST_FPERIOD_OVERRIDE=FQ","FILING_STATUS=MR","FA_ADJUSTED=GAAP","Sort=A","Dates=H","DateFormat=P","Fill=—","Direction=H","UseDPDF=Y")</f>
        <v>19.7395</v>
      </c>
      <c r="T58" s="14">
        <f>_xll.BDH("AMGN US Equity","PROF_MARGIN","FQ3 2023","FQ3 2023","Currency=USD","Period=FQ","BEST_FPERIOD_OVERRIDE=FQ","FILING_STATUS=MR","FA_ADJUSTED=GAAP","Sort=A","Dates=H","DateFormat=P","Fill=—","Direction=H","UseDPDF=Y")</f>
        <v>25.061599999999999</v>
      </c>
      <c r="U58" s="14">
        <f>_xll.BDH("AMGN US Equity","PROF_MARGIN","FQ4 2023","FQ4 2023","Currency=USD","Period=FQ","BEST_FPERIOD_OVERRIDE=FQ","FILING_STATUS=MR","FA_ADJUSTED=GAAP","Sort=A","Dates=H","DateFormat=P","Fill=—","Direction=H","UseDPDF=Y")</f>
        <v>9.3582000000000001</v>
      </c>
      <c r="V58" s="14">
        <f>_xll.BDH("AMGN US Equity","PROF_MARGIN","FQ1 2024","FQ1 2024","Currency=USD","Period=FQ","BEST_FPERIOD_OVERRIDE=FQ","FILING_STATUS=MR","FA_ADJUSTED=GAAP","Sort=A","Dates=H","DateFormat=P","Fill=—","Direction=H","UseDPDF=Y")</f>
        <v>-1.5174000000000001</v>
      </c>
      <c r="W58" s="14">
        <f>_xll.BDH("AMGN US Equity","PROF_MARGIN","FQ2 2024","FQ2 2024","Currency=USD","Period=FQ","BEST_FPERIOD_OVERRIDE=FQ","FILING_STATUS=MR","FA_ADJUSTED=GAAP","Sort=A","Dates=H","DateFormat=P","Fill=—","Direction=H","UseDPDF=Y")</f>
        <v>8.8937000000000008</v>
      </c>
      <c r="X58" s="14">
        <f>_xll.BDH("AMGN US Equity","PROF_MARGIN","FQ3 2024","FQ3 2024","Currency=USD","Period=FQ","BEST_FPERIOD_OVERRIDE=FQ","FILING_STATUS=MR","FA_ADJUSTED=GAAP","Sort=A","Dates=H","DateFormat=P","Fill=—","Direction=H","UseDPDF=Y")</f>
        <v>33.282400000000003</v>
      </c>
      <c r="Y58" s="14">
        <f>_xll.BDH("AMGN US Equity","PROF_MARGIN","FQ4 2024","FQ4 2024","Currency=USD","Period=FQ","BEST_FPERIOD_OVERRIDE=FQ","FILING_STATUS=MR","FA_ADJUSTED=GAAP","Sort=A","Dates=H","DateFormat=P","Fill=—","Direction=H","UseDPDF=Y")</f>
        <v>6.9006999999999996</v>
      </c>
      <c r="Z58" s="14">
        <v>27.4586256347614</v>
      </c>
      <c r="AA58" s="14">
        <v>31.278750281976102</v>
      </c>
    </row>
    <row r="59" spans="1:27" x14ac:dyDescent="0.25">
      <c r="A59" s="10" t="s">
        <v>397</v>
      </c>
      <c r="B59" s="10" t="s">
        <v>398</v>
      </c>
      <c r="C59" s="14" t="str">
        <f>_xll.BDH("AMGN US Equity","ACTUAL_SALES_PER_EMPL","FQ2 2019","FQ2 2019","Currency=USD","Period=FQ","BEST_FPERIOD_OVERRIDE=FQ","FILING_STATUS=MR","FA_ADJUSTED=GAAP","Sort=A","Dates=H","DateFormat=P","Fill=—","Direction=H","UseDPDF=Y")</f>
        <v>—</v>
      </c>
      <c r="D59" s="14" t="str">
        <f>_xll.BDH("AMGN US Equity","ACTUAL_SALES_PER_EMPL","FQ3 2019","FQ3 2019","Currency=USD","Period=FQ","BEST_FPERIOD_OVERRIDE=FQ","FILING_STATUS=MR","FA_ADJUSTED=GAAP","Sort=A","Dates=H","DateFormat=P","Fill=—","Direction=H","UseDPDF=Y")</f>
        <v>—</v>
      </c>
      <c r="E59" s="14">
        <f>_xll.BDH("AMGN US Equity","ACTUAL_SALES_PER_EMPL","FQ4 2019","FQ4 2019","Currency=USD","Period=FQ","BEST_FPERIOD_OVERRIDE=FQ","FILING_STATUS=MR","FA_ADJUSTED=GAAP","Sort=A","Dates=H","DateFormat=P","Fill=—","Direction=H","UseDPDF=Y")</f>
        <v>264829.05979999999</v>
      </c>
      <c r="F59" s="14" t="str">
        <f>_xll.BDH("AMGN US Equity","ACTUAL_SALES_PER_EMPL","FQ1 2020","FQ1 2020","Currency=USD","Period=FQ","BEST_FPERIOD_OVERRIDE=FQ","FILING_STATUS=MR","FA_ADJUSTED=GAAP","Sort=A","Dates=H","DateFormat=P","Fill=—","Direction=H","UseDPDF=Y")</f>
        <v>—</v>
      </c>
      <c r="G59" s="14" t="str">
        <f>_xll.BDH("AMGN US Equity","ACTUAL_SALES_PER_EMPL","FQ2 2020","FQ2 2020","Currency=USD","Period=FQ","BEST_FPERIOD_OVERRIDE=FQ","FILING_STATUS=MR","FA_ADJUSTED=GAAP","Sort=A","Dates=H","DateFormat=P","Fill=—","Direction=H","UseDPDF=Y")</f>
        <v>—</v>
      </c>
      <c r="H59" s="14" t="str">
        <f>_xll.BDH("AMGN US Equity","ACTUAL_SALES_PER_EMPL","FQ3 2020","FQ3 2020","Currency=USD","Period=FQ","BEST_FPERIOD_OVERRIDE=FQ","FILING_STATUS=MR","FA_ADJUSTED=GAAP","Sort=A","Dates=H","DateFormat=P","Fill=—","Direction=H","UseDPDF=Y")</f>
        <v>—</v>
      </c>
      <c r="I59" s="14">
        <f>_xll.BDH("AMGN US Equity","ACTUAL_SALES_PER_EMPL","FQ4 2020","FQ4 2020","Currency=USD","Period=FQ","BEST_FPERIOD_OVERRIDE=FQ","FILING_STATUS=MR","FA_ADJUSTED=GAAP","Sort=A","Dates=H","DateFormat=P","Fill=—","Direction=H","UseDPDF=Y")</f>
        <v>274132.23139999999</v>
      </c>
      <c r="J59" s="14" t="str">
        <f>_xll.BDH("AMGN US Equity","ACTUAL_SALES_PER_EMPL","FQ1 2021","FQ1 2021","Currency=USD","Period=FQ","BEST_FPERIOD_OVERRIDE=FQ","FILING_STATUS=MR","FA_ADJUSTED=GAAP","Sort=A","Dates=H","DateFormat=P","Fill=—","Direction=H","UseDPDF=Y")</f>
        <v>—</v>
      </c>
      <c r="K59" s="14" t="str">
        <f>_xll.BDH("AMGN US Equity","ACTUAL_SALES_PER_EMPL","FQ2 2021","FQ2 2021","Currency=USD","Period=FQ","BEST_FPERIOD_OVERRIDE=FQ","FILING_STATUS=MR","FA_ADJUSTED=GAAP","Sort=A","Dates=H","DateFormat=P","Fill=—","Direction=H","UseDPDF=Y")</f>
        <v>—</v>
      </c>
      <c r="L59" s="14" t="str">
        <f>_xll.BDH("AMGN US Equity","ACTUAL_SALES_PER_EMPL","FQ3 2021","FQ3 2021","Currency=USD","Period=FQ","BEST_FPERIOD_OVERRIDE=FQ","FILING_STATUS=MR","FA_ADJUSTED=GAAP","Sort=A","Dates=H","DateFormat=P","Fill=—","Direction=H","UseDPDF=Y")</f>
        <v>—</v>
      </c>
      <c r="M59" s="14">
        <f>_xll.BDH("AMGN US Equity","ACTUAL_SALES_PER_EMPL","FQ4 2021","FQ4 2021","Currency=USD","Period=FQ","BEST_FPERIOD_OVERRIDE=FQ","FILING_STATUS=MR","FA_ADJUSTED=GAAP","Sort=A","Dates=H","DateFormat=P","Fill=—","Direction=H","UseDPDF=Y")</f>
        <v>282892.56199999998</v>
      </c>
      <c r="N59" s="14" t="str">
        <f>_xll.BDH("AMGN US Equity","ACTUAL_SALES_PER_EMPL","FQ1 2022","FQ1 2022","Currency=USD","Period=FQ","BEST_FPERIOD_OVERRIDE=FQ","FILING_STATUS=MR","FA_ADJUSTED=GAAP","Sort=A","Dates=H","DateFormat=P","Fill=—","Direction=H","UseDPDF=Y")</f>
        <v>—</v>
      </c>
      <c r="O59" s="14" t="str">
        <f>_xll.BDH("AMGN US Equity","ACTUAL_SALES_PER_EMPL","FQ2 2022","FQ2 2022","Currency=USD","Period=FQ","BEST_FPERIOD_OVERRIDE=FQ","FILING_STATUS=MR","FA_ADJUSTED=GAAP","Sort=A","Dates=H","DateFormat=P","Fill=—","Direction=H","UseDPDF=Y")</f>
        <v>—</v>
      </c>
      <c r="P59" s="14" t="str">
        <f>_xll.BDH("AMGN US Equity","ACTUAL_SALES_PER_EMPL","FQ3 2022","FQ3 2022","Currency=USD","Period=FQ","BEST_FPERIOD_OVERRIDE=FQ","FILING_STATUS=MR","FA_ADJUSTED=GAAP","Sort=A","Dates=H","DateFormat=P","Fill=—","Direction=H","UseDPDF=Y")</f>
        <v>—</v>
      </c>
      <c r="Q59" s="14">
        <f>_xll.BDH("AMGN US Equity","ACTUAL_SALES_PER_EMPL","FQ4 2022","FQ4 2022","Currency=USD","Period=FQ","BEST_FPERIOD_OVERRIDE=FQ","FILING_STATUS=MR","FA_ADJUSTED=GAAP","Sort=A","Dates=H","DateFormat=P","Fill=—","Direction=H","UseDPDF=Y")</f>
        <v>271388.88890000002</v>
      </c>
      <c r="R59" s="14" t="str">
        <f>_xll.BDH("AMGN US Equity","ACTUAL_SALES_PER_EMPL","FQ1 2023","FQ1 2023","Currency=USD","Period=FQ","BEST_FPERIOD_OVERRIDE=FQ","FILING_STATUS=MR","FA_ADJUSTED=GAAP","Sort=A","Dates=H","DateFormat=P","Fill=—","Direction=H","UseDPDF=Y")</f>
        <v>—</v>
      </c>
      <c r="S59" s="14" t="str">
        <f>_xll.BDH("AMGN US Equity","ACTUAL_SALES_PER_EMPL","FQ2 2023","FQ2 2023","Currency=USD","Period=FQ","BEST_FPERIOD_OVERRIDE=FQ","FILING_STATUS=MR","FA_ADJUSTED=GAAP","Sort=A","Dates=H","DateFormat=P","Fill=—","Direction=H","UseDPDF=Y")</f>
        <v>—</v>
      </c>
      <c r="T59" s="14" t="str">
        <f>_xll.BDH("AMGN US Equity","ACTUAL_SALES_PER_EMPL","FQ3 2023","FQ3 2023","Currency=USD","Period=FQ","BEST_FPERIOD_OVERRIDE=FQ","FILING_STATUS=MR","FA_ADJUSTED=GAAP","Sort=A","Dates=H","DateFormat=P","Fill=—","Direction=H","UseDPDF=Y")</f>
        <v>—</v>
      </c>
      <c r="U59" s="14">
        <f>_xll.BDH("AMGN US Equity","ACTUAL_SALES_PER_EMPL","FQ4 2023","FQ4 2023","Currency=USD","Period=FQ","BEST_FPERIOD_OVERRIDE=FQ","FILING_STATUS=MR","FA_ADJUSTED=GAAP","Sort=A","Dates=H","DateFormat=P","Fill=—","Direction=H","UseDPDF=Y")</f>
        <v>306966.29210000002</v>
      </c>
      <c r="V59" s="14" t="str">
        <f>_xll.BDH("AMGN US Equity","ACTUAL_SALES_PER_EMPL","FQ1 2024","FQ1 2024","Currency=USD","Period=FQ","BEST_FPERIOD_OVERRIDE=FQ","FILING_STATUS=MR","FA_ADJUSTED=GAAP","Sort=A","Dates=H","DateFormat=P","Fill=—","Direction=H","UseDPDF=Y")</f>
        <v>—</v>
      </c>
      <c r="W59" s="14" t="str">
        <f>_xll.BDH("AMGN US Equity","ACTUAL_SALES_PER_EMPL","FQ2 2024","FQ2 2024","Currency=USD","Period=FQ","BEST_FPERIOD_OVERRIDE=FQ","FILING_STATUS=MR","FA_ADJUSTED=GAAP","Sort=A","Dates=H","DateFormat=P","Fill=—","Direction=H","UseDPDF=Y")</f>
        <v>—</v>
      </c>
      <c r="X59" s="14" t="str">
        <f>_xll.BDH("AMGN US Equity","ACTUAL_SALES_PER_EMPL","FQ3 2024","FQ3 2024","Currency=USD","Period=FQ","BEST_FPERIOD_OVERRIDE=FQ","FILING_STATUS=MR","FA_ADJUSTED=GAAP","Sort=A","Dates=H","DateFormat=P","Fill=—","Direction=H","UseDPDF=Y")</f>
        <v>—</v>
      </c>
      <c r="Y59" s="14">
        <f>_xll.BDH("AMGN US Equity","ACTUAL_SALES_PER_EMPL","FQ4 2024","FQ4 2024","Currency=USD","Period=FQ","BEST_FPERIOD_OVERRIDE=FQ","FILING_STATUS=MR","FA_ADJUSTED=GAAP","Sort=A","Dates=H","DateFormat=P","Fill=—","Direction=H","UseDPDF=Y")</f>
        <v>324500</v>
      </c>
      <c r="Z59" s="14"/>
      <c r="AA59" s="14"/>
    </row>
    <row r="60" spans="1:27" x14ac:dyDescent="0.25">
      <c r="A60" s="10" t="s">
        <v>399</v>
      </c>
      <c r="B60" s="10" t="s">
        <v>269</v>
      </c>
      <c r="C60" s="14">
        <f>_xll.BDH("AMGN US Equity","EQY_DPS","FQ2 2019","FQ2 2019","Currency=USD","Period=FQ","BEST_FPERIOD_OVERRIDE=FQ","FILING_STATUS=MR","Sort=A","Dates=H","DateFormat=P","Fill=—","Direction=H","UseDPDF=Y")</f>
        <v>1.45</v>
      </c>
      <c r="D60" s="14">
        <f>_xll.BDH("AMGN US Equity","EQY_DPS","FQ3 2019","FQ3 2019","Currency=USD","Period=FQ","BEST_FPERIOD_OVERRIDE=FQ","FILING_STATUS=MR","Sort=A","Dates=H","DateFormat=P","Fill=—","Direction=H","UseDPDF=Y")</f>
        <v>1.45</v>
      </c>
      <c r="E60" s="14">
        <f>_xll.BDH("AMGN US Equity","EQY_DPS","FQ4 2019","FQ4 2019","Currency=USD","Period=FQ","BEST_FPERIOD_OVERRIDE=FQ","FILING_STATUS=MR","Sort=A","Dates=H","DateFormat=P","Fill=—","Direction=H","UseDPDF=Y")</f>
        <v>1.45</v>
      </c>
      <c r="F60" s="14">
        <f>_xll.BDH("AMGN US Equity","EQY_DPS","FQ1 2020","FQ1 2020","Currency=USD","Period=FQ","BEST_FPERIOD_OVERRIDE=FQ","FILING_STATUS=MR","Sort=A","Dates=H","DateFormat=P","Fill=—","Direction=H","UseDPDF=Y")</f>
        <v>1.6</v>
      </c>
      <c r="G60" s="14">
        <f>_xll.BDH("AMGN US Equity","EQY_DPS","FQ2 2020","FQ2 2020","Currency=USD","Period=FQ","BEST_FPERIOD_OVERRIDE=FQ","FILING_STATUS=MR","Sort=A","Dates=H","DateFormat=P","Fill=—","Direction=H","UseDPDF=Y")</f>
        <v>1.6</v>
      </c>
      <c r="H60" s="14">
        <f>_xll.BDH("AMGN US Equity","EQY_DPS","FQ3 2020","FQ3 2020","Currency=USD","Period=FQ","BEST_FPERIOD_OVERRIDE=FQ","FILING_STATUS=MR","Sort=A","Dates=H","DateFormat=P","Fill=—","Direction=H","UseDPDF=Y")</f>
        <v>1.6</v>
      </c>
      <c r="I60" s="14">
        <f>_xll.BDH("AMGN US Equity","EQY_DPS","FQ4 2020","FQ4 2020","Currency=USD","Period=FQ","BEST_FPERIOD_OVERRIDE=FQ","FILING_STATUS=MR","Sort=A","Dates=H","DateFormat=P","Fill=—","Direction=H","UseDPDF=Y")</f>
        <v>1.6</v>
      </c>
      <c r="J60" s="14">
        <f>_xll.BDH("AMGN US Equity","EQY_DPS","FQ1 2021","FQ1 2021","Currency=USD","Period=FQ","BEST_FPERIOD_OVERRIDE=FQ","FILING_STATUS=MR","Sort=A","Dates=H","DateFormat=P","Fill=—","Direction=H","UseDPDF=Y")</f>
        <v>1.76</v>
      </c>
      <c r="K60" s="14">
        <f>_xll.BDH("AMGN US Equity","EQY_DPS","FQ2 2021","FQ2 2021","Currency=USD","Period=FQ","BEST_FPERIOD_OVERRIDE=FQ","FILING_STATUS=MR","Sort=A","Dates=H","DateFormat=P","Fill=—","Direction=H","UseDPDF=Y")</f>
        <v>1.76</v>
      </c>
      <c r="L60" s="14">
        <f>_xll.BDH("AMGN US Equity","EQY_DPS","FQ3 2021","FQ3 2021","Currency=USD","Period=FQ","BEST_FPERIOD_OVERRIDE=FQ","FILING_STATUS=MR","Sort=A","Dates=H","DateFormat=P","Fill=—","Direction=H","UseDPDF=Y")</f>
        <v>1.76</v>
      </c>
      <c r="M60" s="14">
        <f>_xll.BDH("AMGN US Equity","EQY_DPS","FQ4 2021","FQ4 2021","Currency=USD","Period=FQ","BEST_FPERIOD_OVERRIDE=FQ","FILING_STATUS=MR","Sort=A","Dates=H","DateFormat=P","Fill=—","Direction=H","UseDPDF=Y")</f>
        <v>1.76</v>
      </c>
      <c r="N60" s="14">
        <f>_xll.BDH("AMGN US Equity","EQY_DPS","FQ1 2022","FQ1 2022","Currency=USD","Period=FQ","BEST_FPERIOD_OVERRIDE=FQ","FILING_STATUS=MR","Sort=A","Dates=H","DateFormat=P","Fill=—","Direction=H","UseDPDF=Y")</f>
        <v>1.94</v>
      </c>
      <c r="O60" s="14">
        <f>_xll.BDH("AMGN US Equity","EQY_DPS","FQ2 2022","FQ2 2022","Currency=USD","Period=FQ","BEST_FPERIOD_OVERRIDE=FQ","FILING_STATUS=MR","Sort=A","Dates=H","DateFormat=P","Fill=—","Direction=H","UseDPDF=Y")</f>
        <v>1.94</v>
      </c>
      <c r="P60" s="14">
        <f>_xll.BDH("AMGN US Equity","EQY_DPS","FQ3 2022","FQ3 2022","Currency=USD","Period=FQ","BEST_FPERIOD_OVERRIDE=FQ","FILING_STATUS=MR","Sort=A","Dates=H","DateFormat=P","Fill=—","Direction=H","UseDPDF=Y")</f>
        <v>1.94</v>
      </c>
      <c r="Q60" s="14">
        <f>_xll.BDH("AMGN US Equity","EQY_DPS","FQ4 2022","FQ4 2022","Currency=USD","Period=FQ","BEST_FPERIOD_OVERRIDE=FQ","FILING_STATUS=MR","Sort=A","Dates=H","DateFormat=P","Fill=—","Direction=H","UseDPDF=Y")</f>
        <v>1.94</v>
      </c>
      <c r="R60" s="14">
        <f>_xll.BDH("AMGN US Equity","EQY_DPS","FQ1 2023","FQ1 2023","Currency=USD","Period=FQ","BEST_FPERIOD_OVERRIDE=FQ","FILING_STATUS=MR","Sort=A","Dates=H","DateFormat=P","Fill=—","Direction=H","UseDPDF=Y")</f>
        <v>2.13</v>
      </c>
      <c r="S60" s="14">
        <f>_xll.BDH("AMGN US Equity","EQY_DPS","FQ2 2023","FQ2 2023","Currency=USD","Period=FQ","BEST_FPERIOD_OVERRIDE=FQ","FILING_STATUS=MR","Sort=A","Dates=H","DateFormat=P","Fill=—","Direction=H","UseDPDF=Y")</f>
        <v>2.13</v>
      </c>
      <c r="T60" s="14">
        <f>_xll.BDH("AMGN US Equity","EQY_DPS","FQ3 2023","FQ3 2023","Currency=USD","Period=FQ","BEST_FPERIOD_OVERRIDE=FQ","FILING_STATUS=MR","Sort=A","Dates=H","DateFormat=P","Fill=—","Direction=H","UseDPDF=Y")</f>
        <v>2.13</v>
      </c>
      <c r="U60" s="14">
        <f>_xll.BDH("AMGN US Equity","EQY_DPS","FQ4 2023","FQ4 2023","Currency=USD","Period=FQ","BEST_FPERIOD_OVERRIDE=FQ","FILING_STATUS=MR","Sort=A","Dates=H","DateFormat=P","Fill=—","Direction=H","UseDPDF=Y")</f>
        <v>2.13</v>
      </c>
      <c r="V60" s="14">
        <f>_xll.BDH("AMGN US Equity","EQY_DPS","FQ1 2024","FQ1 2024","Currency=USD","Period=FQ","BEST_FPERIOD_OVERRIDE=FQ","FILING_STATUS=MR","Sort=A","Dates=H","DateFormat=P","Fill=—","Direction=H","UseDPDF=Y")</f>
        <v>2.25</v>
      </c>
      <c r="W60" s="14">
        <f>_xll.BDH("AMGN US Equity","EQY_DPS","FQ2 2024","FQ2 2024","Currency=USD","Period=FQ","BEST_FPERIOD_OVERRIDE=FQ","FILING_STATUS=MR","Sort=A","Dates=H","DateFormat=P","Fill=—","Direction=H","UseDPDF=Y")</f>
        <v>2.25</v>
      </c>
      <c r="X60" s="14">
        <f>_xll.BDH("AMGN US Equity","EQY_DPS","FQ3 2024","FQ3 2024","Currency=USD","Period=FQ","BEST_FPERIOD_OVERRIDE=FQ","FILING_STATUS=MR","Sort=A","Dates=H","DateFormat=P","Fill=—","Direction=H","UseDPDF=Y")</f>
        <v>2.25</v>
      </c>
      <c r="Y60" s="14">
        <f>_xll.BDH("AMGN US Equity","EQY_DPS","FQ4 2024","FQ4 2024","Currency=USD","Period=FQ","BEST_FPERIOD_OVERRIDE=FQ","FILING_STATUS=MR","Sort=A","Dates=H","DateFormat=P","Fill=—","Direction=H","UseDPDF=Y")</f>
        <v>2.25</v>
      </c>
      <c r="Z60" s="14">
        <v>2.4359999999999999</v>
      </c>
      <c r="AA60" s="14">
        <v>2.3820000000000001</v>
      </c>
    </row>
    <row r="61" spans="1:27" x14ac:dyDescent="0.25">
      <c r="A61" s="10" t="s">
        <v>400</v>
      </c>
      <c r="B61" s="10" t="s">
        <v>401</v>
      </c>
      <c r="C61" s="13">
        <f>_xll.BDH("AMGN US Equity","IS_TOT_CASH_COM_DVD","FQ2 2019","FQ2 2019","Currency=USD","Period=FQ","BEST_FPERIOD_OVERRIDE=FQ","FILING_STATUS=MR","SCALING_FORMAT=MLN","Sort=A","Dates=H","DateFormat=P","Fill=—","Direction=H","UseDPDF=Y")</f>
        <v>900</v>
      </c>
      <c r="D61" s="13">
        <f>_xll.BDH("AMGN US Equity","IS_TOT_CASH_COM_DVD","FQ3 2019","FQ3 2019","Currency=USD","Period=FQ","BEST_FPERIOD_OVERRIDE=FQ","FILING_STATUS=MR","SCALING_FORMAT=MLN","Sort=A","Dates=H","DateFormat=P","Fill=—","Direction=H","UseDPDF=Y")</f>
        <v>900</v>
      </c>
      <c r="E61" s="13">
        <f>_xll.BDH("AMGN US Equity","IS_TOT_CASH_COM_DVD","FQ4 2019","FQ4 2019","Currency=USD","Period=FQ","BEST_FPERIOD_OVERRIDE=FQ","FILING_STATUS=MR","SCALING_FORMAT=MLN","Sort=A","Dates=H","DateFormat=P","Fill=—","Direction=H","UseDPDF=Y")</f>
        <v>900</v>
      </c>
      <c r="F61" s="13">
        <f>_xll.BDH("AMGN US Equity","IS_TOT_CASH_COM_DVD","FQ1 2020","FQ1 2020","Currency=USD","Period=FQ","BEST_FPERIOD_OVERRIDE=FQ","FILING_STATUS=MR","SCALING_FORMAT=MLN","Sort=A","Dates=H","DateFormat=P","Fill=—","Direction=H","UseDPDF=Y")</f>
        <v>945</v>
      </c>
      <c r="G61" s="13">
        <f>_xll.BDH("AMGN US Equity","IS_TOT_CASH_COM_DVD","FQ2 2020","FQ2 2020","Currency=USD","Period=FQ","BEST_FPERIOD_OVERRIDE=FQ","FILING_STATUS=MR","SCALING_FORMAT=MLN","Sort=A","Dates=H","DateFormat=P","Fill=—","Direction=H","UseDPDF=Y")</f>
        <v>900</v>
      </c>
      <c r="H61" s="13">
        <f>_xll.BDH("AMGN US Equity","IS_TOT_CASH_COM_DVD","FQ3 2020","FQ3 2020","Currency=USD","Period=FQ","BEST_FPERIOD_OVERRIDE=FQ","FILING_STATUS=MR","SCALING_FORMAT=MLN","Sort=A","Dates=H","DateFormat=P","Fill=—","Direction=H","UseDPDF=Y")</f>
        <v>936</v>
      </c>
      <c r="I61" s="13">
        <f>_xll.BDH("AMGN US Equity","IS_TOT_CASH_COM_DVD","FQ4 2020","FQ4 2020","Currency=USD","Period=FQ","BEST_FPERIOD_OVERRIDE=FQ","FILING_STATUS=MR","SCALING_FORMAT=MLN","Sort=A","Dates=H","DateFormat=P","Fill=—","Direction=H","UseDPDF=Y")</f>
        <v>900</v>
      </c>
      <c r="J61" s="13">
        <f>_xll.BDH("AMGN US Equity","IS_TOT_CASH_COM_DVD","FQ1 2021","FQ1 2021","Currency=USD","Period=FQ","BEST_FPERIOD_OVERRIDE=FQ","FILING_STATUS=MR","SCALING_FORMAT=MLN","Sort=A","Dates=H","DateFormat=P","Fill=—","Direction=H","UseDPDF=Y")</f>
        <v>1000</v>
      </c>
      <c r="K61" s="13">
        <f>_xll.BDH("AMGN US Equity","IS_TOT_CASH_COM_DVD","FQ2 2021","FQ2 2021","Currency=USD","Period=FQ","BEST_FPERIOD_OVERRIDE=FQ","FILING_STATUS=MR","SCALING_FORMAT=MLN","Sort=A","Dates=H","DateFormat=P","Fill=—","Direction=H","UseDPDF=Y")</f>
        <v>1000</v>
      </c>
      <c r="L61" s="13">
        <f>_xll.BDH("AMGN US Equity","IS_TOT_CASH_COM_DVD","FQ3 2021","FQ3 2021","Currency=USD","Period=FQ","BEST_FPERIOD_OVERRIDE=FQ","FILING_STATUS=MR","SCALING_FORMAT=MLN","Sort=A","Dates=H","DateFormat=P","Fill=—","Direction=H","UseDPDF=Y")</f>
        <v>997.92</v>
      </c>
      <c r="M61" s="13">
        <f>_xll.BDH("AMGN US Equity","IS_TOT_CASH_COM_DVD","FQ4 2021","FQ4 2021","Currency=USD","Period=FQ","BEST_FPERIOD_OVERRIDE=FQ","FILING_STATUS=MR","SCALING_FORMAT=MLN","Sort=A","Dates=H","DateFormat=P","Fill=—","Direction=H","UseDPDF=Y")</f>
        <v>1000</v>
      </c>
      <c r="N61" s="13">
        <f>_xll.BDH("AMGN US Equity","IS_TOT_CASH_COM_DVD","FQ1 2022","FQ1 2022","Currency=USD","Period=FQ","BEST_FPERIOD_OVERRIDE=FQ","FILING_STATUS=MR","SCALING_FORMAT=MLN","Sort=A","Dates=H","DateFormat=P","Fill=—","Direction=H","UseDPDF=Y")</f>
        <v>1100</v>
      </c>
      <c r="O61" s="13">
        <f>_xll.BDH("AMGN US Equity","IS_TOT_CASH_COM_DVD","FQ2 2022","FQ2 2022","Currency=USD","Period=FQ","BEST_FPERIOD_OVERRIDE=FQ","FILING_STATUS=MR","SCALING_FORMAT=MLN","Sort=A","Dates=H","DateFormat=P","Fill=—","Direction=H","UseDPDF=Y")</f>
        <v>1038</v>
      </c>
      <c r="P61" s="13">
        <f>_xll.BDH("AMGN US Equity","IS_TOT_CASH_COM_DVD","FQ3 2022","FQ3 2022","Currency=USD","Period=FQ","BEST_FPERIOD_OVERRIDE=FQ","FILING_STATUS=MR","SCALING_FORMAT=MLN","Sort=A","Dates=H","DateFormat=P","Fill=—","Direction=H","UseDPDF=Y")</f>
        <v>1037.9000000000001</v>
      </c>
      <c r="Q61" s="13">
        <f>_xll.BDH("AMGN US Equity","IS_TOT_CASH_COM_DVD","FQ4 2022","FQ4 2022","Currency=USD","Period=FQ","BEST_FPERIOD_OVERRIDE=FQ","FILING_STATUS=MR","SCALING_FORMAT=MLN","Sort=A","Dates=H","DateFormat=P","Fill=—","Direction=H","UseDPDF=Y")</f>
        <v>1000</v>
      </c>
      <c r="R61" s="13">
        <f>_xll.BDH("AMGN US Equity","IS_TOT_CASH_COM_DVD","FQ1 2023","FQ1 2023","Currency=USD","Period=FQ","BEST_FPERIOD_OVERRIDE=FQ","FILING_STATUS=MR","SCALING_FORMAT=MLN","Sort=A","Dates=H","DateFormat=P","Fill=—","Direction=H","UseDPDF=Y")</f>
        <v>1100</v>
      </c>
      <c r="S61" s="13">
        <f>_xll.BDH("AMGN US Equity","IS_TOT_CASH_COM_DVD","FQ2 2023","FQ2 2023","Currency=USD","Period=FQ","BEST_FPERIOD_OVERRIDE=FQ","FILING_STATUS=MR","SCALING_FORMAT=MLN","Sort=A","Dates=H","DateFormat=P","Fill=—","Direction=H","UseDPDF=Y")</f>
        <v>1100</v>
      </c>
      <c r="T61" s="13">
        <f>_xll.BDH("AMGN US Equity","IS_TOT_CASH_COM_DVD","FQ3 2023","FQ3 2023","Currency=USD","Period=FQ","BEST_FPERIOD_OVERRIDE=FQ","FILING_STATUS=MR","SCALING_FORMAT=MLN","Sort=A","Dates=H","DateFormat=P","Fill=—","Direction=H","UseDPDF=Y")</f>
        <v>1139.55</v>
      </c>
      <c r="U61" s="13">
        <f>_xll.BDH("AMGN US Equity","IS_TOT_CASH_COM_DVD","FQ4 2023","FQ4 2023","Currency=USD","Period=FQ","BEST_FPERIOD_OVERRIDE=FQ","FILING_STATUS=MR","SCALING_FORMAT=MLN","Sort=A","Dates=H","DateFormat=P","Fill=—","Direction=H","UseDPDF=Y")</f>
        <v>1100</v>
      </c>
      <c r="V61" s="13">
        <f>_xll.BDH("AMGN US Equity","IS_TOT_CASH_COM_DVD","FQ1 2024","FQ1 2024","Currency=USD","Period=FQ","BEST_FPERIOD_OVERRIDE=FQ","FILING_STATUS=MR","SCALING_FORMAT=MLN","Sort=A","Dates=H","DateFormat=P","Fill=—","Direction=H","UseDPDF=Y")</f>
        <v>1208</v>
      </c>
      <c r="W61" s="13">
        <f>_xll.BDH("AMGN US Equity","IS_TOT_CASH_COM_DVD","FQ2 2024","FQ2 2024","Currency=USD","Period=FQ","BEST_FPERIOD_OVERRIDE=FQ","FILING_STATUS=MR","SCALING_FORMAT=MLN","Sort=A","Dates=H","DateFormat=P","Fill=—","Direction=H","UseDPDF=Y")</f>
        <v>1200</v>
      </c>
      <c r="X61" s="13">
        <f>_xll.BDH("AMGN US Equity","IS_TOT_CASH_COM_DVD","FQ3 2024","FQ3 2024","Currency=USD","Period=FQ","BEST_FPERIOD_OVERRIDE=FQ","FILING_STATUS=MR","SCALING_FORMAT=MLN","Sort=A","Dates=H","DateFormat=P","Fill=—","Direction=H","UseDPDF=Y")</f>
        <v>1200</v>
      </c>
      <c r="Y61" s="13">
        <f>_xll.BDH("AMGN US Equity","IS_TOT_CASH_COM_DVD","FQ4 2024","FQ4 2024","Currency=USD","Period=FQ","BEST_FPERIOD_OVERRIDE=FQ","FILING_STATUS=MR","SCALING_FORMAT=MLN","Sort=A","Dates=H","DateFormat=P","Fill=—","Direction=H","UseDPDF=Y")</f>
        <v>1200</v>
      </c>
      <c r="Z61" s="13"/>
      <c r="AA61" s="13"/>
    </row>
    <row r="62" spans="1:27" x14ac:dyDescent="0.25">
      <c r="A62" s="10" t="s">
        <v>402</v>
      </c>
      <c r="B62" s="10" t="s">
        <v>403</v>
      </c>
      <c r="C62" s="13">
        <f>_xll.BDH("AMGN US Equity","IS_DEPR_EXP","FQ2 2019","FQ2 2019","Currency=USD","Period=FQ","BEST_FPERIOD_OVERRIDE=FQ","FILING_STATUS=MR","SCALING_FORMAT=MLN","Sort=A","Dates=H","DateFormat=P","Fill=—","Direction=H","UseDPDF=Y")</f>
        <v>186</v>
      </c>
      <c r="D62" s="13">
        <f>_xll.BDH("AMGN US Equity","IS_DEPR_EXP","FQ3 2019","FQ3 2019","Currency=USD","Period=FQ","BEST_FPERIOD_OVERRIDE=FQ","FILING_STATUS=MR","SCALING_FORMAT=MLN","Sort=A","Dates=H","DateFormat=P","Fill=—","Direction=H","UseDPDF=Y")</f>
        <v>191</v>
      </c>
      <c r="E62" s="13">
        <f>_xll.BDH("AMGN US Equity","IS_DEPR_EXP","FQ4 2019","FQ4 2019","Currency=USD","Period=FQ","BEST_FPERIOD_OVERRIDE=FQ","FILING_STATUS=MR","SCALING_FORMAT=MLN","Sort=A","Dates=H","DateFormat=P","Fill=—","Direction=H","UseDPDF=Y")</f>
        <v>250</v>
      </c>
      <c r="F62" s="13">
        <f>_xll.BDH("AMGN US Equity","IS_DEPR_EXP","FQ1 2020","FQ1 2020","Currency=USD","Period=FQ","BEST_FPERIOD_OVERRIDE=FQ","FILING_STATUS=MR","SCALING_FORMAT=MLN","Sort=A","Dates=H","DateFormat=P","Fill=—","Direction=H","UseDPDF=Y")</f>
        <v>188</v>
      </c>
      <c r="G62" s="13">
        <f>_xll.BDH("AMGN US Equity","IS_DEPR_EXP","FQ2 2020","FQ2 2020","Currency=USD","Period=FQ","BEST_FPERIOD_OVERRIDE=FQ","FILING_STATUS=MR","SCALING_FORMAT=MLN","Sort=A","Dates=H","DateFormat=P","Fill=—","Direction=H","UseDPDF=Y")</f>
        <v>217</v>
      </c>
      <c r="H62" s="13">
        <f>_xll.BDH("AMGN US Equity","IS_DEPR_EXP","FQ3 2020","FQ3 2020","Currency=USD","Period=FQ","BEST_FPERIOD_OVERRIDE=FQ","FILING_STATUS=MR","SCALING_FORMAT=MLN","Sort=A","Dates=H","DateFormat=P","Fill=—","Direction=H","UseDPDF=Y")</f>
        <v>175</v>
      </c>
      <c r="I62" s="13">
        <f>_xll.BDH("AMGN US Equity","IS_DEPR_EXP","FQ4 2020","FQ4 2020","Currency=USD","Period=FQ","BEST_FPERIOD_OVERRIDE=FQ","FILING_STATUS=MR","SCALING_FORMAT=MLN","Sort=A","Dates=H","DateFormat=P","Fill=—","Direction=H","UseDPDF=Y")</f>
        <v>181</v>
      </c>
      <c r="J62" s="13">
        <f>_xll.BDH("AMGN US Equity","IS_DEPR_EXP","FQ1 2021","FQ1 2021","Currency=USD","Period=FQ","BEST_FPERIOD_OVERRIDE=FQ","FILING_STATUS=MR","SCALING_FORMAT=MLN","Sort=A","Dates=H","DateFormat=P","Fill=—","Direction=H","UseDPDF=Y")</f>
        <v>187</v>
      </c>
      <c r="K62" s="13">
        <f>_xll.BDH("AMGN US Equity","IS_DEPR_EXP","FQ2 2021","FQ2 2021","Currency=USD","Period=FQ","BEST_FPERIOD_OVERRIDE=FQ","FILING_STATUS=MR","SCALING_FORMAT=MLN","Sort=A","Dates=H","DateFormat=P","Fill=—","Direction=H","UseDPDF=Y")</f>
        <v>203</v>
      </c>
      <c r="L62" s="13">
        <f>_xll.BDH("AMGN US Equity","IS_DEPR_EXP","FQ3 2021","FQ3 2021","Currency=USD","Period=FQ","BEST_FPERIOD_OVERRIDE=FQ","FILING_STATUS=MR","SCALING_FORMAT=MLN","Sort=A","Dates=H","DateFormat=P","Fill=—","Direction=H","UseDPDF=Y")</f>
        <v>208</v>
      </c>
      <c r="M62" s="13">
        <f>_xll.BDH("AMGN US Equity","IS_DEPR_EXP","FQ4 2021","FQ4 2021","Currency=USD","Period=FQ","BEST_FPERIOD_OVERRIDE=FQ","FILING_STATUS=MR","SCALING_FORMAT=MLN","Sort=A","Dates=H","DateFormat=P","Fill=—","Direction=H","UseDPDF=Y")</f>
        <v>187</v>
      </c>
      <c r="N62" s="13">
        <f>_xll.BDH("AMGN US Equity","IS_DEPR_EXP","FQ1 2022","FQ1 2022","Currency=USD","Period=FQ","BEST_FPERIOD_OVERRIDE=FQ","FILING_STATUS=MR","SCALING_FORMAT=MLN","Sort=A","Dates=H","DateFormat=P","Fill=—","Direction=H","UseDPDF=Y")</f>
        <v>204</v>
      </c>
      <c r="O62" s="13">
        <f>_xll.BDH("AMGN US Equity","IS_DEPR_EXP","FQ2 2022","FQ2 2022","Currency=USD","Period=FQ","BEST_FPERIOD_OVERRIDE=FQ","FILING_STATUS=MR","SCALING_FORMAT=MLN","Sort=A","Dates=H","DateFormat=P","Fill=—","Direction=H","UseDPDF=Y")</f>
        <v>199</v>
      </c>
      <c r="P62" s="13">
        <f>_xll.BDH("AMGN US Equity","IS_DEPR_EXP","FQ3 2022","FQ3 2022","Currency=USD","Period=FQ","BEST_FPERIOD_OVERRIDE=FQ","FILING_STATUS=MR","SCALING_FORMAT=MLN","Sort=A","Dates=H","DateFormat=P","Fill=—","Direction=H","UseDPDF=Y")</f>
        <v>209</v>
      </c>
      <c r="Q62" s="13">
        <f>_xll.BDH("AMGN US Equity","IS_DEPR_EXP","FQ4 2022","FQ4 2022","Currency=USD","Period=FQ","BEST_FPERIOD_OVERRIDE=FQ","FILING_STATUS=MR","SCALING_FORMAT=MLN","Sort=A","Dates=H","DateFormat=P","Fill=—","Direction=H","UseDPDF=Y")</f>
        <v>49</v>
      </c>
      <c r="R62" s="13">
        <f>_xll.BDH("AMGN US Equity","IS_DEPR_EXP","FQ1 2023","FQ1 2023","Currency=USD","Period=FQ","BEST_FPERIOD_OVERRIDE=FQ","FILING_STATUS=MR","SCALING_FORMAT=MLN","Sort=A","Dates=H","DateFormat=P","Fill=—","Direction=H","UseDPDF=Y")</f>
        <v>207</v>
      </c>
      <c r="S62" s="13">
        <f>_xll.BDH("AMGN US Equity","IS_DEPR_EXP","FQ2 2023","FQ2 2023","Currency=USD","Period=FQ","BEST_FPERIOD_OVERRIDE=FQ","FILING_STATUS=MR","SCALING_FORMAT=MLN","Sort=A","Dates=H","DateFormat=P","Fill=—","Direction=H","UseDPDF=Y")</f>
        <v>164</v>
      </c>
      <c r="T62" s="13">
        <f>_xll.BDH("AMGN US Equity","IS_DEPR_EXP","FQ3 2023","FQ3 2023","Currency=USD","Period=FQ","BEST_FPERIOD_OVERRIDE=FQ","FILING_STATUS=MR","SCALING_FORMAT=MLN","Sort=A","Dates=H","DateFormat=P","Fill=—","Direction=H","UseDPDF=Y")</f>
        <v>202</v>
      </c>
      <c r="U62" s="13">
        <f>_xll.BDH("AMGN US Equity","IS_DEPR_EXP","FQ4 2023","FQ4 2023","Currency=USD","Period=FQ","BEST_FPERIOD_OVERRIDE=FQ","FILING_STATUS=MR","SCALING_FORMAT=MLN","Sort=A","Dates=H","DateFormat=P","Fill=—","Direction=H","UseDPDF=Y")</f>
        <v>94</v>
      </c>
      <c r="V62" s="13">
        <f>_xll.BDH("AMGN US Equity","IS_DEPR_EXP","FQ1 2024","FQ1 2024","Currency=USD","Period=FQ","BEST_FPERIOD_OVERRIDE=FQ","FILING_STATUS=MR","SCALING_FORMAT=MLN","Sort=A","Dates=H","DateFormat=P","Fill=—","Direction=H","UseDPDF=Y")</f>
        <v>199</v>
      </c>
      <c r="W62" s="13">
        <f>_xll.BDH("AMGN US Equity","IS_DEPR_EXP","FQ2 2024","FQ2 2024","Currency=USD","Period=FQ","BEST_FPERIOD_OVERRIDE=FQ","FILING_STATUS=MR","SCALING_FORMAT=MLN","Sort=A","Dates=H","DateFormat=P","Fill=—","Direction=H","UseDPDF=Y")</f>
        <v>200</v>
      </c>
      <c r="X62" s="13">
        <f>_xll.BDH("AMGN US Equity","IS_DEPR_EXP","FQ3 2024","FQ3 2024","Currency=USD","Period=FQ","BEST_FPERIOD_OVERRIDE=FQ","FILING_STATUS=MR","SCALING_FORMAT=MLN","Sort=A","Dates=H","DateFormat=P","Fill=—","Direction=H","UseDPDF=Y")</f>
        <v>196</v>
      </c>
      <c r="Y62" s="13">
        <f>_xll.BDH("AMGN US Equity","IS_DEPR_EXP","FQ4 2024","FQ4 2024","Currency=USD","Period=FQ","BEST_FPERIOD_OVERRIDE=FQ","FILING_STATUS=MR","SCALING_FORMAT=MLN","Sort=A","Dates=H","DateFormat=P","Fill=—","Direction=H","UseDPDF=Y")</f>
        <v>99</v>
      </c>
      <c r="Z62" s="13"/>
      <c r="AA62" s="13"/>
    </row>
    <row r="63" spans="1:27" x14ac:dyDescent="0.25">
      <c r="A63" s="10" t="s">
        <v>404</v>
      </c>
      <c r="B63" s="10" t="s">
        <v>405</v>
      </c>
      <c r="C63" s="13">
        <f>_xll.BDH("AMGN US Equity","BS_CURR_RENTAL_EXPENSE","FQ2 2019","FQ2 2019","Currency=USD","Period=FQ","BEST_FPERIOD_OVERRIDE=FQ","FILING_STATUS=MR","SCALING_FORMAT=MLN","Sort=A","Dates=H","DateFormat=P","Fill=—","Direction=H","UseDPDF=Y")</f>
        <v>42</v>
      </c>
      <c r="D63" s="13">
        <f>_xll.BDH("AMGN US Equity","BS_CURR_RENTAL_EXPENSE","FQ3 2019","FQ3 2019","Currency=USD","Period=FQ","BEST_FPERIOD_OVERRIDE=FQ","FILING_STATUS=MR","SCALING_FORMAT=MLN","Sort=A","Dates=H","DateFormat=P","Fill=—","Direction=H","UseDPDF=Y")</f>
        <v>42</v>
      </c>
      <c r="E63" s="13">
        <f>_xll.BDH("AMGN US Equity","BS_CURR_RENTAL_EXPENSE","FQ4 2019","FQ4 2019","Currency=USD","Period=FQ","BEST_FPERIOD_OVERRIDE=FQ","FILING_STATUS=MR","SCALING_FORMAT=MLN","Sort=A","Dates=H","DateFormat=P","Fill=—","Direction=H","UseDPDF=Y")</f>
        <v>47</v>
      </c>
      <c r="F63" s="13" t="str">
        <f>_xll.BDH("AMGN US Equity","BS_CURR_RENTAL_EXPENSE","FQ1 2020","FQ1 2020","Currency=USD","Period=FQ","BEST_FPERIOD_OVERRIDE=FQ","FILING_STATUS=MR","SCALING_FORMAT=MLN","Sort=A","Dates=H","DateFormat=P","Fill=—","Direction=H","UseDPDF=Y")</f>
        <v>—</v>
      </c>
      <c r="G63" s="13" t="str">
        <f>_xll.BDH("AMGN US Equity","BS_CURR_RENTAL_EXPENSE","FQ2 2020","FQ2 2020","Currency=USD","Period=FQ","BEST_FPERIOD_OVERRIDE=FQ","FILING_STATUS=MR","SCALING_FORMAT=MLN","Sort=A","Dates=H","DateFormat=P","Fill=—","Direction=H","UseDPDF=Y")</f>
        <v>—</v>
      </c>
      <c r="H63" s="13" t="str">
        <f>_xll.BDH("AMGN US Equity","BS_CURR_RENTAL_EXPENSE","FQ3 2020","FQ3 2020","Currency=USD","Period=FQ","BEST_FPERIOD_OVERRIDE=FQ","FILING_STATUS=MR","SCALING_FORMAT=MLN","Sort=A","Dates=H","DateFormat=P","Fill=—","Direction=H","UseDPDF=Y")</f>
        <v>—</v>
      </c>
      <c r="I63" s="13" t="str">
        <f>_xll.BDH("AMGN US Equity","BS_CURR_RENTAL_EXPENSE","FQ4 2020","FQ4 2020","Currency=USD","Period=FQ","BEST_FPERIOD_OVERRIDE=FQ","FILING_STATUS=MR","SCALING_FORMAT=MLN","Sort=A","Dates=H","DateFormat=P","Fill=—","Direction=H","UseDPDF=Y")</f>
        <v>—</v>
      </c>
      <c r="J63" s="13" t="str">
        <f>_xll.BDH("AMGN US Equity","BS_CURR_RENTAL_EXPENSE","FQ1 2021","FQ1 2021","Currency=USD","Period=FQ","BEST_FPERIOD_OVERRIDE=FQ","FILING_STATUS=MR","SCALING_FORMAT=MLN","Sort=A","Dates=H","DateFormat=P","Fill=—","Direction=H","UseDPDF=Y")</f>
        <v>—</v>
      </c>
      <c r="K63" s="13" t="str">
        <f>_xll.BDH("AMGN US Equity","BS_CURR_RENTAL_EXPENSE","FQ2 2021","FQ2 2021","Currency=USD","Period=FQ","BEST_FPERIOD_OVERRIDE=FQ","FILING_STATUS=MR","SCALING_FORMAT=MLN","Sort=A","Dates=H","DateFormat=P","Fill=—","Direction=H","UseDPDF=Y")</f>
        <v>—</v>
      </c>
      <c r="L63" s="13" t="str">
        <f>_xll.BDH("AMGN US Equity","BS_CURR_RENTAL_EXPENSE","FQ3 2021","FQ3 2021","Currency=USD","Period=FQ","BEST_FPERIOD_OVERRIDE=FQ","FILING_STATUS=MR","SCALING_FORMAT=MLN","Sort=A","Dates=H","DateFormat=P","Fill=—","Direction=H","UseDPDF=Y")</f>
        <v>—</v>
      </c>
      <c r="M63" s="13" t="str">
        <f>_xll.BDH("AMGN US Equity","BS_CURR_RENTAL_EXPENSE","FQ4 2021","FQ4 2021","Currency=USD","Period=FQ","BEST_FPERIOD_OVERRIDE=FQ","FILING_STATUS=MR","SCALING_FORMAT=MLN","Sort=A","Dates=H","DateFormat=P","Fill=—","Direction=H","UseDPDF=Y")</f>
        <v>—</v>
      </c>
      <c r="N63" s="13" t="str">
        <f>_xll.BDH("AMGN US Equity","BS_CURR_RENTAL_EXPENSE","FQ1 2022","FQ1 2022","Currency=USD","Period=FQ","BEST_FPERIOD_OVERRIDE=FQ","FILING_STATUS=MR","SCALING_FORMAT=MLN","Sort=A","Dates=H","DateFormat=P","Fill=—","Direction=H","UseDPDF=Y")</f>
        <v>—</v>
      </c>
      <c r="O63" s="13" t="str">
        <f>_xll.BDH("AMGN US Equity","BS_CURR_RENTAL_EXPENSE","FQ2 2022","FQ2 2022","Currency=USD","Period=FQ","BEST_FPERIOD_OVERRIDE=FQ","FILING_STATUS=MR","SCALING_FORMAT=MLN","Sort=A","Dates=H","DateFormat=P","Fill=—","Direction=H","UseDPDF=Y")</f>
        <v>—</v>
      </c>
      <c r="P63" s="13" t="str">
        <f>_xll.BDH("AMGN US Equity","BS_CURR_RENTAL_EXPENSE","FQ3 2022","FQ3 2022","Currency=USD","Period=FQ","BEST_FPERIOD_OVERRIDE=FQ","FILING_STATUS=MR","SCALING_FORMAT=MLN","Sort=A","Dates=H","DateFormat=P","Fill=—","Direction=H","UseDPDF=Y")</f>
        <v>—</v>
      </c>
      <c r="Q63" s="13" t="str">
        <f>_xll.BDH("AMGN US Equity","BS_CURR_RENTAL_EXPENSE","FQ4 2022","FQ4 2022","Currency=USD","Period=FQ","BEST_FPERIOD_OVERRIDE=FQ","FILING_STATUS=MR","SCALING_FORMAT=MLN","Sort=A","Dates=H","DateFormat=P","Fill=—","Direction=H","UseDPDF=Y")</f>
        <v>—</v>
      </c>
      <c r="R63" s="13" t="str">
        <f>_xll.BDH("AMGN US Equity","BS_CURR_RENTAL_EXPENSE","FQ1 2023","FQ1 2023","Currency=USD","Period=FQ","BEST_FPERIOD_OVERRIDE=FQ","FILING_STATUS=MR","SCALING_FORMAT=MLN","Sort=A","Dates=H","DateFormat=P","Fill=—","Direction=H","UseDPDF=Y")</f>
        <v>—</v>
      </c>
      <c r="S63" s="13" t="str">
        <f>_xll.BDH("AMGN US Equity","BS_CURR_RENTAL_EXPENSE","FQ2 2023","FQ2 2023","Currency=USD","Period=FQ","BEST_FPERIOD_OVERRIDE=FQ","FILING_STATUS=MR","SCALING_FORMAT=MLN","Sort=A","Dates=H","DateFormat=P","Fill=—","Direction=H","UseDPDF=Y")</f>
        <v>—</v>
      </c>
      <c r="T63" s="13" t="str">
        <f>_xll.BDH("AMGN US Equity","BS_CURR_RENTAL_EXPENSE","FQ3 2023","FQ3 2023","Currency=USD","Period=FQ","BEST_FPERIOD_OVERRIDE=FQ","FILING_STATUS=MR","SCALING_FORMAT=MLN","Sort=A","Dates=H","DateFormat=P","Fill=—","Direction=H","UseDPDF=Y")</f>
        <v>—</v>
      </c>
      <c r="U63" s="13" t="str">
        <f>_xll.BDH("AMGN US Equity","BS_CURR_RENTAL_EXPENSE","FQ4 2023","FQ4 2023","Currency=USD","Period=FQ","BEST_FPERIOD_OVERRIDE=FQ","FILING_STATUS=MR","SCALING_FORMAT=MLN","Sort=A","Dates=H","DateFormat=P","Fill=—","Direction=H","UseDPDF=Y")</f>
        <v>—</v>
      </c>
      <c r="V63" s="13" t="str">
        <f>_xll.BDH("AMGN US Equity","BS_CURR_RENTAL_EXPENSE","FQ1 2024","FQ1 2024","Currency=USD","Period=FQ","BEST_FPERIOD_OVERRIDE=FQ","FILING_STATUS=MR","SCALING_FORMAT=MLN","Sort=A","Dates=H","DateFormat=P","Fill=—","Direction=H","UseDPDF=Y")</f>
        <v>—</v>
      </c>
      <c r="W63" s="13" t="str">
        <f>_xll.BDH("AMGN US Equity","BS_CURR_RENTAL_EXPENSE","FQ2 2024","FQ2 2024","Currency=USD","Period=FQ","BEST_FPERIOD_OVERRIDE=FQ","FILING_STATUS=MR","SCALING_FORMAT=MLN","Sort=A","Dates=H","DateFormat=P","Fill=—","Direction=H","UseDPDF=Y")</f>
        <v>—</v>
      </c>
      <c r="X63" s="13" t="str">
        <f>_xll.BDH("AMGN US Equity","BS_CURR_RENTAL_EXPENSE","FQ3 2024","FQ3 2024","Currency=USD","Period=FQ","BEST_FPERIOD_OVERRIDE=FQ","FILING_STATUS=MR","SCALING_FORMAT=MLN","Sort=A","Dates=H","DateFormat=P","Fill=—","Direction=H","UseDPDF=Y")</f>
        <v>—</v>
      </c>
      <c r="Y63" s="13" t="str">
        <f>_xll.BDH("AMGN US Equity","BS_CURR_RENTAL_EXPENSE","FQ4 2024","FQ4 2024","Currency=USD","Period=FQ","BEST_FPERIOD_OVERRIDE=FQ","FILING_STATUS=MR","SCALING_FORMAT=MLN","Sort=A","Dates=H","DateFormat=P","Fill=—","Direction=H","UseDPDF=Y")</f>
        <v>—</v>
      </c>
      <c r="Z63" s="13"/>
      <c r="AA63" s="13"/>
    </row>
    <row r="64" spans="1:27" x14ac:dyDescent="0.25">
      <c r="A64" s="7" t="s">
        <v>90</v>
      </c>
      <c r="B64" s="7"/>
      <c r="C64" s="7" t="s">
        <v>5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07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412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413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414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415</v>
      </c>
      <c r="B8" s="10" t="s">
        <v>416</v>
      </c>
      <c r="C8" s="13">
        <f>_xll.BDH("AMGN US Equity","ARD_OTHER_REV","FQ4 2018","FQ4 2018","Currency=USD","Period=FQ","BEST_FPERIOD_OVERRIDE=FQ","FILING_STATUS=MR","SCALING_FORMAT=MLN","Sort=A","Dates=H","DateFormat=P","Fill=—","Direction=H","UseDPDF=Y")</f>
        <v>229</v>
      </c>
      <c r="D8" s="13">
        <f>_xll.BDH("AMGN US Equity","ARD_OTHER_REV","FQ1 2019","FQ1 2019","Currency=USD","Period=FQ","BEST_FPERIOD_OVERRIDE=FQ","FILING_STATUS=MR","SCALING_FORMAT=MLN","Sort=A","Dates=H","DateFormat=P","Fill=—","Direction=H","UseDPDF=Y")</f>
        <v>271</v>
      </c>
      <c r="E8" s="13">
        <f>_xll.BDH("AMGN US Equity","ARD_OTHER_REV","FQ2 2019","FQ2 2019","Currency=USD","Period=FQ","BEST_FPERIOD_OVERRIDE=FQ","FILING_STATUS=MR","SCALING_FORMAT=MLN","Sort=A","Dates=H","DateFormat=P","Fill=—","Direction=H","UseDPDF=Y")</f>
        <v>297</v>
      </c>
      <c r="F8" s="13">
        <f>_xll.BDH("AMGN US Equity","ARD_OTHER_REV","FQ3 2019","FQ3 2019","Currency=USD","Period=FQ","BEST_FPERIOD_OVERRIDE=FQ","FILING_STATUS=MR","SCALING_FORMAT=MLN","Sort=A","Dates=H","DateFormat=P","Fill=—","Direction=H","UseDPDF=Y")</f>
        <v>274</v>
      </c>
      <c r="G8" s="13">
        <f>_xll.BDH("AMGN US Equity","ARD_OTHER_REV","FQ4 2019","FQ4 2019","Currency=USD","Period=FQ","BEST_FPERIOD_OVERRIDE=FQ","FILING_STATUS=MR","SCALING_FORMAT=MLN","Sort=A","Dates=H","DateFormat=P","Fill=—","Direction=H","UseDPDF=Y")</f>
        <v>316</v>
      </c>
      <c r="H8" s="13">
        <f>_xll.BDH("AMGN US Equity","ARD_OTHER_REV","FQ1 2020","FQ1 2020","Currency=USD","Period=FQ","BEST_FPERIOD_OVERRIDE=FQ","FILING_STATUS=MR","SCALING_FORMAT=MLN","Sort=A","Dates=H","DateFormat=P","Fill=—","Direction=H","UseDPDF=Y")</f>
        <v>267</v>
      </c>
      <c r="I8" s="13">
        <f>_xll.BDH("AMGN US Equity","ARD_OTHER_REV","FQ2 2020","FQ2 2020","Currency=USD","Period=FQ","BEST_FPERIOD_OVERRIDE=FQ","FILING_STATUS=MR","SCALING_FORMAT=MLN","Sort=A","Dates=H","DateFormat=P","Fill=—","Direction=H","UseDPDF=Y")</f>
        <v>298</v>
      </c>
      <c r="J8" s="13">
        <f>_xll.BDH("AMGN US Equity","ARD_OTHER_REV","FQ3 2020","FQ3 2020","Currency=USD","Period=FQ","BEST_FPERIOD_OVERRIDE=FQ","FILING_STATUS=MR","SCALING_FORMAT=MLN","Sort=A","Dates=H","DateFormat=P","Fill=—","Direction=H","UseDPDF=Y")</f>
        <v>319</v>
      </c>
      <c r="K8" s="13">
        <f>_xll.BDH("AMGN US Equity","ARD_OTHER_REV","FQ4 2020","FQ4 2020","Currency=USD","Period=FQ","BEST_FPERIOD_OVERRIDE=FQ","FILING_STATUS=MR","SCALING_FORMAT=MLN","Sort=A","Dates=H","DateFormat=P","Fill=—","Direction=H","UseDPDF=Y")</f>
        <v>300</v>
      </c>
      <c r="L8" s="13">
        <f>_xll.BDH("AMGN US Equity","ARD_OTHER_REV","FQ1 2021","FQ1 2021","Currency=USD","Period=FQ","BEST_FPERIOD_OVERRIDE=FQ","FILING_STATUS=MR","SCALING_FORMAT=MLN","Sort=A","Dates=H","DateFormat=P","Fill=—","Direction=H","UseDPDF=Y")</f>
        <v>309</v>
      </c>
      <c r="M8" s="13">
        <f>_xll.BDH("AMGN US Equity","ARD_OTHER_REV","FQ2 2021","FQ2 2021","Currency=USD","Period=FQ","BEST_FPERIOD_OVERRIDE=FQ","FILING_STATUS=MR","SCALING_FORMAT=MLN","Sort=A","Dates=H","DateFormat=P","Fill=—","Direction=H","UseDPDF=Y")</f>
        <v>412</v>
      </c>
      <c r="N8" s="13">
        <f>_xll.BDH("AMGN US Equity","ARD_OTHER_REV","FQ3 2021","FQ3 2021","Currency=USD","Period=FQ","BEST_FPERIOD_OVERRIDE=FQ","FILING_STATUS=MR","SCALING_FORMAT=MLN","Sort=A","Dates=H","DateFormat=P","Fill=—","Direction=H","UseDPDF=Y")</f>
        <v>386</v>
      </c>
      <c r="O8" s="13">
        <f>_xll.BDH("AMGN US Equity","ARD_OTHER_REV","FQ4 2021","FQ4 2021","Currency=USD","Period=FQ","BEST_FPERIOD_OVERRIDE=FQ","FILING_STATUS=MR","SCALING_FORMAT=MLN","Sort=A","Dates=H","DateFormat=P","Fill=—","Direction=H","UseDPDF=Y")</f>
        <v>575</v>
      </c>
      <c r="P8" s="13">
        <f>_xll.BDH("AMGN US Equity","ARD_OTHER_REV","FQ1 2022","FQ1 2022","Currency=USD","Period=FQ","BEST_FPERIOD_OVERRIDE=FQ","FILING_STATUS=MR","SCALING_FORMAT=MLN","Sort=A","Dates=H","DateFormat=P","Fill=—","Direction=H","UseDPDF=Y")</f>
        <v>507</v>
      </c>
      <c r="Q8" s="13">
        <f>_xll.BDH("AMGN US Equity","ARD_OTHER_REV","FQ2 2022","FQ2 2022","Currency=USD","Period=FQ","BEST_FPERIOD_OVERRIDE=FQ","FILING_STATUS=MR","SCALING_FORMAT=MLN","Sort=A","Dates=H","DateFormat=P","Fill=—","Direction=H","UseDPDF=Y")</f>
        <v>313</v>
      </c>
      <c r="R8" s="13">
        <f>_xll.BDH("AMGN US Equity","ARD_OTHER_REV","FQ3 2022","FQ3 2022","Currency=USD","Period=FQ","BEST_FPERIOD_OVERRIDE=FQ","FILING_STATUS=MR","SCALING_FORMAT=MLN","Sort=A","Dates=H","DateFormat=P","Fill=—","Direction=H","UseDPDF=Y")</f>
        <v>415</v>
      </c>
      <c r="S8" s="13">
        <f>_xll.BDH("AMGN US Equity","ARD_OTHER_REV","FQ4 2022","FQ4 2022","Currency=USD","Period=FQ","BEST_FPERIOD_OVERRIDE=FQ","FILING_STATUS=MR","SCALING_FORMAT=MLN","Sort=A","Dates=H","DateFormat=P","Fill=—","Direction=H","UseDPDF=Y")</f>
        <v>287</v>
      </c>
      <c r="T8" s="13">
        <f>_xll.BDH("AMGN US Equity","ARD_OTHER_REV","FQ1 2023","FQ1 2023","Currency=USD","Period=FQ","BEST_FPERIOD_OVERRIDE=FQ","FILING_STATUS=MR","SCALING_FORMAT=MLN","Sort=A","Dates=H","DateFormat=P","Fill=—","Direction=H","UseDPDF=Y")</f>
        <v>259</v>
      </c>
      <c r="U8" s="13">
        <f>_xll.BDH("AMGN US Equity","ARD_OTHER_REV","FQ2 2023","FQ2 2023","Currency=USD","Period=FQ","BEST_FPERIOD_OVERRIDE=FQ","FILING_STATUS=MR","SCALING_FORMAT=MLN","Sort=A","Dates=H","DateFormat=P","Fill=—","Direction=H","UseDPDF=Y")</f>
        <v>303</v>
      </c>
      <c r="V8" s="13">
        <f>_xll.BDH("AMGN US Equity","ARD_OTHER_REV","FQ3 2023","FQ3 2023","Currency=USD","Period=FQ","BEST_FPERIOD_OVERRIDE=FQ","FILING_STATUS=MR","SCALING_FORMAT=MLN","Sort=A","Dates=H","DateFormat=P","Fill=—","Direction=H","UseDPDF=Y")</f>
        <v>355</v>
      </c>
      <c r="W8" s="13">
        <f>_xll.BDH("AMGN US Equity","ARD_OTHER_REV","FQ4 2023","FQ4 2023","Currency=USD","Period=FQ","BEST_FPERIOD_OVERRIDE=FQ","FILING_STATUS=MR","SCALING_FORMAT=MLN","Sort=A","Dates=H","DateFormat=P","Fill=—","Direction=H","UseDPDF=Y")</f>
        <v>363</v>
      </c>
      <c r="X8" s="13">
        <f>_xll.BDH("AMGN US Equity","ARD_OTHER_REV","FQ1 2024","FQ1 2024","Currency=USD","Period=FQ","BEST_FPERIOD_OVERRIDE=FQ","FILING_STATUS=MR","SCALING_FORMAT=MLN","Sort=A","Dates=H","DateFormat=P","Fill=—","Direction=H","UseDPDF=Y")</f>
        <v>329</v>
      </c>
      <c r="Y8" s="13">
        <f>_xll.BDH("AMGN US Equity","ARD_OTHER_REV","FQ2 2024","FQ2 2024","Currency=USD","Period=FQ","BEST_FPERIOD_OVERRIDE=FQ","FILING_STATUS=MR","SCALING_FORMAT=MLN","Sort=A","Dates=H","DateFormat=P","Fill=—","Direction=H","UseDPDF=Y")</f>
        <v>347</v>
      </c>
      <c r="Z8" s="13">
        <f>_xll.BDH("AMGN US Equity","ARD_OTHER_REV","FQ3 2024","FQ3 2024","Currency=USD","Period=FQ","BEST_FPERIOD_OVERRIDE=FQ","FILING_STATUS=MR","SCALING_FORMAT=MLN","Sort=A","Dates=H","DateFormat=P","Fill=—","Direction=H","UseDPDF=Y")</f>
        <v>352</v>
      </c>
      <c r="AA8" s="13">
        <f>_xll.BDH("AMGN US Equity","ARD_OTHER_REV","FQ4 2024","FQ4 2024","Currency=USD","Period=FQ","BEST_FPERIOD_OVERRIDE=FQ","FILING_STATUS=MR","SCALING_FORMAT=MLN","Sort=A","Dates=H","DateFormat=P","Fill=—","Direction=H","UseDPDF=Y")</f>
        <v>370</v>
      </c>
    </row>
    <row r="9" spans="1:27" x14ac:dyDescent="0.25">
      <c r="A9" s="10" t="s">
        <v>417</v>
      </c>
      <c r="B9" s="10" t="s">
        <v>418</v>
      </c>
      <c r="C9" s="13">
        <f>_xll.BDH("AMGN US Equity","ARD_PRODUCT_REVENUE","FQ4 2018","FQ4 2018","Currency=USD","Period=FQ","BEST_FPERIOD_OVERRIDE=FQ","FILING_STATUS=MR","SCALING_FORMAT=MLN","Sort=A","Dates=H","DateFormat=P","Fill=—","Direction=H","UseDPDF=Y")</f>
        <v>6001</v>
      </c>
      <c r="D9" s="13">
        <f>_xll.BDH("AMGN US Equity","ARD_PRODUCT_REVENUE","FQ1 2019","FQ1 2019","Currency=USD","Period=FQ","BEST_FPERIOD_OVERRIDE=FQ","FILING_STATUS=MR","SCALING_FORMAT=MLN","Sort=A","Dates=H","DateFormat=P","Fill=—","Direction=H","UseDPDF=Y")</f>
        <v>5286</v>
      </c>
      <c r="E9" s="13">
        <f>_xll.BDH("AMGN US Equity","ARD_PRODUCT_REVENUE","FQ2 2019","FQ2 2019","Currency=USD","Period=FQ","BEST_FPERIOD_OVERRIDE=FQ","FILING_STATUS=MR","SCALING_FORMAT=MLN","Sort=A","Dates=H","DateFormat=P","Fill=—","Direction=H","UseDPDF=Y")</f>
        <v>5574</v>
      </c>
      <c r="F9" s="13">
        <f>_xll.BDH("AMGN US Equity","ARD_PRODUCT_REVENUE","FQ3 2019","FQ3 2019","Currency=USD","Period=FQ","BEST_FPERIOD_OVERRIDE=FQ","FILING_STATUS=MR","SCALING_FORMAT=MLN","Sort=A","Dates=H","DateFormat=P","Fill=—","Direction=H","UseDPDF=Y")</f>
        <v>5463</v>
      </c>
      <c r="G9" s="13">
        <f>_xll.BDH("AMGN US Equity","ARD_PRODUCT_REVENUE","FQ4 2019","FQ4 2019","Currency=USD","Period=FQ","BEST_FPERIOD_OVERRIDE=FQ","FILING_STATUS=MR","SCALING_FORMAT=MLN","Sort=A","Dates=H","DateFormat=P","Fill=—","Direction=H","UseDPDF=Y")</f>
        <v>5881</v>
      </c>
      <c r="H9" s="13">
        <f>_xll.BDH("AMGN US Equity","ARD_PRODUCT_REVENUE","FQ1 2020","FQ1 2020","Currency=USD","Period=FQ","BEST_FPERIOD_OVERRIDE=FQ","FILING_STATUS=MR","SCALING_FORMAT=MLN","Sort=A","Dates=H","DateFormat=P","Fill=—","Direction=H","UseDPDF=Y")</f>
        <v>5894</v>
      </c>
      <c r="I9" s="13">
        <f>_xll.BDH("AMGN US Equity","ARD_PRODUCT_REVENUE","FQ2 2020","FQ2 2020","Currency=USD","Period=FQ","BEST_FPERIOD_OVERRIDE=FQ","FILING_STATUS=MR","SCALING_FORMAT=MLN","Sort=A","Dates=H","DateFormat=P","Fill=—","Direction=H","UseDPDF=Y")</f>
        <v>5908</v>
      </c>
      <c r="J9" s="13">
        <f>_xll.BDH("AMGN US Equity","ARD_PRODUCT_REVENUE","FQ3 2020","FQ3 2020","Currency=USD","Period=FQ","BEST_FPERIOD_OVERRIDE=FQ","FILING_STATUS=MR","SCALING_FORMAT=MLN","Sort=A","Dates=H","DateFormat=P","Fill=—","Direction=H","UseDPDF=Y")</f>
        <v>6104</v>
      </c>
      <c r="K9" s="13">
        <f>_xll.BDH("AMGN US Equity","ARD_PRODUCT_REVENUE","FQ4 2020","FQ4 2020","Currency=USD","Period=FQ","BEST_FPERIOD_OVERRIDE=FQ","FILING_STATUS=MR","SCALING_FORMAT=MLN","Sort=A","Dates=H","DateFormat=P","Fill=—","Direction=H","UseDPDF=Y")</f>
        <v>6334</v>
      </c>
      <c r="L9" s="13">
        <f>_xll.BDH("AMGN US Equity","ARD_PRODUCT_REVENUE","FQ1 2021","FQ1 2021","Currency=USD","Period=FQ","BEST_FPERIOD_OVERRIDE=FQ","FILING_STATUS=MR","SCALING_FORMAT=MLN","Sort=A","Dates=H","DateFormat=P","Fill=—","Direction=H","UseDPDF=Y")</f>
        <v>5592</v>
      </c>
      <c r="M9" s="13">
        <f>_xll.BDH("AMGN US Equity","ARD_PRODUCT_REVENUE","FQ2 2021","FQ2 2021","Currency=USD","Period=FQ","BEST_FPERIOD_OVERRIDE=FQ","FILING_STATUS=MR","SCALING_FORMAT=MLN","Sort=A","Dates=H","DateFormat=P","Fill=—","Direction=H","UseDPDF=Y")</f>
        <v>6114</v>
      </c>
      <c r="N9" s="13">
        <f>_xll.BDH("AMGN US Equity","ARD_PRODUCT_REVENUE","FQ3 2021","FQ3 2021","Currency=USD","Period=FQ","BEST_FPERIOD_OVERRIDE=FQ","FILING_STATUS=MR","SCALING_FORMAT=MLN","Sort=A","Dates=H","DateFormat=P","Fill=—","Direction=H","UseDPDF=Y")</f>
        <v>6320</v>
      </c>
      <c r="O9" s="13">
        <f>_xll.BDH("AMGN US Equity","ARD_PRODUCT_REVENUE","FQ4 2021","FQ4 2021","Currency=USD","Period=FQ","BEST_FPERIOD_OVERRIDE=FQ","FILING_STATUS=MR","SCALING_FORMAT=MLN","Sort=A","Dates=H","DateFormat=P","Fill=—","Direction=H","UseDPDF=Y")</f>
        <v>6271</v>
      </c>
      <c r="P9" s="13">
        <f>_xll.BDH("AMGN US Equity","ARD_PRODUCT_REVENUE","FQ1 2022","FQ1 2022","Currency=USD","Period=FQ","BEST_FPERIOD_OVERRIDE=FQ","FILING_STATUS=MR","SCALING_FORMAT=MLN","Sort=A","Dates=H","DateFormat=P","Fill=—","Direction=H","UseDPDF=Y")</f>
        <v>5731</v>
      </c>
      <c r="Q9" s="13">
        <f>_xll.BDH("AMGN US Equity","ARD_PRODUCT_REVENUE","FQ2 2022","FQ2 2022","Currency=USD","Period=FQ","BEST_FPERIOD_OVERRIDE=FQ","FILING_STATUS=MR","SCALING_FORMAT=MLN","Sort=A","Dates=H","DateFormat=P","Fill=—","Direction=H","UseDPDF=Y")</f>
        <v>6281</v>
      </c>
      <c r="R9" s="13">
        <f>_xll.BDH("AMGN US Equity","ARD_PRODUCT_REVENUE","FQ3 2022","FQ3 2022","Currency=USD","Period=FQ","BEST_FPERIOD_OVERRIDE=FQ","FILING_STATUS=MR","SCALING_FORMAT=MLN","Sort=A","Dates=H","DateFormat=P","Fill=—","Direction=H","UseDPDF=Y")</f>
        <v>6237</v>
      </c>
      <c r="S9" s="13">
        <f>_xll.BDH("AMGN US Equity","ARD_PRODUCT_REVENUE","FQ4 2022","FQ4 2022","Currency=USD","Period=FQ","BEST_FPERIOD_OVERRIDE=FQ","FILING_STATUS=MR","SCALING_FORMAT=MLN","Sort=A","Dates=H","DateFormat=P","Fill=—","Direction=H","UseDPDF=Y")</f>
        <v>6552</v>
      </c>
      <c r="T9" s="13">
        <f>_xll.BDH("AMGN US Equity","ARD_PRODUCT_REVENUE","FQ1 2023","FQ1 2023","Currency=USD","Period=FQ","BEST_FPERIOD_OVERRIDE=FQ","FILING_STATUS=MR","SCALING_FORMAT=MLN","Sort=A","Dates=H","DateFormat=P","Fill=—","Direction=H","UseDPDF=Y")</f>
        <v>5846</v>
      </c>
      <c r="U9" s="13">
        <f>_xll.BDH("AMGN US Equity","ARD_PRODUCT_REVENUE","FQ2 2023","FQ2 2023","Currency=USD","Period=FQ","BEST_FPERIOD_OVERRIDE=FQ","FILING_STATUS=MR","SCALING_FORMAT=MLN","Sort=A","Dates=H","DateFormat=P","Fill=—","Direction=H","UseDPDF=Y")</f>
        <v>6683</v>
      </c>
      <c r="V9" s="13">
        <f>_xll.BDH("AMGN US Equity","ARD_PRODUCT_REVENUE","FQ3 2023","FQ3 2023","Currency=USD","Period=FQ","BEST_FPERIOD_OVERRIDE=FQ","FILING_STATUS=MR","SCALING_FORMAT=MLN","Sort=A","Dates=H","DateFormat=P","Fill=—","Direction=H","UseDPDF=Y")</f>
        <v>6548</v>
      </c>
      <c r="W9" s="13">
        <f>_xll.BDH("AMGN US Equity","ARD_PRODUCT_REVENUE","FQ4 2023","FQ4 2023","Currency=USD","Period=FQ","BEST_FPERIOD_OVERRIDE=FQ","FILING_STATUS=MR","SCALING_FORMAT=MLN","Sort=A","Dates=H","DateFormat=P","Fill=—","Direction=H","UseDPDF=Y")</f>
        <v>7833</v>
      </c>
      <c r="X9" s="13">
        <f>_xll.BDH("AMGN US Equity","ARD_PRODUCT_REVENUE","FQ1 2024","FQ1 2024","Currency=USD","Period=FQ","BEST_FPERIOD_OVERRIDE=FQ","FILING_STATUS=MR","SCALING_FORMAT=MLN","Sort=A","Dates=H","DateFormat=P","Fill=—","Direction=H","UseDPDF=Y")</f>
        <v>7118</v>
      </c>
      <c r="Y9" s="13">
        <f>_xll.BDH("AMGN US Equity","ARD_PRODUCT_REVENUE","FQ2 2024","FQ2 2024","Currency=USD","Period=FQ","BEST_FPERIOD_OVERRIDE=FQ","FILING_STATUS=MR","SCALING_FORMAT=MLN","Sort=A","Dates=H","DateFormat=P","Fill=—","Direction=H","UseDPDF=Y")</f>
        <v>8041</v>
      </c>
      <c r="Z9" s="13">
        <f>_xll.BDH("AMGN US Equity","ARD_PRODUCT_REVENUE","FQ3 2024","FQ3 2024","Currency=USD","Period=FQ","BEST_FPERIOD_OVERRIDE=FQ","FILING_STATUS=MR","SCALING_FORMAT=MLN","Sort=A","Dates=H","DateFormat=P","Fill=—","Direction=H","UseDPDF=Y")</f>
        <v>8151</v>
      </c>
      <c r="AA9" s="13">
        <f>_xll.BDH("AMGN US Equity","ARD_PRODUCT_REVENUE","FQ4 2024","FQ4 2024","Currency=USD","Period=FQ","BEST_FPERIOD_OVERRIDE=FQ","FILING_STATUS=MR","SCALING_FORMAT=MLN","Sort=A","Dates=H","DateFormat=P","Fill=—","Direction=H","UseDPDF=Y")</f>
        <v>8716</v>
      </c>
    </row>
    <row r="10" spans="1:27" x14ac:dyDescent="0.25">
      <c r="A10" s="6" t="s">
        <v>1</v>
      </c>
      <c r="B10" s="6" t="s">
        <v>419</v>
      </c>
      <c r="C10" s="19">
        <f>_xll.BDH("AMGN US Equity","ARD_TOTAL_REVENUES","FQ4 2018","FQ4 2018","Currency=USD","Period=FQ","BEST_FPERIOD_OVERRIDE=FQ","FILING_STATUS=MR","SCALING_FORMAT=MLN","Sort=A","Dates=H","DateFormat=P","Fill=—","Direction=H","UseDPDF=Y")</f>
        <v>6230</v>
      </c>
      <c r="D10" s="19">
        <f>_xll.BDH("AMGN US Equity","ARD_TOTAL_REVENUES","FQ1 2019","FQ1 2019","Currency=USD","Period=FQ","BEST_FPERIOD_OVERRIDE=FQ","FILING_STATUS=MR","SCALING_FORMAT=MLN","Sort=A","Dates=H","DateFormat=P","Fill=—","Direction=H","UseDPDF=Y")</f>
        <v>5557</v>
      </c>
      <c r="E10" s="19">
        <f>_xll.BDH("AMGN US Equity","ARD_TOTAL_REVENUES","FQ2 2019","FQ2 2019","Currency=USD","Period=FQ","BEST_FPERIOD_OVERRIDE=FQ","FILING_STATUS=MR","SCALING_FORMAT=MLN","Sort=A","Dates=H","DateFormat=P","Fill=—","Direction=H","UseDPDF=Y")</f>
        <v>5871</v>
      </c>
      <c r="F10" s="19">
        <f>_xll.BDH("AMGN US Equity","ARD_TOTAL_REVENUES","FQ3 2019","FQ3 2019","Currency=USD","Period=FQ","BEST_FPERIOD_OVERRIDE=FQ","FILING_STATUS=MR","SCALING_FORMAT=MLN","Sort=A","Dates=H","DateFormat=P","Fill=—","Direction=H","UseDPDF=Y")</f>
        <v>5737</v>
      </c>
      <c r="G10" s="19">
        <f>_xll.BDH("AMGN US Equity","ARD_TOTAL_REVENUES","FQ4 2019","FQ4 2019","Currency=USD","Period=FQ","BEST_FPERIOD_OVERRIDE=FQ","FILING_STATUS=MR","SCALING_FORMAT=MLN","Sort=A","Dates=H","DateFormat=P","Fill=—","Direction=H","UseDPDF=Y")</f>
        <v>6197</v>
      </c>
      <c r="H10" s="19">
        <f>_xll.BDH("AMGN US Equity","ARD_TOTAL_REVENUES","FQ1 2020","FQ1 2020","Currency=USD","Period=FQ","BEST_FPERIOD_OVERRIDE=FQ","FILING_STATUS=MR","SCALING_FORMAT=MLN","Sort=A","Dates=H","DateFormat=P","Fill=—","Direction=H","UseDPDF=Y")</f>
        <v>6161</v>
      </c>
      <c r="I10" s="19">
        <f>_xll.BDH("AMGN US Equity","ARD_TOTAL_REVENUES","FQ2 2020","FQ2 2020","Currency=USD","Period=FQ","BEST_FPERIOD_OVERRIDE=FQ","FILING_STATUS=MR","SCALING_FORMAT=MLN","Sort=A","Dates=H","DateFormat=P","Fill=—","Direction=H","UseDPDF=Y")</f>
        <v>6206</v>
      </c>
      <c r="J10" s="19">
        <f>_xll.BDH("AMGN US Equity","ARD_TOTAL_REVENUES","FQ3 2020","FQ3 2020","Currency=USD","Period=FQ","BEST_FPERIOD_OVERRIDE=FQ","FILING_STATUS=MR","SCALING_FORMAT=MLN","Sort=A","Dates=H","DateFormat=P","Fill=—","Direction=H","UseDPDF=Y")</f>
        <v>6423</v>
      </c>
      <c r="K10" s="19">
        <f>_xll.BDH("AMGN US Equity","ARD_TOTAL_REVENUES","FQ4 2020","FQ4 2020","Currency=USD","Period=FQ","BEST_FPERIOD_OVERRIDE=FQ","FILING_STATUS=MR","SCALING_FORMAT=MLN","Sort=A","Dates=H","DateFormat=P","Fill=—","Direction=H","UseDPDF=Y")</f>
        <v>6634</v>
      </c>
      <c r="L10" s="19">
        <f>_xll.BDH("AMGN US Equity","ARD_TOTAL_REVENUES","FQ1 2021","FQ1 2021","Currency=USD","Period=FQ","BEST_FPERIOD_OVERRIDE=FQ","FILING_STATUS=MR","SCALING_FORMAT=MLN","Sort=A","Dates=H","DateFormat=P","Fill=—","Direction=H","UseDPDF=Y")</f>
        <v>5901</v>
      </c>
      <c r="M10" s="19">
        <f>_xll.BDH("AMGN US Equity","ARD_TOTAL_REVENUES","FQ2 2021","FQ2 2021","Currency=USD","Period=FQ","BEST_FPERIOD_OVERRIDE=FQ","FILING_STATUS=MR","SCALING_FORMAT=MLN","Sort=A","Dates=H","DateFormat=P","Fill=—","Direction=H","UseDPDF=Y")</f>
        <v>6526</v>
      </c>
      <c r="N10" s="19">
        <f>_xll.BDH("AMGN US Equity","ARD_TOTAL_REVENUES","FQ3 2021","FQ3 2021","Currency=USD","Period=FQ","BEST_FPERIOD_OVERRIDE=FQ","FILING_STATUS=MR","SCALING_FORMAT=MLN","Sort=A","Dates=H","DateFormat=P","Fill=—","Direction=H","UseDPDF=Y")</f>
        <v>6706</v>
      </c>
      <c r="O10" s="19">
        <f>_xll.BDH("AMGN US Equity","ARD_TOTAL_REVENUES","FQ4 2021","FQ4 2021","Currency=USD","Period=FQ","BEST_FPERIOD_OVERRIDE=FQ","FILING_STATUS=MR","SCALING_FORMAT=MLN","Sort=A","Dates=H","DateFormat=P","Fill=—","Direction=H","UseDPDF=Y")</f>
        <v>6846</v>
      </c>
      <c r="P10" s="19">
        <f>_xll.BDH("AMGN US Equity","ARD_TOTAL_REVENUES","FQ1 2022","FQ1 2022","Currency=USD","Period=FQ","BEST_FPERIOD_OVERRIDE=FQ","FILING_STATUS=MR","SCALING_FORMAT=MLN","Sort=A","Dates=H","DateFormat=P","Fill=—","Direction=H","UseDPDF=Y")</f>
        <v>6238</v>
      </c>
      <c r="Q10" s="19">
        <f>_xll.BDH("AMGN US Equity","ARD_TOTAL_REVENUES","FQ2 2022","FQ2 2022","Currency=USD","Period=FQ","BEST_FPERIOD_OVERRIDE=FQ","FILING_STATUS=MR","SCALING_FORMAT=MLN","Sort=A","Dates=H","DateFormat=P","Fill=—","Direction=H","UseDPDF=Y")</f>
        <v>6594</v>
      </c>
      <c r="R10" s="19">
        <f>_xll.BDH("AMGN US Equity","ARD_TOTAL_REVENUES","FQ3 2022","FQ3 2022","Currency=USD","Period=FQ","BEST_FPERIOD_OVERRIDE=FQ","FILING_STATUS=MR","SCALING_FORMAT=MLN","Sort=A","Dates=H","DateFormat=P","Fill=—","Direction=H","UseDPDF=Y")</f>
        <v>6652</v>
      </c>
      <c r="S10" s="19">
        <f>_xll.BDH("AMGN US Equity","ARD_TOTAL_REVENUES","FQ4 2022","FQ4 2022","Currency=USD","Period=FQ","BEST_FPERIOD_OVERRIDE=FQ","FILING_STATUS=MR","SCALING_FORMAT=MLN","Sort=A","Dates=H","DateFormat=P","Fill=—","Direction=H","UseDPDF=Y")</f>
        <v>6839</v>
      </c>
      <c r="T10" s="19">
        <f>_xll.BDH("AMGN US Equity","ARD_TOTAL_REVENUES","FQ1 2023","FQ1 2023","Currency=USD","Period=FQ","BEST_FPERIOD_OVERRIDE=FQ","FILING_STATUS=MR","SCALING_FORMAT=MLN","Sort=A","Dates=H","DateFormat=P","Fill=—","Direction=H","UseDPDF=Y")</f>
        <v>6105</v>
      </c>
      <c r="U10" s="19">
        <f>_xll.BDH("AMGN US Equity","ARD_TOTAL_REVENUES","FQ2 2023","FQ2 2023","Currency=USD","Period=FQ","BEST_FPERIOD_OVERRIDE=FQ","FILING_STATUS=MR","SCALING_FORMAT=MLN","Sort=A","Dates=H","DateFormat=P","Fill=—","Direction=H","UseDPDF=Y")</f>
        <v>6986</v>
      </c>
      <c r="V10" s="19">
        <f>_xll.BDH("AMGN US Equity","ARD_TOTAL_REVENUES","FQ3 2023","FQ3 2023","Currency=USD","Period=FQ","BEST_FPERIOD_OVERRIDE=FQ","FILING_STATUS=MR","SCALING_FORMAT=MLN","Sort=A","Dates=H","DateFormat=P","Fill=—","Direction=H","UseDPDF=Y")</f>
        <v>6903</v>
      </c>
      <c r="W10" s="19">
        <f>_xll.BDH("AMGN US Equity","ARD_TOTAL_REVENUES","FQ4 2023","FQ4 2023","Currency=USD","Period=FQ","BEST_FPERIOD_OVERRIDE=FQ","FILING_STATUS=MR","SCALING_FORMAT=MLN","Sort=A","Dates=H","DateFormat=P","Fill=—","Direction=H","UseDPDF=Y")</f>
        <v>8196</v>
      </c>
      <c r="X10" s="19">
        <f>_xll.BDH("AMGN US Equity","ARD_TOTAL_REVENUES","FQ1 2024","FQ1 2024","Currency=USD","Period=FQ","BEST_FPERIOD_OVERRIDE=FQ","FILING_STATUS=MR","SCALING_FORMAT=MLN","Sort=A","Dates=H","DateFormat=P","Fill=—","Direction=H","UseDPDF=Y")</f>
        <v>7447</v>
      </c>
      <c r="Y10" s="19">
        <f>_xll.BDH("AMGN US Equity","ARD_TOTAL_REVENUES","FQ2 2024","FQ2 2024","Currency=USD","Period=FQ","BEST_FPERIOD_OVERRIDE=FQ","FILING_STATUS=MR","SCALING_FORMAT=MLN","Sort=A","Dates=H","DateFormat=P","Fill=—","Direction=H","UseDPDF=Y")</f>
        <v>8388</v>
      </c>
      <c r="Z10" s="19">
        <f>_xll.BDH("AMGN US Equity","ARD_TOTAL_REVENUES","FQ3 2024","FQ3 2024","Currency=USD","Period=FQ","BEST_FPERIOD_OVERRIDE=FQ","FILING_STATUS=MR","SCALING_FORMAT=MLN","Sort=A","Dates=H","DateFormat=P","Fill=—","Direction=H","UseDPDF=Y")</f>
        <v>8503</v>
      </c>
      <c r="AA10" s="19">
        <f>_xll.BDH("AMGN US Equity","ARD_TOTAL_REVENUES","FQ4 2024","FQ4 2024","Currency=USD","Period=FQ","BEST_FPERIOD_OVERRIDE=FQ","FILING_STATUS=MR","SCALING_FORMAT=MLN","Sort=A","Dates=H","DateFormat=P","Fill=—","Direction=H","UseDPDF=Y")</f>
        <v>9086</v>
      </c>
    </row>
    <row r="11" spans="1:27" x14ac:dyDescent="0.25">
      <c r="A11" s="10" t="s">
        <v>420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10" t="s">
        <v>421</v>
      </c>
      <c r="B12" s="10" t="s">
        <v>422</v>
      </c>
      <c r="C12" s="13">
        <f>_xll.BDH("AMGN US Equity","ARD_TOTAL_OPERATING_EXPENSES","FQ4 2018","FQ4 2018","Currency=USD","Period=FQ","BEST_FPERIOD_OVERRIDE=FQ","FILING_STATUS=MR","SCALING_FORMAT=MLN","Sort=A","Dates=H","DateFormat=P","Fill=—","Direction=H","UseDPDF=Y")</f>
        <v>3848</v>
      </c>
      <c r="D12" s="13">
        <f>_xll.BDH("AMGN US Equity","ARD_TOTAL_OPERATING_EXPENSES","FQ1 2019","FQ1 2019","Currency=USD","Period=FQ","BEST_FPERIOD_OVERRIDE=FQ","FILING_STATUS=MR","SCALING_FORMAT=MLN","Sort=A","Dates=H","DateFormat=P","Fill=—","Direction=H","UseDPDF=Y")</f>
        <v>3085</v>
      </c>
      <c r="E12" s="13">
        <f>_xll.BDH("AMGN US Equity","ARD_TOTAL_OPERATING_EXPENSES","FQ2 2019","FQ2 2019","Currency=USD","Period=FQ","BEST_FPERIOD_OVERRIDE=FQ","FILING_STATUS=MR","SCALING_FORMAT=MLN","Sort=A","Dates=H","DateFormat=P","Fill=—","Direction=H","UseDPDF=Y")</f>
        <v>3193</v>
      </c>
      <c r="F12" s="13">
        <f>_xll.BDH("AMGN US Equity","ARD_TOTAL_OPERATING_EXPENSES","FQ3 2019","FQ3 2019","Currency=USD","Period=FQ","BEST_FPERIOD_OVERRIDE=FQ","FILING_STATUS=MR","SCALING_FORMAT=MLN","Sort=A","Dates=H","DateFormat=P","Fill=—","Direction=H","UseDPDF=Y")</f>
        <v>3261</v>
      </c>
      <c r="G12" s="13">
        <f>_xll.BDH("AMGN US Equity","ARD_TOTAL_OPERATING_EXPENSES","FQ4 2019","FQ4 2019","Currency=USD","Period=FQ","BEST_FPERIOD_OVERRIDE=FQ","FILING_STATUS=MR","SCALING_FORMAT=MLN","Sort=A","Dates=H","DateFormat=P","Fill=—","Direction=H","UseDPDF=Y")</f>
        <v>4149</v>
      </c>
      <c r="H12" s="13">
        <f>_xll.BDH("AMGN US Equity","ARD_TOTAL_OPERATING_EXPENSES","FQ1 2020","FQ1 2020","Currency=USD","Period=FQ","BEST_FPERIOD_OVERRIDE=FQ","FILING_STATUS=MR","SCALING_FORMAT=MLN","Sort=A","Dates=H","DateFormat=P","Fill=—","Direction=H","UseDPDF=Y")</f>
        <v>3806</v>
      </c>
      <c r="I12" s="13">
        <f>_xll.BDH("AMGN US Equity","ARD_TOTAL_OPERATING_EXPENSES","FQ2 2020","FQ2 2020","Currency=USD","Period=FQ","BEST_FPERIOD_OVERRIDE=FQ","FILING_STATUS=MR","SCALING_FORMAT=MLN","Sort=A","Dates=H","DateFormat=P","Fill=—","Direction=H","UseDPDF=Y")</f>
        <v>3883</v>
      </c>
      <c r="J12" s="13">
        <f>_xll.BDH("AMGN US Equity","ARD_TOTAL_OPERATING_EXPENSES","FQ3 2020","FQ3 2020","Currency=USD","Period=FQ","BEST_FPERIOD_OVERRIDE=FQ","FILING_STATUS=MR","SCALING_FORMAT=MLN","Sort=A","Dates=H","DateFormat=P","Fill=—","Direction=H","UseDPDF=Y")</f>
        <v>3970</v>
      </c>
      <c r="K12" s="13">
        <f>_xll.BDH("AMGN US Equity","ARD_TOTAL_OPERATING_EXPENSES","FQ4 2020","FQ4 2020","Currency=USD","Period=FQ","BEST_FPERIOD_OVERRIDE=FQ","FILING_STATUS=MR","SCALING_FORMAT=MLN","Sort=A","Dates=H","DateFormat=P","Fill=—","Direction=H","UseDPDF=Y")</f>
        <v>4626</v>
      </c>
      <c r="L12" s="13">
        <f>_xll.BDH("AMGN US Equity","ARD_TOTAL_OPERATING_EXPENSES","FQ1 2021","FQ1 2021","Currency=USD","Period=FQ","BEST_FPERIOD_OVERRIDE=FQ","FILING_STATUS=MR","SCALING_FORMAT=MLN","Sort=A","Dates=H","DateFormat=P","Fill=—","Direction=H","UseDPDF=Y")</f>
        <v>3772</v>
      </c>
      <c r="M12" s="13">
        <f>_xll.BDH("AMGN US Equity","ARD_TOTAL_OPERATING_EXPENSES","FQ2 2021","FQ2 2021","Currency=USD","Period=FQ","BEST_FPERIOD_OVERRIDE=FQ","FILING_STATUS=MR","SCALING_FORMAT=MLN","Sort=A","Dates=H","DateFormat=P","Fill=—","Direction=H","UseDPDF=Y")</f>
        <v>5698</v>
      </c>
      <c r="N12" s="13">
        <f>_xll.BDH("AMGN US Equity","ARD_TOTAL_OPERATING_EXPENSES","FQ3 2021","FQ3 2021","Currency=USD","Period=FQ","BEST_FPERIOD_OVERRIDE=FQ","FILING_STATUS=MR","SCALING_FORMAT=MLN","Sort=A","Dates=H","DateFormat=P","Fill=—","Direction=H","UseDPDF=Y")</f>
        <v>4328</v>
      </c>
      <c r="O12" s="13">
        <f>_xll.BDH("AMGN US Equity","ARD_TOTAL_OPERATING_EXPENSES","FQ4 2021","FQ4 2021","Currency=USD","Period=FQ","BEST_FPERIOD_OVERRIDE=FQ","FILING_STATUS=MR","SCALING_FORMAT=MLN","Sort=A","Dates=H","DateFormat=P","Fill=—","Direction=H","UseDPDF=Y")</f>
        <v>4542</v>
      </c>
      <c r="P12" s="13">
        <f>_xll.BDH("AMGN US Equity","ARD_TOTAL_OPERATING_EXPENSES","FQ1 2022","FQ1 2022","Currency=USD","Period=FQ","BEST_FPERIOD_OVERRIDE=FQ","FILING_STATUS=MR","SCALING_FORMAT=MLN","Sort=A","Dates=H","DateFormat=P","Fill=—","Direction=H","UseDPDF=Y")</f>
        <v>3738</v>
      </c>
      <c r="Q12" s="13">
        <f>_xll.BDH("AMGN US Equity","ARD_TOTAL_OPERATING_EXPENSES","FQ2 2022","FQ2 2022","Currency=USD","Period=FQ","BEST_FPERIOD_OVERRIDE=FQ","FILING_STATUS=MR","SCALING_FORMAT=MLN","Sort=A","Dates=H","DateFormat=P","Fill=—","Direction=H","UseDPDF=Y")</f>
        <v>4418</v>
      </c>
      <c r="R12" s="13">
        <f>_xll.BDH("AMGN US Equity","ARD_TOTAL_OPERATING_EXPENSES","FQ3 2022","FQ3 2022","Currency=USD","Period=FQ","BEST_FPERIOD_OVERRIDE=FQ","FILING_STATUS=MR","SCALING_FORMAT=MLN","Sort=A","Dates=H","DateFormat=P","Fill=—","Direction=H","UseDPDF=Y")</f>
        <v>3992</v>
      </c>
      <c r="S12" s="13">
        <f>_xll.BDH("AMGN US Equity","ARD_TOTAL_OPERATING_EXPENSES","FQ4 2022","FQ4 2022","Currency=USD","Period=FQ","BEST_FPERIOD_OVERRIDE=FQ","FILING_STATUS=MR","SCALING_FORMAT=MLN","Sort=A","Dates=H","DateFormat=P","Fill=—","Direction=H","UseDPDF=Y")</f>
        <v>4609</v>
      </c>
      <c r="T12" s="13">
        <f>_xll.BDH("AMGN US Equity","ARD_TOTAL_OPERATING_EXPENSES","FQ1 2023","FQ1 2023","Currency=USD","Period=FQ","BEST_FPERIOD_OVERRIDE=FQ","FILING_STATUS=MR","SCALING_FORMAT=MLN","Sort=A","Dates=H","DateFormat=P","Fill=—","Direction=H","UseDPDF=Y")</f>
        <v>4184</v>
      </c>
      <c r="U12" s="13">
        <f>_xll.BDH("AMGN US Equity","ARD_TOTAL_OPERATING_EXPENSES","FQ2 2023","FQ2 2023","Currency=USD","Period=FQ","BEST_FPERIOD_OVERRIDE=FQ","FILING_STATUS=MR","SCALING_FORMAT=MLN","Sort=A","Dates=H","DateFormat=P","Fill=—","Direction=H","UseDPDF=Y")</f>
        <v>4302</v>
      </c>
      <c r="V12" s="13">
        <f>_xll.BDH("AMGN US Equity","ARD_TOTAL_OPERATING_EXPENSES","FQ3 2023","FQ3 2023","Currency=USD","Period=FQ","BEST_FPERIOD_OVERRIDE=FQ","FILING_STATUS=MR","SCALING_FORMAT=MLN","Sort=A","Dates=H","DateFormat=P","Fill=—","Direction=H","UseDPDF=Y")</f>
        <v>4882</v>
      </c>
      <c r="W12" s="13">
        <f>_xll.BDH("AMGN US Equity","ARD_TOTAL_OPERATING_EXPENSES","FQ4 2023","FQ4 2023","Currency=USD","Period=FQ","BEST_FPERIOD_OVERRIDE=FQ","FILING_STATUS=MR","SCALING_FORMAT=MLN","Sort=A","Dates=H","DateFormat=P","Fill=—","Direction=H","UseDPDF=Y")</f>
        <v>6925</v>
      </c>
      <c r="X12" s="13">
        <f>_xll.BDH("AMGN US Equity","ARD_TOTAL_OPERATING_EXPENSES","FQ1 2024","FQ1 2024","Currency=USD","Period=FQ","BEST_FPERIOD_OVERRIDE=FQ","FILING_STATUS=MR","SCALING_FORMAT=MLN","Sort=A","Dates=H","DateFormat=P","Fill=—","Direction=H","UseDPDF=Y")</f>
        <v>6456</v>
      </c>
      <c r="Y12" s="13">
        <f>_xll.BDH("AMGN US Equity","ARD_TOTAL_OPERATING_EXPENSES","FQ2 2024","FQ2 2024","Currency=USD","Period=FQ","BEST_FPERIOD_OVERRIDE=FQ","FILING_STATUS=MR","SCALING_FORMAT=MLN","Sort=A","Dates=H","DateFormat=P","Fill=—","Direction=H","UseDPDF=Y")</f>
        <v>6479</v>
      </c>
      <c r="Z12" s="13">
        <f>_xll.BDH("AMGN US Equity","ARD_TOTAL_OPERATING_EXPENSES","FQ3 2024","FQ3 2024","Currency=USD","Period=FQ","BEST_FPERIOD_OVERRIDE=FQ","FILING_STATUS=MR","SCALING_FORMAT=MLN","Sort=A","Dates=H","DateFormat=P","Fill=—","Direction=H","UseDPDF=Y")</f>
        <v>6456</v>
      </c>
      <c r="AA12" s="13">
        <f>_xll.BDH("AMGN US Equity","ARD_TOTAL_OPERATING_EXPENSES","FQ4 2024","FQ4 2024","Currency=USD","Period=FQ","BEST_FPERIOD_OVERRIDE=FQ","FILING_STATUS=MR","SCALING_FORMAT=MLN","Sort=A","Dates=H","DateFormat=P","Fill=—","Direction=H","UseDPDF=Y")</f>
        <v>6775</v>
      </c>
    </row>
    <row r="13" spans="1:27" x14ac:dyDescent="0.25">
      <c r="A13" s="10" t="s">
        <v>423</v>
      </c>
      <c r="B13" s="10" t="s">
        <v>424</v>
      </c>
      <c r="C13" s="13">
        <f>_xll.BDH("AMGN US Equity","ARD_COST_OF_GOODS_SOLD","FQ4 2018","FQ4 2018","Currency=USD","Period=FQ","BEST_FPERIOD_OVERRIDE=FQ","FILING_STATUS=MR","SCALING_FORMAT=MLN","Sort=A","Dates=H","DateFormat=P","Fill=—","Direction=H","UseDPDF=Y")</f>
        <v>1096</v>
      </c>
      <c r="D13" s="13">
        <f>_xll.BDH("AMGN US Equity","ARD_COST_OF_GOODS_SOLD","FQ1 2019","FQ1 2019","Currency=USD","Period=FQ","BEST_FPERIOD_OVERRIDE=FQ","FILING_STATUS=MR","SCALING_FORMAT=MLN","Sort=A","Dates=H","DateFormat=P","Fill=—","Direction=H","UseDPDF=Y")</f>
        <v>1055</v>
      </c>
      <c r="E13" s="13">
        <f>_xll.BDH("AMGN US Equity","ARD_COST_OF_GOODS_SOLD","FQ2 2019","FQ2 2019","Currency=USD","Period=FQ","BEST_FPERIOD_OVERRIDE=FQ","FILING_STATUS=MR","SCALING_FORMAT=MLN","Sort=A","Dates=H","DateFormat=P","Fill=—","Direction=H","UseDPDF=Y")</f>
        <v>1012</v>
      </c>
      <c r="F13" s="13">
        <f>_xll.BDH("AMGN US Equity","ARD_COST_OF_GOODS_SOLD","FQ3 2019","FQ3 2019","Currency=USD","Period=FQ","BEST_FPERIOD_OVERRIDE=FQ","FILING_STATUS=MR","SCALING_FORMAT=MLN","Sort=A","Dates=H","DateFormat=P","Fill=—","Direction=H","UseDPDF=Y")</f>
        <v>1036</v>
      </c>
      <c r="G13" s="13">
        <f>_xll.BDH("AMGN US Equity","ARD_COST_OF_GOODS_SOLD","FQ4 2019","FQ4 2019","Currency=USD","Period=FQ","BEST_FPERIOD_OVERRIDE=FQ","FILING_STATUS=MR","SCALING_FORMAT=MLN","Sort=A","Dates=H","DateFormat=P","Fill=—","Direction=H","UseDPDF=Y")</f>
        <v>1253</v>
      </c>
      <c r="H13" s="13">
        <f>_xll.BDH("AMGN US Equity","ARD_COST_OF_GOODS_SOLD","FQ1 2020","FQ1 2020","Currency=USD","Period=FQ","BEST_FPERIOD_OVERRIDE=FQ","FILING_STATUS=MR","SCALING_FORMAT=MLN","Sort=A","Dates=H","DateFormat=P","Fill=—","Direction=H","UseDPDF=Y")</f>
        <v>1513</v>
      </c>
      <c r="I13" s="13">
        <f>_xll.BDH("AMGN US Equity","ARD_COST_OF_GOODS_SOLD","FQ2 2020","FQ2 2020","Currency=USD","Period=FQ","BEST_FPERIOD_OVERRIDE=FQ","FILING_STATUS=MR","SCALING_FORMAT=MLN","Sort=A","Dates=H","DateFormat=P","Fill=—","Direction=H","UseDPDF=Y")</f>
        <v>1488</v>
      </c>
      <c r="J13" s="13">
        <f>_xll.BDH("AMGN US Equity","ARD_COST_OF_GOODS_SOLD","FQ3 2020","FQ3 2020","Currency=USD","Period=FQ","BEST_FPERIOD_OVERRIDE=FQ","FILING_STATUS=MR","SCALING_FORMAT=MLN","Sort=A","Dates=H","DateFormat=P","Fill=—","Direction=H","UseDPDF=Y")</f>
        <v>1561</v>
      </c>
      <c r="K13" s="13">
        <f>_xll.BDH("AMGN US Equity","ARD_COST_OF_GOODS_SOLD","FQ4 2020","FQ4 2020","Currency=USD","Period=FQ","BEST_FPERIOD_OVERRIDE=FQ","FILING_STATUS=MR","SCALING_FORMAT=MLN","Sort=A","Dates=H","DateFormat=P","Fill=—","Direction=H","UseDPDF=Y")</f>
        <v>1597</v>
      </c>
      <c r="L13" s="13">
        <f>_xll.BDH("AMGN US Equity","ARD_COST_OF_GOODS_SOLD","FQ1 2021","FQ1 2021","Currency=USD","Period=FQ","BEST_FPERIOD_OVERRIDE=FQ","FILING_STATUS=MR","SCALING_FORMAT=MLN","Sort=A","Dates=H","DateFormat=P","Fill=—","Direction=H","UseDPDF=Y")</f>
        <v>1490</v>
      </c>
      <c r="M13" s="13">
        <f>_xll.BDH("AMGN US Equity","ARD_COST_OF_GOODS_SOLD","FQ2 2021","FQ2 2021","Currency=USD","Period=FQ","BEST_FPERIOD_OVERRIDE=FQ","FILING_STATUS=MR","SCALING_FORMAT=MLN","Sort=A","Dates=H","DateFormat=P","Fill=—","Direction=H","UseDPDF=Y")</f>
        <v>1637</v>
      </c>
      <c r="N13" s="13">
        <f>_xll.BDH("AMGN US Equity","ARD_COST_OF_GOODS_SOLD","FQ3 2021","FQ3 2021","Currency=USD","Period=FQ","BEST_FPERIOD_OVERRIDE=FQ","FILING_STATUS=MR","SCALING_FORMAT=MLN","Sort=A","Dates=H","DateFormat=P","Fill=—","Direction=H","UseDPDF=Y")</f>
        <v>1609</v>
      </c>
      <c r="O13" s="13">
        <f>_xll.BDH("AMGN US Equity","ARD_COST_OF_GOODS_SOLD","FQ4 2021","FQ4 2021","Currency=USD","Period=FQ","BEST_FPERIOD_OVERRIDE=FQ","FILING_STATUS=MR","SCALING_FORMAT=MLN","Sort=A","Dates=H","DateFormat=P","Fill=—","Direction=H","UseDPDF=Y")</f>
        <v>1718</v>
      </c>
      <c r="P13" s="13">
        <f>_xll.BDH("AMGN US Equity","ARD_COST_OF_GOODS_SOLD","FQ1 2022","FQ1 2022","Currency=USD","Period=FQ","BEST_FPERIOD_OVERRIDE=FQ","FILING_STATUS=MR","SCALING_FORMAT=MLN","Sort=A","Dates=H","DateFormat=P","Fill=—","Direction=H","UseDPDF=Y")</f>
        <v>1561</v>
      </c>
      <c r="Q13" s="13">
        <f>_xll.BDH("AMGN US Equity","ARD_COST_OF_GOODS_SOLD","FQ2 2022","FQ2 2022","Currency=USD","Period=FQ","BEST_FPERIOD_OVERRIDE=FQ","FILING_STATUS=MR","SCALING_FORMAT=MLN","Sort=A","Dates=H","DateFormat=P","Fill=—","Direction=H","UseDPDF=Y")</f>
        <v>1510</v>
      </c>
      <c r="R13" s="13">
        <f>_xll.BDH("AMGN US Equity","ARD_COST_OF_GOODS_SOLD","FQ3 2022","FQ3 2022","Currency=USD","Period=FQ","BEST_FPERIOD_OVERRIDE=FQ","FILING_STATUS=MR","SCALING_FORMAT=MLN","Sort=A","Dates=H","DateFormat=P","Fill=—","Direction=H","UseDPDF=Y")</f>
        <v>1588</v>
      </c>
      <c r="S13" s="13">
        <f>_xll.BDH("AMGN US Equity","ARD_COST_OF_GOODS_SOLD","FQ4 2022","FQ4 2022","Currency=USD","Period=FQ","BEST_FPERIOD_OVERRIDE=FQ","FILING_STATUS=MR","SCALING_FORMAT=MLN","Sort=A","Dates=H","DateFormat=P","Fill=—","Direction=H","UseDPDF=Y")</f>
        <v>1747</v>
      </c>
      <c r="T13" s="13">
        <f>_xll.BDH("AMGN US Equity","ARD_COST_OF_GOODS_SOLD","FQ1 2023","FQ1 2023","Currency=USD","Period=FQ","BEST_FPERIOD_OVERRIDE=FQ","FILING_STATUS=MR","SCALING_FORMAT=MLN","Sort=A","Dates=H","DateFormat=P","Fill=—","Direction=H","UseDPDF=Y")</f>
        <v>1720</v>
      </c>
      <c r="U13" s="13">
        <f>_xll.BDH("AMGN US Equity","ARD_COST_OF_GOODS_SOLD","FQ2 2023","FQ2 2023","Currency=USD","Period=FQ","BEST_FPERIOD_OVERRIDE=FQ","FILING_STATUS=MR","SCALING_FORMAT=MLN","Sort=A","Dates=H","DateFormat=P","Fill=—","Direction=H","UseDPDF=Y")</f>
        <v>1813</v>
      </c>
      <c r="V13" s="13">
        <f>_xll.BDH("AMGN US Equity","ARD_COST_OF_GOODS_SOLD","FQ3 2023","FQ3 2023","Currency=USD","Period=FQ","BEST_FPERIOD_OVERRIDE=FQ","FILING_STATUS=MR","SCALING_FORMAT=MLN","Sort=A","Dates=H","DateFormat=P","Fill=—","Direction=H","UseDPDF=Y")</f>
        <v>1806</v>
      </c>
      <c r="W13" s="13">
        <f>_xll.BDH("AMGN US Equity","ARD_COST_OF_GOODS_SOLD","FQ4 2023","FQ4 2023","Currency=USD","Period=FQ","BEST_FPERIOD_OVERRIDE=FQ","FILING_STATUS=MR","SCALING_FORMAT=MLN","Sort=A","Dates=H","DateFormat=P","Fill=—","Direction=H","UseDPDF=Y")</f>
        <v>3112</v>
      </c>
      <c r="X13" s="13">
        <f>_xll.BDH("AMGN US Equity","ARD_COST_OF_GOODS_SOLD","FQ1 2024","FQ1 2024","Currency=USD","Period=FQ","BEST_FPERIOD_OVERRIDE=FQ","FILING_STATUS=MR","SCALING_FORMAT=MLN","Sort=A","Dates=H","DateFormat=P","Fill=—","Direction=H","UseDPDF=Y")</f>
        <v>3200</v>
      </c>
      <c r="Y13" s="13">
        <f>_xll.BDH("AMGN US Equity","ARD_COST_OF_GOODS_SOLD","FQ2 2024","FQ2 2024","Currency=USD","Period=FQ","BEST_FPERIOD_OVERRIDE=FQ","FILING_STATUS=MR","SCALING_FORMAT=MLN","Sort=A","Dates=H","DateFormat=P","Fill=—","Direction=H","UseDPDF=Y")</f>
        <v>3236</v>
      </c>
      <c r="Z13" s="13">
        <f>_xll.BDH("AMGN US Equity","ARD_COST_OF_GOODS_SOLD","FQ3 2024","FQ3 2024","Currency=USD","Period=FQ","BEST_FPERIOD_OVERRIDE=FQ","FILING_STATUS=MR","SCALING_FORMAT=MLN","Sort=A","Dates=H","DateFormat=P","Fill=—","Direction=H","UseDPDF=Y")</f>
        <v>3310</v>
      </c>
      <c r="AA13" s="13">
        <f>_xll.BDH("AMGN US Equity","ARD_COST_OF_GOODS_SOLD","FQ4 2024","FQ4 2024","Currency=USD","Period=FQ","BEST_FPERIOD_OVERRIDE=FQ","FILING_STATUS=MR","SCALING_FORMAT=MLN","Sort=A","Dates=H","DateFormat=P","Fill=—","Direction=H","UseDPDF=Y")</f>
        <v>3112</v>
      </c>
    </row>
    <row r="14" spans="1:27" x14ac:dyDescent="0.25">
      <c r="A14" s="10" t="s">
        <v>425</v>
      </c>
      <c r="B14" s="10" t="s">
        <v>426</v>
      </c>
      <c r="C14" s="13">
        <f>_xll.BDH("AMGN US Equity","ARD_R&amp;D_EXPENDITURES","FQ4 2018","FQ4 2018","Currency=USD","Period=FQ","BEST_FPERIOD_OVERRIDE=FQ","FILING_STATUS=MR","SCALING_FORMAT=MLN","Sort=A","Dates=H","DateFormat=P","Fill=—","Direction=H","UseDPDF=Y")</f>
        <v>1182</v>
      </c>
      <c r="D14" s="13">
        <f>_xll.BDH("AMGN US Equity","ARD_R&amp;D_EXPENDITURES","FQ1 2019","FQ1 2019","Currency=USD","Period=FQ","BEST_FPERIOD_OVERRIDE=FQ","FILING_STATUS=MR","SCALING_FORMAT=MLN","Sort=A","Dates=H","DateFormat=P","Fill=—","Direction=H","UseDPDF=Y")</f>
        <v>879</v>
      </c>
      <c r="E14" s="13">
        <f>_xll.BDH("AMGN US Equity","ARD_R&amp;D_EXPENDITURES","FQ2 2019","FQ2 2019","Currency=USD","Period=FQ","BEST_FPERIOD_OVERRIDE=FQ","FILING_STATUS=MR","SCALING_FORMAT=MLN","Sort=A","Dates=H","DateFormat=P","Fill=—","Direction=H","UseDPDF=Y")</f>
        <v>924</v>
      </c>
      <c r="F14" s="13">
        <f>_xll.BDH("AMGN US Equity","ARD_R&amp;D_EXPENDITURES","FQ3 2019","FQ3 2019","Currency=USD","Period=FQ","BEST_FPERIOD_OVERRIDE=FQ","FILING_STATUS=MR","SCALING_FORMAT=MLN","Sort=A","Dates=H","DateFormat=P","Fill=—","Direction=H","UseDPDF=Y")</f>
        <v>1001</v>
      </c>
      <c r="G14" s="13">
        <f>_xll.BDH("AMGN US Equity","ARD_R&amp;D_EXPENDITURES","FQ4 2019","FQ4 2019","Currency=USD","Period=FQ","BEST_FPERIOD_OVERRIDE=FQ","FILING_STATUS=MR","SCALING_FORMAT=MLN","Sort=A","Dates=H","DateFormat=P","Fill=—","Direction=H","UseDPDF=Y")</f>
        <v>1312</v>
      </c>
      <c r="H14" s="13">
        <f>_xll.BDH("AMGN US Equity","ARD_R&amp;D_EXPENDITURES","FQ1 2020","FQ1 2020","Currency=USD","Period=FQ","BEST_FPERIOD_OVERRIDE=FQ","FILING_STATUS=MR","SCALING_FORMAT=MLN","Sort=A","Dates=H","DateFormat=P","Fill=—","Direction=H","UseDPDF=Y")</f>
        <v>952</v>
      </c>
      <c r="I14" s="13">
        <f>_xll.BDH("AMGN US Equity","ARD_R&amp;D_EXPENDITURES","FQ2 2020","FQ2 2020","Currency=USD","Period=FQ","BEST_FPERIOD_OVERRIDE=FQ","FILING_STATUS=MR","SCALING_FORMAT=MLN","Sort=A","Dates=H","DateFormat=P","Fill=—","Direction=H","UseDPDF=Y")</f>
        <v>964</v>
      </c>
      <c r="J14" s="13">
        <f>_xll.BDH("AMGN US Equity","ARD_R&amp;D_EXPENDITURES","FQ3 2020","FQ3 2020","Currency=USD","Period=FQ","BEST_FPERIOD_OVERRIDE=FQ","FILING_STATUS=MR","SCALING_FORMAT=MLN","Sort=A","Dates=H","DateFormat=P","Fill=—","Direction=H","UseDPDF=Y")</f>
        <v>1062</v>
      </c>
      <c r="K14" s="13">
        <f>_xll.BDH("AMGN US Equity","ARD_R&amp;D_EXPENDITURES","FQ4 2020","FQ4 2020","Currency=USD","Period=FQ","BEST_FPERIOD_OVERRIDE=FQ","FILING_STATUS=MR","SCALING_FORMAT=MLN","Sort=A","Dates=H","DateFormat=P","Fill=—","Direction=H","UseDPDF=Y")</f>
        <v>1229</v>
      </c>
      <c r="L14" s="13">
        <f>_xll.BDH("AMGN US Equity","ARD_R&amp;D_EXPENDITURES","FQ1 2021","FQ1 2021","Currency=USD","Period=FQ","BEST_FPERIOD_OVERRIDE=FQ","FILING_STATUS=MR","SCALING_FORMAT=MLN","Sort=A","Dates=H","DateFormat=P","Fill=—","Direction=H","UseDPDF=Y")</f>
        <v>967</v>
      </c>
      <c r="M14" s="13">
        <f>_xll.BDH("AMGN US Equity","ARD_R&amp;D_EXPENDITURES","FQ2 2021","FQ2 2021","Currency=USD","Period=FQ","BEST_FPERIOD_OVERRIDE=FQ","FILING_STATUS=MR","SCALING_FORMAT=MLN","Sort=A","Dates=H","DateFormat=P","Fill=—","Direction=H","UseDPDF=Y")</f>
        <v>1082</v>
      </c>
      <c r="N14" s="13">
        <f>_xll.BDH("AMGN US Equity","ARD_R&amp;D_EXPENDITURES","FQ3 2021","FQ3 2021","Currency=USD","Period=FQ","BEST_FPERIOD_OVERRIDE=FQ","FILING_STATUS=MR","SCALING_FORMAT=MLN","Sort=A","Dates=H","DateFormat=P","Fill=—","Direction=H","UseDPDF=Y")</f>
        <v>1422</v>
      </c>
      <c r="O14" s="13">
        <f>_xll.BDH("AMGN US Equity","ARD_R&amp;D_EXPENDITURES","FQ4 2021","FQ4 2021","Currency=USD","Period=FQ","BEST_FPERIOD_OVERRIDE=FQ","FILING_STATUS=MR","SCALING_FORMAT=MLN","Sort=A","Dates=H","DateFormat=P","Fill=—","Direction=H","UseDPDF=Y")</f>
        <v>1348</v>
      </c>
      <c r="P14" s="13">
        <f>_xll.BDH("AMGN US Equity","ARD_R&amp;D_EXPENDITURES","FQ1 2022","FQ1 2022","Currency=USD","Period=FQ","BEST_FPERIOD_OVERRIDE=FQ","FILING_STATUS=MR","SCALING_FORMAT=MLN","Sort=A","Dates=H","DateFormat=P","Fill=—","Direction=H","UseDPDF=Y")</f>
        <v>959</v>
      </c>
      <c r="Q14" s="13">
        <f>_xll.BDH("AMGN US Equity","ARD_R&amp;D_EXPENDITURES","FQ2 2022","FQ2 2022","Currency=USD","Period=FQ","BEST_FPERIOD_OVERRIDE=FQ","FILING_STATUS=MR","SCALING_FORMAT=MLN","Sort=A","Dates=H","DateFormat=P","Fill=—","Direction=H","UseDPDF=Y")</f>
        <v>1039</v>
      </c>
      <c r="R14" s="13">
        <f>_xll.BDH("AMGN US Equity","ARD_R&amp;D_EXPENDITURES","FQ3 2022","FQ3 2022","Currency=USD","Period=FQ","BEST_FPERIOD_OVERRIDE=FQ","FILING_STATUS=MR","SCALING_FORMAT=MLN","Sort=A","Dates=H","DateFormat=P","Fill=—","Direction=H","UseDPDF=Y")</f>
        <v>1112</v>
      </c>
      <c r="S14" s="13">
        <f>_xll.BDH("AMGN US Equity","ARD_R&amp;D_EXPENDITURES","FQ4 2022","FQ4 2022","Currency=USD","Period=FQ","BEST_FPERIOD_OVERRIDE=FQ","FILING_STATUS=MR","SCALING_FORMAT=MLN","Sort=A","Dates=H","DateFormat=P","Fill=—","Direction=H","UseDPDF=Y")</f>
        <v>1324</v>
      </c>
      <c r="T14" s="13">
        <f>_xll.BDH("AMGN US Equity","ARD_R&amp;D_EXPENDITURES","FQ1 2023","FQ1 2023","Currency=USD","Period=FQ","BEST_FPERIOD_OVERRIDE=FQ","FILING_STATUS=MR","SCALING_FORMAT=MLN","Sort=A","Dates=H","DateFormat=P","Fill=—","Direction=H","UseDPDF=Y")</f>
        <v>1058</v>
      </c>
      <c r="U14" s="13">
        <f>_xll.BDH("AMGN US Equity","ARD_R&amp;D_EXPENDITURES","FQ2 2023","FQ2 2023","Currency=USD","Period=FQ","BEST_FPERIOD_OVERRIDE=FQ","FILING_STATUS=MR","SCALING_FORMAT=MLN","Sort=A","Dates=H","DateFormat=P","Fill=—","Direction=H","UseDPDF=Y")</f>
        <v>1113</v>
      </c>
      <c r="V14" s="13">
        <f>_xll.BDH("AMGN US Equity","ARD_R&amp;D_EXPENDITURES","FQ3 2023","FQ3 2023","Currency=USD","Period=FQ","BEST_FPERIOD_OVERRIDE=FQ","FILING_STATUS=MR","SCALING_FORMAT=MLN","Sort=A","Dates=H","DateFormat=P","Fill=—","Direction=H","UseDPDF=Y")</f>
        <v>1079</v>
      </c>
      <c r="W14" s="13">
        <f>_xll.BDH("AMGN US Equity","ARD_R&amp;D_EXPENDITURES","FQ4 2023","FQ4 2023","Currency=USD","Period=FQ","BEST_FPERIOD_OVERRIDE=FQ","FILING_STATUS=MR","SCALING_FORMAT=MLN","Sort=A","Dates=H","DateFormat=P","Fill=—","Direction=H","UseDPDF=Y")</f>
        <v>1534</v>
      </c>
      <c r="X14" s="13">
        <f>_xll.BDH("AMGN US Equity","ARD_R&amp;D_EXPENDITURES","FQ1 2024","FQ1 2024","Currency=USD","Period=FQ","BEST_FPERIOD_OVERRIDE=FQ","FILING_STATUS=MR","SCALING_FORMAT=MLN","Sort=A","Dates=H","DateFormat=P","Fill=—","Direction=H","UseDPDF=Y")</f>
        <v>1343</v>
      </c>
      <c r="Y14" s="13">
        <f>_xll.BDH("AMGN US Equity","ARD_R&amp;D_EXPENDITURES","FQ2 2024","FQ2 2024","Currency=USD","Period=FQ","BEST_FPERIOD_OVERRIDE=FQ","FILING_STATUS=MR","SCALING_FORMAT=MLN","Sort=A","Dates=H","DateFormat=P","Fill=—","Direction=H","UseDPDF=Y")</f>
        <v>1447</v>
      </c>
      <c r="Z14" s="13">
        <f>_xll.BDH("AMGN US Equity","ARD_R&amp;D_EXPENDITURES","FQ3 2024","FQ3 2024","Currency=USD","Period=FQ","BEST_FPERIOD_OVERRIDE=FQ","FILING_STATUS=MR","SCALING_FORMAT=MLN","Sort=A","Dates=H","DateFormat=P","Fill=—","Direction=H","UseDPDF=Y")</f>
        <v>1450</v>
      </c>
      <c r="AA14" s="13">
        <f>_xll.BDH("AMGN US Equity","ARD_R&amp;D_EXPENDITURES","FQ4 2024","FQ4 2024","Currency=USD","Period=FQ","BEST_FPERIOD_OVERRIDE=FQ","FILING_STATUS=MR","SCALING_FORMAT=MLN","Sort=A","Dates=H","DateFormat=P","Fill=—","Direction=H","UseDPDF=Y")</f>
        <v>1724</v>
      </c>
    </row>
    <row r="15" spans="1:27" x14ac:dyDescent="0.25">
      <c r="A15" s="10" t="s">
        <v>427</v>
      </c>
      <c r="B15" s="10" t="s">
        <v>428</v>
      </c>
      <c r="C15" s="13">
        <f>_xll.BDH("AMGN US Equity","ARD_SELLING_GENERAL_ADMIN_EXP","FQ4 2018","FQ4 2018","Currency=USD","Period=FQ","BEST_FPERIOD_OVERRIDE=FQ","FILING_STATUS=MR","SCALING_FORMAT=MLN","Sort=A","Dates=H","DateFormat=P","Fill=—","Direction=H","UseDPDF=Y")</f>
        <v>1559</v>
      </c>
      <c r="D15" s="13">
        <f>_xll.BDH("AMGN US Equity","ARD_SELLING_GENERAL_ADMIN_EXP","FQ1 2019","FQ1 2019","Currency=USD","Period=FQ","BEST_FPERIOD_OVERRIDE=FQ","FILING_STATUS=MR","SCALING_FORMAT=MLN","Sort=A","Dates=H","DateFormat=P","Fill=—","Direction=H","UseDPDF=Y")</f>
        <v>1154</v>
      </c>
      <c r="E15" s="13">
        <f>_xll.BDH("AMGN US Equity","ARD_SELLING_GENERAL_ADMIN_EXP","FQ2 2019","FQ2 2019","Currency=USD","Period=FQ","BEST_FPERIOD_OVERRIDE=FQ","FILING_STATUS=MR","SCALING_FORMAT=MLN","Sort=A","Dates=H","DateFormat=P","Fill=—","Direction=H","UseDPDF=Y")</f>
        <v>1260</v>
      </c>
      <c r="F15" s="13">
        <f>_xll.BDH("AMGN US Equity","ARD_SELLING_GENERAL_ADMIN_EXP","FQ3 2019","FQ3 2019","Currency=USD","Period=FQ","BEST_FPERIOD_OVERRIDE=FQ","FILING_STATUS=MR","SCALING_FORMAT=MLN","Sort=A","Dates=H","DateFormat=P","Fill=—","Direction=H","UseDPDF=Y")</f>
        <v>1223</v>
      </c>
      <c r="G15" s="13">
        <f>_xll.BDH("AMGN US Equity","ARD_SELLING_GENERAL_ADMIN_EXP","FQ4 2019","FQ4 2019","Currency=USD","Period=FQ","BEST_FPERIOD_OVERRIDE=FQ","FILING_STATUS=MR","SCALING_FORMAT=MLN","Sort=A","Dates=H","DateFormat=P","Fill=—","Direction=H","UseDPDF=Y")</f>
        <v>1513</v>
      </c>
      <c r="H15" s="13">
        <f>_xll.BDH("AMGN US Equity","ARD_SELLING_GENERAL_ADMIN_EXP","FQ1 2020","FQ1 2020","Currency=USD","Period=FQ","BEST_FPERIOD_OVERRIDE=FQ","FILING_STATUS=MR","SCALING_FORMAT=MLN","Sort=A","Dates=H","DateFormat=P","Fill=—","Direction=H","UseDPDF=Y")</f>
        <v>1316</v>
      </c>
      <c r="I15" s="13">
        <f>_xll.BDH("AMGN US Equity","ARD_SELLING_GENERAL_ADMIN_EXP","FQ2 2020","FQ2 2020","Currency=USD","Period=FQ","BEST_FPERIOD_OVERRIDE=FQ","FILING_STATUS=MR","SCALING_FORMAT=MLN","Sort=A","Dates=H","DateFormat=P","Fill=—","Direction=H","UseDPDF=Y")</f>
        <v>1295</v>
      </c>
      <c r="J15" s="13">
        <f>_xll.BDH("AMGN US Equity","ARD_SELLING_GENERAL_ADMIN_EXP","FQ3 2020","FQ3 2020","Currency=USD","Period=FQ","BEST_FPERIOD_OVERRIDE=FQ","FILING_STATUS=MR","SCALING_FORMAT=MLN","Sort=A","Dates=H","DateFormat=P","Fill=—","Direction=H","UseDPDF=Y")</f>
        <v>1346</v>
      </c>
      <c r="K15" s="13">
        <f>_xll.BDH("AMGN US Equity","ARD_SELLING_GENERAL_ADMIN_EXP","FQ4 2020","FQ4 2020","Currency=USD","Period=FQ","BEST_FPERIOD_OVERRIDE=FQ","FILING_STATUS=MR","SCALING_FORMAT=MLN","Sort=A","Dates=H","DateFormat=P","Fill=—","Direction=H","UseDPDF=Y")</f>
        <v>1773</v>
      </c>
      <c r="L15" s="13">
        <f>_xll.BDH("AMGN US Equity","ARD_SELLING_GENERAL_ADMIN_EXP","FQ1 2021","FQ1 2021","Currency=USD","Period=FQ","BEST_FPERIOD_OVERRIDE=FQ","FILING_STATUS=MR","SCALING_FORMAT=MLN","Sort=A","Dates=H","DateFormat=P","Fill=—","Direction=H","UseDPDF=Y")</f>
        <v>1254</v>
      </c>
      <c r="M15" s="13">
        <f>_xll.BDH("AMGN US Equity","ARD_SELLING_GENERAL_ADMIN_EXP","FQ2 2021","FQ2 2021","Currency=USD","Period=FQ","BEST_FPERIOD_OVERRIDE=FQ","FILING_STATUS=MR","SCALING_FORMAT=MLN","Sort=A","Dates=H","DateFormat=P","Fill=—","Direction=H","UseDPDF=Y")</f>
        <v>1384</v>
      </c>
      <c r="N15" s="13">
        <f>_xll.BDH("AMGN US Equity","ARD_SELLING_GENERAL_ADMIN_EXP","FQ3 2021","FQ3 2021","Currency=USD","Period=FQ","BEST_FPERIOD_OVERRIDE=FQ","FILING_STATUS=MR","SCALING_FORMAT=MLN","Sort=A","Dates=H","DateFormat=P","Fill=—","Direction=H","UseDPDF=Y")</f>
        <v>1305</v>
      </c>
      <c r="O15" s="13">
        <f>_xll.BDH("AMGN US Equity","ARD_SELLING_GENERAL_ADMIN_EXP","FQ4 2021","FQ4 2021","Currency=USD","Period=FQ","BEST_FPERIOD_OVERRIDE=FQ","FILING_STATUS=MR","SCALING_FORMAT=MLN","Sort=A","Dates=H","DateFormat=P","Fill=—","Direction=H","UseDPDF=Y")</f>
        <v>1425</v>
      </c>
      <c r="P15" s="13">
        <f>_xll.BDH("AMGN US Equity","ARD_SELLING_GENERAL_ADMIN_EXP","FQ1 2022","FQ1 2022","Currency=USD","Period=FQ","BEST_FPERIOD_OVERRIDE=FQ","FILING_STATUS=MR","SCALING_FORMAT=MLN","Sort=A","Dates=H","DateFormat=P","Fill=—","Direction=H","UseDPDF=Y")</f>
        <v>1228</v>
      </c>
      <c r="Q15" s="13">
        <f>_xll.BDH("AMGN US Equity","ARD_SELLING_GENERAL_ADMIN_EXP","FQ2 2022","FQ2 2022","Currency=USD","Period=FQ","BEST_FPERIOD_OVERRIDE=FQ","FILING_STATUS=MR","SCALING_FORMAT=MLN","Sort=A","Dates=H","DateFormat=P","Fill=—","Direction=H","UseDPDF=Y")</f>
        <v>1327</v>
      </c>
      <c r="R15" s="13">
        <f>_xll.BDH("AMGN US Equity","ARD_SELLING_GENERAL_ADMIN_EXP","FQ3 2022","FQ3 2022","Currency=USD","Period=FQ","BEST_FPERIOD_OVERRIDE=FQ","FILING_STATUS=MR","SCALING_FORMAT=MLN","Sort=A","Dates=H","DateFormat=P","Fill=—","Direction=H","UseDPDF=Y")</f>
        <v>1287</v>
      </c>
      <c r="S15" s="13">
        <f>_xll.BDH("AMGN US Equity","ARD_SELLING_GENERAL_ADMIN_EXP","FQ4 2022","FQ4 2022","Currency=USD","Period=FQ","BEST_FPERIOD_OVERRIDE=FQ","FILING_STATUS=MR","SCALING_FORMAT=MLN","Sort=A","Dates=H","DateFormat=P","Fill=—","Direction=H","UseDPDF=Y")</f>
        <v>1572</v>
      </c>
      <c r="T15" s="13">
        <f>_xll.BDH("AMGN US Equity","ARD_SELLING_GENERAL_ADMIN_EXP","FQ1 2023","FQ1 2023","Currency=USD","Period=FQ","BEST_FPERIOD_OVERRIDE=FQ","FILING_STATUS=MR","SCALING_FORMAT=MLN","Sort=A","Dates=H","DateFormat=P","Fill=—","Direction=H","UseDPDF=Y")</f>
        <v>1258</v>
      </c>
      <c r="U15" s="13">
        <f>_xll.BDH("AMGN US Equity","ARD_SELLING_GENERAL_ADMIN_EXP","FQ2 2023","FQ2 2023","Currency=USD","Period=FQ","BEST_FPERIOD_OVERRIDE=FQ","FILING_STATUS=MR","SCALING_FORMAT=MLN","Sort=A","Dates=H","DateFormat=P","Fill=—","Direction=H","UseDPDF=Y")</f>
        <v>1294</v>
      </c>
      <c r="V15" s="13">
        <f>_xll.BDH("AMGN US Equity","ARD_SELLING_GENERAL_ADMIN_EXP","FQ3 2023","FQ3 2023","Currency=USD","Period=FQ","BEST_FPERIOD_OVERRIDE=FQ","FILING_STATUS=MR","SCALING_FORMAT=MLN","Sort=A","Dates=H","DateFormat=P","Fill=—","Direction=H","UseDPDF=Y")</f>
        <v>1353</v>
      </c>
      <c r="W15" s="13">
        <f>_xll.BDH("AMGN US Equity","ARD_SELLING_GENERAL_ADMIN_EXP","FQ4 2023","FQ4 2023","Currency=USD","Period=FQ","BEST_FPERIOD_OVERRIDE=FQ","FILING_STATUS=MR","SCALING_FORMAT=MLN","Sort=A","Dates=H","DateFormat=P","Fill=—","Direction=H","UseDPDF=Y")</f>
        <v>2274</v>
      </c>
      <c r="X15" s="13">
        <f>_xll.BDH("AMGN US Equity","ARD_SELLING_GENERAL_ADMIN_EXP","FQ1 2024","FQ1 2024","Currency=USD","Period=FQ","BEST_FPERIOD_OVERRIDE=FQ","FILING_STATUS=MR","SCALING_FORMAT=MLN","Sort=A","Dates=H","DateFormat=P","Fill=—","Direction=H","UseDPDF=Y")</f>
        <v>1808</v>
      </c>
      <c r="Y15" s="13">
        <f>_xll.BDH("AMGN US Equity","ARD_SELLING_GENERAL_ADMIN_EXP","FQ2 2024","FQ2 2024","Currency=USD","Period=FQ","BEST_FPERIOD_OVERRIDE=FQ","FILING_STATUS=MR","SCALING_FORMAT=MLN","Sort=A","Dates=H","DateFormat=P","Fill=—","Direction=H","UseDPDF=Y")</f>
        <v>1785</v>
      </c>
      <c r="Z15" s="13">
        <f>_xll.BDH("AMGN US Equity","ARD_SELLING_GENERAL_ADMIN_EXP","FQ3 2024","FQ3 2024","Currency=USD","Period=FQ","BEST_FPERIOD_OVERRIDE=FQ","FILING_STATUS=MR","SCALING_FORMAT=MLN","Sort=A","Dates=H","DateFormat=P","Fill=—","Direction=H","UseDPDF=Y")</f>
        <v>1625</v>
      </c>
      <c r="AA15" s="13">
        <f>_xll.BDH("AMGN US Equity","ARD_SELLING_GENERAL_ADMIN_EXP","FQ4 2024","FQ4 2024","Currency=USD","Period=FQ","BEST_FPERIOD_OVERRIDE=FQ","FILING_STATUS=MR","SCALING_FORMAT=MLN","Sort=A","Dates=H","DateFormat=P","Fill=—","Direction=H","UseDPDF=Y")</f>
        <v>1878</v>
      </c>
    </row>
    <row r="16" spans="1:27" x14ac:dyDescent="0.25">
      <c r="A16" s="10" t="s">
        <v>429</v>
      </c>
      <c r="B16" s="10" t="s">
        <v>430</v>
      </c>
      <c r="C16" s="13">
        <f>_xll.BDH("AMGN US Equity","ARD_OTHER_OPERATING_EXPENSES","FQ4 2018","FQ4 2018","Currency=USD","Period=FQ","BEST_FPERIOD_OVERRIDE=FQ","FILING_STATUS=MR","SCALING_FORMAT=MLN","Sort=A","Dates=H","DateFormat=P","Fill=—","Direction=H","UseDPDF=Y")</f>
        <v>11</v>
      </c>
      <c r="D16" s="13" t="str">
        <f>_xll.BDH("AMGN US Equity","ARD_OTHER_OPERATING_EXPENSES","FQ1 2019","FQ1 2019","Currency=USD","Period=FQ","BEST_FPERIOD_OVERRIDE=FQ","FILING_STATUS=MR","SCALING_FORMAT=MLN","Sort=A","Dates=H","DateFormat=P","Fill=—","Direction=H","UseDPDF=Y")</f>
        <v>—</v>
      </c>
      <c r="E16" s="13" t="str">
        <f>_xll.BDH("AMGN US Equity","ARD_OTHER_OPERATING_EXPENSES","FQ2 2019","FQ2 2019","Currency=USD","Period=FQ","BEST_FPERIOD_OVERRIDE=FQ","FILING_STATUS=MR","SCALING_FORMAT=MLN","Sort=A","Dates=H","DateFormat=P","Fill=—","Direction=H","UseDPDF=Y")</f>
        <v>—</v>
      </c>
      <c r="F16" s="13">
        <f>_xll.BDH("AMGN US Equity","ARD_OTHER_OPERATING_EXPENSES","FQ3 2019","FQ3 2019","Currency=USD","Period=FQ","BEST_FPERIOD_OVERRIDE=FQ","FILING_STATUS=MR","SCALING_FORMAT=MLN","Sort=A","Dates=H","DateFormat=P","Fill=—","Direction=H","UseDPDF=Y")</f>
        <v>1</v>
      </c>
      <c r="G16" s="13">
        <f>_xll.BDH("AMGN US Equity","ARD_OTHER_OPERATING_EXPENSES","FQ4 2019","FQ4 2019","Currency=USD","Period=FQ","BEST_FPERIOD_OVERRIDE=FQ","FILING_STATUS=MR","SCALING_FORMAT=MLN","Sort=A","Dates=H","DateFormat=P","Fill=—","Direction=H","UseDPDF=Y")</f>
        <v>71</v>
      </c>
      <c r="H16" s="13">
        <f>_xll.BDH("AMGN US Equity","ARD_OTHER_OPERATING_EXPENSES","FQ1 2020","FQ1 2020","Currency=USD","Period=FQ","BEST_FPERIOD_OVERRIDE=FQ","FILING_STATUS=MR","SCALING_FORMAT=MLN","Sort=A","Dates=H","DateFormat=P","Fill=—","Direction=H","UseDPDF=Y")</f>
        <v>25</v>
      </c>
      <c r="I16" s="13">
        <f>_xll.BDH("AMGN US Equity","ARD_OTHER_OPERATING_EXPENSES","FQ2 2020","FQ2 2020","Currency=USD","Period=FQ","BEST_FPERIOD_OVERRIDE=FQ","FILING_STATUS=MR","SCALING_FORMAT=MLN","Sort=A","Dates=H","DateFormat=P","Fill=—","Direction=H","UseDPDF=Y")</f>
        <v>136</v>
      </c>
      <c r="J16" s="13">
        <f>_xll.BDH("AMGN US Equity","ARD_OTHER_OPERATING_EXPENSES","FQ3 2020","FQ3 2020","Currency=USD","Period=FQ","BEST_FPERIOD_OVERRIDE=FQ","FILING_STATUS=MR","SCALING_FORMAT=MLN","Sort=A","Dates=H","DateFormat=P","Fill=—","Direction=H","UseDPDF=Y")</f>
        <v>0</v>
      </c>
      <c r="K16" s="13">
        <f>_xll.BDH("AMGN US Equity","ARD_OTHER_OPERATING_EXPENSES","FQ4 2020","FQ4 2020","Currency=USD","Period=FQ","BEST_FPERIOD_OVERRIDE=FQ","FILING_STATUS=MR","SCALING_FORMAT=MLN","Sort=A","Dates=H","DateFormat=P","Fill=—","Direction=H","UseDPDF=Y")</f>
        <v>27</v>
      </c>
      <c r="L16" s="13">
        <f>_xll.BDH("AMGN US Equity","ARD_OTHER_OPERATING_EXPENSES","FQ1 2021","FQ1 2021","Currency=USD","Period=FQ","BEST_FPERIOD_OVERRIDE=FQ","FILING_STATUS=MR","SCALING_FORMAT=MLN","Sort=A","Dates=H","DateFormat=P","Fill=—","Direction=H","UseDPDF=Y")</f>
        <v>61</v>
      </c>
      <c r="M16" s="13">
        <f>_xll.BDH("AMGN US Equity","ARD_OTHER_OPERATING_EXPENSES","FQ2 2021","FQ2 2021","Currency=USD","Period=FQ","BEST_FPERIOD_OVERRIDE=FQ","FILING_STATUS=MR","SCALING_FORMAT=MLN","Sort=A","Dates=H","DateFormat=P","Fill=—","Direction=H","UseDPDF=Y")</f>
        <v>90</v>
      </c>
      <c r="N16" s="13">
        <f>_xll.BDH("AMGN US Equity","ARD_OTHER_OPERATING_EXPENSES","FQ3 2021","FQ3 2021","Currency=USD","Period=FQ","BEST_FPERIOD_OVERRIDE=FQ","FILING_STATUS=MR","SCALING_FORMAT=MLN","Sort=A","Dates=H","DateFormat=P","Fill=—","Direction=H","UseDPDF=Y")</f>
        <v>0</v>
      </c>
      <c r="O16" s="13">
        <f>_xll.BDH("AMGN US Equity","ARD_OTHER_OPERATING_EXPENSES","FQ4 2021","FQ4 2021","Currency=USD","Period=FQ","BEST_FPERIOD_OVERRIDE=FQ","FILING_STATUS=MR","SCALING_FORMAT=MLN","Sort=A","Dates=H","DateFormat=P","Fill=—","Direction=H","UseDPDF=Y")</f>
        <v>51</v>
      </c>
      <c r="P16" s="13" t="str">
        <f>_xll.BDH("AMGN US Equity","ARD_OTHER_OPERATING_EXPENSES","FQ1 2022","FQ1 2022","Currency=USD","Period=FQ","BEST_FPERIOD_OVERRIDE=FQ","FILING_STATUS=MR","SCALING_FORMAT=MLN","Sort=A","Dates=H","DateFormat=P","Fill=—","Direction=H","UseDPDF=Y")</f>
        <v>—</v>
      </c>
      <c r="Q16" s="13">
        <f>_xll.BDH("AMGN US Equity","ARD_OTHER_OPERATING_EXPENSES","FQ2 2022","FQ2 2022","Currency=USD","Period=FQ","BEST_FPERIOD_OVERRIDE=FQ","FILING_STATUS=MR","SCALING_FORMAT=MLN","Sort=A","Dates=H","DateFormat=P","Fill=—","Direction=H","UseDPDF=Y")</f>
        <v>542</v>
      </c>
      <c r="R16" s="13">
        <f>_xll.BDH("AMGN US Equity","ARD_OTHER_OPERATING_EXPENSES","FQ3 2022","FQ3 2022","Currency=USD","Period=FQ","BEST_FPERIOD_OVERRIDE=FQ","FILING_STATUS=MR","SCALING_FORMAT=MLN","Sort=A","Dates=H","DateFormat=P","Fill=—","Direction=H","UseDPDF=Y")</f>
        <v>5</v>
      </c>
      <c r="S16" s="13" t="str">
        <f>_xll.BDH("AMGN US Equity","ARD_OTHER_OPERATING_EXPENSES","FQ4 2022","FQ4 2022","Currency=USD","Period=FQ","BEST_FPERIOD_OVERRIDE=FQ","FILING_STATUS=MR","SCALING_FORMAT=MLN","Sort=A","Dates=H","DateFormat=P","Fill=—","Direction=H","UseDPDF=Y")</f>
        <v>—</v>
      </c>
      <c r="T16" s="13">
        <f>_xll.BDH("AMGN US Equity","ARD_OTHER_OPERATING_EXPENSES","FQ1 2023","FQ1 2023","Currency=USD","Period=FQ","BEST_FPERIOD_OVERRIDE=FQ","FILING_STATUS=MR","SCALING_FORMAT=MLN","Sort=A","Dates=H","DateFormat=P","Fill=—","Direction=H","UseDPDF=Y")</f>
        <v>148</v>
      </c>
      <c r="U16" s="13">
        <f>_xll.BDH("AMGN US Equity","ARD_OTHER_OPERATING_EXPENSES","FQ2 2023","FQ2 2023","Currency=USD","Period=FQ","BEST_FPERIOD_OVERRIDE=FQ","FILING_STATUS=MR","SCALING_FORMAT=MLN","Sort=A","Dates=H","DateFormat=P","Fill=—","Direction=H","UseDPDF=Y")</f>
        <v>82</v>
      </c>
      <c r="V16" s="13">
        <f>_xll.BDH("AMGN US Equity","ARD_OTHER_OPERATING_EXPENSES","FQ3 2023","FQ3 2023","Currency=USD","Period=FQ","BEST_FPERIOD_OVERRIDE=FQ","FILING_STATUS=MR","SCALING_FORMAT=MLN","Sort=A","Dates=H","DateFormat=P","Fill=—","Direction=H","UseDPDF=Y")</f>
        <v>644</v>
      </c>
      <c r="W16" s="13">
        <f>_xll.BDH("AMGN US Equity","ARD_OTHER_OPERATING_EXPENSES","FQ4 2023","FQ4 2023","Currency=USD","Period=FQ","BEST_FPERIOD_OVERRIDE=FQ","FILING_STATUS=MR","SCALING_FORMAT=MLN","Sort=A","Dates=H","DateFormat=P","Fill=—","Direction=H","UseDPDF=Y")</f>
        <v>5</v>
      </c>
      <c r="X16" s="13">
        <f>_xll.BDH("AMGN US Equity","ARD_OTHER_OPERATING_EXPENSES","FQ1 2024","FQ1 2024","Currency=USD","Period=FQ","BEST_FPERIOD_OVERRIDE=FQ","FILING_STATUS=MR","SCALING_FORMAT=MLN","Sort=A","Dates=H","DateFormat=P","Fill=—","Direction=H","UseDPDF=Y")</f>
        <v>105</v>
      </c>
      <c r="Y16" s="13">
        <f>_xll.BDH("AMGN US Equity","ARD_OTHER_OPERATING_EXPENSES","FQ2 2024","FQ2 2024","Currency=USD","Period=FQ","BEST_FPERIOD_OVERRIDE=FQ","FILING_STATUS=MR","SCALING_FORMAT=MLN","Sort=A","Dates=H","DateFormat=P","Fill=—","Direction=H","UseDPDF=Y")</f>
        <v>11</v>
      </c>
      <c r="Z16" s="13">
        <f>_xll.BDH("AMGN US Equity","ARD_OTHER_OPERATING_EXPENSES","FQ3 2024","FQ3 2024","Currency=USD","Period=FQ","BEST_FPERIOD_OVERRIDE=FQ","FILING_STATUS=MR","SCALING_FORMAT=MLN","Sort=A","Dates=H","DateFormat=P","Fill=—","Direction=H","UseDPDF=Y")</f>
        <v>71</v>
      </c>
      <c r="AA16" s="13">
        <f>_xll.BDH("AMGN US Equity","ARD_OTHER_OPERATING_EXPENSES","FQ4 2024","FQ4 2024","Currency=USD","Period=FQ","BEST_FPERIOD_OVERRIDE=FQ","FILING_STATUS=MR","SCALING_FORMAT=MLN","Sort=A","Dates=H","DateFormat=P","Fill=—","Direction=H","UseDPDF=Y")</f>
        <v>61</v>
      </c>
    </row>
    <row r="17" spans="1:27" x14ac:dyDescent="0.25">
      <c r="A17" s="10" t="s">
        <v>431</v>
      </c>
      <c r="B17" s="10" t="s">
        <v>432</v>
      </c>
      <c r="C17" s="13" t="str">
        <f>_xll.BDH("AMGN US Equity","ARD_ACQUIRED_IN_PROCESS_R&amp;D","FQ4 2018","FQ4 2018","Currency=USD","Period=FQ","BEST_FPERIOD_OVERRIDE=FQ","FILING_STATUS=MR","SCALING_FORMAT=MLN","Sort=A","Dates=H","DateFormat=P","Fill=—","Direction=H","UseDPDF=Y")</f>
        <v>—</v>
      </c>
      <c r="D17" s="13" t="str">
        <f>_xll.BDH("AMGN US Equity","ARD_ACQUIRED_IN_PROCESS_R&amp;D","FQ1 2019","FQ1 2019","Currency=USD","Period=FQ","BEST_FPERIOD_OVERRIDE=FQ","FILING_STATUS=MR","SCALING_FORMAT=MLN","Sort=A","Dates=H","DateFormat=P","Fill=—","Direction=H","UseDPDF=Y")</f>
        <v>—</v>
      </c>
      <c r="E17" s="13" t="str">
        <f>_xll.BDH("AMGN US Equity","ARD_ACQUIRED_IN_PROCESS_R&amp;D","FQ2 2019","FQ2 2019","Currency=USD","Period=FQ","BEST_FPERIOD_OVERRIDE=FQ","FILING_STATUS=MR","SCALING_FORMAT=MLN","Sort=A","Dates=H","DateFormat=P","Fill=—","Direction=H","UseDPDF=Y")</f>
        <v>—</v>
      </c>
      <c r="F17" s="13" t="str">
        <f>_xll.BDH("AMGN US Equity","ARD_ACQUIRED_IN_PROCESS_R&amp;D","FQ3 2019","FQ3 2019","Currency=USD","Period=FQ","BEST_FPERIOD_OVERRIDE=FQ","FILING_STATUS=MR","SCALING_FORMAT=MLN","Sort=A","Dates=H","DateFormat=P","Fill=—","Direction=H","UseDPDF=Y")</f>
        <v>—</v>
      </c>
      <c r="G17" s="13" t="str">
        <f>_xll.BDH("AMGN US Equity","ARD_ACQUIRED_IN_PROCESS_R&amp;D","FQ4 2019","FQ4 2019","Currency=USD","Period=FQ","BEST_FPERIOD_OVERRIDE=FQ","FILING_STATUS=MR","SCALING_FORMAT=MLN","Sort=A","Dates=H","DateFormat=P","Fill=—","Direction=H","UseDPDF=Y")</f>
        <v>—</v>
      </c>
      <c r="H17" s="13" t="str">
        <f>_xll.BDH("AMGN US Equity","ARD_ACQUIRED_IN_PROCESS_R&amp;D","FQ1 2020","FQ1 2020","Currency=USD","Period=FQ","BEST_FPERIOD_OVERRIDE=FQ","FILING_STATUS=MR","SCALING_FORMAT=MLN","Sort=A","Dates=H","DateFormat=P","Fill=—","Direction=H","UseDPDF=Y")</f>
        <v>—</v>
      </c>
      <c r="I17" s="13">
        <f>_xll.BDH("AMGN US Equity","ARD_ACQUIRED_IN_PROCESS_R&amp;D","FQ2 2020","FQ2 2020","Currency=USD","Period=FQ","BEST_FPERIOD_OVERRIDE=FQ","FILING_STATUS=MR","SCALING_FORMAT=MLN","Sort=A","Dates=H","DateFormat=P","Fill=—","Direction=H","UseDPDF=Y")</f>
        <v>0</v>
      </c>
      <c r="J17" s="13" t="str">
        <f>_xll.BDH("AMGN US Equity","ARD_ACQUIRED_IN_PROCESS_R&amp;D","FQ3 2020","FQ3 2020","Currency=USD","Period=FQ","BEST_FPERIOD_OVERRIDE=FQ","FILING_STATUS=MR","SCALING_FORMAT=MLN","Sort=A","Dates=H","DateFormat=P","Fill=—","Direction=H","UseDPDF=Y")</f>
        <v>—</v>
      </c>
      <c r="K17" s="13" t="str">
        <f>_xll.BDH("AMGN US Equity","ARD_ACQUIRED_IN_PROCESS_R&amp;D","FQ4 2020","FQ4 2020","Currency=USD","Period=FQ","BEST_FPERIOD_OVERRIDE=FQ","FILING_STATUS=MR","SCALING_FORMAT=MLN","Sort=A","Dates=H","DateFormat=P","Fill=—","Direction=H","UseDPDF=Y")</f>
        <v>—</v>
      </c>
      <c r="L17" s="13" t="str">
        <f>_xll.BDH("AMGN US Equity","ARD_ACQUIRED_IN_PROCESS_R&amp;D","FQ1 2021","FQ1 2021","Currency=USD","Period=FQ","BEST_FPERIOD_OVERRIDE=FQ","FILING_STATUS=MR","SCALING_FORMAT=MLN","Sort=A","Dates=H","DateFormat=P","Fill=—","Direction=H","UseDPDF=Y")</f>
        <v>—</v>
      </c>
      <c r="M17" s="13">
        <f>_xll.BDH("AMGN US Equity","ARD_ACQUIRED_IN_PROCESS_R&amp;D","FQ2 2021","FQ2 2021","Currency=USD","Period=FQ","BEST_FPERIOD_OVERRIDE=FQ","FILING_STATUS=MR","SCALING_FORMAT=MLN","Sort=A","Dates=H","DateFormat=P","Fill=—","Direction=H","UseDPDF=Y")</f>
        <v>1505</v>
      </c>
      <c r="N17" s="13" t="str">
        <f>_xll.BDH("AMGN US Equity","ARD_ACQUIRED_IN_PROCESS_R&amp;D","FQ3 2021","FQ3 2021","Currency=USD","Period=FQ","BEST_FPERIOD_OVERRIDE=FQ","FILING_STATUS=MR","SCALING_FORMAT=MLN","Sort=A","Dates=H","DateFormat=P","Fill=—","Direction=H","UseDPDF=Y")</f>
        <v>—</v>
      </c>
      <c r="O17" s="13">
        <f>_xll.BDH("AMGN US Equity","ARD_ACQUIRED_IN_PROCESS_R&amp;D","FQ4 2021","FQ4 2021","Currency=USD","Period=FQ","BEST_FPERIOD_OVERRIDE=FQ","FILING_STATUS=MR","SCALING_FORMAT=MLN","Sort=A","Dates=H","DateFormat=P","Fill=—","Direction=H","UseDPDF=Y")</f>
        <v>0</v>
      </c>
      <c r="P17" s="13" t="str">
        <f>_xll.BDH("AMGN US Equity","ARD_ACQUIRED_IN_PROCESS_R&amp;D","FQ1 2022","FQ1 2022","Currency=USD","Period=FQ","BEST_FPERIOD_OVERRIDE=FQ","FILING_STATUS=MR","SCALING_FORMAT=MLN","Sort=A","Dates=H","DateFormat=P","Fill=—","Direction=H","UseDPDF=Y")</f>
        <v>—</v>
      </c>
      <c r="Q17" s="13" t="str">
        <f>_xll.BDH("AMGN US Equity","ARD_ACQUIRED_IN_PROCESS_R&amp;D","FQ2 2022","FQ2 2022","Currency=USD","Period=FQ","BEST_FPERIOD_OVERRIDE=FQ","FILING_STATUS=MR","SCALING_FORMAT=MLN","Sort=A","Dates=H","DateFormat=P","Fill=—","Direction=H","UseDPDF=Y")</f>
        <v>—</v>
      </c>
      <c r="R17" s="13">
        <f>_xll.BDH("AMGN US Equity","ARD_ACQUIRED_IN_PROCESS_R&amp;D","FQ3 2022","FQ3 2022","Currency=USD","Period=FQ","BEST_FPERIOD_OVERRIDE=FQ","FILING_STATUS=MR","SCALING_FORMAT=MLN","Sort=A","Dates=H","DateFormat=P","Fill=—","Direction=H","UseDPDF=Y")</f>
        <v>0</v>
      </c>
      <c r="S17" s="13" t="str">
        <f>_xll.BDH("AMGN US Equity","ARD_ACQUIRED_IN_PROCESS_R&amp;D","FQ4 2022","FQ4 2022","Currency=USD","Period=FQ","BEST_FPERIOD_OVERRIDE=FQ","FILING_STATUS=MR","SCALING_FORMAT=MLN","Sort=A","Dates=H","DateFormat=P","Fill=—","Direction=H","UseDPDF=Y")</f>
        <v>—</v>
      </c>
      <c r="T17" s="13" t="str">
        <f>_xll.BDH("AMGN US Equity","ARD_ACQUIRED_IN_PROCESS_R&amp;D","FQ1 2023","FQ1 2023","Currency=USD","Period=FQ","BEST_FPERIOD_OVERRIDE=FQ","FILING_STATUS=MR","SCALING_FORMAT=MLN","Sort=A","Dates=H","DateFormat=P","Fill=—","Direction=H","UseDPDF=Y")</f>
        <v>—</v>
      </c>
      <c r="U17" s="13" t="str">
        <f>_xll.BDH("AMGN US Equity","ARD_ACQUIRED_IN_PROCESS_R&amp;D","FQ2 2023","FQ2 2023","Currency=USD","Period=FQ","BEST_FPERIOD_OVERRIDE=FQ","FILING_STATUS=MR","SCALING_FORMAT=MLN","Sort=A","Dates=H","DateFormat=P","Fill=—","Direction=H","UseDPDF=Y")</f>
        <v>—</v>
      </c>
      <c r="V17" s="13" t="str">
        <f>_xll.BDH("AMGN US Equity","ARD_ACQUIRED_IN_PROCESS_R&amp;D","FQ3 2023","FQ3 2023","Currency=USD","Period=FQ","BEST_FPERIOD_OVERRIDE=FQ","FILING_STATUS=MR","SCALING_FORMAT=MLN","Sort=A","Dates=H","DateFormat=P","Fill=—","Direction=H","UseDPDF=Y")</f>
        <v>—</v>
      </c>
      <c r="W17" s="13" t="str">
        <f>_xll.BDH("AMGN US Equity","ARD_ACQUIRED_IN_PROCESS_R&amp;D","FQ4 2023","FQ4 2023","Currency=USD","Period=FQ","BEST_FPERIOD_OVERRIDE=FQ","FILING_STATUS=MR","SCALING_FORMAT=MLN","Sort=A","Dates=H","DateFormat=P","Fill=—","Direction=H","UseDPDF=Y")</f>
        <v>—</v>
      </c>
      <c r="X17" s="13" t="str">
        <f>_xll.BDH("AMGN US Equity","ARD_ACQUIRED_IN_PROCESS_R&amp;D","FQ1 2024","FQ1 2024","Currency=USD","Period=FQ","BEST_FPERIOD_OVERRIDE=FQ","FILING_STATUS=MR","SCALING_FORMAT=MLN","Sort=A","Dates=H","DateFormat=P","Fill=—","Direction=H","UseDPDF=Y")</f>
        <v>—</v>
      </c>
      <c r="Y17" s="13" t="str">
        <f>_xll.BDH("AMGN US Equity","ARD_ACQUIRED_IN_PROCESS_R&amp;D","FQ2 2024","FQ2 2024","Currency=USD","Period=FQ","BEST_FPERIOD_OVERRIDE=FQ","FILING_STATUS=MR","SCALING_FORMAT=MLN","Sort=A","Dates=H","DateFormat=P","Fill=—","Direction=H","UseDPDF=Y")</f>
        <v>—</v>
      </c>
      <c r="Z17" s="13" t="str">
        <f>_xll.BDH("AMGN US Equity","ARD_ACQUIRED_IN_PROCESS_R&amp;D","FQ3 2024","FQ3 2024","Currency=USD","Period=FQ","BEST_FPERIOD_OVERRIDE=FQ","FILING_STATUS=MR","SCALING_FORMAT=MLN","Sort=A","Dates=H","DateFormat=P","Fill=—","Direction=H","UseDPDF=Y")</f>
        <v>—</v>
      </c>
      <c r="AA17" s="13" t="str">
        <f>_xll.BDH("AMGN US Equity","ARD_ACQUIRED_IN_PROCESS_R&amp;D","FQ4 2024","FQ4 2024","Currency=USD","Period=FQ","BEST_FPERIOD_OVERRIDE=FQ","FILING_STATUS=MR","SCALING_FORMAT=MLN","Sort=A","Dates=H","DateFormat=P","Fill=—","Direction=H","UseDPDF=Y")</f>
        <v>—</v>
      </c>
    </row>
    <row r="18" spans="1:27" x14ac:dyDescent="0.25">
      <c r="A18" s="10" t="s">
        <v>433</v>
      </c>
      <c r="B18" s="10" t="s">
        <v>434</v>
      </c>
      <c r="C18" s="13" t="str">
        <f>_xll.BDH("AMGN US Equity","ARD_OTHER_OPERATING_INC","FQ4 2018","FQ4 2018","Currency=USD","Period=FQ","BEST_FPERIOD_OVERRIDE=FQ","FILING_STATUS=MR","SCALING_FORMAT=MLN","Sort=A","Dates=H","DateFormat=P","Fill=—","Direction=H","UseDPDF=Y")</f>
        <v>—</v>
      </c>
      <c r="D18" s="13">
        <f>_xll.BDH("AMGN US Equity","ARD_OTHER_OPERATING_INC","FQ1 2019","FQ1 2019","Currency=USD","Period=FQ","BEST_FPERIOD_OVERRIDE=FQ","FILING_STATUS=MR","SCALING_FORMAT=MLN","Sort=A","Dates=H","DateFormat=P","Fill=—","Direction=H","UseDPDF=Y")</f>
        <v>3</v>
      </c>
      <c r="E18" s="13">
        <f>_xll.BDH("AMGN US Equity","ARD_OTHER_OPERATING_INC","FQ2 2019","FQ2 2019","Currency=USD","Period=FQ","BEST_FPERIOD_OVERRIDE=FQ","FILING_STATUS=MR","SCALING_FORMAT=MLN","Sort=A","Dates=H","DateFormat=P","Fill=—","Direction=H","UseDPDF=Y")</f>
        <v>3</v>
      </c>
      <c r="F18" s="13" t="str">
        <f>_xll.BDH("AMGN US Equity","ARD_OTHER_OPERATING_INC","FQ3 2019","FQ3 2019","Currency=USD","Period=FQ","BEST_FPERIOD_OVERRIDE=FQ","FILING_STATUS=MR","SCALING_FORMAT=MLN","Sort=A","Dates=H","DateFormat=P","Fill=—","Direction=H","UseDPDF=Y")</f>
        <v>—</v>
      </c>
      <c r="G18" s="13" t="str">
        <f>_xll.BDH("AMGN US Equity","ARD_OTHER_OPERATING_INC","FQ4 2019","FQ4 2019","Currency=USD","Period=FQ","BEST_FPERIOD_OVERRIDE=FQ","FILING_STATUS=MR","SCALING_FORMAT=MLN","Sort=A","Dates=H","DateFormat=P","Fill=—","Direction=H","UseDPDF=Y")</f>
        <v>—</v>
      </c>
      <c r="H18" s="13" t="str">
        <f>_xll.BDH("AMGN US Equity","ARD_OTHER_OPERATING_INC","FQ1 2020","FQ1 2020","Currency=USD","Period=FQ","BEST_FPERIOD_OVERRIDE=FQ","FILING_STATUS=MR","SCALING_FORMAT=MLN","Sort=A","Dates=H","DateFormat=P","Fill=—","Direction=H","UseDPDF=Y")</f>
        <v>—</v>
      </c>
      <c r="I18" s="13" t="str">
        <f>_xll.BDH("AMGN US Equity","ARD_OTHER_OPERATING_INC","FQ2 2020","FQ2 2020","Currency=USD","Period=FQ","BEST_FPERIOD_OVERRIDE=FQ","FILING_STATUS=MR","SCALING_FORMAT=MLN","Sort=A","Dates=H","DateFormat=P","Fill=—","Direction=H","UseDPDF=Y")</f>
        <v>—</v>
      </c>
      <c r="J18" s="13" t="str">
        <f>_xll.BDH("AMGN US Equity","ARD_OTHER_OPERATING_INC","FQ3 2020","FQ3 2020","Currency=USD","Period=FQ","BEST_FPERIOD_OVERRIDE=FQ","FILING_STATUS=MR","SCALING_FORMAT=MLN","Sort=A","Dates=H","DateFormat=P","Fill=—","Direction=H","UseDPDF=Y")</f>
        <v>—</v>
      </c>
      <c r="K18" s="13" t="str">
        <f>_xll.BDH("AMGN US Equity","ARD_OTHER_OPERATING_INC","FQ4 2020","FQ4 2020","Currency=USD","Period=FQ","BEST_FPERIOD_OVERRIDE=FQ","FILING_STATUS=MR","SCALING_FORMAT=MLN","Sort=A","Dates=H","DateFormat=P","Fill=—","Direction=H","UseDPDF=Y")</f>
        <v>—</v>
      </c>
      <c r="L18" s="13" t="str">
        <f>_xll.BDH("AMGN US Equity","ARD_OTHER_OPERATING_INC","FQ1 2021","FQ1 2021","Currency=USD","Period=FQ","BEST_FPERIOD_OVERRIDE=FQ","FILING_STATUS=MR","SCALING_FORMAT=MLN","Sort=A","Dates=H","DateFormat=P","Fill=—","Direction=H","UseDPDF=Y")</f>
        <v>—</v>
      </c>
      <c r="M18" s="13" t="str">
        <f>_xll.BDH("AMGN US Equity","ARD_OTHER_OPERATING_INC","FQ2 2021","FQ2 2021","Currency=USD","Period=FQ","BEST_FPERIOD_OVERRIDE=FQ","FILING_STATUS=MR","SCALING_FORMAT=MLN","Sort=A","Dates=H","DateFormat=P","Fill=—","Direction=H","UseDPDF=Y")</f>
        <v>—</v>
      </c>
      <c r="N18" s="13" t="str">
        <f>_xll.BDH("AMGN US Equity","ARD_OTHER_OPERATING_INC","FQ3 2021","FQ3 2021","Currency=USD","Period=FQ","BEST_FPERIOD_OVERRIDE=FQ","FILING_STATUS=MR","SCALING_FORMAT=MLN","Sort=A","Dates=H","DateFormat=P","Fill=—","Direction=H","UseDPDF=Y")</f>
        <v>—</v>
      </c>
      <c r="O18" s="13" t="str">
        <f>_xll.BDH("AMGN US Equity","ARD_OTHER_OPERATING_INC","FQ4 2021","FQ4 2021","Currency=USD","Period=FQ","BEST_FPERIOD_OVERRIDE=FQ","FILING_STATUS=MR","SCALING_FORMAT=MLN","Sort=A","Dates=H","DateFormat=P","Fill=—","Direction=H","UseDPDF=Y")</f>
        <v>—</v>
      </c>
      <c r="P18" s="13" t="str">
        <f>_xll.BDH("AMGN US Equity","ARD_OTHER_OPERATING_INC","FQ1 2022","FQ1 2022","Currency=USD","Period=FQ","BEST_FPERIOD_OVERRIDE=FQ","FILING_STATUS=MR","SCALING_FORMAT=MLN","Sort=A","Dates=H","DateFormat=P","Fill=—","Direction=H","UseDPDF=Y")</f>
        <v>—</v>
      </c>
      <c r="Q18" s="13" t="str">
        <f>_xll.BDH("AMGN US Equity","ARD_OTHER_OPERATING_INC","FQ2 2022","FQ2 2022","Currency=USD","Period=FQ","BEST_FPERIOD_OVERRIDE=FQ","FILING_STATUS=MR","SCALING_FORMAT=MLN","Sort=A","Dates=H","DateFormat=P","Fill=—","Direction=H","UseDPDF=Y")</f>
        <v>—</v>
      </c>
      <c r="R18" s="13" t="str">
        <f>_xll.BDH("AMGN US Equity","ARD_OTHER_OPERATING_INC","FQ3 2022","FQ3 2022","Currency=USD","Period=FQ","BEST_FPERIOD_OVERRIDE=FQ","FILING_STATUS=MR","SCALING_FORMAT=MLN","Sort=A","Dates=H","DateFormat=P","Fill=—","Direction=H","UseDPDF=Y")</f>
        <v>—</v>
      </c>
      <c r="S18" s="13" t="str">
        <f>_xll.BDH("AMGN US Equity","ARD_OTHER_OPERATING_INC","FQ4 2022","FQ4 2022","Currency=USD","Period=FQ","BEST_FPERIOD_OVERRIDE=FQ","FILING_STATUS=MR","SCALING_FORMAT=MLN","Sort=A","Dates=H","DateFormat=P","Fill=—","Direction=H","UseDPDF=Y")</f>
        <v>—</v>
      </c>
      <c r="T18" s="13" t="str">
        <f>_xll.BDH("AMGN US Equity","ARD_OTHER_OPERATING_INC","FQ1 2023","FQ1 2023","Currency=USD","Period=FQ","BEST_FPERIOD_OVERRIDE=FQ","FILING_STATUS=MR","SCALING_FORMAT=MLN","Sort=A","Dates=H","DateFormat=P","Fill=—","Direction=H","UseDPDF=Y")</f>
        <v>—</v>
      </c>
      <c r="U18" s="13" t="str">
        <f>_xll.BDH("AMGN US Equity","ARD_OTHER_OPERATING_INC","FQ2 2023","FQ2 2023","Currency=USD","Period=FQ","BEST_FPERIOD_OVERRIDE=FQ","FILING_STATUS=MR","SCALING_FORMAT=MLN","Sort=A","Dates=H","DateFormat=P","Fill=—","Direction=H","UseDPDF=Y")</f>
        <v>—</v>
      </c>
      <c r="V18" s="13" t="str">
        <f>_xll.BDH("AMGN US Equity","ARD_OTHER_OPERATING_INC","FQ3 2023","FQ3 2023","Currency=USD","Period=FQ","BEST_FPERIOD_OVERRIDE=FQ","FILING_STATUS=MR","SCALING_FORMAT=MLN","Sort=A","Dates=H","DateFormat=P","Fill=—","Direction=H","UseDPDF=Y")</f>
        <v>—</v>
      </c>
      <c r="W18" s="13" t="str">
        <f>_xll.BDH("AMGN US Equity","ARD_OTHER_OPERATING_INC","FQ4 2023","FQ4 2023","Currency=USD","Period=FQ","BEST_FPERIOD_OVERRIDE=FQ","FILING_STATUS=MR","SCALING_FORMAT=MLN","Sort=A","Dates=H","DateFormat=P","Fill=—","Direction=H","UseDPDF=Y")</f>
        <v>—</v>
      </c>
      <c r="X18" s="13" t="str">
        <f>_xll.BDH("AMGN US Equity","ARD_OTHER_OPERATING_INC","FQ1 2024","FQ1 2024","Currency=USD","Period=FQ","BEST_FPERIOD_OVERRIDE=FQ","FILING_STATUS=MR","SCALING_FORMAT=MLN","Sort=A","Dates=H","DateFormat=P","Fill=—","Direction=H","UseDPDF=Y")</f>
        <v>—</v>
      </c>
      <c r="Y18" s="13" t="str">
        <f>_xll.BDH("AMGN US Equity","ARD_OTHER_OPERATING_INC","FQ2 2024","FQ2 2024","Currency=USD","Period=FQ","BEST_FPERIOD_OVERRIDE=FQ","FILING_STATUS=MR","SCALING_FORMAT=MLN","Sort=A","Dates=H","DateFormat=P","Fill=—","Direction=H","UseDPDF=Y")</f>
        <v>—</v>
      </c>
      <c r="Z18" s="13" t="str">
        <f>_xll.BDH("AMGN US Equity","ARD_OTHER_OPERATING_INC","FQ3 2024","FQ3 2024","Currency=USD","Period=FQ","BEST_FPERIOD_OVERRIDE=FQ","FILING_STATUS=MR","SCALING_FORMAT=MLN","Sort=A","Dates=H","DateFormat=P","Fill=—","Direction=H","UseDPDF=Y")</f>
        <v>—</v>
      </c>
      <c r="AA18" s="13" t="str">
        <f>_xll.BDH("AMGN US Equity","ARD_OTHER_OPERATING_INC","FQ4 2024","FQ4 2024","Currency=USD","Period=FQ","BEST_FPERIOD_OVERRIDE=FQ","FILING_STATUS=MR","SCALING_FORMAT=MLN","Sort=A","Dates=H","DateFormat=P","Fill=—","Direction=H","UseDPDF=Y")</f>
        <v>—</v>
      </c>
    </row>
    <row r="19" spans="1:27" x14ac:dyDescent="0.25">
      <c r="A19" s="10" t="s">
        <v>98</v>
      </c>
      <c r="B19" s="10" t="s">
        <v>435</v>
      </c>
      <c r="C19" s="13">
        <f>_xll.BDH("AMGN US Equity","ARD_OPERATING_INCOME","FQ4 2018","FQ4 2018","Currency=USD","Period=FQ","BEST_FPERIOD_OVERRIDE=FQ","FILING_STATUS=MR","SCALING_FORMAT=MLN","Sort=A","Dates=H","DateFormat=P","Fill=—","Direction=H","UseDPDF=Y")</f>
        <v>2382</v>
      </c>
      <c r="D19" s="13">
        <f>_xll.BDH("AMGN US Equity","ARD_OPERATING_INCOME","FQ1 2019","FQ1 2019","Currency=USD","Period=FQ","BEST_FPERIOD_OVERRIDE=FQ","FILING_STATUS=MR","SCALING_FORMAT=MLN","Sort=A","Dates=H","DateFormat=P","Fill=—","Direction=H","UseDPDF=Y")</f>
        <v>2472</v>
      </c>
      <c r="E19" s="13">
        <f>_xll.BDH("AMGN US Equity","ARD_OPERATING_INCOME","FQ2 2019","FQ2 2019","Currency=USD","Period=FQ","BEST_FPERIOD_OVERRIDE=FQ","FILING_STATUS=MR","SCALING_FORMAT=MLN","Sort=A","Dates=H","DateFormat=P","Fill=—","Direction=H","UseDPDF=Y")</f>
        <v>2678</v>
      </c>
      <c r="F19" s="13">
        <f>_xll.BDH("AMGN US Equity","ARD_OPERATING_INCOME","FQ3 2019","FQ3 2019","Currency=USD","Period=FQ","BEST_FPERIOD_OVERRIDE=FQ","FILING_STATUS=MR","SCALING_FORMAT=MLN","Sort=A","Dates=H","DateFormat=P","Fill=—","Direction=H","UseDPDF=Y")</f>
        <v>2476</v>
      </c>
      <c r="G19" s="13">
        <f>_xll.BDH("AMGN US Equity","ARD_OPERATING_INCOME","FQ4 2019","FQ4 2019","Currency=USD","Period=FQ","BEST_FPERIOD_OVERRIDE=FQ","FILING_STATUS=MR","SCALING_FORMAT=MLN","Sort=A","Dates=H","DateFormat=P","Fill=—","Direction=H","UseDPDF=Y")</f>
        <v>2048</v>
      </c>
      <c r="H19" s="13">
        <f>_xll.BDH("AMGN US Equity","ARD_OPERATING_INCOME","FQ1 2020","FQ1 2020","Currency=USD","Period=FQ","BEST_FPERIOD_OVERRIDE=FQ","FILING_STATUS=MR","SCALING_FORMAT=MLN","Sort=A","Dates=H","DateFormat=P","Fill=—","Direction=H","UseDPDF=Y")</f>
        <v>2355</v>
      </c>
      <c r="I19" s="13">
        <f>_xll.BDH("AMGN US Equity","ARD_OPERATING_INCOME","FQ2 2020","FQ2 2020","Currency=USD","Period=FQ","BEST_FPERIOD_OVERRIDE=FQ","FILING_STATUS=MR","SCALING_FORMAT=MLN","Sort=A","Dates=H","DateFormat=P","Fill=—","Direction=H","UseDPDF=Y")</f>
        <v>2323</v>
      </c>
      <c r="J19" s="13">
        <f>_xll.BDH("AMGN US Equity","ARD_OPERATING_INCOME","FQ3 2020","FQ3 2020","Currency=USD","Period=FQ","BEST_FPERIOD_OVERRIDE=FQ","FILING_STATUS=MR","SCALING_FORMAT=MLN","Sort=A","Dates=H","DateFormat=P","Fill=—","Direction=H","UseDPDF=Y")</f>
        <v>2453</v>
      </c>
      <c r="K19" s="13">
        <f>_xll.BDH("AMGN US Equity","ARD_OPERATING_INCOME","FQ4 2020","FQ4 2020","Currency=USD","Period=FQ","BEST_FPERIOD_OVERRIDE=FQ","FILING_STATUS=MR","SCALING_FORMAT=MLN","Sort=A","Dates=H","DateFormat=P","Fill=—","Direction=H","UseDPDF=Y")</f>
        <v>2008</v>
      </c>
      <c r="L19" s="13">
        <f>_xll.BDH("AMGN US Equity","ARD_OPERATING_INCOME","FQ1 2021","FQ1 2021","Currency=USD","Period=FQ","BEST_FPERIOD_OVERRIDE=FQ","FILING_STATUS=MR","SCALING_FORMAT=MLN","Sort=A","Dates=H","DateFormat=P","Fill=—","Direction=H","UseDPDF=Y")</f>
        <v>2129</v>
      </c>
      <c r="M19" s="13">
        <f>_xll.BDH("AMGN US Equity","ARD_OPERATING_INCOME","FQ2 2021","FQ2 2021","Currency=USD","Period=FQ","BEST_FPERIOD_OVERRIDE=FQ","FILING_STATUS=MR","SCALING_FORMAT=MLN","Sort=A","Dates=H","DateFormat=P","Fill=—","Direction=H","UseDPDF=Y")</f>
        <v>828</v>
      </c>
      <c r="N19" s="13">
        <f>_xll.BDH("AMGN US Equity","ARD_OPERATING_INCOME","FQ3 2021","FQ3 2021","Currency=USD","Period=FQ","BEST_FPERIOD_OVERRIDE=FQ","FILING_STATUS=MR","SCALING_FORMAT=MLN","Sort=A","Dates=H","DateFormat=P","Fill=—","Direction=H","UseDPDF=Y")</f>
        <v>2378</v>
      </c>
      <c r="O19" s="13">
        <f>_xll.BDH("AMGN US Equity","ARD_OPERATING_INCOME","FQ4 2021","FQ4 2021","Currency=USD","Period=FQ","BEST_FPERIOD_OVERRIDE=FQ","FILING_STATUS=MR","SCALING_FORMAT=MLN","Sort=A","Dates=H","DateFormat=P","Fill=—","Direction=H","UseDPDF=Y")</f>
        <v>2304</v>
      </c>
      <c r="P19" s="13">
        <f>_xll.BDH("AMGN US Equity","ARD_OPERATING_INCOME","FQ1 2022","FQ1 2022","Currency=USD","Period=FQ","BEST_FPERIOD_OVERRIDE=FQ","FILING_STATUS=MR","SCALING_FORMAT=MLN","Sort=A","Dates=H","DateFormat=P","Fill=—","Direction=H","UseDPDF=Y")</f>
        <v>2500</v>
      </c>
      <c r="Q19" s="13">
        <f>_xll.BDH("AMGN US Equity","ARD_OPERATING_INCOME","FQ2 2022","FQ2 2022","Currency=USD","Period=FQ","BEST_FPERIOD_OVERRIDE=FQ","FILING_STATUS=MR","SCALING_FORMAT=MLN","Sort=A","Dates=H","DateFormat=P","Fill=—","Direction=H","UseDPDF=Y")</f>
        <v>2176</v>
      </c>
      <c r="R19" s="13">
        <f>_xll.BDH("AMGN US Equity","ARD_OPERATING_INCOME","FQ3 2022","FQ3 2022","Currency=USD","Period=FQ","BEST_FPERIOD_OVERRIDE=FQ","FILING_STATUS=MR","SCALING_FORMAT=MLN","Sort=A","Dates=H","DateFormat=P","Fill=—","Direction=H","UseDPDF=Y")</f>
        <v>2660</v>
      </c>
      <c r="S19" s="13">
        <f>_xll.BDH("AMGN US Equity","ARD_OPERATING_INCOME","FQ4 2022","FQ4 2022","Currency=USD","Period=FQ","BEST_FPERIOD_OVERRIDE=FQ","FILING_STATUS=MR","SCALING_FORMAT=MLN","Sort=A","Dates=H","DateFormat=P","Fill=—","Direction=H","UseDPDF=Y")</f>
        <v>2230</v>
      </c>
      <c r="T19" s="13">
        <f>_xll.BDH("AMGN US Equity","ARD_OPERATING_INCOME","FQ1 2023","FQ1 2023","Currency=USD","Period=FQ","BEST_FPERIOD_OVERRIDE=FQ","FILING_STATUS=MR","SCALING_FORMAT=MLN","Sort=A","Dates=H","DateFormat=P","Fill=—","Direction=H","UseDPDF=Y")</f>
        <v>1921</v>
      </c>
      <c r="U19" s="13">
        <f>_xll.BDH("AMGN US Equity","ARD_OPERATING_INCOME","FQ2 2023","FQ2 2023","Currency=USD","Period=FQ","BEST_FPERIOD_OVERRIDE=FQ","FILING_STATUS=MR","SCALING_FORMAT=MLN","Sort=A","Dates=H","DateFormat=P","Fill=—","Direction=H","UseDPDF=Y")</f>
        <v>2684</v>
      </c>
      <c r="V19" s="13">
        <f>_xll.BDH("AMGN US Equity","ARD_OPERATING_INCOME","FQ3 2023","FQ3 2023","Currency=USD","Period=FQ","BEST_FPERIOD_OVERRIDE=FQ","FILING_STATUS=MR","SCALING_FORMAT=MLN","Sort=A","Dates=H","DateFormat=P","Fill=—","Direction=H","UseDPDF=Y")</f>
        <v>2021</v>
      </c>
      <c r="W19" s="13">
        <f>_xll.BDH("AMGN US Equity","ARD_OPERATING_INCOME","FQ4 2023","FQ4 2023","Currency=USD","Period=FQ","BEST_FPERIOD_OVERRIDE=FQ","FILING_STATUS=MR","SCALING_FORMAT=MLN","Sort=A","Dates=H","DateFormat=P","Fill=—","Direction=H","UseDPDF=Y")</f>
        <v>1271</v>
      </c>
      <c r="X19" s="13">
        <f>_xll.BDH("AMGN US Equity","ARD_OPERATING_INCOME","FQ1 2024","FQ1 2024","Currency=USD","Period=FQ","BEST_FPERIOD_OVERRIDE=FQ","FILING_STATUS=MR","SCALING_FORMAT=MLN","Sort=A","Dates=H","DateFormat=P","Fill=—","Direction=H","UseDPDF=Y")</f>
        <v>991</v>
      </c>
      <c r="Y19" s="13">
        <f>_xll.BDH("AMGN US Equity","ARD_OPERATING_INCOME","FQ2 2024","FQ2 2024","Currency=USD","Period=FQ","BEST_FPERIOD_OVERRIDE=FQ","FILING_STATUS=MR","SCALING_FORMAT=MLN","Sort=A","Dates=H","DateFormat=P","Fill=—","Direction=H","UseDPDF=Y")</f>
        <v>1909</v>
      </c>
      <c r="Z19" s="13">
        <f>_xll.BDH("AMGN US Equity","ARD_OPERATING_INCOME","FQ3 2024","FQ3 2024","Currency=USD","Period=FQ","BEST_FPERIOD_OVERRIDE=FQ","FILING_STATUS=MR","SCALING_FORMAT=MLN","Sort=A","Dates=H","DateFormat=P","Fill=—","Direction=H","UseDPDF=Y")</f>
        <v>2047</v>
      </c>
      <c r="AA19" s="13">
        <f>_xll.BDH("AMGN US Equity","ARD_OPERATING_INCOME","FQ4 2024","FQ4 2024","Currency=USD","Period=FQ","BEST_FPERIOD_OVERRIDE=FQ","FILING_STATUS=MR","SCALING_FORMAT=MLN","Sort=A","Dates=H","DateFormat=P","Fill=—","Direction=H","UseDPDF=Y")</f>
        <v>2311</v>
      </c>
    </row>
    <row r="20" spans="1:27" x14ac:dyDescent="0.25">
      <c r="A20" s="10" t="s">
        <v>436</v>
      </c>
      <c r="B20" s="10" t="s">
        <v>437</v>
      </c>
      <c r="C20" s="13" t="str">
        <f>_xll.BDH("AMGN US Equity","ARD_OTH_OPERATING_INC_EXP_NET","FQ4 2018","FQ4 2018","Currency=USD","Period=FQ","BEST_FPERIOD_OVERRIDE=FQ","FILING_STATUS=MR","SCALING_FORMAT=MLN","Sort=A","Dates=H","DateFormat=P","Fill=—","Direction=H","UseDPDF=Y")</f>
        <v>—</v>
      </c>
      <c r="D20" s="13" t="str">
        <f>_xll.BDH("AMGN US Equity","ARD_OTH_OPERATING_INC_EXP_NET","FQ1 2019","FQ1 2019","Currency=USD","Period=FQ","BEST_FPERIOD_OVERRIDE=FQ","FILING_STATUS=MR","SCALING_FORMAT=MLN","Sort=A","Dates=H","DateFormat=P","Fill=—","Direction=H","UseDPDF=Y")</f>
        <v>—</v>
      </c>
      <c r="E20" s="13" t="str">
        <f>_xll.BDH("AMGN US Equity","ARD_OTH_OPERATING_INC_EXP_NET","FQ2 2019","FQ2 2019","Currency=USD","Period=FQ","BEST_FPERIOD_OVERRIDE=FQ","FILING_STATUS=MR","SCALING_FORMAT=MLN","Sort=A","Dates=H","DateFormat=P","Fill=—","Direction=H","UseDPDF=Y")</f>
        <v>—</v>
      </c>
      <c r="F20" s="13" t="str">
        <f>_xll.BDH("AMGN US Equity","ARD_OTH_OPERATING_INC_EXP_NET","FQ3 2019","FQ3 2019","Currency=USD","Period=FQ","BEST_FPERIOD_OVERRIDE=FQ","FILING_STATUS=MR","SCALING_FORMAT=MLN","Sort=A","Dates=H","DateFormat=P","Fill=—","Direction=H","UseDPDF=Y")</f>
        <v>—</v>
      </c>
      <c r="G20" s="13" t="str">
        <f>_xll.BDH("AMGN US Equity","ARD_OTH_OPERATING_INC_EXP_NET","FQ4 2019","FQ4 2019","Currency=USD","Period=FQ","BEST_FPERIOD_OVERRIDE=FQ","FILING_STATUS=MR","SCALING_FORMAT=MLN","Sort=A","Dates=H","DateFormat=P","Fill=—","Direction=H","UseDPDF=Y")</f>
        <v>—</v>
      </c>
      <c r="H20" s="13" t="str">
        <f>_xll.BDH("AMGN US Equity","ARD_OTH_OPERATING_INC_EXP_NET","FQ1 2020","FQ1 2020","Currency=USD","Period=FQ","BEST_FPERIOD_OVERRIDE=FQ","FILING_STATUS=MR","SCALING_FORMAT=MLN","Sort=A","Dates=H","DateFormat=P","Fill=—","Direction=H","UseDPDF=Y")</f>
        <v>—</v>
      </c>
      <c r="I20" s="13" t="str">
        <f>_xll.BDH("AMGN US Equity","ARD_OTH_OPERATING_INC_EXP_NET","FQ2 2020","FQ2 2020","Currency=USD","Period=FQ","BEST_FPERIOD_OVERRIDE=FQ","FILING_STATUS=MR","SCALING_FORMAT=MLN","Sort=A","Dates=H","DateFormat=P","Fill=—","Direction=H","UseDPDF=Y")</f>
        <v>—</v>
      </c>
      <c r="J20" s="13">
        <f>_xll.BDH("AMGN US Equity","ARD_OTH_OPERATING_INC_EXP_NET","FQ3 2020","FQ3 2020","Currency=USD","Period=FQ","BEST_FPERIOD_OVERRIDE=FQ","FILING_STATUS=MR","SCALING_FORMAT=MLN","Sort=A","Dates=H","DateFormat=P","Fill=—","Direction=H","UseDPDF=Y")</f>
        <v>1</v>
      </c>
      <c r="K20" s="13" t="str">
        <f>_xll.BDH("AMGN US Equity","ARD_OTH_OPERATING_INC_EXP_NET","FQ4 2020","FQ4 2020","Currency=USD","Period=FQ","BEST_FPERIOD_OVERRIDE=FQ","FILING_STATUS=MR","SCALING_FORMAT=MLN","Sort=A","Dates=H","DateFormat=P","Fill=—","Direction=H","UseDPDF=Y")</f>
        <v>—</v>
      </c>
      <c r="L20" s="13" t="str">
        <f>_xll.BDH("AMGN US Equity","ARD_OTH_OPERATING_INC_EXP_NET","FQ1 2021","FQ1 2021","Currency=USD","Period=FQ","BEST_FPERIOD_OVERRIDE=FQ","FILING_STATUS=MR","SCALING_FORMAT=MLN","Sort=A","Dates=H","DateFormat=P","Fill=—","Direction=H","UseDPDF=Y")</f>
        <v>—</v>
      </c>
      <c r="M20" s="13" t="str">
        <f>_xll.BDH("AMGN US Equity","ARD_OTH_OPERATING_INC_EXP_NET","FQ2 2021","FQ2 2021","Currency=USD","Period=FQ","BEST_FPERIOD_OVERRIDE=FQ","FILING_STATUS=MR","SCALING_FORMAT=MLN","Sort=A","Dates=H","DateFormat=P","Fill=—","Direction=H","UseDPDF=Y")</f>
        <v>—</v>
      </c>
      <c r="N20" s="13">
        <f>_xll.BDH("AMGN US Equity","ARD_OTH_OPERATING_INC_EXP_NET","FQ3 2021","FQ3 2021","Currency=USD","Period=FQ","BEST_FPERIOD_OVERRIDE=FQ","FILING_STATUS=MR","SCALING_FORMAT=MLN","Sort=A","Dates=H","DateFormat=P","Fill=—","Direction=H","UseDPDF=Y")</f>
        <v>-8</v>
      </c>
      <c r="O20" s="13" t="str">
        <f>_xll.BDH("AMGN US Equity","ARD_OTH_OPERATING_INC_EXP_NET","FQ4 2021","FQ4 2021","Currency=USD","Period=FQ","BEST_FPERIOD_OVERRIDE=FQ","FILING_STATUS=MR","SCALING_FORMAT=MLN","Sort=A","Dates=H","DateFormat=P","Fill=—","Direction=H","UseDPDF=Y")</f>
        <v>—</v>
      </c>
      <c r="P20" s="13">
        <f>_xll.BDH("AMGN US Equity","ARD_OTH_OPERATING_INC_EXP_NET","FQ1 2022","FQ1 2022","Currency=USD","Period=FQ","BEST_FPERIOD_OVERRIDE=FQ","FILING_STATUS=MR","SCALING_FORMAT=MLN","Sort=A","Dates=H","DateFormat=P","Fill=—","Direction=H","UseDPDF=Y")</f>
        <v>-10</v>
      </c>
      <c r="Q20" s="13" t="str">
        <f>_xll.BDH("AMGN US Equity","ARD_OTH_OPERATING_INC_EXP_NET","FQ2 2022","FQ2 2022","Currency=USD","Period=FQ","BEST_FPERIOD_OVERRIDE=FQ","FILING_STATUS=MR","SCALING_FORMAT=MLN","Sort=A","Dates=H","DateFormat=P","Fill=—","Direction=H","UseDPDF=Y")</f>
        <v>—</v>
      </c>
      <c r="R20" s="13" t="str">
        <f>_xll.BDH("AMGN US Equity","ARD_OTH_OPERATING_INC_EXP_NET","FQ3 2022","FQ3 2022","Currency=USD","Period=FQ","BEST_FPERIOD_OVERRIDE=FQ","FILING_STATUS=MR","SCALING_FORMAT=MLN","Sort=A","Dates=H","DateFormat=P","Fill=—","Direction=H","UseDPDF=Y")</f>
        <v>—</v>
      </c>
      <c r="S20" s="13">
        <f>_xll.BDH("AMGN US Equity","ARD_OTH_OPERATING_INC_EXP_NET","FQ4 2022","FQ4 2022","Currency=USD","Period=FQ","BEST_FPERIOD_OVERRIDE=FQ","FILING_STATUS=MR","SCALING_FORMAT=MLN","Sort=A","Dates=H","DateFormat=P","Fill=—","Direction=H","UseDPDF=Y")</f>
        <v>-34</v>
      </c>
      <c r="T20" s="13" t="str">
        <f>_xll.BDH("AMGN US Equity","ARD_OTH_OPERATING_INC_EXP_NET","FQ1 2023","FQ1 2023","Currency=USD","Period=FQ","BEST_FPERIOD_OVERRIDE=FQ","FILING_STATUS=MR","SCALING_FORMAT=MLN","Sort=A","Dates=H","DateFormat=P","Fill=—","Direction=H","UseDPDF=Y")</f>
        <v>—</v>
      </c>
      <c r="U20" s="13" t="str">
        <f>_xll.BDH("AMGN US Equity","ARD_OTH_OPERATING_INC_EXP_NET","FQ2 2023","FQ2 2023","Currency=USD","Period=FQ","BEST_FPERIOD_OVERRIDE=FQ","FILING_STATUS=MR","SCALING_FORMAT=MLN","Sort=A","Dates=H","DateFormat=P","Fill=—","Direction=H","UseDPDF=Y")</f>
        <v>—</v>
      </c>
      <c r="V20" s="13" t="str">
        <f>_xll.BDH("AMGN US Equity","ARD_OTH_OPERATING_INC_EXP_NET","FQ3 2023","FQ3 2023","Currency=USD","Period=FQ","BEST_FPERIOD_OVERRIDE=FQ","FILING_STATUS=MR","SCALING_FORMAT=MLN","Sort=A","Dates=H","DateFormat=P","Fill=—","Direction=H","UseDPDF=Y")</f>
        <v>—</v>
      </c>
      <c r="W20" s="13" t="str">
        <f>_xll.BDH("AMGN US Equity","ARD_OTH_OPERATING_INC_EXP_NET","FQ4 2023","FQ4 2023","Currency=USD","Period=FQ","BEST_FPERIOD_OVERRIDE=FQ","FILING_STATUS=MR","SCALING_FORMAT=MLN","Sort=A","Dates=H","DateFormat=P","Fill=—","Direction=H","UseDPDF=Y")</f>
        <v>—</v>
      </c>
      <c r="X20" s="13" t="str">
        <f>_xll.BDH("AMGN US Equity","ARD_OTH_OPERATING_INC_EXP_NET","FQ1 2024","FQ1 2024","Currency=USD","Period=FQ","BEST_FPERIOD_OVERRIDE=FQ","FILING_STATUS=MR","SCALING_FORMAT=MLN","Sort=A","Dates=H","DateFormat=P","Fill=—","Direction=H","UseDPDF=Y")</f>
        <v>—</v>
      </c>
      <c r="Y20" s="13" t="str">
        <f>_xll.BDH("AMGN US Equity","ARD_OTH_OPERATING_INC_EXP_NET","FQ2 2024","FQ2 2024","Currency=USD","Period=FQ","BEST_FPERIOD_OVERRIDE=FQ","FILING_STATUS=MR","SCALING_FORMAT=MLN","Sort=A","Dates=H","DateFormat=P","Fill=—","Direction=H","UseDPDF=Y")</f>
        <v>—</v>
      </c>
      <c r="Z20" s="13" t="str">
        <f>_xll.BDH("AMGN US Equity","ARD_OTH_OPERATING_INC_EXP_NET","FQ3 2024","FQ3 2024","Currency=USD","Period=FQ","BEST_FPERIOD_OVERRIDE=FQ","FILING_STATUS=MR","SCALING_FORMAT=MLN","Sort=A","Dates=H","DateFormat=P","Fill=—","Direction=H","UseDPDF=Y")</f>
        <v>—</v>
      </c>
      <c r="AA20" s="13" t="str">
        <f>_xll.BDH("AMGN US Equity","ARD_OTH_OPERATING_INC_EXP_NET","FQ4 2024","FQ4 2024","Currency=USD","Period=FQ","BEST_FPERIOD_OVERRIDE=FQ","FILING_STATUS=MR","SCALING_FORMAT=MLN","Sort=A","Dates=H","DateFormat=P","Fill=—","Direction=H","UseDPDF=Y")</f>
        <v>—</v>
      </c>
    </row>
    <row r="21" spans="1:27" x14ac:dyDescent="0.25">
      <c r="A21" s="10" t="s">
        <v>438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10" t="s">
        <v>439</v>
      </c>
      <c r="B22" s="10" t="s">
        <v>440</v>
      </c>
      <c r="C22" s="13">
        <f>_xll.BDH("AMGN US Equity","ARD_INT_EXP_NET","FQ4 2018","FQ4 2018","Currency=USD","Period=FQ","BEST_FPERIOD_OVERRIDE=FQ","FILING_STATUS=MR","SCALING_FORMAT=MLN","Sort=A","Dates=H","DateFormat=P","Fill=—","Direction=H","UseDPDF=Y")</f>
        <v>352</v>
      </c>
      <c r="D22" s="13">
        <f>_xll.BDH("AMGN US Equity","ARD_INT_EXP_NET","FQ1 2019","FQ1 2019","Currency=USD","Period=FQ","BEST_FPERIOD_OVERRIDE=FQ","FILING_STATUS=MR","SCALING_FORMAT=MLN","Sort=A","Dates=H","DateFormat=P","Fill=—","Direction=H","UseDPDF=Y")</f>
        <v>343</v>
      </c>
      <c r="E22" s="13">
        <f>_xll.BDH("AMGN US Equity","ARD_INT_EXP_NET","FQ2 2019","FQ2 2019","Currency=USD","Period=FQ","BEST_FPERIOD_OVERRIDE=FQ","FILING_STATUS=MR","SCALING_FORMAT=MLN","Sort=A","Dates=H","DateFormat=P","Fill=—","Direction=H","UseDPDF=Y")</f>
        <v>332</v>
      </c>
      <c r="F22" s="13">
        <f>_xll.BDH("AMGN US Equity","ARD_INT_EXP_NET","FQ3 2019","FQ3 2019","Currency=USD","Period=FQ","BEST_FPERIOD_OVERRIDE=FQ","FILING_STATUS=MR","SCALING_FORMAT=MLN","Sort=A","Dates=H","DateFormat=P","Fill=—","Direction=H","UseDPDF=Y")</f>
        <v>313</v>
      </c>
      <c r="G22" s="13">
        <f>_xll.BDH("AMGN US Equity","ARD_INT_EXP_NET","FQ4 2019","FQ4 2019","Currency=USD","Period=FQ","BEST_FPERIOD_OVERRIDE=FQ","FILING_STATUS=MR","SCALING_FORMAT=MLN","Sort=A","Dates=H","DateFormat=P","Fill=—","Direction=H","UseDPDF=Y")</f>
        <v>301</v>
      </c>
      <c r="H22" s="13">
        <f>_xll.BDH("AMGN US Equity","ARD_INT_EXP_NET","FQ1 2020","FQ1 2020","Currency=USD","Period=FQ","BEST_FPERIOD_OVERRIDE=FQ","FILING_STATUS=MR","SCALING_FORMAT=MLN","Sort=A","Dates=H","DateFormat=P","Fill=—","Direction=H","UseDPDF=Y")</f>
        <v>346</v>
      </c>
      <c r="I22" s="13">
        <f>_xll.BDH("AMGN US Equity","ARD_INT_EXP_NET","FQ2 2020","FQ2 2020","Currency=USD","Period=FQ","BEST_FPERIOD_OVERRIDE=FQ","FILING_STATUS=MR","SCALING_FORMAT=MLN","Sort=A","Dates=H","DateFormat=P","Fill=—","Direction=H","UseDPDF=Y")</f>
        <v>296</v>
      </c>
      <c r="J22" s="13">
        <f>_xll.BDH("AMGN US Equity","ARD_INT_EXP_NET","FQ3 2020","FQ3 2020","Currency=USD","Period=FQ","BEST_FPERIOD_OVERRIDE=FQ","FILING_STATUS=MR","SCALING_FORMAT=MLN","Sort=A","Dates=H","DateFormat=P","Fill=—","Direction=H","UseDPDF=Y")</f>
        <v>302</v>
      </c>
      <c r="K22" s="13">
        <f>_xll.BDH("AMGN US Equity","ARD_INT_EXP_NET","FQ4 2020","FQ4 2020","Currency=USD","Period=FQ","BEST_FPERIOD_OVERRIDE=FQ","FILING_STATUS=MR","SCALING_FORMAT=MLN","Sort=A","Dates=H","DateFormat=P","Fill=—","Direction=H","UseDPDF=Y")</f>
        <v>318</v>
      </c>
      <c r="L22" s="13">
        <f>_xll.BDH("AMGN US Equity","ARD_INT_EXP_NET","FQ1 2021","FQ1 2021","Currency=USD","Period=FQ","BEST_FPERIOD_OVERRIDE=FQ","FILING_STATUS=MR","SCALING_FORMAT=MLN","Sort=A","Dates=H","DateFormat=P","Fill=—","Direction=H","UseDPDF=Y")</f>
        <v>285</v>
      </c>
      <c r="M22" s="13">
        <f>_xll.BDH("AMGN US Equity","ARD_INT_EXP_NET","FQ2 2021","FQ2 2021","Currency=USD","Period=FQ","BEST_FPERIOD_OVERRIDE=FQ","FILING_STATUS=MR","SCALING_FORMAT=MLN","Sort=A","Dates=H","DateFormat=P","Fill=—","Direction=H","UseDPDF=Y")</f>
        <v>281</v>
      </c>
      <c r="N22" s="13">
        <f>_xll.BDH("AMGN US Equity","ARD_INT_EXP_NET","FQ3 2021","FQ3 2021","Currency=USD","Period=FQ","BEST_FPERIOD_OVERRIDE=FQ","FILING_STATUS=MR","SCALING_FORMAT=MLN","Sort=A","Dates=H","DateFormat=P","Fill=—","Direction=H","UseDPDF=Y")</f>
        <v>296</v>
      </c>
      <c r="O22" s="13">
        <f>_xll.BDH("AMGN US Equity","ARD_INT_EXP_NET","FQ4 2021","FQ4 2021","Currency=USD","Period=FQ","BEST_FPERIOD_OVERRIDE=FQ","FILING_STATUS=MR","SCALING_FORMAT=MLN","Sort=A","Dates=H","DateFormat=P","Fill=—","Direction=H","UseDPDF=Y")</f>
        <v>335</v>
      </c>
      <c r="P22" s="13">
        <f>_xll.BDH("AMGN US Equity","ARD_INT_EXP_NET","FQ1 2022","FQ1 2022","Currency=USD","Period=FQ","BEST_FPERIOD_OVERRIDE=FQ","FILING_STATUS=MR","SCALING_FORMAT=MLN","Sort=A","Dates=H","DateFormat=P","Fill=—","Direction=H","UseDPDF=Y")</f>
        <v>295</v>
      </c>
      <c r="Q22" s="13">
        <f>_xll.BDH("AMGN US Equity","ARD_INT_EXP_NET","FQ2 2022","FQ2 2022","Currency=USD","Period=FQ","BEST_FPERIOD_OVERRIDE=FQ","FILING_STATUS=MR","SCALING_FORMAT=MLN","Sort=A","Dates=H","DateFormat=P","Fill=—","Direction=H","UseDPDF=Y")</f>
        <v>328</v>
      </c>
      <c r="R22" s="13">
        <f>_xll.BDH("AMGN US Equity","ARD_INT_EXP_NET","FQ3 2022","FQ3 2022","Currency=USD","Period=FQ","BEST_FPERIOD_OVERRIDE=FQ","FILING_STATUS=MR","SCALING_FORMAT=MLN","Sort=A","Dates=H","DateFormat=P","Fill=—","Direction=H","UseDPDF=Y")</f>
        <v>368</v>
      </c>
      <c r="S22" s="13">
        <f>_xll.BDH("AMGN US Equity","ARD_INT_EXP_NET","FQ4 2022","FQ4 2022","Currency=USD","Period=FQ","BEST_FPERIOD_OVERRIDE=FQ","FILING_STATUS=MR","SCALING_FORMAT=MLN","Sort=A","Dates=H","DateFormat=P","Fill=—","Direction=H","UseDPDF=Y")</f>
        <v>415</v>
      </c>
      <c r="T22" s="13">
        <f>_xll.BDH("AMGN US Equity","ARD_INT_EXP_NET","FQ1 2023","FQ1 2023","Currency=USD","Period=FQ","BEST_FPERIOD_OVERRIDE=FQ","FILING_STATUS=MR","SCALING_FORMAT=MLN","Sort=A","Dates=H","DateFormat=P","Fill=—","Direction=H","UseDPDF=Y")</f>
        <v>543</v>
      </c>
      <c r="U22" s="13">
        <f>_xll.BDH("AMGN US Equity","ARD_INT_EXP_NET","FQ2 2023","FQ2 2023","Currency=USD","Period=FQ","BEST_FPERIOD_OVERRIDE=FQ","FILING_STATUS=MR","SCALING_FORMAT=MLN","Sort=A","Dates=H","DateFormat=P","Fill=—","Direction=H","UseDPDF=Y")</f>
        <v>752</v>
      </c>
      <c r="V22" s="13">
        <f>_xll.BDH("AMGN US Equity","ARD_INT_EXP_NET","FQ3 2023","FQ3 2023","Currency=USD","Period=FQ","BEST_FPERIOD_OVERRIDE=FQ","FILING_STATUS=MR","SCALING_FORMAT=MLN","Sort=A","Dates=H","DateFormat=P","Fill=—","Direction=H","UseDPDF=Y")</f>
        <v>759</v>
      </c>
      <c r="W22" s="13">
        <f>_xll.BDH("AMGN US Equity","ARD_INT_EXP_NET","FQ4 2023","FQ4 2023","Currency=USD","Period=FQ","BEST_FPERIOD_OVERRIDE=FQ","FILING_STATUS=MR","SCALING_FORMAT=MLN","Sort=A","Dates=H","DateFormat=P","Fill=—","Direction=H","UseDPDF=Y")</f>
        <v>821</v>
      </c>
      <c r="X22" s="13">
        <f>_xll.BDH("AMGN US Equity","ARD_INT_EXP_NET","FQ1 2024","FQ1 2024","Currency=USD","Period=FQ","BEST_FPERIOD_OVERRIDE=FQ","FILING_STATUS=MR","SCALING_FORMAT=MLN","Sort=A","Dates=H","DateFormat=P","Fill=—","Direction=H","UseDPDF=Y")</f>
        <v>824</v>
      </c>
      <c r="Y22" s="13">
        <f>_xll.BDH("AMGN US Equity","ARD_INT_EXP_NET","FQ2 2024","FQ2 2024","Currency=USD","Period=FQ","BEST_FPERIOD_OVERRIDE=FQ","FILING_STATUS=MR","SCALING_FORMAT=MLN","Sort=A","Dates=H","DateFormat=P","Fill=—","Direction=H","UseDPDF=Y")</f>
        <v>808</v>
      </c>
      <c r="Z22" s="13">
        <f>_xll.BDH("AMGN US Equity","ARD_INT_EXP_NET","FQ3 2024","FQ3 2024","Currency=USD","Period=FQ","BEST_FPERIOD_OVERRIDE=FQ","FILING_STATUS=MR","SCALING_FORMAT=MLN","Sort=A","Dates=H","DateFormat=P","Fill=—","Direction=H","UseDPDF=Y")</f>
        <v>776</v>
      </c>
      <c r="AA22" s="13">
        <f>_xll.BDH("AMGN US Equity","ARD_INT_EXP_NET","FQ4 2024","FQ4 2024","Currency=USD","Period=FQ","BEST_FPERIOD_OVERRIDE=FQ","FILING_STATUS=MR","SCALING_FORMAT=MLN","Sort=A","Dates=H","DateFormat=P","Fill=—","Direction=H","UseDPDF=Y")</f>
        <v>747</v>
      </c>
    </row>
    <row r="23" spans="1:27" x14ac:dyDescent="0.25">
      <c r="A23" s="10" t="s">
        <v>441</v>
      </c>
      <c r="B23" s="10" t="s">
        <v>442</v>
      </c>
      <c r="C23" s="13">
        <f>_xll.BDH("AMGN US Equity","ARD_INCOME_TAX_EXP_BENEFIT","FQ4 2018","FQ4 2018","Currency=USD","Period=FQ","BEST_FPERIOD_OVERRIDE=FQ","FILING_STATUS=MR","SCALING_FORMAT=MLN","Sort=A","Dates=H","DateFormat=P","Fill=—","Direction=H","UseDPDF=Y")</f>
        <v>257</v>
      </c>
      <c r="D23" s="13">
        <f>_xll.BDH("AMGN US Equity","ARD_INCOME_TAX_EXP_BENEFIT","FQ1 2019","FQ1 2019","Currency=USD","Period=FQ","BEST_FPERIOD_OVERRIDE=FQ","FILING_STATUS=MR","SCALING_FORMAT=MLN","Sort=A","Dates=H","DateFormat=P","Fill=—","Direction=H","UseDPDF=Y")</f>
        <v>322</v>
      </c>
      <c r="E23" s="13">
        <f>_xll.BDH("AMGN US Equity","ARD_INCOME_TAX_EXP_BENEFIT","FQ2 2019","FQ2 2019","Currency=USD","Period=FQ","BEST_FPERIOD_OVERRIDE=FQ","FILING_STATUS=MR","SCALING_FORMAT=MLN","Sort=A","Dates=H","DateFormat=P","Fill=—","Direction=H","UseDPDF=Y")</f>
        <v>385</v>
      </c>
      <c r="F23" s="13">
        <f>_xll.BDH("AMGN US Equity","ARD_INCOME_TAX_EXP_BENEFIT","FQ3 2019","FQ3 2019","Currency=USD","Period=FQ","BEST_FPERIOD_OVERRIDE=FQ","FILING_STATUS=MR","SCALING_FORMAT=MLN","Sort=A","Dates=H","DateFormat=P","Fill=—","Direction=H","UseDPDF=Y")</f>
        <v>309</v>
      </c>
      <c r="G23" s="13">
        <f>_xll.BDH("AMGN US Equity","ARD_INCOME_TAX_EXP_BENEFIT","FQ4 2019","FQ4 2019","Currency=USD","Period=FQ","BEST_FPERIOD_OVERRIDE=FQ","FILING_STATUS=MR","SCALING_FORMAT=MLN","Sort=A","Dates=H","DateFormat=P","Fill=—","Direction=H","UseDPDF=Y")</f>
        <v>280</v>
      </c>
      <c r="H23" s="13">
        <f>_xll.BDH("AMGN US Equity","ARD_INCOME_TAX_EXP_BENEFIT","FQ1 2020","FQ1 2020","Currency=USD","Period=FQ","BEST_FPERIOD_OVERRIDE=FQ","FILING_STATUS=MR","SCALING_FORMAT=MLN","Sort=A","Dates=H","DateFormat=P","Fill=—","Direction=H","UseDPDF=Y")</f>
        <v>195</v>
      </c>
      <c r="I23" s="13">
        <f>_xll.BDH("AMGN US Equity","ARD_INCOME_TAX_EXP_BENEFIT","FQ2 2020","FQ2 2020","Currency=USD","Period=FQ","BEST_FPERIOD_OVERRIDE=FQ","FILING_STATUS=MR","SCALING_FORMAT=MLN","Sort=A","Dates=H","DateFormat=P","Fill=—","Direction=H","UseDPDF=Y")</f>
        <v>227</v>
      </c>
      <c r="J23" s="13">
        <f>_xll.BDH("AMGN US Equity","ARD_INCOME_TAX_EXP_BENEFIT","FQ3 2020","FQ3 2020","Currency=USD","Period=FQ","BEST_FPERIOD_OVERRIDE=FQ","FILING_STATUS=MR","SCALING_FORMAT=MLN","Sort=A","Dates=H","DateFormat=P","Fill=—","Direction=H","UseDPDF=Y")</f>
        <v>185</v>
      </c>
      <c r="K23" s="13">
        <f>_xll.BDH("AMGN US Equity","ARD_INCOME_TAX_EXP_BENEFIT","FQ4 2020","FQ4 2020","Currency=USD","Period=FQ","BEST_FPERIOD_OVERRIDE=FQ","FILING_STATUS=MR","SCALING_FORMAT=MLN","Sort=A","Dates=H","DateFormat=P","Fill=—","Direction=H","UseDPDF=Y")</f>
        <v>262</v>
      </c>
      <c r="L23" s="13">
        <f>_xll.BDH("AMGN US Equity","ARD_INCOME_TAX_EXP_BENEFIT","FQ1 2021","FQ1 2021","Currency=USD","Period=FQ","BEST_FPERIOD_OVERRIDE=FQ","FILING_STATUS=MR","SCALING_FORMAT=MLN","Sort=A","Dates=H","DateFormat=P","Fill=—","Direction=H","UseDPDF=Y")</f>
        <v>211</v>
      </c>
      <c r="M23" s="13">
        <f>_xll.BDH("AMGN US Equity","ARD_INCOME_TAX_EXP_BENEFIT","FQ2 2021","FQ2 2021","Currency=USD","Period=FQ","BEST_FPERIOD_OVERRIDE=FQ","FILING_STATUS=MR","SCALING_FORMAT=MLN","Sort=A","Dates=H","DateFormat=P","Fill=—","Direction=H","UseDPDF=Y")</f>
        <v>94</v>
      </c>
      <c r="N23" s="13">
        <f>_xll.BDH("AMGN US Equity","ARD_INCOME_TAX_EXP_BENEFIT","FQ3 2021","FQ3 2021","Currency=USD","Period=FQ","BEST_FPERIOD_OVERRIDE=FQ","FILING_STATUS=MR","SCALING_FORMAT=MLN","Sort=A","Dates=H","DateFormat=P","Fill=—","Direction=H","UseDPDF=Y")</f>
        <v>271</v>
      </c>
      <c r="O23" s="13">
        <f>_xll.BDH("AMGN US Equity","ARD_INCOME_TAX_EXP_BENEFIT","FQ4 2021","FQ4 2021","Currency=USD","Period=FQ","BEST_FPERIOD_OVERRIDE=FQ","FILING_STATUS=MR","SCALING_FORMAT=MLN","Sort=A","Dates=H","DateFormat=P","Fill=—","Direction=H","UseDPDF=Y")</f>
        <v>232</v>
      </c>
      <c r="P23" s="13">
        <f>_xll.BDH("AMGN US Equity","ARD_INCOME_TAX_EXP_BENEFIT","FQ1 2022","FQ1 2022","Currency=USD","Period=FQ","BEST_FPERIOD_OVERRIDE=FQ","FILING_STATUS=MR","SCALING_FORMAT=MLN","Sort=A","Dates=H","DateFormat=P","Fill=—","Direction=H","UseDPDF=Y")</f>
        <v>199</v>
      </c>
      <c r="Q23" s="13">
        <f>_xll.BDH("AMGN US Equity","ARD_INCOME_TAX_EXP_BENEFIT","FQ2 2022","FQ2 2022","Currency=USD","Period=FQ","BEST_FPERIOD_OVERRIDE=FQ","FILING_STATUS=MR","SCALING_FORMAT=MLN","Sort=A","Dates=H","DateFormat=P","Fill=—","Direction=H","UseDPDF=Y")</f>
        <v>214</v>
      </c>
      <c r="R23" s="13">
        <f>_xll.BDH("AMGN US Equity","ARD_INCOME_TAX_EXP_BENEFIT","FQ3 2022","FQ3 2022","Currency=USD","Period=FQ","BEST_FPERIOD_OVERRIDE=FQ","FILING_STATUS=MR","SCALING_FORMAT=MLN","Sort=A","Dates=H","DateFormat=P","Fill=—","Direction=H","UseDPDF=Y")</f>
        <v>249</v>
      </c>
      <c r="S23" s="13">
        <f>_xll.BDH("AMGN US Equity","ARD_INCOME_TAX_EXP_BENEFIT","FQ4 2022","FQ4 2022","Currency=USD","Period=FQ","BEST_FPERIOD_OVERRIDE=FQ","FILING_STATUS=MR","SCALING_FORMAT=MLN","Sort=A","Dates=H","DateFormat=P","Fill=—","Direction=H","UseDPDF=Y")</f>
        <v>132</v>
      </c>
      <c r="T23" s="13">
        <f>_xll.BDH("AMGN US Equity","ARD_INCOME_TAX_EXP_BENEFIT","FQ1 2023","FQ1 2023","Currency=USD","Period=FQ","BEST_FPERIOD_OVERRIDE=FQ","FILING_STATUS=MR","SCALING_FORMAT=MLN","Sort=A","Dates=H","DateFormat=P","Fill=—","Direction=H","UseDPDF=Y")</f>
        <v>601</v>
      </c>
      <c r="U23" s="13">
        <f>_xll.BDH("AMGN US Equity","ARD_INCOME_TAX_EXP_BENEFIT","FQ2 2023","FQ2 2023","Currency=USD","Period=FQ","BEST_FPERIOD_OVERRIDE=FQ","FILING_STATUS=MR","SCALING_FORMAT=MLN","Sort=A","Dates=H","DateFormat=P","Fill=—","Direction=H","UseDPDF=Y")</f>
        <v>235</v>
      </c>
      <c r="V23" s="13">
        <f>_xll.BDH("AMGN US Equity","ARD_INCOME_TAX_EXP_BENEFIT","FQ3 2023","FQ3 2023","Currency=USD","Period=FQ","BEST_FPERIOD_OVERRIDE=FQ","FILING_STATUS=MR","SCALING_FORMAT=MLN","Sort=A","Dates=H","DateFormat=P","Fill=—","Direction=H","UseDPDF=Y")</f>
        <v>217</v>
      </c>
      <c r="W23" s="13">
        <f>_xll.BDH("AMGN US Equity","ARD_INCOME_TAX_EXP_BENEFIT","FQ4 2023","FQ4 2023","Currency=USD","Period=FQ","BEST_FPERIOD_OVERRIDE=FQ","FILING_STATUS=MR","SCALING_FORMAT=MLN","Sort=A","Dates=H","DateFormat=P","Fill=—","Direction=H","UseDPDF=Y")</f>
        <v>85</v>
      </c>
      <c r="X23" s="13">
        <f>_xll.BDH("AMGN US Equity","ARD_INCOME_TAX_EXP_BENEFIT","FQ1 2024","FQ1 2024","Currency=USD","Period=FQ","BEST_FPERIOD_OVERRIDE=FQ","FILING_STATUS=MR","SCALING_FORMAT=MLN","Sort=A","Dates=H","DateFormat=P","Fill=—","Direction=H","UseDPDF=Y")</f>
        <v>45</v>
      </c>
      <c r="Y23" s="13">
        <f>_xll.BDH("AMGN US Equity","ARD_INCOME_TAX_EXP_BENEFIT","FQ2 2024","FQ2 2024","Currency=USD","Period=FQ","BEST_FPERIOD_OVERRIDE=FQ","FILING_STATUS=MR","SCALING_FORMAT=MLN","Sort=A","Dates=H","DateFormat=P","Fill=—","Direction=H","UseDPDF=Y")</f>
        <v>48</v>
      </c>
      <c r="Z23" s="13">
        <f>_xll.BDH("AMGN US Equity","ARD_INCOME_TAX_EXP_BENEFIT","FQ3 2024","FQ3 2024","Currency=USD","Period=FQ","BEST_FPERIOD_OVERRIDE=FQ","FILING_STATUS=MR","SCALING_FORMAT=MLN","Sort=A","Dates=H","DateFormat=P","Fill=—","Direction=H","UseDPDF=Y")</f>
        <v>271</v>
      </c>
      <c r="AA23" s="13">
        <f>_xll.BDH("AMGN US Equity","ARD_INCOME_TAX_EXP_BENEFIT","FQ4 2024","FQ4 2024","Currency=USD","Period=FQ","BEST_FPERIOD_OVERRIDE=FQ","FILING_STATUS=MR","SCALING_FORMAT=MLN","Sort=A","Dates=H","DateFormat=P","Fill=—","Direction=H","UseDPDF=Y")</f>
        <v>155</v>
      </c>
    </row>
    <row r="24" spans="1:27" x14ac:dyDescent="0.25">
      <c r="A24" s="10" t="s">
        <v>443</v>
      </c>
      <c r="B24" s="10" t="s">
        <v>444</v>
      </c>
      <c r="C24" s="13">
        <f>_xll.BDH("AMGN US Equity","ARD_INCOME_BEFORE_INCOME_TAXES","FQ4 2018","FQ4 2018","Currency=USD","Period=FQ","BEST_FPERIOD_OVERRIDE=FQ","FILING_STATUS=MR","SCALING_FORMAT=MLN","Sort=A","Dates=H","DateFormat=P","Fill=—","Direction=H","UseDPDF=Y")</f>
        <v>2185</v>
      </c>
      <c r="D24" s="13">
        <f>_xll.BDH("AMGN US Equity","ARD_INCOME_BEFORE_INCOME_TAXES","FQ1 2019","FQ1 2019","Currency=USD","Period=FQ","BEST_FPERIOD_OVERRIDE=FQ","FILING_STATUS=MR","SCALING_FORMAT=MLN","Sort=A","Dates=H","DateFormat=P","Fill=—","Direction=H","UseDPDF=Y")</f>
        <v>2314</v>
      </c>
      <c r="E24" s="13">
        <f>_xll.BDH("AMGN US Equity","ARD_INCOME_BEFORE_INCOME_TAXES","FQ2 2019","FQ2 2019","Currency=USD","Period=FQ","BEST_FPERIOD_OVERRIDE=FQ","FILING_STATUS=MR","SCALING_FORMAT=MLN","Sort=A","Dates=H","DateFormat=P","Fill=—","Direction=H","UseDPDF=Y")</f>
        <v>2564</v>
      </c>
      <c r="F24" s="13">
        <f>_xll.BDH("AMGN US Equity","ARD_INCOME_BEFORE_INCOME_TAXES","FQ3 2019","FQ3 2019","Currency=USD","Period=FQ","BEST_FPERIOD_OVERRIDE=FQ","FILING_STATUS=MR","SCALING_FORMAT=MLN","Sort=A","Dates=H","DateFormat=P","Fill=—","Direction=H","UseDPDF=Y")</f>
        <v>2277</v>
      </c>
      <c r="G24" s="13">
        <f>_xll.BDH("AMGN US Equity","ARD_INCOME_BEFORE_INCOME_TAXES","FQ4 2019","FQ4 2019","Currency=USD","Period=FQ","BEST_FPERIOD_OVERRIDE=FQ","FILING_STATUS=MR","SCALING_FORMAT=MLN","Sort=A","Dates=H","DateFormat=P","Fill=—","Direction=H","UseDPDF=Y")</f>
        <v>1983</v>
      </c>
      <c r="H24" s="13">
        <f>_xll.BDH("AMGN US Equity","ARD_INCOME_BEFORE_INCOME_TAXES","FQ1 2020","FQ1 2020","Currency=USD","Period=FQ","BEST_FPERIOD_OVERRIDE=FQ","FILING_STATUS=MR","SCALING_FORMAT=MLN","Sort=A","Dates=H","DateFormat=P","Fill=—","Direction=H","UseDPDF=Y")</f>
        <v>2020</v>
      </c>
      <c r="I24" s="13">
        <f>_xll.BDH("AMGN US Equity","ARD_INCOME_BEFORE_INCOME_TAXES","FQ2 2020","FQ2 2020","Currency=USD","Period=FQ","BEST_FPERIOD_OVERRIDE=FQ","FILING_STATUS=MR","SCALING_FORMAT=MLN","Sort=A","Dates=H","DateFormat=P","Fill=—","Direction=H","UseDPDF=Y")</f>
        <v>2030</v>
      </c>
      <c r="J24" s="13">
        <f>_xll.BDH("AMGN US Equity","ARD_INCOME_BEFORE_INCOME_TAXES","FQ3 2020","FQ3 2020","Currency=USD","Period=FQ","BEST_FPERIOD_OVERRIDE=FQ","FILING_STATUS=MR","SCALING_FORMAT=MLN","Sort=A","Dates=H","DateFormat=P","Fill=—","Direction=H","UseDPDF=Y")</f>
        <v>2206</v>
      </c>
      <c r="K24" s="13">
        <f>_xll.BDH("AMGN US Equity","ARD_INCOME_BEFORE_INCOME_TAXES","FQ4 2020","FQ4 2020","Currency=USD","Period=FQ","BEST_FPERIOD_OVERRIDE=FQ","FILING_STATUS=MR","SCALING_FORMAT=MLN","Sort=A","Dates=H","DateFormat=P","Fill=—","Direction=H","UseDPDF=Y")</f>
        <v>1877</v>
      </c>
      <c r="L24" s="13">
        <f>_xll.BDH("AMGN US Equity","ARD_INCOME_BEFORE_INCOME_TAXES","FQ1 2021","FQ1 2021","Currency=USD","Period=FQ","BEST_FPERIOD_OVERRIDE=FQ","FILING_STATUS=MR","SCALING_FORMAT=MLN","Sort=A","Dates=H","DateFormat=P","Fill=—","Direction=H","UseDPDF=Y")</f>
        <v>1857</v>
      </c>
      <c r="M24" s="13">
        <f>_xll.BDH("AMGN US Equity","ARD_INCOME_BEFORE_INCOME_TAXES","FQ2 2021","FQ2 2021","Currency=USD","Period=FQ","BEST_FPERIOD_OVERRIDE=FQ","FILING_STATUS=MR","SCALING_FORMAT=MLN","Sort=A","Dates=H","DateFormat=P","Fill=—","Direction=H","UseDPDF=Y")</f>
        <v>558</v>
      </c>
      <c r="N24" s="13">
        <f>_xll.BDH("AMGN US Equity","ARD_INCOME_BEFORE_INCOME_TAXES","FQ3 2021","FQ3 2021","Currency=USD","Period=FQ","BEST_FPERIOD_OVERRIDE=FQ","FILING_STATUS=MR","SCALING_FORMAT=MLN","Sort=A","Dates=H","DateFormat=P","Fill=—","Direction=H","UseDPDF=Y")</f>
        <v>2155</v>
      </c>
      <c r="O24" s="13">
        <f>_xll.BDH("AMGN US Equity","ARD_INCOME_BEFORE_INCOME_TAXES","FQ4 2021","FQ4 2021","Currency=USD","Period=FQ","BEST_FPERIOD_OVERRIDE=FQ","FILING_STATUS=MR","SCALING_FORMAT=MLN","Sort=A","Dates=H","DateFormat=P","Fill=—","Direction=H","UseDPDF=Y")</f>
        <v>2131</v>
      </c>
      <c r="P24" s="13">
        <f>_xll.BDH("AMGN US Equity","ARD_INCOME_BEFORE_INCOME_TAXES","FQ1 2022","FQ1 2022","Currency=USD","Period=FQ","BEST_FPERIOD_OVERRIDE=FQ","FILING_STATUS=MR","SCALING_FORMAT=MLN","Sort=A","Dates=H","DateFormat=P","Fill=—","Direction=H","UseDPDF=Y")</f>
        <v>1675</v>
      </c>
      <c r="Q24" s="13">
        <f>_xll.BDH("AMGN US Equity","ARD_INCOME_BEFORE_INCOME_TAXES","FQ2 2022","FQ2 2022","Currency=USD","Period=FQ","BEST_FPERIOD_OVERRIDE=FQ","FILING_STATUS=MR","SCALING_FORMAT=MLN","Sort=A","Dates=H","DateFormat=P","Fill=—","Direction=H","UseDPDF=Y")</f>
        <v>1531</v>
      </c>
      <c r="R24" s="13">
        <f>_xll.BDH("AMGN US Equity","ARD_INCOME_BEFORE_INCOME_TAXES","FQ3 2022","FQ3 2022","Currency=USD","Period=FQ","BEST_FPERIOD_OVERRIDE=FQ","FILING_STATUS=MR","SCALING_FORMAT=MLN","Sort=A","Dates=H","DateFormat=P","Fill=—","Direction=H","UseDPDF=Y")</f>
        <v>2392</v>
      </c>
      <c r="S24" s="13">
        <f>_xll.BDH("AMGN US Equity","ARD_INCOME_BEFORE_INCOME_TAXES","FQ4 2022","FQ4 2022","Currency=USD","Period=FQ","BEST_FPERIOD_OVERRIDE=FQ","FILING_STATUS=MR","SCALING_FORMAT=MLN","Sort=A","Dates=H","DateFormat=P","Fill=—","Direction=H","UseDPDF=Y")</f>
        <v>1748</v>
      </c>
      <c r="T24" s="13">
        <f>_xll.BDH("AMGN US Equity","ARD_INCOME_BEFORE_INCOME_TAXES","FQ1 2023","FQ1 2023","Currency=USD","Period=FQ","BEST_FPERIOD_OVERRIDE=FQ","FILING_STATUS=MR","SCALING_FORMAT=MLN","Sort=A","Dates=H","DateFormat=P","Fill=—","Direction=H","UseDPDF=Y")</f>
        <v>3442</v>
      </c>
      <c r="U24" s="13">
        <f>_xll.BDH("AMGN US Equity","ARD_INCOME_BEFORE_INCOME_TAXES","FQ2 2023","FQ2 2023","Currency=USD","Period=FQ","BEST_FPERIOD_OVERRIDE=FQ","FILING_STATUS=MR","SCALING_FORMAT=MLN","Sort=A","Dates=H","DateFormat=P","Fill=—","Direction=H","UseDPDF=Y")</f>
        <v>1614</v>
      </c>
      <c r="V24" s="13">
        <f>_xll.BDH("AMGN US Equity","ARD_INCOME_BEFORE_INCOME_TAXES","FQ3 2023","FQ3 2023","Currency=USD","Period=FQ","BEST_FPERIOD_OVERRIDE=FQ","FILING_STATUS=MR","SCALING_FORMAT=MLN","Sort=A","Dates=H","DateFormat=P","Fill=—","Direction=H","UseDPDF=Y")</f>
        <v>1947</v>
      </c>
      <c r="W24" s="13">
        <f>_xll.BDH("AMGN US Equity","ARD_INCOME_BEFORE_INCOME_TAXES","FQ4 2023","FQ4 2023","Currency=USD","Period=FQ","BEST_FPERIOD_OVERRIDE=FQ","FILING_STATUS=MR","SCALING_FORMAT=MLN","Sort=A","Dates=H","DateFormat=P","Fill=—","Direction=H","UseDPDF=Y")</f>
        <v>852</v>
      </c>
      <c r="X24" s="13">
        <f>_xll.BDH("AMGN US Equity","ARD_INCOME_BEFORE_INCOME_TAXES","FQ1 2024","FQ1 2024","Currency=USD","Period=FQ","BEST_FPERIOD_OVERRIDE=FQ","FILING_STATUS=MR","SCALING_FORMAT=MLN","Sort=A","Dates=H","DateFormat=P","Fill=—","Direction=H","UseDPDF=Y")</f>
        <v>-68</v>
      </c>
      <c r="Y24" s="13">
        <f>_xll.BDH("AMGN US Equity","ARD_INCOME_BEFORE_INCOME_TAXES","FQ2 2024","FQ2 2024","Currency=USD","Period=FQ","BEST_FPERIOD_OVERRIDE=FQ","FILING_STATUS=MR","SCALING_FORMAT=MLN","Sort=A","Dates=H","DateFormat=P","Fill=—","Direction=H","UseDPDF=Y")</f>
        <v>794</v>
      </c>
      <c r="Z24" s="13">
        <f>_xll.BDH("AMGN US Equity","ARD_INCOME_BEFORE_INCOME_TAXES","FQ3 2024","FQ3 2024","Currency=USD","Period=FQ","BEST_FPERIOD_OVERRIDE=FQ","FILING_STATUS=MR","SCALING_FORMAT=MLN","Sort=A","Dates=H","DateFormat=P","Fill=—","Direction=H","UseDPDF=Y")</f>
        <v>3101</v>
      </c>
      <c r="AA24" s="13">
        <f>_xll.BDH("AMGN US Equity","ARD_INCOME_BEFORE_INCOME_TAXES","FQ4 2024","FQ4 2024","Currency=USD","Period=FQ","BEST_FPERIOD_OVERRIDE=FQ","FILING_STATUS=MR","SCALING_FORMAT=MLN","Sort=A","Dates=H","DateFormat=P","Fill=—","Direction=H","UseDPDF=Y")</f>
        <v>782</v>
      </c>
    </row>
    <row r="25" spans="1:27" x14ac:dyDescent="0.25">
      <c r="A25" s="10" t="s">
        <v>445</v>
      </c>
      <c r="B25" s="10" t="s">
        <v>446</v>
      </c>
      <c r="C25" s="13">
        <f>_xll.BDH("AMGN US Equity","ARD_OTH_NON_OPER_INC_EXP_NET","FQ4 2018","FQ4 2018","Currency=USD","Period=FQ","BEST_FPERIOD_OVERRIDE=FQ","FILING_STATUS=MR","SCALING_FORMAT=MLN","Sort=A","Dates=H","DateFormat=P","Fill=—","Direction=H","UseDPDF=Y")</f>
        <v>-155</v>
      </c>
      <c r="D25" s="13">
        <f>_xll.BDH("AMGN US Equity","ARD_OTH_NON_OPER_INC_EXP_NET","FQ1 2019","FQ1 2019","Currency=USD","Period=FQ","BEST_FPERIOD_OVERRIDE=FQ","FILING_STATUS=MR","SCALING_FORMAT=MLN","Sort=A","Dates=H","DateFormat=P","Fill=—","Direction=H","UseDPDF=Y")</f>
        <v>-185</v>
      </c>
      <c r="E25" s="13">
        <f>_xll.BDH("AMGN US Equity","ARD_OTH_NON_OPER_INC_EXP_NET","FQ2 2019","FQ2 2019","Currency=USD","Period=FQ","BEST_FPERIOD_OVERRIDE=FQ","FILING_STATUS=MR","SCALING_FORMAT=MLN","Sort=A","Dates=H","DateFormat=P","Fill=—","Direction=H","UseDPDF=Y")</f>
        <v>-218</v>
      </c>
      <c r="F25" s="13">
        <f>_xll.BDH("AMGN US Equity","ARD_OTH_NON_OPER_INC_EXP_NET","FQ3 2019","FQ3 2019","Currency=USD","Period=FQ","BEST_FPERIOD_OVERRIDE=FQ","FILING_STATUS=MR","SCALING_FORMAT=MLN","Sort=A","Dates=H","DateFormat=P","Fill=—","Direction=H","UseDPDF=Y")</f>
        <v>-114</v>
      </c>
      <c r="G25" s="13">
        <f>_xll.BDH("AMGN US Equity","ARD_OTH_NON_OPER_INC_EXP_NET","FQ4 2019","FQ4 2019","Currency=USD","Period=FQ","BEST_FPERIOD_OVERRIDE=FQ","FILING_STATUS=MR","SCALING_FORMAT=MLN","Sort=A","Dates=H","DateFormat=P","Fill=—","Direction=H","UseDPDF=Y")</f>
        <v>-236</v>
      </c>
      <c r="H25" s="13">
        <f>_xll.BDH("AMGN US Equity","ARD_OTH_NON_OPER_INC_EXP_NET","FQ1 2020","FQ1 2020","Currency=USD","Period=FQ","BEST_FPERIOD_OVERRIDE=FQ","FILING_STATUS=MR","SCALING_FORMAT=MLN","Sort=A","Dates=H","DateFormat=P","Fill=—","Direction=H","UseDPDF=Y")</f>
        <v>-11</v>
      </c>
      <c r="I25" s="13">
        <f>_xll.BDH("AMGN US Equity","ARD_OTH_NON_OPER_INC_EXP_NET","FQ2 2020","FQ2 2020","Currency=USD","Period=FQ","BEST_FPERIOD_OVERRIDE=FQ","FILING_STATUS=MR","SCALING_FORMAT=MLN","Sort=A","Dates=H","DateFormat=P","Fill=—","Direction=H","UseDPDF=Y")</f>
        <v>-3</v>
      </c>
      <c r="J25" s="13">
        <f>_xll.BDH("AMGN US Equity","ARD_OTH_NON_OPER_INC_EXP_NET","FQ3 2020","FQ3 2020","Currency=USD","Period=FQ","BEST_FPERIOD_OVERRIDE=FQ","FILING_STATUS=MR","SCALING_FORMAT=MLN","Sort=A","Dates=H","DateFormat=P","Fill=—","Direction=H","UseDPDF=Y")</f>
        <v>-55</v>
      </c>
      <c r="K25" s="13">
        <f>_xll.BDH("AMGN US Equity","ARD_OTH_NON_OPER_INC_EXP_NET","FQ4 2020","FQ4 2020","Currency=USD","Period=FQ","BEST_FPERIOD_OVERRIDE=FQ","FILING_STATUS=MR","SCALING_FORMAT=MLN","Sort=A","Dates=H","DateFormat=P","Fill=—","Direction=H","UseDPDF=Y")</f>
        <v>-187</v>
      </c>
      <c r="L25" s="13">
        <f>_xll.BDH("AMGN US Equity","ARD_OTH_NON_OPER_INC_EXP_NET","FQ1 2021","FQ1 2021","Currency=USD","Period=FQ","BEST_FPERIOD_OVERRIDE=FQ","FILING_STATUS=MR","SCALING_FORMAT=MLN","Sort=A","Dates=H","DateFormat=P","Fill=—","Direction=H","UseDPDF=Y")</f>
        <v>-13</v>
      </c>
      <c r="M25" s="13">
        <f>_xll.BDH("AMGN US Equity","ARD_OTH_NON_OPER_INC_EXP_NET","FQ2 2021","FQ2 2021","Currency=USD","Period=FQ","BEST_FPERIOD_OVERRIDE=FQ","FILING_STATUS=MR","SCALING_FORMAT=MLN","Sort=A","Dates=H","DateFormat=P","Fill=—","Direction=H","UseDPDF=Y")</f>
        <v>-11</v>
      </c>
      <c r="N25" s="13">
        <f>_xll.BDH("AMGN US Equity","ARD_OTH_NON_OPER_INC_EXP_NET","FQ3 2021","FQ3 2021","Currency=USD","Period=FQ","BEST_FPERIOD_OVERRIDE=FQ","FILING_STATUS=MR","SCALING_FORMAT=MLN","Sort=A","Dates=H","DateFormat=P","Fill=—","Direction=H","UseDPDF=Y")</f>
        <v>-73</v>
      </c>
      <c r="O25" s="13">
        <f>_xll.BDH("AMGN US Equity","ARD_OTH_NON_OPER_INC_EXP_NET","FQ4 2021","FQ4 2021","Currency=USD","Period=FQ","BEST_FPERIOD_OVERRIDE=FQ","FILING_STATUS=MR","SCALING_FORMAT=MLN","Sort=A","Dates=H","DateFormat=P","Fill=—","Direction=H","UseDPDF=Y")</f>
        <v>-162</v>
      </c>
      <c r="P25" s="13">
        <f>_xll.BDH("AMGN US Equity","ARD_OTH_NON_OPER_INC_EXP_NET","FQ1 2022","FQ1 2022","Currency=USD","Period=FQ","BEST_FPERIOD_OVERRIDE=FQ","FILING_STATUS=MR","SCALING_FORMAT=MLN","Sort=A","Dates=H","DateFormat=P","Fill=—","Direction=H","UseDPDF=Y")</f>
        <v>530</v>
      </c>
      <c r="Q25" s="13">
        <f>_xll.BDH("AMGN US Equity","ARD_OTH_NON_OPER_INC_EXP_NET","FQ2 2022","FQ2 2022","Currency=USD","Period=FQ","BEST_FPERIOD_OVERRIDE=FQ","FILING_STATUS=MR","SCALING_FORMAT=MLN","Sort=A","Dates=H","DateFormat=P","Fill=—","Direction=H","UseDPDF=Y")</f>
        <v>317</v>
      </c>
      <c r="R25" s="13">
        <f>_xll.BDH("AMGN US Equity","ARD_OTH_NON_OPER_INC_EXP_NET","FQ3 2022","FQ3 2022","Currency=USD","Period=FQ","BEST_FPERIOD_OVERRIDE=FQ","FILING_STATUS=MR","SCALING_FORMAT=MLN","Sort=A","Dates=H","DateFormat=P","Fill=—","Direction=H","UseDPDF=Y")</f>
        <v>-100</v>
      </c>
      <c r="S25" s="13">
        <f>_xll.BDH("AMGN US Equity","ARD_OTH_NON_OPER_INC_EXP_NET","FQ4 2022","FQ4 2022","Currency=USD","Period=FQ","BEST_FPERIOD_OVERRIDE=FQ","FILING_STATUS=MR","SCALING_FORMAT=MLN","Sort=A","Dates=H","DateFormat=P","Fill=—","Direction=H","UseDPDF=Y")</f>
        <v>67</v>
      </c>
      <c r="T25" s="13">
        <f>_xll.BDH("AMGN US Equity","ARD_OTH_NON_OPER_INC_EXP_NET","FQ1 2023","FQ1 2023","Currency=USD","Period=FQ","BEST_FPERIOD_OVERRIDE=FQ","FILING_STATUS=MR","SCALING_FORMAT=MLN","Sort=A","Dates=H","DateFormat=P","Fill=—","Direction=H","UseDPDF=Y")</f>
        <v>-2064</v>
      </c>
      <c r="U25" s="13">
        <f>_xll.BDH("AMGN US Equity","ARD_OTH_NON_OPER_INC_EXP_NET","FQ2 2023","FQ2 2023","Currency=USD","Period=FQ","BEST_FPERIOD_OVERRIDE=FQ","FILING_STATUS=MR","SCALING_FORMAT=MLN","Sort=A","Dates=H","DateFormat=P","Fill=—","Direction=H","UseDPDF=Y")</f>
        <v>318</v>
      </c>
      <c r="V25" s="13">
        <f>_xll.BDH("AMGN US Equity","ARD_OTH_NON_OPER_INC_EXP_NET","FQ3 2023","FQ3 2023","Currency=USD","Period=FQ","BEST_FPERIOD_OVERRIDE=FQ","FILING_STATUS=MR","SCALING_FORMAT=MLN","Sort=A","Dates=H","DateFormat=P","Fill=—","Direction=H","UseDPDF=Y")</f>
        <v>-685</v>
      </c>
      <c r="W25" s="13">
        <f>_xll.BDH("AMGN US Equity","ARD_OTH_NON_OPER_INC_EXP_NET","FQ4 2023","FQ4 2023","Currency=USD","Period=FQ","BEST_FPERIOD_OVERRIDE=FQ","FILING_STATUS=MR","SCALING_FORMAT=MLN","Sort=A","Dates=H","DateFormat=P","Fill=—","Direction=H","UseDPDF=Y")</f>
        <v>-402</v>
      </c>
      <c r="X25" s="13">
        <f>_xll.BDH("AMGN US Equity","ARD_OTH_NON_OPER_INC_EXP_NET","FQ1 2024","FQ1 2024","Currency=USD","Period=FQ","BEST_FPERIOD_OVERRIDE=FQ","FILING_STATUS=MR","SCALING_FORMAT=MLN","Sort=A","Dates=H","DateFormat=P","Fill=—","Direction=H","UseDPDF=Y")</f>
        <v>235</v>
      </c>
      <c r="Y25" s="13">
        <f>_xll.BDH("AMGN US Equity","ARD_OTH_NON_OPER_INC_EXP_NET","FQ2 2024","FQ2 2024","Currency=USD","Period=FQ","BEST_FPERIOD_OVERRIDE=FQ","FILING_STATUS=MR","SCALING_FORMAT=MLN","Sort=A","Dates=H","DateFormat=P","Fill=—","Direction=H","UseDPDF=Y")</f>
        <v>307</v>
      </c>
      <c r="Z25" s="13">
        <f>_xll.BDH("AMGN US Equity","ARD_OTH_NON_OPER_INC_EXP_NET","FQ3 2024","FQ3 2024","Currency=USD","Period=FQ","BEST_FPERIOD_OVERRIDE=FQ","FILING_STATUS=MR","SCALING_FORMAT=MLN","Sort=A","Dates=H","DateFormat=P","Fill=—","Direction=H","UseDPDF=Y")</f>
        <v>-1830</v>
      </c>
      <c r="AA25" s="13">
        <f>_xll.BDH("AMGN US Equity","ARD_OTH_NON_OPER_INC_EXP_NET","FQ4 2024","FQ4 2024","Currency=USD","Period=FQ","BEST_FPERIOD_OVERRIDE=FQ","FILING_STATUS=MR","SCALING_FORMAT=MLN","Sort=A","Dates=H","DateFormat=P","Fill=—","Direction=H","UseDPDF=Y")</f>
        <v>782</v>
      </c>
    </row>
    <row r="26" spans="1:27" x14ac:dyDescent="0.25">
      <c r="A26" s="10" t="s">
        <v>447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5">
      <c r="A27" s="10" t="s">
        <v>448</v>
      </c>
      <c r="B27" s="10" t="s">
        <v>449</v>
      </c>
      <c r="C27" s="14">
        <f>_xll.BDH("AMGN US Equity","ARD_DVD_PER_SH","FQ4 2018","FQ4 2018","Currency=USD","Period=FQ","BEST_FPERIOD_OVERRIDE=FQ","FILING_STATUS=MR","Sort=A","Dates=H","DateFormat=P","Fill=—","Direction=H","UseDPDF=Y")</f>
        <v>1.32</v>
      </c>
      <c r="D27" s="14" t="str">
        <f>_xll.BDH("AMGN US Equity","ARD_DVD_PER_SH","FQ1 2019","FQ1 2019","Currency=USD","Period=FQ","BEST_FPERIOD_OVERRIDE=FQ","FILING_STATUS=MR","Sort=A","Dates=H","DateFormat=P","Fill=—","Direction=H","UseDPDF=Y")</f>
        <v>—</v>
      </c>
      <c r="E27" s="14" t="str">
        <f>_xll.BDH("AMGN US Equity","ARD_DVD_PER_SH","FQ2 2019","FQ2 2019","Currency=USD","Period=FQ","BEST_FPERIOD_OVERRIDE=FQ","FILING_STATUS=MR","Sort=A","Dates=H","DateFormat=P","Fill=—","Direction=H","UseDPDF=Y")</f>
        <v>—</v>
      </c>
      <c r="F27" s="14" t="str">
        <f>_xll.BDH("AMGN US Equity","ARD_DVD_PER_SH","FQ3 2019","FQ3 2019","Currency=USD","Period=FQ","BEST_FPERIOD_OVERRIDE=FQ","FILING_STATUS=MR","Sort=A","Dates=H","DateFormat=P","Fill=—","Direction=H","UseDPDF=Y")</f>
        <v>—</v>
      </c>
      <c r="G27" s="14" t="str">
        <f>_xll.BDH("AMGN US Equity","ARD_DVD_PER_SH","FQ4 2019","FQ4 2019","Currency=USD","Period=FQ","BEST_FPERIOD_OVERRIDE=FQ","FILING_STATUS=MR","Sort=A","Dates=H","DateFormat=P","Fill=—","Direction=H","UseDPDF=Y")</f>
        <v>—</v>
      </c>
      <c r="H27" s="14" t="str">
        <f>_xll.BDH("AMGN US Equity","ARD_DVD_PER_SH","FQ1 2020","FQ1 2020","Currency=USD","Period=FQ","BEST_FPERIOD_OVERRIDE=FQ","FILING_STATUS=MR","Sort=A","Dates=H","DateFormat=P","Fill=—","Direction=H","UseDPDF=Y")</f>
        <v>—</v>
      </c>
      <c r="I27" s="14" t="str">
        <f>_xll.BDH("AMGN US Equity","ARD_DVD_PER_SH","FQ2 2020","FQ2 2020","Currency=USD","Period=FQ","BEST_FPERIOD_OVERRIDE=FQ","FILING_STATUS=MR","Sort=A","Dates=H","DateFormat=P","Fill=—","Direction=H","UseDPDF=Y")</f>
        <v>—</v>
      </c>
      <c r="J27" s="14" t="str">
        <f>_xll.BDH("AMGN US Equity","ARD_DVD_PER_SH","FQ3 2020","FQ3 2020","Currency=USD","Period=FQ","BEST_FPERIOD_OVERRIDE=FQ","FILING_STATUS=MR","Sort=A","Dates=H","DateFormat=P","Fill=—","Direction=H","UseDPDF=Y")</f>
        <v>—</v>
      </c>
      <c r="K27" s="14" t="str">
        <f>_xll.BDH("AMGN US Equity","ARD_DVD_PER_SH","FQ4 2020","FQ4 2020","Currency=USD","Period=FQ","BEST_FPERIOD_OVERRIDE=FQ","FILING_STATUS=MR","Sort=A","Dates=H","DateFormat=P","Fill=—","Direction=H","UseDPDF=Y")</f>
        <v>—</v>
      </c>
      <c r="L27" s="14" t="str">
        <f>_xll.BDH("AMGN US Equity","ARD_DVD_PER_SH","FQ1 2021","FQ1 2021","Currency=USD","Period=FQ","BEST_FPERIOD_OVERRIDE=FQ","FILING_STATUS=MR","Sort=A","Dates=H","DateFormat=P","Fill=—","Direction=H","UseDPDF=Y")</f>
        <v>—</v>
      </c>
      <c r="M27" s="14" t="str">
        <f>_xll.BDH("AMGN US Equity","ARD_DVD_PER_SH","FQ2 2021","FQ2 2021","Currency=USD","Period=FQ","BEST_FPERIOD_OVERRIDE=FQ","FILING_STATUS=MR","Sort=A","Dates=H","DateFormat=P","Fill=—","Direction=H","UseDPDF=Y")</f>
        <v>—</v>
      </c>
      <c r="N27" s="14" t="str">
        <f>_xll.BDH("AMGN US Equity","ARD_DVD_PER_SH","FQ3 2021","FQ3 2021","Currency=USD","Period=FQ","BEST_FPERIOD_OVERRIDE=FQ","FILING_STATUS=MR","Sort=A","Dates=H","DateFormat=P","Fill=—","Direction=H","UseDPDF=Y")</f>
        <v>—</v>
      </c>
      <c r="O27" s="14" t="str">
        <f>_xll.BDH("AMGN US Equity","ARD_DVD_PER_SH","FQ4 2021","FQ4 2021","Currency=USD","Period=FQ","BEST_FPERIOD_OVERRIDE=FQ","FILING_STATUS=MR","Sort=A","Dates=H","DateFormat=P","Fill=—","Direction=H","UseDPDF=Y")</f>
        <v>—</v>
      </c>
      <c r="P27" s="14" t="str">
        <f>_xll.BDH("AMGN US Equity","ARD_DVD_PER_SH","FQ1 2022","FQ1 2022","Currency=USD","Period=FQ","BEST_FPERIOD_OVERRIDE=FQ","FILING_STATUS=MR","Sort=A","Dates=H","DateFormat=P","Fill=—","Direction=H","UseDPDF=Y")</f>
        <v>—</v>
      </c>
      <c r="Q27" s="14" t="str">
        <f>_xll.BDH("AMGN US Equity","ARD_DVD_PER_SH","FQ2 2022","FQ2 2022","Currency=USD","Period=FQ","BEST_FPERIOD_OVERRIDE=FQ","FILING_STATUS=MR","Sort=A","Dates=H","DateFormat=P","Fill=—","Direction=H","UseDPDF=Y")</f>
        <v>—</v>
      </c>
      <c r="R27" s="14" t="str">
        <f>_xll.BDH("AMGN US Equity","ARD_DVD_PER_SH","FQ3 2022","FQ3 2022","Currency=USD","Period=FQ","BEST_FPERIOD_OVERRIDE=FQ","FILING_STATUS=MR","Sort=A","Dates=H","DateFormat=P","Fill=—","Direction=H","UseDPDF=Y")</f>
        <v>—</v>
      </c>
      <c r="S27" s="14" t="str">
        <f>_xll.BDH("AMGN US Equity","ARD_DVD_PER_SH","FQ4 2022","FQ4 2022","Currency=USD","Period=FQ","BEST_FPERIOD_OVERRIDE=FQ","FILING_STATUS=MR","Sort=A","Dates=H","DateFormat=P","Fill=—","Direction=H","UseDPDF=Y")</f>
        <v>—</v>
      </c>
      <c r="T27" s="14" t="str">
        <f>_xll.BDH("AMGN US Equity","ARD_DVD_PER_SH","FQ1 2023","FQ1 2023","Currency=USD","Period=FQ","BEST_FPERIOD_OVERRIDE=FQ","FILING_STATUS=MR","Sort=A","Dates=H","DateFormat=P","Fill=—","Direction=H","UseDPDF=Y")</f>
        <v>—</v>
      </c>
      <c r="U27" s="14" t="str">
        <f>_xll.BDH("AMGN US Equity","ARD_DVD_PER_SH","FQ2 2023","FQ2 2023","Currency=USD","Period=FQ","BEST_FPERIOD_OVERRIDE=FQ","FILING_STATUS=MR","Sort=A","Dates=H","DateFormat=P","Fill=—","Direction=H","UseDPDF=Y")</f>
        <v>—</v>
      </c>
      <c r="V27" s="14" t="str">
        <f>_xll.BDH("AMGN US Equity","ARD_DVD_PER_SH","FQ3 2023","FQ3 2023","Currency=USD","Period=FQ","BEST_FPERIOD_OVERRIDE=FQ","FILING_STATUS=MR","Sort=A","Dates=H","DateFormat=P","Fill=—","Direction=H","UseDPDF=Y")</f>
        <v>—</v>
      </c>
      <c r="W27" s="14" t="str">
        <f>_xll.BDH("AMGN US Equity","ARD_DVD_PER_SH","FQ4 2023","FQ4 2023","Currency=USD","Period=FQ","BEST_FPERIOD_OVERRIDE=FQ","FILING_STATUS=MR","Sort=A","Dates=H","DateFormat=P","Fill=—","Direction=H","UseDPDF=Y")</f>
        <v>—</v>
      </c>
      <c r="X27" s="14" t="str">
        <f>_xll.BDH("AMGN US Equity","ARD_DVD_PER_SH","FQ1 2024","FQ1 2024","Currency=USD","Period=FQ","BEST_FPERIOD_OVERRIDE=FQ","FILING_STATUS=MR","Sort=A","Dates=H","DateFormat=P","Fill=—","Direction=H","UseDPDF=Y")</f>
        <v>—</v>
      </c>
      <c r="Y27" s="14" t="str">
        <f>_xll.BDH("AMGN US Equity","ARD_DVD_PER_SH","FQ2 2024","FQ2 2024","Currency=USD","Period=FQ","BEST_FPERIOD_OVERRIDE=FQ","FILING_STATUS=MR","Sort=A","Dates=H","DateFormat=P","Fill=—","Direction=H","UseDPDF=Y")</f>
        <v>—</v>
      </c>
      <c r="Z27" s="14" t="str">
        <f>_xll.BDH("AMGN US Equity","ARD_DVD_PER_SH","FQ3 2024","FQ3 2024","Currency=USD","Period=FQ","BEST_FPERIOD_OVERRIDE=FQ","FILING_STATUS=MR","Sort=A","Dates=H","DateFormat=P","Fill=—","Direction=H","UseDPDF=Y")</f>
        <v>—</v>
      </c>
      <c r="AA27" s="14" t="str">
        <f>_xll.BDH("AMGN US Equity","ARD_DVD_PER_SH","FQ4 2024","FQ4 2024","Currency=USD","Period=FQ","BEST_FPERIOD_OVERRIDE=FQ","FILING_STATUS=MR","Sort=A","Dates=H","DateFormat=P","Fill=—","Direction=H","UseDPDF=Y")</f>
        <v>—</v>
      </c>
    </row>
    <row r="28" spans="1:27" x14ac:dyDescent="0.25">
      <c r="A28" s="10" t="s">
        <v>450</v>
      </c>
      <c r="B28" s="10" t="s">
        <v>451</v>
      </c>
      <c r="C28" s="14">
        <f>_xll.BDH("AMGN US Equity","ARD_BASIC_EPS","FQ4 2018","FQ4 2018","Currency=USD","Period=FQ","BEST_FPERIOD_OVERRIDE=FQ","FILING_STATUS=MR","Sort=A","Dates=H","DateFormat=P","Fill=—","Direction=H","UseDPDF=Y")</f>
        <v>3.04</v>
      </c>
      <c r="D28" s="14">
        <f>_xll.BDH("AMGN US Equity","ARD_BASIC_EPS","FQ1 2019","FQ1 2019","Currency=USD","Period=FQ","BEST_FPERIOD_OVERRIDE=FQ","FILING_STATUS=MR","Sort=A","Dates=H","DateFormat=P","Fill=—","Direction=H","UseDPDF=Y")</f>
        <v>3.2</v>
      </c>
      <c r="E28" s="14">
        <f>_xll.BDH("AMGN US Equity","ARD_BASIC_EPS","FQ2 2019","FQ2 2019","Currency=USD","Period=FQ","BEST_FPERIOD_OVERRIDE=FQ","FILING_STATUS=MR","Sort=A","Dates=H","DateFormat=P","Fill=—","Direction=H","UseDPDF=Y")</f>
        <v>3.59</v>
      </c>
      <c r="F28" s="14">
        <f>_xll.BDH("AMGN US Equity","ARD_BASIC_EPS","FQ3 2019","FQ3 2019","Currency=USD","Period=FQ","BEST_FPERIOD_OVERRIDE=FQ","FILING_STATUS=MR","Sort=A","Dates=H","DateFormat=P","Fill=—","Direction=H","UseDPDF=Y")</f>
        <v>3.29</v>
      </c>
      <c r="G28" s="14">
        <f>_xll.BDH("AMGN US Equity","ARD_BASIC_EPS","FQ4 2019","FQ4 2019","Currency=USD","Period=FQ","BEST_FPERIOD_OVERRIDE=FQ","FILING_STATUS=MR","Sort=A","Dates=H","DateFormat=P","Fill=—","Direction=H","UseDPDF=Y")</f>
        <v>2.87</v>
      </c>
      <c r="H28" s="14">
        <f>_xll.BDH("AMGN US Equity","ARD_BASIC_EPS","FQ1 2020","FQ1 2020","Currency=USD","Period=FQ","BEST_FPERIOD_OVERRIDE=FQ","FILING_STATUS=MR","Sort=A","Dates=H","DateFormat=P","Fill=—","Direction=H","UseDPDF=Y")</f>
        <v>3.09</v>
      </c>
      <c r="I28" s="14">
        <f>_xll.BDH("AMGN US Equity","ARD_BASIC_EPS","FQ2 2020","FQ2 2020","Currency=USD","Period=FQ","BEST_FPERIOD_OVERRIDE=FQ","FILING_STATUS=MR","Sort=A","Dates=H","DateFormat=P","Fill=—","Direction=H","UseDPDF=Y")</f>
        <v>3.07</v>
      </c>
      <c r="J28" s="14">
        <f>_xll.BDH("AMGN US Equity","ARD_BASIC_EPS","FQ3 2020","FQ3 2020","Currency=USD","Period=FQ","BEST_FPERIOD_OVERRIDE=FQ","FILING_STATUS=MR","Sort=A","Dates=H","DateFormat=P","Fill=—","Direction=H","UseDPDF=Y")</f>
        <v>3.45</v>
      </c>
      <c r="K28" s="14">
        <f>_xll.BDH("AMGN US Equity","ARD_BASIC_EPS","FQ4 2020","FQ4 2020","Currency=USD","Period=FQ","BEST_FPERIOD_OVERRIDE=FQ","FILING_STATUS=MR","Sort=A","Dates=H","DateFormat=P","Fill=—","Direction=H","UseDPDF=Y")</f>
        <v>2.78</v>
      </c>
      <c r="L28" s="14">
        <f>_xll.BDH("AMGN US Equity","ARD_BASIC_EPS","FQ1 2021","FQ1 2021","Currency=USD","Period=FQ","BEST_FPERIOD_OVERRIDE=FQ","FILING_STATUS=MR","Sort=A","Dates=H","DateFormat=P","Fill=—","Direction=H","UseDPDF=Y")</f>
        <v>2.85</v>
      </c>
      <c r="M28" s="14">
        <f>_xll.BDH("AMGN US Equity","ARD_BASIC_EPS","FQ2 2021","FQ2 2021","Currency=USD","Period=FQ","BEST_FPERIOD_OVERRIDE=FQ","FILING_STATUS=MR","Sort=A","Dates=H","DateFormat=P","Fill=—","Direction=H","UseDPDF=Y")</f>
        <v>0.81</v>
      </c>
      <c r="N28" s="14">
        <f>_xll.BDH("AMGN US Equity","ARD_BASIC_EPS","FQ3 2021","FQ3 2021","Currency=USD","Period=FQ","BEST_FPERIOD_OVERRIDE=FQ","FILING_STATUS=MR","Sort=A","Dates=H","DateFormat=P","Fill=—","Direction=H","UseDPDF=Y")</f>
        <v>3.32</v>
      </c>
      <c r="O28" s="14">
        <f>_xll.BDH("AMGN US Equity","ARD_BASIC_EPS","FQ4 2021","FQ4 2021","Currency=USD","Period=FQ","BEST_FPERIOD_OVERRIDE=FQ","FILING_STATUS=MR","Sort=A","Dates=H","DateFormat=P","Fill=—","Direction=H","UseDPDF=Y")</f>
        <v>3.38</v>
      </c>
      <c r="P28" s="14">
        <f>_xll.BDH("AMGN US Equity","ARD_BASIC_EPS","FQ1 2022","FQ1 2022","Currency=USD","Period=FQ","BEST_FPERIOD_OVERRIDE=FQ","FILING_STATUS=MR","Sort=A","Dates=H","DateFormat=P","Fill=—","Direction=H","UseDPDF=Y")</f>
        <v>2.69</v>
      </c>
      <c r="Q28" s="14">
        <f>_xll.BDH("AMGN US Equity","ARD_BASIC_EPS","FQ2 2022","FQ2 2022","Currency=USD","Period=FQ","BEST_FPERIOD_OVERRIDE=FQ","FILING_STATUS=MR","Sort=A","Dates=H","DateFormat=P","Fill=—","Direction=H","UseDPDF=Y")</f>
        <v>2.46</v>
      </c>
      <c r="R28" s="14">
        <f>_xll.BDH("AMGN US Equity","ARD_BASIC_EPS","FQ3 2022","FQ3 2022","Currency=USD","Period=FQ","BEST_FPERIOD_OVERRIDE=FQ","FILING_STATUS=MR","Sort=A","Dates=H","DateFormat=P","Fill=—","Direction=H","UseDPDF=Y")</f>
        <v>4.01</v>
      </c>
      <c r="S28" s="14">
        <f>_xll.BDH("AMGN US Equity","ARD_BASIC_EPS","FQ4 2022","FQ4 2022","Currency=USD","Period=FQ","BEST_FPERIOD_OVERRIDE=FQ","FILING_STATUS=MR","Sort=A","Dates=H","DateFormat=P","Fill=—","Direction=H","UseDPDF=Y")</f>
        <v>3.02</v>
      </c>
      <c r="T28" s="14">
        <f>_xll.BDH("AMGN US Equity","ARD_BASIC_EPS","FQ1 2023","FQ1 2023","Currency=USD","Period=FQ","BEST_FPERIOD_OVERRIDE=FQ","FILING_STATUS=MR","Sort=A","Dates=H","DateFormat=P","Fill=—","Direction=H","UseDPDF=Y")</f>
        <v>5.32</v>
      </c>
      <c r="U28" s="14">
        <f>_xll.BDH("AMGN US Equity","ARD_BASIC_EPS","FQ2 2023","FQ2 2023","Currency=USD","Period=FQ","BEST_FPERIOD_OVERRIDE=FQ","FILING_STATUS=MR","Sort=A","Dates=H","DateFormat=P","Fill=—","Direction=H","UseDPDF=Y")</f>
        <v>2.58</v>
      </c>
      <c r="V28" s="14">
        <f>_xll.BDH("AMGN US Equity","ARD_BASIC_EPS","FQ3 2023","FQ3 2023","Currency=USD","Period=FQ","BEST_FPERIOD_OVERRIDE=FQ","FILING_STATUS=MR","Sort=A","Dates=H","DateFormat=P","Fill=—","Direction=H","UseDPDF=Y")</f>
        <v>3.23</v>
      </c>
      <c r="W28" s="14">
        <f>_xll.BDH("AMGN US Equity","ARD_BASIC_EPS","FQ4 2023","FQ4 2023","Currency=USD","Period=FQ","BEST_FPERIOD_OVERRIDE=FQ","FILING_STATUS=MR","Sort=A","Dates=H","DateFormat=P","Fill=—","Direction=H","UseDPDF=Y")</f>
        <v>1.43</v>
      </c>
      <c r="X28" s="14">
        <f>_xll.BDH("AMGN US Equity","ARD_BASIC_EPS","FQ1 2024","FQ1 2024","Currency=USD","Period=FQ","BEST_FPERIOD_OVERRIDE=FQ","FILING_STATUS=MR","Sort=A","Dates=H","DateFormat=P","Fill=—","Direction=H","UseDPDF=Y")</f>
        <v>-0.21</v>
      </c>
      <c r="Y28" s="14">
        <f>_xll.BDH("AMGN US Equity","ARD_BASIC_EPS","FQ2 2024","FQ2 2024","Currency=USD","Period=FQ","BEST_FPERIOD_OVERRIDE=FQ","FILING_STATUS=MR","Sort=A","Dates=H","DateFormat=P","Fill=—","Direction=H","UseDPDF=Y")</f>
        <v>1.39</v>
      </c>
      <c r="Z28" s="14">
        <f>_xll.BDH("AMGN US Equity","ARD_BASIC_EPS","FQ3 2024","FQ3 2024","Currency=USD","Period=FQ","BEST_FPERIOD_OVERRIDE=FQ","FILING_STATUS=MR","Sort=A","Dates=H","DateFormat=P","Fill=—","Direction=H","UseDPDF=Y")</f>
        <v>5.27</v>
      </c>
      <c r="AA28" s="14">
        <f>_xll.BDH("AMGN US Equity","ARD_BASIC_EPS","FQ4 2024","FQ4 2024","Currency=USD","Period=FQ","BEST_FPERIOD_OVERRIDE=FQ","FILING_STATUS=MR","Sort=A","Dates=H","DateFormat=P","Fill=—","Direction=H","UseDPDF=Y")</f>
        <v>1.17</v>
      </c>
    </row>
    <row r="29" spans="1:27" x14ac:dyDescent="0.25">
      <c r="A29" s="10" t="s">
        <v>452</v>
      </c>
      <c r="B29" s="10" t="s">
        <v>453</v>
      </c>
      <c r="C29" s="13">
        <f>_xll.BDH("AMGN US Equity","ARD_WEIGHTED_AVG_SHARES_BASIC","FQ4 2018","FQ4 2018","Currency=USD","Period=FQ","BEST_FPERIOD_OVERRIDE=FQ","FILING_STATUS=MR","Sort=A","Dates=H","DateFormat=P","Fill=—","Direction=H","UseDPDF=Y")</f>
        <v>635</v>
      </c>
      <c r="D29" s="13">
        <f>_xll.BDH("AMGN US Equity","ARD_WEIGHTED_AVG_SHARES_BASIC","FQ1 2019","FQ1 2019","Currency=USD","Period=FQ","BEST_FPERIOD_OVERRIDE=FQ","FILING_STATUS=MR","Sort=A","Dates=H","DateFormat=P","Fill=—","Direction=H","UseDPDF=Y")</f>
        <v>622</v>
      </c>
      <c r="E29" s="13">
        <f>_xll.BDH("AMGN US Equity","ARD_WEIGHTED_AVG_SHARES_BASIC","FQ2 2019","FQ2 2019","Currency=USD","Period=FQ","BEST_FPERIOD_OVERRIDE=FQ","FILING_STATUS=MR","Sort=A","Dates=H","DateFormat=P","Fill=—","Direction=H","UseDPDF=Y")</f>
        <v>607</v>
      </c>
      <c r="F29" s="13">
        <f>_xll.BDH("AMGN US Equity","ARD_WEIGHTED_AVG_SHARES_BASIC","FQ3 2019","FQ3 2019","Currency=USD","Period=FQ","BEST_FPERIOD_OVERRIDE=FQ","FILING_STATUS=MR","Sort=A","Dates=H","DateFormat=P","Fill=—","Direction=H","UseDPDF=Y")</f>
        <v>599</v>
      </c>
      <c r="G29" s="13">
        <f>_xll.BDH("AMGN US Equity","ARD_WEIGHTED_AVG_SHARES_BASIC","FQ4 2019","FQ4 2019","Currency=USD","Period=FQ","BEST_FPERIOD_OVERRIDE=FQ","FILING_STATUS=MR","Sort=A","Dates=H","DateFormat=P","Fill=—","Direction=H","UseDPDF=Y")</f>
        <v>593</v>
      </c>
      <c r="H29" s="13">
        <f>_xll.BDH("AMGN US Equity","ARD_WEIGHTED_AVG_SHARES_BASIC","FQ1 2020","FQ1 2020","Currency=USD","Period=FQ","BEST_FPERIOD_OVERRIDE=FQ","FILING_STATUS=MR","Sort=A","Dates=H","DateFormat=P","Fill=—","Direction=H","UseDPDF=Y")</f>
        <v>590</v>
      </c>
      <c r="I29" s="13">
        <f>_xll.BDH("AMGN US Equity","ARD_WEIGHTED_AVG_SHARES_BASIC","FQ2 2020","FQ2 2020","Currency=USD","Period=FQ","BEST_FPERIOD_OVERRIDE=FQ","FILING_STATUS=MR","Sort=A","Dates=H","DateFormat=P","Fill=—","Direction=H","UseDPDF=Y")</f>
        <v>588</v>
      </c>
      <c r="J29" s="13">
        <f>_xll.BDH("AMGN US Equity","ARD_WEIGHTED_AVG_SHARES_BASIC","FQ3 2020","FQ3 2020","Currency=USD","Period=FQ","BEST_FPERIOD_OVERRIDE=FQ","FILING_STATUS=MR","Sort=A","Dates=H","DateFormat=P","Fill=—","Direction=H","UseDPDF=Y")</f>
        <v>585</v>
      </c>
      <c r="K29" s="13">
        <f>_xll.BDH("AMGN US Equity","ARD_WEIGHTED_AVG_SHARES_BASIC","FQ4 2020","FQ4 2020","Currency=USD","Period=FQ","BEST_FPERIOD_OVERRIDE=FQ","FILING_STATUS=MR","Sort=A","Dates=H","DateFormat=P","Fill=—","Direction=H","UseDPDF=Y")</f>
        <v>581</v>
      </c>
      <c r="L29" s="13">
        <f>_xll.BDH("AMGN US Equity","ARD_WEIGHTED_AVG_SHARES_BASIC","FQ1 2021","FQ1 2021","Currency=USD","Period=FQ","BEST_FPERIOD_OVERRIDE=FQ","FILING_STATUS=MR","Sort=A","Dates=H","DateFormat=P","Fill=—","Direction=H","UseDPDF=Y")</f>
        <v>577</v>
      </c>
      <c r="M29" s="13">
        <f>_xll.BDH("AMGN US Equity","ARD_WEIGHTED_AVG_SHARES_BASIC","FQ2 2021","FQ2 2021","Currency=USD","Period=FQ","BEST_FPERIOD_OVERRIDE=FQ","FILING_STATUS=MR","Sort=A","Dates=H","DateFormat=P","Fill=—","Direction=H","UseDPDF=Y")</f>
        <v>573</v>
      </c>
      <c r="N29" s="13">
        <f>_xll.BDH("AMGN US Equity","ARD_WEIGHTED_AVG_SHARES_BASIC","FQ3 2021","FQ3 2021","Currency=USD","Period=FQ","BEST_FPERIOD_OVERRIDE=FQ","FILING_STATUS=MR","Sort=A","Dates=H","DateFormat=P","Fill=—","Direction=H","UseDPDF=Y")</f>
        <v>567</v>
      </c>
      <c r="O29" s="13">
        <f>_xll.BDH("AMGN US Equity","ARD_WEIGHTED_AVG_SHARES_BASIC","FQ4 2021","FQ4 2021","Currency=USD","Period=FQ","BEST_FPERIOD_OVERRIDE=FQ","FILING_STATUS=MR","Sort=A","Dates=H","DateFormat=P","Fill=—","Direction=H","UseDPDF=Y")</f>
        <v>562</v>
      </c>
      <c r="P29" s="13">
        <f>_xll.BDH("AMGN US Equity","ARD_WEIGHTED_AVG_SHARES_BASIC","FQ1 2022","FQ1 2022","Currency=USD","Period=FQ","BEST_FPERIOD_OVERRIDE=FQ","FILING_STATUS=MR","Sort=A","Dates=H","DateFormat=P","Fill=—","Direction=H","UseDPDF=Y")</f>
        <v>548</v>
      </c>
      <c r="Q29" s="13">
        <f>_xll.BDH("AMGN US Equity","ARD_WEIGHTED_AVG_SHARES_BASIC","FQ2 2022","FQ2 2022","Currency=USD","Period=FQ","BEST_FPERIOD_OVERRIDE=FQ","FILING_STATUS=MR","Sort=A","Dates=H","DateFormat=P","Fill=—","Direction=H","UseDPDF=Y")</f>
        <v>535</v>
      </c>
      <c r="R29" s="13">
        <f>_xll.BDH("AMGN US Equity","ARD_WEIGHTED_AVG_SHARES_BASIC","FQ3 2022","FQ3 2022","Currency=USD","Period=FQ","BEST_FPERIOD_OVERRIDE=FQ","FILING_STATUS=MR","Sort=A","Dates=H","DateFormat=P","Fill=—","Direction=H","UseDPDF=Y")</f>
        <v>535</v>
      </c>
      <c r="S29" s="13">
        <f>_xll.BDH("AMGN US Equity","ARD_WEIGHTED_AVG_SHARES_BASIC","FQ4 2022","FQ4 2022","Currency=USD","Period=FQ","BEST_FPERIOD_OVERRIDE=FQ","FILING_STATUS=MR","Sort=A","Dates=H","DateFormat=P","Fill=—","Direction=H","UseDPDF=Y")</f>
        <v>535</v>
      </c>
      <c r="T29" s="13">
        <f>_xll.BDH("AMGN US Equity","ARD_WEIGHTED_AVG_SHARES_BASIC","FQ1 2023","FQ1 2023","Currency=USD","Period=FQ","BEST_FPERIOD_OVERRIDE=FQ","FILING_STATUS=MR","Sort=A","Dates=H","DateFormat=P","Fill=—","Direction=H","UseDPDF=Y")</f>
        <v>534</v>
      </c>
      <c r="U29" s="13">
        <f>_xll.BDH("AMGN US Equity","ARD_WEIGHTED_AVG_SHARES_BASIC","FQ2 2023","FQ2 2023","Currency=USD","Period=FQ","BEST_FPERIOD_OVERRIDE=FQ","FILING_STATUS=MR","Sort=A","Dates=H","DateFormat=P","Fill=—","Direction=H","UseDPDF=Y")</f>
        <v>535</v>
      </c>
      <c r="V29" s="13">
        <f>_xll.BDH("AMGN US Equity","ARD_WEIGHTED_AVG_SHARES_BASIC","FQ3 2023","FQ3 2023","Currency=USD","Period=FQ","BEST_FPERIOD_OVERRIDE=FQ","FILING_STATUS=MR","Sort=A","Dates=H","DateFormat=P","Fill=—","Direction=H","UseDPDF=Y")</f>
        <v>535</v>
      </c>
      <c r="W29" s="13">
        <f>_xll.BDH("AMGN US Equity","ARD_WEIGHTED_AVG_SHARES_BASIC","FQ4 2023","FQ4 2023","Currency=USD","Period=FQ","BEST_FPERIOD_OVERRIDE=FQ","FILING_STATUS=MR","Sort=A","Dates=H","DateFormat=P","Fill=—","Direction=H","UseDPDF=Y")</f>
        <v>535</v>
      </c>
      <c r="X29" s="13">
        <f>_xll.BDH("AMGN US Equity","ARD_WEIGHTED_AVG_SHARES_BASIC","FQ1 2024","FQ1 2024","Currency=USD","Period=FQ","BEST_FPERIOD_OVERRIDE=FQ","FILING_STATUS=MR","Sort=A","Dates=H","DateFormat=P","Fill=—","Direction=H","UseDPDF=Y")</f>
        <v>536</v>
      </c>
      <c r="Y29" s="13">
        <f>_xll.BDH("AMGN US Equity","ARD_WEIGHTED_AVG_SHARES_BASIC","FQ2 2024","FQ2 2024","Currency=USD","Period=FQ","BEST_FPERIOD_OVERRIDE=FQ","FILING_STATUS=MR","Sort=A","Dates=H","DateFormat=P","Fill=—","Direction=H","UseDPDF=Y")</f>
        <v>537</v>
      </c>
      <c r="Z29" s="13">
        <f>_xll.BDH("AMGN US Equity","ARD_WEIGHTED_AVG_SHARES_BASIC","FQ3 2024","FQ3 2024","Currency=USD","Period=FQ","BEST_FPERIOD_OVERRIDE=FQ","FILING_STATUS=MR","Sort=A","Dates=H","DateFormat=P","Fill=—","Direction=H","UseDPDF=Y")</f>
        <v>537</v>
      </c>
      <c r="AA29" s="13">
        <f>_xll.BDH("AMGN US Equity","ARD_WEIGHTED_AVG_SHARES_BASIC","FQ4 2024","FQ4 2024","Currency=USD","Period=FQ","BEST_FPERIOD_OVERRIDE=FQ","FILING_STATUS=MR","Sort=A","Dates=H","DateFormat=P","Fill=—","Direction=H","UseDPDF=Y")</f>
        <v>537</v>
      </c>
    </row>
    <row r="30" spans="1:27" x14ac:dyDescent="0.25">
      <c r="A30" s="10" t="s">
        <v>454</v>
      </c>
      <c r="B30" s="10" t="s">
        <v>455</v>
      </c>
      <c r="C30" s="14">
        <f>_xll.BDH("AMGN US Equity","ARD_DILUTED_EPS","FQ4 2018","FQ4 2018","Currency=USD","Period=FQ","BEST_FPERIOD_OVERRIDE=FQ","FILING_STATUS=MR","Sort=A","Dates=H","DateFormat=P","Fill=—","Direction=H","UseDPDF=Y")</f>
        <v>3.01</v>
      </c>
      <c r="D30" s="14">
        <f>_xll.BDH("AMGN US Equity","ARD_DILUTED_EPS","FQ1 2019","FQ1 2019","Currency=USD","Period=FQ","BEST_FPERIOD_OVERRIDE=FQ","FILING_STATUS=MR","Sort=A","Dates=H","DateFormat=P","Fill=—","Direction=H","UseDPDF=Y")</f>
        <v>3.18</v>
      </c>
      <c r="E30" s="14">
        <f>_xll.BDH("AMGN US Equity","ARD_DILUTED_EPS","FQ2 2019","FQ2 2019","Currency=USD","Period=FQ","BEST_FPERIOD_OVERRIDE=FQ","FILING_STATUS=MR","Sort=A","Dates=H","DateFormat=P","Fill=—","Direction=H","UseDPDF=Y")</f>
        <v>3.57</v>
      </c>
      <c r="F30" s="14">
        <f>_xll.BDH("AMGN US Equity","ARD_DILUTED_EPS","FQ3 2019","FQ3 2019","Currency=USD","Period=FQ","BEST_FPERIOD_OVERRIDE=FQ","FILING_STATUS=MR","Sort=A","Dates=H","DateFormat=P","Fill=—","Direction=H","UseDPDF=Y")</f>
        <v>3.27</v>
      </c>
      <c r="G30" s="14">
        <f>_xll.BDH("AMGN US Equity","ARD_DILUTED_EPS","FQ4 2019","FQ4 2019","Currency=USD","Period=FQ","BEST_FPERIOD_OVERRIDE=FQ","FILING_STATUS=MR","Sort=A","Dates=H","DateFormat=P","Fill=—","Direction=H","UseDPDF=Y")</f>
        <v>2.85</v>
      </c>
      <c r="H30" s="14">
        <f>_xll.BDH("AMGN US Equity","ARD_DILUTED_EPS","FQ1 2020","FQ1 2020","Currency=USD","Period=FQ","BEST_FPERIOD_OVERRIDE=FQ","FILING_STATUS=MR","Sort=A","Dates=H","DateFormat=P","Fill=—","Direction=H","UseDPDF=Y")</f>
        <v>3.07</v>
      </c>
      <c r="I30" s="14">
        <f>_xll.BDH("AMGN US Equity","ARD_DILUTED_EPS","FQ2 2020","FQ2 2020","Currency=USD","Period=FQ","BEST_FPERIOD_OVERRIDE=FQ","FILING_STATUS=MR","Sort=A","Dates=H","DateFormat=P","Fill=—","Direction=H","UseDPDF=Y")</f>
        <v>3.05</v>
      </c>
      <c r="J30" s="14">
        <f>_xll.BDH("AMGN US Equity","ARD_DILUTED_EPS","FQ3 2020","FQ3 2020","Currency=USD","Period=FQ","BEST_FPERIOD_OVERRIDE=FQ","FILING_STATUS=MR","Sort=A","Dates=H","DateFormat=P","Fill=—","Direction=H","UseDPDF=Y")</f>
        <v>3.43</v>
      </c>
      <c r="K30" s="14">
        <f>_xll.BDH("AMGN US Equity","ARD_DILUTED_EPS","FQ4 2020","FQ4 2020","Currency=USD","Period=FQ","BEST_FPERIOD_OVERRIDE=FQ","FILING_STATUS=MR","Sort=A","Dates=H","DateFormat=P","Fill=—","Direction=H","UseDPDF=Y")</f>
        <v>2.76</v>
      </c>
      <c r="L30" s="14">
        <f>_xll.BDH("AMGN US Equity","ARD_DILUTED_EPS","FQ1 2021","FQ1 2021","Currency=USD","Period=FQ","BEST_FPERIOD_OVERRIDE=FQ","FILING_STATUS=MR","Sort=A","Dates=H","DateFormat=P","Fill=—","Direction=H","UseDPDF=Y")</f>
        <v>2.83</v>
      </c>
      <c r="M30" s="14">
        <f>_xll.BDH("AMGN US Equity","ARD_DILUTED_EPS","FQ2 2021","FQ2 2021","Currency=USD","Period=FQ","BEST_FPERIOD_OVERRIDE=FQ","FILING_STATUS=MR","Sort=A","Dates=H","DateFormat=P","Fill=—","Direction=H","UseDPDF=Y")</f>
        <v>0.81</v>
      </c>
      <c r="N30" s="14">
        <f>_xll.BDH("AMGN US Equity","ARD_DILUTED_EPS","FQ3 2021","FQ3 2021","Currency=USD","Period=FQ","BEST_FPERIOD_OVERRIDE=FQ","FILING_STATUS=MR","Sort=A","Dates=H","DateFormat=P","Fill=—","Direction=H","UseDPDF=Y")</f>
        <v>3.31</v>
      </c>
      <c r="O30" s="14">
        <f>_xll.BDH("AMGN US Equity","ARD_DILUTED_EPS","FQ4 2021","FQ4 2021","Currency=USD","Period=FQ","BEST_FPERIOD_OVERRIDE=FQ","FILING_STATUS=MR","Sort=A","Dates=H","DateFormat=P","Fill=—","Direction=H","UseDPDF=Y")</f>
        <v>3.36</v>
      </c>
      <c r="P30" s="14">
        <f>_xll.BDH("AMGN US Equity","ARD_DILUTED_EPS","FQ1 2022","FQ1 2022","Currency=USD","Period=FQ","BEST_FPERIOD_OVERRIDE=FQ","FILING_STATUS=MR","Sort=A","Dates=H","DateFormat=P","Fill=—","Direction=H","UseDPDF=Y")</f>
        <v>2.68</v>
      </c>
      <c r="Q30" s="14">
        <f>_xll.BDH("AMGN US Equity","ARD_DILUTED_EPS","FQ2 2022","FQ2 2022","Currency=USD","Period=FQ","BEST_FPERIOD_OVERRIDE=FQ","FILING_STATUS=MR","Sort=A","Dates=H","DateFormat=P","Fill=—","Direction=H","UseDPDF=Y")</f>
        <v>2.4500000000000002</v>
      </c>
      <c r="R30" s="14">
        <f>_xll.BDH("AMGN US Equity","ARD_DILUTED_EPS","FQ3 2022","FQ3 2022","Currency=USD","Period=FQ","BEST_FPERIOD_OVERRIDE=FQ","FILING_STATUS=MR","Sort=A","Dates=H","DateFormat=P","Fill=—","Direction=H","UseDPDF=Y")</f>
        <v>3.98</v>
      </c>
      <c r="S30" s="14">
        <f>_xll.BDH("AMGN US Equity","ARD_DILUTED_EPS","FQ4 2022","FQ4 2022","Currency=USD","Period=FQ","BEST_FPERIOD_OVERRIDE=FQ","FILING_STATUS=MR","Sort=A","Dates=H","DateFormat=P","Fill=—","Direction=H","UseDPDF=Y")</f>
        <v>3</v>
      </c>
      <c r="T30" s="14">
        <f>_xll.BDH("AMGN US Equity","ARD_DILUTED_EPS","FQ1 2023","FQ1 2023","Currency=USD","Period=FQ","BEST_FPERIOD_OVERRIDE=FQ","FILING_STATUS=MR","Sort=A","Dates=H","DateFormat=P","Fill=—","Direction=H","UseDPDF=Y")</f>
        <v>5.28</v>
      </c>
      <c r="U30" s="14">
        <f>_xll.BDH("AMGN US Equity","ARD_DILUTED_EPS","FQ2 2023","FQ2 2023","Currency=USD","Period=FQ","BEST_FPERIOD_OVERRIDE=FQ","FILING_STATUS=MR","Sort=A","Dates=H","DateFormat=P","Fill=—","Direction=H","UseDPDF=Y")</f>
        <v>2.57</v>
      </c>
      <c r="V30" s="14">
        <f>_xll.BDH("AMGN US Equity","ARD_DILUTED_EPS","FQ3 2023","FQ3 2023","Currency=USD","Period=FQ","BEST_FPERIOD_OVERRIDE=FQ","FILING_STATUS=MR","Sort=A","Dates=H","DateFormat=P","Fill=—","Direction=H","UseDPDF=Y")</f>
        <v>3.22</v>
      </c>
      <c r="W30" s="14">
        <f>_xll.BDH("AMGN US Equity","ARD_DILUTED_EPS","FQ4 2023","FQ4 2023","Currency=USD","Period=FQ","BEST_FPERIOD_OVERRIDE=FQ","FILING_STATUS=MR","Sort=A","Dates=H","DateFormat=P","Fill=—","Direction=H","UseDPDF=Y")</f>
        <v>1.42</v>
      </c>
      <c r="X30" s="14">
        <f>_xll.BDH("AMGN US Equity","ARD_DILUTED_EPS","FQ1 2024","FQ1 2024","Currency=USD","Period=FQ","BEST_FPERIOD_OVERRIDE=FQ","FILING_STATUS=MR","Sort=A","Dates=H","DateFormat=P","Fill=—","Direction=H","UseDPDF=Y")</f>
        <v>-0.21</v>
      </c>
      <c r="Y30" s="14">
        <f>_xll.BDH("AMGN US Equity","ARD_DILUTED_EPS","FQ2 2024","FQ2 2024","Currency=USD","Period=FQ","BEST_FPERIOD_OVERRIDE=FQ","FILING_STATUS=MR","Sort=A","Dates=H","DateFormat=P","Fill=—","Direction=H","UseDPDF=Y")</f>
        <v>1.38</v>
      </c>
      <c r="Z30" s="14">
        <f>_xll.BDH("AMGN US Equity","ARD_DILUTED_EPS","FQ3 2024","FQ3 2024","Currency=USD","Period=FQ","BEST_FPERIOD_OVERRIDE=FQ","FILING_STATUS=MR","Sort=A","Dates=H","DateFormat=P","Fill=—","Direction=H","UseDPDF=Y")</f>
        <v>5.22</v>
      </c>
      <c r="AA30" s="14">
        <f>_xll.BDH("AMGN US Equity","ARD_DILUTED_EPS","FQ4 2024","FQ4 2024","Currency=USD","Period=FQ","BEST_FPERIOD_OVERRIDE=FQ","FILING_STATUS=MR","Sort=A","Dates=H","DateFormat=P","Fill=—","Direction=H","UseDPDF=Y")</f>
        <v>1.1599999999999999</v>
      </c>
    </row>
    <row r="31" spans="1:27" x14ac:dyDescent="0.25">
      <c r="A31" s="10" t="s">
        <v>456</v>
      </c>
      <c r="B31" s="10" t="s">
        <v>457</v>
      </c>
      <c r="C31" s="13">
        <f>_xll.BDH("AMGN US Equity","ARD_WEIGHTED_AVG_SHARE_DILUTED","FQ4 2018","FQ4 2018","Currency=USD","Period=FQ","BEST_FPERIOD_OVERRIDE=FQ","FILING_STATUS=MR","Sort=A","Dates=H","DateFormat=P","Fill=—","Direction=H","UseDPDF=Y")</f>
        <v>640</v>
      </c>
      <c r="D31" s="13">
        <f>_xll.BDH("AMGN US Equity","ARD_WEIGHTED_AVG_SHARE_DILUTED","FQ1 2019","FQ1 2019","Currency=USD","Period=FQ","BEST_FPERIOD_OVERRIDE=FQ","FILING_STATUS=MR","Sort=A","Dates=H","DateFormat=P","Fill=—","Direction=H","UseDPDF=Y")</f>
        <v>626</v>
      </c>
      <c r="E31" s="13">
        <f>_xll.BDH("AMGN US Equity","ARD_WEIGHTED_AVG_SHARE_DILUTED","FQ2 2019","FQ2 2019","Currency=USD","Period=FQ","BEST_FPERIOD_OVERRIDE=FQ","FILING_STATUS=MR","Sort=A","Dates=H","DateFormat=P","Fill=—","Direction=H","UseDPDF=Y")</f>
        <v>610</v>
      </c>
      <c r="F31" s="13">
        <f>_xll.BDH("AMGN US Equity","ARD_WEIGHTED_AVG_SHARE_DILUTED","FQ3 2019","FQ3 2019","Currency=USD","Period=FQ","BEST_FPERIOD_OVERRIDE=FQ","FILING_STATUS=MR","Sort=A","Dates=H","DateFormat=P","Fill=—","Direction=H","UseDPDF=Y")</f>
        <v>602</v>
      </c>
      <c r="G31" s="13">
        <f>_xll.BDH("AMGN US Equity","ARD_WEIGHTED_AVG_SHARE_DILUTED","FQ4 2019","FQ4 2019","Currency=USD","Period=FQ","BEST_FPERIOD_OVERRIDE=FQ","FILING_STATUS=MR","Sort=A","Dates=H","DateFormat=P","Fill=—","Direction=H","UseDPDF=Y")</f>
        <v>598</v>
      </c>
      <c r="H31" s="13">
        <f>_xll.BDH("AMGN US Equity","ARD_WEIGHTED_AVG_SHARE_DILUTED","FQ1 2020","FQ1 2020","Currency=USD","Period=FQ","BEST_FPERIOD_OVERRIDE=FQ","FILING_STATUS=MR","Sort=A","Dates=H","DateFormat=P","Fill=—","Direction=H","UseDPDF=Y")</f>
        <v>594</v>
      </c>
      <c r="I31" s="13">
        <f>_xll.BDH("AMGN US Equity","ARD_WEIGHTED_AVG_SHARE_DILUTED","FQ2 2020","FQ2 2020","Currency=USD","Period=FQ","BEST_FPERIOD_OVERRIDE=FQ","FILING_STATUS=MR","Sort=A","Dates=H","DateFormat=P","Fill=—","Direction=H","UseDPDF=Y")</f>
        <v>592</v>
      </c>
      <c r="J31" s="13">
        <f>_xll.BDH("AMGN US Equity","ARD_WEIGHTED_AVG_SHARE_DILUTED","FQ3 2020","FQ3 2020","Currency=USD","Period=FQ","BEST_FPERIOD_OVERRIDE=FQ","FILING_STATUS=MR","Sort=A","Dates=H","DateFormat=P","Fill=—","Direction=H","UseDPDF=Y")</f>
        <v>589</v>
      </c>
      <c r="K31" s="13">
        <f>_xll.BDH("AMGN US Equity","ARD_WEIGHTED_AVG_SHARE_DILUTED","FQ4 2020","FQ4 2020","Currency=USD","Period=FQ","BEST_FPERIOD_OVERRIDE=FQ","FILING_STATUS=MR","Sort=A","Dates=H","DateFormat=P","Fill=—","Direction=H","UseDPDF=Y")</f>
        <v>585</v>
      </c>
      <c r="L31" s="13">
        <f>_xll.BDH("AMGN US Equity","ARD_WEIGHTED_AVG_SHARE_DILUTED","FQ1 2021","FQ1 2021","Currency=USD","Period=FQ","BEST_FPERIOD_OVERRIDE=FQ","FILING_STATUS=MR","Sort=A","Dates=H","DateFormat=P","Fill=—","Direction=H","UseDPDF=Y")</f>
        <v>581</v>
      </c>
      <c r="M31" s="13">
        <f>_xll.BDH("AMGN US Equity","ARD_WEIGHTED_AVG_SHARE_DILUTED","FQ2 2021","FQ2 2021","Currency=USD","Period=FQ","BEST_FPERIOD_OVERRIDE=FQ","FILING_STATUS=MR","Sort=A","Dates=H","DateFormat=P","Fill=—","Direction=H","UseDPDF=Y")</f>
        <v>576</v>
      </c>
      <c r="N31" s="13">
        <f>_xll.BDH("AMGN US Equity","ARD_WEIGHTED_AVG_SHARE_DILUTED","FQ3 2021","FQ3 2021","Currency=USD","Period=FQ","BEST_FPERIOD_OVERRIDE=FQ","FILING_STATUS=MR","Sort=A","Dates=H","DateFormat=P","Fill=—","Direction=H","UseDPDF=Y")</f>
        <v>570</v>
      </c>
      <c r="O31" s="13">
        <f>_xll.BDH("AMGN US Equity","ARD_WEIGHTED_AVG_SHARE_DILUTED","FQ4 2021","FQ4 2021","Currency=USD","Period=FQ","BEST_FPERIOD_OVERRIDE=FQ","FILING_STATUS=MR","Sort=A","Dates=H","DateFormat=P","Fill=—","Direction=H","UseDPDF=Y")</f>
        <v>565</v>
      </c>
      <c r="P31" s="13">
        <f>_xll.BDH("AMGN US Equity","ARD_WEIGHTED_AVG_SHARE_DILUTED","FQ1 2022","FQ1 2022","Currency=USD","Period=FQ","BEST_FPERIOD_OVERRIDE=FQ","FILING_STATUS=MR","Sort=A","Dates=H","DateFormat=P","Fill=—","Direction=H","UseDPDF=Y")</f>
        <v>551</v>
      </c>
      <c r="Q31" s="13">
        <f>_xll.BDH("AMGN US Equity","ARD_WEIGHTED_AVG_SHARE_DILUTED","FQ2 2022","FQ2 2022","Currency=USD","Period=FQ","BEST_FPERIOD_OVERRIDE=FQ","FILING_STATUS=MR","Sort=A","Dates=H","DateFormat=P","Fill=—","Direction=H","UseDPDF=Y")</f>
        <v>537</v>
      </c>
      <c r="R31" s="13">
        <f>_xll.BDH("AMGN US Equity","ARD_WEIGHTED_AVG_SHARE_DILUTED","FQ3 2022","FQ3 2022","Currency=USD","Period=FQ","BEST_FPERIOD_OVERRIDE=FQ","FILING_STATUS=MR","Sort=A","Dates=H","DateFormat=P","Fill=—","Direction=H","UseDPDF=Y")</f>
        <v>538</v>
      </c>
      <c r="S31" s="13">
        <f>_xll.BDH("AMGN US Equity","ARD_WEIGHTED_AVG_SHARE_DILUTED","FQ4 2022","FQ4 2022","Currency=USD","Period=FQ","BEST_FPERIOD_OVERRIDE=FQ","FILING_STATUS=MR","Sort=A","Dates=H","DateFormat=P","Fill=—","Direction=H","UseDPDF=Y")</f>
        <v>539</v>
      </c>
      <c r="T31" s="13">
        <f>_xll.BDH("AMGN US Equity","ARD_WEIGHTED_AVG_SHARE_DILUTED","FQ1 2023","FQ1 2023","Currency=USD","Period=FQ","BEST_FPERIOD_OVERRIDE=FQ","FILING_STATUS=MR","Sort=A","Dates=H","DateFormat=P","Fill=—","Direction=H","UseDPDF=Y")</f>
        <v>538</v>
      </c>
      <c r="U31" s="13">
        <f>_xll.BDH("AMGN US Equity","ARD_WEIGHTED_AVG_SHARE_DILUTED","FQ2 2023","FQ2 2023","Currency=USD","Period=FQ","BEST_FPERIOD_OVERRIDE=FQ","FILING_STATUS=MR","Sort=A","Dates=H","DateFormat=P","Fill=—","Direction=H","UseDPDF=Y")</f>
        <v>537</v>
      </c>
      <c r="V31" s="13">
        <f>_xll.BDH("AMGN US Equity","ARD_WEIGHTED_AVG_SHARE_DILUTED","FQ3 2023","FQ3 2023","Currency=USD","Period=FQ","BEST_FPERIOD_OVERRIDE=FQ","FILING_STATUS=MR","Sort=A","Dates=H","DateFormat=P","Fill=—","Direction=H","UseDPDF=Y")</f>
        <v>538</v>
      </c>
      <c r="W31" s="13">
        <f>_xll.BDH("AMGN US Equity","ARD_WEIGHTED_AVG_SHARE_DILUTED","FQ4 2023","FQ4 2023","Currency=USD","Period=FQ","BEST_FPERIOD_OVERRIDE=FQ","FILING_STATUS=MR","Sort=A","Dates=H","DateFormat=P","Fill=—","Direction=H","UseDPDF=Y")</f>
        <v>540</v>
      </c>
      <c r="X31" s="13">
        <f>_xll.BDH("AMGN US Equity","ARD_WEIGHTED_AVG_SHARE_DILUTED","FQ1 2024","FQ1 2024","Currency=USD","Period=FQ","BEST_FPERIOD_OVERRIDE=FQ","FILING_STATUS=MR","Sort=A","Dates=H","DateFormat=P","Fill=—","Direction=H","UseDPDF=Y")</f>
        <v>536</v>
      </c>
      <c r="Y31" s="13">
        <f>_xll.BDH("AMGN US Equity","ARD_WEIGHTED_AVG_SHARE_DILUTED","FQ2 2024","FQ2 2024","Currency=USD","Period=FQ","BEST_FPERIOD_OVERRIDE=FQ","FILING_STATUS=MR","Sort=A","Dates=H","DateFormat=P","Fill=—","Direction=H","UseDPDF=Y")</f>
        <v>541</v>
      </c>
      <c r="Z31" s="13">
        <f>_xll.BDH("AMGN US Equity","ARD_WEIGHTED_AVG_SHARE_DILUTED","FQ3 2024","FQ3 2024","Currency=USD","Period=FQ","BEST_FPERIOD_OVERRIDE=FQ","FILING_STATUS=MR","Sort=A","Dates=H","DateFormat=P","Fill=—","Direction=H","UseDPDF=Y")</f>
        <v>542</v>
      </c>
      <c r="AA31" s="13">
        <f>_xll.BDH("AMGN US Equity","ARD_WEIGHTED_AVG_SHARE_DILUTED","FQ4 2024","FQ4 2024","Currency=USD","Period=FQ","BEST_FPERIOD_OVERRIDE=FQ","FILING_STATUS=MR","Sort=A","Dates=H","DateFormat=P","Fill=—","Direction=H","UseDPDF=Y")</f>
        <v>542</v>
      </c>
    </row>
    <row r="32" spans="1:27" x14ac:dyDescent="0.25">
      <c r="A32" s="10" t="s">
        <v>458</v>
      </c>
      <c r="B32" s="10" t="s">
        <v>459</v>
      </c>
      <c r="C32" s="13" t="str">
        <f>_xll.BDH("AMGN US Equity","ARD_NET_INC_AVAIL_COM_SHRHLDR","FQ4 2018","FQ4 2018","Currency=USD","Period=FQ","BEST_FPERIOD_OVERRIDE=FQ","FILING_STATUS=MR","SCALING_FORMAT=MLN","Sort=A","Dates=H","DateFormat=P","Fill=—","Direction=H","UseDPDF=Y")</f>
        <v>—</v>
      </c>
      <c r="D32" s="13" t="str">
        <f>_xll.BDH("AMGN US Equity","ARD_NET_INC_AVAIL_COM_SHRHLDR","FQ1 2019","FQ1 2019","Currency=USD","Period=FQ","BEST_FPERIOD_OVERRIDE=FQ","FILING_STATUS=MR","SCALING_FORMAT=MLN","Sort=A","Dates=H","DateFormat=P","Fill=—","Direction=H","UseDPDF=Y")</f>
        <v>—</v>
      </c>
      <c r="E32" s="13" t="str">
        <f>_xll.BDH("AMGN US Equity","ARD_NET_INC_AVAIL_COM_SHRHLDR","FQ2 2019","FQ2 2019","Currency=USD","Period=FQ","BEST_FPERIOD_OVERRIDE=FQ","FILING_STATUS=MR","SCALING_FORMAT=MLN","Sort=A","Dates=H","DateFormat=P","Fill=—","Direction=H","UseDPDF=Y")</f>
        <v>—</v>
      </c>
      <c r="F32" s="13" t="str">
        <f>_xll.BDH("AMGN US Equity","ARD_NET_INC_AVAIL_COM_SHRHLDR","FQ3 2019","FQ3 2019","Currency=USD","Period=FQ","BEST_FPERIOD_OVERRIDE=FQ","FILING_STATUS=MR","SCALING_FORMAT=MLN","Sort=A","Dates=H","DateFormat=P","Fill=—","Direction=H","UseDPDF=Y")</f>
        <v>—</v>
      </c>
      <c r="G32" s="13" t="str">
        <f>_xll.BDH("AMGN US Equity","ARD_NET_INC_AVAIL_COM_SHRHLDR","FQ4 2019","FQ4 2019","Currency=USD","Period=FQ","BEST_FPERIOD_OVERRIDE=FQ","FILING_STATUS=MR","SCALING_FORMAT=MLN","Sort=A","Dates=H","DateFormat=P","Fill=—","Direction=H","UseDPDF=Y")</f>
        <v>—</v>
      </c>
      <c r="H32" s="13" t="str">
        <f>_xll.BDH("AMGN US Equity","ARD_NET_INC_AVAIL_COM_SHRHLDR","FQ1 2020","FQ1 2020","Currency=USD","Period=FQ","BEST_FPERIOD_OVERRIDE=FQ","FILING_STATUS=MR","SCALING_FORMAT=MLN","Sort=A","Dates=H","DateFormat=P","Fill=—","Direction=H","UseDPDF=Y")</f>
        <v>—</v>
      </c>
      <c r="I32" s="13" t="str">
        <f>_xll.BDH("AMGN US Equity","ARD_NET_INC_AVAIL_COM_SHRHLDR","FQ2 2020","FQ2 2020","Currency=USD","Period=FQ","BEST_FPERIOD_OVERRIDE=FQ","FILING_STATUS=MR","SCALING_FORMAT=MLN","Sort=A","Dates=H","DateFormat=P","Fill=—","Direction=H","UseDPDF=Y")</f>
        <v>—</v>
      </c>
      <c r="J32" s="13" t="str">
        <f>_xll.BDH("AMGN US Equity","ARD_NET_INC_AVAIL_COM_SHRHLDR","FQ3 2020","FQ3 2020","Currency=USD","Period=FQ","BEST_FPERIOD_OVERRIDE=FQ","FILING_STATUS=MR","SCALING_FORMAT=MLN","Sort=A","Dates=H","DateFormat=P","Fill=—","Direction=H","UseDPDF=Y")</f>
        <v>—</v>
      </c>
      <c r="K32" s="13" t="str">
        <f>_xll.BDH("AMGN US Equity","ARD_NET_INC_AVAIL_COM_SHRHLDR","FQ4 2020","FQ4 2020","Currency=USD","Period=FQ","BEST_FPERIOD_OVERRIDE=FQ","FILING_STATUS=MR","SCALING_FORMAT=MLN","Sort=A","Dates=H","DateFormat=P","Fill=—","Direction=H","UseDPDF=Y")</f>
        <v>—</v>
      </c>
      <c r="L32" s="13" t="str">
        <f>_xll.BDH("AMGN US Equity","ARD_NET_INC_AVAIL_COM_SHRHLDR","FQ1 2021","FQ1 2021","Currency=USD","Period=FQ","BEST_FPERIOD_OVERRIDE=FQ","FILING_STATUS=MR","SCALING_FORMAT=MLN","Sort=A","Dates=H","DateFormat=P","Fill=—","Direction=H","UseDPDF=Y")</f>
        <v>—</v>
      </c>
      <c r="M32" s="13" t="str">
        <f>_xll.BDH("AMGN US Equity","ARD_NET_INC_AVAIL_COM_SHRHLDR","FQ2 2021","FQ2 2021","Currency=USD","Period=FQ","BEST_FPERIOD_OVERRIDE=FQ","FILING_STATUS=MR","SCALING_FORMAT=MLN","Sort=A","Dates=H","DateFormat=P","Fill=—","Direction=H","UseDPDF=Y")</f>
        <v>—</v>
      </c>
      <c r="N32" s="13">
        <f>_xll.BDH("AMGN US Equity","ARD_NET_INC_AVAIL_COM_SHRHLDR","FQ3 2021","FQ3 2021","Currency=USD","Period=FQ","BEST_FPERIOD_OVERRIDE=FQ","FILING_STATUS=MR","SCALING_FORMAT=MLN","Sort=A","Dates=H","DateFormat=P","Fill=—","Direction=H","UseDPDF=Y")</f>
        <v>1884</v>
      </c>
      <c r="O32" s="13" t="str">
        <f>_xll.BDH("AMGN US Equity","ARD_NET_INC_AVAIL_COM_SHRHLDR","FQ4 2021","FQ4 2021","Currency=USD","Period=FQ","BEST_FPERIOD_OVERRIDE=FQ","FILING_STATUS=MR","SCALING_FORMAT=MLN","Sort=A","Dates=H","DateFormat=P","Fill=—","Direction=H","UseDPDF=Y")</f>
        <v>—</v>
      </c>
      <c r="P32" s="13" t="str">
        <f>_xll.BDH("AMGN US Equity","ARD_NET_INC_AVAIL_COM_SHRHLDR","FQ1 2022","FQ1 2022","Currency=USD","Period=FQ","BEST_FPERIOD_OVERRIDE=FQ","FILING_STATUS=MR","SCALING_FORMAT=MLN","Sort=A","Dates=H","DateFormat=P","Fill=—","Direction=H","UseDPDF=Y")</f>
        <v>—</v>
      </c>
      <c r="Q32" s="13" t="str">
        <f>_xll.BDH("AMGN US Equity","ARD_NET_INC_AVAIL_COM_SHRHLDR","FQ2 2022","FQ2 2022","Currency=USD","Period=FQ","BEST_FPERIOD_OVERRIDE=FQ","FILING_STATUS=MR","SCALING_FORMAT=MLN","Sort=A","Dates=H","DateFormat=P","Fill=—","Direction=H","UseDPDF=Y")</f>
        <v>—</v>
      </c>
      <c r="R32" s="13">
        <f>_xll.BDH("AMGN US Equity","ARD_NET_INC_AVAIL_COM_SHRHLDR","FQ3 2022","FQ3 2022","Currency=USD","Period=FQ","BEST_FPERIOD_OVERRIDE=FQ","FILING_STATUS=MR","SCALING_FORMAT=MLN","Sort=A","Dates=H","DateFormat=P","Fill=—","Direction=H","UseDPDF=Y")</f>
        <v>2143</v>
      </c>
      <c r="S32" s="13">
        <f>_xll.BDH("AMGN US Equity","ARD_NET_INC_AVAIL_COM_SHRHLDR","FQ4 2022","FQ4 2022","Currency=USD","Period=FQ","BEST_FPERIOD_OVERRIDE=FQ","FILING_STATUS=MR","SCALING_FORMAT=MLN","Sort=A","Dates=H","DateFormat=P","Fill=—","Direction=H","UseDPDF=Y")</f>
        <v>1616</v>
      </c>
      <c r="T32" s="13" t="str">
        <f>_xll.BDH("AMGN US Equity","ARD_NET_INC_AVAIL_COM_SHRHLDR","FQ1 2023","FQ1 2023","Currency=USD","Period=FQ","BEST_FPERIOD_OVERRIDE=FQ","FILING_STATUS=MR","SCALING_FORMAT=MLN","Sort=A","Dates=H","DateFormat=P","Fill=—","Direction=H","UseDPDF=Y")</f>
        <v>—</v>
      </c>
      <c r="U32" s="13">
        <f>_xll.BDH("AMGN US Equity","ARD_NET_INC_AVAIL_COM_SHRHLDR","FQ2 2023","FQ2 2023","Currency=USD","Period=FQ","BEST_FPERIOD_OVERRIDE=FQ","FILING_STATUS=MR","SCALING_FORMAT=MLN","Sort=A","Dates=H","DateFormat=P","Fill=—","Direction=H","UseDPDF=Y")</f>
        <v>1379</v>
      </c>
      <c r="V32" s="13">
        <f>_xll.BDH("AMGN US Equity","ARD_NET_INC_AVAIL_COM_SHRHLDR","FQ3 2023","FQ3 2023","Currency=USD","Period=FQ","BEST_FPERIOD_OVERRIDE=FQ","FILING_STATUS=MR","SCALING_FORMAT=MLN","Sort=A","Dates=H","DateFormat=P","Fill=—","Direction=H","UseDPDF=Y")</f>
        <v>1730</v>
      </c>
      <c r="W32" s="13">
        <f>_xll.BDH("AMGN US Equity","ARD_NET_INC_AVAIL_COM_SHRHLDR","FQ4 2023","FQ4 2023","Currency=USD","Period=FQ","BEST_FPERIOD_OVERRIDE=FQ","FILING_STATUS=MR","SCALING_FORMAT=MLN","Sort=A","Dates=H","DateFormat=P","Fill=—","Direction=H","UseDPDF=Y")</f>
        <v>767</v>
      </c>
      <c r="X32" s="13">
        <f>_xll.BDH("AMGN US Equity","ARD_NET_INC_AVAIL_COM_SHRHLDR","FQ1 2024","FQ1 2024","Currency=USD","Period=FQ","BEST_FPERIOD_OVERRIDE=FQ","FILING_STATUS=MR","SCALING_FORMAT=MLN","Sort=A","Dates=H","DateFormat=P","Fill=—","Direction=H","UseDPDF=Y")</f>
        <v>-113</v>
      </c>
      <c r="Y32" s="13">
        <f>_xll.BDH("AMGN US Equity","ARD_NET_INC_AVAIL_COM_SHRHLDR","FQ2 2024","FQ2 2024","Currency=USD","Period=FQ","BEST_FPERIOD_OVERRIDE=FQ","FILING_STATUS=MR","SCALING_FORMAT=MLN","Sort=A","Dates=H","DateFormat=P","Fill=—","Direction=H","UseDPDF=Y")</f>
        <v>746</v>
      </c>
      <c r="Z32" s="13">
        <f>_xll.BDH("AMGN US Equity","ARD_NET_INC_AVAIL_COM_SHRHLDR","FQ3 2024","FQ3 2024","Currency=USD","Period=FQ","BEST_FPERIOD_OVERRIDE=FQ","FILING_STATUS=MR","SCALING_FORMAT=MLN","Sort=A","Dates=H","DateFormat=P","Fill=—","Direction=H","UseDPDF=Y")</f>
        <v>2830</v>
      </c>
      <c r="AA32" s="13">
        <f>_xll.BDH("AMGN US Equity","ARD_NET_INC_AVAIL_COM_SHRHLDR","FQ4 2024","FQ4 2024","Currency=USD","Period=FQ","BEST_FPERIOD_OVERRIDE=FQ","FILING_STATUS=MR","SCALING_FORMAT=MLN","Sort=A","Dates=H","DateFormat=P","Fill=—","Direction=H","UseDPDF=Y")</f>
        <v>627</v>
      </c>
    </row>
    <row r="33" spans="1:27" x14ac:dyDescent="0.25">
      <c r="A33" s="10" t="s">
        <v>460</v>
      </c>
      <c r="B33" s="10" t="s">
        <v>461</v>
      </c>
      <c r="C33" s="13" t="str">
        <f>_xll.BDH("AMGN US Equity","ARD_PROF_AFTER_TAX_BEF_MINORITY","FQ4 2018","FQ4 2018","Currency=USD","Period=FQ","BEST_FPERIOD_OVERRIDE=FQ","FILING_STATUS=MR","SCALING_FORMAT=MLN","Sort=A","Dates=H","DateFormat=P","Fill=—","Direction=H","UseDPDF=Y")</f>
        <v>—</v>
      </c>
      <c r="D33" s="13" t="str">
        <f>_xll.BDH("AMGN US Equity","ARD_PROF_AFTER_TAX_BEF_MINORITY","FQ1 2019","FQ1 2019","Currency=USD","Period=FQ","BEST_FPERIOD_OVERRIDE=FQ","FILING_STATUS=MR","SCALING_FORMAT=MLN","Sort=A","Dates=H","DateFormat=P","Fill=—","Direction=H","UseDPDF=Y")</f>
        <v>—</v>
      </c>
      <c r="E33" s="13" t="str">
        <f>_xll.BDH("AMGN US Equity","ARD_PROF_AFTER_TAX_BEF_MINORITY","FQ2 2019","FQ2 2019","Currency=USD","Period=FQ","BEST_FPERIOD_OVERRIDE=FQ","FILING_STATUS=MR","SCALING_FORMAT=MLN","Sort=A","Dates=H","DateFormat=P","Fill=—","Direction=H","UseDPDF=Y")</f>
        <v>—</v>
      </c>
      <c r="F33" s="13" t="str">
        <f>_xll.BDH("AMGN US Equity","ARD_PROF_AFTER_TAX_BEF_MINORITY","FQ3 2019","FQ3 2019","Currency=USD","Period=FQ","BEST_FPERIOD_OVERRIDE=FQ","FILING_STATUS=MR","SCALING_FORMAT=MLN","Sort=A","Dates=H","DateFormat=P","Fill=—","Direction=H","UseDPDF=Y")</f>
        <v>—</v>
      </c>
      <c r="G33" s="13" t="str">
        <f>_xll.BDH("AMGN US Equity","ARD_PROF_AFTER_TAX_BEF_MINORITY","FQ4 2019","FQ4 2019","Currency=USD","Period=FQ","BEST_FPERIOD_OVERRIDE=FQ","FILING_STATUS=MR","SCALING_FORMAT=MLN","Sort=A","Dates=H","DateFormat=P","Fill=—","Direction=H","UseDPDF=Y")</f>
        <v>—</v>
      </c>
      <c r="H33" s="13" t="str">
        <f>_xll.BDH("AMGN US Equity","ARD_PROF_AFTER_TAX_BEF_MINORITY","FQ1 2020","FQ1 2020","Currency=USD","Period=FQ","BEST_FPERIOD_OVERRIDE=FQ","FILING_STATUS=MR","SCALING_FORMAT=MLN","Sort=A","Dates=H","DateFormat=P","Fill=—","Direction=H","UseDPDF=Y")</f>
        <v>—</v>
      </c>
      <c r="I33" s="13" t="str">
        <f>_xll.BDH("AMGN US Equity","ARD_PROF_AFTER_TAX_BEF_MINORITY","FQ2 2020","FQ2 2020","Currency=USD","Period=FQ","BEST_FPERIOD_OVERRIDE=FQ","FILING_STATUS=MR","SCALING_FORMAT=MLN","Sort=A","Dates=H","DateFormat=P","Fill=—","Direction=H","UseDPDF=Y")</f>
        <v>—</v>
      </c>
      <c r="J33" s="13" t="str">
        <f>_xll.BDH("AMGN US Equity","ARD_PROF_AFTER_TAX_BEF_MINORITY","FQ3 2020","FQ3 2020","Currency=USD","Period=FQ","BEST_FPERIOD_OVERRIDE=FQ","FILING_STATUS=MR","SCALING_FORMAT=MLN","Sort=A","Dates=H","DateFormat=P","Fill=—","Direction=H","UseDPDF=Y")</f>
        <v>—</v>
      </c>
      <c r="K33" s="13" t="str">
        <f>_xll.BDH("AMGN US Equity","ARD_PROF_AFTER_TAX_BEF_MINORITY","FQ4 2020","FQ4 2020","Currency=USD","Period=FQ","BEST_FPERIOD_OVERRIDE=FQ","FILING_STATUS=MR","SCALING_FORMAT=MLN","Sort=A","Dates=H","DateFormat=P","Fill=—","Direction=H","UseDPDF=Y")</f>
        <v>—</v>
      </c>
      <c r="L33" s="13" t="str">
        <f>_xll.BDH("AMGN US Equity","ARD_PROF_AFTER_TAX_BEF_MINORITY","FQ1 2021","FQ1 2021","Currency=USD","Period=FQ","BEST_FPERIOD_OVERRIDE=FQ","FILING_STATUS=MR","SCALING_FORMAT=MLN","Sort=A","Dates=H","DateFormat=P","Fill=—","Direction=H","UseDPDF=Y")</f>
        <v>—</v>
      </c>
      <c r="M33" s="13" t="str">
        <f>_xll.BDH("AMGN US Equity","ARD_PROF_AFTER_TAX_BEF_MINORITY","FQ2 2021","FQ2 2021","Currency=USD","Period=FQ","BEST_FPERIOD_OVERRIDE=FQ","FILING_STATUS=MR","SCALING_FORMAT=MLN","Sort=A","Dates=H","DateFormat=P","Fill=—","Direction=H","UseDPDF=Y")</f>
        <v>—</v>
      </c>
      <c r="N33" s="13">
        <f>_xll.BDH("AMGN US Equity","ARD_PROF_AFTER_TAX_BEF_MINORITY","FQ3 2021","FQ3 2021","Currency=USD","Period=FQ","BEST_FPERIOD_OVERRIDE=FQ","FILING_STATUS=MR","SCALING_FORMAT=MLN","Sort=A","Dates=H","DateFormat=P","Fill=—","Direction=H","UseDPDF=Y")</f>
        <v>1884</v>
      </c>
      <c r="O33" s="13" t="str">
        <f>_xll.BDH("AMGN US Equity","ARD_PROF_AFTER_TAX_BEF_MINORITY","FQ4 2021","FQ4 2021","Currency=USD","Period=FQ","BEST_FPERIOD_OVERRIDE=FQ","FILING_STATUS=MR","SCALING_FORMAT=MLN","Sort=A","Dates=H","DateFormat=P","Fill=—","Direction=H","UseDPDF=Y")</f>
        <v>—</v>
      </c>
      <c r="P33" s="13" t="str">
        <f>_xll.BDH("AMGN US Equity","ARD_PROF_AFTER_TAX_BEF_MINORITY","FQ1 2022","FQ1 2022","Currency=USD","Period=FQ","BEST_FPERIOD_OVERRIDE=FQ","FILING_STATUS=MR","SCALING_FORMAT=MLN","Sort=A","Dates=H","DateFormat=P","Fill=—","Direction=H","UseDPDF=Y")</f>
        <v>—</v>
      </c>
      <c r="Q33" s="13" t="str">
        <f>_xll.BDH("AMGN US Equity","ARD_PROF_AFTER_TAX_BEF_MINORITY","FQ2 2022","FQ2 2022","Currency=USD","Period=FQ","BEST_FPERIOD_OVERRIDE=FQ","FILING_STATUS=MR","SCALING_FORMAT=MLN","Sort=A","Dates=H","DateFormat=P","Fill=—","Direction=H","UseDPDF=Y")</f>
        <v>—</v>
      </c>
      <c r="R33" s="13">
        <f>_xll.BDH("AMGN US Equity","ARD_PROF_AFTER_TAX_BEF_MINORITY","FQ3 2022","FQ3 2022","Currency=USD","Period=FQ","BEST_FPERIOD_OVERRIDE=FQ","FILING_STATUS=MR","SCALING_FORMAT=MLN","Sort=A","Dates=H","DateFormat=P","Fill=—","Direction=H","UseDPDF=Y")</f>
        <v>2143</v>
      </c>
      <c r="S33" s="13">
        <f>_xll.BDH("AMGN US Equity","ARD_PROF_AFTER_TAX_BEF_MINORITY","FQ4 2022","FQ4 2022","Currency=USD","Period=FQ","BEST_FPERIOD_OVERRIDE=FQ","FILING_STATUS=MR","SCALING_FORMAT=MLN","Sort=A","Dates=H","DateFormat=P","Fill=—","Direction=H","UseDPDF=Y")</f>
        <v>1616</v>
      </c>
      <c r="T33" s="13" t="str">
        <f>_xll.BDH("AMGN US Equity","ARD_PROF_AFTER_TAX_BEF_MINORITY","FQ1 2023","FQ1 2023","Currency=USD","Period=FQ","BEST_FPERIOD_OVERRIDE=FQ","FILING_STATUS=MR","SCALING_FORMAT=MLN","Sort=A","Dates=H","DateFormat=P","Fill=—","Direction=H","UseDPDF=Y")</f>
        <v>—</v>
      </c>
      <c r="U33" s="13" t="str">
        <f>_xll.BDH("AMGN US Equity","ARD_PROF_AFTER_TAX_BEF_MINORITY","FQ2 2023","FQ2 2023","Currency=USD","Period=FQ","BEST_FPERIOD_OVERRIDE=FQ","FILING_STATUS=MR","SCALING_FORMAT=MLN","Sort=A","Dates=H","DateFormat=P","Fill=—","Direction=H","UseDPDF=Y")</f>
        <v>—</v>
      </c>
      <c r="V33" s="13">
        <f>_xll.BDH("AMGN US Equity","ARD_PROF_AFTER_TAX_BEF_MINORITY","FQ3 2023","FQ3 2023","Currency=USD","Period=FQ","BEST_FPERIOD_OVERRIDE=FQ","FILING_STATUS=MR","SCALING_FORMAT=MLN","Sort=A","Dates=H","DateFormat=P","Fill=—","Direction=H","UseDPDF=Y")</f>
        <v>1730</v>
      </c>
      <c r="W33" s="13">
        <f>_xll.BDH("AMGN US Equity","ARD_PROF_AFTER_TAX_BEF_MINORITY","FQ4 2023","FQ4 2023","Currency=USD","Period=FQ","BEST_FPERIOD_OVERRIDE=FQ","FILING_STATUS=MR","SCALING_FORMAT=MLN","Sort=A","Dates=H","DateFormat=P","Fill=—","Direction=H","UseDPDF=Y")</f>
        <v>767</v>
      </c>
      <c r="X33" s="13">
        <f>_xll.BDH("AMGN US Equity","ARD_PROF_AFTER_TAX_BEF_MINORITY","FQ1 2024","FQ1 2024","Currency=USD","Period=FQ","BEST_FPERIOD_OVERRIDE=FQ","FILING_STATUS=MR","SCALING_FORMAT=MLN","Sort=A","Dates=H","DateFormat=P","Fill=—","Direction=H","UseDPDF=Y")</f>
        <v>-113</v>
      </c>
      <c r="Y33" s="13">
        <f>_xll.BDH("AMGN US Equity","ARD_PROF_AFTER_TAX_BEF_MINORITY","FQ2 2024","FQ2 2024","Currency=USD","Period=FQ","BEST_FPERIOD_OVERRIDE=FQ","FILING_STATUS=MR","SCALING_FORMAT=MLN","Sort=A","Dates=H","DateFormat=P","Fill=—","Direction=H","UseDPDF=Y")</f>
        <v>746</v>
      </c>
      <c r="Z33" s="13">
        <f>_xll.BDH("AMGN US Equity","ARD_PROF_AFTER_TAX_BEF_MINORITY","FQ3 2024","FQ3 2024","Currency=USD","Period=FQ","BEST_FPERIOD_OVERRIDE=FQ","FILING_STATUS=MR","SCALING_FORMAT=MLN","Sort=A","Dates=H","DateFormat=P","Fill=—","Direction=H","UseDPDF=Y")</f>
        <v>2830</v>
      </c>
      <c r="AA33" s="13">
        <f>_xll.BDH("AMGN US Equity","ARD_PROF_AFTER_TAX_BEF_MINORITY","FQ4 2024","FQ4 2024","Currency=USD","Period=FQ","BEST_FPERIOD_OVERRIDE=FQ","FILING_STATUS=MR","SCALING_FORMAT=MLN","Sort=A","Dates=H","DateFormat=P","Fill=—","Direction=H","UseDPDF=Y")</f>
        <v>627</v>
      </c>
    </row>
    <row r="34" spans="1:27" x14ac:dyDescent="0.25">
      <c r="A34" s="10" t="s">
        <v>462</v>
      </c>
      <c r="B34" s="10" t="s">
        <v>463</v>
      </c>
      <c r="C34" s="13">
        <f>_xll.BDH("AMGN US Equity","ARD_CUMULATIVE_NET_INCOME","FQ4 2018","FQ4 2018","Currency=USD","Period=FQ","BEST_FPERIOD_OVERRIDE=FQ","FILING_STATUS=MR","SCALING_FORMAT=MLN","Sort=A","Dates=H","DateFormat=P","Fill=—","Direction=H","UseDPDF=Y")</f>
        <v>1928</v>
      </c>
      <c r="D34" s="13">
        <f>_xll.BDH("AMGN US Equity","ARD_CUMULATIVE_NET_INCOME","FQ1 2019","FQ1 2019","Currency=USD","Period=FQ","BEST_FPERIOD_OVERRIDE=FQ","FILING_STATUS=MR","SCALING_FORMAT=MLN","Sort=A","Dates=H","DateFormat=P","Fill=—","Direction=H","UseDPDF=Y")</f>
        <v>1992</v>
      </c>
      <c r="E34" s="13">
        <f>_xll.BDH("AMGN US Equity","ARD_CUMULATIVE_NET_INCOME","FQ2 2019","FQ2 2019","Currency=USD","Period=FQ","BEST_FPERIOD_OVERRIDE=FQ","FILING_STATUS=MR","SCALING_FORMAT=MLN","Sort=A","Dates=H","DateFormat=P","Fill=—","Direction=H","UseDPDF=Y")</f>
        <v>4171</v>
      </c>
      <c r="F34" s="13">
        <f>_xll.BDH("AMGN US Equity","ARD_CUMULATIVE_NET_INCOME","FQ3 2019","FQ3 2019","Currency=USD","Period=FQ","BEST_FPERIOD_OVERRIDE=FQ","FILING_STATUS=MR","SCALING_FORMAT=MLN","Sort=A","Dates=H","DateFormat=P","Fill=—","Direction=H","UseDPDF=Y")</f>
        <v>6139</v>
      </c>
      <c r="G34" s="13">
        <f>_xll.BDH("AMGN US Equity","ARD_CUMULATIVE_NET_INCOME","FQ4 2019","FQ4 2019","Currency=USD","Period=FQ","BEST_FPERIOD_OVERRIDE=FQ","FILING_STATUS=MR","SCALING_FORMAT=MLN","Sort=A","Dates=H","DateFormat=P","Fill=—","Direction=H","UseDPDF=Y")</f>
        <v>7842</v>
      </c>
      <c r="H34" s="13">
        <f>_xll.BDH("AMGN US Equity","ARD_CUMULATIVE_NET_INCOME","FQ1 2020","FQ1 2020","Currency=USD","Period=FQ","BEST_FPERIOD_OVERRIDE=FQ","FILING_STATUS=MR","SCALING_FORMAT=MLN","Sort=A","Dates=H","DateFormat=P","Fill=—","Direction=H","UseDPDF=Y")</f>
        <v>1825</v>
      </c>
      <c r="I34" s="13">
        <f>_xll.BDH("AMGN US Equity","ARD_CUMULATIVE_NET_INCOME","FQ2 2020","FQ2 2020","Currency=USD","Period=FQ","BEST_FPERIOD_OVERRIDE=FQ","FILING_STATUS=MR","SCALING_FORMAT=MLN","Sort=A","Dates=H","DateFormat=P","Fill=—","Direction=H","UseDPDF=Y")</f>
        <v>3628</v>
      </c>
      <c r="J34" s="13">
        <f>_xll.BDH("AMGN US Equity","ARD_CUMULATIVE_NET_INCOME","FQ3 2020","FQ3 2020","Currency=USD","Period=FQ","BEST_FPERIOD_OVERRIDE=FQ","FILING_STATUS=MR","SCALING_FORMAT=MLN","Sort=A","Dates=H","DateFormat=P","Fill=—","Direction=H","UseDPDF=Y")</f>
        <v>5649</v>
      </c>
      <c r="K34" s="13">
        <f>_xll.BDH("AMGN US Equity","ARD_CUMULATIVE_NET_INCOME","FQ4 2020","FQ4 2020","Currency=USD","Period=FQ","BEST_FPERIOD_OVERRIDE=FQ","FILING_STATUS=MR","SCALING_FORMAT=MLN","Sort=A","Dates=H","DateFormat=P","Fill=—","Direction=H","UseDPDF=Y")</f>
        <v>7264</v>
      </c>
      <c r="L34" s="13">
        <f>_xll.BDH("AMGN US Equity","ARD_CUMULATIVE_NET_INCOME","FQ1 2021","FQ1 2021","Currency=USD","Period=FQ","BEST_FPERIOD_OVERRIDE=FQ","FILING_STATUS=MR","SCALING_FORMAT=MLN","Sort=A","Dates=H","DateFormat=P","Fill=—","Direction=H","UseDPDF=Y")</f>
        <v>1646</v>
      </c>
      <c r="M34" s="13">
        <f>_xll.BDH("AMGN US Equity","ARD_CUMULATIVE_NET_INCOME","FQ2 2021","FQ2 2021","Currency=USD","Period=FQ","BEST_FPERIOD_OVERRIDE=FQ","FILING_STATUS=MR","SCALING_FORMAT=MLN","Sort=A","Dates=H","DateFormat=P","Fill=—","Direction=H","UseDPDF=Y")</f>
        <v>2110</v>
      </c>
      <c r="N34" s="13">
        <f>_xll.BDH("AMGN US Equity","ARD_CUMULATIVE_NET_INCOME","FQ3 2021","FQ3 2021","Currency=USD","Period=FQ","BEST_FPERIOD_OVERRIDE=FQ","FILING_STATUS=MR","SCALING_FORMAT=MLN","Sort=A","Dates=H","DateFormat=P","Fill=—","Direction=H","UseDPDF=Y")</f>
        <v>3994</v>
      </c>
      <c r="O34" s="13">
        <f>_xll.BDH("AMGN US Equity","ARD_CUMULATIVE_NET_INCOME","FQ4 2021","FQ4 2021","Currency=USD","Period=FQ","BEST_FPERIOD_OVERRIDE=FQ","FILING_STATUS=MR","SCALING_FORMAT=MLN","Sort=A","Dates=H","DateFormat=P","Fill=—","Direction=H","UseDPDF=Y")</f>
        <v>5893</v>
      </c>
      <c r="P34" s="13">
        <f>_xll.BDH("AMGN US Equity","ARD_CUMULATIVE_NET_INCOME","FQ1 2022","FQ1 2022","Currency=USD","Period=FQ","BEST_FPERIOD_OVERRIDE=FQ","FILING_STATUS=MR","SCALING_FORMAT=MLN","Sort=A","Dates=H","DateFormat=P","Fill=—","Direction=H","UseDPDF=Y")</f>
        <v>1476</v>
      </c>
      <c r="Q34" s="13">
        <f>_xll.BDH("AMGN US Equity","ARD_CUMULATIVE_NET_INCOME","FQ2 2022","FQ2 2022","Currency=USD","Period=FQ","BEST_FPERIOD_OVERRIDE=FQ","FILING_STATUS=MR","SCALING_FORMAT=MLN","Sort=A","Dates=H","DateFormat=P","Fill=—","Direction=H","UseDPDF=Y")</f>
        <v>2793</v>
      </c>
      <c r="R34" s="13">
        <f>_xll.BDH("AMGN US Equity","ARD_CUMULATIVE_NET_INCOME","FQ3 2022","FQ3 2022","Currency=USD","Period=FQ","BEST_FPERIOD_OVERRIDE=FQ","FILING_STATUS=MR","SCALING_FORMAT=MLN","Sort=A","Dates=H","DateFormat=P","Fill=—","Direction=H","UseDPDF=Y")</f>
        <v>4936</v>
      </c>
      <c r="S34" s="13">
        <f>_xll.BDH("AMGN US Equity","ARD_CUMULATIVE_NET_INCOME","FQ4 2022","FQ4 2022","Currency=USD","Period=FQ","BEST_FPERIOD_OVERRIDE=FQ","FILING_STATUS=MR","SCALING_FORMAT=MLN","Sort=A","Dates=H","DateFormat=P","Fill=—","Direction=H","UseDPDF=Y")</f>
        <v>6552</v>
      </c>
      <c r="T34" s="13">
        <f>_xll.BDH("AMGN US Equity","ARD_CUMULATIVE_NET_INCOME","FQ1 2023","FQ1 2023","Currency=USD","Period=FQ","BEST_FPERIOD_OVERRIDE=FQ","FILING_STATUS=MR","SCALING_FORMAT=MLN","Sort=A","Dates=H","DateFormat=P","Fill=—","Direction=H","UseDPDF=Y")</f>
        <v>2841</v>
      </c>
      <c r="U34" s="13">
        <f>_xll.BDH("AMGN US Equity","ARD_CUMULATIVE_NET_INCOME","FQ2 2023","FQ2 2023","Currency=USD","Period=FQ","BEST_FPERIOD_OVERRIDE=FQ","FILING_STATUS=MR","SCALING_FORMAT=MLN","Sort=A","Dates=H","DateFormat=P","Fill=—","Direction=H","UseDPDF=Y")</f>
        <v>4220</v>
      </c>
      <c r="V34" s="13">
        <f>_xll.BDH("AMGN US Equity","ARD_CUMULATIVE_NET_INCOME","FQ3 2023","FQ3 2023","Currency=USD","Period=FQ","BEST_FPERIOD_OVERRIDE=FQ","FILING_STATUS=MR","SCALING_FORMAT=MLN","Sort=A","Dates=H","DateFormat=P","Fill=—","Direction=H","UseDPDF=Y")</f>
        <v>5950</v>
      </c>
      <c r="W34" s="13">
        <f>_xll.BDH("AMGN US Equity","ARD_CUMULATIVE_NET_INCOME","FQ4 2023","FQ4 2023","Currency=USD","Period=FQ","BEST_FPERIOD_OVERRIDE=FQ","FILING_STATUS=MR","SCALING_FORMAT=MLN","Sort=A","Dates=H","DateFormat=P","Fill=—","Direction=H","UseDPDF=Y")</f>
        <v>767</v>
      </c>
      <c r="X34" s="13">
        <f>_xll.BDH("AMGN US Equity","ARD_CUMULATIVE_NET_INCOME","FQ1 2024","FQ1 2024","Currency=USD","Period=FQ","BEST_FPERIOD_OVERRIDE=FQ","FILING_STATUS=MR","SCALING_FORMAT=MLN","Sort=A","Dates=H","DateFormat=P","Fill=—","Direction=H","UseDPDF=Y")</f>
        <v>-113</v>
      </c>
      <c r="Y34" s="13">
        <f>_xll.BDH("AMGN US Equity","ARD_CUMULATIVE_NET_INCOME","FQ2 2024","FQ2 2024","Currency=USD","Period=FQ","BEST_FPERIOD_OVERRIDE=FQ","FILING_STATUS=MR","SCALING_FORMAT=MLN","Sort=A","Dates=H","DateFormat=P","Fill=—","Direction=H","UseDPDF=Y")</f>
        <v>633</v>
      </c>
      <c r="Z34" s="13">
        <f>_xll.BDH("AMGN US Equity","ARD_CUMULATIVE_NET_INCOME","FQ3 2024","FQ3 2024","Currency=USD","Period=FQ","BEST_FPERIOD_OVERRIDE=FQ","FILING_STATUS=MR","SCALING_FORMAT=MLN","Sort=A","Dates=H","DateFormat=P","Fill=—","Direction=H","UseDPDF=Y")</f>
        <v>3463</v>
      </c>
      <c r="AA34" s="13">
        <f>_xll.BDH("AMGN US Equity","ARD_CUMULATIVE_NET_INCOME","FQ4 2024","FQ4 2024","Currency=USD","Period=FQ","BEST_FPERIOD_OVERRIDE=FQ","FILING_STATUS=MR","SCALING_FORMAT=MLN","Sort=A","Dates=H","DateFormat=P","Fill=—","Direction=H","UseDPDF=Y")</f>
        <v>4090</v>
      </c>
    </row>
    <row r="35" spans="1:27" x14ac:dyDescent="0.25">
      <c r="A35" s="6" t="s">
        <v>159</v>
      </c>
      <c r="B35" s="6" t="s">
        <v>464</v>
      </c>
      <c r="C35" s="19">
        <f>_xll.BDH("AMGN US Equity","ARD_NET_INC","FQ4 2018","FQ4 2018","Currency=USD","Period=FQ","BEST_FPERIOD_OVERRIDE=FQ","FILING_STATUS=MR","SCALING_FORMAT=MLN","Sort=A","Dates=H","DateFormat=P","Fill=—","Direction=H","UseDPDF=Y")</f>
        <v>1928</v>
      </c>
      <c r="D35" s="19">
        <f>_xll.BDH("AMGN US Equity","ARD_NET_INC","FQ1 2019","FQ1 2019","Currency=USD","Period=FQ","BEST_FPERIOD_OVERRIDE=FQ","FILING_STATUS=MR","SCALING_FORMAT=MLN","Sort=A","Dates=H","DateFormat=P","Fill=—","Direction=H","UseDPDF=Y")</f>
        <v>1992</v>
      </c>
      <c r="E35" s="19">
        <f>_xll.BDH("AMGN US Equity","ARD_NET_INC","FQ2 2019","FQ2 2019","Currency=USD","Period=FQ","BEST_FPERIOD_OVERRIDE=FQ","FILING_STATUS=MR","SCALING_FORMAT=MLN","Sort=A","Dates=H","DateFormat=P","Fill=—","Direction=H","UseDPDF=Y")</f>
        <v>2179</v>
      </c>
      <c r="F35" s="19">
        <f>_xll.BDH("AMGN US Equity","ARD_NET_INC","FQ3 2019","FQ3 2019","Currency=USD","Period=FQ","BEST_FPERIOD_OVERRIDE=FQ","FILING_STATUS=MR","SCALING_FORMAT=MLN","Sort=A","Dates=H","DateFormat=P","Fill=—","Direction=H","UseDPDF=Y")</f>
        <v>1968</v>
      </c>
      <c r="G35" s="19">
        <f>_xll.BDH("AMGN US Equity","ARD_NET_INC","FQ4 2019","FQ4 2019","Currency=USD","Period=FQ","BEST_FPERIOD_OVERRIDE=FQ","FILING_STATUS=MR","SCALING_FORMAT=MLN","Sort=A","Dates=H","DateFormat=P","Fill=—","Direction=H","UseDPDF=Y")</f>
        <v>1703</v>
      </c>
      <c r="H35" s="19">
        <f>_xll.BDH("AMGN US Equity","ARD_NET_INC","FQ1 2020","FQ1 2020","Currency=USD","Period=FQ","BEST_FPERIOD_OVERRIDE=FQ","FILING_STATUS=MR","SCALING_FORMAT=MLN","Sort=A","Dates=H","DateFormat=P","Fill=—","Direction=H","UseDPDF=Y")</f>
        <v>1825</v>
      </c>
      <c r="I35" s="19">
        <f>_xll.BDH("AMGN US Equity","ARD_NET_INC","FQ2 2020","FQ2 2020","Currency=USD","Period=FQ","BEST_FPERIOD_OVERRIDE=FQ","FILING_STATUS=MR","SCALING_FORMAT=MLN","Sort=A","Dates=H","DateFormat=P","Fill=—","Direction=H","UseDPDF=Y")</f>
        <v>1803</v>
      </c>
      <c r="J35" s="19">
        <f>_xll.BDH("AMGN US Equity","ARD_NET_INC","FQ3 2020","FQ3 2020","Currency=USD","Period=FQ","BEST_FPERIOD_OVERRIDE=FQ","FILING_STATUS=MR","SCALING_FORMAT=MLN","Sort=A","Dates=H","DateFormat=P","Fill=—","Direction=H","UseDPDF=Y")</f>
        <v>2021</v>
      </c>
      <c r="K35" s="19">
        <f>_xll.BDH("AMGN US Equity","ARD_NET_INC","FQ4 2020","FQ4 2020","Currency=USD","Period=FQ","BEST_FPERIOD_OVERRIDE=FQ","FILING_STATUS=MR","SCALING_FORMAT=MLN","Sort=A","Dates=H","DateFormat=P","Fill=—","Direction=H","UseDPDF=Y")</f>
        <v>1615</v>
      </c>
      <c r="L35" s="19">
        <f>_xll.BDH("AMGN US Equity","ARD_NET_INC","FQ1 2021","FQ1 2021","Currency=USD","Period=FQ","BEST_FPERIOD_OVERRIDE=FQ","FILING_STATUS=MR","SCALING_FORMAT=MLN","Sort=A","Dates=H","DateFormat=P","Fill=—","Direction=H","UseDPDF=Y")</f>
        <v>1646</v>
      </c>
      <c r="M35" s="19">
        <f>_xll.BDH("AMGN US Equity","ARD_NET_INC","FQ2 2021","FQ2 2021","Currency=USD","Period=FQ","BEST_FPERIOD_OVERRIDE=FQ","FILING_STATUS=MR","SCALING_FORMAT=MLN","Sort=A","Dates=H","DateFormat=P","Fill=—","Direction=H","UseDPDF=Y")</f>
        <v>464</v>
      </c>
      <c r="N35" s="19">
        <f>_xll.BDH("AMGN US Equity","ARD_NET_INC","FQ3 2021","FQ3 2021","Currency=USD","Period=FQ","BEST_FPERIOD_OVERRIDE=FQ","FILING_STATUS=MR","SCALING_FORMAT=MLN","Sort=A","Dates=H","DateFormat=P","Fill=—","Direction=H","UseDPDF=Y")</f>
        <v>1884</v>
      </c>
      <c r="O35" s="19">
        <f>_xll.BDH("AMGN US Equity","ARD_NET_INC","FQ4 2021","FQ4 2021","Currency=USD","Period=FQ","BEST_FPERIOD_OVERRIDE=FQ","FILING_STATUS=MR","SCALING_FORMAT=MLN","Sort=A","Dates=H","DateFormat=P","Fill=—","Direction=H","UseDPDF=Y")</f>
        <v>1899</v>
      </c>
      <c r="P35" s="19">
        <f>_xll.BDH("AMGN US Equity","ARD_NET_INC","FQ1 2022","FQ1 2022","Currency=USD","Period=FQ","BEST_FPERIOD_OVERRIDE=FQ","FILING_STATUS=MR","SCALING_FORMAT=MLN","Sort=A","Dates=H","DateFormat=P","Fill=—","Direction=H","UseDPDF=Y")</f>
        <v>1476</v>
      </c>
      <c r="Q35" s="19">
        <f>_xll.BDH("AMGN US Equity","ARD_NET_INC","FQ2 2022","FQ2 2022","Currency=USD","Period=FQ","BEST_FPERIOD_OVERRIDE=FQ","FILING_STATUS=MR","SCALING_FORMAT=MLN","Sort=A","Dates=H","DateFormat=P","Fill=—","Direction=H","UseDPDF=Y")</f>
        <v>1317</v>
      </c>
      <c r="R35" s="19">
        <f>_xll.BDH("AMGN US Equity","ARD_NET_INC","FQ3 2022","FQ3 2022","Currency=USD","Period=FQ","BEST_FPERIOD_OVERRIDE=FQ","FILING_STATUS=MR","SCALING_FORMAT=MLN","Sort=A","Dates=H","DateFormat=P","Fill=—","Direction=H","UseDPDF=Y")</f>
        <v>2143</v>
      </c>
      <c r="S35" s="19">
        <f>_xll.BDH("AMGN US Equity","ARD_NET_INC","FQ4 2022","FQ4 2022","Currency=USD","Period=FQ","BEST_FPERIOD_OVERRIDE=FQ","FILING_STATUS=MR","SCALING_FORMAT=MLN","Sort=A","Dates=H","DateFormat=P","Fill=—","Direction=H","UseDPDF=Y")</f>
        <v>1616</v>
      </c>
      <c r="T35" s="19">
        <f>_xll.BDH("AMGN US Equity","ARD_NET_INC","FQ1 2023","FQ1 2023","Currency=USD","Period=FQ","BEST_FPERIOD_OVERRIDE=FQ","FILING_STATUS=MR","SCALING_FORMAT=MLN","Sort=A","Dates=H","DateFormat=P","Fill=—","Direction=H","UseDPDF=Y")</f>
        <v>2841</v>
      </c>
      <c r="U35" s="19">
        <f>_xll.BDH("AMGN US Equity","ARD_NET_INC","FQ2 2023","FQ2 2023","Currency=USD","Period=FQ","BEST_FPERIOD_OVERRIDE=FQ","FILING_STATUS=MR","SCALING_FORMAT=MLN","Sort=A","Dates=H","DateFormat=P","Fill=—","Direction=H","UseDPDF=Y")</f>
        <v>1379</v>
      </c>
      <c r="V35" s="19">
        <f>_xll.BDH("AMGN US Equity","ARD_NET_INC","FQ3 2023","FQ3 2023","Currency=USD","Period=FQ","BEST_FPERIOD_OVERRIDE=FQ","FILING_STATUS=MR","SCALING_FORMAT=MLN","Sort=A","Dates=H","DateFormat=P","Fill=—","Direction=H","UseDPDF=Y")</f>
        <v>1730</v>
      </c>
      <c r="W35" s="19">
        <f>_xll.BDH("AMGN US Equity","ARD_NET_INC","FQ4 2023","FQ4 2023","Currency=USD","Period=FQ","BEST_FPERIOD_OVERRIDE=FQ","FILING_STATUS=MR","SCALING_FORMAT=MLN","Sort=A","Dates=H","DateFormat=P","Fill=—","Direction=H","UseDPDF=Y")</f>
        <v>767</v>
      </c>
      <c r="X35" s="19">
        <f>_xll.BDH("AMGN US Equity","ARD_NET_INC","FQ1 2024","FQ1 2024","Currency=USD","Period=FQ","BEST_FPERIOD_OVERRIDE=FQ","FILING_STATUS=MR","SCALING_FORMAT=MLN","Sort=A","Dates=H","DateFormat=P","Fill=—","Direction=H","UseDPDF=Y")</f>
        <v>-113</v>
      </c>
      <c r="Y35" s="19">
        <f>_xll.BDH("AMGN US Equity","ARD_NET_INC","FQ2 2024","FQ2 2024","Currency=USD","Period=FQ","BEST_FPERIOD_OVERRIDE=FQ","FILING_STATUS=MR","SCALING_FORMAT=MLN","Sort=A","Dates=H","DateFormat=P","Fill=—","Direction=H","UseDPDF=Y")</f>
        <v>746</v>
      </c>
      <c r="Z35" s="19">
        <f>_xll.BDH("AMGN US Equity","ARD_NET_INC","FQ3 2024","FQ3 2024","Currency=USD","Period=FQ","BEST_FPERIOD_OVERRIDE=FQ","FILING_STATUS=MR","SCALING_FORMAT=MLN","Sort=A","Dates=H","DateFormat=P","Fill=—","Direction=H","UseDPDF=Y")</f>
        <v>2830</v>
      </c>
      <c r="AA35" s="19">
        <f>_xll.BDH("AMGN US Equity","ARD_NET_INC","FQ4 2024","FQ4 2024","Currency=USD","Period=FQ","BEST_FPERIOD_OVERRIDE=FQ","FILING_STATUS=MR","SCALING_FORMAT=MLN","Sort=A","Dates=H","DateFormat=P","Fill=—","Direction=H","UseDPDF=Y")</f>
        <v>627</v>
      </c>
    </row>
    <row r="36" spans="1:27" x14ac:dyDescent="0.25">
      <c r="A36" s="10" t="s">
        <v>465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5">
      <c r="A37" s="10" t="s">
        <v>466</v>
      </c>
      <c r="B37" s="10" t="s">
        <v>467</v>
      </c>
      <c r="C37" s="13">
        <f>_xll.BDH("AMGN US Equity","ARDR_COMPR_INCOME_NET_INC","FQ4 2018","FQ4 2018","Currency=USD","Period=FQ","BEST_FPERIOD_OVERRIDE=FQ","FILING_STATUS=MR","SCALING_FORMAT=MLN","Sort=A","Dates=H","DateFormat=P","Fill=—","Direction=H","UseDPDF=Y")</f>
        <v>1928</v>
      </c>
      <c r="D37" s="13">
        <f>_xll.BDH("AMGN US Equity","ARDR_COMPR_INCOME_NET_INC","FQ1 2019","FQ1 2019","Currency=USD","Period=FQ","BEST_FPERIOD_OVERRIDE=FQ","FILING_STATUS=MR","SCALING_FORMAT=MLN","Sort=A","Dates=H","DateFormat=P","Fill=—","Direction=H","UseDPDF=Y")</f>
        <v>1992</v>
      </c>
      <c r="E37" s="13">
        <f>_xll.BDH("AMGN US Equity","ARDR_COMPR_INCOME_NET_INC","FQ2 2019","FQ2 2019","Currency=USD","Period=FQ","BEST_FPERIOD_OVERRIDE=FQ","FILING_STATUS=MR","SCALING_FORMAT=MLN","Sort=A","Dates=H","DateFormat=P","Fill=—","Direction=H","UseDPDF=Y")</f>
        <v>2179</v>
      </c>
      <c r="F37" s="13">
        <f>_xll.BDH("AMGN US Equity","ARDR_COMPR_INCOME_NET_INC","FQ3 2019","FQ3 2019","Currency=USD","Period=FQ","BEST_FPERIOD_OVERRIDE=FQ","FILING_STATUS=MR","SCALING_FORMAT=MLN","Sort=A","Dates=H","DateFormat=P","Fill=—","Direction=H","UseDPDF=Y")</f>
        <v>1968</v>
      </c>
      <c r="G37" s="13">
        <f>_xll.BDH("AMGN US Equity","ARDR_COMPR_INCOME_NET_INC","FQ4 2019","FQ4 2019","Currency=USD","Period=FQ","BEST_FPERIOD_OVERRIDE=FQ","FILING_STATUS=MR","SCALING_FORMAT=MLN","Sort=A","Dates=H","DateFormat=P","Fill=—","Direction=H","UseDPDF=Y")</f>
        <v>1703</v>
      </c>
      <c r="H37" s="13">
        <f>_xll.BDH("AMGN US Equity","ARDR_COMPR_INCOME_NET_INC","FQ1 2020","FQ1 2020","Currency=USD","Period=FQ","BEST_FPERIOD_OVERRIDE=FQ","FILING_STATUS=MR","SCALING_FORMAT=MLN","Sort=A","Dates=H","DateFormat=P","Fill=—","Direction=H","UseDPDF=Y")</f>
        <v>1825</v>
      </c>
      <c r="I37" s="13">
        <f>_xll.BDH("AMGN US Equity","ARDR_COMPR_INCOME_NET_INC","FQ2 2020","FQ2 2020","Currency=USD","Period=FQ","BEST_FPERIOD_OVERRIDE=FQ","FILING_STATUS=MR","SCALING_FORMAT=MLN","Sort=A","Dates=H","DateFormat=P","Fill=—","Direction=H","UseDPDF=Y")</f>
        <v>1803</v>
      </c>
      <c r="J37" s="13">
        <f>_xll.BDH("AMGN US Equity","ARDR_COMPR_INCOME_NET_INC","FQ3 2020","FQ3 2020","Currency=USD","Period=FQ","BEST_FPERIOD_OVERRIDE=FQ","FILING_STATUS=MR","SCALING_FORMAT=MLN","Sort=A","Dates=H","DateFormat=P","Fill=—","Direction=H","UseDPDF=Y")</f>
        <v>2021</v>
      </c>
      <c r="K37" s="13">
        <f>_xll.BDH("AMGN US Equity","ARDR_COMPR_INCOME_NET_INC","FQ4 2020","FQ4 2020","Currency=USD","Period=FQ","BEST_FPERIOD_OVERRIDE=FQ","FILING_STATUS=MR","SCALING_FORMAT=MLN","Sort=A","Dates=H","DateFormat=P","Fill=—","Direction=H","UseDPDF=Y")</f>
        <v>1615</v>
      </c>
      <c r="L37" s="13">
        <f>_xll.BDH("AMGN US Equity","ARDR_COMPR_INCOME_NET_INC","FQ1 2021","FQ1 2021","Currency=USD","Period=FQ","BEST_FPERIOD_OVERRIDE=FQ","FILING_STATUS=MR","SCALING_FORMAT=MLN","Sort=A","Dates=H","DateFormat=P","Fill=—","Direction=H","UseDPDF=Y")</f>
        <v>1646</v>
      </c>
      <c r="M37" s="13">
        <f>_xll.BDH("AMGN US Equity","ARDR_COMPR_INCOME_NET_INC","FQ2 2021","FQ2 2021","Currency=USD","Period=FQ","BEST_FPERIOD_OVERRIDE=FQ","FILING_STATUS=MR","SCALING_FORMAT=MLN","Sort=A","Dates=H","DateFormat=P","Fill=—","Direction=H","UseDPDF=Y")</f>
        <v>464</v>
      </c>
      <c r="N37" s="13">
        <f>_xll.BDH("AMGN US Equity","ARDR_COMPR_INCOME_NET_INC","FQ3 2021","FQ3 2021","Currency=USD","Period=FQ","BEST_FPERIOD_OVERRIDE=FQ","FILING_STATUS=MR","SCALING_FORMAT=MLN","Sort=A","Dates=H","DateFormat=P","Fill=—","Direction=H","UseDPDF=Y")</f>
        <v>1884</v>
      </c>
      <c r="O37" s="13">
        <f>_xll.BDH("AMGN US Equity","ARDR_COMPR_INCOME_NET_INC","FQ4 2021","FQ4 2021","Currency=USD","Period=FQ","BEST_FPERIOD_OVERRIDE=FQ","FILING_STATUS=MR","SCALING_FORMAT=MLN","Sort=A","Dates=H","DateFormat=P","Fill=—","Direction=H","UseDPDF=Y")</f>
        <v>1899</v>
      </c>
      <c r="P37" s="13">
        <f>_xll.BDH("AMGN US Equity","ARDR_COMPR_INCOME_NET_INC","FQ1 2022","FQ1 2022","Currency=USD","Period=FQ","BEST_FPERIOD_OVERRIDE=FQ","FILING_STATUS=MR","SCALING_FORMAT=MLN","Sort=A","Dates=H","DateFormat=P","Fill=—","Direction=H","UseDPDF=Y")</f>
        <v>1476</v>
      </c>
      <c r="Q37" s="13">
        <f>_xll.BDH("AMGN US Equity","ARDR_COMPR_INCOME_NET_INC","FQ2 2022","FQ2 2022","Currency=USD","Period=FQ","BEST_FPERIOD_OVERRIDE=FQ","FILING_STATUS=MR","SCALING_FORMAT=MLN","Sort=A","Dates=H","DateFormat=P","Fill=—","Direction=H","UseDPDF=Y")</f>
        <v>1317</v>
      </c>
      <c r="R37" s="13">
        <f>_xll.BDH("AMGN US Equity","ARDR_COMPR_INCOME_NET_INC","FQ3 2022","FQ3 2022","Currency=USD","Period=FQ","BEST_FPERIOD_OVERRIDE=FQ","FILING_STATUS=MR","SCALING_FORMAT=MLN","Sort=A","Dates=H","DateFormat=P","Fill=—","Direction=H","UseDPDF=Y")</f>
        <v>2143</v>
      </c>
      <c r="S37" s="13">
        <f>_xll.BDH("AMGN US Equity","ARDR_COMPR_INCOME_NET_INC","FQ4 2022","FQ4 2022","Currency=USD","Period=FQ","BEST_FPERIOD_OVERRIDE=FQ","FILING_STATUS=MR","SCALING_FORMAT=MLN","Sort=A","Dates=H","DateFormat=P","Fill=—","Direction=H","UseDPDF=Y")</f>
        <v>1616</v>
      </c>
      <c r="T37" s="13">
        <f>_xll.BDH("AMGN US Equity","ARDR_COMPR_INCOME_NET_INC","FQ1 2023","FQ1 2023","Currency=USD","Period=FQ","BEST_FPERIOD_OVERRIDE=FQ","FILING_STATUS=MR","SCALING_FORMAT=MLN","Sort=A","Dates=H","DateFormat=P","Fill=—","Direction=H","UseDPDF=Y")</f>
        <v>2841</v>
      </c>
      <c r="U37" s="13">
        <f>_xll.BDH("AMGN US Equity","ARDR_COMPR_INCOME_NET_INC","FQ2 2023","FQ2 2023","Currency=USD","Period=FQ","BEST_FPERIOD_OVERRIDE=FQ","FILING_STATUS=MR","SCALING_FORMAT=MLN","Sort=A","Dates=H","DateFormat=P","Fill=—","Direction=H","UseDPDF=Y")</f>
        <v>1379</v>
      </c>
      <c r="V37" s="13">
        <f>_xll.BDH("AMGN US Equity","ARDR_COMPR_INCOME_NET_INC","FQ3 2023","FQ3 2023","Currency=USD","Period=FQ","BEST_FPERIOD_OVERRIDE=FQ","FILING_STATUS=MR","SCALING_FORMAT=MLN","Sort=A","Dates=H","DateFormat=P","Fill=—","Direction=H","UseDPDF=Y")</f>
        <v>1730</v>
      </c>
      <c r="W37" s="13">
        <f>_xll.BDH("AMGN US Equity","ARDR_COMPR_INCOME_NET_INC","FQ4 2023","FQ4 2023","Currency=USD","Period=FQ","BEST_FPERIOD_OVERRIDE=FQ","FILING_STATUS=MR","SCALING_FORMAT=MLN","Sort=A","Dates=H","DateFormat=P","Fill=—","Direction=H","UseDPDF=Y")</f>
        <v>767</v>
      </c>
      <c r="X37" s="13">
        <f>_xll.BDH("AMGN US Equity","ARDR_COMPR_INCOME_NET_INC","FQ1 2024","FQ1 2024","Currency=USD","Period=FQ","BEST_FPERIOD_OVERRIDE=FQ","FILING_STATUS=MR","SCALING_FORMAT=MLN","Sort=A","Dates=H","DateFormat=P","Fill=—","Direction=H","UseDPDF=Y")</f>
        <v>-113</v>
      </c>
      <c r="Y37" s="13">
        <f>_xll.BDH("AMGN US Equity","ARDR_COMPR_INCOME_NET_INC","FQ2 2024","FQ2 2024","Currency=USD","Period=FQ","BEST_FPERIOD_OVERRIDE=FQ","FILING_STATUS=MR","SCALING_FORMAT=MLN","Sort=A","Dates=H","DateFormat=P","Fill=—","Direction=H","UseDPDF=Y")</f>
        <v>746</v>
      </c>
      <c r="Z37" s="13">
        <f>_xll.BDH("AMGN US Equity","ARDR_COMPR_INCOME_NET_INC","FQ3 2024","FQ3 2024","Currency=USD","Period=FQ","BEST_FPERIOD_OVERRIDE=FQ","FILING_STATUS=MR","SCALING_FORMAT=MLN","Sort=A","Dates=H","DateFormat=P","Fill=—","Direction=H","UseDPDF=Y")</f>
        <v>2830</v>
      </c>
      <c r="AA37" s="13">
        <f>_xll.BDH("AMGN US Equity","ARDR_COMPR_INCOME_NET_INC","FQ4 2024","FQ4 2024","Currency=USD","Period=FQ","BEST_FPERIOD_OVERRIDE=FQ","FILING_STATUS=MR","SCALING_FORMAT=MLN","Sort=A","Dates=H","DateFormat=P","Fill=—","Direction=H","UseDPDF=Y")</f>
        <v>627</v>
      </c>
    </row>
    <row r="38" spans="1:27" x14ac:dyDescent="0.25">
      <c r="A38" s="10" t="s">
        <v>468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x14ac:dyDescent="0.25">
      <c r="A39" s="10" t="s">
        <v>469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25">
      <c r="A40" s="10" t="s">
        <v>470</v>
      </c>
      <c r="B40" s="10" t="s">
        <v>471</v>
      </c>
      <c r="C40" s="13">
        <f>_xll.BDH("AMGN US Equity","ARDR_AMORT_EXP","FQ4 2018","FQ4 2018","Currency=USD","Period=FQ","BEST_FPERIOD_OVERRIDE=FQ","FILING_STATUS=MR","SCALING_FORMAT=MLN","Sort=A","Dates=H","DateFormat=P","Fill=—","Direction=H","UseDPDF=Y")</f>
        <v>314</v>
      </c>
      <c r="D40" s="13">
        <f>_xll.BDH("AMGN US Equity","ARDR_AMORT_EXP","FQ1 2019","FQ1 2019","Currency=USD","Period=FQ","BEST_FPERIOD_OVERRIDE=FQ","FILING_STATUS=MR","SCALING_FORMAT=MLN","Sort=A","Dates=H","DateFormat=P","Fill=—","Direction=H","UseDPDF=Y")</f>
        <v>300</v>
      </c>
      <c r="E40" s="13">
        <f>_xll.BDH("AMGN US Equity","ARDR_AMORT_EXP","FQ2 2019","FQ2 2019","Currency=USD","Period=FQ","BEST_FPERIOD_OVERRIDE=FQ","FILING_STATUS=MR","SCALING_FORMAT=MLN","Sort=A","Dates=H","DateFormat=P","Fill=—","Direction=H","UseDPDF=Y")</f>
        <v>299</v>
      </c>
      <c r="F40" s="13">
        <f>_xll.BDH("AMGN US Equity","ARDR_AMORT_EXP","FQ3 2019","FQ3 2019","Currency=USD","Period=FQ","BEST_FPERIOD_OVERRIDE=FQ","FILING_STATUS=MR","SCALING_FORMAT=MLN","Sort=A","Dates=H","DateFormat=P","Fill=—","Direction=H","UseDPDF=Y")</f>
        <v>317</v>
      </c>
      <c r="G40" s="13">
        <f>_xll.BDH("AMGN US Equity","ARDR_AMORT_EXP","FQ4 2019","FQ4 2019","Currency=USD","Period=FQ","BEST_FPERIOD_OVERRIDE=FQ","FILING_STATUS=MR","SCALING_FORMAT=MLN","Sort=A","Dates=H","DateFormat=P","Fill=—","Direction=H","UseDPDF=Y")</f>
        <v>500</v>
      </c>
      <c r="H40" s="13">
        <f>_xll.BDH("AMGN US Equity","ARDR_AMORT_EXP","FQ1 2020","FQ1 2020","Currency=USD","Period=FQ","BEST_FPERIOD_OVERRIDE=FQ","FILING_STATUS=MR","SCALING_FORMAT=MLN","Sort=A","Dates=H","DateFormat=P","Fill=—","Direction=H","UseDPDF=Y")</f>
        <v>796</v>
      </c>
      <c r="I40" s="13">
        <f>_xll.BDH("AMGN US Equity","ARDR_AMORT_EXP","FQ2 2020","FQ2 2020","Currency=USD","Period=FQ","BEST_FPERIOD_OVERRIDE=FQ","FILING_STATUS=MR","SCALING_FORMAT=MLN","Sort=A","Dates=H","DateFormat=P","Fill=—","Direction=H","UseDPDF=Y")</f>
        <v>788</v>
      </c>
      <c r="J40" s="13">
        <f>_xll.BDH("AMGN US Equity","ARDR_AMORT_EXP","FQ3 2020","FQ3 2020","Currency=USD","Period=FQ","BEST_FPERIOD_OVERRIDE=FQ","FILING_STATUS=MR","SCALING_FORMAT=MLN","Sort=A","Dates=H","DateFormat=P","Fill=—","Direction=H","UseDPDF=Y")</f>
        <v>726</v>
      </c>
      <c r="K40" s="13">
        <f>_xll.BDH("AMGN US Equity","ARDR_AMORT_EXP","FQ4 2020","FQ4 2020","Currency=USD","Period=FQ","BEST_FPERIOD_OVERRIDE=FQ","FILING_STATUS=MR","SCALING_FORMAT=MLN","Sort=A","Dates=H","DateFormat=P","Fill=—","Direction=H","UseDPDF=Y")</f>
        <v>692</v>
      </c>
      <c r="L40" s="13">
        <f>_xll.BDH("AMGN US Equity","ARDR_AMORT_EXP","FQ1 2021","FQ1 2021","Currency=USD","Period=FQ","BEST_FPERIOD_OVERRIDE=FQ","FILING_STATUS=MR","SCALING_FORMAT=MLN","Sort=A","Dates=H","DateFormat=P","Fill=—","Direction=H","UseDPDF=Y")</f>
        <v>674</v>
      </c>
      <c r="M40" s="13">
        <f>_xll.BDH("AMGN US Equity","ARDR_AMORT_EXP","FQ2 2021","FQ2 2021","Currency=USD","Period=FQ","BEST_FPERIOD_OVERRIDE=FQ","FILING_STATUS=MR","SCALING_FORMAT=MLN","Sort=A","Dates=H","DateFormat=P","Fill=—","Direction=H","UseDPDF=Y")</f>
        <v>688</v>
      </c>
      <c r="N40" s="13">
        <f>_xll.BDH("AMGN US Equity","ARDR_AMORT_EXP","FQ3 2021","FQ3 2021","Currency=USD","Period=FQ","BEST_FPERIOD_OVERRIDE=FQ","FILING_STATUS=MR","SCALING_FORMAT=MLN","Sort=A","Dates=H","DateFormat=P","Fill=—","Direction=H","UseDPDF=Y")</f>
        <v>647</v>
      </c>
      <c r="O40" s="13">
        <f>_xll.BDH("AMGN US Equity","ARDR_AMORT_EXP","FQ4 2021","FQ4 2021","Currency=USD","Period=FQ","BEST_FPERIOD_OVERRIDE=FQ","FILING_STATUS=MR","SCALING_FORMAT=MLN","Sort=A","Dates=H","DateFormat=P","Fill=—","Direction=H","UseDPDF=Y")</f>
        <v>665</v>
      </c>
      <c r="P40" s="13">
        <f>_xll.BDH("AMGN US Equity","ARDR_AMORT_EXP","FQ1 2022","FQ1 2022","Currency=USD","Period=FQ","BEST_FPERIOD_OVERRIDE=FQ","FILING_STATUS=MR","SCALING_FORMAT=MLN","Sort=A","Dates=H","DateFormat=P","Fill=—","Direction=H","UseDPDF=Y")</f>
        <v>650</v>
      </c>
      <c r="Q40" s="13">
        <f>_xll.BDH("AMGN US Equity","ARDR_AMORT_EXP","FQ2 2022","FQ2 2022","Currency=USD","Period=FQ","BEST_FPERIOD_OVERRIDE=FQ","FILING_STATUS=MR","SCALING_FORMAT=MLN","Sort=A","Dates=H","DateFormat=P","Fill=—","Direction=H","UseDPDF=Y")</f>
        <v>617</v>
      </c>
      <c r="R40" s="13">
        <f>_xll.BDH("AMGN US Equity","ARDR_AMORT_EXP","FQ3 2022","FQ3 2022","Currency=USD","Period=FQ","BEST_FPERIOD_OVERRIDE=FQ","FILING_STATUS=MR","SCALING_FORMAT=MLN","Sort=A","Dates=H","DateFormat=P","Fill=—","Direction=H","UseDPDF=Y")</f>
        <v>612</v>
      </c>
      <c r="S40" s="13">
        <f>_xll.BDH("AMGN US Equity","ARDR_AMORT_EXP","FQ4 2022","FQ4 2022","Currency=USD","Period=FQ","BEST_FPERIOD_OVERRIDE=FQ","FILING_STATUS=MR","SCALING_FORMAT=MLN","Sort=A","Dates=H","DateFormat=P","Fill=—","Direction=H","UseDPDF=Y")</f>
        <v>813</v>
      </c>
      <c r="T40" s="13">
        <f>_xll.BDH("AMGN US Equity","ARDR_AMORT_EXP","FQ1 2023","FQ1 2023","Currency=USD","Period=FQ","BEST_FPERIOD_OVERRIDE=FQ","FILING_STATUS=MR","SCALING_FORMAT=MLN","Sort=A","Dates=H","DateFormat=P","Fill=—","Direction=H","UseDPDF=Y")</f>
        <v>752</v>
      </c>
      <c r="U40" s="13">
        <f>_xll.BDH("AMGN US Equity","ARDR_AMORT_EXP","FQ2 2023","FQ2 2023","Currency=USD","Period=FQ","BEST_FPERIOD_OVERRIDE=FQ","FILING_STATUS=MR","SCALING_FORMAT=MLN","Sort=A","Dates=H","DateFormat=P","Fill=—","Direction=H","UseDPDF=Y")</f>
        <v>732</v>
      </c>
      <c r="V40" s="13">
        <f>_xll.BDH("AMGN US Equity","ARDR_AMORT_EXP","FQ3 2023","FQ3 2023","Currency=USD","Period=FQ","BEST_FPERIOD_OVERRIDE=FQ","FILING_STATUS=MR","SCALING_FORMAT=MLN","Sort=A","Dates=H","DateFormat=P","Fill=—","Direction=H","UseDPDF=Y")</f>
        <v>677</v>
      </c>
      <c r="W40" s="13">
        <f>_xll.BDH("AMGN US Equity","ARDR_AMORT_EXP","FQ4 2023","FQ4 2023","Currency=USD","Period=FQ","BEST_FPERIOD_OVERRIDE=FQ","FILING_STATUS=MR","SCALING_FORMAT=MLN","Sort=A","Dates=H","DateFormat=P","Fill=—","Direction=H","UseDPDF=Y")</f>
        <v>1862</v>
      </c>
      <c r="X40" s="13">
        <f>_xll.BDH("AMGN US Equity","ARDR_AMORT_EXP","FQ1 2024","FQ1 2024","Currency=USD","Period=FQ","BEST_FPERIOD_OVERRIDE=FQ","FILING_STATUS=MR","SCALING_FORMAT=MLN","Sort=A","Dates=H","DateFormat=P","Fill=—","Direction=H","UseDPDF=Y")</f>
        <v>1982</v>
      </c>
      <c r="Y40" s="13">
        <f>_xll.BDH("AMGN US Equity","ARDR_AMORT_EXP","FQ2 2024","FQ2 2024","Currency=USD","Period=FQ","BEST_FPERIOD_OVERRIDE=FQ","FILING_STATUS=MR","SCALING_FORMAT=MLN","Sort=A","Dates=H","DateFormat=P","Fill=—","Direction=H","UseDPDF=Y")</f>
        <v>1953</v>
      </c>
      <c r="Z40" s="13">
        <f>_xll.BDH("AMGN US Equity","ARDR_AMORT_EXP","FQ3 2024","FQ3 2024","Currency=USD","Period=FQ","BEST_FPERIOD_OVERRIDE=FQ","FILING_STATUS=MR","SCALING_FORMAT=MLN","Sort=A","Dates=H","DateFormat=P","Fill=—","Direction=H","UseDPDF=Y")</f>
        <v>1926</v>
      </c>
      <c r="AA40" s="13">
        <f>_xll.BDH("AMGN US Equity","ARDR_AMORT_EXP","FQ4 2024","FQ4 2024","Currency=USD","Period=FQ","BEST_FPERIOD_OVERRIDE=FQ","FILING_STATUS=MR","SCALING_FORMAT=MLN","Sort=A","Dates=H","DateFormat=P","Fill=—","Direction=H","UseDPDF=Y")</f>
        <v>402</v>
      </c>
    </row>
    <row r="41" spans="1:27" x14ac:dyDescent="0.25">
      <c r="A41" s="10" t="s">
        <v>425</v>
      </c>
      <c r="B41" s="10" t="s">
        <v>472</v>
      </c>
      <c r="C41" s="13">
        <f>_xll.BDH("AMGN US Equity","ARDR_R&amp;D_EXPENDITURES","FQ4 2018","FQ4 2018","Currency=USD","Period=FQ","BEST_FPERIOD_OVERRIDE=FQ","FILING_STATUS=MR","SCALING_FORMAT=MLN","Sort=A","Dates=H","DateFormat=P","Fill=—","Direction=H","UseDPDF=Y")</f>
        <v>1182</v>
      </c>
      <c r="D41" s="13">
        <f>_xll.BDH("AMGN US Equity","ARDR_R&amp;D_EXPENDITURES","FQ1 2019","FQ1 2019","Currency=USD","Period=FQ","BEST_FPERIOD_OVERRIDE=FQ","FILING_STATUS=MR","SCALING_FORMAT=MLN","Sort=A","Dates=H","DateFormat=P","Fill=—","Direction=H","UseDPDF=Y")</f>
        <v>879</v>
      </c>
      <c r="E41" s="13">
        <f>_xll.BDH("AMGN US Equity","ARDR_R&amp;D_EXPENDITURES","FQ2 2019","FQ2 2019","Currency=USD","Period=FQ","BEST_FPERIOD_OVERRIDE=FQ","FILING_STATUS=MR","SCALING_FORMAT=MLN","Sort=A","Dates=H","DateFormat=P","Fill=—","Direction=H","UseDPDF=Y")</f>
        <v>924</v>
      </c>
      <c r="F41" s="13">
        <f>_xll.BDH("AMGN US Equity","ARDR_R&amp;D_EXPENDITURES","FQ3 2019","FQ3 2019","Currency=USD","Period=FQ","BEST_FPERIOD_OVERRIDE=FQ","FILING_STATUS=MR","SCALING_FORMAT=MLN","Sort=A","Dates=H","DateFormat=P","Fill=—","Direction=H","UseDPDF=Y")</f>
        <v>1001</v>
      </c>
      <c r="G41" s="13">
        <f>_xll.BDH("AMGN US Equity","ARDR_R&amp;D_EXPENDITURES","FQ4 2019","FQ4 2019","Currency=USD","Period=FQ","BEST_FPERIOD_OVERRIDE=FQ","FILING_STATUS=MR","SCALING_FORMAT=MLN","Sort=A","Dates=H","DateFormat=P","Fill=—","Direction=H","UseDPDF=Y")</f>
        <v>1312</v>
      </c>
      <c r="H41" s="13">
        <f>_xll.BDH("AMGN US Equity","ARDR_R&amp;D_EXPENDITURES","FQ1 2020","FQ1 2020","Currency=USD","Period=FQ","BEST_FPERIOD_OVERRIDE=FQ","FILING_STATUS=MR","SCALING_FORMAT=MLN","Sort=A","Dates=H","DateFormat=P","Fill=—","Direction=H","UseDPDF=Y")</f>
        <v>952</v>
      </c>
      <c r="I41" s="13">
        <f>_xll.BDH("AMGN US Equity","ARDR_R&amp;D_EXPENDITURES","FQ2 2020","FQ2 2020","Currency=USD","Period=FQ","BEST_FPERIOD_OVERRIDE=FQ","FILING_STATUS=MR","SCALING_FORMAT=MLN","Sort=A","Dates=H","DateFormat=P","Fill=—","Direction=H","UseDPDF=Y")</f>
        <v>964</v>
      </c>
      <c r="J41" s="13">
        <f>_xll.BDH("AMGN US Equity","ARDR_R&amp;D_EXPENDITURES","FQ3 2020","FQ3 2020","Currency=USD","Period=FQ","BEST_FPERIOD_OVERRIDE=FQ","FILING_STATUS=MR","SCALING_FORMAT=MLN","Sort=A","Dates=H","DateFormat=P","Fill=—","Direction=H","UseDPDF=Y")</f>
        <v>1062</v>
      </c>
      <c r="K41" s="13">
        <f>_xll.BDH("AMGN US Equity","ARDR_R&amp;D_EXPENDITURES","FQ4 2020","FQ4 2020","Currency=USD","Period=FQ","BEST_FPERIOD_OVERRIDE=FQ","FILING_STATUS=MR","SCALING_FORMAT=MLN","Sort=A","Dates=H","DateFormat=P","Fill=—","Direction=H","UseDPDF=Y")</f>
        <v>1229</v>
      </c>
      <c r="L41" s="13">
        <f>_xll.BDH("AMGN US Equity","ARDR_R&amp;D_EXPENDITURES","FQ1 2021","FQ1 2021","Currency=USD","Period=FQ","BEST_FPERIOD_OVERRIDE=FQ","FILING_STATUS=MR","SCALING_FORMAT=MLN","Sort=A","Dates=H","DateFormat=P","Fill=—","Direction=H","UseDPDF=Y")</f>
        <v>967</v>
      </c>
      <c r="M41" s="13">
        <f>_xll.BDH("AMGN US Equity","ARDR_R&amp;D_EXPENDITURES","FQ2 2021","FQ2 2021","Currency=USD","Period=FQ","BEST_FPERIOD_OVERRIDE=FQ","FILING_STATUS=MR","SCALING_FORMAT=MLN","Sort=A","Dates=H","DateFormat=P","Fill=—","Direction=H","UseDPDF=Y")</f>
        <v>1082</v>
      </c>
      <c r="N41" s="13">
        <f>_xll.BDH("AMGN US Equity","ARDR_R&amp;D_EXPENDITURES","FQ3 2021","FQ3 2021","Currency=USD","Period=FQ","BEST_FPERIOD_OVERRIDE=FQ","FILING_STATUS=MR","SCALING_FORMAT=MLN","Sort=A","Dates=H","DateFormat=P","Fill=—","Direction=H","UseDPDF=Y")</f>
        <v>1422</v>
      </c>
      <c r="O41" s="13">
        <f>_xll.BDH("AMGN US Equity","ARDR_R&amp;D_EXPENDITURES","FQ4 2021","FQ4 2021","Currency=USD","Period=FQ","BEST_FPERIOD_OVERRIDE=FQ","FILING_STATUS=MR","SCALING_FORMAT=MLN","Sort=A","Dates=H","DateFormat=P","Fill=—","Direction=H","UseDPDF=Y")</f>
        <v>1348</v>
      </c>
      <c r="P41" s="13">
        <f>_xll.BDH("AMGN US Equity","ARDR_R&amp;D_EXPENDITURES","FQ1 2022","FQ1 2022","Currency=USD","Period=FQ","BEST_FPERIOD_OVERRIDE=FQ","FILING_STATUS=MR","SCALING_FORMAT=MLN","Sort=A","Dates=H","DateFormat=P","Fill=—","Direction=H","UseDPDF=Y")</f>
        <v>959</v>
      </c>
      <c r="Q41" s="13">
        <f>_xll.BDH("AMGN US Equity","ARDR_R&amp;D_EXPENDITURES","FQ2 2022","FQ2 2022","Currency=USD","Period=FQ","BEST_FPERIOD_OVERRIDE=FQ","FILING_STATUS=MR","SCALING_FORMAT=MLN","Sort=A","Dates=H","DateFormat=P","Fill=—","Direction=H","UseDPDF=Y")</f>
        <v>1039</v>
      </c>
      <c r="R41" s="13">
        <f>_xll.BDH("AMGN US Equity","ARDR_R&amp;D_EXPENDITURES","FQ3 2022","FQ3 2022","Currency=USD","Period=FQ","BEST_FPERIOD_OVERRIDE=FQ","FILING_STATUS=MR","SCALING_FORMAT=MLN","Sort=A","Dates=H","DateFormat=P","Fill=—","Direction=H","UseDPDF=Y")</f>
        <v>1112</v>
      </c>
      <c r="S41" s="13">
        <f>_xll.BDH("AMGN US Equity","ARDR_R&amp;D_EXPENDITURES","FQ4 2022","FQ4 2022","Currency=USD","Period=FQ","BEST_FPERIOD_OVERRIDE=FQ","FILING_STATUS=MR","SCALING_FORMAT=MLN","Sort=A","Dates=H","DateFormat=P","Fill=—","Direction=H","UseDPDF=Y")</f>
        <v>1324</v>
      </c>
      <c r="T41" s="13">
        <f>_xll.BDH("AMGN US Equity","ARDR_R&amp;D_EXPENDITURES","FQ1 2023","FQ1 2023","Currency=USD","Period=FQ","BEST_FPERIOD_OVERRIDE=FQ","FILING_STATUS=MR","SCALING_FORMAT=MLN","Sort=A","Dates=H","DateFormat=P","Fill=—","Direction=H","UseDPDF=Y")</f>
        <v>1058</v>
      </c>
      <c r="U41" s="13">
        <f>_xll.BDH("AMGN US Equity","ARDR_R&amp;D_EXPENDITURES","FQ2 2023","FQ2 2023","Currency=USD","Period=FQ","BEST_FPERIOD_OVERRIDE=FQ","FILING_STATUS=MR","SCALING_FORMAT=MLN","Sort=A","Dates=H","DateFormat=P","Fill=—","Direction=H","UseDPDF=Y")</f>
        <v>1113</v>
      </c>
      <c r="V41" s="13">
        <f>_xll.BDH("AMGN US Equity","ARDR_R&amp;D_EXPENDITURES","FQ3 2023","FQ3 2023","Currency=USD","Period=FQ","BEST_FPERIOD_OVERRIDE=FQ","FILING_STATUS=MR","SCALING_FORMAT=MLN","Sort=A","Dates=H","DateFormat=P","Fill=—","Direction=H","UseDPDF=Y")</f>
        <v>1079</v>
      </c>
      <c r="W41" s="13">
        <f>_xll.BDH("AMGN US Equity","ARDR_R&amp;D_EXPENDITURES","FQ4 2023","FQ4 2023","Currency=USD","Period=FQ","BEST_FPERIOD_OVERRIDE=FQ","FILING_STATUS=MR","SCALING_FORMAT=MLN","Sort=A","Dates=H","DateFormat=P","Fill=—","Direction=H","UseDPDF=Y")</f>
        <v>1534</v>
      </c>
      <c r="X41" s="13">
        <f>_xll.BDH("AMGN US Equity","ARDR_R&amp;D_EXPENDITURES","FQ1 2024","FQ1 2024","Currency=USD","Period=FQ","BEST_FPERIOD_OVERRIDE=FQ","FILING_STATUS=MR","SCALING_FORMAT=MLN","Sort=A","Dates=H","DateFormat=P","Fill=—","Direction=H","UseDPDF=Y")</f>
        <v>1343</v>
      </c>
      <c r="Y41" s="13">
        <f>_xll.BDH("AMGN US Equity","ARDR_R&amp;D_EXPENDITURES","FQ2 2024","FQ2 2024","Currency=USD","Period=FQ","BEST_FPERIOD_OVERRIDE=FQ","FILING_STATUS=MR","SCALING_FORMAT=MLN","Sort=A","Dates=H","DateFormat=P","Fill=—","Direction=H","UseDPDF=Y")</f>
        <v>1447</v>
      </c>
      <c r="Z41" s="13">
        <f>_xll.BDH("AMGN US Equity","ARDR_R&amp;D_EXPENDITURES","FQ3 2024","FQ3 2024","Currency=USD","Period=FQ","BEST_FPERIOD_OVERRIDE=FQ","FILING_STATUS=MR","SCALING_FORMAT=MLN","Sort=A","Dates=H","DateFormat=P","Fill=—","Direction=H","UseDPDF=Y")</f>
        <v>1450</v>
      </c>
      <c r="AA41" s="13">
        <f>_xll.BDH("AMGN US Equity","ARDR_R&amp;D_EXPENDITURES","FQ4 2024","FQ4 2024","Currency=USD","Period=FQ","BEST_FPERIOD_OVERRIDE=FQ","FILING_STATUS=MR","SCALING_FORMAT=MLN","Sort=A","Dates=H","DateFormat=P","Fill=—","Direction=H","UseDPDF=Y")</f>
        <v>1724</v>
      </c>
    </row>
    <row r="42" spans="1:27" x14ac:dyDescent="0.25">
      <c r="A42" s="10" t="s">
        <v>402</v>
      </c>
      <c r="B42" s="10" t="s">
        <v>473</v>
      </c>
      <c r="C42" s="13">
        <f>_xll.BDH("AMGN US Equity","ARDR_DEPRECIATION_EXP","FQ4 2018","FQ4 2018","Currency=USD","Period=FQ","BEST_FPERIOD_OVERRIDE=FQ","FILING_STATUS=MR","SCALING_FORMAT=MLN","Sort=A","Dates=H","DateFormat=P","Fill=—","Direction=H","UseDPDF=Y")</f>
        <v>173</v>
      </c>
      <c r="D42" s="13">
        <f>_xll.BDH("AMGN US Equity","ARDR_DEPRECIATION_EXP","FQ1 2019","FQ1 2019","Currency=USD","Period=FQ","BEST_FPERIOD_OVERRIDE=FQ","FILING_STATUS=MR","SCALING_FORMAT=MLN","Sort=A","Dates=H","DateFormat=P","Fill=—","Direction=H","UseDPDF=Y")</f>
        <v>180</v>
      </c>
      <c r="E42" s="13">
        <f>_xll.BDH("AMGN US Equity","ARDR_DEPRECIATION_EXP","FQ2 2019","FQ2 2019","Currency=USD","Period=FQ","BEST_FPERIOD_OVERRIDE=FQ","FILING_STATUS=MR","SCALING_FORMAT=MLN","Sort=A","Dates=H","DateFormat=P","Fill=—","Direction=H","UseDPDF=Y")</f>
        <v>186</v>
      </c>
      <c r="F42" s="13">
        <f>_xll.BDH("AMGN US Equity","ARDR_DEPRECIATION_EXP","FQ3 2019","FQ3 2019","Currency=USD","Period=FQ","BEST_FPERIOD_OVERRIDE=FQ","FILING_STATUS=MR","SCALING_FORMAT=MLN","Sort=A","Dates=H","DateFormat=P","Fill=—","Direction=H","UseDPDF=Y")</f>
        <v>191</v>
      </c>
      <c r="G42" s="13">
        <f>_xll.BDH("AMGN US Equity","ARDR_DEPRECIATION_EXP","FQ4 2019","FQ4 2019","Currency=USD","Period=FQ","BEST_FPERIOD_OVERRIDE=FQ","FILING_STATUS=MR","SCALING_FORMAT=MLN","Sort=A","Dates=H","DateFormat=P","Fill=—","Direction=H","UseDPDF=Y")</f>
        <v>250</v>
      </c>
      <c r="H42" s="13">
        <f>_xll.BDH("AMGN US Equity","ARDR_DEPRECIATION_EXP","FQ1 2020","FQ1 2020","Currency=USD","Period=FQ","BEST_FPERIOD_OVERRIDE=FQ","FILING_STATUS=MR","SCALING_FORMAT=MLN","Sort=A","Dates=H","DateFormat=P","Fill=—","Direction=H","UseDPDF=Y")</f>
        <v>188</v>
      </c>
      <c r="I42" s="13">
        <f>_xll.BDH("AMGN US Equity","ARDR_DEPRECIATION_EXP","FQ2 2020","FQ2 2020","Currency=USD","Period=FQ","BEST_FPERIOD_OVERRIDE=FQ","FILING_STATUS=MR","SCALING_FORMAT=MLN","Sort=A","Dates=H","DateFormat=P","Fill=—","Direction=H","UseDPDF=Y")</f>
        <v>217</v>
      </c>
      <c r="J42" s="13">
        <f>_xll.BDH("AMGN US Equity","ARDR_DEPRECIATION_EXP","FQ3 2020","FQ3 2020","Currency=USD","Period=FQ","BEST_FPERIOD_OVERRIDE=FQ","FILING_STATUS=MR","SCALING_FORMAT=MLN","Sort=A","Dates=H","DateFormat=P","Fill=—","Direction=H","UseDPDF=Y")</f>
        <v>175</v>
      </c>
      <c r="K42" s="13">
        <f>_xll.BDH("AMGN US Equity","ARDR_DEPRECIATION_EXP","FQ4 2020","FQ4 2020","Currency=USD","Period=FQ","BEST_FPERIOD_OVERRIDE=FQ","FILING_STATUS=MR","SCALING_FORMAT=MLN","Sort=A","Dates=H","DateFormat=P","Fill=—","Direction=H","UseDPDF=Y")</f>
        <v>181</v>
      </c>
      <c r="L42" s="13">
        <f>_xll.BDH("AMGN US Equity","ARDR_DEPRECIATION_EXP","FQ1 2021","FQ1 2021","Currency=USD","Period=FQ","BEST_FPERIOD_OVERRIDE=FQ","FILING_STATUS=MR","SCALING_FORMAT=MLN","Sort=A","Dates=H","DateFormat=P","Fill=—","Direction=H","UseDPDF=Y")</f>
        <v>187</v>
      </c>
      <c r="M42" s="13">
        <f>_xll.BDH("AMGN US Equity","ARDR_DEPRECIATION_EXP","FQ2 2021","FQ2 2021","Currency=USD","Period=FQ","BEST_FPERIOD_OVERRIDE=FQ","FILING_STATUS=MR","SCALING_FORMAT=MLN","Sort=A","Dates=H","DateFormat=P","Fill=—","Direction=H","UseDPDF=Y")</f>
        <v>203</v>
      </c>
      <c r="N42" s="13">
        <f>_xll.BDH("AMGN US Equity","ARDR_DEPRECIATION_EXP","FQ3 2021","FQ3 2021","Currency=USD","Period=FQ","BEST_FPERIOD_OVERRIDE=FQ","FILING_STATUS=MR","SCALING_FORMAT=MLN","Sort=A","Dates=H","DateFormat=P","Fill=—","Direction=H","UseDPDF=Y")</f>
        <v>208</v>
      </c>
      <c r="O42" s="13">
        <f>_xll.BDH("AMGN US Equity","ARDR_DEPRECIATION_EXP","FQ4 2021","FQ4 2021","Currency=USD","Period=FQ","BEST_FPERIOD_OVERRIDE=FQ","FILING_STATUS=MR","SCALING_FORMAT=MLN","Sort=A","Dates=H","DateFormat=P","Fill=—","Direction=H","UseDPDF=Y")</f>
        <v>187</v>
      </c>
      <c r="P42" s="13">
        <f>_xll.BDH("AMGN US Equity","ARDR_DEPRECIATION_EXP","FQ1 2022","FQ1 2022","Currency=USD","Period=FQ","BEST_FPERIOD_OVERRIDE=FQ","FILING_STATUS=MR","SCALING_FORMAT=MLN","Sort=A","Dates=H","DateFormat=P","Fill=—","Direction=H","UseDPDF=Y")</f>
        <v>204</v>
      </c>
      <c r="Q42" s="13">
        <f>_xll.BDH("AMGN US Equity","ARDR_DEPRECIATION_EXP","FQ2 2022","FQ2 2022","Currency=USD","Period=FQ","BEST_FPERIOD_OVERRIDE=FQ","FILING_STATUS=MR","SCALING_FORMAT=MLN","Sort=A","Dates=H","DateFormat=P","Fill=—","Direction=H","UseDPDF=Y")</f>
        <v>199</v>
      </c>
      <c r="R42" s="13">
        <f>_xll.BDH("AMGN US Equity","ARDR_DEPRECIATION_EXP","FQ3 2022","FQ3 2022","Currency=USD","Period=FQ","BEST_FPERIOD_OVERRIDE=FQ","FILING_STATUS=MR","SCALING_FORMAT=MLN","Sort=A","Dates=H","DateFormat=P","Fill=—","Direction=H","UseDPDF=Y")</f>
        <v>209</v>
      </c>
      <c r="S42" s="13">
        <f>_xll.BDH("AMGN US Equity","ARDR_DEPRECIATION_EXP","FQ4 2022","FQ4 2022","Currency=USD","Period=FQ","BEST_FPERIOD_OVERRIDE=FQ","FILING_STATUS=MR","SCALING_FORMAT=MLN","Sort=A","Dates=H","DateFormat=P","Fill=—","Direction=H","UseDPDF=Y")</f>
        <v>49</v>
      </c>
      <c r="T42" s="13">
        <f>_xll.BDH("AMGN US Equity","ARDR_DEPRECIATION_EXP","FQ1 2023","FQ1 2023","Currency=USD","Period=FQ","BEST_FPERIOD_OVERRIDE=FQ","FILING_STATUS=MR","SCALING_FORMAT=MLN","Sort=A","Dates=H","DateFormat=P","Fill=—","Direction=H","UseDPDF=Y")</f>
        <v>207</v>
      </c>
      <c r="U42" s="13">
        <f>_xll.BDH("AMGN US Equity","ARDR_DEPRECIATION_EXP","FQ2 2023","FQ2 2023","Currency=USD","Period=FQ","BEST_FPERIOD_OVERRIDE=FQ","FILING_STATUS=MR","SCALING_FORMAT=MLN","Sort=A","Dates=H","DateFormat=P","Fill=—","Direction=H","UseDPDF=Y")</f>
        <v>164</v>
      </c>
      <c r="V42" s="13">
        <f>_xll.BDH("AMGN US Equity","ARDR_DEPRECIATION_EXP","FQ3 2023","FQ3 2023","Currency=USD","Period=FQ","BEST_FPERIOD_OVERRIDE=FQ","FILING_STATUS=MR","SCALING_FORMAT=MLN","Sort=A","Dates=H","DateFormat=P","Fill=—","Direction=H","UseDPDF=Y")</f>
        <v>202</v>
      </c>
      <c r="W42" s="13">
        <f>_xll.BDH("AMGN US Equity","ARDR_DEPRECIATION_EXP","FQ4 2023","FQ4 2023","Currency=USD","Period=FQ","BEST_FPERIOD_OVERRIDE=FQ","FILING_STATUS=MR","SCALING_FORMAT=MLN","Sort=A","Dates=H","DateFormat=P","Fill=—","Direction=H","UseDPDF=Y")</f>
        <v>94</v>
      </c>
      <c r="X42" s="13">
        <f>_xll.BDH("AMGN US Equity","ARDR_DEPRECIATION_EXP","FQ1 2024","FQ1 2024","Currency=USD","Period=FQ","BEST_FPERIOD_OVERRIDE=FQ","FILING_STATUS=MR","SCALING_FORMAT=MLN","Sort=A","Dates=H","DateFormat=P","Fill=—","Direction=H","UseDPDF=Y")</f>
        <v>199</v>
      </c>
      <c r="Y42" s="13">
        <f>_xll.BDH("AMGN US Equity","ARDR_DEPRECIATION_EXP","FQ2 2024","FQ2 2024","Currency=USD","Period=FQ","BEST_FPERIOD_OVERRIDE=FQ","FILING_STATUS=MR","SCALING_FORMAT=MLN","Sort=A","Dates=H","DateFormat=P","Fill=—","Direction=H","UseDPDF=Y")</f>
        <v>200</v>
      </c>
      <c r="Z42" s="13">
        <f>_xll.BDH("AMGN US Equity","ARDR_DEPRECIATION_EXP","FQ3 2024","FQ3 2024","Currency=USD","Period=FQ","BEST_FPERIOD_OVERRIDE=FQ","FILING_STATUS=MR","SCALING_FORMAT=MLN","Sort=A","Dates=H","DateFormat=P","Fill=—","Direction=H","UseDPDF=Y")</f>
        <v>196</v>
      </c>
      <c r="AA42" s="13">
        <f>_xll.BDH("AMGN US Equity","ARDR_DEPRECIATION_EXP","FQ4 2024","FQ4 2024","Currency=USD","Period=FQ","BEST_FPERIOD_OVERRIDE=FQ","FILING_STATUS=MR","SCALING_FORMAT=MLN","Sort=A","Dates=H","DateFormat=P","Fill=—","Direction=H","UseDPDF=Y")</f>
        <v>99</v>
      </c>
    </row>
    <row r="43" spans="1:27" x14ac:dyDescent="0.25">
      <c r="A43" s="10" t="s">
        <v>474</v>
      </c>
      <c r="B43" s="10" t="s">
        <v>475</v>
      </c>
      <c r="C43" s="13">
        <f>_xll.BDH("AMGN US Equity","ARDR_SELLING_GENERAL_ADMIN_EXP","FQ4 2018","FQ4 2018","Currency=USD","Period=FQ","BEST_FPERIOD_OVERRIDE=FQ","FILING_STATUS=MR","SCALING_FORMAT=MLN","Sort=A","Dates=H","DateFormat=P","Fill=—","Direction=H","UseDPDF=Y")</f>
        <v>1559</v>
      </c>
      <c r="D43" s="13">
        <f>_xll.BDH("AMGN US Equity","ARDR_SELLING_GENERAL_ADMIN_EXP","FQ1 2019","FQ1 2019","Currency=USD","Period=FQ","BEST_FPERIOD_OVERRIDE=FQ","FILING_STATUS=MR","SCALING_FORMAT=MLN","Sort=A","Dates=H","DateFormat=P","Fill=—","Direction=H","UseDPDF=Y")</f>
        <v>1154</v>
      </c>
      <c r="E43" s="13">
        <f>_xll.BDH("AMGN US Equity","ARDR_SELLING_GENERAL_ADMIN_EXP","FQ2 2019","FQ2 2019","Currency=USD","Period=FQ","BEST_FPERIOD_OVERRIDE=FQ","FILING_STATUS=MR","SCALING_FORMAT=MLN","Sort=A","Dates=H","DateFormat=P","Fill=—","Direction=H","UseDPDF=Y")</f>
        <v>1260</v>
      </c>
      <c r="F43" s="13">
        <f>_xll.BDH("AMGN US Equity","ARDR_SELLING_GENERAL_ADMIN_EXP","FQ3 2019","FQ3 2019","Currency=USD","Period=FQ","BEST_FPERIOD_OVERRIDE=FQ","FILING_STATUS=MR","SCALING_FORMAT=MLN","Sort=A","Dates=H","DateFormat=P","Fill=—","Direction=H","UseDPDF=Y")</f>
        <v>1223</v>
      </c>
      <c r="G43" s="13">
        <f>_xll.BDH("AMGN US Equity","ARDR_SELLING_GENERAL_ADMIN_EXP","FQ4 2019","FQ4 2019","Currency=USD","Period=FQ","BEST_FPERIOD_OVERRIDE=FQ","FILING_STATUS=MR","SCALING_FORMAT=MLN","Sort=A","Dates=H","DateFormat=P","Fill=—","Direction=H","UseDPDF=Y")</f>
        <v>1513</v>
      </c>
      <c r="H43" s="13">
        <f>_xll.BDH("AMGN US Equity","ARDR_SELLING_GENERAL_ADMIN_EXP","FQ1 2020","FQ1 2020","Currency=USD","Period=FQ","BEST_FPERIOD_OVERRIDE=FQ","FILING_STATUS=MR","SCALING_FORMAT=MLN","Sort=A","Dates=H","DateFormat=P","Fill=—","Direction=H","UseDPDF=Y")</f>
        <v>1316</v>
      </c>
      <c r="I43" s="13">
        <f>_xll.BDH("AMGN US Equity","ARDR_SELLING_GENERAL_ADMIN_EXP","FQ2 2020","FQ2 2020","Currency=USD","Period=FQ","BEST_FPERIOD_OVERRIDE=FQ","FILING_STATUS=MR","SCALING_FORMAT=MLN","Sort=A","Dates=H","DateFormat=P","Fill=—","Direction=H","UseDPDF=Y")</f>
        <v>1295</v>
      </c>
      <c r="J43" s="13">
        <f>_xll.BDH("AMGN US Equity","ARDR_SELLING_GENERAL_ADMIN_EXP","FQ3 2020","FQ3 2020","Currency=USD","Period=FQ","BEST_FPERIOD_OVERRIDE=FQ","FILING_STATUS=MR","SCALING_FORMAT=MLN","Sort=A","Dates=H","DateFormat=P","Fill=—","Direction=H","UseDPDF=Y")</f>
        <v>1346</v>
      </c>
      <c r="K43" s="13">
        <f>_xll.BDH("AMGN US Equity","ARDR_SELLING_GENERAL_ADMIN_EXP","FQ4 2020","FQ4 2020","Currency=USD","Period=FQ","BEST_FPERIOD_OVERRIDE=FQ","FILING_STATUS=MR","SCALING_FORMAT=MLN","Sort=A","Dates=H","DateFormat=P","Fill=—","Direction=H","UseDPDF=Y")</f>
        <v>1773</v>
      </c>
      <c r="L43" s="13">
        <f>_xll.BDH("AMGN US Equity","ARDR_SELLING_GENERAL_ADMIN_EXP","FQ1 2021","FQ1 2021","Currency=USD","Period=FQ","BEST_FPERIOD_OVERRIDE=FQ","FILING_STATUS=MR","SCALING_FORMAT=MLN","Sort=A","Dates=H","DateFormat=P","Fill=—","Direction=H","UseDPDF=Y")</f>
        <v>1254</v>
      </c>
      <c r="M43" s="13">
        <f>_xll.BDH("AMGN US Equity","ARDR_SELLING_GENERAL_ADMIN_EXP","FQ2 2021","FQ2 2021","Currency=USD","Period=FQ","BEST_FPERIOD_OVERRIDE=FQ","FILING_STATUS=MR","SCALING_FORMAT=MLN","Sort=A","Dates=H","DateFormat=P","Fill=—","Direction=H","UseDPDF=Y")</f>
        <v>1384</v>
      </c>
      <c r="N43" s="13">
        <f>_xll.BDH("AMGN US Equity","ARDR_SELLING_GENERAL_ADMIN_EXP","FQ3 2021","FQ3 2021","Currency=USD","Period=FQ","BEST_FPERIOD_OVERRIDE=FQ","FILING_STATUS=MR","SCALING_FORMAT=MLN","Sort=A","Dates=H","DateFormat=P","Fill=—","Direction=H","UseDPDF=Y")</f>
        <v>1305</v>
      </c>
      <c r="O43" s="13">
        <f>_xll.BDH("AMGN US Equity","ARDR_SELLING_GENERAL_ADMIN_EXP","FQ4 2021","FQ4 2021","Currency=USD","Period=FQ","BEST_FPERIOD_OVERRIDE=FQ","FILING_STATUS=MR","SCALING_FORMAT=MLN","Sort=A","Dates=H","DateFormat=P","Fill=—","Direction=H","UseDPDF=Y")</f>
        <v>1425</v>
      </c>
      <c r="P43" s="13">
        <f>_xll.BDH("AMGN US Equity","ARDR_SELLING_GENERAL_ADMIN_EXP","FQ1 2022","FQ1 2022","Currency=USD","Period=FQ","BEST_FPERIOD_OVERRIDE=FQ","FILING_STATUS=MR","SCALING_FORMAT=MLN","Sort=A","Dates=H","DateFormat=P","Fill=—","Direction=H","UseDPDF=Y")</f>
        <v>1228</v>
      </c>
      <c r="Q43" s="13">
        <f>_xll.BDH("AMGN US Equity","ARDR_SELLING_GENERAL_ADMIN_EXP","FQ2 2022","FQ2 2022","Currency=USD","Period=FQ","BEST_FPERIOD_OVERRIDE=FQ","FILING_STATUS=MR","SCALING_FORMAT=MLN","Sort=A","Dates=H","DateFormat=P","Fill=—","Direction=H","UseDPDF=Y")</f>
        <v>1327</v>
      </c>
      <c r="R43" s="13">
        <f>_xll.BDH("AMGN US Equity","ARDR_SELLING_GENERAL_ADMIN_EXP","FQ3 2022","FQ3 2022","Currency=USD","Period=FQ","BEST_FPERIOD_OVERRIDE=FQ","FILING_STATUS=MR","SCALING_FORMAT=MLN","Sort=A","Dates=H","DateFormat=P","Fill=—","Direction=H","UseDPDF=Y")</f>
        <v>1287</v>
      </c>
      <c r="S43" s="13">
        <f>_xll.BDH("AMGN US Equity","ARDR_SELLING_GENERAL_ADMIN_EXP","FQ4 2022","FQ4 2022","Currency=USD","Period=FQ","BEST_FPERIOD_OVERRIDE=FQ","FILING_STATUS=MR","SCALING_FORMAT=MLN","Sort=A","Dates=H","DateFormat=P","Fill=—","Direction=H","UseDPDF=Y")</f>
        <v>1572</v>
      </c>
      <c r="T43" s="13">
        <f>_xll.BDH("AMGN US Equity","ARDR_SELLING_GENERAL_ADMIN_EXP","FQ1 2023","FQ1 2023","Currency=USD","Period=FQ","BEST_FPERIOD_OVERRIDE=FQ","FILING_STATUS=MR","SCALING_FORMAT=MLN","Sort=A","Dates=H","DateFormat=P","Fill=—","Direction=H","UseDPDF=Y")</f>
        <v>1258</v>
      </c>
      <c r="U43" s="13">
        <f>_xll.BDH("AMGN US Equity","ARDR_SELLING_GENERAL_ADMIN_EXP","FQ2 2023","FQ2 2023","Currency=USD","Period=FQ","BEST_FPERIOD_OVERRIDE=FQ","FILING_STATUS=MR","SCALING_FORMAT=MLN","Sort=A","Dates=H","DateFormat=P","Fill=—","Direction=H","UseDPDF=Y")</f>
        <v>1294</v>
      </c>
      <c r="V43" s="13">
        <f>_xll.BDH("AMGN US Equity","ARDR_SELLING_GENERAL_ADMIN_EXP","FQ3 2023","FQ3 2023","Currency=USD","Period=FQ","BEST_FPERIOD_OVERRIDE=FQ","FILING_STATUS=MR","SCALING_FORMAT=MLN","Sort=A","Dates=H","DateFormat=P","Fill=—","Direction=H","UseDPDF=Y")</f>
        <v>1353</v>
      </c>
      <c r="W43" s="13">
        <f>_xll.BDH("AMGN US Equity","ARDR_SELLING_GENERAL_ADMIN_EXP","FQ4 2023","FQ4 2023","Currency=USD","Period=FQ","BEST_FPERIOD_OVERRIDE=FQ","FILING_STATUS=MR","SCALING_FORMAT=MLN","Sort=A","Dates=H","DateFormat=P","Fill=—","Direction=H","UseDPDF=Y")</f>
        <v>2274</v>
      </c>
      <c r="X43" s="13">
        <f>_xll.BDH("AMGN US Equity","ARDR_SELLING_GENERAL_ADMIN_EXP","FQ1 2024","FQ1 2024","Currency=USD","Period=FQ","BEST_FPERIOD_OVERRIDE=FQ","FILING_STATUS=MR","SCALING_FORMAT=MLN","Sort=A","Dates=H","DateFormat=P","Fill=—","Direction=H","UseDPDF=Y")</f>
        <v>1808</v>
      </c>
      <c r="Y43" s="13">
        <f>_xll.BDH("AMGN US Equity","ARDR_SELLING_GENERAL_ADMIN_EXP","FQ2 2024","FQ2 2024","Currency=USD","Period=FQ","BEST_FPERIOD_OVERRIDE=FQ","FILING_STATUS=MR","SCALING_FORMAT=MLN","Sort=A","Dates=H","DateFormat=P","Fill=—","Direction=H","UseDPDF=Y")</f>
        <v>1785</v>
      </c>
      <c r="Z43" s="13">
        <f>_xll.BDH("AMGN US Equity","ARDR_SELLING_GENERAL_ADMIN_EXP","FQ3 2024","FQ3 2024","Currency=USD","Period=FQ","BEST_FPERIOD_OVERRIDE=FQ","FILING_STATUS=MR","SCALING_FORMAT=MLN","Sort=A","Dates=H","DateFormat=P","Fill=—","Direction=H","UseDPDF=Y")</f>
        <v>1625</v>
      </c>
      <c r="AA43" s="13">
        <f>_xll.BDH("AMGN US Equity","ARDR_SELLING_GENERAL_ADMIN_EXP","FQ4 2024","FQ4 2024","Currency=USD","Period=FQ","BEST_FPERIOD_OVERRIDE=FQ","FILING_STATUS=MR","SCALING_FORMAT=MLN","Sort=A","Dates=H","DateFormat=P","Fill=—","Direction=H","UseDPDF=Y")</f>
        <v>1878</v>
      </c>
    </row>
    <row r="44" spans="1:27" x14ac:dyDescent="0.25">
      <c r="A44" s="10" t="s">
        <v>476</v>
      </c>
      <c r="B44" s="10" t="s">
        <v>477</v>
      </c>
      <c r="C44" s="13">
        <f>_xll.BDH("AMGN US Equity","ARDR_DEPRECIATION_AMORTIZATION","FQ4 2018","FQ4 2018","Currency=USD","Period=FQ","BEST_FPERIOD_OVERRIDE=FQ","FILING_STATUS=MR","SCALING_FORMAT=MLN","Sort=A","Dates=H","DateFormat=P","Fill=—","Direction=H","UseDPDF=Y")</f>
        <v>490</v>
      </c>
      <c r="D44" s="13">
        <f>_xll.BDH("AMGN US Equity","ARDR_DEPRECIATION_AMORTIZATION","FQ1 2019","FQ1 2019","Currency=USD","Period=FQ","BEST_FPERIOD_OVERRIDE=FQ","FILING_STATUS=MR","SCALING_FORMAT=MLN","Sort=A","Dates=H","DateFormat=P","Fill=—","Direction=H","UseDPDF=Y")</f>
        <v>495</v>
      </c>
      <c r="E44" s="13">
        <f>_xll.BDH("AMGN US Equity","ARDR_DEPRECIATION_AMORTIZATION","FQ2 2019","FQ2 2019","Currency=USD","Period=FQ","BEST_FPERIOD_OVERRIDE=FQ","FILING_STATUS=MR","SCALING_FORMAT=MLN","Sort=A","Dates=H","DateFormat=P","Fill=—","Direction=H","UseDPDF=Y")</f>
        <v>501</v>
      </c>
      <c r="F44" s="13">
        <f>_xll.BDH("AMGN US Equity","ARDR_DEPRECIATION_AMORTIZATION","FQ3 2019","FQ3 2019","Currency=USD","Period=FQ","BEST_FPERIOD_OVERRIDE=FQ","FILING_STATUS=MR","SCALING_FORMAT=MLN","Sort=A","Dates=H","DateFormat=P","Fill=—","Direction=H","UseDPDF=Y")</f>
        <v>508</v>
      </c>
      <c r="G44" s="13">
        <f>_xll.BDH("AMGN US Equity","ARDR_DEPRECIATION_AMORTIZATION","FQ4 2019","FQ4 2019","Currency=USD","Period=FQ","BEST_FPERIOD_OVERRIDE=FQ","FILING_STATUS=MR","SCALING_FORMAT=MLN","Sort=A","Dates=H","DateFormat=P","Fill=—","Direction=H","UseDPDF=Y")</f>
        <v>702</v>
      </c>
      <c r="H44" s="13">
        <f>_xll.BDH("AMGN US Equity","ARDR_DEPRECIATION_AMORTIZATION","FQ1 2020","FQ1 2020","Currency=USD","Period=FQ","BEST_FPERIOD_OVERRIDE=FQ","FILING_STATUS=MR","SCALING_FORMAT=MLN","Sort=A","Dates=H","DateFormat=P","Fill=—","Direction=H","UseDPDF=Y")</f>
        <v>897</v>
      </c>
      <c r="I44" s="13">
        <f>_xll.BDH("AMGN US Equity","ARDR_DEPRECIATION_AMORTIZATION","FQ2 2020","FQ2 2020","Currency=USD","Period=FQ","BEST_FPERIOD_OVERRIDE=FQ","FILING_STATUS=MR","SCALING_FORMAT=MLN","Sort=A","Dates=H","DateFormat=P","Fill=—","Direction=H","UseDPDF=Y")</f>
        <v>930</v>
      </c>
      <c r="J44" s="13">
        <f>_xll.BDH("AMGN US Equity","ARDR_DEPRECIATION_AMORTIZATION","FQ3 2020","FQ3 2020","Currency=USD","Period=FQ","BEST_FPERIOD_OVERRIDE=FQ","FILING_STATUS=MR","SCALING_FORMAT=MLN","Sort=A","Dates=H","DateFormat=P","Fill=—","Direction=H","UseDPDF=Y")</f>
        <v>901</v>
      </c>
      <c r="K44" s="13">
        <f>_xll.BDH("AMGN US Equity","ARDR_DEPRECIATION_AMORTIZATION","FQ4 2020","FQ4 2020","Currency=USD","Period=FQ","BEST_FPERIOD_OVERRIDE=FQ","FILING_STATUS=MR","SCALING_FORMAT=MLN","Sort=A","Dates=H","DateFormat=P","Fill=—","Direction=H","UseDPDF=Y")</f>
        <v>873</v>
      </c>
      <c r="L44" s="13">
        <f>_xll.BDH("AMGN US Equity","ARDR_DEPRECIATION_AMORTIZATION","FQ1 2021","FQ1 2021","Currency=USD","Period=FQ","BEST_FPERIOD_OVERRIDE=FQ","FILING_STATUS=MR","SCALING_FORMAT=MLN","Sort=A","Dates=H","DateFormat=P","Fill=—","Direction=H","UseDPDF=Y")</f>
        <v>841</v>
      </c>
      <c r="M44" s="13">
        <f>_xll.BDH("AMGN US Equity","ARDR_DEPRECIATION_AMORTIZATION","FQ2 2021","FQ2 2021","Currency=USD","Period=FQ","BEST_FPERIOD_OVERRIDE=FQ","FILING_STATUS=MR","SCALING_FORMAT=MLN","Sort=A","Dates=H","DateFormat=P","Fill=—","Direction=H","UseDPDF=Y")</f>
        <v>855</v>
      </c>
      <c r="N44" s="13">
        <f>_xll.BDH("AMGN US Equity","ARDR_DEPRECIATION_AMORTIZATION","FQ3 2021","FQ3 2021","Currency=USD","Period=FQ","BEST_FPERIOD_OVERRIDE=FQ","FILING_STATUS=MR","SCALING_FORMAT=MLN","Sort=A","Dates=H","DateFormat=P","Fill=—","Direction=H","UseDPDF=Y")</f>
        <v>850</v>
      </c>
      <c r="O44" s="13">
        <f>_xll.BDH("AMGN US Equity","ARDR_DEPRECIATION_AMORTIZATION","FQ4 2021","FQ4 2021","Currency=USD","Period=FQ","BEST_FPERIOD_OVERRIDE=FQ","FILING_STATUS=MR","SCALING_FORMAT=MLN","Sort=A","Dates=H","DateFormat=P","Fill=—","Direction=H","UseDPDF=Y")</f>
        <v>852</v>
      </c>
      <c r="P44" s="13">
        <f>_xll.BDH("AMGN US Equity","ARDR_DEPRECIATION_AMORTIZATION","FQ1 2022","FQ1 2022","Currency=USD","Period=FQ","BEST_FPERIOD_OVERRIDE=FQ","FILING_STATUS=MR","SCALING_FORMAT=MLN","Sort=A","Dates=H","DateFormat=P","Fill=—","Direction=H","UseDPDF=Y")</f>
        <v>841</v>
      </c>
      <c r="Q44" s="13">
        <f>_xll.BDH("AMGN US Equity","ARDR_DEPRECIATION_AMORTIZATION","FQ2 2022","FQ2 2022","Currency=USD","Period=FQ","BEST_FPERIOD_OVERRIDE=FQ","FILING_STATUS=MR","SCALING_FORMAT=MLN","Sort=A","Dates=H","DateFormat=P","Fill=—","Direction=H","UseDPDF=Y")</f>
        <v>828</v>
      </c>
      <c r="R44" s="13">
        <f>_xll.BDH("AMGN US Equity","ARDR_DEPRECIATION_AMORTIZATION","FQ3 2022","FQ3 2022","Currency=USD","Period=FQ","BEST_FPERIOD_OVERRIDE=FQ","FILING_STATUS=MR","SCALING_FORMAT=MLN","Sort=A","Dates=H","DateFormat=P","Fill=—","Direction=H","UseDPDF=Y")</f>
        <v>837</v>
      </c>
      <c r="S44" s="13">
        <f>_xll.BDH("AMGN US Equity","ARDR_DEPRECIATION_AMORTIZATION","FQ4 2022","FQ4 2022","Currency=USD","Period=FQ","BEST_FPERIOD_OVERRIDE=FQ","FILING_STATUS=MR","SCALING_FORMAT=MLN","Sort=A","Dates=H","DateFormat=P","Fill=—","Direction=H","UseDPDF=Y")</f>
        <v>911</v>
      </c>
      <c r="T44" s="13">
        <f>_xll.BDH("AMGN US Equity","ARDR_DEPRECIATION_AMORTIZATION","FQ1 2023","FQ1 2023","Currency=USD","Period=FQ","BEST_FPERIOD_OVERRIDE=FQ","FILING_STATUS=MR","SCALING_FORMAT=MLN","Sort=A","Dates=H","DateFormat=P","Fill=—","Direction=H","UseDPDF=Y")</f>
        <v>900</v>
      </c>
      <c r="U44" s="13">
        <f>_xll.BDH("AMGN US Equity","ARDR_DEPRECIATION_AMORTIZATION","FQ2 2023","FQ2 2023","Currency=USD","Period=FQ","BEST_FPERIOD_OVERRIDE=FQ","FILING_STATUS=MR","SCALING_FORMAT=MLN","Sort=A","Dates=H","DateFormat=P","Fill=—","Direction=H","UseDPDF=Y")</f>
        <v>896</v>
      </c>
      <c r="V44" s="13">
        <f>_xll.BDH("AMGN US Equity","ARDR_DEPRECIATION_AMORTIZATION","FQ3 2023","FQ3 2023","Currency=USD","Period=FQ","BEST_FPERIOD_OVERRIDE=FQ","FILING_STATUS=MR","SCALING_FORMAT=MLN","Sort=A","Dates=H","DateFormat=P","Fill=—","Direction=H","UseDPDF=Y")</f>
        <v>895</v>
      </c>
      <c r="W44" s="13">
        <f>_xll.BDH("AMGN US Equity","ARDR_DEPRECIATION_AMORTIZATION","FQ4 2023","FQ4 2023","Currency=USD","Period=FQ","BEST_FPERIOD_OVERRIDE=FQ","FILING_STATUS=MR","SCALING_FORMAT=MLN","Sort=A","Dates=H","DateFormat=P","Fill=—","Direction=H","UseDPDF=Y")</f>
        <v>1380</v>
      </c>
      <c r="X44" s="13">
        <f>_xll.BDH("AMGN US Equity","ARDR_DEPRECIATION_AMORTIZATION","FQ1 2024","FQ1 2024","Currency=USD","Period=FQ","BEST_FPERIOD_OVERRIDE=FQ","FILING_STATUS=MR","SCALING_FORMAT=MLN","Sort=A","Dates=H","DateFormat=P","Fill=—","Direction=H","UseDPDF=Y")</f>
        <v>1399</v>
      </c>
      <c r="Y44" s="13">
        <f>_xll.BDH("AMGN US Equity","ARDR_DEPRECIATION_AMORTIZATION","FQ2 2024","FQ2 2024","Currency=USD","Period=FQ","BEST_FPERIOD_OVERRIDE=FQ","FILING_STATUS=MR","SCALING_FORMAT=MLN","Sort=A","Dates=H","DateFormat=P","Fill=—","Direction=H","UseDPDF=Y")</f>
        <v>1400</v>
      </c>
      <c r="Z44" s="13">
        <f>_xll.BDH("AMGN US Equity","ARDR_DEPRECIATION_AMORTIZATION","FQ3 2024","FQ3 2024","Currency=USD","Period=FQ","BEST_FPERIOD_OVERRIDE=FQ","FILING_STATUS=MR","SCALING_FORMAT=MLN","Sort=A","Dates=H","DateFormat=P","Fill=—","Direction=H","UseDPDF=Y")</f>
        <v>1396</v>
      </c>
      <c r="AA44" s="13">
        <f>_xll.BDH("AMGN US Equity","ARDR_DEPRECIATION_AMORTIZATION","FQ4 2024","FQ4 2024","Currency=USD","Period=FQ","BEST_FPERIOD_OVERRIDE=FQ","FILING_STATUS=MR","SCALING_FORMAT=MLN","Sort=A","Dates=H","DateFormat=P","Fill=—","Direction=H","UseDPDF=Y")</f>
        <v>1397</v>
      </c>
    </row>
    <row r="45" spans="1:27" x14ac:dyDescent="0.25">
      <c r="A45" s="10" t="s">
        <v>431</v>
      </c>
      <c r="B45" s="10" t="s">
        <v>478</v>
      </c>
      <c r="C45" s="13" t="str">
        <f>_xll.BDH("AMGN US Equity","ARDR_ACQUIRED_IN_PROCESS_R&amp;D","FQ4 2018","FQ4 2018","Currency=USD","Period=FQ","BEST_FPERIOD_OVERRIDE=FQ","FILING_STATUS=MR","SCALING_FORMAT=MLN","Sort=A","Dates=H","DateFormat=P","Fill=—","Direction=H","UseDPDF=Y")</f>
        <v>—</v>
      </c>
      <c r="D45" s="13" t="str">
        <f>_xll.BDH("AMGN US Equity","ARDR_ACQUIRED_IN_PROCESS_R&amp;D","FQ1 2019","FQ1 2019","Currency=USD","Period=FQ","BEST_FPERIOD_OVERRIDE=FQ","FILING_STATUS=MR","SCALING_FORMAT=MLN","Sort=A","Dates=H","DateFormat=P","Fill=—","Direction=H","UseDPDF=Y")</f>
        <v>—</v>
      </c>
      <c r="E45" s="13" t="str">
        <f>_xll.BDH("AMGN US Equity","ARDR_ACQUIRED_IN_PROCESS_R&amp;D","FQ2 2019","FQ2 2019","Currency=USD","Period=FQ","BEST_FPERIOD_OVERRIDE=FQ","FILING_STATUS=MR","SCALING_FORMAT=MLN","Sort=A","Dates=H","DateFormat=P","Fill=—","Direction=H","UseDPDF=Y")</f>
        <v>—</v>
      </c>
      <c r="F45" s="13" t="str">
        <f>_xll.BDH("AMGN US Equity","ARDR_ACQUIRED_IN_PROCESS_R&amp;D","FQ3 2019","FQ3 2019","Currency=USD","Period=FQ","BEST_FPERIOD_OVERRIDE=FQ","FILING_STATUS=MR","SCALING_FORMAT=MLN","Sort=A","Dates=H","DateFormat=P","Fill=—","Direction=H","UseDPDF=Y")</f>
        <v>—</v>
      </c>
      <c r="G45" s="13" t="str">
        <f>_xll.BDH("AMGN US Equity","ARDR_ACQUIRED_IN_PROCESS_R&amp;D","FQ4 2019","FQ4 2019","Currency=USD","Period=FQ","BEST_FPERIOD_OVERRIDE=FQ","FILING_STATUS=MR","SCALING_FORMAT=MLN","Sort=A","Dates=H","DateFormat=P","Fill=—","Direction=H","UseDPDF=Y")</f>
        <v>—</v>
      </c>
      <c r="H45" s="13" t="str">
        <f>_xll.BDH("AMGN US Equity","ARDR_ACQUIRED_IN_PROCESS_R&amp;D","FQ1 2020","FQ1 2020","Currency=USD","Period=FQ","BEST_FPERIOD_OVERRIDE=FQ","FILING_STATUS=MR","SCALING_FORMAT=MLN","Sort=A","Dates=H","DateFormat=P","Fill=—","Direction=H","UseDPDF=Y")</f>
        <v>—</v>
      </c>
      <c r="I45" s="13" t="str">
        <f>_xll.BDH("AMGN US Equity","ARDR_ACQUIRED_IN_PROCESS_R&amp;D","FQ2 2020","FQ2 2020","Currency=USD","Period=FQ","BEST_FPERIOD_OVERRIDE=FQ","FILING_STATUS=MR","SCALING_FORMAT=MLN","Sort=A","Dates=H","DateFormat=P","Fill=—","Direction=H","UseDPDF=Y")</f>
        <v>—</v>
      </c>
      <c r="J45" s="13" t="str">
        <f>_xll.BDH("AMGN US Equity","ARDR_ACQUIRED_IN_PROCESS_R&amp;D","FQ3 2020","FQ3 2020","Currency=USD","Period=FQ","BEST_FPERIOD_OVERRIDE=FQ","FILING_STATUS=MR","SCALING_FORMAT=MLN","Sort=A","Dates=H","DateFormat=P","Fill=—","Direction=H","UseDPDF=Y")</f>
        <v>—</v>
      </c>
      <c r="K45" s="13" t="str">
        <f>_xll.BDH("AMGN US Equity","ARDR_ACQUIRED_IN_PROCESS_R&amp;D","FQ4 2020","FQ4 2020","Currency=USD","Period=FQ","BEST_FPERIOD_OVERRIDE=FQ","FILING_STATUS=MR","SCALING_FORMAT=MLN","Sort=A","Dates=H","DateFormat=P","Fill=—","Direction=H","UseDPDF=Y")</f>
        <v>—</v>
      </c>
      <c r="L45" s="13" t="str">
        <f>_xll.BDH("AMGN US Equity","ARDR_ACQUIRED_IN_PROCESS_R&amp;D","FQ1 2021","FQ1 2021","Currency=USD","Period=FQ","BEST_FPERIOD_OVERRIDE=FQ","FILING_STATUS=MR","SCALING_FORMAT=MLN","Sort=A","Dates=H","DateFormat=P","Fill=—","Direction=H","UseDPDF=Y")</f>
        <v>—</v>
      </c>
      <c r="M45" s="13">
        <f>_xll.BDH("AMGN US Equity","ARDR_ACQUIRED_IN_PROCESS_R&amp;D","FQ2 2021","FQ2 2021","Currency=USD","Period=FQ","BEST_FPERIOD_OVERRIDE=FQ","FILING_STATUS=MR","SCALING_FORMAT=MLN","Sort=A","Dates=H","DateFormat=P","Fill=—","Direction=H","UseDPDF=Y")</f>
        <v>1505</v>
      </c>
      <c r="N45" s="13" t="str">
        <f>_xll.BDH("AMGN US Equity","ARDR_ACQUIRED_IN_PROCESS_R&amp;D","FQ3 2021","FQ3 2021","Currency=USD","Period=FQ","BEST_FPERIOD_OVERRIDE=FQ","FILING_STATUS=MR","SCALING_FORMAT=MLN","Sort=A","Dates=H","DateFormat=P","Fill=—","Direction=H","UseDPDF=Y")</f>
        <v>—</v>
      </c>
      <c r="O45" s="13" t="str">
        <f>_xll.BDH("AMGN US Equity","ARDR_ACQUIRED_IN_PROCESS_R&amp;D","FQ4 2021","FQ4 2021","Currency=USD","Period=FQ","BEST_FPERIOD_OVERRIDE=FQ","FILING_STATUS=MR","SCALING_FORMAT=MLN","Sort=A","Dates=H","DateFormat=P","Fill=—","Direction=H","UseDPDF=Y")</f>
        <v>—</v>
      </c>
      <c r="P45" s="13" t="str">
        <f>_xll.BDH("AMGN US Equity","ARDR_ACQUIRED_IN_PROCESS_R&amp;D","FQ1 2022","FQ1 2022","Currency=USD","Period=FQ","BEST_FPERIOD_OVERRIDE=FQ","FILING_STATUS=MR","SCALING_FORMAT=MLN","Sort=A","Dates=H","DateFormat=P","Fill=—","Direction=H","UseDPDF=Y")</f>
        <v>—</v>
      </c>
      <c r="Q45" s="13" t="str">
        <f>_xll.BDH("AMGN US Equity","ARDR_ACQUIRED_IN_PROCESS_R&amp;D","FQ2 2022","FQ2 2022","Currency=USD","Period=FQ","BEST_FPERIOD_OVERRIDE=FQ","FILING_STATUS=MR","SCALING_FORMAT=MLN","Sort=A","Dates=H","DateFormat=P","Fill=—","Direction=H","UseDPDF=Y")</f>
        <v>—</v>
      </c>
      <c r="R45" s="13" t="str">
        <f>_xll.BDH("AMGN US Equity","ARDR_ACQUIRED_IN_PROCESS_R&amp;D","FQ3 2022","FQ3 2022","Currency=USD","Period=FQ","BEST_FPERIOD_OVERRIDE=FQ","FILING_STATUS=MR","SCALING_FORMAT=MLN","Sort=A","Dates=H","DateFormat=P","Fill=—","Direction=H","UseDPDF=Y")</f>
        <v>—</v>
      </c>
      <c r="S45" s="13" t="str">
        <f>_xll.BDH("AMGN US Equity","ARDR_ACQUIRED_IN_PROCESS_R&amp;D","FQ4 2022","FQ4 2022","Currency=USD","Period=FQ","BEST_FPERIOD_OVERRIDE=FQ","FILING_STATUS=MR","SCALING_FORMAT=MLN","Sort=A","Dates=H","DateFormat=P","Fill=—","Direction=H","UseDPDF=Y")</f>
        <v>—</v>
      </c>
      <c r="T45" s="13" t="str">
        <f>_xll.BDH("AMGN US Equity","ARDR_ACQUIRED_IN_PROCESS_R&amp;D","FQ1 2023","FQ1 2023","Currency=USD","Period=FQ","BEST_FPERIOD_OVERRIDE=FQ","FILING_STATUS=MR","SCALING_FORMAT=MLN","Sort=A","Dates=H","DateFormat=P","Fill=—","Direction=H","UseDPDF=Y")</f>
        <v>—</v>
      </c>
      <c r="U45" s="13" t="str">
        <f>_xll.BDH("AMGN US Equity","ARDR_ACQUIRED_IN_PROCESS_R&amp;D","FQ2 2023","FQ2 2023","Currency=USD","Period=FQ","BEST_FPERIOD_OVERRIDE=FQ","FILING_STATUS=MR","SCALING_FORMAT=MLN","Sort=A","Dates=H","DateFormat=P","Fill=—","Direction=H","UseDPDF=Y")</f>
        <v>—</v>
      </c>
      <c r="V45" s="13" t="str">
        <f>_xll.BDH("AMGN US Equity","ARDR_ACQUIRED_IN_PROCESS_R&amp;D","FQ3 2023","FQ3 2023","Currency=USD","Period=FQ","BEST_FPERIOD_OVERRIDE=FQ","FILING_STATUS=MR","SCALING_FORMAT=MLN","Sort=A","Dates=H","DateFormat=P","Fill=—","Direction=H","UseDPDF=Y")</f>
        <v>—</v>
      </c>
      <c r="W45" s="13" t="str">
        <f>_xll.BDH("AMGN US Equity","ARDR_ACQUIRED_IN_PROCESS_R&amp;D","FQ4 2023","FQ4 2023","Currency=USD","Period=FQ","BEST_FPERIOD_OVERRIDE=FQ","FILING_STATUS=MR","SCALING_FORMAT=MLN","Sort=A","Dates=H","DateFormat=P","Fill=—","Direction=H","UseDPDF=Y")</f>
        <v>—</v>
      </c>
      <c r="X45" s="13" t="str">
        <f>_xll.BDH("AMGN US Equity","ARDR_ACQUIRED_IN_PROCESS_R&amp;D","FQ1 2024","FQ1 2024","Currency=USD","Period=FQ","BEST_FPERIOD_OVERRIDE=FQ","FILING_STATUS=MR","SCALING_FORMAT=MLN","Sort=A","Dates=H","DateFormat=P","Fill=—","Direction=H","UseDPDF=Y")</f>
        <v>—</v>
      </c>
      <c r="Y45" s="13" t="str">
        <f>_xll.BDH("AMGN US Equity","ARDR_ACQUIRED_IN_PROCESS_R&amp;D","FQ2 2024","FQ2 2024","Currency=USD","Period=FQ","BEST_FPERIOD_OVERRIDE=FQ","FILING_STATUS=MR","SCALING_FORMAT=MLN","Sort=A","Dates=H","DateFormat=P","Fill=—","Direction=H","UseDPDF=Y")</f>
        <v>—</v>
      </c>
      <c r="Z45" s="13" t="str">
        <f>_xll.BDH("AMGN US Equity","ARDR_ACQUIRED_IN_PROCESS_R&amp;D","FQ3 2024","FQ3 2024","Currency=USD","Period=FQ","BEST_FPERIOD_OVERRIDE=FQ","FILING_STATUS=MR","SCALING_FORMAT=MLN","Sort=A","Dates=H","DateFormat=P","Fill=—","Direction=H","UseDPDF=Y")</f>
        <v>—</v>
      </c>
      <c r="AA45" s="13" t="str">
        <f>_xll.BDH("AMGN US Equity","ARDR_ACQUIRED_IN_PROCESS_R&amp;D","FQ4 2024","FQ4 2024","Currency=USD","Period=FQ","BEST_FPERIOD_OVERRIDE=FQ","FILING_STATUS=MR","SCALING_FORMAT=MLN","Sort=A","Dates=H","DateFormat=P","Fill=—","Direction=H","UseDPDF=Y")</f>
        <v>—</v>
      </c>
    </row>
    <row r="46" spans="1:27" x14ac:dyDescent="0.25">
      <c r="A46" s="10" t="s">
        <v>479</v>
      </c>
      <c r="B46" s="10" t="s">
        <v>480</v>
      </c>
      <c r="C46" s="13" t="str">
        <f>_xll.BDH("AMGN US Equity","ARDR_WRITEDOWN_IMPAIR_OF_ASSETS","FQ4 2018","FQ4 2018","Currency=USD","Period=FQ","BEST_FPERIOD_OVERRIDE=FQ","FILING_STATUS=MR","SCALING_FORMAT=MLN","Sort=A","Dates=H","DateFormat=P","Fill=—","Direction=H","UseDPDF=Y")</f>
        <v>—</v>
      </c>
      <c r="D46" s="13" t="str">
        <f>_xll.BDH("AMGN US Equity","ARDR_WRITEDOWN_IMPAIR_OF_ASSETS","FQ1 2019","FQ1 2019","Currency=USD","Period=FQ","BEST_FPERIOD_OVERRIDE=FQ","FILING_STATUS=MR","SCALING_FORMAT=MLN","Sort=A","Dates=H","DateFormat=P","Fill=—","Direction=H","UseDPDF=Y")</f>
        <v>—</v>
      </c>
      <c r="E46" s="13" t="str">
        <f>_xll.BDH("AMGN US Equity","ARDR_WRITEDOWN_IMPAIR_OF_ASSETS","FQ2 2019","FQ2 2019","Currency=USD","Period=FQ","BEST_FPERIOD_OVERRIDE=FQ","FILING_STATUS=MR","SCALING_FORMAT=MLN","Sort=A","Dates=H","DateFormat=P","Fill=—","Direction=H","UseDPDF=Y")</f>
        <v>—</v>
      </c>
      <c r="F46" s="13" t="str">
        <f>_xll.BDH("AMGN US Equity","ARDR_WRITEDOWN_IMPAIR_OF_ASSETS","FQ3 2019","FQ3 2019","Currency=USD","Period=FQ","BEST_FPERIOD_OVERRIDE=FQ","FILING_STATUS=MR","SCALING_FORMAT=MLN","Sort=A","Dates=H","DateFormat=P","Fill=—","Direction=H","UseDPDF=Y")</f>
        <v>—</v>
      </c>
      <c r="G46" s="13" t="str">
        <f>_xll.BDH("AMGN US Equity","ARDR_WRITEDOWN_IMPAIR_OF_ASSETS","FQ4 2019","FQ4 2019","Currency=USD","Period=FQ","BEST_FPERIOD_OVERRIDE=FQ","FILING_STATUS=MR","SCALING_FORMAT=MLN","Sort=A","Dates=H","DateFormat=P","Fill=—","Direction=H","UseDPDF=Y")</f>
        <v>—</v>
      </c>
      <c r="H46" s="13" t="str">
        <f>_xll.BDH("AMGN US Equity","ARDR_WRITEDOWN_IMPAIR_OF_ASSETS","FQ1 2020","FQ1 2020","Currency=USD","Period=FQ","BEST_FPERIOD_OVERRIDE=FQ","FILING_STATUS=MR","SCALING_FORMAT=MLN","Sort=A","Dates=H","DateFormat=P","Fill=—","Direction=H","UseDPDF=Y")</f>
        <v>—</v>
      </c>
      <c r="I46" s="13" t="str">
        <f>_xll.BDH("AMGN US Equity","ARDR_WRITEDOWN_IMPAIR_OF_ASSETS","FQ2 2020","FQ2 2020","Currency=USD","Period=FQ","BEST_FPERIOD_OVERRIDE=FQ","FILING_STATUS=MR","SCALING_FORMAT=MLN","Sort=A","Dates=H","DateFormat=P","Fill=—","Direction=H","UseDPDF=Y")</f>
        <v>—</v>
      </c>
      <c r="J46" s="13" t="str">
        <f>_xll.BDH("AMGN US Equity","ARDR_WRITEDOWN_IMPAIR_OF_ASSETS","FQ3 2020","FQ3 2020","Currency=USD","Period=FQ","BEST_FPERIOD_OVERRIDE=FQ","FILING_STATUS=MR","SCALING_FORMAT=MLN","Sort=A","Dates=H","DateFormat=P","Fill=—","Direction=H","UseDPDF=Y")</f>
        <v>—</v>
      </c>
      <c r="K46" s="13" t="str">
        <f>_xll.BDH("AMGN US Equity","ARDR_WRITEDOWN_IMPAIR_OF_ASSETS","FQ4 2020","FQ4 2020","Currency=USD","Period=FQ","BEST_FPERIOD_OVERRIDE=FQ","FILING_STATUS=MR","SCALING_FORMAT=MLN","Sort=A","Dates=H","DateFormat=P","Fill=—","Direction=H","UseDPDF=Y")</f>
        <v>—</v>
      </c>
      <c r="L46" s="13">
        <f>_xll.BDH("AMGN US Equity","ARDR_WRITEDOWN_IMPAIR_OF_ASSETS","FQ1 2021","FQ1 2021","Currency=USD","Period=FQ","BEST_FPERIOD_OVERRIDE=FQ","FILING_STATUS=MR","SCALING_FORMAT=MLN","Sort=A","Dates=H","DateFormat=P","Fill=—","Direction=H","UseDPDF=Y")</f>
        <v>9</v>
      </c>
      <c r="M46" s="13" t="str">
        <f>_xll.BDH("AMGN US Equity","ARDR_WRITEDOWN_IMPAIR_OF_ASSETS","FQ2 2021","FQ2 2021","Currency=USD","Period=FQ","BEST_FPERIOD_OVERRIDE=FQ","FILING_STATUS=MR","SCALING_FORMAT=MLN","Sort=A","Dates=H","DateFormat=P","Fill=—","Direction=H","UseDPDF=Y")</f>
        <v>—</v>
      </c>
      <c r="N46" s="13" t="str">
        <f>_xll.BDH("AMGN US Equity","ARDR_WRITEDOWN_IMPAIR_OF_ASSETS","FQ3 2021","FQ3 2021","Currency=USD","Period=FQ","BEST_FPERIOD_OVERRIDE=FQ","FILING_STATUS=MR","SCALING_FORMAT=MLN","Sort=A","Dates=H","DateFormat=P","Fill=—","Direction=H","UseDPDF=Y")</f>
        <v>—</v>
      </c>
      <c r="O46" s="13" t="str">
        <f>_xll.BDH("AMGN US Equity","ARDR_WRITEDOWN_IMPAIR_OF_ASSETS","FQ4 2021","FQ4 2021","Currency=USD","Period=FQ","BEST_FPERIOD_OVERRIDE=FQ","FILING_STATUS=MR","SCALING_FORMAT=MLN","Sort=A","Dates=H","DateFormat=P","Fill=—","Direction=H","UseDPDF=Y")</f>
        <v>—</v>
      </c>
      <c r="P46" s="13">
        <f>_xll.BDH("AMGN US Equity","ARDR_WRITEDOWN_IMPAIR_OF_ASSETS","FQ1 2022","FQ1 2022","Currency=USD","Period=FQ","BEST_FPERIOD_OVERRIDE=FQ","FILING_STATUS=MR","SCALING_FORMAT=MLN","Sort=A","Dates=H","DateFormat=P","Fill=—","Direction=H","UseDPDF=Y")</f>
        <v>-12</v>
      </c>
      <c r="Q46" s="13" t="str">
        <f>_xll.BDH("AMGN US Equity","ARDR_WRITEDOWN_IMPAIR_OF_ASSETS","FQ2 2022","FQ2 2022","Currency=USD","Period=FQ","BEST_FPERIOD_OVERRIDE=FQ","FILING_STATUS=MR","SCALING_FORMAT=MLN","Sort=A","Dates=H","DateFormat=P","Fill=—","Direction=H","UseDPDF=Y")</f>
        <v>—</v>
      </c>
      <c r="R46" s="13" t="str">
        <f>_xll.BDH("AMGN US Equity","ARDR_WRITEDOWN_IMPAIR_OF_ASSETS","FQ3 2022","FQ3 2022","Currency=USD","Period=FQ","BEST_FPERIOD_OVERRIDE=FQ","FILING_STATUS=MR","SCALING_FORMAT=MLN","Sort=A","Dates=H","DateFormat=P","Fill=—","Direction=H","UseDPDF=Y")</f>
        <v>—</v>
      </c>
      <c r="S46" s="13" t="str">
        <f>_xll.BDH("AMGN US Equity","ARDR_WRITEDOWN_IMPAIR_OF_ASSETS","FQ4 2022","FQ4 2022","Currency=USD","Period=FQ","BEST_FPERIOD_OVERRIDE=FQ","FILING_STATUS=MR","SCALING_FORMAT=MLN","Sort=A","Dates=H","DateFormat=P","Fill=—","Direction=H","UseDPDF=Y")</f>
        <v>—</v>
      </c>
      <c r="T46" s="13">
        <f>_xll.BDH("AMGN US Equity","ARDR_WRITEDOWN_IMPAIR_OF_ASSETS","FQ1 2023","FQ1 2023","Currency=USD","Period=FQ","BEST_FPERIOD_OVERRIDE=FQ","FILING_STATUS=MR","SCALING_FORMAT=MLN","Sort=A","Dates=H","DateFormat=P","Fill=—","Direction=H","UseDPDF=Y")</f>
        <v>7</v>
      </c>
      <c r="U46" s="13" t="str">
        <f>_xll.BDH("AMGN US Equity","ARDR_WRITEDOWN_IMPAIR_OF_ASSETS","FQ2 2023","FQ2 2023","Currency=USD","Period=FQ","BEST_FPERIOD_OVERRIDE=FQ","FILING_STATUS=MR","SCALING_FORMAT=MLN","Sort=A","Dates=H","DateFormat=P","Fill=—","Direction=H","UseDPDF=Y")</f>
        <v>—</v>
      </c>
      <c r="V46" s="13" t="str">
        <f>_xll.BDH("AMGN US Equity","ARDR_WRITEDOWN_IMPAIR_OF_ASSETS","FQ3 2023","FQ3 2023","Currency=USD","Period=FQ","BEST_FPERIOD_OVERRIDE=FQ","FILING_STATUS=MR","SCALING_FORMAT=MLN","Sort=A","Dates=H","DateFormat=P","Fill=—","Direction=H","UseDPDF=Y")</f>
        <v>—</v>
      </c>
      <c r="W46" s="13">
        <f>_xll.BDH("AMGN US Equity","ARDR_WRITEDOWN_IMPAIR_OF_ASSETS","FQ4 2023","FQ4 2023","Currency=USD","Period=FQ","BEST_FPERIOD_OVERRIDE=FQ","FILING_STATUS=MR","SCALING_FORMAT=MLN","Sort=A","Dates=H","DateFormat=P","Fill=—","Direction=H","UseDPDF=Y")</f>
        <v>3</v>
      </c>
      <c r="X46" s="13">
        <f>_xll.BDH("AMGN US Equity","ARDR_WRITEDOWN_IMPAIR_OF_ASSETS","FQ1 2024","FQ1 2024","Currency=USD","Period=FQ","BEST_FPERIOD_OVERRIDE=FQ","FILING_STATUS=MR","SCALING_FORMAT=MLN","Sort=A","Dates=H","DateFormat=P","Fill=—","Direction=H","UseDPDF=Y")</f>
        <v>106</v>
      </c>
      <c r="Y46" s="13" t="str">
        <f>_xll.BDH("AMGN US Equity","ARDR_WRITEDOWN_IMPAIR_OF_ASSETS","FQ2 2024","FQ2 2024","Currency=USD","Period=FQ","BEST_FPERIOD_OVERRIDE=FQ","FILING_STATUS=MR","SCALING_FORMAT=MLN","Sort=A","Dates=H","DateFormat=P","Fill=—","Direction=H","UseDPDF=Y")</f>
        <v>—</v>
      </c>
      <c r="Z46" s="13" t="str">
        <f>_xll.BDH("AMGN US Equity","ARDR_WRITEDOWN_IMPAIR_OF_ASSETS","FQ3 2024","FQ3 2024","Currency=USD","Period=FQ","BEST_FPERIOD_OVERRIDE=FQ","FILING_STATUS=MR","SCALING_FORMAT=MLN","Sort=A","Dates=H","DateFormat=P","Fill=—","Direction=H","UseDPDF=Y")</f>
        <v>—</v>
      </c>
      <c r="AA46" s="13">
        <f>_xll.BDH("AMGN US Equity","ARDR_WRITEDOWN_IMPAIR_OF_ASSETS","FQ4 2024","FQ4 2024","Currency=USD","Period=FQ","BEST_FPERIOD_OVERRIDE=FQ","FILING_STATUS=MR","SCALING_FORMAT=MLN","Sort=A","Dates=H","DateFormat=P","Fill=—","Direction=H","UseDPDF=Y")</f>
        <v>21</v>
      </c>
    </row>
    <row r="47" spans="1:27" x14ac:dyDescent="0.25">
      <c r="A47" s="10" t="s">
        <v>481</v>
      </c>
      <c r="B47" s="10" t="s">
        <v>482</v>
      </c>
      <c r="C47" s="13">
        <f>_xll.BDH("AMGN US Equity","ARDR_RESTRUCTURING_CHARGES","FQ4 2018","FQ4 2018","Currency=USD","Period=FQ","BEST_FPERIOD_OVERRIDE=FQ","FILING_STATUS=MR","SCALING_FORMAT=MLN","Sort=A","Dates=H","DateFormat=P","Fill=—","Direction=H","UseDPDF=Y")</f>
        <v>11</v>
      </c>
      <c r="D47" s="13">
        <f>_xll.BDH("AMGN US Equity","ARDR_RESTRUCTURING_CHARGES","FQ1 2019","FQ1 2019","Currency=USD","Period=FQ","BEST_FPERIOD_OVERRIDE=FQ","FILING_STATUS=MR","SCALING_FORMAT=MLN","Sort=A","Dates=H","DateFormat=P","Fill=—","Direction=H","UseDPDF=Y")</f>
        <v>0</v>
      </c>
      <c r="E47" s="13">
        <f>_xll.BDH("AMGN US Equity","ARDR_RESTRUCTURING_CHARGES","FQ2 2019","FQ2 2019","Currency=USD","Period=FQ","BEST_FPERIOD_OVERRIDE=FQ","FILING_STATUS=MR","SCALING_FORMAT=MLN","Sort=A","Dates=H","DateFormat=P","Fill=—","Direction=H","UseDPDF=Y")</f>
        <v>-1</v>
      </c>
      <c r="F47" s="13">
        <f>_xll.BDH("AMGN US Equity","ARDR_RESTRUCTURING_CHARGES","FQ3 2019","FQ3 2019","Currency=USD","Period=FQ","BEST_FPERIOD_OVERRIDE=FQ","FILING_STATUS=MR","SCALING_FORMAT=MLN","Sort=A","Dates=H","DateFormat=P","Fill=—","Direction=H","UseDPDF=Y")</f>
        <v>-1</v>
      </c>
      <c r="G47" s="13">
        <f>_xll.BDH("AMGN US Equity","ARDR_RESTRUCTURING_CHARGES","FQ4 2019","FQ4 2019","Currency=USD","Period=FQ","BEST_FPERIOD_OVERRIDE=FQ","FILING_STATUS=MR","SCALING_FORMAT=MLN","Sort=A","Dates=H","DateFormat=P","Fill=—","Direction=H","UseDPDF=Y")</f>
        <v>48</v>
      </c>
      <c r="H47" s="13">
        <f>_xll.BDH("AMGN US Equity","ARDR_RESTRUCTURING_CHARGES","FQ1 2020","FQ1 2020","Currency=USD","Period=FQ","BEST_FPERIOD_OVERRIDE=FQ","FILING_STATUS=MR","SCALING_FORMAT=MLN","Sort=A","Dates=H","DateFormat=P","Fill=—","Direction=H","UseDPDF=Y")</f>
        <v>-2</v>
      </c>
      <c r="I47" s="13">
        <f>_xll.BDH("AMGN US Equity","ARDR_RESTRUCTURING_CHARGES","FQ2 2020","FQ2 2020","Currency=USD","Period=FQ","BEST_FPERIOD_OVERRIDE=FQ","FILING_STATUS=MR","SCALING_FORMAT=MLN","Sort=A","Dates=H","DateFormat=P","Fill=—","Direction=H","UseDPDF=Y")</f>
        <v>-2</v>
      </c>
      <c r="J47" s="13">
        <f>_xll.BDH("AMGN US Equity","ARDR_RESTRUCTURING_CHARGES","FQ3 2020","FQ3 2020","Currency=USD","Period=FQ","BEST_FPERIOD_OVERRIDE=FQ","FILING_STATUS=MR","SCALING_FORMAT=MLN","Sort=A","Dates=H","DateFormat=P","Fill=—","Direction=H","UseDPDF=Y")</f>
        <v>1</v>
      </c>
      <c r="K47" s="13">
        <f>_xll.BDH("AMGN US Equity","ARDR_RESTRUCTURING_CHARGES","FQ4 2020","FQ4 2020","Currency=USD","Period=FQ","BEST_FPERIOD_OVERRIDE=FQ","FILING_STATUS=MR","SCALING_FORMAT=MLN","Sort=A","Dates=H","DateFormat=P","Fill=—","Direction=H","UseDPDF=Y")</f>
        <v>0</v>
      </c>
      <c r="L47" s="13" t="str">
        <f>_xll.BDH("AMGN US Equity","ARDR_RESTRUCTURING_CHARGES","FQ1 2021","FQ1 2021","Currency=USD","Period=FQ","BEST_FPERIOD_OVERRIDE=FQ","FILING_STATUS=MR","SCALING_FORMAT=MLN","Sort=A","Dates=H","DateFormat=P","Fill=—","Direction=H","UseDPDF=Y")</f>
        <v>—</v>
      </c>
      <c r="M47" s="13">
        <f>_xll.BDH("AMGN US Equity","ARDR_RESTRUCTURING_CHARGES","FQ2 2021","FQ2 2021","Currency=USD","Period=FQ","BEST_FPERIOD_OVERRIDE=FQ","FILING_STATUS=MR","SCALING_FORMAT=MLN","Sort=A","Dates=H","DateFormat=P","Fill=—","Direction=H","UseDPDF=Y")</f>
        <v>76</v>
      </c>
      <c r="N47" s="13" t="str">
        <f>_xll.BDH("AMGN US Equity","ARDR_RESTRUCTURING_CHARGES","FQ3 2021","FQ3 2021","Currency=USD","Period=FQ","BEST_FPERIOD_OVERRIDE=FQ","FILING_STATUS=MR","SCALING_FORMAT=MLN","Sort=A","Dates=H","DateFormat=P","Fill=—","Direction=H","UseDPDF=Y")</f>
        <v>—</v>
      </c>
      <c r="O47" s="13">
        <f>_xll.BDH("AMGN US Equity","ARDR_RESTRUCTURING_CHARGES","FQ4 2021","FQ4 2021","Currency=USD","Period=FQ","BEST_FPERIOD_OVERRIDE=FQ","FILING_STATUS=MR","SCALING_FORMAT=MLN","Sort=A","Dates=H","DateFormat=P","Fill=—","Direction=H","UseDPDF=Y")</f>
        <v>1</v>
      </c>
      <c r="P47" s="13" t="str">
        <f>_xll.BDH("AMGN US Equity","ARDR_RESTRUCTURING_CHARGES","FQ1 2022","FQ1 2022","Currency=USD","Period=FQ","BEST_FPERIOD_OVERRIDE=FQ","FILING_STATUS=MR","SCALING_FORMAT=MLN","Sort=A","Dates=H","DateFormat=P","Fill=—","Direction=H","UseDPDF=Y")</f>
        <v>—</v>
      </c>
      <c r="Q47" s="13">
        <f>_xll.BDH("AMGN US Equity","ARDR_RESTRUCTURING_CHARGES","FQ2 2022","FQ2 2022","Currency=USD","Period=FQ","BEST_FPERIOD_OVERRIDE=FQ","FILING_STATUS=MR","SCALING_FORMAT=MLN","Sort=A","Dates=H","DateFormat=P","Fill=—","Direction=H","UseDPDF=Y")</f>
        <v>-1</v>
      </c>
      <c r="R47" s="13" t="str">
        <f>_xll.BDH("AMGN US Equity","ARDR_RESTRUCTURING_CHARGES","FQ3 2022","FQ3 2022","Currency=USD","Period=FQ","BEST_FPERIOD_OVERRIDE=FQ","FILING_STATUS=MR","SCALING_FORMAT=MLN","Sort=A","Dates=H","DateFormat=P","Fill=—","Direction=H","UseDPDF=Y")</f>
        <v>—</v>
      </c>
      <c r="S47" s="13" t="str">
        <f>_xll.BDH("AMGN US Equity","ARDR_RESTRUCTURING_CHARGES","FQ4 2022","FQ4 2022","Currency=USD","Period=FQ","BEST_FPERIOD_OVERRIDE=FQ","FILING_STATUS=MR","SCALING_FORMAT=MLN","Sort=A","Dates=H","DateFormat=P","Fill=—","Direction=H","UseDPDF=Y")</f>
        <v>—</v>
      </c>
      <c r="T47" s="13" t="str">
        <f>_xll.BDH("AMGN US Equity","ARDR_RESTRUCTURING_CHARGES","FQ1 2023","FQ1 2023","Currency=USD","Period=FQ","BEST_FPERIOD_OVERRIDE=FQ","FILING_STATUS=MR","SCALING_FORMAT=MLN","Sort=A","Dates=H","DateFormat=P","Fill=—","Direction=H","UseDPDF=Y")</f>
        <v>—</v>
      </c>
      <c r="U47" s="13">
        <f>_xll.BDH("AMGN US Equity","ARDR_RESTRUCTURING_CHARGES","FQ2 2023","FQ2 2023","Currency=USD","Period=FQ","BEST_FPERIOD_OVERRIDE=FQ","FILING_STATUS=MR","SCALING_FORMAT=MLN","Sort=A","Dates=H","DateFormat=P","Fill=—","Direction=H","UseDPDF=Y")</f>
        <v>25</v>
      </c>
      <c r="V47" s="13">
        <f>_xll.BDH("AMGN US Equity","ARDR_RESTRUCTURING_CHARGES","FQ3 2023","FQ3 2023","Currency=USD","Period=FQ","BEST_FPERIOD_OVERRIDE=FQ","FILING_STATUS=MR","SCALING_FORMAT=MLN","Sort=A","Dates=H","DateFormat=P","Fill=—","Direction=H","UseDPDF=Y")</f>
        <v>16</v>
      </c>
      <c r="W47" s="13">
        <f>_xll.BDH("AMGN US Equity","ARDR_RESTRUCTURING_CHARGES","FQ4 2023","FQ4 2023","Currency=USD","Period=FQ","BEST_FPERIOD_OVERRIDE=FQ","FILING_STATUS=MR","SCALING_FORMAT=MLN","Sort=A","Dates=H","DateFormat=P","Fill=—","Direction=H","UseDPDF=Y")</f>
        <v>14</v>
      </c>
      <c r="X47" s="13" t="str">
        <f>_xll.BDH("AMGN US Equity","ARDR_RESTRUCTURING_CHARGES","FQ1 2024","FQ1 2024","Currency=USD","Period=FQ","BEST_FPERIOD_OVERRIDE=FQ","FILING_STATUS=MR","SCALING_FORMAT=MLN","Sort=A","Dates=H","DateFormat=P","Fill=—","Direction=H","UseDPDF=Y")</f>
        <v>—</v>
      </c>
      <c r="Y47" s="13">
        <f>_xll.BDH("AMGN US Equity","ARDR_RESTRUCTURING_CHARGES","FQ2 2024","FQ2 2024","Currency=USD","Period=FQ","BEST_FPERIOD_OVERRIDE=FQ","FILING_STATUS=MR","SCALING_FORMAT=MLN","Sort=A","Dates=H","DateFormat=P","Fill=—","Direction=H","UseDPDF=Y")</f>
        <v>-3</v>
      </c>
      <c r="Z47" s="13" t="str">
        <f>_xll.BDH("AMGN US Equity","ARDR_RESTRUCTURING_CHARGES","FQ3 2024","FQ3 2024","Currency=USD","Period=FQ","BEST_FPERIOD_OVERRIDE=FQ","FILING_STATUS=MR","SCALING_FORMAT=MLN","Sort=A","Dates=H","DateFormat=P","Fill=—","Direction=H","UseDPDF=Y")</f>
        <v>—</v>
      </c>
      <c r="AA47" s="13" t="str">
        <f>_xll.BDH("AMGN US Equity","ARDR_RESTRUCTURING_CHARGES","FQ4 2024","FQ4 2024","Currency=USD","Period=FQ","BEST_FPERIOD_OVERRIDE=FQ","FILING_STATUS=MR","SCALING_FORMAT=MLN","Sort=A","Dates=H","DateFormat=P","Fill=—","Direction=H","UseDPDF=Y")</f>
        <v>—</v>
      </c>
    </row>
    <row r="48" spans="1:27" x14ac:dyDescent="0.25">
      <c r="A48" s="10" t="s">
        <v>483</v>
      </c>
      <c r="B48" s="10" t="s">
        <v>484</v>
      </c>
      <c r="C48" s="13" t="str">
        <f>_xll.BDH("AMGN US Equity","ARDR_OTHER_ONE_TIME_CHARGES","FQ4 2018","FQ4 2018","Currency=USD","Period=FQ","BEST_FPERIOD_OVERRIDE=FQ","FILING_STATUS=MR","SCALING_FORMAT=MLN","Sort=A","Dates=H","DateFormat=P","Fill=—","Direction=H","UseDPDF=Y")</f>
        <v>—</v>
      </c>
      <c r="D48" s="13" t="str">
        <f>_xll.BDH("AMGN US Equity","ARDR_OTHER_ONE_TIME_CHARGES","FQ1 2019","FQ1 2019","Currency=USD","Period=FQ","BEST_FPERIOD_OVERRIDE=FQ","FILING_STATUS=MR","SCALING_FORMAT=MLN","Sort=A","Dates=H","DateFormat=P","Fill=—","Direction=H","UseDPDF=Y")</f>
        <v>—</v>
      </c>
      <c r="E48" s="13" t="str">
        <f>_xll.BDH("AMGN US Equity","ARDR_OTHER_ONE_TIME_CHARGES","FQ2 2019","FQ2 2019","Currency=USD","Period=FQ","BEST_FPERIOD_OVERRIDE=FQ","FILING_STATUS=MR","SCALING_FORMAT=MLN","Sort=A","Dates=H","DateFormat=P","Fill=—","Direction=H","UseDPDF=Y")</f>
        <v>—</v>
      </c>
      <c r="F48" s="13" t="str">
        <f>_xll.BDH("AMGN US Equity","ARDR_OTHER_ONE_TIME_CHARGES","FQ3 2019","FQ3 2019","Currency=USD","Period=FQ","BEST_FPERIOD_OVERRIDE=FQ","FILING_STATUS=MR","SCALING_FORMAT=MLN","Sort=A","Dates=H","DateFormat=P","Fill=—","Direction=H","UseDPDF=Y")</f>
        <v>—</v>
      </c>
      <c r="G48" s="13">
        <f>_xll.BDH("AMGN US Equity","ARDR_OTHER_ONE_TIME_CHARGES","FQ4 2019","FQ4 2019","Currency=USD","Period=FQ","BEST_FPERIOD_OVERRIDE=FQ","FILING_STATUS=MR","SCALING_FORMAT=MLN","Sort=A","Dates=H","DateFormat=P","Fill=—","Direction=H","UseDPDF=Y")</f>
        <v>0</v>
      </c>
      <c r="H48" s="13" t="str">
        <f>_xll.BDH("AMGN US Equity","ARDR_OTHER_ONE_TIME_CHARGES","FQ1 2020","FQ1 2020","Currency=USD","Period=FQ","BEST_FPERIOD_OVERRIDE=FQ","FILING_STATUS=MR","SCALING_FORMAT=MLN","Sort=A","Dates=H","DateFormat=P","Fill=—","Direction=H","UseDPDF=Y")</f>
        <v>—</v>
      </c>
      <c r="I48" s="13" t="str">
        <f>_xll.BDH("AMGN US Equity","ARDR_OTHER_ONE_TIME_CHARGES","FQ2 2020","FQ2 2020","Currency=USD","Period=FQ","BEST_FPERIOD_OVERRIDE=FQ","FILING_STATUS=MR","SCALING_FORMAT=MLN","Sort=A","Dates=H","DateFormat=P","Fill=—","Direction=H","UseDPDF=Y")</f>
        <v>—</v>
      </c>
      <c r="J48" s="13">
        <f>_xll.BDH("AMGN US Equity","ARDR_OTHER_ONE_TIME_CHARGES","FQ3 2020","FQ3 2020","Currency=USD","Period=FQ","BEST_FPERIOD_OVERRIDE=FQ","FILING_STATUS=MR","SCALING_FORMAT=MLN","Sort=A","Dates=H","DateFormat=P","Fill=—","Direction=H","UseDPDF=Y")</f>
        <v>1</v>
      </c>
      <c r="K48" s="13" t="str">
        <f>_xll.BDH("AMGN US Equity","ARDR_OTHER_ONE_TIME_CHARGES","FQ4 2020","FQ4 2020","Currency=USD","Period=FQ","BEST_FPERIOD_OVERRIDE=FQ","FILING_STATUS=MR","SCALING_FORMAT=MLN","Sort=A","Dates=H","DateFormat=P","Fill=—","Direction=H","UseDPDF=Y")</f>
        <v>—</v>
      </c>
      <c r="L48" s="13">
        <f>_xll.BDH("AMGN US Equity","ARDR_OTHER_ONE_TIME_CHARGES","FQ1 2021","FQ1 2021","Currency=USD","Period=FQ","BEST_FPERIOD_OVERRIDE=FQ","FILING_STATUS=MR","SCALING_FORMAT=MLN","Sort=A","Dates=H","DateFormat=P","Fill=—","Direction=H","UseDPDF=Y")</f>
        <v>68</v>
      </c>
      <c r="M48" s="13">
        <f>_xll.BDH("AMGN US Equity","ARDR_OTHER_ONE_TIME_CHARGES","FQ2 2021","FQ2 2021","Currency=USD","Period=FQ","BEST_FPERIOD_OVERRIDE=FQ","FILING_STATUS=MR","SCALING_FORMAT=MLN","Sort=A","Dates=H","DateFormat=P","Fill=—","Direction=H","UseDPDF=Y")</f>
        <v>5</v>
      </c>
      <c r="N48" s="13">
        <f>_xll.BDH("AMGN US Equity","ARDR_OTHER_ONE_TIME_CHARGES","FQ3 2021","FQ3 2021","Currency=USD","Period=FQ","BEST_FPERIOD_OVERRIDE=FQ","FILING_STATUS=MR","SCALING_FORMAT=MLN","Sort=A","Dates=H","DateFormat=P","Fill=—","Direction=H","UseDPDF=Y")</f>
        <v>27</v>
      </c>
      <c r="O48" s="13">
        <f>_xll.BDH("AMGN US Equity","ARDR_OTHER_ONE_TIME_CHARGES","FQ4 2021","FQ4 2021","Currency=USD","Period=FQ","BEST_FPERIOD_OVERRIDE=FQ","FILING_STATUS=MR","SCALING_FORMAT=MLN","Sort=A","Dates=H","DateFormat=P","Fill=—","Direction=H","UseDPDF=Y")</f>
        <v>-23</v>
      </c>
      <c r="P48" s="13">
        <f>_xll.BDH("AMGN US Equity","ARDR_OTHER_ONE_TIME_CHARGES","FQ1 2022","FQ1 2022","Currency=USD","Period=FQ","BEST_FPERIOD_OVERRIDE=FQ","FILING_STATUS=MR","SCALING_FORMAT=MLN","Sort=A","Dates=H","DateFormat=P","Fill=—","Direction=H","UseDPDF=Y")</f>
        <v>2</v>
      </c>
      <c r="Q48" s="13" t="str">
        <f>_xll.BDH("AMGN US Equity","ARDR_OTHER_ONE_TIME_CHARGES","FQ2 2022","FQ2 2022","Currency=USD","Period=FQ","BEST_FPERIOD_OVERRIDE=FQ","FILING_STATUS=MR","SCALING_FORMAT=MLN","Sort=A","Dates=H","DateFormat=P","Fill=—","Direction=H","UseDPDF=Y")</f>
        <v>—</v>
      </c>
      <c r="R48" s="13">
        <f>_xll.BDH("AMGN US Equity","ARDR_OTHER_ONE_TIME_CHARGES","FQ3 2022","FQ3 2022","Currency=USD","Period=FQ","BEST_FPERIOD_OVERRIDE=FQ","FILING_STATUS=MR","SCALING_FORMAT=MLN","Sort=A","Dates=H","DateFormat=P","Fill=—","Direction=H","UseDPDF=Y")</f>
        <v>5</v>
      </c>
      <c r="S48" s="13">
        <f>_xll.BDH("AMGN US Equity","ARDR_OTHER_ONE_TIME_CHARGES","FQ4 2022","FQ4 2022","Currency=USD","Period=FQ","BEST_FPERIOD_OVERRIDE=FQ","FILING_STATUS=MR","SCALING_FORMAT=MLN","Sort=A","Dates=H","DateFormat=P","Fill=—","Direction=H","UseDPDF=Y")</f>
        <v>-1</v>
      </c>
      <c r="T48" s="13">
        <f>_xll.BDH("AMGN US Equity","ARDR_OTHER_ONE_TIME_CHARGES","FQ1 2023","FQ1 2023","Currency=USD","Period=FQ","BEST_FPERIOD_OVERRIDE=FQ","FILING_STATUS=MR","SCALING_FORMAT=MLN","Sort=A","Dates=H","DateFormat=P","Fill=—","Direction=H","UseDPDF=Y")</f>
        <v>141</v>
      </c>
      <c r="U48" s="13">
        <f>_xll.BDH("AMGN US Equity","ARDR_OTHER_ONE_TIME_CHARGES","FQ2 2023","FQ2 2023","Currency=USD","Period=FQ","BEST_FPERIOD_OVERRIDE=FQ","FILING_STATUS=MR","SCALING_FORMAT=MLN","Sort=A","Dates=H","DateFormat=P","Fill=—","Direction=H","UseDPDF=Y")</f>
        <v>17</v>
      </c>
      <c r="V48" s="13">
        <f>_xll.BDH("AMGN US Equity","ARDR_OTHER_ONE_TIME_CHARGES","FQ3 2023","FQ3 2023","Currency=USD","Period=FQ","BEST_FPERIOD_OVERRIDE=FQ","FILING_STATUS=MR","SCALING_FORMAT=MLN","Sort=A","Dates=H","DateFormat=P","Fill=—","Direction=H","UseDPDF=Y")</f>
        <v>628</v>
      </c>
      <c r="W48" s="13" t="str">
        <f>_xll.BDH("AMGN US Equity","ARDR_OTHER_ONE_TIME_CHARGES","FQ4 2023","FQ4 2023","Currency=USD","Period=FQ","BEST_FPERIOD_OVERRIDE=FQ","FILING_STATUS=MR","SCALING_FORMAT=MLN","Sort=A","Dates=H","DateFormat=P","Fill=—","Direction=H","UseDPDF=Y")</f>
        <v>—</v>
      </c>
      <c r="X48" s="13">
        <f>_xll.BDH("AMGN US Equity","ARDR_OTHER_ONE_TIME_CHARGES","FQ1 2024","FQ1 2024","Currency=USD","Period=FQ","BEST_FPERIOD_OVERRIDE=FQ","FILING_STATUS=MR","SCALING_FORMAT=MLN","Sort=A","Dates=H","DateFormat=P","Fill=—","Direction=H","UseDPDF=Y")</f>
        <v>-1</v>
      </c>
      <c r="Y48" s="13" t="str">
        <f>_xll.BDH("AMGN US Equity","ARDR_OTHER_ONE_TIME_CHARGES","FQ2 2024","FQ2 2024","Currency=USD","Period=FQ","BEST_FPERIOD_OVERRIDE=FQ","FILING_STATUS=MR","SCALING_FORMAT=MLN","Sort=A","Dates=H","DateFormat=P","Fill=—","Direction=H","UseDPDF=Y")</f>
        <v>—</v>
      </c>
      <c r="Z48" s="13" t="str">
        <f>_xll.BDH("AMGN US Equity","ARDR_OTHER_ONE_TIME_CHARGES","FQ3 2024","FQ3 2024","Currency=USD","Period=FQ","BEST_FPERIOD_OVERRIDE=FQ","FILING_STATUS=MR","SCALING_FORMAT=MLN","Sort=A","Dates=H","DateFormat=P","Fill=—","Direction=H","UseDPDF=Y")</f>
        <v>—</v>
      </c>
      <c r="AA48" s="13">
        <f>_xll.BDH("AMGN US Equity","ARDR_OTHER_ONE_TIME_CHARGES","FQ4 2024","FQ4 2024","Currency=USD","Period=FQ","BEST_FPERIOD_OVERRIDE=FQ","FILING_STATUS=MR","SCALING_FORMAT=MLN","Sort=A","Dates=H","DateFormat=P","Fill=—","Direction=H","UseDPDF=Y")</f>
        <v>40</v>
      </c>
    </row>
    <row r="49" spans="1:27" x14ac:dyDescent="0.25">
      <c r="A49" s="10" t="s">
        <v>439</v>
      </c>
      <c r="B49" s="10" t="s">
        <v>485</v>
      </c>
      <c r="C49" s="13">
        <f>_xll.BDH("AMGN US Equity","ARDR_INT_EXP_NET","FQ4 2018","FQ4 2018","Currency=USD","Period=FQ","BEST_FPERIOD_OVERRIDE=FQ","FILING_STATUS=MR","SCALING_FORMAT=MLN","Sort=A","Dates=H","DateFormat=P","Fill=—","Direction=H","UseDPDF=Y")</f>
        <v>352</v>
      </c>
      <c r="D49" s="13">
        <f>_xll.BDH("AMGN US Equity","ARDR_INT_EXP_NET","FQ1 2019","FQ1 2019","Currency=USD","Period=FQ","BEST_FPERIOD_OVERRIDE=FQ","FILING_STATUS=MR","SCALING_FORMAT=MLN","Sort=A","Dates=H","DateFormat=P","Fill=—","Direction=H","UseDPDF=Y")</f>
        <v>343</v>
      </c>
      <c r="E49" s="13">
        <f>_xll.BDH("AMGN US Equity","ARDR_INT_EXP_NET","FQ2 2019","FQ2 2019","Currency=USD","Period=FQ","BEST_FPERIOD_OVERRIDE=FQ","FILING_STATUS=MR","SCALING_FORMAT=MLN","Sort=A","Dates=H","DateFormat=P","Fill=—","Direction=H","UseDPDF=Y")</f>
        <v>332</v>
      </c>
      <c r="F49" s="13">
        <f>_xll.BDH("AMGN US Equity","ARDR_INT_EXP_NET","FQ3 2019","FQ3 2019","Currency=USD","Period=FQ","BEST_FPERIOD_OVERRIDE=FQ","FILING_STATUS=MR","SCALING_FORMAT=MLN","Sort=A","Dates=H","DateFormat=P","Fill=—","Direction=H","UseDPDF=Y")</f>
        <v>313</v>
      </c>
      <c r="G49" s="13">
        <f>_xll.BDH("AMGN US Equity","ARDR_INT_EXP_NET","FQ4 2019","FQ4 2019","Currency=USD","Period=FQ","BEST_FPERIOD_OVERRIDE=FQ","FILING_STATUS=MR","SCALING_FORMAT=MLN","Sort=A","Dates=H","DateFormat=P","Fill=—","Direction=H","UseDPDF=Y")</f>
        <v>301</v>
      </c>
      <c r="H49" s="13">
        <f>_xll.BDH("AMGN US Equity","ARDR_INT_EXP_NET","FQ1 2020","FQ1 2020","Currency=USD","Period=FQ","BEST_FPERIOD_OVERRIDE=FQ","FILING_STATUS=MR","SCALING_FORMAT=MLN","Sort=A","Dates=H","DateFormat=P","Fill=—","Direction=H","UseDPDF=Y")</f>
        <v>346</v>
      </c>
      <c r="I49" s="13">
        <f>_xll.BDH("AMGN US Equity","ARDR_INT_EXP_NET","FQ2 2020","FQ2 2020","Currency=USD","Period=FQ","BEST_FPERIOD_OVERRIDE=FQ","FILING_STATUS=MR","SCALING_FORMAT=MLN","Sort=A","Dates=H","DateFormat=P","Fill=—","Direction=H","UseDPDF=Y")</f>
        <v>296</v>
      </c>
      <c r="J49" s="13">
        <f>_xll.BDH("AMGN US Equity","ARDR_INT_EXP_NET","FQ3 2020","FQ3 2020","Currency=USD","Period=FQ","BEST_FPERIOD_OVERRIDE=FQ","FILING_STATUS=MR","SCALING_FORMAT=MLN","Sort=A","Dates=H","DateFormat=P","Fill=—","Direction=H","UseDPDF=Y")</f>
        <v>302</v>
      </c>
      <c r="K49" s="13" t="str">
        <f>_xll.BDH("AMGN US Equity","ARDR_INT_EXP_NET","FQ4 2020","FQ4 2020","Currency=USD","Period=FQ","BEST_FPERIOD_OVERRIDE=FQ","FILING_STATUS=MR","SCALING_FORMAT=MLN","Sort=A","Dates=H","DateFormat=P","Fill=—","Direction=H","UseDPDF=Y")</f>
        <v>—</v>
      </c>
      <c r="L49" s="13">
        <f>_xll.BDH("AMGN US Equity","ARDR_INT_EXP_NET","FQ1 2021","FQ1 2021","Currency=USD","Period=FQ","BEST_FPERIOD_OVERRIDE=FQ","FILING_STATUS=MR","SCALING_FORMAT=MLN","Sort=A","Dates=H","DateFormat=P","Fill=—","Direction=H","UseDPDF=Y")</f>
        <v>285</v>
      </c>
      <c r="M49" s="13">
        <f>_xll.BDH("AMGN US Equity","ARDR_INT_EXP_NET","FQ2 2021","FQ2 2021","Currency=USD","Period=FQ","BEST_FPERIOD_OVERRIDE=FQ","FILING_STATUS=MR","SCALING_FORMAT=MLN","Sort=A","Dates=H","DateFormat=P","Fill=—","Direction=H","UseDPDF=Y")</f>
        <v>281</v>
      </c>
      <c r="N49" s="13">
        <f>_xll.BDH("AMGN US Equity","ARDR_INT_EXP_NET","FQ3 2021","FQ3 2021","Currency=USD","Period=FQ","BEST_FPERIOD_OVERRIDE=FQ","FILING_STATUS=MR","SCALING_FORMAT=MLN","Sort=A","Dates=H","DateFormat=P","Fill=—","Direction=H","UseDPDF=Y")</f>
        <v>296</v>
      </c>
      <c r="O49" s="13" t="str">
        <f>_xll.BDH("AMGN US Equity","ARDR_INT_EXP_NET","FQ4 2021","FQ4 2021","Currency=USD","Period=FQ","BEST_FPERIOD_OVERRIDE=FQ","FILING_STATUS=MR","SCALING_FORMAT=MLN","Sort=A","Dates=H","DateFormat=P","Fill=—","Direction=H","UseDPDF=Y")</f>
        <v>—</v>
      </c>
      <c r="P49" s="13">
        <f>_xll.BDH("AMGN US Equity","ARDR_INT_EXP_NET","FQ1 2022","FQ1 2022","Currency=USD","Period=FQ","BEST_FPERIOD_OVERRIDE=FQ","FILING_STATUS=MR","SCALING_FORMAT=MLN","Sort=A","Dates=H","DateFormat=P","Fill=—","Direction=H","UseDPDF=Y")</f>
        <v>295</v>
      </c>
      <c r="Q49" s="13">
        <f>_xll.BDH("AMGN US Equity","ARDR_INT_EXP_NET","FQ2 2022","FQ2 2022","Currency=USD","Period=FQ","BEST_FPERIOD_OVERRIDE=FQ","FILING_STATUS=MR","SCALING_FORMAT=MLN","Sort=A","Dates=H","DateFormat=P","Fill=—","Direction=H","UseDPDF=Y")</f>
        <v>328</v>
      </c>
      <c r="R49" s="13">
        <f>_xll.BDH("AMGN US Equity","ARDR_INT_EXP_NET","FQ3 2022","FQ3 2022","Currency=USD","Period=FQ","BEST_FPERIOD_OVERRIDE=FQ","FILING_STATUS=MR","SCALING_FORMAT=MLN","Sort=A","Dates=H","DateFormat=P","Fill=—","Direction=H","UseDPDF=Y")</f>
        <v>368</v>
      </c>
      <c r="S49" s="13">
        <f>_xll.BDH("AMGN US Equity","ARDR_INT_EXP_NET","FQ4 2022","FQ4 2022","Currency=USD","Period=FQ","BEST_FPERIOD_OVERRIDE=FQ","FILING_STATUS=MR","SCALING_FORMAT=MLN","Sort=A","Dates=H","DateFormat=P","Fill=—","Direction=H","UseDPDF=Y")</f>
        <v>415</v>
      </c>
      <c r="T49" s="13">
        <f>_xll.BDH("AMGN US Equity","ARDR_INT_EXP_NET","FQ1 2023","FQ1 2023","Currency=USD","Period=FQ","BEST_FPERIOD_OVERRIDE=FQ","FILING_STATUS=MR","SCALING_FORMAT=MLN","Sort=A","Dates=H","DateFormat=P","Fill=—","Direction=H","UseDPDF=Y")</f>
        <v>543</v>
      </c>
      <c r="U49" s="13">
        <f>_xll.BDH("AMGN US Equity","ARDR_INT_EXP_NET","FQ2 2023","FQ2 2023","Currency=USD","Period=FQ","BEST_FPERIOD_OVERRIDE=FQ","FILING_STATUS=MR","SCALING_FORMAT=MLN","Sort=A","Dates=H","DateFormat=P","Fill=—","Direction=H","UseDPDF=Y")</f>
        <v>752</v>
      </c>
      <c r="V49" s="13">
        <f>_xll.BDH("AMGN US Equity","ARDR_INT_EXP_NET","FQ3 2023","FQ3 2023","Currency=USD","Period=FQ","BEST_FPERIOD_OVERRIDE=FQ","FILING_STATUS=MR","SCALING_FORMAT=MLN","Sort=A","Dates=H","DateFormat=P","Fill=—","Direction=H","UseDPDF=Y")</f>
        <v>759</v>
      </c>
      <c r="W49" s="13">
        <f>_xll.BDH("AMGN US Equity","ARDR_INT_EXP_NET","FQ4 2023","FQ4 2023","Currency=USD","Period=FQ","BEST_FPERIOD_OVERRIDE=FQ","FILING_STATUS=MR","SCALING_FORMAT=MLN","Sort=A","Dates=H","DateFormat=P","Fill=—","Direction=H","UseDPDF=Y")</f>
        <v>821</v>
      </c>
      <c r="X49" s="13">
        <f>_xll.BDH("AMGN US Equity","ARDR_INT_EXP_NET","FQ1 2024","FQ1 2024","Currency=USD","Period=FQ","BEST_FPERIOD_OVERRIDE=FQ","FILING_STATUS=MR","SCALING_FORMAT=MLN","Sort=A","Dates=H","DateFormat=P","Fill=—","Direction=H","UseDPDF=Y")</f>
        <v>824</v>
      </c>
      <c r="Y49" s="13">
        <f>_xll.BDH("AMGN US Equity","ARDR_INT_EXP_NET","FQ2 2024","FQ2 2024","Currency=USD","Period=FQ","BEST_FPERIOD_OVERRIDE=FQ","FILING_STATUS=MR","SCALING_FORMAT=MLN","Sort=A","Dates=H","DateFormat=P","Fill=—","Direction=H","UseDPDF=Y")</f>
        <v>808</v>
      </c>
      <c r="Z49" s="13">
        <f>_xll.BDH("AMGN US Equity","ARDR_INT_EXP_NET","FQ3 2024","FQ3 2024","Currency=USD","Period=FQ","BEST_FPERIOD_OVERRIDE=FQ","FILING_STATUS=MR","SCALING_FORMAT=MLN","Sort=A","Dates=H","DateFormat=P","Fill=—","Direction=H","UseDPDF=Y")</f>
        <v>776</v>
      </c>
      <c r="AA49" s="13">
        <f>_xll.BDH("AMGN US Equity","ARDR_INT_EXP_NET","FQ4 2024","FQ4 2024","Currency=USD","Period=FQ","BEST_FPERIOD_OVERRIDE=FQ","FILING_STATUS=MR","SCALING_FORMAT=MLN","Sort=A","Dates=H","DateFormat=P","Fill=—","Direction=H","UseDPDF=Y")</f>
        <v>747</v>
      </c>
    </row>
    <row r="50" spans="1:27" x14ac:dyDescent="0.25">
      <c r="A50" s="10" t="s">
        <v>441</v>
      </c>
      <c r="B50" s="10" t="s">
        <v>486</v>
      </c>
      <c r="C50" s="13">
        <f>_xll.BDH("AMGN US Equity","ARDR_INCOME_TAX_EXP_BENEFIT","FQ4 2018","FQ4 2018","Currency=USD","Period=FQ","BEST_FPERIOD_OVERRIDE=FQ","FILING_STATUS=MR","SCALING_FORMAT=MLN","Sort=A","Dates=H","DateFormat=P","Fill=—","Direction=H","UseDPDF=Y")</f>
        <v>257</v>
      </c>
      <c r="D50" s="13">
        <f>_xll.BDH("AMGN US Equity","ARDR_INCOME_TAX_EXP_BENEFIT","FQ1 2019","FQ1 2019","Currency=USD","Period=FQ","BEST_FPERIOD_OVERRIDE=FQ","FILING_STATUS=MR","SCALING_FORMAT=MLN","Sort=A","Dates=H","DateFormat=P","Fill=—","Direction=H","UseDPDF=Y")</f>
        <v>322</v>
      </c>
      <c r="E50" s="13">
        <f>_xll.BDH("AMGN US Equity","ARDR_INCOME_TAX_EXP_BENEFIT","FQ2 2019","FQ2 2019","Currency=USD","Period=FQ","BEST_FPERIOD_OVERRIDE=FQ","FILING_STATUS=MR","SCALING_FORMAT=MLN","Sort=A","Dates=H","DateFormat=P","Fill=—","Direction=H","UseDPDF=Y")</f>
        <v>385</v>
      </c>
      <c r="F50" s="13">
        <f>_xll.BDH("AMGN US Equity","ARDR_INCOME_TAX_EXP_BENEFIT","FQ3 2019","FQ3 2019","Currency=USD","Period=FQ","BEST_FPERIOD_OVERRIDE=FQ","FILING_STATUS=MR","SCALING_FORMAT=MLN","Sort=A","Dates=H","DateFormat=P","Fill=—","Direction=H","UseDPDF=Y")</f>
        <v>309</v>
      </c>
      <c r="G50" s="13">
        <f>_xll.BDH("AMGN US Equity","ARDR_INCOME_TAX_EXP_BENEFIT","FQ4 2019","FQ4 2019","Currency=USD","Period=FQ","BEST_FPERIOD_OVERRIDE=FQ","FILING_STATUS=MR","SCALING_FORMAT=MLN","Sort=A","Dates=H","DateFormat=P","Fill=—","Direction=H","UseDPDF=Y")</f>
        <v>280</v>
      </c>
      <c r="H50" s="13">
        <f>_xll.BDH("AMGN US Equity","ARDR_INCOME_TAX_EXP_BENEFIT","FQ1 2020","FQ1 2020","Currency=USD","Period=FQ","BEST_FPERIOD_OVERRIDE=FQ","FILING_STATUS=MR","SCALING_FORMAT=MLN","Sort=A","Dates=H","DateFormat=P","Fill=—","Direction=H","UseDPDF=Y")</f>
        <v>195</v>
      </c>
      <c r="I50" s="13">
        <f>_xll.BDH("AMGN US Equity","ARDR_INCOME_TAX_EXP_BENEFIT","FQ2 2020","FQ2 2020","Currency=USD","Period=FQ","BEST_FPERIOD_OVERRIDE=FQ","FILING_STATUS=MR","SCALING_FORMAT=MLN","Sort=A","Dates=H","DateFormat=P","Fill=—","Direction=H","UseDPDF=Y")</f>
        <v>227</v>
      </c>
      <c r="J50" s="13">
        <f>_xll.BDH("AMGN US Equity","ARDR_INCOME_TAX_EXP_BENEFIT","FQ3 2020","FQ3 2020","Currency=USD","Period=FQ","BEST_FPERIOD_OVERRIDE=FQ","FILING_STATUS=MR","SCALING_FORMAT=MLN","Sort=A","Dates=H","DateFormat=P","Fill=—","Direction=H","UseDPDF=Y")</f>
        <v>185</v>
      </c>
      <c r="K50" s="13">
        <f>_xll.BDH("AMGN US Equity","ARDR_INCOME_TAX_EXP_BENEFIT","FQ4 2020","FQ4 2020","Currency=USD","Period=FQ","BEST_FPERIOD_OVERRIDE=FQ","FILING_STATUS=MR","SCALING_FORMAT=MLN","Sort=A","Dates=H","DateFormat=P","Fill=—","Direction=H","UseDPDF=Y")</f>
        <v>262</v>
      </c>
      <c r="L50" s="13">
        <f>_xll.BDH("AMGN US Equity","ARDR_INCOME_TAX_EXP_BENEFIT","FQ1 2021","FQ1 2021","Currency=USD","Period=FQ","BEST_FPERIOD_OVERRIDE=FQ","FILING_STATUS=MR","SCALING_FORMAT=MLN","Sort=A","Dates=H","DateFormat=P","Fill=—","Direction=H","UseDPDF=Y")</f>
        <v>211</v>
      </c>
      <c r="M50" s="13">
        <f>_xll.BDH("AMGN US Equity","ARDR_INCOME_TAX_EXP_BENEFIT","FQ2 2021","FQ2 2021","Currency=USD","Period=FQ","BEST_FPERIOD_OVERRIDE=FQ","FILING_STATUS=MR","SCALING_FORMAT=MLN","Sort=A","Dates=H","DateFormat=P","Fill=—","Direction=H","UseDPDF=Y")</f>
        <v>94</v>
      </c>
      <c r="N50" s="13">
        <f>_xll.BDH("AMGN US Equity","ARDR_INCOME_TAX_EXP_BENEFIT","FQ3 2021","FQ3 2021","Currency=USD","Period=FQ","BEST_FPERIOD_OVERRIDE=FQ","FILING_STATUS=MR","SCALING_FORMAT=MLN","Sort=A","Dates=H","DateFormat=P","Fill=—","Direction=H","UseDPDF=Y")</f>
        <v>271</v>
      </c>
      <c r="O50" s="13">
        <f>_xll.BDH("AMGN US Equity","ARDR_INCOME_TAX_EXP_BENEFIT","FQ4 2021","FQ4 2021","Currency=USD","Period=FQ","BEST_FPERIOD_OVERRIDE=FQ","FILING_STATUS=MR","SCALING_FORMAT=MLN","Sort=A","Dates=H","DateFormat=P","Fill=—","Direction=H","UseDPDF=Y")</f>
        <v>232</v>
      </c>
      <c r="P50" s="13">
        <f>_xll.BDH("AMGN US Equity","ARDR_INCOME_TAX_EXP_BENEFIT","FQ1 2022","FQ1 2022","Currency=USD","Period=FQ","BEST_FPERIOD_OVERRIDE=FQ","FILING_STATUS=MR","SCALING_FORMAT=MLN","Sort=A","Dates=H","DateFormat=P","Fill=—","Direction=H","UseDPDF=Y")</f>
        <v>199</v>
      </c>
      <c r="Q50" s="13">
        <f>_xll.BDH("AMGN US Equity","ARDR_INCOME_TAX_EXP_BENEFIT","FQ2 2022","FQ2 2022","Currency=USD","Period=FQ","BEST_FPERIOD_OVERRIDE=FQ","FILING_STATUS=MR","SCALING_FORMAT=MLN","Sort=A","Dates=H","DateFormat=P","Fill=—","Direction=H","UseDPDF=Y")</f>
        <v>214</v>
      </c>
      <c r="R50" s="13">
        <f>_xll.BDH("AMGN US Equity","ARDR_INCOME_TAX_EXP_BENEFIT","FQ3 2022","FQ3 2022","Currency=USD","Period=FQ","BEST_FPERIOD_OVERRIDE=FQ","FILING_STATUS=MR","SCALING_FORMAT=MLN","Sort=A","Dates=H","DateFormat=P","Fill=—","Direction=H","UseDPDF=Y")</f>
        <v>249</v>
      </c>
      <c r="S50" s="13">
        <f>_xll.BDH("AMGN US Equity","ARDR_INCOME_TAX_EXP_BENEFIT","FQ4 2022","FQ4 2022","Currency=USD","Period=FQ","BEST_FPERIOD_OVERRIDE=FQ","FILING_STATUS=MR","SCALING_FORMAT=MLN","Sort=A","Dates=H","DateFormat=P","Fill=—","Direction=H","UseDPDF=Y")</f>
        <v>132</v>
      </c>
      <c r="T50" s="13">
        <f>_xll.BDH("AMGN US Equity","ARDR_INCOME_TAX_EXP_BENEFIT","FQ1 2023","FQ1 2023","Currency=USD","Period=FQ","BEST_FPERIOD_OVERRIDE=FQ","FILING_STATUS=MR","SCALING_FORMAT=MLN","Sort=A","Dates=H","DateFormat=P","Fill=—","Direction=H","UseDPDF=Y")</f>
        <v>601</v>
      </c>
      <c r="U50" s="13">
        <f>_xll.BDH("AMGN US Equity","ARDR_INCOME_TAX_EXP_BENEFIT","FQ2 2023","FQ2 2023","Currency=USD","Period=FQ","BEST_FPERIOD_OVERRIDE=FQ","FILING_STATUS=MR","SCALING_FORMAT=MLN","Sort=A","Dates=H","DateFormat=P","Fill=—","Direction=H","UseDPDF=Y")</f>
        <v>235</v>
      </c>
      <c r="V50" s="13">
        <f>_xll.BDH("AMGN US Equity","ARDR_INCOME_TAX_EXP_BENEFIT","FQ3 2023","FQ3 2023","Currency=USD","Period=FQ","BEST_FPERIOD_OVERRIDE=FQ","FILING_STATUS=MR","SCALING_FORMAT=MLN","Sort=A","Dates=H","DateFormat=P","Fill=—","Direction=H","UseDPDF=Y")</f>
        <v>217</v>
      </c>
      <c r="W50" s="13">
        <f>_xll.BDH("AMGN US Equity","ARDR_INCOME_TAX_EXP_BENEFIT","FQ4 2023","FQ4 2023","Currency=USD","Period=FQ","BEST_FPERIOD_OVERRIDE=FQ","FILING_STATUS=MR","SCALING_FORMAT=MLN","Sort=A","Dates=H","DateFormat=P","Fill=—","Direction=H","UseDPDF=Y")</f>
        <v>85</v>
      </c>
      <c r="X50" s="13">
        <f>_xll.BDH("AMGN US Equity","ARDR_INCOME_TAX_EXP_BENEFIT","FQ1 2024","FQ1 2024","Currency=USD","Period=FQ","BEST_FPERIOD_OVERRIDE=FQ","FILING_STATUS=MR","SCALING_FORMAT=MLN","Sort=A","Dates=H","DateFormat=P","Fill=—","Direction=H","UseDPDF=Y")</f>
        <v>45</v>
      </c>
      <c r="Y50" s="13">
        <f>_xll.BDH("AMGN US Equity","ARDR_INCOME_TAX_EXP_BENEFIT","FQ2 2024","FQ2 2024","Currency=USD","Period=FQ","BEST_FPERIOD_OVERRIDE=FQ","FILING_STATUS=MR","SCALING_FORMAT=MLN","Sort=A","Dates=H","DateFormat=P","Fill=—","Direction=H","UseDPDF=Y")</f>
        <v>48</v>
      </c>
      <c r="Z50" s="13">
        <f>_xll.BDH("AMGN US Equity","ARDR_INCOME_TAX_EXP_BENEFIT","FQ3 2024","FQ3 2024","Currency=USD","Period=FQ","BEST_FPERIOD_OVERRIDE=FQ","FILING_STATUS=MR","SCALING_FORMAT=MLN","Sort=A","Dates=H","DateFormat=P","Fill=—","Direction=H","UseDPDF=Y")</f>
        <v>271</v>
      </c>
      <c r="AA50" s="13">
        <f>_xll.BDH("AMGN US Equity","ARDR_INCOME_TAX_EXP_BENEFIT","FQ4 2024","FQ4 2024","Currency=USD","Period=FQ","BEST_FPERIOD_OVERRIDE=FQ","FILING_STATUS=MR","SCALING_FORMAT=MLN","Sort=A","Dates=H","DateFormat=P","Fill=—","Direction=H","UseDPDF=Y")</f>
        <v>155</v>
      </c>
    </row>
    <row r="51" spans="1:27" x14ac:dyDescent="0.25">
      <c r="A51" s="10" t="s">
        <v>487</v>
      </c>
      <c r="B51" s="10" t="s">
        <v>488</v>
      </c>
      <c r="C51" s="13">
        <f>_xll.BDH("AMGN US Equity","ARDR_FOR_CRNCY_TRANSLATION_ADJ","FQ4 2018","FQ4 2018","Currency=USD","Period=FQ","BEST_FPERIOD_OVERRIDE=FQ","FILING_STATUS=MR","SCALING_FORMAT=MLN","Sort=A","Dates=H","DateFormat=P","Fill=—","Direction=H","UseDPDF=Y")</f>
        <v>12</v>
      </c>
      <c r="D51" s="13">
        <f>_xll.BDH("AMGN US Equity","ARDR_FOR_CRNCY_TRANSLATION_ADJ","FQ1 2019","FQ1 2019","Currency=USD","Period=FQ","BEST_FPERIOD_OVERRIDE=FQ","FILING_STATUS=MR","SCALING_FORMAT=MLN","Sort=A","Dates=H","DateFormat=P","Fill=—","Direction=H","UseDPDF=Y")</f>
        <v>-13</v>
      </c>
      <c r="E51" s="13">
        <f>_xll.BDH("AMGN US Equity","ARDR_FOR_CRNCY_TRANSLATION_ADJ","FQ2 2019","FQ2 2019","Currency=USD","Period=FQ","BEST_FPERIOD_OVERRIDE=FQ","FILING_STATUS=MR","SCALING_FORMAT=MLN","Sort=A","Dates=H","DateFormat=P","Fill=—","Direction=H","UseDPDF=Y")</f>
        <v>-4</v>
      </c>
      <c r="F51" s="13">
        <f>_xll.BDH("AMGN US Equity","ARDR_FOR_CRNCY_TRANSLATION_ADJ","FQ3 2019","FQ3 2019","Currency=USD","Period=FQ","BEST_FPERIOD_OVERRIDE=FQ","FILING_STATUS=MR","SCALING_FORMAT=MLN","Sort=A","Dates=H","DateFormat=P","Fill=—","Direction=H","UseDPDF=Y")</f>
        <v>-39</v>
      </c>
      <c r="G51" s="13">
        <f>_xll.BDH("AMGN US Equity","ARDR_FOR_CRNCY_TRANSLATION_ADJ","FQ4 2019","FQ4 2019","Currency=USD","Period=FQ","BEST_FPERIOD_OVERRIDE=FQ","FILING_STATUS=MR","SCALING_FORMAT=MLN","Sort=A","Dates=H","DateFormat=P","Fill=—","Direction=H","UseDPDF=Y")</f>
        <v>8</v>
      </c>
      <c r="H51" s="13">
        <f>_xll.BDH("AMGN US Equity","ARDR_FOR_CRNCY_TRANSLATION_ADJ","FQ1 2020","FQ1 2020","Currency=USD","Period=FQ","BEST_FPERIOD_OVERRIDE=FQ","FILING_STATUS=MR","SCALING_FORMAT=MLN","Sort=A","Dates=H","DateFormat=P","Fill=—","Direction=H","UseDPDF=Y")</f>
        <v>-52</v>
      </c>
      <c r="I51" s="13">
        <f>_xll.BDH("AMGN US Equity","ARDR_FOR_CRNCY_TRANSLATION_ADJ","FQ2 2020","FQ2 2020","Currency=USD","Period=FQ","BEST_FPERIOD_OVERRIDE=FQ","FILING_STATUS=MR","SCALING_FORMAT=MLN","Sort=A","Dates=H","DateFormat=P","Fill=—","Direction=H","UseDPDF=Y")</f>
        <v>-3</v>
      </c>
      <c r="J51" s="13">
        <f>_xll.BDH("AMGN US Equity","ARDR_FOR_CRNCY_TRANSLATION_ADJ","FQ3 2020","FQ3 2020","Currency=USD","Period=FQ","BEST_FPERIOD_OVERRIDE=FQ","FILING_STATUS=MR","SCALING_FORMAT=MLN","Sort=A","Dates=H","DateFormat=P","Fill=—","Direction=H","UseDPDF=Y")</f>
        <v>14</v>
      </c>
      <c r="K51" s="13">
        <f>_xll.BDH("AMGN US Equity","ARDR_FOR_CRNCY_TRANSLATION_ADJ","FQ4 2020","FQ4 2020","Currency=USD","Period=FQ","BEST_FPERIOD_OVERRIDE=FQ","FILING_STATUS=MR","SCALING_FORMAT=MLN","Sort=A","Dates=H","DateFormat=P","Fill=—","Direction=H","UseDPDF=Y")</f>
        <v>50</v>
      </c>
      <c r="L51" s="13">
        <f>_xll.BDH("AMGN US Equity","ARDR_FOR_CRNCY_TRANSLATION_ADJ","FQ1 2021","FQ1 2021","Currency=USD","Period=FQ","BEST_FPERIOD_OVERRIDE=FQ","FILING_STATUS=MR","SCALING_FORMAT=MLN","Sort=A","Dates=H","DateFormat=P","Fill=—","Direction=H","UseDPDF=Y")</f>
        <v>-39</v>
      </c>
      <c r="M51" s="13">
        <f>_xll.BDH("AMGN US Equity","ARDR_FOR_CRNCY_TRANSLATION_ADJ","FQ2 2021","FQ2 2021","Currency=USD","Period=FQ","BEST_FPERIOD_OVERRIDE=FQ","FILING_STATUS=MR","SCALING_FORMAT=MLN","Sort=A","Dates=H","DateFormat=P","Fill=—","Direction=H","UseDPDF=Y")</f>
        <v>14</v>
      </c>
      <c r="N51" s="13">
        <f>_xll.BDH("AMGN US Equity","ARDR_FOR_CRNCY_TRANSLATION_ADJ","FQ3 2021","FQ3 2021","Currency=USD","Period=FQ","BEST_FPERIOD_OVERRIDE=FQ","FILING_STATUS=MR","SCALING_FORMAT=MLN","Sort=A","Dates=H","DateFormat=P","Fill=—","Direction=H","UseDPDF=Y")</f>
        <v>-35</v>
      </c>
      <c r="O51" s="13">
        <f>_xll.BDH("AMGN US Equity","ARDR_FOR_CRNCY_TRANSLATION_ADJ","FQ4 2021","FQ4 2021","Currency=USD","Period=FQ","BEST_FPERIOD_OVERRIDE=FQ","FILING_STATUS=MR","SCALING_FORMAT=MLN","Sort=A","Dates=H","DateFormat=P","Fill=—","Direction=H","UseDPDF=Y")</f>
        <v>-75</v>
      </c>
      <c r="P51" s="13">
        <f>_xll.BDH("AMGN US Equity","ARDR_FOR_CRNCY_TRANSLATION_ADJ","FQ1 2022","FQ1 2022","Currency=USD","Period=FQ","BEST_FPERIOD_OVERRIDE=FQ","FILING_STATUS=MR","SCALING_FORMAT=MLN","Sort=A","Dates=H","DateFormat=P","Fill=—","Direction=H","UseDPDF=Y")</f>
        <v>-51</v>
      </c>
      <c r="Q51" s="13">
        <f>_xll.BDH("AMGN US Equity","ARDR_FOR_CRNCY_TRANSLATION_ADJ","FQ2 2022","FQ2 2022","Currency=USD","Period=FQ","BEST_FPERIOD_OVERRIDE=FQ","FILING_STATUS=MR","SCALING_FORMAT=MLN","Sort=A","Dates=H","DateFormat=P","Fill=—","Direction=H","UseDPDF=Y")</f>
        <v>-65</v>
      </c>
      <c r="R51" s="13">
        <f>_xll.BDH("AMGN US Equity","ARDR_FOR_CRNCY_TRANSLATION_ADJ","FQ3 2022","FQ3 2022","Currency=USD","Period=FQ","BEST_FPERIOD_OVERRIDE=FQ","FILING_STATUS=MR","SCALING_FORMAT=MLN","Sort=A","Dates=H","DateFormat=P","Fill=—","Direction=H","UseDPDF=Y")</f>
        <v>-109</v>
      </c>
      <c r="S51" s="13">
        <f>_xll.BDH("AMGN US Equity","ARDR_FOR_CRNCY_TRANSLATION_ADJ","FQ4 2022","FQ4 2022","Currency=USD","Period=FQ","BEST_FPERIOD_OVERRIDE=FQ","FILING_STATUS=MR","SCALING_FORMAT=MLN","Sort=A","Dates=H","DateFormat=P","Fill=—","Direction=H","UseDPDF=Y")</f>
        <v>721</v>
      </c>
      <c r="T51" s="13">
        <f>_xll.BDH("AMGN US Equity","ARDR_FOR_CRNCY_TRANSLATION_ADJ","FQ1 2023","FQ1 2023","Currency=USD","Period=FQ","BEST_FPERIOD_OVERRIDE=FQ","FILING_STATUS=MR","SCALING_FORMAT=MLN","Sort=A","Dates=H","DateFormat=P","Fill=—","Direction=H","UseDPDF=Y")</f>
        <v>28</v>
      </c>
      <c r="U51" s="13">
        <f>_xll.BDH("AMGN US Equity","ARDR_FOR_CRNCY_TRANSLATION_ADJ","FQ2 2023","FQ2 2023","Currency=USD","Period=FQ","BEST_FPERIOD_OVERRIDE=FQ","FILING_STATUS=MR","SCALING_FORMAT=MLN","Sort=A","Dates=H","DateFormat=P","Fill=—","Direction=H","UseDPDF=Y")</f>
        <v>11</v>
      </c>
      <c r="V51" s="13">
        <f>_xll.BDH("AMGN US Equity","ARDR_FOR_CRNCY_TRANSLATION_ADJ","FQ3 2023","FQ3 2023","Currency=USD","Period=FQ","BEST_FPERIOD_OVERRIDE=FQ","FILING_STATUS=MR","SCALING_FORMAT=MLN","Sort=A","Dates=H","DateFormat=P","Fill=—","Direction=H","UseDPDF=Y")</f>
        <v>-44</v>
      </c>
      <c r="W51" s="13">
        <f>_xll.BDH("AMGN US Equity","ARDR_FOR_CRNCY_TRANSLATION_ADJ","FQ4 2023","FQ4 2023","Currency=USD","Period=FQ","BEST_FPERIOD_OVERRIDE=FQ","FILING_STATUS=MR","SCALING_FORMAT=MLN","Sort=A","Dates=H","DateFormat=P","Fill=—","Direction=H","UseDPDF=Y")</f>
        <v>55</v>
      </c>
      <c r="X51" s="13">
        <f>_xll.BDH("AMGN US Equity","ARDR_FOR_CRNCY_TRANSLATION_ADJ","FQ1 2024","FQ1 2024","Currency=USD","Period=FQ","BEST_FPERIOD_OVERRIDE=FQ","FILING_STATUS=MR","SCALING_FORMAT=MLN","Sort=A","Dates=H","DateFormat=P","Fill=—","Direction=H","UseDPDF=Y")</f>
        <v>-24</v>
      </c>
      <c r="Y51" s="13">
        <f>_xll.BDH("AMGN US Equity","ARDR_FOR_CRNCY_TRANSLATION_ADJ","FQ2 2024","FQ2 2024","Currency=USD","Period=FQ","BEST_FPERIOD_OVERRIDE=FQ","FILING_STATUS=MR","SCALING_FORMAT=MLN","Sort=A","Dates=H","DateFormat=P","Fill=—","Direction=H","UseDPDF=Y")</f>
        <v>-15</v>
      </c>
      <c r="Z51" s="13">
        <f>_xll.BDH("AMGN US Equity","ARDR_FOR_CRNCY_TRANSLATION_ADJ","FQ3 2024","FQ3 2024","Currency=USD","Period=FQ","BEST_FPERIOD_OVERRIDE=FQ","FILING_STATUS=MR","SCALING_FORMAT=MLN","Sort=A","Dates=H","DateFormat=P","Fill=—","Direction=H","UseDPDF=Y")</f>
        <v>71</v>
      </c>
      <c r="AA51" s="13">
        <f>_xll.BDH("AMGN US Equity","ARDR_FOR_CRNCY_TRANSLATION_ADJ","FQ4 2024","FQ4 2024","Currency=USD","Period=FQ","BEST_FPERIOD_OVERRIDE=FQ","FILING_STATUS=MR","SCALING_FORMAT=MLN","Sort=A","Dates=H","DateFormat=P","Fill=—","Direction=H","UseDPDF=Y")</f>
        <v>-108</v>
      </c>
    </row>
    <row r="52" spans="1:27" x14ac:dyDescent="0.25">
      <c r="A52" s="10" t="s">
        <v>489</v>
      </c>
      <c r="B52" s="10" t="s">
        <v>490</v>
      </c>
      <c r="C52" s="13">
        <f>_xll.BDH("AMGN US Equity","ARDR_UNREALIZED_GL_ON_SECS","FQ4 2018","FQ4 2018","Currency=USD","Period=FQ","BEST_FPERIOD_OVERRIDE=FQ","FILING_STATUS=MR","SCALING_FORMAT=MLN","Sort=A","Dates=H","DateFormat=P","Fill=—","Direction=H","UseDPDF=Y")</f>
        <v>52</v>
      </c>
      <c r="D52" s="13">
        <f>_xll.BDH("AMGN US Equity","ARDR_UNREALIZED_GL_ON_SECS","FQ1 2019","FQ1 2019","Currency=USD","Period=FQ","BEST_FPERIOD_OVERRIDE=FQ","FILING_STATUS=MR","SCALING_FORMAT=MLN","Sort=A","Dates=H","DateFormat=P","Fill=—","Direction=H","UseDPDF=Y")</f>
        <v>221</v>
      </c>
      <c r="E52" s="13">
        <f>_xll.BDH("AMGN US Equity","ARDR_UNREALIZED_GL_ON_SECS","FQ2 2019","FQ2 2019","Currency=USD","Period=FQ","BEST_FPERIOD_OVERRIDE=FQ","FILING_STATUS=MR","SCALING_FORMAT=MLN","Sort=A","Dates=H","DateFormat=P","Fill=—","Direction=H","UseDPDF=Y")</f>
        <v>153</v>
      </c>
      <c r="F52" s="13">
        <f>_xll.BDH("AMGN US Equity","ARDR_UNREALIZED_GL_ON_SECS","FQ3 2019","FQ3 2019","Currency=USD","Period=FQ","BEST_FPERIOD_OVERRIDE=FQ","FILING_STATUS=MR","SCALING_FORMAT=MLN","Sort=A","Dates=H","DateFormat=P","Fill=—","Direction=H","UseDPDF=Y")</f>
        <v>30</v>
      </c>
      <c r="G52" s="13">
        <f>_xll.BDH("AMGN US Equity","ARDR_UNREALIZED_GL_ON_SECS","FQ4 2019","FQ4 2019","Currency=USD","Period=FQ","BEST_FPERIOD_OVERRIDE=FQ","FILING_STATUS=MR","SCALING_FORMAT=MLN","Sort=A","Dates=H","DateFormat=P","Fill=—","Direction=H","UseDPDF=Y")</f>
        <v>-44</v>
      </c>
      <c r="H52" s="13">
        <f>_xll.BDH("AMGN US Equity","ARDR_UNREALIZED_GL_ON_SECS","FQ1 2020","FQ1 2020","Currency=USD","Period=FQ","BEST_FPERIOD_OVERRIDE=FQ","FILING_STATUS=MR","SCALING_FORMAT=MLN","Sort=A","Dates=H","DateFormat=P","Fill=—","Direction=H","UseDPDF=Y")</f>
        <v>-19</v>
      </c>
      <c r="I52" s="13">
        <f>_xll.BDH("AMGN US Equity","ARDR_UNREALIZED_GL_ON_SECS","FQ2 2020","FQ2 2020","Currency=USD","Period=FQ","BEST_FPERIOD_OVERRIDE=FQ","FILING_STATUS=MR","SCALING_FORMAT=MLN","Sort=A","Dates=H","DateFormat=P","Fill=—","Direction=H","UseDPDF=Y")</f>
        <v>-2</v>
      </c>
      <c r="J52" s="13">
        <f>_xll.BDH("AMGN US Equity","ARDR_UNREALIZED_GL_ON_SECS","FQ3 2020","FQ3 2020","Currency=USD","Period=FQ","BEST_FPERIOD_OVERRIDE=FQ","FILING_STATUS=MR","SCALING_FORMAT=MLN","Sort=A","Dates=H","DateFormat=P","Fill=—","Direction=H","UseDPDF=Y")</f>
        <v>1</v>
      </c>
      <c r="K52" s="13">
        <f>_xll.BDH("AMGN US Equity","ARDR_UNREALIZED_GL_ON_SECS","FQ4 2020","FQ4 2020","Currency=USD","Period=FQ","BEST_FPERIOD_OVERRIDE=FQ","FILING_STATUS=MR","SCALING_FORMAT=MLN","Sort=A","Dates=H","DateFormat=P","Fill=—","Direction=H","UseDPDF=Y")</f>
        <v>-1</v>
      </c>
      <c r="L52" s="13" t="str">
        <f>_xll.BDH("AMGN US Equity","ARDR_UNREALIZED_GL_ON_SECS","FQ1 2021","FQ1 2021","Currency=USD","Period=FQ","BEST_FPERIOD_OVERRIDE=FQ","FILING_STATUS=MR","SCALING_FORMAT=MLN","Sort=A","Dates=H","DateFormat=P","Fill=—","Direction=H","UseDPDF=Y")</f>
        <v>—</v>
      </c>
      <c r="M52" s="13" t="str">
        <f>_xll.BDH("AMGN US Equity","ARDR_UNREALIZED_GL_ON_SECS","FQ2 2021","FQ2 2021","Currency=USD","Period=FQ","BEST_FPERIOD_OVERRIDE=FQ","FILING_STATUS=MR","SCALING_FORMAT=MLN","Sort=A","Dates=H","DateFormat=P","Fill=—","Direction=H","UseDPDF=Y")</f>
        <v>—</v>
      </c>
      <c r="N52" s="13">
        <f>_xll.BDH("AMGN US Equity","ARDR_UNREALIZED_GL_ON_SECS","FQ3 2021","FQ3 2021","Currency=USD","Period=FQ","BEST_FPERIOD_OVERRIDE=FQ","FILING_STATUS=MR","SCALING_FORMAT=MLN","Sort=A","Dates=H","DateFormat=P","Fill=—","Direction=H","UseDPDF=Y")</f>
        <v>-1</v>
      </c>
      <c r="O52" s="13">
        <f>_xll.BDH("AMGN US Equity","ARDR_UNREALIZED_GL_ON_SECS","FQ4 2021","FQ4 2021","Currency=USD","Period=FQ","BEST_FPERIOD_OVERRIDE=FQ","FILING_STATUS=MR","SCALING_FORMAT=MLN","Sort=A","Dates=H","DateFormat=P","Fill=—","Direction=H","UseDPDF=Y")</f>
        <v>0</v>
      </c>
      <c r="P52" s="13" t="str">
        <f>_xll.BDH("AMGN US Equity","ARDR_UNREALIZED_GL_ON_SECS","FQ1 2022","FQ1 2022","Currency=USD","Period=FQ","BEST_FPERIOD_OVERRIDE=FQ","FILING_STATUS=MR","SCALING_FORMAT=MLN","Sort=A","Dates=H","DateFormat=P","Fill=—","Direction=H","UseDPDF=Y")</f>
        <v>—</v>
      </c>
      <c r="Q52" s="13" t="str">
        <f>_xll.BDH("AMGN US Equity","ARDR_UNREALIZED_GL_ON_SECS","FQ2 2022","FQ2 2022","Currency=USD","Period=FQ","BEST_FPERIOD_OVERRIDE=FQ","FILING_STATUS=MR","SCALING_FORMAT=MLN","Sort=A","Dates=H","DateFormat=P","Fill=—","Direction=H","UseDPDF=Y")</f>
        <v>—</v>
      </c>
      <c r="R52" s="13">
        <f>_xll.BDH("AMGN US Equity","ARDR_UNREALIZED_GL_ON_SECS","FQ3 2022","FQ3 2022","Currency=USD","Period=FQ","BEST_FPERIOD_OVERRIDE=FQ","FILING_STATUS=MR","SCALING_FORMAT=MLN","Sort=A","Dates=H","DateFormat=P","Fill=—","Direction=H","UseDPDF=Y")</f>
        <v>0</v>
      </c>
      <c r="S52" s="13">
        <f>_xll.BDH("AMGN US Equity","ARDR_UNREALIZED_GL_ON_SECS","FQ4 2022","FQ4 2022","Currency=USD","Period=FQ","BEST_FPERIOD_OVERRIDE=FQ","FILING_STATUS=MR","SCALING_FORMAT=MLN","Sort=A","Dates=H","DateFormat=P","Fill=—","Direction=H","UseDPDF=Y")</f>
        <v>0</v>
      </c>
      <c r="T52" s="13" t="str">
        <f>_xll.BDH("AMGN US Equity","ARDR_UNREALIZED_GL_ON_SECS","FQ1 2023","FQ1 2023","Currency=USD","Period=FQ","BEST_FPERIOD_OVERRIDE=FQ","FILING_STATUS=MR","SCALING_FORMAT=MLN","Sort=A","Dates=H","DateFormat=P","Fill=—","Direction=H","UseDPDF=Y")</f>
        <v>—</v>
      </c>
      <c r="U52" s="13" t="str">
        <f>_xll.BDH("AMGN US Equity","ARDR_UNREALIZED_GL_ON_SECS","FQ2 2023","FQ2 2023","Currency=USD","Period=FQ","BEST_FPERIOD_OVERRIDE=FQ","FILING_STATUS=MR","SCALING_FORMAT=MLN","Sort=A","Dates=H","DateFormat=P","Fill=—","Direction=H","UseDPDF=Y")</f>
        <v>—</v>
      </c>
      <c r="V52" s="13" t="str">
        <f>_xll.BDH("AMGN US Equity","ARDR_UNREALIZED_GL_ON_SECS","FQ3 2023","FQ3 2023","Currency=USD","Period=FQ","BEST_FPERIOD_OVERRIDE=FQ","FILING_STATUS=MR","SCALING_FORMAT=MLN","Sort=A","Dates=H","DateFormat=P","Fill=—","Direction=H","UseDPDF=Y")</f>
        <v>—</v>
      </c>
      <c r="W52" s="13" t="str">
        <f>_xll.BDH("AMGN US Equity","ARDR_UNREALIZED_GL_ON_SECS","FQ4 2023","FQ4 2023","Currency=USD","Period=FQ","BEST_FPERIOD_OVERRIDE=FQ","FILING_STATUS=MR","SCALING_FORMAT=MLN","Sort=A","Dates=H","DateFormat=P","Fill=—","Direction=H","UseDPDF=Y")</f>
        <v>—</v>
      </c>
      <c r="X52" s="13" t="str">
        <f>_xll.BDH("AMGN US Equity","ARDR_UNREALIZED_GL_ON_SECS","FQ1 2024","FQ1 2024","Currency=USD","Period=FQ","BEST_FPERIOD_OVERRIDE=FQ","FILING_STATUS=MR","SCALING_FORMAT=MLN","Sort=A","Dates=H","DateFormat=P","Fill=—","Direction=H","UseDPDF=Y")</f>
        <v>—</v>
      </c>
      <c r="Y52" s="13" t="str">
        <f>_xll.BDH("AMGN US Equity","ARDR_UNREALIZED_GL_ON_SECS","FQ2 2024","FQ2 2024","Currency=USD","Period=FQ","BEST_FPERIOD_OVERRIDE=FQ","FILING_STATUS=MR","SCALING_FORMAT=MLN","Sort=A","Dates=H","DateFormat=P","Fill=—","Direction=H","UseDPDF=Y")</f>
        <v>—</v>
      </c>
      <c r="Z52" s="13" t="str">
        <f>_xll.BDH("AMGN US Equity","ARDR_UNREALIZED_GL_ON_SECS","FQ3 2024","FQ3 2024","Currency=USD","Period=FQ","BEST_FPERIOD_OVERRIDE=FQ","FILING_STATUS=MR","SCALING_FORMAT=MLN","Sort=A","Dates=H","DateFormat=P","Fill=—","Direction=H","UseDPDF=Y")</f>
        <v>—</v>
      </c>
      <c r="AA52" s="13" t="str">
        <f>_xll.BDH("AMGN US Equity","ARDR_UNREALIZED_GL_ON_SECS","FQ4 2024","FQ4 2024","Currency=USD","Period=FQ","BEST_FPERIOD_OVERRIDE=FQ","FILING_STATUS=MR","SCALING_FORMAT=MLN","Sort=A","Dates=H","DateFormat=P","Fill=—","Direction=H","UseDPDF=Y")</f>
        <v>—</v>
      </c>
    </row>
    <row r="53" spans="1:27" x14ac:dyDescent="0.25">
      <c r="A53" s="10" t="s">
        <v>491</v>
      </c>
      <c r="B53" s="10" t="s">
        <v>492</v>
      </c>
      <c r="C53" s="13">
        <f>_xll.BDH("AMGN US Equity","ARDR_CHG_FAIR_VAL_OF_DERIVATIVES","FQ4 2018","FQ4 2018","Currency=USD","Period=FQ","BEST_FPERIOD_OVERRIDE=FQ","FILING_STATUS=MR","SCALING_FORMAT=MLN","Sort=A","Dates=H","DateFormat=P","Fill=—","Direction=H","UseDPDF=Y")</f>
        <v>-23</v>
      </c>
      <c r="D53" s="13" t="str">
        <f>_xll.BDH("AMGN US Equity","ARDR_CHG_FAIR_VAL_OF_DERIVATIVES","FQ1 2019","FQ1 2019","Currency=USD","Period=FQ","BEST_FPERIOD_OVERRIDE=FQ","FILING_STATUS=MR","SCALING_FORMAT=MLN","Sort=A","Dates=H","DateFormat=P","Fill=—","Direction=H","UseDPDF=Y")</f>
        <v>—</v>
      </c>
      <c r="E53" s="13">
        <f>_xll.BDH("AMGN US Equity","ARDR_CHG_FAIR_VAL_OF_DERIVATIVES","FQ2 2019","FQ2 2019","Currency=USD","Period=FQ","BEST_FPERIOD_OVERRIDE=FQ","FILING_STATUS=MR","SCALING_FORMAT=MLN","Sort=A","Dates=H","DateFormat=P","Fill=—","Direction=H","UseDPDF=Y")</f>
        <v>-104</v>
      </c>
      <c r="F53" s="13">
        <f>_xll.BDH("AMGN US Equity","ARDR_CHG_FAIR_VAL_OF_DERIVATIVES","FQ3 2019","FQ3 2019","Currency=USD","Period=FQ","BEST_FPERIOD_OVERRIDE=FQ","FILING_STATUS=MR","SCALING_FORMAT=MLN","Sort=A","Dates=H","DateFormat=P","Fill=—","Direction=H","UseDPDF=Y")</f>
        <v>86</v>
      </c>
      <c r="G53" s="13">
        <f>_xll.BDH("AMGN US Equity","ARDR_CHG_FAIR_VAL_OF_DERIVATIVES","FQ4 2019","FQ4 2019","Currency=USD","Period=FQ","BEST_FPERIOD_OVERRIDE=FQ","FILING_STATUS=MR","SCALING_FORMAT=MLN","Sort=A","Dates=H","DateFormat=P","Fill=—","Direction=H","UseDPDF=Y")</f>
        <v>-93</v>
      </c>
      <c r="H53" s="13" t="str">
        <f>_xll.BDH("AMGN US Equity","ARDR_CHG_FAIR_VAL_OF_DERIVATIVES","FQ1 2020","FQ1 2020","Currency=USD","Period=FQ","BEST_FPERIOD_OVERRIDE=FQ","FILING_STATUS=MR","SCALING_FORMAT=MLN","Sort=A","Dates=H","DateFormat=P","Fill=—","Direction=H","UseDPDF=Y")</f>
        <v>—</v>
      </c>
      <c r="I53" s="13">
        <f>_xll.BDH("AMGN US Equity","ARDR_CHG_FAIR_VAL_OF_DERIVATIVES","FQ2 2020","FQ2 2020","Currency=USD","Period=FQ","BEST_FPERIOD_OVERRIDE=FQ","FILING_STATUS=MR","SCALING_FORMAT=MLN","Sort=A","Dates=H","DateFormat=P","Fill=—","Direction=H","UseDPDF=Y")</f>
        <v>-116</v>
      </c>
      <c r="J53" s="13" t="str">
        <f>_xll.BDH("AMGN US Equity","ARDR_CHG_FAIR_VAL_OF_DERIVATIVES","FQ3 2020","FQ3 2020","Currency=USD","Period=FQ","BEST_FPERIOD_OVERRIDE=FQ","FILING_STATUS=MR","SCALING_FORMAT=MLN","Sort=A","Dates=H","DateFormat=P","Fill=—","Direction=H","UseDPDF=Y")</f>
        <v>—</v>
      </c>
      <c r="K53" s="13">
        <f>_xll.BDH("AMGN US Equity","ARDR_CHG_FAIR_VAL_OF_DERIVATIVES","FQ4 2020","FQ4 2020","Currency=USD","Period=FQ","BEST_FPERIOD_OVERRIDE=FQ","FILING_STATUS=MR","SCALING_FORMAT=MLN","Sort=A","Dates=H","DateFormat=P","Fill=—","Direction=H","UseDPDF=Y")</f>
        <v>-133</v>
      </c>
      <c r="L53" s="13" t="str">
        <f>_xll.BDH("AMGN US Equity","ARDR_CHG_FAIR_VAL_OF_DERIVATIVES","FQ1 2021","FQ1 2021","Currency=USD","Period=FQ","BEST_FPERIOD_OVERRIDE=FQ","FILING_STATUS=MR","SCALING_FORMAT=MLN","Sort=A","Dates=H","DateFormat=P","Fill=—","Direction=H","UseDPDF=Y")</f>
        <v>—</v>
      </c>
      <c r="M53" s="13">
        <f>_xll.BDH("AMGN US Equity","ARDR_CHG_FAIR_VAL_OF_DERIVATIVES","FQ2 2021","FQ2 2021","Currency=USD","Period=FQ","BEST_FPERIOD_OVERRIDE=FQ","FILING_STATUS=MR","SCALING_FORMAT=MLN","Sort=A","Dates=H","DateFormat=P","Fill=—","Direction=H","UseDPDF=Y")</f>
        <v>-48</v>
      </c>
      <c r="N53" s="13">
        <f>_xll.BDH("AMGN US Equity","ARDR_CHG_FAIR_VAL_OF_DERIVATIVES","FQ3 2021","FQ3 2021","Currency=USD","Period=FQ","BEST_FPERIOD_OVERRIDE=FQ","FILING_STATUS=MR","SCALING_FORMAT=MLN","Sort=A","Dates=H","DateFormat=P","Fill=—","Direction=H","UseDPDF=Y")</f>
        <v>99</v>
      </c>
      <c r="O53" s="13">
        <f>_xll.BDH("AMGN US Equity","ARDR_CHG_FAIR_VAL_OF_DERIVATIVES","FQ4 2021","FQ4 2021","Currency=USD","Period=FQ","BEST_FPERIOD_OVERRIDE=FQ","FILING_STATUS=MR","SCALING_FORMAT=MLN","Sort=A","Dates=H","DateFormat=P","Fill=—","Direction=H","UseDPDF=Y")</f>
        <v>83</v>
      </c>
      <c r="P53" s="13" t="str">
        <f>_xll.BDH("AMGN US Equity","ARDR_CHG_FAIR_VAL_OF_DERIVATIVES","FQ1 2022","FQ1 2022","Currency=USD","Period=FQ","BEST_FPERIOD_OVERRIDE=FQ","FILING_STATUS=MR","SCALING_FORMAT=MLN","Sort=A","Dates=H","DateFormat=P","Fill=—","Direction=H","UseDPDF=Y")</f>
        <v>—</v>
      </c>
      <c r="Q53" s="13">
        <f>_xll.BDH("AMGN US Equity","ARDR_CHG_FAIR_VAL_OF_DERIVATIVES","FQ2 2022","FQ2 2022","Currency=USD","Period=FQ","BEST_FPERIOD_OVERRIDE=FQ","FILING_STATUS=MR","SCALING_FORMAT=MLN","Sort=A","Dates=H","DateFormat=P","Fill=—","Direction=H","UseDPDF=Y")</f>
        <v>156</v>
      </c>
      <c r="R53" s="13">
        <f>_xll.BDH("AMGN US Equity","ARDR_CHG_FAIR_VAL_OF_DERIVATIVES","FQ3 2022","FQ3 2022","Currency=USD","Period=FQ","BEST_FPERIOD_OVERRIDE=FQ","FILING_STATUS=MR","SCALING_FORMAT=MLN","Sort=A","Dates=H","DateFormat=P","Fill=—","Direction=H","UseDPDF=Y")</f>
        <v>138</v>
      </c>
      <c r="S53" s="13">
        <f>_xll.BDH("AMGN US Equity","ARDR_CHG_FAIR_VAL_OF_DERIVATIVES","FQ4 2022","FQ4 2022","Currency=USD","Period=FQ","BEST_FPERIOD_OVERRIDE=FQ","FILING_STATUS=MR","SCALING_FORMAT=MLN","Sort=A","Dates=H","DateFormat=P","Fill=—","Direction=H","UseDPDF=Y")</f>
        <v>-311</v>
      </c>
      <c r="T53" s="13">
        <f>_xll.BDH("AMGN US Equity","ARDR_CHG_FAIR_VAL_OF_DERIVATIVES","FQ1 2023","FQ1 2023","Currency=USD","Period=FQ","BEST_FPERIOD_OVERRIDE=FQ","FILING_STATUS=MR","SCALING_FORMAT=MLN","Sort=A","Dates=H","DateFormat=P","Fill=—","Direction=H","UseDPDF=Y")</f>
        <v>-86</v>
      </c>
      <c r="U53" s="13">
        <f>_xll.BDH("AMGN US Equity","ARDR_CHG_FAIR_VAL_OF_DERIVATIVES","FQ2 2023","FQ2 2023","Currency=USD","Period=FQ","BEST_FPERIOD_OVERRIDE=FQ","FILING_STATUS=MR","SCALING_FORMAT=MLN","Sort=A","Dates=H","DateFormat=P","Fill=—","Direction=H","UseDPDF=Y")</f>
        <v>-22</v>
      </c>
      <c r="V53" s="13">
        <f>_xll.BDH("AMGN US Equity","ARDR_CHG_FAIR_VAL_OF_DERIVATIVES","FQ3 2023","FQ3 2023","Currency=USD","Period=FQ","BEST_FPERIOD_OVERRIDE=FQ","FILING_STATUS=MR","SCALING_FORMAT=MLN","Sort=A","Dates=H","DateFormat=P","Fill=—","Direction=H","UseDPDF=Y")</f>
        <v>181</v>
      </c>
      <c r="W53" s="13">
        <f>_xll.BDH("AMGN US Equity","ARDR_CHG_FAIR_VAL_OF_DERIVATIVES","FQ4 2023","FQ4 2023","Currency=USD","Period=FQ","BEST_FPERIOD_OVERRIDE=FQ","FILING_STATUS=MR","SCALING_FORMAT=MLN","Sort=A","Dates=H","DateFormat=P","Fill=—","Direction=H","UseDPDF=Y")</f>
        <v>-223</v>
      </c>
      <c r="X53" s="13">
        <f>_xll.BDH("AMGN US Equity","ARDR_CHG_FAIR_VAL_OF_DERIVATIVES","FQ1 2024","FQ1 2024","Currency=USD","Period=FQ","BEST_FPERIOD_OVERRIDE=FQ","FILING_STATUS=MR","SCALING_FORMAT=MLN","Sort=A","Dates=H","DateFormat=P","Fill=—","Direction=H","UseDPDF=Y")</f>
        <v>126</v>
      </c>
      <c r="Y53" s="13">
        <f>_xll.BDH("AMGN US Equity","ARDR_CHG_FAIR_VAL_OF_DERIVATIVES","FQ2 2024","FQ2 2024","Currency=USD","Period=FQ","BEST_FPERIOD_OVERRIDE=FQ","FILING_STATUS=MR","SCALING_FORMAT=MLN","Sort=A","Dates=H","DateFormat=P","Fill=—","Direction=H","UseDPDF=Y")</f>
        <v>51</v>
      </c>
      <c r="Z53" s="13">
        <f>_xll.BDH("AMGN US Equity","ARDR_CHG_FAIR_VAL_OF_DERIVATIVES","FQ3 2024","FQ3 2024","Currency=USD","Period=FQ","BEST_FPERIOD_OVERRIDE=FQ","FILING_STATUS=MR","SCALING_FORMAT=MLN","Sort=A","Dates=H","DateFormat=P","Fill=—","Direction=H","UseDPDF=Y")</f>
        <v>-253</v>
      </c>
      <c r="AA53" s="13">
        <f>_xll.BDH("AMGN US Equity","ARDR_CHG_FAIR_VAL_OF_DERIVATIVES","FQ4 2024","FQ4 2024","Currency=USD","Period=FQ","BEST_FPERIOD_OVERRIDE=FQ","FILING_STATUS=MR","SCALING_FORMAT=MLN","Sort=A","Dates=H","DateFormat=P","Fill=—","Direction=H","UseDPDF=Y")</f>
        <v>385</v>
      </c>
    </row>
    <row r="54" spans="1:27" x14ac:dyDescent="0.25">
      <c r="A54" s="10" t="s">
        <v>493</v>
      </c>
      <c r="B54" s="10" t="s">
        <v>494</v>
      </c>
      <c r="C54" s="13">
        <f>_xll.BDH("AMGN US Equity","ARDR_OTHER_COMPREHENSIVE_INCOME","FQ4 2018","FQ4 2018","Currency=USD","Period=FQ","BEST_FPERIOD_OVERRIDE=FQ","FILING_STATUS=MR","SCALING_FORMAT=MLN","Sort=A","Dates=H","DateFormat=P","Fill=—","Direction=H","UseDPDF=Y")</f>
        <v>-1</v>
      </c>
      <c r="D54" s="13">
        <f>_xll.BDH("AMGN US Equity","ARDR_OTHER_COMPREHENSIVE_INCOME","FQ1 2019","FQ1 2019","Currency=USD","Period=FQ","BEST_FPERIOD_OVERRIDE=FQ","FILING_STATUS=MR","SCALING_FORMAT=MLN","Sort=A","Dates=H","DateFormat=P","Fill=—","Direction=H","UseDPDF=Y")</f>
        <v>45</v>
      </c>
      <c r="E54" s="13">
        <f>_xll.BDH("AMGN US Equity","ARDR_OTHER_COMPREHENSIVE_INCOME","FQ2 2019","FQ2 2019","Currency=USD","Period=FQ","BEST_FPERIOD_OVERRIDE=FQ","FILING_STATUS=MR","SCALING_FORMAT=MLN","Sort=A","Dates=H","DateFormat=P","Fill=—","Direction=H","UseDPDF=Y")</f>
        <v>6</v>
      </c>
      <c r="F54" s="13">
        <f>_xll.BDH("AMGN US Equity","ARDR_OTHER_COMPREHENSIVE_INCOME","FQ3 2019","FQ3 2019","Currency=USD","Period=FQ","BEST_FPERIOD_OVERRIDE=FQ","FILING_STATUS=MR","SCALING_FORMAT=MLN","Sort=A","Dates=H","DateFormat=P","Fill=—","Direction=H","UseDPDF=Y")</f>
        <v>0</v>
      </c>
      <c r="G54" s="13">
        <f>_xll.BDH("AMGN US Equity","ARDR_OTHER_COMPREHENSIVE_INCOME","FQ4 2019","FQ4 2019","Currency=USD","Period=FQ","BEST_FPERIOD_OVERRIDE=FQ","FILING_STATUS=MR","SCALING_FORMAT=MLN","Sort=A","Dates=H","DateFormat=P","Fill=—","Direction=H","UseDPDF=Y")</f>
        <v>-11</v>
      </c>
      <c r="H54" s="13">
        <f>_xll.BDH("AMGN US Equity","ARDR_OTHER_COMPREHENSIVE_INCOME","FQ1 2020","FQ1 2020","Currency=USD","Period=FQ","BEST_FPERIOD_OVERRIDE=FQ","FILING_STATUS=MR","SCALING_FORMAT=MLN","Sort=A","Dates=H","DateFormat=P","Fill=—","Direction=H","UseDPDF=Y")</f>
        <v>-63</v>
      </c>
      <c r="I54" s="13">
        <f>_xll.BDH("AMGN US Equity","ARDR_OTHER_COMPREHENSIVE_INCOME","FQ2 2020","FQ2 2020","Currency=USD","Period=FQ","BEST_FPERIOD_OVERRIDE=FQ","FILING_STATUS=MR","SCALING_FORMAT=MLN","Sort=A","Dates=H","DateFormat=P","Fill=—","Direction=H","UseDPDF=Y")</f>
        <v>0</v>
      </c>
      <c r="J54" s="13">
        <f>_xll.BDH("AMGN US Equity","ARDR_OTHER_COMPREHENSIVE_INCOME","FQ3 2020","FQ3 2020","Currency=USD","Period=FQ","BEST_FPERIOD_OVERRIDE=FQ","FILING_STATUS=MR","SCALING_FORMAT=MLN","Sort=A","Dates=H","DateFormat=P","Fill=—","Direction=H","UseDPDF=Y")</f>
        <v>-135</v>
      </c>
      <c r="K54" s="13">
        <f>_xll.BDH("AMGN US Equity","ARDR_OTHER_COMPREHENSIVE_INCOME","FQ4 2020","FQ4 2020","Currency=USD","Period=FQ","BEST_FPERIOD_OVERRIDE=FQ","FILING_STATUS=MR","SCALING_FORMAT=MLN","Sort=A","Dates=H","DateFormat=P","Fill=—","Direction=H","UseDPDF=Y")</f>
        <v>2</v>
      </c>
      <c r="L54" s="13">
        <f>_xll.BDH("AMGN US Equity","ARDR_OTHER_COMPREHENSIVE_INCOME","FQ1 2021","FQ1 2021","Currency=USD","Period=FQ","BEST_FPERIOD_OVERRIDE=FQ","FILING_STATUS=MR","SCALING_FORMAT=MLN","Sort=A","Dates=H","DateFormat=P","Fill=—","Direction=H","UseDPDF=Y")</f>
        <v>191</v>
      </c>
      <c r="M54" s="13">
        <f>_xll.BDH("AMGN US Equity","ARDR_OTHER_COMPREHENSIVE_INCOME","FQ2 2021","FQ2 2021","Currency=USD","Period=FQ","BEST_FPERIOD_OVERRIDE=FQ","FILING_STATUS=MR","SCALING_FORMAT=MLN","Sort=A","Dates=H","DateFormat=P","Fill=—","Direction=H","UseDPDF=Y")</f>
        <v>-1</v>
      </c>
      <c r="N54" s="13">
        <f>_xll.BDH("AMGN US Equity","ARDR_OTHER_COMPREHENSIVE_INCOME","FQ3 2021","FQ3 2021","Currency=USD","Period=FQ","BEST_FPERIOD_OVERRIDE=FQ","FILING_STATUS=MR","SCALING_FORMAT=MLN","Sort=A","Dates=H","DateFormat=P","Fill=—","Direction=H","UseDPDF=Y")</f>
        <v>-3</v>
      </c>
      <c r="O54" s="13">
        <f>_xll.BDH("AMGN US Equity","ARDR_OTHER_COMPREHENSIVE_INCOME","FQ4 2021","FQ4 2021","Currency=USD","Period=FQ","BEST_FPERIOD_OVERRIDE=FQ","FILING_STATUS=MR","SCALING_FORMAT=MLN","Sort=A","Dates=H","DateFormat=P","Fill=—","Direction=H","UseDPDF=Y")</f>
        <v>4</v>
      </c>
      <c r="P54" s="13">
        <f>_xll.BDH("AMGN US Equity","ARDR_OTHER_COMPREHENSIVE_INCOME","FQ1 2022","FQ1 2022","Currency=USD","Period=FQ","BEST_FPERIOD_OVERRIDE=FQ","FILING_STATUS=MR","SCALING_FORMAT=MLN","Sort=A","Dates=H","DateFormat=P","Fill=—","Direction=H","UseDPDF=Y")</f>
        <v>84</v>
      </c>
      <c r="Q54" s="13">
        <f>_xll.BDH("AMGN US Equity","ARDR_OTHER_COMPREHENSIVE_INCOME","FQ2 2022","FQ2 2022","Currency=USD","Period=FQ","BEST_FPERIOD_OVERRIDE=FQ","FILING_STATUS=MR","SCALING_FORMAT=MLN","Sort=A","Dates=H","DateFormat=P","Fill=—","Direction=H","UseDPDF=Y")</f>
        <v>0</v>
      </c>
      <c r="R54" s="13">
        <f>_xll.BDH("AMGN US Equity","ARDR_OTHER_COMPREHENSIVE_INCOME","FQ3 2022","FQ3 2022","Currency=USD","Period=FQ","BEST_FPERIOD_OVERRIDE=FQ","FILING_STATUS=MR","SCALING_FORMAT=MLN","Sort=A","Dates=H","DateFormat=P","Fill=—","Direction=H","UseDPDF=Y")</f>
        <v>-9</v>
      </c>
      <c r="S54" s="13">
        <f>_xll.BDH("AMGN US Equity","ARDR_OTHER_COMPREHENSIVE_INCOME","FQ4 2022","FQ4 2022","Currency=USD","Period=FQ","BEST_FPERIOD_OVERRIDE=FQ","FILING_STATUS=MR","SCALING_FORMAT=MLN","Sort=A","Dates=H","DateFormat=P","Fill=—","Direction=H","UseDPDF=Y")</f>
        <v>11</v>
      </c>
      <c r="T54" s="13">
        <f>_xll.BDH("AMGN US Equity","ARDR_OTHER_COMPREHENSIVE_INCOME","FQ1 2023","FQ1 2023","Currency=USD","Period=FQ","BEST_FPERIOD_OVERRIDE=FQ","FILING_STATUS=MR","SCALING_FORMAT=MLN","Sort=A","Dates=H","DateFormat=P","Fill=—","Direction=H","UseDPDF=Y")</f>
        <v>21</v>
      </c>
      <c r="U54" s="13">
        <f>_xll.BDH("AMGN US Equity","ARDR_OTHER_COMPREHENSIVE_INCOME","FQ2 2023","FQ2 2023","Currency=USD","Period=FQ","BEST_FPERIOD_OVERRIDE=FQ","FILING_STATUS=MR","SCALING_FORMAT=MLN","Sort=A","Dates=H","DateFormat=P","Fill=—","Direction=H","UseDPDF=Y")</f>
        <v>-1</v>
      </c>
      <c r="V54" s="13">
        <f>_xll.BDH("AMGN US Equity","ARDR_OTHER_COMPREHENSIVE_INCOME","FQ3 2023","FQ3 2023","Currency=USD","Period=FQ","BEST_FPERIOD_OVERRIDE=FQ","FILING_STATUS=MR","SCALING_FORMAT=MLN","Sort=A","Dates=H","DateFormat=P","Fill=—","Direction=H","UseDPDF=Y")</f>
        <v>17</v>
      </c>
      <c r="W54" s="13">
        <f>_xll.BDH("AMGN US Equity","ARDR_OTHER_COMPREHENSIVE_INCOME","FQ4 2023","FQ4 2023","Currency=USD","Period=FQ","BEST_FPERIOD_OVERRIDE=FQ","FILING_STATUS=MR","SCALING_FORMAT=MLN","Sort=A","Dates=H","DateFormat=P","Fill=—","Direction=H","UseDPDF=Y")</f>
        <v>5</v>
      </c>
      <c r="X54" s="13">
        <f>_xll.BDH("AMGN US Equity","ARDR_OTHER_COMPREHENSIVE_INCOME","FQ1 2024","FQ1 2024","Currency=USD","Period=FQ","BEST_FPERIOD_OVERRIDE=FQ","FILING_STATUS=MR","SCALING_FORMAT=MLN","Sort=A","Dates=H","DateFormat=P","Fill=—","Direction=H","UseDPDF=Y")</f>
        <v>-3</v>
      </c>
      <c r="Y54" s="13">
        <f>_xll.BDH("AMGN US Equity","ARDR_OTHER_COMPREHENSIVE_INCOME","FQ2 2024","FQ2 2024","Currency=USD","Period=FQ","BEST_FPERIOD_OVERRIDE=FQ","FILING_STATUS=MR","SCALING_FORMAT=MLN","Sort=A","Dates=H","DateFormat=P","Fill=—","Direction=H","UseDPDF=Y")</f>
        <v>-1</v>
      </c>
      <c r="Z54" s="13">
        <f>_xll.BDH("AMGN US Equity","ARDR_OTHER_COMPREHENSIVE_INCOME","FQ3 2024","FQ3 2024","Currency=USD","Period=FQ","BEST_FPERIOD_OVERRIDE=FQ","FILING_STATUS=MR","SCALING_FORMAT=MLN","Sort=A","Dates=H","DateFormat=P","Fill=—","Direction=H","UseDPDF=Y")</f>
        <v>1</v>
      </c>
      <c r="AA54" s="13">
        <f>_xll.BDH("AMGN US Equity","ARDR_OTHER_COMPREHENSIVE_INCOME","FQ4 2024","FQ4 2024","Currency=USD","Period=FQ","BEST_FPERIOD_OVERRIDE=FQ","FILING_STATUS=MR","SCALING_FORMAT=MLN","Sort=A","Dates=H","DateFormat=P","Fill=—","Direction=H","UseDPDF=Y")</f>
        <v>-7</v>
      </c>
    </row>
    <row r="55" spans="1:27" x14ac:dyDescent="0.25">
      <c r="A55" s="10" t="s">
        <v>415</v>
      </c>
      <c r="B55" s="10" t="s">
        <v>495</v>
      </c>
      <c r="C55" s="13">
        <f>_xll.BDH("AMGN US Equity","ARDR_OTHER_REV","FQ4 2018","FQ4 2018","Currency=USD","Period=FQ","BEST_FPERIOD_OVERRIDE=FQ","FILING_STATUS=MR","SCALING_FORMAT=MLN","Sort=A","Dates=H","DateFormat=P","Fill=—","Direction=H","UseDPDF=Y")</f>
        <v>229</v>
      </c>
      <c r="D55" s="13">
        <f>_xll.BDH("AMGN US Equity","ARDR_OTHER_REV","FQ1 2019","FQ1 2019","Currency=USD","Period=FQ","BEST_FPERIOD_OVERRIDE=FQ","FILING_STATUS=MR","SCALING_FORMAT=MLN","Sort=A","Dates=H","DateFormat=P","Fill=—","Direction=H","UseDPDF=Y")</f>
        <v>271</v>
      </c>
      <c r="E55" s="13">
        <f>_xll.BDH("AMGN US Equity","ARDR_OTHER_REV","FQ2 2019","FQ2 2019","Currency=USD","Period=FQ","BEST_FPERIOD_OVERRIDE=FQ","FILING_STATUS=MR","SCALING_FORMAT=MLN","Sort=A","Dates=H","DateFormat=P","Fill=—","Direction=H","UseDPDF=Y")</f>
        <v>297</v>
      </c>
      <c r="F55" s="13">
        <f>_xll.BDH("AMGN US Equity","ARDR_OTHER_REV","FQ3 2019","FQ3 2019","Currency=USD","Period=FQ","BEST_FPERIOD_OVERRIDE=FQ","FILING_STATUS=MR","SCALING_FORMAT=MLN","Sort=A","Dates=H","DateFormat=P","Fill=—","Direction=H","UseDPDF=Y")</f>
        <v>274</v>
      </c>
      <c r="G55" s="13">
        <f>_xll.BDH("AMGN US Equity","ARDR_OTHER_REV","FQ4 2019","FQ4 2019","Currency=USD","Period=FQ","BEST_FPERIOD_OVERRIDE=FQ","FILING_STATUS=MR","SCALING_FORMAT=MLN","Sort=A","Dates=H","DateFormat=P","Fill=—","Direction=H","UseDPDF=Y")</f>
        <v>316</v>
      </c>
      <c r="H55" s="13">
        <f>_xll.BDH("AMGN US Equity","ARDR_OTHER_REV","FQ1 2020","FQ1 2020","Currency=USD","Period=FQ","BEST_FPERIOD_OVERRIDE=FQ","FILING_STATUS=MR","SCALING_FORMAT=MLN","Sort=A","Dates=H","DateFormat=P","Fill=—","Direction=H","UseDPDF=Y")</f>
        <v>267</v>
      </c>
      <c r="I55" s="13">
        <f>_xll.BDH("AMGN US Equity","ARDR_OTHER_REV","FQ2 2020","FQ2 2020","Currency=USD","Period=FQ","BEST_FPERIOD_OVERRIDE=FQ","FILING_STATUS=MR","SCALING_FORMAT=MLN","Sort=A","Dates=H","DateFormat=P","Fill=—","Direction=H","UseDPDF=Y")</f>
        <v>298</v>
      </c>
      <c r="J55" s="13">
        <f>_xll.BDH("AMGN US Equity","ARDR_OTHER_REV","FQ3 2020","FQ3 2020","Currency=USD","Period=FQ","BEST_FPERIOD_OVERRIDE=FQ","FILING_STATUS=MR","SCALING_FORMAT=MLN","Sort=A","Dates=H","DateFormat=P","Fill=—","Direction=H","UseDPDF=Y")</f>
        <v>319</v>
      </c>
      <c r="K55" s="13">
        <f>_xll.BDH("AMGN US Equity","ARDR_OTHER_REV","FQ4 2020","FQ4 2020","Currency=USD","Period=FQ","BEST_FPERIOD_OVERRIDE=FQ","FILING_STATUS=MR","SCALING_FORMAT=MLN","Sort=A","Dates=H","DateFormat=P","Fill=—","Direction=H","UseDPDF=Y")</f>
        <v>300</v>
      </c>
      <c r="L55" s="13">
        <f>_xll.BDH("AMGN US Equity","ARDR_OTHER_REV","FQ1 2021","FQ1 2021","Currency=USD","Period=FQ","BEST_FPERIOD_OVERRIDE=FQ","FILING_STATUS=MR","SCALING_FORMAT=MLN","Sort=A","Dates=H","DateFormat=P","Fill=—","Direction=H","UseDPDF=Y")</f>
        <v>309</v>
      </c>
      <c r="M55" s="13">
        <f>_xll.BDH("AMGN US Equity","ARDR_OTHER_REV","FQ2 2021","FQ2 2021","Currency=USD","Period=FQ","BEST_FPERIOD_OVERRIDE=FQ","FILING_STATUS=MR","SCALING_FORMAT=MLN","Sort=A","Dates=H","DateFormat=P","Fill=—","Direction=H","UseDPDF=Y")</f>
        <v>412</v>
      </c>
      <c r="N55" s="13">
        <f>_xll.BDH("AMGN US Equity","ARDR_OTHER_REV","FQ3 2021","FQ3 2021","Currency=USD","Period=FQ","BEST_FPERIOD_OVERRIDE=FQ","FILING_STATUS=MR","SCALING_FORMAT=MLN","Sort=A","Dates=H","DateFormat=P","Fill=—","Direction=H","UseDPDF=Y")</f>
        <v>386</v>
      </c>
      <c r="O55" s="13">
        <f>_xll.BDH("AMGN US Equity","ARDR_OTHER_REV","FQ4 2021","FQ4 2021","Currency=USD","Period=FQ","BEST_FPERIOD_OVERRIDE=FQ","FILING_STATUS=MR","SCALING_FORMAT=MLN","Sort=A","Dates=H","DateFormat=P","Fill=—","Direction=H","UseDPDF=Y")</f>
        <v>575</v>
      </c>
      <c r="P55" s="13">
        <f>_xll.BDH("AMGN US Equity","ARDR_OTHER_REV","FQ1 2022","FQ1 2022","Currency=USD","Period=FQ","BEST_FPERIOD_OVERRIDE=FQ","FILING_STATUS=MR","SCALING_FORMAT=MLN","Sort=A","Dates=H","DateFormat=P","Fill=—","Direction=H","UseDPDF=Y")</f>
        <v>507</v>
      </c>
      <c r="Q55" s="13">
        <f>_xll.BDH("AMGN US Equity","ARDR_OTHER_REV","FQ2 2022","FQ2 2022","Currency=USD","Period=FQ","BEST_FPERIOD_OVERRIDE=FQ","FILING_STATUS=MR","SCALING_FORMAT=MLN","Sort=A","Dates=H","DateFormat=P","Fill=—","Direction=H","UseDPDF=Y")</f>
        <v>313</v>
      </c>
      <c r="R55" s="13">
        <f>_xll.BDH("AMGN US Equity","ARDR_OTHER_REV","FQ3 2022","FQ3 2022","Currency=USD","Period=FQ","BEST_FPERIOD_OVERRIDE=FQ","FILING_STATUS=MR","SCALING_FORMAT=MLN","Sort=A","Dates=H","DateFormat=P","Fill=—","Direction=H","UseDPDF=Y")</f>
        <v>415</v>
      </c>
      <c r="S55" s="13">
        <f>_xll.BDH("AMGN US Equity","ARDR_OTHER_REV","FQ4 2022","FQ4 2022","Currency=USD","Period=FQ","BEST_FPERIOD_OVERRIDE=FQ","FILING_STATUS=MR","SCALING_FORMAT=MLN","Sort=A","Dates=H","DateFormat=P","Fill=—","Direction=H","UseDPDF=Y")</f>
        <v>287</v>
      </c>
      <c r="T55" s="13">
        <f>_xll.BDH("AMGN US Equity","ARDR_OTHER_REV","FQ1 2023","FQ1 2023","Currency=USD","Period=FQ","BEST_FPERIOD_OVERRIDE=FQ","FILING_STATUS=MR","SCALING_FORMAT=MLN","Sort=A","Dates=H","DateFormat=P","Fill=—","Direction=H","UseDPDF=Y")</f>
        <v>259</v>
      </c>
      <c r="U55" s="13">
        <f>_xll.BDH("AMGN US Equity","ARDR_OTHER_REV","FQ2 2023","FQ2 2023","Currency=USD","Period=FQ","BEST_FPERIOD_OVERRIDE=FQ","FILING_STATUS=MR","SCALING_FORMAT=MLN","Sort=A","Dates=H","DateFormat=P","Fill=—","Direction=H","UseDPDF=Y")</f>
        <v>303</v>
      </c>
      <c r="V55" s="13">
        <f>_xll.BDH("AMGN US Equity","ARDR_OTHER_REV","FQ3 2023","FQ3 2023","Currency=USD","Period=FQ","BEST_FPERIOD_OVERRIDE=FQ","FILING_STATUS=MR","SCALING_FORMAT=MLN","Sort=A","Dates=H","DateFormat=P","Fill=—","Direction=H","UseDPDF=Y")</f>
        <v>355</v>
      </c>
      <c r="W55" s="13">
        <f>_xll.BDH("AMGN US Equity","ARDR_OTHER_REV","FQ4 2023","FQ4 2023","Currency=USD","Period=FQ","BEST_FPERIOD_OVERRIDE=FQ","FILING_STATUS=MR","SCALING_FORMAT=MLN","Sort=A","Dates=H","DateFormat=P","Fill=—","Direction=H","UseDPDF=Y")</f>
        <v>363</v>
      </c>
      <c r="X55" s="13">
        <f>_xll.BDH("AMGN US Equity","ARDR_OTHER_REV","FQ1 2024","FQ1 2024","Currency=USD","Period=FQ","BEST_FPERIOD_OVERRIDE=FQ","FILING_STATUS=MR","SCALING_FORMAT=MLN","Sort=A","Dates=H","DateFormat=P","Fill=—","Direction=H","UseDPDF=Y")</f>
        <v>329</v>
      </c>
      <c r="Y55" s="13">
        <f>_xll.BDH("AMGN US Equity","ARDR_OTHER_REV","FQ2 2024","FQ2 2024","Currency=USD","Period=FQ","BEST_FPERIOD_OVERRIDE=FQ","FILING_STATUS=MR","SCALING_FORMAT=MLN","Sort=A","Dates=H","DateFormat=P","Fill=—","Direction=H","UseDPDF=Y")</f>
        <v>347</v>
      </c>
      <c r="Z55" s="13">
        <f>_xll.BDH("AMGN US Equity","ARDR_OTHER_REV","FQ3 2024","FQ3 2024","Currency=USD","Period=FQ","BEST_FPERIOD_OVERRIDE=FQ","FILING_STATUS=MR","SCALING_FORMAT=MLN","Sort=A","Dates=H","DateFormat=P","Fill=—","Direction=H","UseDPDF=Y")</f>
        <v>352</v>
      </c>
      <c r="AA55" s="13">
        <f>_xll.BDH("AMGN US Equity","ARDR_OTHER_REV","FQ4 2024","FQ4 2024","Currency=USD","Period=FQ","BEST_FPERIOD_OVERRIDE=FQ","FILING_STATUS=MR","SCALING_FORMAT=MLN","Sort=A","Dates=H","DateFormat=P","Fill=—","Direction=H","UseDPDF=Y")</f>
        <v>370</v>
      </c>
    </row>
    <row r="56" spans="1:27" x14ac:dyDescent="0.25">
      <c r="A56" s="10" t="s">
        <v>400</v>
      </c>
      <c r="B56" s="10" t="s">
        <v>496</v>
      </c>
      <c r="C56" s="13">
        <f>_xll.BDH("AMGN US Equity","ARDR_TOTAL_CASH_COMMON_DVD","FQ4 2018","FQ4 2018","Currency=USD","Period=FQ","BEST_FPERIOD_OVERRIDE=FQ","FILING_STATUS=MR","SCALING_FORMAT=MLN","Sort=A","Dates=H","DateFormat=P","Fill=—","Direction=H","UseDPDF=Y")</f>
        <v>800</v>
      </c>
      <c r="D56" s="13">
        <f>_xll.BDH("AMGN US Equity","ARDR_TOTAL_CASH_COMMON_DVD","FQ1 2019","FQ1 2019","Currency=USD","Period=FQ","BEST_FPERIOD_OVERRIDE=FQ","FILING_STATUS=MR","SCALING_FORMAT=MLN","Sort=A","Dates=H","DateFormat=P","Fill=—","Direction=H","UseDPDF=Y")</f>
        <v>900</v>
      </c>
      <c r="E56" s="13">
        <f>_xll.BDH("AMGN US Equity","ARDR_TOTAL_CASH_COMMON_DVD","FQ2 2019","FQ2 2019","Currency=USD","Period=FQ","BEST_FPERIOD_OVERRIDE=FQ","FILING_STATUS=MR","SCALING_FORMAT=MLN","Sort=A","Dates=H","DateFormat=P","Fill=—","Direction=H","UseDPDF=Y")</f>
        <v>900</v>
      </c>
      <c r="F56" s="13">
        <f>_xll.BDH("AMGN US Equity","ARDR_TOTAL_CASH_COMMON_DVD","FQ3 2019","FQ3 2019","Currency=USD","Period=FQ","BEST_FPERIOD_OVERRIDE=FQ","FILING_STATUS=MR","SCALING_FORMAT=MLN","Sort=A","Dates=H","DateFormat=P","Fill=—","Direction=H","UseDPDF=Y")</f>
        <v>900</v>
      </c>
      <c r="G56" s="13">
        <f>_xll.BDH("AMGN US Equity","ARDR_TOTAL_CASH_COMMON_DVD","FQ4 2019","FQ4 2019","Currency=USD","Period=FQ","BEST_FPERIOD_OVERRIDE=FQ","FILING_STATUS=MR","SCALING_FORMAT=MLN","Sort=A","Dates=H","DateFormat=P","Fill=—","Direction=H","UseDPDF=Y")</f>
        <v>900</v>
      </c>
      <c r="H56" s="13">
        <f>_xll.BDH("AMGN US Equity","ARDR_TOTAL_CASH_COMMON_DVD","FQ1 2020","FQ1 2020","Currency=USD","Period=FQ","BEST_FPERIOD_OVERRIDE=FQ","FILING_STATUS=MR","SCALING_FORMAT=MLN","Sort=A","Dates=H","DateFormat=P","Fill=—","Direction=H","UseDPDF=Y")</f>
        <v>945</v>
      </c>
      <c r="I56" s="13">
        <f>_xll.BDH("AMGN US Equity","ARDR_TOTAL_CASH_COMMON_DVD","FQ2 2020","FQ2 2020","Currency=USD","Period=FQ","BEST_FPERIOD_OVERRIDE=FQ","FILING_STATUS=MR","SCALING_FORMAT=MLN","Sort=A","Dates=H","DateFormat=P","Fill=—","Direction=H","UseDPDF=Y")</f>
        <v>900</v>
      </c>
      <c r="J56" s="13" t="str">
        <f>_xll.BDH("AMGN US Equity","ARDR_TOTAL_CASH_COMMON_DVD","FQ3 2020","FQ3 2020","Currency=USD","Period=FQ","BEST_FPERIOD_OVERRIDE=FQ","FILING_STATUS=MR","SCALING_FORMAT=MLN","Sort=A","Dates=H","DateFormat=P","Fill=—","Direction=H","UseDPDF=Y")</f>
        <v>—</v>
      </c>
      <c r="K56" s="13">
        <f>_xll.BDH("AMGN US Equity","ARDR_TOTAL_CASH_COMMON_DVD","FQ4 2020","FQ4 2020","Currency=USD","Period=FQ","BEST_FPERIOD_OVERRIDE=FQ","FILING_STATUS=MR","SCALING_FORMAT=MLN","Sort=A","Dates=H","DateFormat=P","Fill=—","Direction=H","UseDPDF=Y")</f>
        <v>900</v>
      </c>
      <c r="L56" s="13">
        <f>_xll.BDH("AMGN US Equity","ARDR_TOTAL_CASH_COMMON_DVD","FQ1 2021","FQ1 2021","Currency=USD","Period=FQ","BEST_FPERIOD_OVERRIDE=FQ","FILING_STATUS=MR","SCALING_FORMAT=MLN","Sort=A","Dates=H","DateFormat=P","Fill=—","Direction=H","UseDPDF=Y")</f>
        <v>1000</v>
      </c>
      <c r="M56" s="13">
        <f>_xll.BDH("AMGN US Equity","ARDR_TOTAL_CASH_COMMON_DVD","FQ2 2021","FQ2 2021","Currency=USD","Period=FQ","BEST_FPERIOD_OVERRIDE=FQ","FILING_STATUS=MR","SCALING_FORMAT=MLN","Sort=A","Dates=H","DateFormat=P","Fill=—","Direction=H","UseDPDF=Y")</f>
        <v>1000</v>
      </c>
      <c r="N56" s="13" t="str">
        <f>_xll.BDH("AMGN US Equity","ARDR_TOTAL_CASH_COMMON_DVD","FQ3 2021","FQ3 2021","Currency=USD","Period=FQ","BEST_FPERIOD_OVERRIDE=FQ","FILING_STATUS=MR","SCALING_FORMAT=MLN","Sort=A","Dates=H","DateFormat=P","Fill=—","Direction=H","UseDPDF=Y")</f>
        <v>—</v>
      </c>
      <c r="O56" s="13">
        <f>_xll.BDH("AMGN US Equity","ARDR_TOTAL_CASH_COMMON_DVD","FQ4 2021","FQ4 2021","Currency=USD","Period=FQ","BEST_FPERIOD_OVERRIDE=FQ","FILING_STATUS=MR","SCALING_FORMAT=MLN","Sort=A","Dates=H","DateFormat=P","Fill=—","Direction=H","UseDPDF=Y")</f>
        <v>1000</v>
      </c>
      <c r="P56" s="13">
        <f>_xll.BDH("AMGN US Equity","ARDR_TOTAL_CASH_COMMON_DVD","FQ1 2022","FQ1 2022","Currency=USD","Period=FQ","BEST_FPERIOD_OVERRIDE=FQ","FILING_STATUS=MR","SCALING_FORMAT=MLN","Sort=A","Dates=H","DateFormat=P","Fill=—","Direction=H","UseDPDF=Y")</f>
        <v>1100</v>
      </c>
      <c r="Q56" s="13">
        <f>_xll.BDH("AMGN US Equity","ARDR_TOTAL_CASH_COMMON_DVD","FQ2 2022","FQ2 2022","Currency=USD","Period=FQ","BEST_FPERIOD_OVERRIDE=FQ","FILING_STATUS=MR","SCALING_FORMAT=MLN","Sort=A","Dates=H","DateFormat=P","Fill=—","Direction=H","UseDPDF=Y")</f>
        <v>1038</v>
      </c>
      <c r="R56" s="13" t="str">
        <f>_xll.BDH("AMGN US Equity","ARDR_TOTAL_CASH_COMMON_DVD","FQ3 2022","FQ3 2022","Currency=USD","Period=FQ","BEST_FPERIOD_OVERRIDE=FQ","FILING_STATUS=MR","SCALING_FORMAT=MLN","Sort=A","Dates=H","DateFormat=P","Fill=—","Direction=H","UseDPDF=Y")</f>
        <v>—</v>
      </c>
      <c r="S56" s="13">
        <f>_xll.BDH("AMGN US Equity","ARDR_TOTAL_CASH_COMMON_DVD","FQ4 2022","FQ4 2022","Currency=USD","Period=FQ","BEST_FPERIOD_OVERRIDE=FQ","FILING_STATUS=MR","SCALING_FORMAT=MLN","Sort=A","Dates=H","DateFormat=P","Fill=—","Direction=H","UseDPDF=Y")</f>
        <v>1000</v>
      </c>
      <c r="T56" s="13">
        <f>_xll.BDH("AMGN US Equity","ARDR_TOTAL_CASH_COMMON_DVD","FQ1 2023","FQ1 2023","Currency=USD","Period=FQ","BEST_FPERIOD_OVERRIDE=FQ","FILING_STATUS=MR","SCALING_FORMAT=MLN","Sort=A","Dates=H","DateFormat=P","Fill=—","Direction=H","UseDPDF=Y")</f>
        <v>1100</v>
      </c>
      <c r="U56" s="13">
        <f>_xll.BDH("AMGN US Equity","ARDR_TOTAL_CASH_COMMON_DVD","FQ2 2023","FQ2 2023","Currency=USD","Period=FQ","BEST_FPERIOD_OVERRIDE=FQ","FILING_STATUS=MR","SCALING_FORMAT=MLN","Sort=A","Dates=H","DateFormat=P","Fill=—","Direction=H","UseDPDF=Y")</f>
        <v>1100</v>
      </c>
      <c r="V56" s="13" t="str">
        <f>_xll.BDH("AMGN US Equity","ARDR_TOTAL_CASH_COMMON_DVD","FQ3 2023","FQ3 2023","Currency=USD","Period=FQ","BEST_FPERIOD_OVERRIDE=FQ","FILING_STATUS=MR","SCALING_FORMAT=MLN","Sort=A","Dates=H","DateFormat=P","Fill=—","Direction=H","UseDPDF=Y")</f>
        <v>—</v>
      </c>
      <c r="W56" s="13">
        <f>_xll.BDH("AMGN US Equity","ARDR_TOTAL_CASH_COMMON_DVD","FQ4 2023","FQ4 2023","Currency=USD","Period=FQ","BEST_FPERIOD_OVERRIDE=FQ","FILING_STATUS=MR","SCALING_FORMAT=MLN","Sort=A","Dates=H","DateFormat=P","Fill=—","Direction=H","UseDPDF=Y")</f>
        <v>1100</v>
      </c>
      <c r="X56" s="13">
        <f>_xll.BDH("AMGN US Equity","ARDR_TOTAL_CASH_COMMON_DVD","FQ1 2024","FQ1 2024","Currency=USD","Period=FQ","BEST_FPERIOD_OVERRIDE=FQ","FILING_STATUS=MR","SCALING_FORMAT=MLN","Sort=A","Dates=H","DateFormat=P","Fill=—","Direction=H","UseDPDF=Y")</f>
        <v>1208</v>
      </c>
      <c r="Y56" s="13">
        <f>_xll.BDH("AMGN US Equity","ARDR_TOTAL_CASH_COMMON_DVD","FQ2 2024","FQ2 2024","Currency=USD","Period=FQ","BEST_FPERIOD_OVERRIDE=FQ","FILING_STATUS=MR","SCALING_FORMAT=MLN","Sort=A","Dates=H","DateFormat=P","Fill=—","Direction=H","UseDPDF=Y")</f>
        <v>1200</v>
      </c>
      <c r="Z56" s="13">
        <f>_xll.BDH("AMGN US Equity","ARDR_TOTAL_CASH_COMMON_DVD","FQ3 2024","FQ3 2024","Currency=USD","Period=FQ","BEST_FPERIOD_OVERRIDE=FQ","FILING_STATUS=MR","SCALING_FORMAT=MLN","Sort=A","Dates=H","DateFormat=P","Fill=—","Direction=H","UseDPDF=Y")</f>
        <v>1200</v>
      </c>
      <c r="AA56" s="13">
        <f>_xll.BDH("AMGN US Equity","ARDR_TOTAL_CASH_COMMON_DVD","FQ4 2024","FQ4 2024","Currency=USD","Period=FQ","BEST_FPERIOD_OVERRIDE=FQ","FILING_STATUS=MR","SCALING_FORMAT=MLN","Sort=A","Dates=H","DateFormat=P","Fill=—","Direction=H","UseDPDF=Y")</f>
        <v>1200</v>
      </c>
    </row>
    <row r="57" spans="1:27" x14ac:dyDescent="0.25">
      <c r="A57" s="10" t="s">
        <v>448</v>
      </c>
      <c r="B57" s="10" t="s">
        <v>497</v>
      </c>
      <c r="C57" s="14">
        <f>_xll.BDH("AMGN US Equity","ARDR_DVD_PER_SH","FQ4 2018","FQ4 2018","Currency=USD","Period=FQ","BEST_FPERIOD_OVERRIDE=FQ","FILING_STATUS=MR","Sort=A","Dates=H","DateFormat=P","Fill=—","Direction=H","UseDPDF=Y")</f>
        <v>1.32</v>
      </c>
      <c r="D57" s="14">
        <f>_xll.BDH("AMGN US Equity","ARDR_DVD_PER_SH","FQ1 2019","FQ1 2019","Currency=USD","Period=FQ","BEST_FPERIOD_OVERRIDE=FQ","FILING_STATUS=MR","Sort=A","Dates=H","DateFormat=P","Fill=—","Direction=H","UseDPDF=Y")</f>
        <v>1.45</v>
      </c>
      <c r="E57" s="14">
        <f>_xll.BDH("AMGN US Equity","ARDR_DVD_PER_SH","FQ2 2019","FQ2 2019","Currency=USD","Period=FQ","BEST_FPERIOD_OVERRIDE=FQ","FILING_STATUS=MR","Sort=A","Dates=H","DateFormat=P","Fill=—","Direction=H","UseDPDF=Y")</f>
        <v>1.45</v>
      </c>
      <c r="F57" s="14">
        <f>_xll.BDH("AMGN US Equity","ARDR_DVD_PER_SH","FQ3 2019","FQ3 2019","Currency=USD","Period=FQ","BEST_FPERIOD_OVERRIDE=FQ","FILING_STATUS=MR","Sort=A","Dates=H","DateFormat=P","Fill=—","Direction=H","UseDPDF=Y")</f>
        <v>1.45</v>
      </c>
      <c r="G57" s="14">
        <f>_xll.BDH("AMGN US Equity","ARDR_DVD_PER_SH","FQ4 2019","FQ4 2019","Currency=USD","Period=FQ","BEST_FPERIOD_OVERRIDE=FQ","FILING_STATUS=MR","Sort=A","Dates=H","DateFormat=P","Fill=—","Direction=H","UseDPDF=Y")</f>
        <v>1.45</v>
      </c>
      <c r="H57" s="14">
        <f>_xll.BDH("AMGN US Equity","ARDR_DVD_PER_SH","FQ1 2020","FQ1 2020","Currency=USD","Period=FQ","BEST_FPERIOD_OVERRIDE=FQ","FILING_STATUS=MR","Sort=A","Dates=H","DateFormat=P","Fill=—","Direction=H","UseDPDF=Y")</f>
        <v>1.6</v>
      </c>
      <c r="I57" s="14">
        <f>_xll.BDH("AMGN US Equity","ARDR_DVD_PER_SH","FQ2 2020","FQ2 2020","Currency=USD","Period=FQ","BEST_FPERIOD_OVERRIDE=FQ","FILING_STATUS=MR","Sort=A","Dates=H","DateFormat=P","Fill=—","Direction=H","UseDPDF=Y")</f>
        <v>1.6</v>
      </c>
      <c r="J57" s="14">
        <f>_xll.BDH("AMGN US Equity","ARDR_DVD_PER_SH","FQ3 2020","FQ3 2020","Currency=USD","Period=FQ","BEST_FPERIOD_OVERRIDE=FQ","FILING_STATUS=MR","Sort=A","Dates=H","DateFormat=P","Fill=—","Direction=H","UseDPDF=Y")</f>
        <v>1.6</v>
      </c>
      <c r="K57" s="14">
        <f>_xll.BDH("AMGN US Equity","ARDR_DVD_PER_SH","FQ4 2020","FQ4 2020","Currency=USD","Period=FQ","BEST_FPERIOD_OVERRIDE=FQ","FILING_STATUS=MR","Sort=A","Dates=H","DateFormat=P","Fill=—","Direction=H","UseDPDF=Y")</f>
        <v>1.6</v>
      </c>
      <c r="L57" s="14">
        <f>_xll.BDH("AMGN US Equity","ARDR_DVD_PER_SH","FQ1 2021","FQ1 2021","Currency=USD","Period=FQ","BEST_FPERIOD_OVERRIDE=FQ","FILING_STATUS=MR","Sort=A","Dates=H","DateFormat=P","Fill=—","Direction=H","UseDPDF=Y")</f>
        <v>1.76</v>
      </c>
      <c r="M57" s="14">
        <f>_xll.BDH("AMGN US Equity","ARDR_DVD_PER_SH","FQ2 2021","FQ2 2021","Currency=USD","Period=FQ","BEST_FPERIOD_OVERRIDE=FQ","FILING_STATUS=MR","Sort=A","Dates=H","DateFormat=P","Fill=—","Direction=H","UseDPDF=Y")</f>
        <v>1.76</v>
      </c>
      <c r="N57" s="14">
        <f>_xll.BDH("AMGN US Equity","ARDR_DVD_PER_SH","FQ3 2021","FQ3 2021","Currency=USD","Period=FQ","BEST_FPERIOD_OVERRIDE=FQ","FILING_STATUS=MR","Sort=A","Dates=H","DateFormat=P","Fill=—","Direction=H","UseDPDF=Y")</f>
        <v>1.76</v>
      </c>
      <c r="O57" s="14">
        <f>_xll.BDH("AMGN US Equity","ARDR_DVD_PER_SH","FQ4 2021","FQ4 2021","Currency=USD","Period=FQ","BEST_FPERIOD_OVERRIDE=FQ","FILING_STATUS=MR","Sort=A","Dates=H","DateFormat=P","Fill=—","Direction=H","UseDPDF=Y")</f>
        <v>1.76</v>
      </c>
      <c r="P57" s="14">
        <f>_xll.BDH("AMGN US Equity","ARDR_DVD_PER_SH","FQ1 2022","FQ1 2022","Currency=USD","Period=FQ","BEST_FPERIOD_OVERRIDE=FQ","FILING_STATUS=MR","Sort=A","Dates=H","DateFormat=P","Fill=—","Direction=H","UseDPDF=Y")</f>
        <v>1.94</v>
      </c>
      <c r="Q57" s="14">
        <f>_xll.BDH("AMGN US Equity","ARDR_DVD_PER_SH","FQ2 2022","FQ2 2022","Currency=USD","Period=FQ","BEST_FPERIOD_OVERRIDE=FQ","FILING_STATUS=MR","Sort=A","Dates=H","DateFormat=P","Fill=—","Direction=H","UseDPDF=Y")</f>
        <v>1.94</v>
      </c>
      <c r="R57" s="14">
        <f>_xll.BDH("AMGN US Equity","ARDR_DVD_PER_SH","FQ3 2022","FQ3 2022","Currency=USD","Period=FQ","BEST_FPERIOD_OVERRIDE=FQ","FILING_STATUS=MR","Sort=A","Dates=H","DateFormat=P","Fill=—","Direction=H","UseDPDF=Y")</f>
        <v>1.94</v>
      </c>
      <c r="S57" s="14">
        <f>_xll.BDH("AMGN US Equity","ARDR_DVD_PER_SH","FQ4 2022","FQ4 2022","Currency=USD","Period=FQ","BEST_FPERIOD_OVERRIDE=FQ","FILING_STATUS=MR","Sort=A","Dates=H","DateFormat=P","Fill=—","Direction=H","UseDPDF=Y")</f>
        <v>1.94</v>
      </c>
      <c r="T57" s="14">
        <f>_xll.BDH("AMGN US Equity","ARDR_DVD_PER_SH","FQ1 2023","FQ1 2023","Currency=USD","Period=FQ","BEST_FPERIOD_OVERRIDE=FQ","FILING_STATUS=MR","Sort=A","Dates=H","DateFormat=P","Fill=—","Direction=H","UseDPDF=Y")</f>
        <v>2.13</v>
      </c>
      <c r="U57" s="14">
        <f>_xll.BDH("AMGN US Equity","ARDR_DVD_PER_SH","FQ2 2023","FQ2 2023","Currency=USD","Period=FQ","BEST_FPERIOD_OVERRIDE=FQ","FILING_STATUS=MR","Sort=A","Dates=H","DateFormat=P","Fill=—","Direction=H","UseDPDF=Y")</f>
        <v>2.13</v>
      </c>
      <c r="V57" s="14">
        <f>_xll.BDH("AMGN US Equity","ARDR_DVD_PER_SH","FQ3 2023","FQ3 2023","Currency=USD","Period=FQ","BEST_FPERIOD_OVERRIDE=FQ","FILING_STATUS=MR","Sort=A","Dates=H","DateFormat=P","Fill=—","Direction=H","UseDPDF=Y")</f>
        <v>2.13</v>
      </c>
      <c r="W57" s="14">
        <f>_xll.BDH("AMGN US Equity","ARDR_DVD_PER_SH","FQ4 2023","FQ4 2023","Currency=USD","Period=FQ","BEST_FPERIOD_OVERRIDE=FQ","FILING_STATUS=MR","Sort=A","Dates=H","DateFormat=P","Fill=—","Direction=H","UseDPDF=Y")</f>
        <v>2.13</v>
      </c>
      <c r="X57" s="14">
        <f>_xll.BDH("AMGN US Equity","ARDR_DVD_PER_SH","FQ1 2024","FQ1 2024","Currency=USD","Period=FQ","BEST_FPERIOD_OVERRIDE=FQ","FILING_STATUS=MR","Sort=A","Dates=H","DateFormat=P","Fill=—","Direction=H","UseDPDF=Y")</f>
        <v>2.25</v>
      </c>
      <c r="Y57" s="14">
        <f>_xll.BDH("AMGN US Equity","ARDR_DVD_PER_SH","FQ2 2024","FQ2 2024","Currency=USD","Period=FQ","BEST_FPERIOD_OVERRIDE=FQ","FILING_STATUS=MR","Sort=A","Dates=H","DateFormat=P","Fill=—","Direction=H","UseDPDF=Y")</f>
        <v>2.25</v>
      </c>
      <c r="Z57" s="14">
        <f>_xll.BDH("AMGN US Equity","ARDR_DVD_PER_SH","FQ3 2024","FQ3 2024","Currency=USD","Period=FQ","BEST_FPERIOD_OVERRIDE=FQ","FILING_STATUS=MR","Sort=A","Dates=H","DateFormat=P","Fill=—","Direction=H","UseDPDF=Y")</f>
        <v>2.25</v>
      </c>
      <c r="AA57" s="14">
        <f>_xll.BDH("AMGN US Equity","ARDR_DVD_PER_SH","FQ4 2024","FQ4 2024","Currency=USD","Period=FQ","BEST_FPERIOD_OVERRIDE=FQ","FILING_STATUS=MR","Sort=A","Dates=H","DateFormat=P","Fill=—","Direction=H","UseDPDF=Y")</f>
        <v>2.25</v>
      </c>
    </row>
    <row r="58" spans="1:27" x14ac:dyDescent="0.25">
      <c r="A58" s="10" t="s">
        <v>450</v>
      </c>
      <c r="B58" s="10" t="s">
        <v>498</v>
      </c>
      <c r="C58" s="14">
        <f>_xll.BDH("AMGN US Equity","ARDR_BASIC_EPS","FQ4 2018","FQ4 2018","Currency=USD","Period=FQ","BEST_FPERIOD_OVERRIDE=FQ","FILING_STATUS=MR","Sort=A","Dates=H","DateFormat=P","Fill=—","Direction=H","UseDPDF=Y")</f>
        <v>3.04</v>
      </c>
      <c r="D58" s="14">
        <f>_xll.BDH("AMGN US Equity","ARDR_BASIC_EPS","FQ1 2019","FQ1 2019","Currency=USD","Period=FQ","BEST_FPERIOD_OVERRIDE=FQ","FILING_STATUS=MR","Sort=A","Dates=H","DateFormat=P","Fill=—","Direction=H","UseDPDF=Y")</f>
        <v>3.2</v>
      </c>
      <c r="E58" s="14">
        <f>_xll.BDH("AMGN US Equity","ARDR_BASIC_EPS","FQ2 2019","FQ2 2019","Currency=USD","Period=FQ","BEST_FPERIOD_OVERRIDE=FQ","FILING_STATUS=MR","Sort=A","Dates=H","DateFormat=P","Fill=—","Direction=H","UseDPDF=Y")</f>
        <v>3.59</v>
      </c>
      <c r="F58" s="14">
        <f>_xll.BDH("AMGN US Equity","ARDR_BASIC_EPS","FQ3 2019","FQ3 2019","Currency=USD","Period=FQ","BEST_FPERIOD_OVERRIDE=FQ","FILING_STATUS=MR","Sort=A","Dates=H","DateFormat=P","Fill=—","Direction=H","UseDPDF=Y")</f>
        <v>3.29</v>
      </c>
      <c r="G58" s="14">
        <f>_xll.BDH("AMGN US Equity","ARDR_BASIC_EPS","FQ4 2019","FQ4 2019","Currency=USD","Period=FQ","BEST_FPERIOD_OVERRIDE=FQ","FILING_STATUS=MR","Sort=A","Dates=H","DateFormat=P","Fill=—","Direction=H","UseDPDF=Y")</f>
        <v>2.87</v>
      </c>
      <c r="H58" s="14">
        <f>_xll.BDH("AMGN US Equity","ARDR_BASIC_EPS","FQ1 2020","FQ1 2020","Currency=USD","Period=FQ","BEST_FPERIOD_OVERRIDE=FQ","FILING_STATUS=MR","Sort=A","Dates=H","DateFormat=P","Fill=—","Direction=H","UseDPDF=Y")</f>
        <v>3.09</v>
      </c>
      <c r="I58" s="14">
        <f>_xll.BDH("AMGN US Equity","ARDR_BASIC_EPS","FQ2 2020","FQ2 2020","Currency=USD","Period=FQ","BEST_FPERIOD_OVERRIDE=FQ","FILING_STATUS=MR","Sort=A","Dates=H","DateFormat=P","Fill=—","Direction=H","UseDPDF=Y")</f>
        <v>3.07</v>
      </c>
      <c r="J58" s="14">
        <f>_xll.BDH("AMGN US Equity","ARDR_BASIC_EPS","FQ3 2020","FQ3 2020","Currency=USD","Period=FQ","BEST_FPERIOD_OVERRIDE=FQ","FILING_STATUS=MR","Sort=A","Dates=H","DateFormat=P","Fill=—","Direction=H","UseDPDF=Y")</f>
        <v>3.45</v>
      </c>
      <c r="K58" s="14">
        <f>_xll.BDH("AMGN US Equity","ARDR_BASIC_EPS","FQ4 2020","FQ4 2020","Currency=USD","Period=FQ","BEST_FPERIOD_OVERRIDE=FQ","FILING_STATUS=MR","Sort=A","Dates=H","DateFormat=P","Fill=—","Direction=H","UseDPDF=Y")</f>
        <v>2.78</v>
      </c>
      <c r="L58" s="14">
        <f>_xll.BDH("AMGN US Equity","ARDR_BASIC_EPS","FQ1 2021","FQ1 2021","Currency=USD","Period=FQ","BEST_FPERIOD_OVERRIDE=FQ","FILING_STATUS=MR","Sort=A","Dates=H","DateFormat=P","Fill=—","Direction=H","UseDPDF=Y")</f>
        <v>2.85</v>
      </c>
      <c r="M58" s="14">
        <f>_xll.BDH("AMGN US Equity","ARDR_BASIC_EPS","FQ2 2021","FQ2 2021","Currency=USD","Period=FQ","BEST_FPERIOD_OVERRIDE=FQ","FILING_STATUS=MR","Sort=A","Dates=H","DateFormat=P","Fill=—","Direction=H","UseDPDF=Y")</f>
        <v>0.81</v>
      </c>
      <c r="N58" s="14">
        <f>_xll.BDH("AMGN US Equity","ARDR_BASIC_EPS","FQ3 2021","FQ3 2021","Currency=USD","Period=FQ","BEST_FPERIOD_OVERRIDE=FQ","FILING_STATUS=MR","Sort=A","Dates=H","DateFormat=P","Fill=—","Direction=H","UseDPDF=Y")</f>
        <v>3.32</v>
      </c>
      <c r="O58" s="14">
        <f>_xll.BDH("AMGN US Equity","ARDR_BASIC_EPS","FQ4 2021","FQ4 2021","Currency=USD","Period=FQ","BEST_FPERIOD_OVERRIDE=FQ","FILING_STATUS=MR","Sort=A","Dates=H","DateFormat=P","Fill=—","Direction=H","UseDPDF=Y")</f>
        <v>3.38</v>
      </c>
      <c r="P58" s="14">
        <f>_xll.BDH("AMGN US Equity","ARDR_BASIC_EPS","FQ1 2022","FQ1 2022","Currency=USD","Period=FQ","BEST_FPERIOD_OVERRIDE=FQ","FILING_STATUS=MR","Sort=A","Dates=H","DateFormat=P","Fill=—","Direction=H","UseDPDF=Y")</f>
        <v>2.69</v>
      </c>
      <c r="Q58" s="14">
        <f>_xll.BDH("AMGN US Equity","ARDR_BASIC_EPS","FQ2 2022","FQ2 2022","Currency=USD","Period=FQ","BEST_FPERIOD_OVERRIDE=FQ","FILING_STATUS=MR","Sort=A","Dates=H","DateFormat=P","Fill=—","Direction=H","UseDPDF=Y")</f>
        <v>2.46</v>
      </c>
      <c r="R58" s="14">
        <f>_xll.BDH("AMGN US Equity","ARDR_BASIC_EPS","FQ3 2022","FQ3 2022","Currency=USD","Period=FQ","BEST_FPERIOD_OVERRIDE=FQ","FILING_STATUS=MR","Sort=A","Dates=H","DateFormat=P","Fill=—","Direction=H","UseDPDF=Y")</f>
        <v>4.01</v>
      </c>
      <c r="S58" s="14">
        <f>_xll.BDH("AMGN US Equity","ARDR_BASIC_EPS","FQ4 2022","FQ4 2022","Currency=USD","Period=FQ","BEST_FPERIOD_OVERRIDE=FQ","FILING_STATUS=MR","Sort=A","Dates=H","DateFormat=P","Fill=—","Direction=H","UseDPDF=Y")</f>
        <v>3.02</v>
      </c>
      <c r="T58" s="14">
        <f>_xll.BDH("AMGN US Equity","ARDR_BASIC_EPS","FQ1 2023","FQ1 2023","Currency=USD","Period=FQ","BEST_FPERIOD_OVERRIDE=FQ","FILING_STATUS=MR","Sort=A","Dates=H","DateFormat=P","Fill=—","Direction=H","UseDPDF=Y")</f>
        <v>5.32</v>
      </c>
      <c r="U58" s="14">
        <f>_xll.BDH("AMGN US Equity","ARDR_BASIC_EPS","FQ2 2023","FQ2 2023","Currency=USD","Period=FQ","BEST_FPERIOD_OVERRIDE=FQ","FILING_STATUS=MR","Sort=A","Dates=H","DateFormat=P","Fill=—","Direction=H","UseDPDF=Y")</f>
        <v>2.58</v>
      </c>
      <c r="V58" s="14">
        <f>_xll.BDH("AMGN US Equity","ARDR_BASIC_EPS","FQ3 2023","FQ3 2023","Currency=USD","Period=FQ","BEST_FPERIOD_OVERRIDE=FQ","FILING_STATUS=MR","Sort=A","Dates=H","DateFormat=P","Fill=—","Direction=H","UseDPDF=Y")</f>
        <v>3.23</v>
      </c>
      <c r="W58" s="14">
        <f>_xll.BDH("AMGN US Equity","ARDR_BASIC_EPS","FQ4 2023","FQ4 2023","Currency=USD","Period=FQ","BEST_FPERIOD_OVERRIDE=FQ","FILING_STATUS=MR","Sort=A","Dates=H","DateFormat=P","Fill=—","Direction=H","UseDPDF=Y")</f>
        <v>1.43</v>
      </c>
      <c r="X58" s="14">
        <f>_xll.BDH("AMGN US Equity","ARDR_BASIC_EPS","FQ1 2024","FQ1 2024","Currency=USD","Period=FQ","BEST_FPERIOD_OVERRIDE=FQ","FILING_STATUS=MR","Sort=A","Dates=H","DateFormat=P","Fill=—","Direction=H","UseDPDF=Y")</f>
        <v>-0.21</v>
      </c>
      <c r="Y58" s="14">
        <f>_xll.BDH("AMGN US Equity","ARDR_BASIC_EPS","FQ2 2024","FQ2 2024","Currency=USD","Period=FQ","BEST_FPERIOD_OVERRIDE=FQ","FILING_STATUS=MR","Sort=A","Dates=H","DateFormat=P","Fill=—","Direction=H","UseDPDF=Y")</f>
        <v>1.39</v>
      </c>
      <c r="Z58" s="14">
        <f>_xll.BDH("AMGN US Equity","ARDR_BASIC_EPS","FQ3 2024","FQ3 2024","Currency=USD","Period=FQ","BEST_FPERIOD_OVERRIDE=FQ","FILING_STATUS=MR","Sort=A","Dates=H","DateFormat=P","Fill=—","Direction=H","UseDPDF=Y")</f>
        <v>5.27</v>
      </c>
      <c r="AA58" s="14">
        <f>_xll.BDH("AMGN US Equity","ARDR_BASIC_EPS","FQ4 2024","FQ4 2024","Currency=USD","Period=FQ","BEST_FPERIOD_OVERRIDE=FQ","FILING_STATUS=MR","Sort=A","Dates=H","DateFormat=P","Fill=—","Direction=H","UseDPDF=Y")</f>
        <v>1.17</v>
      </c>
    </row>
    <row r="59" spans="1:27" x14ac:dyDescent="0.25">
      <c r="A59" s="10" t="s">
        <v>452</v>
      </c>
      <c r="B59" s="10" t="s">
        <v>499</v>
      </c>
      <c r="C59" s="13">
        <f>_xll.BDH("AMGN US Equity","ARDR_WEIGHTED_AVG_SHARES_BASIC","FQ4 2018","FQ4 2018","Currency=USD","Period=FQ","BEST_FPERIOD_OVERRIDE=FQ","FILING_STATUS=MR","Sort=A","Dates=H","DateFormat=P","Fill=—","Direction=H","UseDPDF=Y")</f>
        <v>635</v>
      </c>
      <c r="D59" s="13">
        <f>_xll.BDH("AMGN US Equity","ARDR_WEIGHTED_AVG_SHARES_BASIC","FQ1 2019","FQ1 2019","Currency=USD","Period=FQ","BEST_FPERIOD_OVERRIDE=FQ","FILING_STATUS=MR","Sort=A","Dates=H","DateFormat=P","Fill=—","Direction=H","UseDPDF=Y")</f>
        <v>622</v>
      </c>
      <c r="E59" s="13">
        <f>_xll.BDH("AMGN US Equity","ARDR_WEIGHTED_AVG_SHARES_BASIC","FQ2 2019","FQ2 2019","Currency=USD","Period=FQ","BEST_FPERIOD_OVERRIDE=FQ","FILING_STATUS=MR","Sort=A","Dates=H","DateFormat=P","Fill=—","Direction=H","UseDPDF=Y")</f>
        <v>607</v>
      </c>
      <c r="F59" s="13">
        <f>_xll.BDH("AMGN US Equity","ARDR_WEIGHTED_AVG_SHARES_BASIC","FQ3 2019","FQ3 2019","Currency=USD","Period=FQ","BEST_FPERIOD_OVERRIDE=FQ","FILING_STATUS=MR","Sort=A","Dates=H","DateFormat=P","Fill=—","Direction=H","UseDPDF=Y")</f>
        <v>599</v>
      </c>
      <c r="G59" s="13">
        <f>_xll.BDH("AMGN US Equity","ARDR_WEIGHTED_AVG_SHARES_BASIC","FQ4 2019","FQ4 2019","Currency=USD","Period=FQ","BEST_FPERIOD_OVERRIDE=FQ","FILING_STATUS=MR","Sort=A","Dates=H","DateFormat=P","Fill=—","Direction=H","UseDPDF=Y")</f>
        <v>593</v>
      </c>
      <c r="H59" s="13">
        <f>_xll.BDH("AMGN US Equity","ARDR_WEIGHTED_AVG_SHARES_BASIC","FQ1 2020","FQ1 2020","Currency=USD","Period=FQ","BEST_FPERIOD_OVERRIDE=FQ","FILING_STATUS=MR","Sort=A","Dates=H","DateFormat=P","Fill=—","Direction=H","UseDPDF=Y")</f>
        <v>590</v>
      </c>
      <c r="I59" s="13">
        <f>_xll.BDH("AMGN US Equity","ARDR_WEIGHTED_AVG_SHARES_BASIC","FQ2 2020","FQ2 2020","Currency=USD","Period=FQ","BEST_FPERIOD_OVERRIDE=FQ","FILING_STATUS=MR","Sort=A","Dates=H","DateFormat=P","Fill=—","Direction=H","UseDPDF=Y")</f>
        <v>588</v>
      </c>
      <c r="J59" s="13">
        <f>_xll.BDH("AMGN US Equity","ARDR_WEIGHTED_AVG_SHARES_BASIC","FQ3 2020","FQ3 2020","Currency=USD","Period=FQ","BEST_FPERIOD_OVERRIDE=FQ","FILING_STATUS=MR","Sort=A","Dates=H","DateFormat=P","Fill=—","Direction=H","UseDPDF=Y")</f>
        <v>585</v>
      </c>
      <c r="K59" s="13">
        <f>_xll.BDH("AMGN US Equity","ARDR_WEIGHTED_AVG_SHARES_BASIC","FQ4 2020","FQ4 2020","Currency=USD","Period=FQ","BEST_FPERIOD_OVERRIDE=FQ","FILING_STATUS=MR","Sort=A","Dates=H","DateFormat=P","Fill=—","Direction=H","UseDPDF=Y")</f>
        <v>581</v>
      </c>
      <c r="L59" s="13">
        <f>_xll.BDH("AMGN US Equity","ARDR_WEIGHTED_AVG_SHARES_BASIC","FQ1 2021","FQ1 2021","Currency=USD","Period=FQ","BEST_FPERIOD_OVERRIDE=FQ","FILING_STATUS=MR","Sort=A","Dates=H","DateFormat=P","Fill=—","Direction=H","UseDPDF=Y")</f>
        <v>577</v>
      </c>
      <c r="M59" s="13">
        <f>_xll.BDH("AMGN US Equity","ARDR_WEIGHTED_AVG_SHARES_BASIC","FQ2 2021","FQ2 2021","Currency=USD","Period=FQ","BEST_FPERIOD_OVERRIDE=FQ","FILING_STATUS=MR","Sort=A","Dates=H","DateFormat=P","Fill=—","Direction=H","UseDPDF=Y")</f>
        <v>573</v>
      </c>
      <c r="N59" s="13">
        <f>_xll.BDH("AMGN US Equity","ARDR_WEIGHTED_AVG_SHARES_BASIC","FQ3 2021","FQ3 2021","Currency=USD","Period=FQ","BEST_FPERIOD_OVERRIDE=FQ","FILING_STATUS=MR","Sort=A","Dates=H","DateFormat=P","Fill=—","Direction=H","UseDPDF=Y")</f>
        <v>567</v>
      </c>
      <c r="O59" s="13">
        <f>_xll.BDH("AMGN US Equity","ARDR_WEIGHTED_AVG_SHARES_BASIC","FQ4 2021","FQ4 2021","Currency=USD","Period=FQ","BEST_FPERIOD_OVERRIDE=FQ","FILING_STATUS=MR","Sort=A","Dates=H","DateFormat=P","Fill=—","Direction=H","UseDPDF=Y")</f>
        <v>562</v>
      </c>
      <c r="P59" s="13">
        <f>_xll.BDH("AMGN US Equity","ARDR_WEIGHTED_AVG_SHARES_BASIC","FQ1 2022","FQ1 2022","Currency=USD","Period=FQ","BEST_FPERIOD_OVERRIDE=FQ","FILING_STATUS=MR","Sort=A","Dates=H","DateFormat=P","Fill=—","Direction=H","UseDPDF=Y")</f>
        <v>548</v>
      </c>
      <c r="Q59" s="13">
        <f>_xll.BDH("AMGN US Equity","ARDR_WEIGHTED_AVG_SHARES_BASIC","FQ2 2022","FQ2 2022","Currency=USD","Period=FQ","BEST_FPERIOD_OVERRIDE=FQ","FILING_STATUS=MR","Sort=A","Dates=H","DateFormat=P","Fill=—","Direction=H","UseDPDF=Y")</f>
        <v>535</v>
      </c>
      <c r="R59" s="13">
        <f>_xll.BDH("AMGN US Equity","ARDR_WEIGHTED_AVG_SHARES_BASIC","FQ3 2022","FQ3 2022","Currency=USD","Period=FQ","BEST_FPERIOD_OVERRIDE=FQ","FILING_STATUS=MR","Sort=A","Dates=H","DateFormat=P","Fill=—","Direction=H","UseDPDF=Y")</f>
        <v>535</v>
      </c>
      <c r="S59" s="13">
        <f>_xll.BDH("AMGN US Equity","ARDR_WEIGHTED_AVG_SHARES_BASIC","FQ4 2022","FQ4 2022","Currency=USD","Period=FQ","BEST_FPERIOD_OVERRIDE=FQ","FILING_STATUS=MR","Sort=A","Dates=H","DateFormat=P","Fill=—","Direction=H","UseDPDF=Y")</f>
        <v>535</v>
      </c>
      <c r="T59" s="13">
        <f>_xll.BDH("AMGN US Equity","ARDR_WEIGHTED_AVG_SHARES_BASIC","FQ1 2023","FQ1 2023","Currency=USD","Period=FQ","BEST_FPERIOD_OVERRIDE=FQ","FILING_STATUS=MR","Sort=A","Dates=H","DateFormat=P","Fill=—","Direction=H","UseDPDF=Y")</f>
        <v>534</v>
      </c>
      <c r="U59" s="13">
        <f>_xll.BDH("AMGN US Equity","ARDR_WEIGHTED_AVG_SHARES_BASIC","FQ2 2023","FQ2 2023","Currency=USD","Period=FQ","BEST_FPERIOD_OVERRIDE=FQ","FILING_STATUS=MR","Sort=A","Dates=H","DateFormat=P","Fill=—","Direction=H","UseDPDF=Y")</f>
        <v>535</v>
      </c>
      <c r="V59" s="13">
        <f>_xll.BDH("AMGN US Equity","ARDR_WEIGHTED_AVG_SHARES_BASIC","FQ3 2023","FQ3 2023","Currency=USD","Period=FQ","BEST_FPERIOD_OVERRIDE=FQ","FILING_STATUS=MR","Sort=A","Dates=H","DateFormat=P","Fill=—","Direction=H","UseDPDF=Y")</f>
        <v>535</v>
      </c>
      <c r="W59" s="13">
        <f>_xll.BDH("AMGN US Equity","ARDR_WEIGHTED_AVG_SHARES_BASIC","FQ4 2023","FQ4 2023","Currency=USD","Period=FQ","BEST_FPERIOD_OVERRIDE=FQ","FILING_STATUS=MR","Sort=A","Dates=H","DateFormat=P","Fill=—","Direction=H","UseDPDF=Y")</f>
        <v>535</v>
      </c>
      <c r="X59" s="13">
        <f>_xll.BDH("AMGN US Equity","ARDR_WEIGHTED_AVG_SHARES_BASIC","FQ1 2024","FQ1 2024","Currency=USD","Period=FQ","BEST_FPERIOD_OVERRIDE=FQ","FILING_STATUS=MR","Sort=A","Dates=H","DateFormat=P","Fill=—","Direction=H","UseDPDF=Y")</f>
        <v>536</v>
      </c>
      <c r="Y59" s="13">
        <f>_xll.BDH("AMGN US Equity","ARDR_WEIGHTED_AVG_SHARES_BASIC","FQ2 2024","FQ2 2024","Currency=USD","Period=FQ","BEST_FPERIOD_OVERRIDE=FQ","FILING_STATUS=MR","Sort=A","Dates=H","DateFormat=P","Fill=—","Direction=H","UseDPDF=Y")</f>
        <v>537</v>
      </c>
      <c r="Z59" s="13">
        <f>_xll.BDH("AMGN US Equity","ARDR_WEIGHTED_AVG_SHARES_BASIC","FQ3 2024","FQ3 2024","Currency=USD","Period=FQ","BEST_FPERIOD_OVERRIDE=FQ","FILING_STATUS=MR","Sort=A","Dates=H","DateFormat=P","Fill=—","Direction=H","UseDPDF=Y")</f>
        <v>537</v>
      </c>
      <c r="AA59" s="13">
        <f>_xll.BDH("AMGN US Equity","ARDR_WEIGHTED_AVG_SHARES_BASIC","FQ4 2024","FQ4 2024","Currency=USD","Period=FQ","BEST_FPERIOD_OVERRIDE=FQ","FILING_STATUS=MR","Sort=A","Dates=H","DateFormat=P","Fill=—","Direction=H","UseDPDF=Y")</f>
        <v>537</v>
      </c>
    </row>
    <row r="60" spans="1:27" x14ac:dyDescent="0.25">
      <c r="A60" s="10" t="s">
        <v>454</v>
      </c>
      <c r="B60" s="10" t="s">
        <v>500</v>
      </c>
      <c r="C60" s="14">
        <f>_xll.BDH("AMGN US Equity","ARDR_DILUTED_EPS","FQ4 2018","FQ4 2018","Currency=USD","Period=FQ","BEST_FPERIOD_OVERRIDE=FQ","FILING_STATUS=MR","Sort=A","Dates=H","DateFormat=P","Fill=—","Direction=H","UseDPDF=Y")</f>
        <v>3.01</v>
      </c>
      <c r="D60" s="14">
        <f>_xll.BDH("AMGN US Equity","ARDR_DILUTED_EPS","FQ1 2019","FQ1 2019","Currency=USD","Period=FQ","BEST_FPERIOD_OVERRIDE=FQ","FILING_STATUS=MR","Sort=A","Dates=H","DateFormat=P","Fill=—","Direction=H","UseDPDF=Y")</f>
        <v>3.18</v>
      </c>
      <c r="E60" s="14">
        <f>_xll.BDH("AMGN US Equity","ARDR_DILUTED_EPS","FQ2 2019","FQ2 2019","Currency=USD","Period=FQ","BEST_FPERIOD_OVERRIDE=FQ","FILING_STATUS=MR","Sort=A","Dates=H","DateFormat=P","Fill=—","Direction=H","UseDPDF=Y")</f>
        <v>3.57</v>
      </c>
      <c r="F60" s="14">
        <f>_xll.BDH("AMGN US Equity","ARDR_DILUTED_EPS","FQ3 2019","FQ3 2019","Currency=USD","Period=FQ","BEST_FPERIOD_OVERRIDE=FQ","FILING_STATUS=MR","Sort=A","Dates=H","DateFormat=P","Fill=—","Direction=H","UseDPDF=Y")</f>
        <v>3.27</v>
      </c>
      <c r="G60" s="14">
        <f>_xll.BDH("AMGN US Equity","ARDR_DILUTED_EPS","FQ4 2019","FQ4 2019","Currency=USD","Period=FQ","BEST_FPERIOD_OVERRIDE=FQ","FILING_STATUS=MR","Sort=A","Dates=H","DateFormat=P","Fill=—","Direction=H","UseDPDF=Y")</f>
        <v>2.85</v>
      </c>
      <c r="H60" s="14">
        <f>_xll.BDH("AMGN US Equity","ARDR_DILUTED_EPS","FQ1 2020","FQ1 2020","Currency=USD","Period=FQ","BEST_FPERIOD_OVERRIDE=FQ","FILING_STATUS=MR","Sort=A","Dates=H","DateFormat=P","Fill=—","Direction=H","UseDPDF=Y")</f>
        <v>3.07</v>
      </c>
      <c r="I60" s="14">
        <f>_xll.BDH("AMGN US Equity","ARDR_DILUTED_EPS","FQ2 2020","FQ2 2020","Currency=USD","Period=FQ","BEST_FPERIOD_OVERRIDE=FQ","FILING_STATUS=MR","Sort=A","Dates=H","DateFormat=P","Fill=—","Direction=H","UseDPDF=Y")</f>
        <v>3.05</v>
      </c>
      <c r="J60" s="14">
        <f>_xll.BDH("AMGN US Equity","ARDR_DILUTED_EPS","FQ3 2020","FQ3 2020","Currency=USD","Period=FQ","BEST_FPERIOD_OVERRIDE=FQ","FILING_STATUS=MR","Sort=A","Dates=H","DateFormat=P","Fill=—","Direction=H","UseDPDF=Y")</f>
        <v>3.43</v>
      </c>
      <c r="K60" s="14">
        <f>_xll.BDH("AMGN US Equity","ARDR_DILUTED_EPS","FQ4 2020","FQ4 2020","Currency=USD","Period=FQ","BEST_FPERIOD_OVERRIDE=FQ","FILING_STATUS=MR","Sort=A","Dates=H","DateFormat=P","Fill=—","Direction=H","UseDPDF=Y")</f>
        <v>2.76</v>
      </c>
      <c r="L60" s="14">
        <f>_xll.BDH("AMGN US Equity","ARDR_DILUTED_EPS","FQ1 2021","FQ1 2021","Currency=USD","Period=FQ","BEST_FPERIOD_OVERRIDE=FQ","FILING_STATUS=MR","Sort=A","Dates=H","DateFormat=P","Fill=—","Direction=H","UseDPDF=Y")</f>
        <v>2.83</v>
      </c>
      <c r="M60" s="14">
        <f>_xll.BDH("AMGN US Equity","ARDR_DILUTED_EPS","FQ2 2021","FQ2 2021","Currency=USD","Period=FQ","BEST_FPERIOD_OVERRIDE=FQ","FILING_STATUS=MR","Sort=A","Dates=H","DateFormat=P","Fill=—","Direction=H","UseDPDF=Y")</f>
        <v>0.81</v>
      </c>
      <c r="N60" s="14">
        <f>_xll.BDH("AMGN US Equity","ARDR_DILUTED_EPS","FQ3 2021","FQ3 2021","Currency=USD","Period=FQ","BEST_FPERIOD_OVERRIDE=FQ","FILING_STATUS=MR","Sort=A","Dates=H","DateFormat=P","Fill=—","Direction=H","UseDPDF=Y")</f>
        <v>3.31</v>
      </c>
      <c r="O60" s="14">
        <f>_xll.BDH("AMGN US Equity","ARDR_DILUTED_EPS","FQ4 2021","FQ4 2021","Currency=USD","Period=FQ","BEST_FPERIOD_OVERRIDE=FQ","FILING_STATUS=MR","Sort=A","Dates=H","DateFormat=P","Fill=—","Direction=H","UseDPDF=Y")</f>
        <v>3.36</v>
      </c>
      <c r="P60" s="14">
        <f>_xll.BDH("AMGN US Equity","ARDR_DILUTED_EPS","FQ1 2022","FQ1 2022","Currency=USD","Period=FQ","BEST_FPERIOD_OVERRIDE=FQ","FILING_STATUS=MR","Sort=A","Dates=H","DateFormat=P","Fill=—","Direction=H","UseDPDF=Y")</f>
        <v>2.68</v>
      </c>
      <c r="Q60" s="14">
        <f>_xll.BDH("AMGN US Equity","ARDR_DILUTED_EPS","FQ2 2022","FQ2 2022","Currency=USD","Period=FQ","BEST_FPERIOD_OVERRIDE=FQ","FILING_STATUS=MR","Sort=A","Dates=H","DateFormat=P","Fill=—","Direction=H","UseDPDF=Y")</f>
        <v>2.4500000000000002</v>
      </c>
      <c r="R60" s="14">
        <f>_xll.BDH("AMGN US Equity","ARDR_DILUTED_EPS","FQ3 2022","FQ3 2022","Currency=USD","Period=FQ","BEST_FPERIOD_OVERRIDE=FQ","FILING_STATUS=MR","Sort=A","Dates=H","DateFormat=P","Fill=—","Direction=H","UseDPDF=Y")</f>
        <v>3.98</v>
      </c>
      <c r="S60" s="14">
        <f>_xll.BDH("AMGN US Equity","ARDR_DILUTED_EPS","FQ4 2022","FQ4 2022","Currency=USD","Period=FQ","BEST_FPERIOD_OVERRIDE=FQ","FILING_STATUS=MR","Sort=A","Dates=H","DateFormat=P","Fill=—","Direction=H","UseDPDF=Y")</f>
        <v>3</v>
      </c>
      <c r="T60" s="14">
        <f>_xll.BDH("AMGN US Equity","ARDR_DILUTED_EPS","FQ1 2023","FQ1 2023","Currency=USD","Period=FQ","BEST_FPERIOD_OVERRIDE=FQ","FILING_STATUS=MR","Sort=A","Dates=H","DateFormat=P","Fill=—","Direction=H","UseDPDF=Y")</f>
        <v>5.28</v>
      </c>
      <c r="U60" s="14">
        <f>_xll.BDH("AMGN US Equity","ARDR_DILUTED_EPS","FQ2 2023","FQ2 2023","Currency=USD","Period=FQ","BEST_FPERIOD_OVERRIDE=FQ","FILING_STATUS=MR","Sort=A","Dates=H","DateFormat=P","Fill=—","Direction=H","UseDPDF=Y")</f>
        <v>2.57</v>
      </c>
      <c r="V60" s="14">
        <f>_xll.BDH("AMGN US Equity","ARDR_DILUTED_EPS","FQ3 2023","FQ3 2023","Currency=USD","Period=FQ","BEST_FPERIOD_OVERRIDE=FQ","FILING_STATUS=MR","Sort=A","Dates=H","DateFormat=P","Fill=—","Direction=H","UseDPDF=Y")</f>
        <v>3.22</v>
      </c>
      <c r="W60" s="14">
        <f>_xll.BDH("AMGN US Equity","ARDR_DILUTED_EPS","FQ4 2023","FQ4 2023","Currency=USD","Period=FQ","BEST_FPERIOD_OVERRIDE=FQ","FILING_STATUS=MR","Sort=A","Dates=H","DateFormat=P","Fill=—","Direction=H","UseDPDF=Y")</f>
        <v>1.42</v>
      </c>
      <c r="X60" s="14">
        <f>_xll.BDH("AMGN US Equity","ARDR_DILUTED_EPS","FQ1 2024","FQ1 2024","Currency=USD","Period=FQ","BEST_FPERIOD_OVERRIDE=FQ","FILING_STATUS=MR","Sort=A","Dates=H","DateFormat=P","Fill=—","Direction=H","UseDPDF=Y")</f>
        <v>-0.21</v>
      </c>
      <c r="Y60" s="14">
        <f>_xll.BDH("AMGN US Equity","ARDR_DILUTED_EPS","FQ2 2024","FQ2 2024","Currency=USD","Period=FQ","BEST_FPERIOD_OVERRIDE=FQ","FILING_STATUS=MR","Sort=A","Dates=H","DateFormat=P","Fill=—","Direction=H","UseDPDF=Y")</f>
        <v>1.38</v>
      </c>
      <c r="Z60" s="14">
        <f>_xll.BDH("AMGN US Equity","ARDR_DILUTED_EPS","FQ3 2024","FQ3 2024","Currency=USD","Period=FQ","BEST_FPERIOD_OVERRIDE=FQ","FILING_STATUS=MR","Sort=A","Dates=H","DateFormat=P","Fill=—","Direction=H","UseDPDF=Y")</f>
        <v>5.22</v>
      </c>
      <c r="AA60" s="14">
        <f>_xll.BDH("AMGN US Equity","ARDR_DILUTED_EPS","FQ4 2024","FQ4 2024","Currency=USD","Period=FQ","BEST_FPERIOD_OVERRIDE=FQ","FILING_STATUS=MR","Sort=A","Dates=H","DateFormat=P","Fill=—","Direction=H","UseDPDF=Y")</f>
        <v>1.1599999999999999</v>
      </c>
    </row>
    <row r="61" spans="1:27" x14ac:dyDescent="0.25">
      <c r="A61" s="10" t="s">
        <v>456</v>
      </c>
      <c r="B61" s="10" t="s">
        <v>501</v>
      </c>
      <c r="C61" s="13">
        <f>_xll.BDH("AMGN US Equity","ARDR_WEIGHTED_AVG_SHARE_DILUTED","FQ4 2018","FQ4 2018","Currency=USD","Period=FQ","BEST_FPERIOD_OVERRIDE=FQ","FILING_STATUS=MR","Sort=A","Dates=H","DateFormat=P","Fill=—","Direction=H","UseDPDF=Y")</f>
        <v>640</v>
      </c>
      <c r="D61" s="13">
        <f>_xll.BDH("AMGN US Equity","ARDR_WEIGHTED_AVG_SHARE_DILUTED","FQ1 2019","FQ1 2019","Currency=USD","Period=FQ","BEST_FPERIOD_OVERRIDE=FQ","FILING_STATUS=MR","Sort=A","Dates=H","DateFormat=P","Fill=—","Direction=H","UseDPDF=Y")</f>
        <v>626</v>
      </c>
      <c r="E61" s="13">
        <f>_xll.BDH("AMGN US Equity","ARDR_WEIGHTED_AVG_SHARE_DILUTED","FQ2 2019","FQ2 2019","Currency=USD","Period=FQ","BEST_FPERIOD_OVERRIDE=FQ","FILING_STATUS=MR","Sort=A","Dates=H","DateFormat=P","Fill=—","Direction=H","UseDPDF=Y")</f>
        <v>610</v>
      </c>
      <c r="F61" s="13">
        <f>_xll.BDH("AMGN US Equity","ARDR_WEIGHTED_AVG_SHARE_DILUTED","FQ3 2019","FQ3 2019","Currency=USD","Period=FQ","BEST_FPERIOD_OVERRIDE=FQ","FILING_STATUS=MR","Sort=A","Dates=H","DateFormat=P","Fill=—","Direction=H","UseDPDF=Y")</f>
        <v>602</v>
      </c>
      <c r="G61" s="13">
        <f>_xll.BDH("AMGN US Equity","ARDR_WEIGHTED_AVG_SHARE_DILUTED","FQ4 2019","FQ4 2019","Currency=USD","Period=FQ","BEST_FPERIOD_OVERRIDE=FQ","FILING_STATUS=MR","Sort=A","Dates=H","DateFormat=P","Fill=—","Direction=H","UseDPDF=Y")</f>
        <v>598</v>
      </c>
      <c r="H61" s="13">
        <f>_xll.BDH("AMGN US Equity","ARDR_WEIGHTED_AVG_SHARE_DILUTED","FQ1 2020","FQ1 2020","Currency=USD","Period=FQ","BEST_FPERIOD_OVERRIDE=FQ","FILING_STATUS=MR","Sort=A","Dates=H","DateFormat=P","Fill=—","Direction=H","UseDPDF=Y")</f>
        <v>594</v>
      </c>
      <c r="I61" s="13">
        <f>_xll.BDH("AMGN US Equity","ARDR_WEIGHTED_AVG_SHARE_DILUTED","FQ2 2020","FQ2 2020","Currency=USD","Period=FQ","BEST_FPERIOD_OVERRIDE=FQ","FILING_STATUS=MR","Sort=A","Dates=H","DateFormat=P","Fill=—","Direction=H","UseDPDF=Y")</f>
        <v>592</v>
      </c>
      <c r="J61" s="13">
        <f>_xll.BDH("AMGN US Equity","ARDR_WEIGHTED_AVG_SHARE_DILUTED","FQ3 2020","FQ3 2020","Currency=USD","Period=FQ","BEST_FPERIOD_OVERRIDE=FQ","FILING_STATUS=MR","Sort=A","Dates=H","DateFormat=P","Fill=—","Direction=H","UseDPDF=Y")</f>
        <v>589</v>
      </c>
      <c r="K61" s="13">
        <f>_xll.BDH("AMGN US Equity","ARDR_WEIGHTED_AVG_SHARE_DILUTED","FQ4 2020","FQ4 2020","Currency=USD","Period=FQ","BEST_FPERIOD_OVERRIDE=FQ","FILING_STATUS=MR","Sort=A","Dates=H","DateFormat=P","Fill=—","Direction=H","UseDPDF=Y")</f>
        <v>585</v>
      </c>
      <c r="L61" s="13">
        <f>_xll.BDH("AMGN US Equity","ARDR_WEIGHTED_AVG_SHARE_DILUTED","FQ1 2021","FQ1 2021","Currency=USD","Period=FQ","BEST_FPERIOD_OVERRIDE=FQ","FILING_STATUS=MR","Sort=A","Dates=H","DateFormat=P","Fill=—","Direction=H","UseDPDF=Y")</f>
        <v>581</v>
      </c>
      <c r="M61" s="13">
        <f>_xll.BDH("AMGN US Equity","ARDR_WEIGHTED_AVG_SHARE_DILUTED","FQ2 2021","FQ2 2021","Currency=USD","Period=FQ","BEST_FPERIOD_OVERRIDE=FQ","FILING_STATUS=MR","Sort=A","Dates=H","DateFormat=P","Fill=—","Direction=H","UseDPDF=Y")</f>
        <v>576</v>
      </c>
      <c r="N61" s="13">
        <f>_xll.BDH("AMGN US Equity","ARDR_WEIGHTED_AVG_SHARE_DILUTED","FQ3 2021","FQ3 2021","Currency=USD","Period=FQ","BEST_FPERIOD_OVERRIDE=FQ","FILING_STATUS=MR","Sort=A","Dates=H","DateFormat=P","Fill=—","Direction=H","UseDPDF=Y")</f>
        <v>570</v>
      </c>
      <c r="O61" s="13">
        <f>_xll.BDH("AMGN US Equity","ARDR_WEIGHTED_AVG_SHARE_DILUTED","FQ4 2021","FQ4 2021","Currency=USD","Period=FQ","BEST_FPERIOD_OVERRIDE=FQ","FILING_STATUS=MR","Sort=A","Dates=H","DateFormat=P","Fill=—","Direction=H","UseDPDF=Y")</f>
        <v>565</v>
      </c>
      <c r="P61" s="13">
        <f>_xll.BDH("AMGN US Equity","ARDR_WEIGHTED_AVG_SHARE_DILUTED","FQ1 2022","FQ1 2022","Currency=USD","Period=FQ","BEST_FPERIOD_OVERRIDE=FQ","FILING_STATUS=MR","Sort=A","Dates=H","DateFormat=P","Fill=—","Direction=H","UseDPDF=Y")</f>
        <v>551</v>
      </c>
      <c r="Q61" s="13">
        <f>_xll.BDH("AMGN US Equity","ARDR_WEIGHTED_AVG_SHARE_DILUTED","FQ2 2022","FQ2 2022","Currency=USD","Period=FQ","BEST_FPERIOD_OVERRIDE=FQ","FILING_STATUS=MR","Sort=A","Dates=H","DateFormat=P","Fill=—","Direction=H","UseDPDF=Y")</f>
        <v>537</v>
      </c>
      <c r="R61" s="13">
        <f>_xll.BDH("AMGN US Equity","ARDR_WEIGHTED_AVG_SHARE_DILUTED","FQ3 2022","FQ3 2022","Currency=USD","Period=FQ","BEST_FPERIOD_OVERRIDE=FQ","FILING_STATUS=MR","Sort=A","Dates=H","DateFormat=P","Fill=—","Direction=H","UseDPDF=Y")</f>
        <v>538</v>
      </c>
      <c r="S61" s="13">
        <f>_xll.BDH("AMGN US Equity","ARDR_WEIGHTED_AVG_SHARE_DILUTED","FQ4 2022","FQ4 2022","Currency=USD","Period=FQ","BEST_FPERIOD_OVERRIDE=FQ","FILING_STATUS=MR","Sort=A","Dates=H","DateFormat=P","Fill=—","Direction=H","UseDPDF=Y")</f>
        <v>539</v>
      </c>
      <c r="T61" s="13">
        <f>_xll.BDH("AMGN US Equity","ARDR_WEIGHTED_AVG_SHARE_DILUTED","FQ1 2023","FQ1 2023","Currency=USD","Period=FQ","BEST_FPERIOD_OVERRIDE=FQ","FILING_STATUS=MR","Sort=A","Dates=H","DateFormat=P","Fill=—","Direction=H","UseDPDF=Y")</f>
        <v>538</v>
      </c>
      <c r="U61" s="13">
        <f>_xll.BDH("AMGN US Equity","ARDR_WEIGHTED_AVG_SHARE_DILUTED","FQ2 2023","FQ2 2023","Currency=USD","Period=FQ","BEST_FPERIOD_OVERRIDE=FQ","FILING_STATUS=MR","Sort=A","Dates=H","DateFormat=P","Fill=—","Direction=H","UseDPDF=Y")</f>
        <v>537</v>
      </c>
      <c r="V61" s="13">
        <f>_xll.BDH("AMGN US Equity","ARDR_WEIGHTED_AVG_SHARE_DILUTED","FQ3 2023","FQ3 2023","Currency=USD","Period=FQ","BEST_FPERIOD_OVERRIDE=FQ","FILING_STATUS=MR","Sort=A","Dates=H","DateFormat=P","Fill=—","Direction=H","UseDPDF=Y")</f>
        <v>538</v>
      </c>
      <c r="W61" s="13">
        <f>_xll.BDH("AMGN US Equity","ARDR_WEIGHTED_AVG_SHARE_DILUTED","FQ4 2023","FQ4 2023","Currency=USD","Period=FQ","BEST_FPERIOD_OVERRIDE=FQ","FILING_STATUS=MR","Sort=A","Dates=H","DateFormat=P","Fill=—","Direction=H","UseDPDF=Y")</f>
        <v>540</v>
      </c>
      <c r="X61" s="13">
        <f>_xll.BDH("AMGN US Equity","ARDR_WEIGHTED_AVG_SHARE_DILUTED","FQ1 2024","FQ1 2024","Currency=USD","Period=FQ","BEST_FPERIOD_OVERRIDE=FQ","FILING_STATUS=MR","Sort=A","Dates=H","DateFormat=P","Fill=—","Direction=H","UseDPDF=Y")</f>
        <v>536</v>
      </c>
      <c r="Y61" s="13">
        <f>_xll.BDH("AMGN US Equity","ARDR_WEIGHTED_AVG_SHARE_DILUTED","FQ2 2024","FQ2 2024","Currency=USD","Period=FQ","BEST_FPERIOD_OVERRIDE=FQ","FILING_STATUS=MR","Sort=A","Dates=H","DateFormat=P","Fill=—","Direction=H","UseDPDF=Y")</f>
        <v>541</v>
      </c>
      <c r="Z61" s="13">
        <f>_xll.BDH("AMGN US Equity","ARDR_WEIGHTED_AVG_SHARE_DILUTED","FQ3 2024","FQ3 2024","Currency=USD","Period=FQ","BEST_FPERIOD_OVERRIDE=FQ","FILING_STATUS=MR","Sort=A","Dates=H","DateFormat=P","Fill=—","Direction=H","UseDPDF=Y")</f>
        <v>542</v>
      </c>
      <c r="AA61" s="13">
        <f>_xll.BDH("AMGN US Equity","ARDR_WEIGHTED_AVG_SHARE_DILUTED","FQ4 2024","FQ4 2024","Currency=USD","Period=FQ","BEST_FPERIOD_OVERRIDE=FQ","FILING_STATUS=MR","Sort=A","Dates=H","DateFormat=P","Fill=—","Direction=H","UseDPDF=Y")</f>
        <v>542</v>
      </c>
    </row>
    <row r="62" spans="1:27" x14ac:dyDescent="0.25">
      <c r="A62" s="10" t="s">
        <v>502</v>
      </c>
      <c r="B62" s="10" t="s">
        <v>503</v>
      </c>
      <c r="C62" s="13" t="str">
        <f>_xll.BDH("AMGN US Equity","ARDR_CURRENT_RENTAL_EXP","FQ4 2018","FQ4 2018","Currency=USD","Period=FQ","BEST_FPERIOD_OVERRIDE=FQ","FILING_STATUS=MR","SCALING_FORMAT=MLN","Sort=A","Dates=H","DateFormat=P","Fill=—","Direction=H","UseDPDF=Y")</f>
        <v>—</v>
      </c>
      <c r="D62" s="13">
        <f>_xll.BDH("AMGN US Equity","ARDR_CURRENT_RENTAL_EXP","FQ1 2019","FQ1 2019","Currency=USD","Period=FQ","BEST_FPERIOD_OVERRIDE=FQ","FILING_STATUS=MR","SCALING_FORMAT=MLN","Sort=A","Dates=H","DateFormat=P","Fill=—","Direction=H","UseDPDF=Y")</f>
        <v>40</v>
      </c>
      <c r="E62" s="13">
        <f>_xll.BDH("AMGN US Equity","ARDR_CURRENT_RENTAL_EXP","FQ2 2019","FQ2 2019","Currency=USD","Period=FQ","BEST_FPERIOD_OVERRIDE=FQ","FILING_STATUS=MR","SCALING_FORMAT=MLN","Sort=A","Dates=H","DateFormat=P","Fill=—","Direction=H","UseDPDF=Y")</f>
        <v>42</v>
      </c>
      <c r="F62" s="13">
        <f>_xll.BDH("AMGN US Equity","ARDR_CURRENT_RENTAL_EXP","FQ3 2019","FQ3 2019","Currency=USD","Period=FQ","BEST_FPERIOD_OVERRIDE=FQ","FILING_STATUS=MR","SCALING_FORMAT=MLN","Sort=A","Dates=H","DateFormat=P","Fill=—","Direction=H","UseDPDF=Y")</f>
        <v>42</v>
      </c>
      <c r="G62" s="13">
        <f>_xll.BDH("AMGN US Equity","ARDR_CURRENT_RENTAL_EXP","FQ4 2019","FQ4 2019","Currency=USD","Period=FQ","BEST_FPERIOD_OVERRIDE=FQ","FILING_STATUS=MR","SCALING_FORMAT=MLN","Sort=A","Dates=H","DateFormat=P","Fill=—","Direction=H","UseDPDF=Y")</f>
        <v>47</v>
      </c>
      <c r="H62" s="13" t="str">
        <f>_xll.BDH("AMGN US Equity","ARDR_CURRENT_RENTAL_EXP","FQ1 2020","FQ1 2020","Currency=USD","Period=FQ","BEST_FPERIOD_OVERRIDE=FQ","FILING_STATUS=MR","SCALING_FORMAT=MLN","Sort=A","Dates=H","DateFormat=P","Fill=—","Direction=H","UseDPDF=Y")</f>
        <v>—</v>
      </c>
      <c r="I62" s="13" t="str">
        <f>_xll.BDH("AMGN US Equity","ARDR_CURRENT_RENTAL_EXP","FQ2 2020","FQ2 2020","Currency=USD","Period=FQ","BEST_FPERIOD_OVERRIDE=FQ","FILING_STATUS=MR","SCALING_FORMAT=MLN","Sort=A","Dates=H","DateFormat=P","Fill=—","Direction=H","UseDPDF=Y")</f>
        <v>—</v>
      </c>
      <c r="J62" s="13" t="str">
        <f>_xll.BDH("AMGN US Equity","ARDR_CURRENT_RENTAL_EXP","FQ3 2020","FQ3 2020","Currency=USD","Period=FQ","BEST_FPERIOD_OVERRIDE=FQ","FILING_STATUS=MR","SCALING_FORMAT=MLN","Sort=A","Dates=H","DateFormat=P","Fill=—","Direction=H","UseDPDF=Y")</f>
        <v>—</v>
      </c>
      <c r="K62" s="13" t="str">
        <f>_xll.BDH("AMGN US Equity","ARDR_CURRENT_RENTAL_EXP","FQ4 2020","FQ4 2020","Currency=USD","Period=FQ","BEST_FPERIOD_OVERRIDE=FQ","FILING_STATUS=MR","SCALING_FORMAT=MLN","Sort=A","Dates=H","DateFormat=P","Fill=—","Direction=H","UseDPDF=Y")</f>
        <v>—</v>
      </c>
      <c r="L62" s="13" t="str">
        <f>_xll.BDH("AMGN US Equity","ARDR_CURRENT_RENTAL_EXP","FQ1 2021","FQ1 2021","Currency=USD","Period=FQ","BEST_FPERIOD_OVERRIDE=FQ","FILING_STATUS=MR","SCALING_FORMAT=MLN","Sort=A","Dates=H","DateFormat=P","Fill=—","Direction=H","UseDPDF=Y")</f>
        <v>—</v>
      </c>
      <c r="M62" s="13" t="str">
        <f>_xll.BDH("AMGN US Equity","ARDR_CURRENT_RENTAL_EXP","FQ2 2021","FQ2 2021","Currency=USD","Period=FQ","BEST_FPERIOD_OVERRIDE=FQ","FILING_STATUS=MR","SCALING_FORMAT=MLN","Sort=A","Dates=H","DateFormat=P","Fill=—","Direction=H","UseDPDF=Y")</f>
        <v>—</v>
      </c>
      <c r="N62" s="13" t="str">
        <f>_xll.BDH("AMGN US Equity","ARDR_CURRENT_RENTAL_EXP","FQ3 2021","FQ3 2021","Currency=USD","Period=FQ","BEST_FPERIOD_OVERRIDE=FQ","FILING_STATUS=MR","SCALING_FORMAT=MLN","Sort=A","Dates=H","DateFormat=P","Fill=—","Direction=H","UseDPDF=Y")</f>
        <v>—</v>
      </c>
      <c r="O62" s="13" t="str">
        <f>_xll.BDH("AMGN US Equity","ARDR_CURRENT_RENTAL_EXP","FQ4 2021","FQ4 2021","Currency=USD","Period=FQ","BEST_FPERIOD_OVERRIDE=FQ","FILING_STATUS=MR","SCALING_FORMAT=MLN","Sort=A","Dates=H","DateFormat=P","Fill=—","Direction=H","UseDPDF=Y")</f>
        <v>—</v>
      </c>
      <c r="P62" s="13" t="str">
        <f>_xll.BDH("AMGN US Equity","ARDR_CURRENT_RENTAL_EXP","FQ1 2022","FQ1 2022","Currency=USD","Period=FQ","BEST_FPERIOD_OVERRIDE=FQ","FILING_STATUS=MR","SCALING_FORMAT=MLN","Sort=A","Dates=H","DateFormat=P","Fill=—","Direction=H","UseDPDF=Y")</f>
        <v>—</v>
      </c>
      <c r="Q62" s="13" t="str">
        <f>_xll.BDH("AMGN US Equity","ARDR_CURRENT_RENTAL_EXP","FQ2 2022","FQ2 2022","Currency=USD","Period=FQ","BEST_FPERIOD_OVERRIDE=FQ","FILING_STATUS=MR","SCALING_FORMAT=MLN","Sort=A","Dates=H","DateFormat=P","Fill=—","Direction=H","UseDPDF=Y")</f>
        <v>—</v>
      </c>
      <c r="R62" s="13" t="str">
        <f>_xll.BDH("AMGN US Equity","ARDR_CURRENT_RENTAL_EXP","FQ3 2022","FQ3 2022","Currency=USD","Period=FQ","BEST_FPERIOD_OVERRIDE=FQ","FILING_STATUS=MR","SCALING_FORMAT=MLN","Sort=A","Dates=H","DateFormat=P","Fill=—","Direction=H","UseDPDF=Y")</f>
        <v>—</v>
      </c>
      <c r="S62" s="13" t="str">
        <f>_xll.BDH("AMGN US Equity","ARDR_CURRENT_RENTAL_EXP","FQ4 2022","FQ4 2022","Currency=USD","Period=FQ","BEST_FPERIOD_OVERRIDE=FQ","FILING_STATUS=MR","SCALING_FORMAT=MLN","Sort=A","Dates=H","DateFormat=P","Fill=—","Direction=H","UseDPDF=Y")</f>
        <v>—</v>
      </c>
      <c r="T62" s="13" t="str">
        <f>_xll.BDH("AMGN US Equity","ARDR_CURRENT_RENTAL_EXP","FQ1 2023","FQ1 2023","Currency=USD","Period=FQ","BEST_FPERIOD_OVERRIDE=FQ","FILING_STATUS=MR","SCALING_FORMAT=MLN","Sort=A","Dates=H","DateFormat=P","Fill=—","Direction=H","UseDPDF=Y")</f>
        <v>—</v>
      </c>
      <c r="U62" s="13" t="str">
        <f>_xll.BDH("AMGN US Equity","ARDR_CURRENT_RENTAL_EXP","FQ2 2023","FQ2 2023","Currency=USD","Period=FQ","BEST_FPERIOD_OVERRIDE=FQ","FILING_STATUS=MR","SCALING_FORMAT=MLN","Sort=A","Dates=H","DateFormat=P","Fill=—","Direction=H","UseDPDF=Y")</f>
        <v>—</v>
      </c>
      <c r="V62" s="13" t="str">
        <f>_xll.BDH("AMGN US Equity","ARDR_CURRENT_RENTAL_EXP","FQ3 2023","FQ3 2023","Currency=USD","Period=FQ","BEST_FPERIOD_OVERRIDE=FQ","FILING_STATUS=MR","SCALING_FORMAT=MLN","Sort=A","Dates=H","DateFormat=P","Fill=—","Direction=H","UseDPDF=Y")</f>
        <v>—</v>
      </c>
      <c r="W62" s="13" t="str">
        <f>_xll.BDH("AMGN US Equity","ARDR_CURRENT_RENTAL_EXP","FQ4 2023","FQ4 2023","Currency=USD","Period=FQ","BEST_FPERIOD_OVERRIDE=FQ","FILING_STATUS=MR","SCALING_FORMAT=MLN","Sort=A","Dates=H","DateFormat=P","Fill=—","Direction=H","UseDPDF=Y")</f>
        <v>—</v>
      </c>
      <c r="X62" s="13" t="str">
        <f>_xll.BDH("AMGN US Equity","ARDR_CURRENT_RENTAL_EXP","FQ1 2024","FQ1 2024","Currency=USD","Period=FQ","BEST_FPERIOD_OVERRIDE=FQ","FILING_STATUS=MR","SCALING_FORMAT=MLN","Sort=A","Dates=H","DateFormat=P","Fill=—","Direction=H","UseDPDF=Y")</f>
        <v>—</v>
      </c>
      <c r="Y62" s="13" t="str">
        <f>_xll.BDH("AMGN US Equity","ARDR_CURRENT_RENTAL_EXP","FQ2 2024","FQ2 2024","Currency=USD","Period=FQ","BEST_FPERIOD_OVERRIDE=FQ","FILING_STATUS=MR","SCALING_FORMAT=MLN","Sort=A","Dates=H","DateFormat=P","Fill=—","Direction=H","UseDPDF=Y")</f>
        <v>—</v>
      </c>
      <c r="Z62" s="13" t="str">
        <f>_xll.BDH("AMGN US Equity","ARDR_CURRENT_RENTAL_EXP","FQ3 2024","FQ3 2024","Currency=USD","Period=FQ","BEST_FPERIOD_OVERRIDE=FQ","FILING_STATUS=MR","SCALING_FORMAT=MLN","Sort=A","Dates=H","DateFormat=P","Fill=—","Direction=H","UseDPDF=Y")</f>
        <v>—</v>
      </c>
      <c r="AA62" s="13" t="str">
        <f>_xll.BDH("AMGN US Equity","ARDR_CURRENT_RENTAL_EXP","FQ4 2024","FQ4 2024","Currency=USD","Period=FQ","BEST_FPERIOD_OVERRIDE=FQ","FILING_STATUS=MR","SCALING_FORMAT=MLN","Sort=A","Dates=H","DateFormat=P","Fill=—","Direction=H","UseDPDF=Y")</f>
        <v>—</v>
      </c>
    </row>
    <row r="63" spans="1:27" x14ac:dyDescent="0.25">
      <c r="A63" s="10" t="s">
        <v>504</v>
      </c>
      <c r="B63" s="10" t="s">
        <v>505</v>
      </c>
      <c r="C63" s="13" t="str">
        <f>_xll.BDH("AMGN US Equity","ARDR_STK_BASED_COMPENSATION_EXP","FQ4 2018","FQ4 2018","Currency=USD","Period=FQ","BEST_FPERIOD_OVERRIDE=FQ","FILING_STATUS=MR","SCALING_FORMAT=MLN","Sort=A","Dates=H","DateFormat=P","Fill=—","Direction=H","UseDPDF=Y")</f>
        <v>—</v>
      </c>
      <c r="D63" s="13" t="str">
        <f>_xll.BDH("AMGN US Equity","ARDR_STK_BASED_COMPENSATION_EXP","FQ1 2019","FQ1 2019","Currency=USD","Period=FQ","BEST_FPERIOD_OVERRIDE=FQ","FILING_STATUS=MR","SCALING_FORMAT=MLN","Sort=A","Dates=H","DateFormat=P","Fill=—","Direction=H","UseDPDF=Y")</f>
        <v>—</v>
      </c>
      <c r="E63" s="13" t="str">
        <f>_xll.BDH("AMGN US Equity","ARDR_STK_BASED_COMPENSATION_EXP","FQ2 2019","FQ2 2019","Currency=USD","Period=FQ","BEST_FPERIOD_OVERRIDE=FQ","FILING_STATUS=MR","SCALING_FORMAT=MLN","Sort=A","Dates=H","DateFormat=P","Fill=—","Direction=H","UseDPDF=Y")</f>
        <v>—</v>
      </c>
      <c r="F63" s="13" t="str">
        <f>_xll.BDH("AMGN US Equity","ARDR_STK_BASED_COMPENSATION_EXP","FQ3 2019","FQ3 2019","Currency=USD","Period=FQ","BEST_FPERIOD_OVERRIDE=FQ","FILING_STATUS=MR","SCALING_FORMAT=MLN","Sort=A","Dates=H","DateFormat=P","Fill=—","Direction=H","UseDPDF=Y")</f>
        <v>—</v>
      </c>
      <c r="G63" s="13" t="str">
        <f>_xll.BDH("AMGN US Equity","ARDR_STK_BASED_COMPENSATION_EXP","FQ4 2019","FQ4 2019","Currency=USD","Period=FQ","BEST_FPERIOD_OVERRIDE=FQ","FILING_STATUS=MR","SCALING_FORMAT=MLN","Sort=A","Dates=H","DateFormat=P","Fill=—","Direction=H","UseDPDF=Y")</f>
        <v>—</v>
      </c>
      <c r="H63" s="13" t="str">
        <f>_xll.BDH("AMGN US Equity","ARDR_STK_BASED_COMPENSATION_EXP","FQ1 2020","FQ1 2020","Currency=USD","Period=FQ","BEST_FPERIOD_OVERRIDE=FQ","FILING_STATUS=MR","SCALING_FORMAT=MLN","Sort=A","Dates=H","DateFormat=P","Fill=—","Direction=H","UseDPDF=Y")</f>
        <v>—</v>
      </c>
      <c r="I63" s="13" t="str">
        <f>_xll.BDH("AMGN US Equity","ARDR_STK_BASED_COMPENSATION_EXP","FQ2 2020","FQ2 2020","Currency=USD","Period=FQ","BEST_FPERIOD_OVERRIDE=FQ","FILING_STATUS=MR","SCALING_FORMAT=MLN","Sort=A","Dates=H","DateFormat=P","Fill=—","Direction=H","UseDPDF=Y")</f>
        <v>—</v>
      </c>
      <c r="J63" s="13" t="str">
        <f>_xll.BDH("AMGN US Equity","ARDR_STK_BASED_COMPENSATION_EXP","FQ3 2020","FQ3 2020","Currency=USD","Period=FQ","BEST_FPERIOD_OVERRIDE=FQ","FILING_STATUS=MR","SCALING_FORMAT=MLN","Sort=A","Dates=H","DateFormat=P","Fill=—","Direction=H","UseDPDF=Y")</f>
        <v>—</v>
      </c>
      <c r="K63" s="13" t="str">
        <f>_xll.BDH("AMGN US Equity","ARDR_STK_BASED_COMPENSATION_EXP","FQ4 2020","FQ4 2020","Currency=USD","Period=FQ","BEST_FPERIOD_OVERRIDE=FQ","FILING_STATUS=MR","SCALING_FORMAT=MLN","Sort=A","Dates=H","DateFormat=P","Fill=—","Direction=H","UseDPDF=Y")</f>
        <v>—</v>
      </c>
      <c r="L63" s="13" t="str">
        <f>_xll.BDH("AMGN US Equity","ARDR_STK_BASED_COMPENSATION_EXP","FQ1 2021","FQ1 2021","Currency=USD","Period=FQ","BEST_FPERIOD_OVERRIDE=FQ","FILING_STATUS=MR","SCALING_FORMAT=MLN","Sort=A","Dates=H","DateFormat=P","Fill=—","Direction=H","UseDPDF=Y")</f>
        <v>—</v>
      </c>
      <c r="M63" s="13" t="str">
        <f>_xll.BDH("AMGN US Equity","ARDR_STK_BASED_COMPENSATION_EXP","FQ2 2021","FQ2 2021","Currency=USD","Period=FQ","BEST_FPERIOD_OVERRIDE=FQ","FILING_STATUS=MR","SCALING_FORMAT=MLN","Sort=A","Dates=H","DateFormat=P","Fill=—","Direction=H","UseDPDF=Y")</f>
        <v>—</v>
      </c>
      <c r="N63" s="13" t="str">
        <f>_xll.BDH("AMGN US Equity","ARDR_STK_BASED_COMPENSATION_EXP","FQ3 2021","FQ3 2021","Currency=USD","Period=FQ","BEST_FPERIOD_OVERRIDE=FQ","FILING_STATUS=MR","SCALING_FORMAT=MLN","Sort=A","Dates=H","DateFormat=P","Fill=—","Direction=H","UseDPDF=Y")</f>
        <v>—</v>
      </c>
      <c r="O63" s="13" t="str">
        <f>_xll.BDH("AMGN US Equity","ARDR_STK_BASED_COMPENSATION_EXP","FQ4 2021","FQ4 2021","Currency=USD","Period=FQ","BEST_FPERIOD_OVERRIDE=FQ","FILING_STATUS=MR","SCALING_FORMAT=MLN","Sort=A","Dates=H","DateFormat=P","Fill=—","Direction=H","UseDPDF=Y")</f>
        <v>—</v>
      </c>
      <c r="P63" s="13" t="str">
        <f>_xll.BDH("AMGN US Equity","ARDR_STK_BASED_COMPENSATION_EXP","FQ1 2022","FQ1 2022","Currency=USD","Period=FQ","BEST_FPERIOD_OVERRIDE=FQ","FILING_STATUS=MR","SCALING_FORMAT=MLN","Sort=A","Dates=H","DateFormat=P","Fill=—","Direction=H","UseDPDF=Y")</f>
        <v>—</v>
      </c>
      <c r="Q63" s="13" t="str">
        <f>_xll.BDH("AMGN US Equity","ARDR_STK_BASED_COMPENSATION_EXP","FQ2 2022","FQ2 2022","Currency=USD","Period=FQ","BEST_FPERIOD_OVERRIDE=FQ","FILING_STATUS=MR","SCALING_FORMAT=MLN","Sort=A","Dates=H","DateFormat=P","Fill=—","Direction=H","UseDPDF=Y")</f>
        <v>—</v>
      </c>
      <c r="R63" s="13" t="str">
        <f>_xll.BDH("AMGN US Equity","ARDR_STK_BASED_COMPENSATION_EXP","FQ3 2022","FQ3 2022","Currency=USD","Period=FQ","BEST_FPERIOD_OVERRIDE=FQ","FILING_STATUS=MR","SCALING_FORMAT=MLN","Sort=A","Dates=H","DateFormat=P","Fill=—","Direction=H","UseDPDF=Y")</f>
        <v>—</v>
      </c>
      <c r="S63" s="13">
        <f>_xll.BDH("AMGN US Equity","ARDR_STK_BASED_COMPENSATION_EXP","FQ4 2022","FQ4 2022","Currency=USD","Period=FQ","BEST_FPERIOD_OVERRIDE=FQ","FILING_STATUS=MR","SCALING_FORMAT=MLN","Sort=A","Dates=H","DateFormat=P","Fill=—","Direction=H","UseDPDF=Y")</f>
        <v>82</v>
      </c>
      <c r="T63" s="13" t="str">
        <f>_xll.BDH("AMGN US Equity","ARDR_STK_BASED_COMPENSATION_EXP","FQ1 2023","FQ1 2023","Currency=USD","Period=FQ","BEST_FPERIOD_OVERRIDE=FQ","FILING_STATUS=MR","SCALING_FORMAT=MLN","Sort=A","Dates=H","DateFormat=P","Fill=—","Direction=H","UseDPDF=Y")</f>
        <v>—</v>
      </c>
      <c r="U63" s="13" t="str">
        <f>_xll.BDH("AMGN US Equity","ARDR_STK_BASED_COMPENSATION_EXP","FQ2 2023","FQ2 2023","Currency=USD","Period=FQ","BEST_FPERIOD_OVERRIDE=FQ","FILING_STATUS=MR","SCALING_FORMAT=MLN","Sort=A","Dates=H","DateFormat=P","Fill=—","Direction=H","UseDPDF=Y")</f>
        <v>—</v>
      </c>
      <c r="V63" s="13" t="str">
        <f>_xll.BDH("AMGN US Equity","ARDR_STK_BASED_COMPENSATION_EXP","FQ3 2023","FQ3 2023","Currency=USD","Period=FQ","BEST_FPERIOD_OVERRIDE=FQ","FILING_STATUS=MR","SCALING_FORMAT=MLN","Sort=A","Dates=H","DateFormat=P","Fill=—","Direction=H","UseDPDF=Y")</f>
        <v>—</v>
      </c>
      <c r="W63" s="13" t="str">
        <f>_xll.BDH("AMGN US Equity","ARDR_STK_BASED_COMPENSATION_EXP","FQ4 2023","FQ4 2023","Currency=USD","Period=FQ","BEST_FPERIOD_OVERRIDE=FQ","FILING_STATUS=MR","SCALING_FORMAT=MLN","Sort=A","Dates=H","DateFormat=P","Fill=—","Direction=H","UseDPDF=Y")</f>
        <v>—</v>
      </c>
      <c r="X63" s="13" t="str">
        <f>_xll.BDH("AMGN US Equity","ARDR_STK_BASED_COMPENSATION_EXP","FQ1 2024","FQ1 2024","Currency=USD","Period=FQ","BEST_FPERIOD_OVERRIDE=FQ","FILING_STATUS=MR","SCALING_FORMAT=MLN","Sort=A","Dates=H","DateFormat=P","Fill=—","Direction=H","UseDPDF=Y")</f>
        <v>—</v>
      </c>
      <c r="Y63" s="13" t="str">
        <f>_xll.BDH("AMGN US Equity","ARDR_STK_BASED_COMPENSATION_EXP","FQ2 2024","FQ2 2024","Currency=USD","Period=FQ","BEST_FPERIOD_OVERRIDE=FQ","FILING_STATUS=MR","SCALING_FORMAT=MLN","Sort=A","Dates=H","DateFormat=P","Fill=—","Direction=H","UseDPDF=Y")</f>
        <v>—</v>
      </c>
      <c r="Z63" s="13" t="str">
        <f>_xll.BDH("AMGN US Equity","ARDR_STK_BASED_COMPENSATION_EXP","FQ3 2024","FQ3 2024","Currency=USD","Period=FQ","BEST_FPERIOD_OVERRIDE=FQ","FILING_STATUS=MR","SCALING_FORMAT=MLN","Sort=A","Dates=H","DateFormat=P","Fill=—","Direction=H","UseDPDF=Y")</f>
        <v>—</v>
      </c>
      <c r="AA63" s="13" t="str">
        <f>_xll.BDH("AMGN US Equity","ARDR_STK_BASED_COMPENSATION_EXP","FQ4 2024","FQ4 2024","Currency=USD","Period=FQ","BEST_FPERIOD_OVERRIDE=FQ","FILING_STATUS=MR","SCALING_FORMAT=MLN","Sort=A","Dates=H","DateFormat=P","Fill=—","Direction=H","UseDPDF=Y")</f>
        <v>—</v>
      </c>
    </row>
    <row r="64" spans="1:27" x14ac:dyDescent="0.25">
      <c r="A64" s="10" t="s">
        <v>506</v>
      </c>
      <c r="B64" s="10" t="s">
        <v>507</v>
      </c>
      <c r="C64" s="13">
        <f>_xll.BDH("AMGN US Equity","ARDR_TOTAL_COMPREHENSIVE_INCOME","FQ4 2018","FQ4 2018","Currency=USD","Period=FQ","BEST_FPERIOD_OVERRIDE=FQ","FILING_STATUS=MR","SCALING_FORMAT=MLN","Sort=A","Dates=H","DateFormat=P","Fill=—","Direction=H","UseDPDF=Y")</f>
        <v>1968</v>
      </c>
      <c r="D64" s="13">
        <f>_xll.BDH("AMGN US Equity","ARDR_TOTAL_COMPREHENSIVE_INCOME","FQ1 2019","FQ1 2019","Currency=USD","Period=FQ","BEST_FPERIOD_OVERRIDE=FQ","FILING_STATUS=MR","SCALING_FORMAT=MLN","Sort=A","Dates=H","DateFormat=P","Fill=—","Direction=H","UseDPDF=Y")</f>
        <v>2245</v>
      </c>
      <c r="E64" s="13">
        <f>_xll.BDH("AMGN US Equity","ARDR_TOTAL_COMPREHENSIVE_INCOME","FQ2 2019","FQ2 2019","Currency=USD","Period=FQ","BEST_FPERIOD_OVERRIDE=FQ","FILING_STATUS=MR","SCALING_FORMAT=MLN","Sort=A","Dates=H","DateFormat=P","Fill=—","Direction=H","UseDPDF=Y")</f>
        <v>2230</v>
      </c>
      <c r="F64" s="13">
        <f>_xll.BDH("AMGN US Equity","ARDR_TOTAL_COMPREHENSIVE_INCOME","FQ3 2019","FQ3 2019","Currency=USD","Period=FQ","BEST_FPERIOD_OVERRIDE=FQ","FILING_STATUS=MR","SCALING_FORMAT=MLN","Sort=A","Dates=H","DateFormat=P","Fill=—","Direction=H","UseDPDF=Y")</f>
        <v>2045</v>
      </c>
      <c r="G64" s="13">
        <f>_xll.BDH("AMGN US Equity","ARDR_TOTAL_COMPREHENSIVE_INCOME","FQ4 2019","FQ4 2019","Currency=USD","Period=FQ","BEST_FPERIOD_OVERRIDE=FQ","FILING_STATUS=MR","SCALING_FORMAT=MLN","Sort=A","Dates=H","DateFormat=P","Fill=—","Direction=H","UseDPDF=Y")</f>
        <v>1563</v>
      </c>
      <c r="H64" s="13">
        <f>_xll.BDH("AMGN US Equity","ARDR_TOTAL_COMPREHENSIVE_INCOME","FQ1 2020","FQ1 2020","Currency=USD","Period=FQ","BEST_FPERIOD_OVERRIDE=FQ","FILING_STATUS=MR","SCALING_FORMAT=MLN","Sort=A","Dates=H","DateFormat=P","Fill=—","Direction=H","UseDPDF=Y")</f>
        <v>1691</v>
      </c>
      <c r="I64" s="13">
        <f>_xll.BDH("AMGN US Equity","ARDR_TOTAL_COMPREHENSIVE_INCOME","FQ2 2020","FQ2 2020","Currency=USD","Period=FQ","BEST_FPERIOD_OVERRIDE=FQ","FILING_STATUS=MR","SCALING_FORMAT=MLN","Sort=A","Dates=H","DateFormat=P","Fill=—","Direction=H","UseDPDF=Y")</f>
        <v>1682</v>
      </c>
      <c r="J64" s="13">
        <f>_xll.BDH("AMGN US Equity","ARDR_TOTAL_COMPREHENSIVE_INCOME","FQ3 2020","FQ3 2020","Currency=USD","Period=FQ","BEST_FPERIOD_OVERRIDE=FQ","FILING_STATUS=MR","SCALING_FORMAT=MLN","Sort=A","Dates=H","DateFormat=P","Fill=—","Direction=H","UseDPDF=Y")</f>
        <v>1901</v>
      </c>
      <c r="K64" s="13">
        <f>_xll.BDH("AMGN US Equity","ARDR_TOTAL_COMPREHENSIVE_INCOME","FQ4 2020","FQ4 2020","Currency=USD","Period=FQ","BEST_FPERIOD_OVERRIDE=FQ","FILING_STATUS=MR","SCALING_FORMAT=MLN","Sort=A","Dates=H","DateFormat=P","Fill=—","Direction=H","UseDPDF=Y")</f>
        <v>1533</v>
      </c>
      <c r="L64" s="13">
        <f>_xll.BDH("AMGN US Equity","ARDR_TOTAL_COMPREHENSIVE_INCOME","FQ1 2021","FQ1 2021","Currency=USD","Period=FQ","BEST_FPERIOD_OVERRIDE=FQ","FILING_STATUS=MR","SCALING_FORMAT=MLN","Sort=A","Dates=H","DateFormat=P","Fill=—","Direction=H","UseDPDF=Y")</f>
        <v>1798</v>
      </c>
      <c r="M64" s="13">
        <f>_xll.BDH("AMGN US Equity","ARDR_TOTAL_COMPREHENSIVE_INCOME","FQ2 2021","FQ2 2021","Currency=USD","Period=FQ","BEST_FPERIOD_OVERRIDE=FQ","FILING_STATUS=MR","SCALING_FORMAT=MLN","Sort=A","Dates=H","DateFormat=P","Fill=—","Direction=H","UseDPDF=Y")</f>
        <v>429</v>
      </c>
      <c r="N64" s="13">
        <f>_xll.BDH("AMGN US Equity","ARDR_TOTAL_COMPREHENSIVE_INCOME","FQ3 2021","FQ3 2021","Currency=USD","Period=FQ","BEST_FPERIOD_OVERRIDE=FQ","FILING_STATUS=MR","SCALING_FORMAT=MLN","Sort=A","Dates=H","DateFormat=P","Fill=—","Direction=H","UseDPDF=Y")</f>
        <v>1944</v>
      </c>
      <c r="O64" s="13">
        <f>_xll.BDH("AMGN US Equity","ARDR_TOTAL_COMPREHENSIVE_INCOME","FQ4 2021","FQ4 2021","Currency=USD","Period=FQ","BEST_FPERIOD_OVERRIDE=FQ","FILING_STATUS=MR","SCALING_FORMAT=MLN","Sort=A","Dates=H","DateFormat=P","Fill=—","Direction=H","UseDPDF=Y")</f>
        <v>1911</v>
      </c>
      <c r="P64" s="13">
        <f>_xll.BDH("AMGN US Equity","ARDR_TOTAL_COMPREHENSIVE_INCOME","FQ1 2022","FQ1 2022","Currency=USD","Period=FQ","BEST_FPERIOD_OVERRIDE=FQ","FILING_STATUS=MR","SCALING_FORMAT=MLN","Sort=A","Dates=H","DateFormat=P","Fill=—","Direction=H","UseDPDF=Y")</f>
        <v>1509</v>
      </c>
      <c r="Q64" s="13">
        <f>_xll.BDH("AMGN US Equity","ARDR_TOTAL_COMPREHENSIVE_INCOME","FQ2 2022","FQ2 2022","Currency=USD","Period=FQ","BEST_FPERIOD_OVERRIDE=FQ","FILING_STATUS=MR","SCALING_FORMAT=MLN","Sort=A","Dates=H","DateFormat=P","Fill=—","Direction=H","UseDPDF=Y")</f>
        <v>1408</v>
      </c>
      <c r="R64" s="13">
        <f>_xll.BDH("AMGN US Equity","ARDR_TOTAL_COMPREHENSIVE_INCOME","FQ3 2022","FQ3 2022","Currency=USD","Period=FQ","BEST_FPERIOD_OVERRIDE=FQ","FILING_STATUS=MR","SCALING_FORMAT=MLN","Sort=A","Dates=H","DateFormat=P","Fill=—","Direction=H","UseDPDF=Y")</f>
        <v>2163</v>
      </c>
      <c r="S64" s="13">
        <f>_xll.BDH("AMGN US Equity","ARDR_TOTAL_COMPREHENSIVE_INCOME","FQ4 2022","FQ4 2022","Currency=USD","Period=FQ","BEST_FPERIOD_OVERRIDE=FQ","FILING_STATUS=MR","SCALING_FORMAT=MLN","Sort=A","Dates=H","DateFormat=P","Fill=—","Direction=H","UseDPDF=Y")</f>
        <v>2037</v>
      </c>
      <c r="T64" s="13">
        <f>_xll.BDH("AMGN US Equity","ARDR_TOTAL_COMPREHENSIVE_INCOME","FQ1 2023","FQ1 2023","Currency=USD","Period=FQ","BEST_FPERIOD_OVERRIDE=FQ","FILING_STATUS=MR","SCALING_FORMAT=MLN","Sort=A","Dates=H","DateFormat=P","Fill=—","Direction=H","UseDPDF=Y")</f>
        <v>2804</v>
      </c>
      <c r="U64" s="13">
        <f>_xll.BDH("AMGN US Equity","ARDR_TOTAL_COMPREHENSIVE_INCOME","FQ2 2023","FQ2 2023","Currency=USD","Period=FQ","BEST_FPERIOD_OVERRIDE=FQ","FILING_STATUS=MR","SCALING_FORMAT=MLN","Sort=A","Dates=H","DateFormat=P","Fill=—","Direction=H","UseDPDF=Y")</f>
        <v>1367</v>
      </c>
      <c r="V64" s="13">
        <f>_xll.BDH("AMGN US Equity","ARDR_TOTAL_COMPREHENSIVE_INCOME","FQ3 2023","FQ3 2023","Currency=USD","Period=FQ","BEST_FPERIOD_OVERRIDE=FQ","FILING_STATUS=MR","SCALING_FORMAT=MLN","Sort=A","Dates=H","DateFormat=P","Fill=—","Direction=H","UseDPDF=Y")</f>
        <v>1884</v>
      </c>
      <c r="W64" s="13">
        <f>_xll.BDH("AMGN US Equity","ARDR_TOTAL_COMPREHENSIVE_INCOME","FQ4 2023","FQ4 2023","Currency=USD","Period=FQ","BEST_FPERIOD_OVERRIDE=FQ","FILING_STATUS=MR","SCALING_FORMAT=MLN","Sort=A","Dates=H","DateFormat=P","Fill=—","Direction=H","UseDPDF=Y")</f>
        <v>604</v>
      </c>
      <c r="X64" s="13">
        <f>_xll.BDH("AMGN US Equity","ARDR_TOTAL_COMPREHENSIVE_INCOME","FQ1 2024","FQ1 2024","Currency=USD","Period=FQ","BEST_FPERIOD_OVERRIDE=FQ","FILING_STATUS=MR","SCALING_FORMAT=MLN","Sort=A","Dates=H","DateFormat=P","Fill=—","Direction=H","UseDPDF=Y")</f>
        <v>-14</v>
      </c>
      <c r="Y64" s="13">
        <f>_xll.BDH("AMGN US Equity","ARDR_TOTAL_COMPREHENSIVE_INCOME","FQ2 2024","FQ2 2024","Currency=USD","Period=FQ","BEST_FPERIOD_OVERRIDE=FQ","FILING_STATUS=MR","SCALING_FORMAT=MLN","Sort=A","Dates=H","DateFormat=P","Fill=—","Direction=H","UseDPDF=Y")</f>
        <v>781</v>
      </c>
      <c r="Z64" s="13">
        <f>_xll.BDH("AMGN US Equity","ARDR_TOTAL_COMPREHENSIVE_INCOME","FQ3 2024","FQ3 2024","Currency=USD","Period=FQ","BEST_FPERIOD_OVERRIDE=FQ","FILING_STATUS=MR","SCALING_FORMAT=MLN","Sort=A","Dates=H","DateFormat=P","Fill=—","Direction=H","UseDPDF=Y")</f>
        <v>2649</v>
      </c>
      <c r="AA64" s="13">
        <f>_xll.BDH("AMGN US Equity","ARDR_TOTAL_COMPREHENSIVE_INCOME","FQ4 2024","FQ4 2024","Currency=USD","Period=FQ","BEST_FPERIOD_OVERRIDE=FQ","FILING_STATUS=MR","SCALING_FORMAT=MLN","Sort=A","Dates=H","DateFormat=P","Fill=—","Direction=H","UseDPDF=Y")</f>
        <v>897</v>
      </c>
    </row>
    <row r="65" spans="1:27" x14ac:dyDescent="0.25">
      <c r="A65" s="10" t="s">
        <v>508</v>
      </c>
      <c r="B65" s="10" t="s">
        <v>509</v>
      </c>
      <c r="C65" s="13" t="str">
        <f>_xll.BDH("AMGN US Equity","ARDR_LITIGATION_EXP","FQ4 2018","FQ4 2018","Currency=USD","Period=FQ","BEST_FPERIOD_OVERRIDE=FQ","FILING_STATUS=MR","SCALING_FORMAT=MLN","Sort=A","Dates=H","DateFormat=P","Fill=—","Direction=H","UseDPDF=Y")</f>
        <v>—</v>
      </c>
      <c r="D65" s="13" t="str">
        <f>_xll.BDH("AMGN US Equity","ARDR_LITIGATION_EXP","FQ1 2019","FQ1 2019","Currency=USD","Period=FQ","BEST_FPERIOD_OVERRIDE=FQ","FILING_STATUS=MR","SCALING_FORMAT=MLN","Sort=A","Dates=H","DateFormat=P","Fill=—","Direction=H","UseDPDF=Y")</f>
        <v>—</v>
      </c>
      <c r="E65" s="13" t="str">
        <f>_xll.BDH("AMGN US Equity","ARDR_LITIGATION_EXP","FQ2 2019","FQ2 2019","Currency=USD","Period=FQ","BEST_FPERIOD_OVERRIDE=FQ","FILING_STATUS=MR","SCALING_FORMAT=MLN","Sort=A","Dates=H","DateFormat=P","Fill=—","Direction=H","UseDPDF=Y")</f>
        <v>—</v>
      </c>
      <c r="F65" s="13">
        <f>_xll.BDH("AMGN US Equity","ARDR_LITIGATION_EXP","FQ3 2019","FQ3 2019","Currency=USD","Period=FQ","BEST_FPERIOD_OVERRIDE=FQ","FILING_STATUS=MR","SCALING_FORMAT=MLN","Sort=A","Dates=H","DateFormat=P","Fill=—","Direction=H","UseDPDF=Y")</f>
        <v>1</v>
      </c>
      <c r="G65" s="13" t="str">
        <f>_xll.BDH("AMGN US Equity","ARDR_LITIGATION_EXP","FQ4 2019","FQ4 2019","Currency=USD","Period=FQ","BEST_FPERIOD_OVERRIDE=FQ","FILING_STATUS=MR","SCALING_FORMAT=MLN","Sort=A","Dates=H","DateFormat=P","Fill=—","Direction=H","UseDPDF=Y")</f>
        <v>—</v>
      </c>
      <c r="H65" s="13" t="str">
        <f>_xll.BDH("AMGN US Equity","ARDR_LITIGATION_EXP","FQ1 2020","FQ1 2020","Currency=USD","Period=FQ","BEST_FPERIOD_OVERRIDE=FQ","FILING_STATUS=MR","SCALING_FORMAT=MLN","Sort=A","Dates=H","DateFormat=P","Fill=—","Direction=H","UseDPDF=Y")</f>
        <v>—</v>
      </c>
      <c r="I65" s="13">
        <f>_xll.BDH("AMGN US Equity","ARDR_LITIGATION_EXP","FQ2 2020","FQ2 2020","Currency=USD","Period=FQ","BEST_FPERIOD_OVERRIDE=FQ","FILING_STATUS=MR","SCALING_FORMAT=MLN","Sort=A","Dates=H","DateFormat=P","Fill=—","Direction=H","UseDPDF=Y")</f>
        <v>102</v>
      </c>
      <c r="J65" s="13" t="str">
        <f>_xll.BDH("AMGN US Equity","ARDR_LITIGATION_EXP","FQ3 2020","FQ3 2020","Currency=USD","Period=FQ","BEST_FPERIOD_OVERRIDE=FQ","FILING_STATUS=MR","SCALING_FORMAT=MLN","Sort=A","Dates=H","DateFormat=P","Fill=—","Direction=H","UseDPDF=Y")</f>
        <v>—</v>
      </c>
      <c r="K65" s="13">
        <f>_xll.BDH("AMGN US Equity","ARDR_LITIGATION_EXP","FQ4 2020","FQ4 2020","Currency=USD","Period=FQ","BEST_FPERIOD_OVERRIDE=FQ","FILING_STATUS=MR","SCALING_FORMAT=MLN","Sort=A","Dates=H","DateFormat=P","Fill=—","Direction=H","UseDPDF=Y")</f>
        <v>65</v>
      </c>
      <c r="L65" s="13" t="str">
        <f>_xll.BDH("AMGN US Equity","ARDR_LITIGATION_EXP","FQ1 2021","FQ1 2021","Currency=USD","Period=FQ","BEST_FPERIOD_OVERRIDE=FQ","FILING_STATUS=MR","SCALING_FORMAT=MLN","Sort=A","Dates=H","DateFormat=P","Fill=—","Direction=H","UseDPDF=Y")</f>
        <v>—</v>
      </c>
      <c r="M65" s="13" t="str">
        <f>_xll.BDH("AMGN US Equity","ARDR_LITIGATION_EXP","FQ2 2021","FQ2 2021","Currency=USD","Period=FQ","BEST_FPERIOD_OVERRIDE=FQ","FILING_STATUS=MR","SCALING_FORMAT=MLN","Sort=A","Dates=H","DateFormat=P","Fill=—","Direction=H","UseDPDF=Y")</f>
        <v>—</v>
      </c>
      <c r="N65" s="13" t="str">
        <f>_xll.BDH("AMGN US Equity","ARDR_LITIGATION_EXP","FQ3 2021","FQ3 2021","Currency=USD","Period=FQ","BEST_FPERIOD_OVERRIDE=FQ","FILING_STATUS=MR","SCALING_FORMAT=MLN","Sort=A","Dates=H","DateFormat=P","Fill=—","Direction=H","UseDPDF=Y")</f>
        <v>—</v>
      </c>
      <c r="O65" s="13">
        <f>_xll.BDH("AMGN US Equity","ARDR_LITIGATION_EXP","FQ4 2021","FQ4 2021","Currency=USD","Period=FQ","BEST_FPERIOD_OVERRIDE=FQ","FILING_STATUS=MR","SCALING_FORMAT=MLN","Sort=A","Dates=H","DateFormat=P","Fill=—","Direction=H","UseDPDF=Y")</f>
        <v>50</v>
      </c>
      <c r="P65" s="13" t="str">
        <f>_xll.BDH("AMGN US Equity","ARDR_LITIGATION_EXP","FQ1 2022","FQ1 2022","Currency=USD","Period=FQ","BEST_FPERIOD_OVERRIDE=FQ","FILING_STATUS=MR","SCALING_FORMAT=MLN","Sort=A","Dates=H","DateFormat=P","Fill=—","Direction=H","UseDPDF=Y")</f>
        <v>—</v>
      </c>
      <c r="Q65" s="13" t="str">
        <f>_xll.BDH("AMGN US Equity","ARDR_LITIGATION_EXP","FQ2 2022","FQ2 2022","Currency=USD","Period=FQ","BEST_FPERIOD_OVERRIDE=FQ","FILING_STATUS=MR","SCALING_FORMAT=MLN","Sort=A","Dates=H","DateFormat=P","Fill=—","Direction=H","UseDPDF=Y")</f>
        <v>—</v>
      </c>
      <c r="R65" s="13" t="str">
        <f>_xll.BDH("AMGN US Equity","ARDR_LITIGATION_EXP","FQ3 2022","FQ3 2022","Currency=USD","Period=FQ","BEST_FPERIOD_OVERRIDE=FQ","FILING_STATUS=MR","SCALING_FORMAT=MLN","Sort=A","Dates=H","DateFormat=P","Fill=—","Direction=H","UseDPDF=Y")</f>
        <v>—</v>
      </c>
      <c r="S65" s="13" t="str">
        <f>_xll.BDH("AMGN US Equity","ARDR_LITIGATION_EXP","FQ4 2022","FQ4 2022","Currency=USD","Period=FQ","BEST_FPERIOD_OVERRIDE=FQ","FILING_STATUS=MR","SCALING_FORMAT=MLN","Sort=A","Dates=H","DateFormat=P","Fill=—","Direction=H","UseDPDF=Y")</f>
        <v>—</v>
      </c>
      <c r="T65" s="13" t="str">
        <f>_xll.BDH("AMGN US Equity","ARDR_LITIGATION_EXP","FQ1 2023","FQ1 2023","Currency=USD","Period=FQ","BEST_FPERIOD_OVERRIDE=FQ","FILING_STATUS=MR","SCALING_FORMAT=MLN","Sort=A","Dates=H","DateFormat=P","Fill=—","Direction=H","UseDPDF=Y")</f>
        <v>—</v>
      </c>
      <c r="U65" s="13" t="str">
        <f>_xll.BDH("AMGN US Equity","ARDR_LITIGATION_EXP","FQ2 2023","FQ2 2023","Currency=USD","Period=FQ","BEST_FPERIOD_OVERRIDE=FQ","FILING_STATUS=MR","SCALING_FORMAT=MLN","Sort=A","Dates=H","DateFormat=P","Fill=—","Direction=H","UseDPDF=Y")</f>
        <v>—</v>
      </c>
      <c r="V65" s="13" t="str">
        <f>_xll.BDH("AMGN US Equity","ARDR_LITIGATION_EXP","FQ3 2023","FQ3 2023","Currency=USD","Period=FQ","BEST_FPERIOD_OVERRIDE=FQ","FILING_STATUS=MR","SCALING_FORMAT=MLN","Sort=A","Dates=H","DateFormat=P","Fill=—","Direction=H","UseDPDF=Y")</f>
        <v>—</v>
      </c>
      <c r="W65" s="13" t="str">
        <f>_xll.BDH("AMGN US Equity","ARDR_LITIGATION_EXP","FQ4 2023","FQ4 2023","Currency=USD","Period=FQ","BEST_FPERIOD_OVERRIDE=FQ","FILING_STATUS=MR","SCALING_FORMAT=MLN","Sort=A","Dates=H","DateFormat=P","Fill=—","Direction=H","UseDPDF=Y")</f>
        <v>—</v>
      </c>
      <c r="X65" s="13" t="str">
        <f>_xll.BDH("AMGN US Equity","ARDR_LITIGATION_EXP","FQ1 2024","FQ1 2024","Currency=USD","Period=FQ","BEST_FPERIOD_OVERRIDE=FQ","FILING_STATUS=MR","SCALING_FORMAT=MLN","Sort=A","Dates=H","DateFormat=P","Fill=—","Direction=H","UseDPDF=Y")</f>
        <v>—</v>
      </c>
      <c r="Y65" s="13" t="str">
        <f>_xll.BDH("AMGN US Equity","ARDR_LITIGATION_EXP","FQ2 2024","FQ2 2024","Currency=USD","Period=FQ","BEST_FPERIOD_OVERRIDE=FQ","FILING_STATUS=MR","SCALING_FORMAT=MLN","Sort=A","Dates=H","DateFormat=P","Fill=—","Direction=H","UseDPDF=Y")</f>
        <v>—</v>
      </c>
      <c r="Z65" s="13" t="str">
        <f>_xll.BDH("AMGN US Equity","ARDR_LITIGATION_EXP","FQ3 2024","FQ3 2024","Currency=USD","Period=FQ","BEST_FPERIOD_OVERRIDE=FQ","FILING_STATUS=MR","SCALING_FORMAT=MLN","Sort=A","Dates=H","DateFormat=P","Fill=—","Direction=H","UseDPDF=Y")</f>
        <v>—</v>
      </c>
      <c r="AA65" s="13" t="str">
        <f>_xll.BDH("AMGN US Equity","ARDR_LITIGATION_EXP","FQ4 2024","FQ4 2024","Currency=USD","Period=FQ","BEST_FPERIOD_OVERRIDE=FQ","FILING_STATUS=MR","SCALING_FORMAT=MLN","Sort=A","Dates=H","DateFormat=P","Fill=—","Direction=H","UseDPDF=Y")</f>
        <v>—</v>
      </c>
    </row>
    <row r="66" spans="1:27" x14ac:dyDescent="0.25">
      <c r="A66" s="10" t="s">
        <v>510</v>
      </c>
      <c r="B66" s="10" t="s">
        <v>511</v>
      </c>
      <c r="C66" s="13">
        <f>_xll.BDH("AMGN US Equity","ARDR_MERGER_ACQUISITION_EXPENSE","FQ4 2018","FQ4 2018","Currency=USD","Period=FQ","BEST_FPERIOD_OVERRIDE=FQ","FILING_STATUS=MR","SCALING_FORMAT=MLN","Sort=A","Dates=H","DateFormat=P","Fill=—","Direction=H","UseDPDF=Y")</f>
        <v>10</v>
      </c>
      <c r="D66" s="13">
        <f>_xll.BDH("AMGN US Equity","ARDR_MERGER_ACQUISITION_EXPENSE","FQ1 2019","FQ1 2019","Currency=USD","Period=FQ","BEST_FPERIOD_OVERRIDE=FQ","FILING_STATUS=MR","SCALING_FORMAT=MLN","Sort=A","Dates=H","DateFormat=P","Fill=—","Direction=H","UseDPDF=Y")</f>
        <v>-2</v>
      </c>
      <c r="E66" s="13">
        <f>_xll.BDH("AMGN US Equity","ARDR_MERGER_ACQUISITION_EXPENSE","FQ2 2019","FQ2 2019","Currency=USD","Period=FQ","BEST_FPERIOD_OVERRIDE=FQ","FILING_STATUS=MR","SCALING_FORMAT=MLN","Sort=A","Dates=H","DateFormat=P","Fill=—","Direction=H","UseDPDF=Y")</f>
        <v>-2</v>
      </c>
      <c r="F66" s="13">
        <f>_xll.BDH("AMGN US Equity","ARDR_MERGER_ACQUISITION_EXPENSE","FQ3 2019","FQ3 2019","Currency=USD","Period=FQ","BEST_FPERIOD_OVERRIDE=FQ","FILING_STATUS=MR","SCALING_FORMAT=MLN","Sort=A","Dates=H","DateFormat=P","Fill=—","Direction=H","UseDPDF=Y")</f>
        <v>1</v>
      </c>
      <c r="G66" s="13">
        <f>_xll.BDH("AMGN US Equity","ARDR_MERGER_ACQUISITION_EXPENSE","FQ4 2019","FQ4 2019","Currency=USD","Period=FQ","BEST_FPERIOD_OVERRIDE=FQ","FILING_STATUS=MR","SCALING_FORMAT=MLN","Sort=A","Dates=H","DateFormat=P","Fill=—","Direction=H","UseDPDF=Y")</f>
        <v>25</v>
      </c>
      <c r="H66" s="13">
        <f>_xll.BDH("AMGN US Equity","ARDR_MERGER_ACQUISITION_EXPENSE","FQ1 2020","FQ1 2020","Currency=USD","Period=FQ","BEST_FPERIOD_OVERRIDE=FQ","FILING_STATUS=MR","SCALING_FORMAT=MLN","Sort=A","Dates=H","DateFormat=P","Fill=—","Direction=H","UseDPDF=Y")</f>
        <v>27</v>
      </c>
      <c r="I66" s="13" t="str">
        <f>_xll.BDH("AMGN US Equity","ARDR_MERGER_ACQUISITION_EXPENSE","FQ2 2020","FQ2 2020","Currency=USD","Period=FQ","BEST_FPERIOD_OVERRIDE=FQ","FILING_STATUS=MR","SCALING_FORMAT=MLN","Sort=A","Dates=H","DateFormat=P","Fill=—","Direction=H","UseDPDF=Y")</f>
        <v>—</v>
      </c>
      <c r="J66" s="13">
        <f>_xll.BDH("AMGN US Equity","ARDR_MERGER_ACQUISITION_EXPENSE","FQ3 2020","FQ3 2020","Currency=USD","Period=FQ","BEST_FPERIOD_OVERRIDE=FQ","FILING_STATUS=MR","SCALING_FORMAT=MLN","Sort=A","Dates=H","DateFormat=P","Fill=—","Direction=H","UseDPDF=Y")</f>
        <v>727</v>
      </c>
      <c r="K66" s="13" t="str">
        <f>_xll.BDH("AMGN US Equity","ARDR_MERGER_ACQUISITION_EXPENSE","FQ4 2020","FQ4 2020","Currency=USD","Period=FQ","BEST_FPERIOD_OVERRIDE=FQ","FILING_STATUS=MR","SCALING_FORMAT=MLN","Sort=A","Dates=H","DateFormat=P","Fill=—","Direction=H","UseDPDF=Y")</f>
        <v>—</v>
      </c>
      <c r="L66" s="13">
        <f>_xll.BDH("AMGN US Equity","ARDR_MERGER_ACQUISITION_EXPENSE","FQ1 2021","FQ1 2021","Currency=USD","Period=FQ","BEST_FPERIOD_OVERRIDE=FQ","FILING_STATUS=MR","SCALING_FORMAT=MLN","Sort=A","Dates=H","DateFormat=P","Fill=—","Direction=H","UseDPDF=Y")</f>
        <v>658</v>
      </c>
      <c r="M66" s="13">
        <f>_xll.BDH("AMGN US Equity","ARDR_MERGER_ACQUISITION_EXPENSE","FQ2 2021","FQ2 2021","Currency=USD","Period=FQ","BEST_FPERIOD_OVERRIDE=FQ","FILING_STATUS=MR","SCALING_FORMAT=MLN","Sort=A","Dates=H","DateFormat=P","Fill=—","Direction=H","UseDPDF=Y")</f>
        <v>697</v>
      </c>
      <c r="N66" s="13" t="str">
        <f>_xll.BDH("AMGN US Equity","ARDR_MERGER_ACQUISITION_EXPENSE","FQ3 2021","FQ3 2021","Currency=USD","Period=FQ","BEST_FPERIOD_OVERRIDE=FQ","FILING_STATUS=MR","SCALING_FORMAT=MLN","Sort=A","Dates=H","DateFormat=P","Fill=—","Direction=H","UseDPDF=Y")</f>
        <v>—</v>
      </c>
      <c r="O66" s="13" t="str">
        <f>_xll.BDH("AMGN US Equity","ARDR_MERGER_ACQUISITION_EXPENSE","FQ4 2021","FQ4 2021","Currency=USD","Period=FQ","BEST_FPERIOD_OVERRIDE=FQ","FILING_STATUS=MR","SCALING_FORMAT=MLN","Sort=A","Dates=H","DateFormat=P","Fill=—","Direction=H","UseDPDF=Y")</f>
        <v>—</v>
      </c>
      <c r="P66" s="13">
        <f>_xll.BDH("AMGN US Equity","ARDR_MERGER_ACQUISITION_EXPENSE","FQ1 2022","FQ1 2022","Currency=USD","Period=FQ","BEST_FPERIOD_OVERRIDE=FQ","FILING_STATUS=MR","SCALING_FORMAT=MLN","Sort=A","Dates=H","DateFormat=P","Fill=—","Direction=H","UseDPDF=Y")</f>
        <v>650</v>
      </c>
      <c r="Q66" s="13">
        <f>_xll.BDH("AMGN US Equity","ARDR_MERGER_ACQUISITION_EXPENSE","FQ2 2022","FQ2 2022","Currency=USD","Period=FQ","BEST_FPERIOD_OVERRIDE=FQ","FILING_STATUS=MR","SCALING_FORMAT=MLN","Sort=A","Dates=H","DateFormat=P","Fill=—","Direction=H","UseDPDF=Y")</f>
        <v>1160</v>
      </c>
      <c r="R66" s="13" t="str">
        <f>_xll.BDH("AMGN US Equity","ARDR_MERGER_ACQUISITION_EXPENSE","FQ3 2022","FQ3 2022","Currency=USD","Period=FQ","BEST_FPERIOD_OVERRIDE=FQ","FILING_STATUS=MR","SCALING_FORMAT=MLN","Sort=A","Dates=H","DateFormat=P","Fill=—","Direction=H","UseDPDF=Y")</f>
        <v>—</v>
      </c>
      <c r="S66" s="13">
        <f>_xll.BDH("AMGN US Equity","ARDR_MERGER_ACQUISITION_EXPENSE","FQ4 2022","FQ4 2022","Currency=USD","Period=FQ","BEST_FPERIOD_OVERRIDE=FQ","FILING_STATUS=MR","SCALING_FORMAT=MLN","Sort=A","Dates=H","DateFormat=P","Fill=—","Direction=H","UseDPDF=Y")</f>
        <v>-33</v>
      </c>
      <c r="T66" s="13">
        <f>_xll.BDH("AMGN US Equity","ARDR_MERGER_ACQUISITION_EXPENSE","FQ1 2023","FQ1 2023","Currency=USD","Period=FQ","BEST_FPERIOD_OVERRIDE=FQ","FILING_STATUS=MR","SCALING_FORMAT=MLN","Sort=A","Dates=H","DateFormat=P","Fill=—","Direction=H","UseDPDF=Y")</f>
        <v>752</v>
      </c>
      <c r="U66" s="13" t="str">
        <f>_xll.BDH("AMGN US Equity","ARDR_MERGER_ACQUISITION_EXPENSE","FQ2 2023","FQ2 2023","Currency=USD","Period=FQ","BEST_FPERIOD_OVERRIDE=FQ","FILING_STATUS=MR","SCALING_FORMAT=MLN","Sort=A","Dates=H","DateFormat=P","Fill=—","Direction=H","UseDPDF=Y")</f>
        <v>—</v>
      </c>
      <c r="V66" s="13">
        <f>_xll.BDH("AMGN US Equity","ARDR_MERGER_ACQUISITION_EXPENSE","FQ3 2023","FQ3 2023","Currency=USD","Period=FQ","BEST_FPERIOD_OVERRIDE=FQ","FILING_STATUS=MR","SCALING_FORMAT=MLN","Sort=A","Dates=H","DateFormat=P","Fill=—","Direction=H","UseDPDF=Y")</f>
        <v>19</v>
      </c>
      <c r="W66" s="13">
        <f>_xll.BDH("AMGN US Equity","ARDR_MERGER_ACQUISITION_EXPENSE","FQ4 2023","FQ4 2023","Currency=USD","Period=FQ","BEST_FPERIOD_OVERRIDE=FQ","FILING_STATUS=MR","SCALING_FORMAT=MLN","Sort=A","Dates=H","DateFormat=P","Fill=—","Direction=H","UseDPDF=Y")</f>
        <v>510</v>
      </c>
      <c r="X66" s="13" t="str">
        <f>_xll.BDH("AMGN US Equity","ARDR_MERGER_ACQUISITION_EXPENSE","FQ1 2024","FQ1 2024","Currency=USD","Period=FQ","BEST_FPERIOD_OVERRIDE=FQ","FILING_STATUS=MR","SCALING_FORMAT=MLN","Sort=A","Dates=H","DateFormat=P","Fill=—","Direction=H","UseDPDF=Y")</f>
        <v>—</v>
      </c>
      <c r="Y66" s="13">
        <f>_xll.BDH("AMGN US Equity","ARDR_MERGER_ACQUISITION_EXPENSE","FQ2 2024","FQ2 2024","Currency=USD","Period=FQ","BEST_FPERIOD_OVERRIDE=FQ","FILING_STATUS=MR","SCALING_FORMAT=MLN","Sort=A","Dates=H","DateFormat=P","Fill=—","Direction=H","UseDPDF=Y")</f>
        <v>137</v>
      </c>
      <c r="Z66" s="13">
        <f>_xll.BDH("AMGN US Equity","ARDR_MERGER_ACQUISITION_EXPENSE","FQ3 2024","FQ3 2024","Currency=USD","Period=FQ","BEST_FPERIOD_OVERRIDE=FQ","FILING_STATUS=MR","SCALING_FORMAT=MLN","Sort=A","Dates=H","DateFormat=P","Fill=—","Direction=H","UseDPDF=Y")</f>
        <v>141</v>
      </c>
      <c r="AA66" s="13">
        <f>_xll.BDH("AMGN US Equity","ARDR_MERGER_ACQUISITION_EXPENSE","FQ4 2024","FQ4 2024","Currency=USD","Period=FQ","BEST_FPERIOD_OVERRIDE=FQ","FILING_STATUS=MR","SCALING_FORMAT=MLN","Sort=A","Dates=H","DateFormat=P","Fill=—","Direction=H","UseDPDF=Y")</f>
        <v>85</v>
      </c>
    </row>
    <row r="67" spans="1:27" x14ac:dyDescent="0.25">
      <c r="A67" s="10" t="s">
        <v>512</v>
      </c>
      <c r="B67" s="10" t="s">
        <v>513</v>
      </c>
      <c r="C67" s="13" t="str">
        <f>_xll.BDH("AMGN US Equity","ARDR_AMORT_OF_INTANGIBLE_ASSETS","FQ4 2018","FQ4 2018","Currency=USD","Period=FQ","BEST_FPERIOD_OVERRIDE=FQ","FILING_STATUS=MR","SCALING_FORMAT=MLN","Sort=A","Dates=H","DateFormat=P","Fill=—","Direction=H","UseDPDF=Y")</f>
        <v>—</v>
      </c>
      <c r="D67" s="13" t="str">
        <f>_xll.BDH("AMGN US Equity","ARDR_AMORT_OF_INTANGIBLE_ASSETS","FQ1 2019","FQ1 2019","Currency=USD","Period=FQ","BEST_FPERIOD_OVERRIDE=FQ","FILING_STATUS=MR","SCALING_FORMAT=MLN","Sort=A","Dates=H","DateFormat=P","Fill=—","Direction=H","UseDPDF=Y")</f>
        <v>—</v>
      </c>
      <c r="E67" s="13" t="str">
        <f>_xll.BDH("AMGN US Equity","ARDR_AMORT_OF_INTANGIBLE_ASSETS","FQ2 2019","FQ2 2019","Currency=USD","Period=FQ","BEST_FPERIOD_OVERRIDE=FQ","FILING_STATUS=MR","SCALING_FORMAT=MLN","Sort=A","Dates=H","DateFormat=P","Fill=—","Direction=H","UseDPDF=Y")</f>
        <v>—</v>
      </c>
      <c r="F67" s="13">
        <f>_xll.BDH("AMGN US Equity","ARDR_AMORT_OF_INTANGIBLE_ASSETS","FQ3 2019","FQ3 2019","Currency=USD","Period=FQ","BEST_FPERIOD_OVERRIDE=FQ","FILING_STATUS=MR","SCALING_FORMAT=MLN","Sort=A","Dates=H","DateFormat=P","Fill=—","Direction=H","UseDPDF=Y")</f>
        <v>317</v>
      </c>
      <c r="G67" s="13" t="str">
        <f>_xll.BDH("AMGN US Equity","ARDR_AMORT_OF_INTANGIBLE_ASSETS","FQ4 2019","FQ4 2019","Currency=USD","Period=FQ","BEST_FPERIOD_OVERRIDE=FQ","FILING_STATUS=MR","SCALING_FORMAT=MLN","Sort=A","Dates=H","DateFormat=P","Fill=—","Direction=H","UseDPDF=Y")</f>
        <v>—</v>
      </c>
      <c r="H67" s="13" t="str">
        <f>_xll.BDH("AMGN US Equity","ARDR_AMORT_OF_INTANGIBLE_ASSETS","FQ1 2020","FQ1 2020","Currency=USD","Period=FQ","BEST_FPERIOD_OVERRIDE=FQ","FILING_STATUS=MR","SCALING_FORMAT=MLN","Sort=A","Dates=H","DateFormat=P","Fill=—","Direction=H","UseDPDF=Y")</f>
        <v>—</v>
      </c>
      <c r="I67" s="13" t="str">
        <f>_xll.BDH("AMGN US Equity","ARDR_AMORT_OF_INTANGIBLE_ASSETS","FQ2 2020","FQ2 2020","Currency=USD","Period=FQ","BEST_FPERIOD_OVERRIDE=FQ","FILING_STATUS=MR","SCALING_FORMAT=MLN","Sort=A","Dates=H","DateFormat=P","Fill=—","Direction=H","UseDPDF=Y")</f>
        <v>—</v>
      </c>
      <c r="J67" s="13">
        <f>_xll.BDH("AMGN US Equity","ARDR_AMORT_OF_INTANGIBLE_ASSETS","FQ3 2020","FQ3 2020","Currency=USD","Period=FQ","BEST_FPERIOD_OVERRIDE=FQ","FILING_STATUS=MR","SCALING_FORMAT=MLN","Sort=A","Dates=H","DateFormat=P","Fill=—","Direction=H","UseDPDF=Y")</f>
        <v>726</v>
      </c>
      <c r="K67" s="13">
        <f>_xll.BDH("AMGN US Equity","ARDR_AMORT_OF_INTANGIBLE_ASSETS","FQ4 2020","FQ4 2020","Currency=USD","Period=FQ","BEST_FPERIOD_OVERRIDE=FQ","FILING_STATUS=MR","SCALING_FORMAT=MLN","Sort=A","Dates=H","DateFormat=P","Fill=—","Direction=H","UseDPDF=Y")</f>
        <v>692</v>
      </c>
      <c r="L67" s="13" t="str">
        <f>_xll.BDH("AMGN US Equity","ARDR_AMORT_OF_INTANGIBLE_ASSETS","FQ1 2021","FQ1 2021","Currency=USD","Period=FQ","BEST_FPERIOD_OVERRIDE=FQ","FILING_STATUS=MR","SCALING_FORMAT=MLN","Sort=A","Dates=H","DateFormat=P","Fill=—","Direction=H","UseDPDF=Y")</f>
        <v>—</v>
      </c>
      <c r="M67" s="13" t="str">
        <f>_xll.BDH("AMGN US Equity","ARDR_AMORT_OF_INTANGIBLE_ASSETS","FQ2 2021","FQ2 2021","Currency=USD","Period=FQ","BEST_FPERIOD_OVERRIDE=FQ","FILING_STATUS=MR","SCALING_FORMAT=MLN","Sort=A","Dates=H","DateFormat=P","Fill=—","Direction=H","UseDPDF=Y")</f>
        <v>—</v>
      </c>
      <c r="N67" s="13">
        <f>_xll.BDH("AMGN US Equity","ARDR_AMORT_OF_INTANGIBLE_ASSETS","FQ3 2021","FQ3 2021","Currency=USD","Period=FQ","BEST_FPERIOD_OVERRIDE=FQ","FILING_STATUS=MR","SCALING_FORMAT=MLN","Sort=A","Dates=H","DateFormat=P","Fill=—","Direction=H","UseDPDF=Y")</f>
        <v>642</v>
      </c>
      <c r="O67" s="13">
        <f>_xll.BDH("AMGN US Equity","ARDR_AMORT_OF_INTANGIBLE_ASSETS","FQ4 2021","FQ4 2021","Currency=USD","Period=FQ","BEST_FPERIOD_OVERRIDE=FQ","FILING_STATUS=MR","SCALING_FORMAT=MLN","Sort=A","Dates=H","DateFormat=P","Fill=—","Direction=H","UseDPDF=Y")</f>
        <v>665</v>
      </c>
      <c r="P67" s="13" t="str">
        <f>_xll.BDH("AMGN US Equity","ARDR_AMORT_OF_INTANGIBLE_ASSETS","FQ1 2022","FQ1 2022","Currency=USD","Period=FQ","BEST_FPERIOD_OVERRIDE=FQ","FILING_STATUS=MR","SCALING_FORMAT=MLN","Sort=A","Dates=H","DateFormat=P","Fill=—","Direction=H","UseDPDF=Y")</f>
        <v>—</v>
      </c>
      <c r="Q67" s="13">
        <f>_xll.BDH("AMGN US Equity","ARDR_AMORT_OF_INTANGIBLE_ASSETS","FQ2 2022","FQ2 2022","Currency=USD","Period=FQ","BEST_FPERIOD_OVERRIDE=FQ","FILING_STATUS=MR","SCALING_FORMAT=MLN","Sort=A","Dates=H","DateFormat=P","Fill=—","Direction=H","UseDPDF=Y")</f>
        <v>629</v>
      </c>
      <c r="R67" s="13">
        <f>_xll.BDH("AMGN US Equity","ARDR_AMORT_OF_INTANGIBLE_ASSETS","FQ3 2022","FQ3 2022","Currency=USD","Period=FQ","BEST_FPERIOD_OVERRIDE=FQ","FILING_STATUS=MR","SCALING_FORMAT=MLN","Sort=A","Dates=H","DateFormat=P","Fill=—","Direction=H","UseDPDF=Y")</f>
        <v>628</v>
      </c>
      <c r="S67" s="13">
        <f>_xll.BDH("AMGN US Equity","ARDR_AMORT_OF_INTANGIBLE_ASSETS","FQ4 2022","FQ4 2022","Currency=USD","Period=FQ","BEST_FPERIOD_OVERRIDE=FQ","FILING_STATUS=MR","SCALING_FORMAT=MLN","Sort=A","Dates=H","DateFormat=P","Fill=—","Direction=H","UseDPDF=Y")</f>
        <v>862</v>
      </c>
      <c r="T67" s="13" t="str">
        <f>_xll.BDH("AMGN US Equity","ARDR_AMORT_OF_INTANGIBLE_ASSETS","FQ1 2023","FQ1 2023","Currency=USD","Period=FQ","BEST_FPERIOD_OVERRIDE=FQ","FILING_STATUS=MR","SCALING_FORMAT=MLN","Sort=A","Dates=H","DateFormat=P","Fill=—","Direction=H","UseDPDF=Y")</f>
        <v>—</v>
      </c>
      <c r="U67" s="13">
        <f>_xll.BDH("AMGN US Equity","ARDR_AMORT_OF_INTANGIBLE_ASSETS","FQ2 2023","FQ2 2023","Currency=USD","Period=FQ","BEST_FPERIOD_OVERRIDE=FQ","FILING_STATUS=MR","SCALING_FORMAT=MLN","Sort=A","Dates=H","DateFormat=P","Fill=—","Direction=H","UseDPDF=Y")</f>
        <v>732</v>
      </c>
      <c r="V67" s="13">
        <f>_xll.BDH("AMGN US Equity","ARDR_AMORT_OF_INTANGIBLE_ASSETS","FQ3 2023","FQ3 2023","Currency=USD","Period=FQ","BEST_FPERIOD_OVERRIDE=FQ","FILING_STATUS=MR","SCALING_FORMAT=MLN","Sort=A","Dates=H","DateFormat=P","Fill=—","Direction=H","UseDPDF=Y")</f>
        <v>693</v>
      </c>
      <c r="W67" s="13">
        <f>_xll.BDH("AMGN US Equity","ARDR_AMORT_OF_INTANGIBLE_ASSETS","FQ4 2023","FQ4 2023","Currency=USD","Period=FQ","BEST_FPERIOD_OVERRIDE=FQ","FILING_STATUS=MR","SCALING_FORMAT=MLN","Sort=A","Dates=H","DateFormat=P","Fill=—","Direction=H","UseDPDF=Y")</f>
        <v>1862</v>
      </c>
      <c r="X67" s="13">
        <f>_xll.BDH("AMGN US Equity","ARDR_AMORT_OF_INTANGIBLE_ASSETS","FQ1 2024","FQ1 2024","Currency=USD","Period=FQ","BEST_FPERIOD_OVERRIDE=FQ","FILING_STATUS=MR","SCALING_FORMAT=MLN","Sort=A","Dates=H","DateFormat=P","Fill=—","Direction=H","UseDPDF=Y")</f>
        <v>1982</v>
      </c>
      <c r="Y67" s="13">
        <f>_xll.BDH("AMGN US Equity","ARDR_AMORT_OF_INTANGIBLE_ASSETS","FQ2 2024","FQ2 2024","Currency=USD","Period=FQ","BEST_FPERIOD_OVERRIDE=FQ","FILING_STATUS=MR","SCALING_FORMAT=MLN","Sort=A","Dates=H","DateFormat=P","Fill=—","Direction=H","UseDPDF=Y")</f>
        <v>1953</v>
      </c>
      <c r="Z67" s="13">
        <f>_xll.BDH("AMGN US Equity","ARDR_AMORT_OF_INTANGIBLE_ASSETS","FQ3 2024","FQ3 2024","Currency=USD","Period=FQ","BEST_FPERIOD_OVERRIDE=FQ","FILING_STATUS=MR","SCALING_FORMAT=MLN","Sort=A","Dates=H","DateFormat=P","Fill=—","Direction=H","UseDPDF=Y")</f>
        <v>1200</v>
      </c>
      <c r="AA67" s="13">
        <f>_xll.BDH("AMGN US Equity","ARDR_AMORT_OF_INTANGIBLE_ASSETS","FQ4 2024","FQ4 2024","Currency=USD","Period=FQ","BEST_FPERIOD_OVERRIDE=FQ","FILING_STATUS=MR","SCALING_FORMAT=MLN","Sort=A","Dates=H","DateFormat=P","Fill=—","Direction=H","UseDPDF=Y")</f>
        <v>1200</v>
      </c>
    </row>
    <row r="68" spans="1:27" x14ac:dyDescent="0.25">
      <c r="A68" s="10" t="s">
        <v>1</v>
      </c>
      <c r="B68" s="10" t="s">
        <v>514</v>
      </c>
      <c r="C68" s="13">
        <f>_xll.BDH("AMGN US Equity","ARDR_TOTAL_REVENUES","FQ4 2018","FQ4 2018","Currency=USD","Period=FQ","BEST_FPERIOD_OVERRIDE=FQ","FILING_STATUS=MR","SCALING_FORMAT=MLN","Sort=A","Dates=H","DateFormat=P","Fill=—","Direction=H","UseDPDF=Y")</f>
        <v>6230</v>
      </c>
      <c r="D68" s="13">
        <f>_xll.BDH("AMGN US Equity","ARDR_TOTAL_REVENUES","FQ1 2019","FQ1 2019","Currency=USD","Period=FQ","BEST_FPERIOD_OVERRIDE=FQ","FILING_STATUS=MR","SCALING_FORMAT=MLN","Sort=A","Dates=H","DateFormat=P","Fill=—","Direction=H","UseDPDF=Y")</f>
        <v>5557</v>
      </c>
      <c r="E68" s="13">
        <f>_xll.BDH("AMGN US Equity","ARDR_TOTAL_REVENUES","FQ2 2019","FQ2 2019","Currency=USD","Period=FQ","BEST_FPERIOD_OVERRIDE=FQ","FILING_STATUS=MR","SCALING_FORMAT=MLN","Sort=A","Dates=H","DateFormat=P","Fill=—","Direction=H","UseDPDF=Y")</f>
        <v>5871</v>
      </c>
      <c r="F68" s="13">
        <f>_xll.BDH("AMGN US Equity","ARDR_TOTAL_REVENUES","FQ3 2019","FQ3 2019","Currency=USD","Period=FQ","BEST_FPERIOD_OVERRIDE=FQ","FILING_STATUS=MR","SCALING_FORMAT=MLN","Sort=A","Dates=H","DateFormat=P","Fill=—","Direction=H","UseDPDF=Y")</f>
        <v>5737</v>
      </c>
      <c r="G68" s="13">
        <f>_xll.BDH("AMGN US Equity","ARDR_TOTAL_REVENUES","FQ4 2019","FQ4 2019","Currency=USD","Period=FQ","BEST_FPERIOD_OVERRIDE=FQ","FILING_STATUS=MR","SCALING_FORMAT=MLN","Sort=A","Dates=H","DateFormat=P","Fill=—","Direction=H","UseDPDF=Y")</f>
        <v>6197</v>
      </c>
      <c r="H68" s="13">
        <f>_xll.BDH("AMGN US Equity","ARDR_TOTAL_REVENUES","FQ1 2020","FQ1 2020","Currency=USD","Period=FQ","BEST_FPERIOD_OVERRIDE=FQ","FILING_STATUS=MR","SCALING_FORMAT=MLN","Sort=A","Dates=H","DateFormat=P","Fill=—","Direction=H","UseDPDF=Y")</f>
        <v>6161</v>
      </c>
      <c r="I68" s="13">
        <f>_xll.BDH("AMGN US Equity","ARDR_TOTAL_REVENUES","FQ2 2020","FQ2 2020","Currency=USD","Period=FQ","BEST_FPERIOD_OVERRIDE=FQ","FILING_STATUS=MR","SCALING_FORMAT=MLN","Sort=A","Dates=H","DateFormat=P","Fill=—","Direction=H","UseDPDF=Y")</f>
        <v>6206</v>
      </c>
      <c r="J68" s="13">
        <f>_xll.BDH("AMGN US Equity","ARDR_TOTAL_REVENUES","FQ3 2020","FQ3 2020","Currency=USD","Period=FQ","BEST_FPERIOD_OVERRIDE=FQ","FILING_STATUS=MR","SCALING_FORMAT=MLN","Sort=A","Dates=H","DateFormat=P","Fill=—","Direction=H","UseDPDF=Y")</f>
        <v>6423</v>
      </c>
      <c r="K68" s="13">
        <f>_xll.BDH("AMGN US Equity","ARDR_TOTAL_REVENUES","FQ4 2020","FQ4 2020","Currency=USD","Period=FQ","BEST_FPERIOD_OVERRIDE=FQ","FILING_STATUS=MR","SCALING_FORMAT=MLN","Sort=A","Dates=H","DateFormat=P","Fill=—","Direction=H","UseDPDF=Y")</f>
        <v>6634</v>
      </c>
      <c r="L68" s="13">
        <f>_xll.BDH("AMGN US Equity","ARDR_TOTAL_REVENUES","FQ1 2021","FQ1 2021","Currency=USD","Period=FQ","BEST_FPERIOD_OVERRIDE=FQ","FILING_STATUS=MR","SCALING_FORMAT=MLN","Sort=A","Dates=H","DateFormat=P","Fill=—","Direction=H","UseDPDF=Y")</f>
        <v>5901</v>
      </c>
      <c r="M68" s="13">
        <f>_xll.BDH("AMGN US Equity","ARDR_TOTAL_REVENUES","FQ2 2021","FQ2 2021","Currency=USD","Period=FQ","BEST_FPERIOD_OVERRIDE=FQ","FILING_STATUS=MR","SCALING_FORMAT=MLN","Sort=A","Dates=H","DateFormat=P","Fill=—","Direction=H","UseDPDF=Y")</f>
        <v>6526</v>
      </c>
      <c r="N68" s="13">
        <f>_xll.BDH("AMGN US Equity","ARDR_TOTAL_REVENUES","FQ3 2021","FQ3 2021","Currency=USD","Period=FQ","BEST_FPERIOD_OVERRIDE=FQ","FILING_STATUS=MR","SCALING_FORMAT=MLN","Sort=A","Dates=H","DateFormat=P","Fill=—","Direction=H","UseDPDF=Y")</f>
        <v>6320</v>
      </c>
      <c r="O68" s="13">
        <f>_xll.BDH("AMGN US Equity","ARDR_TOTAL_REVENUES","FQ4 2021","FQ4 2021","Currency=USD","Period=FQ","BEST_FPERIOD_OVERRIDE=FQ","FILING_STATUS=MR","SCALING_FORMAT=MLN","Sort=A","Dates=H","DateFormat=P","Fill=—","Direction=H","UseDPDF=Y")</f>
        <v>6846</v>
      </c>
      <c r="P68" s="13">
        <f>_xll.BDH("AMGN US Equity","ARDR_TOTAL_REVENUES","FQ1 2022","FQ1 2022","Currency=USD","Period=FQ","BEST_FPERIOD_OVERRIDE=FQ","FILING_STATUS=MR","SCALING_FORMAT=MLN","Sort=A","Dates=H","DateFormat=P","Fill=—","Direction=H","UseDPDF=Y")</f>
        <v>6238</v>
      </c>
      <c r="Q68" s="13">
        <f>_xll.BDH("AMGN US Equity","ARDR_TOTAL_REVENUES","FQ2 2022","FQ2 2022","Currency=USD","Period=FQ","BEST_FPERIOD_OVERRIDE=FQ","FILING_STATUS=MR","SCALING_FORMAT=MLN","Sort=A","Dates=H","DateFormat=P","Fill=—","Direction=H","UseDPDF=Y")</f>
        <v>6594</v>
      </c>
      <c r="R68" s="13">
        <f>_xll.BDH("AMGN US Equity","ARDR_TOTAL_REVENUES","FQ3 2022","FQ3 2022","Currency=USD","Period=FQ","BEST_FPERIOD_OVERRIDE=FQ","FILING_STATUS=MR","SCALING_FORMAT=MLN","Sort=A","Dates=H","DateFormat=P","Fill=—","Direction=H","UseDPDF=Y")</f>
        <v>6652</v>
      </c>
      <c r="S68" s="13">
        <f>_xll.BDH("AMGN US Equity","ARDR_TOTAL_REVENUES","FQ4 2022","FQ4 2022","Currency=USD","Period=FQ","BEST_FPERIOD_OVERRIDE=FQ","FILING_STATUS=MR","SCALING_FORMAT=MLN","Sort=A","Dates=H","DateFormat=P","Fill=—","Direction=H","UseDPDF=Y")</f>
        <v>6839</v>
      </c>
      <c r="T68" s="13">
        <f>_xll.BDH("AMGN US Equity","ARDR_TOTAL_REVENUES","FQ1 2023","FQ1 2023","Currency=USD","Period=FQ","BEST_FPERIOD_OVERRIDE=FQ","FILING_STATUS=MR","SCALING_FORMAT=MLN","Sort=A","Dates=H","DateFormat=P","Fill=—","Direction=H","UseDPDF=Y")</f>
        <v>6105</v>
      </c>
      <c r="U68" s="13">
        <f>_xll.BDH("AMGN US Equity","ARDR_TOTAL_REVENUES","FQ2 2023","FQ2 2023","Currency=USD","Period=FQ","BEST_FPERIOD_OVERRIDE=FQ","FILING_STATUS=MR","SCALING_FORMAT=MLN","Sort=A","Dates=H","DateFormat=P","Fill=—","Direction=H","UseDPDF=Y")</f>
        <v>6986</v>
      </c>
      <c r="V68" s="13">
        <f>_xll.BDH("AMGN US Equity","ARDR_TOTAL_REVENUES","FQ3 2023","FQ3 2023","Currency=USD","Period=FQ","BEST_FPERIOD_OVERRIDE=FQ","FILING_STATUS=MR","SCALING_FORMAT=MLN","Sort=A","Dates=H","DateFormat=P","Fill=—","Direction=H","UseDPDF=Y")</f>
        <v>6903</v>
      </c>
      <c r="W68" s="13">
        <f>_xll.BDH("AMGN US Equity","ARDR_TOTAL_REVENUES","FQ4 2023","FQ4 2023","Currency=USD","Period=FQ","BEST_FPERIOD_OVERRIDE=FQ","FILING_STATUS=MR","SCALING_FORMAT=MLN","Sort=A","Dates=H","DateFormat=P","Fill=—","Direction=H","UseDPDF=Y")</f>
        <v>8196</v>
      </c>
      <c r="X68" s="13">
        <f>_xll.BDH("AMGN US Equity","ARDR_TOTAL_REVENUES","FQ1 2024","FQ1 2024","Currency=USD","Period=FQ","BEST_FPERIOD_OVERRIDE=FQ","FILING_STATUS=MR","SCALING_FORMAT=MLN","Sort=A","Dates=H","DateFormat=P","Fill=—","Direction=H","UseDPDF=Y")</f>
        <v>7447</v>
      </c>
      <c r="Y68" s="13">
        <f>_xll.BDH("AMGN US Equity","ARDR_TOTAL_REVENUES","FQ2 2024","FQ2 2024","Currency=USD","Period=FQ","BEST_FPERIOD_OVERRIDE=FQ","FILING_STATUS=MR","SCALING_FORMAT=MLN","Sort=A","Dates=H","DateFormat=P","Fill=—","Direction=H","UseDPDF=Y")</f>
        <v>8388</v>
      </c>
      <c r="Z68" s="13">
        <f>_xll.BDH("AMGN US Equity","ARDR_TOTAL_REVENUES","FQ3 2024","FQ3 2024","Currency=USD","Period=FQ","BEST_FPERIOD_OVERRIDE=FQ","FILING_STATUS=MR","SCALING_FORMAT=MLN","Sort=A","Dates=H","DateFormat=P","Fill=—","Direction=H","UseDPDF=Y")</f>
        <v>8503</v>
      </c>
      <c r="AA68" s="13">
        <f>_xll.BDH("AMGN US Equity","ARDR_TOTAL_REVENUES","FQ4 2024","FQ4 2024","Currency=USD","Period=FQ","BEST_FPERIOD_OVERRIDE=FQ","FILING_STATUS=MR","SCALING_FORMAT=MLN","Sort=A","Dates=H","DateFormat=P","Fill=—","Direction=H","UseDPDF=Y")</f>
        <v>9086</v>
      </c>
    </row>
    <row r="69" spans="1:27" x14ac:dyDescent="0.25">
      <c r="A69" s="10" t="s">
        <v>417</v>
      </c>
      <c r="B69" s="10" t="s">
        <v>515</v>
      </c>
      <c r="C69" s="13">
        <f>_xll.BDH("AMGN US Equity","ARDR_PRODUCT_REVENUE","FQ4 2018","FQ4 2018","Currency=USD","Period=FQ","BEST_FPERIOD_OVERRIDE=FQ","FILING_STATUS=MR","SCALING_FORMAT=MLN","Sort=A","Dates=H","DateFormat=P","Fill=—","Direction=H","UseDPDF=Y")</f>
        <v>6001</v>
      </c>
      <c r="D69" s="13">
        <f>_xll.BDH("AMGN US Equity","ARDR_PRODUCT_REVENUE","FQ1 2019","FQ1 2019","Currency=USD","Period=FQ","BEST_FPERIOD_OVERRIDE=FQ","FILING_STATUS=MR","SCALING_FORMAT=MLN","Sort=A","Dates=H","DateFormat=P","Fill=—","Direction=H","UseDPDF=Y")</f>
        <v>5286</v>
      </c>
      <c r="E69" s="13">
        <f>_xll.BDH("AMGN US Equity","ARDR_PRODUCT_REVENUE","FQ2 2019","FQ2 2019","Currency=USD","Period=FQ","BEST_FPERIOD_OVERRIDE=FQ","FILING_STATUS=MR","SCALING_FORMAT=MLN","Sort=A","Dates=H","DateFormat=P","Fill=—","Direction=H","UseDPDF=Y")</f>
        <v>5574</v>
      </c>
      <c r="F69" s="13">
        <f>_xll.BDH("AMGN US Equity","ARDR_PRODUCT_REVENUE","FQ3 2019","FQ3 2019","Currency=USD","Period=FQ","BEST_FPERIOD_OVERRIDE=FQ","FILING_STATUS=MR","SCALING_FORMAT=MLN","Sort=A","Dates=H","DateFormat=P","Fill=—","Direction=H","UseDPDF=Y")</f>
        <v>5463</v>
      </c>
      <c r="G69" s="13">
        <f>_xll.BDH("AMGN US Equity","ARDR_PRODUCT_REVENUE","FQ4 2019","FQ4 2019","Currency=USD","Period=FQ","BEST_FPERIOD_OVERRIDE=FQ","FILING_STATUS=MR","SCALING_FORMAT=MLN","Sort=A","Dates=H","DateFormat=P","Fill=—","Direction=H","UseDPDF=Y")</f>
        <v>5881</v>
      </c>
      <c r="H69" s="13">
        <f>_xll.BDH("AMGN US Equity","ARDR_PRODUCT_REVENUE","FQ1 2020","FQ1 2020","Currency=USD","Period=FQ","BEST_FPERIOD_OVERRIDE=FQ","FILING_STATUS=MR","SCALING_FORMAT=MLN","Sort=A","Dates=H","DateFormat=P","Fill=—","Direction=H","UseDPDF=Y")</f>
        <v>5894</v>
      </c>
      <c r="I69" s="13">
        <f>_xll.BDH("AMGN US Equity","ARDR_PRODUCT_REVENUE","FQ2 2020","FQ2 2020","Currency=USD","Period=FQ","BEST_FPERIOD_OVERRIDE=FQ","FILING_STATUS=MR","SCALING_FORMAT=MLN","Sort=A","Dates=H","DateFormat=P","Fill=—","Direction=H","UseDPDF=Y")</f>
        <v>5908</v>
      </c>
      <c r="J69" s="13">
        <f>_xll.BDH("AMGN US Equity","ARDR_PRODUCT_REVENUE","FQ3 2020","FQ3 2020","Currency=USD","Period=FQ","BEST_FPERIOD_OVERRIDE=FQ","FILING_STATUS=MR","SCALING_FORMAT=MLN","Sort=A","Dates=H","DateFormat=P","Fill=—","Direction=H","UseDPDF=Y")</f>
        <v>6104</v>
      </c>
      <c r="K69" s="13">
        <f>_xll.BDH("AMGN US Equity","ARDR_PRODUCT_REVENUE","FQ4 2020","FQ4 2020","Currency=USD","Period=FQ","BEST_FPERIOD_OVERRIDE=FQ","FILING_STATUS=MR","SCALING_FORMAT=MLN","Sort=A","Dates=H","DateFormat=P","Fill=—","Direction=H","UseDPDF=Y")</f>
        <v>6334</v>
      </c>
      <c r="L69" s="13">
        <f>_xll.BDH("AMGN US Equity","ARDR_PRODUCT_REVENUE","FQ1 2021","FQ1 2021","Currency=USD","Period=FQ","BEST_FPERIOD_OVERRIDE=FQ","FILING_STATUS=MR","SCALING_FORMAT=MLN","Sort=A","Dates=H","DateFormat=P","Fill=—","Direction=H","UseDPDF=Y")</f>
        <v>5592</v>
      </c>
      <c r="M69" s="13">
        <f>_xll.BDH("AMGN US Equity","ARDR_PRODUCT_REVENUE","FQ2 2021","FQ2 2021","Currency=USD","Period=FQ","BEST_FPERIOD_OVERRIDE=FQ","FILING_STATUS=MR","SCALING_FORMAT=MLN","Sort=A","Dates=H","DateFormat=P","Fill=—","Direction=H","UseDPDF=Y")</f>
        <v>6114</v>
      </c>
      <c r="N69" s="13">
        <f>_xll.BDH("AMGN US Equity","ARDR_PRODUCT_REVENUE","FQ3 2021","FQ3 2021","Currency=USD","Period=FQ","BEST_FPERIOD_OVERRIDE=FQ","FILING_STATUS=MR","SCALING_FORMAT=MLN","Sort=A","Dates=H","DateFormat=P","Fill=—","Direction=H","UseDPDF=Y")</f>
        <v>6320</v>
      </c>
      <c r="O69" s="13">
        <f>_xll.BDH("AMGN US Equity","ARDR_PRODUCT_REVENUE","FQ4 2021","FQ4 2021","Currency=USD","Period=FQ","BEST_FPERIOD_OVERRIDE=FQ","FILING_STATUS=MR","SCALING_FORMAT=MLN","Sort=A","Dates=H","DateFormat=P","Fill=—","Direction=H","UseDPDF=Y")</f>
        <v>6271</v>
      </c>
      <c r="P69" s="13">
        <f>_xll.BDH("AMGN US Equity","ARDR_PRODUCT_REVENUE","FQ1 2022","FQ1 2022","Currency=USD","Period=FQ","BEST_FPERIOD_OVERRIDE=FQ","FILING_STATUS=MR","SCALING_FORMAT=MLN","Sort=A","Dates=H","DateFormat=P","Fill=—","Direction=H","UseDPDF=Y")</f>
        <v>5731</v>
      </c>
      <c r="Q69" s="13">
        <f>_xll.BDH("AMGN US Equity","ARDR_PRODUCT_REVENUE","FQ2 2022","FQ2 2022","Currency=USD","Period=FQ","BEST_FPERIOD_OVERRIDE=FQ","FILING_STATUS=MR","SCALING_FORMAT=MLN","Sort=A","Dates=H","DateFormat=P","Fill=—","Direction=H","UseDPDF=Y")</f>
        <v>6281</v>
      </c>
      <c r="R69" s="13">
        <f>_xll.BDH("AMGN US Equity","ARDR_PRODUCT_REVENUE","FQ3 2022","FQ3 2022","Currency=USD","Period=FQ","BEST_FPERIOD_OVERRIDE=FQ","FILING_STATUS=MR","SCALING_FORMAT=MLN","Sort=A","Dates=H","DateFormat=P","Fill=—","Direction=H","UseDPDF=Y")</f>
        <v>6237</v>
      </c>
      <c r="S69" s="13">
        <f>_xll.BDH("AMGN US Equity","ARDR_PRODUCT_REVENUE","FQ4 2022","FQ4 2022","Currency=USD","Period=FQ","BEST_FPERIOD_OVERRIDE=FQ","FILING_STATUS=MR","SCALING_FORMAT=MLN","Sort=A","Dates=H","DateFormat=P","Fill=—","Direction=H","UseDPDF=Y")</f>
        <v>6552</v>
      </c>
      <c r="T69" s="13">
        <f>_xll.BDH("AMGN US Equity","ARDR_PRODUCT_REVENUE","FQ1 2023","FQ1 2023","Currency=USD","Period=FQ","BEST_FPERIOD_OVERRIDE=FQ","FILING_STATUS=MR","SCALING_FORMAT=MLN","Sort=A","Dates=H","DateFormat=P","Fill=—","Direction=H","UseDPDF=Y")</f>
        <v>5846</v>
      </c>
      <c r="U69" s="13">
        <f>_xll.BDH("AMGN US Equity","ARDR_PRODUCT_REVENUE","FQ2 2023","FQ2 2023","Currency=USD","Period=FQ","BEST_FPERIOD_OVERRIDE=FQ","FILING_STATUS=MR","SCALING_FORMAT=MLN","Sort=A","Dates=H","DateFormat=P","Fill=—","Direction=H","UseDPDF=Y")</f>
        <v>6683</v>
      </c>
      <c r="V69" s="13">
        <f>_xll.BDH("AMGN US Equity","ARDR_PRODUCT_REVENUE","FQ3 2023","FQ3 2023","Currency=USD","Period=FQ","BEST_FPERIOD_OVERRIDE=FQ","FILING_STATUS=MR","SCALING_FORMAT=MLN","Sort=A","Dates=H","DateFormat=P","Fill=—","Direction=H","UseDPDF=Y")</f>
        <v>6548</v>
      </c>
      <c r="W69" s="13">
        <f>_xll.BDH("AMGN US Equity","ARDR_PRODUCT_REVENUE","FQ4 2023","FQ4 2023","Currency=USD","Period=FQ","BEST_FPERIOD_OVERRIDE=FQ","FILING_STATUS=MR","SCALING_FORMAT=MLN","Sort=A","Dates=H","DateFormat=P","Fill=—","Direction=H","UseDPDF=Y")</f>
        <v>7833</v>
      </c>
      <c r="X69" s="13">
        <f>_xll.BDH("AMGN US Equity","ARDR_PRODUCT_REVENUE","FQ1 2024","FQ1 2024","Currency=USD","Period=FQ","BEST_FPERIOD_OVERRIDE=FQ","FILING_STATUS=MR","SCALING_FORMAT=MLN","Sort=A","Dates=H","DateFormat=P","Fill=—","Direction=H","UseDPDF=Y")</f>
        <v>7118</v>
      </c>
      <c r="Y69" s="13">
        <f>_xll.BDH("AMGN US Equity","ARDR_PRODUCT_REVENUE","FQ2 2024","FQ2 2024","Currency=USD","Period=FQ","BEST_FPERIOD_OVERRIDE=FQ","FILING_STATUS=MR","SCALING_FORMAT=MLN","Sort=A","Dates=H","DateFormat=P","Fill=—","Direction=H","UseDPDF=Y")</f>
        <v>8041</v>
      </c>
      <c r="Z69" s="13">
        <f>_xll.BDH("AMGN US Equity","ARDR_PRODUCT_REVENUE","FQ3 2024","FQ3 2024","Currency=USD","Period=FQ","BEST_FPERIOD_OVERRIDE=FQ","FILING_STATUS=MR","SCALING_FORMAT=MLN","Sort=A","Dates=H","DateFormat=P","Fill=—","Direction=H","UseDPDF=Y")</f>
        <v>8151</v>
      </c>
      <c r="AA69" s="13">
        <f>_xll.BDH("AMGN US Equity","ARDR_PRODUCT_REVENUE","FQ4 2024","FQ4 2024","Currency=USD","Period=FQ","BEST_FPERIOD_OVERRIDE=FQ","FILING_STATUS=MR","SCALING_FORMAT=MLN","Sort=A","Dates=H","DateFormat=P","Fill=—","Direction=H","UseDPDF=Y")</f>
        <v>8716</v>
      </c>
    </row>
    <row r="70" spans="1:27" x14ac:dyDescent="0.25">
      <c r="A70" s="10" t="s">
        <v>516</v>
      </c>
      <c r="B70" s="10" t="s">
        <v>517</v>
      </c>
      <c r="C70" s="13" t="str">
        <f>_xll.BDH("AMGN US Equity","ARDR_GL_ON_SALE_OF_INVESTMENTS","FQ4 2018","FQ4 2018","Currency=USD","Period=FQ","BEST_FPERIOD_OVERRIDE=FQ","FILING_STATUS=MR","SCALING_FORMAT=MLN","Sort=A","Dates=H","DateFormat=P","Fill=—","Direction=H","UseDPDF=Y")</f>
        <v>—</v>
      </c>
      <c r="D70" s="13" t="str">
        <f>_xll.BDH("AMGN US Equity","ARDR_GL_ON_SALE_OF_INVESTMENTS","FQ1 2019","FQ1 2019","Currency=USD","Period=FQ","BEST_FPERIOD_OVERRIDE=FQ","FILING_STATUS=MR","SCALING_FORMAT=MLN","Sort=A","Dates=H","DateFormat=P","Fill=—","Direction=H","UseDPDF=Y")</f>
        <v>—</v>
      </c>
      <c r="E70" s="13" t="str">
        <f>_xll.BDH("AMGN US Equity","ARDR_GL_ON_SALE_OF_INVESTMENTS","FQ2 2019","FQ2 2019","Currency=USD","Period=FQ","BEST_FPERIOD_OVERRIDE=FQ","FILING_STATUS=MR","SCALING_FORMAT=MLN","Sort=A","Dates=H","DateFormat=P","Fill=—","Direction=H","UseDPDF=Y")</f>
        <v>—</v>
      </c>
      <c r="F70" s="13" t="str">
        <f>_xll.BDH("AMGN US Equity","ARDR_GL_ON_SALE_OF_INVESTMENTS","FQ3 2019","FQ3 2019","Currency=USD","Period=FQ","BEST_FPERIOD_OVERRIDE=FQ","FILING_STATUS=MR","SCALING_FORMAT=MLN","Sort=A","Dates=H","DateFormat=P","Fill=—","Direction=H","UseDPDF=Y")</f>
        <v>—</v>
      </c>
      <c r="G70" s="13" t="str">
        <f>_xll.BDH("AMGN US Equity","ARDR_GL_ON_SALE_OF_INVESTMENTS","FQ4 2019","FQ4 2019","Currency=USD","Period=FQ","BEST_FPERIOD_OVERRIDE=FQ","FILING_STATUS=MR","SCALING_FORMAT=MLN","Sort=A","Dates=H","DateFormat=P","Fill=—","Direction=H","UseDPDF=Y")</f>
        <v>—</v>
      </c>
      <c r="H70" s="13" t="str">
        <f>_xll.BDH("AMGN US Equity","ARDR_GL_ON_SALE_OF_INVESTMENTS","FQ1 2020","FQ1 2020","Currency=USD","Period=FQ","BEST_FPERIOD_OVERRIDE=FQ","FILING_STATUS=MR","SCALING_FORMAT=MLN","Sort=A","Dates=H","DateFormat=P","Fill=—","Direction=H","UseDPDF=Y")</f>
        <v>—</v>
      </c>
      <c r="I70" s="13" t="str">
        <f>_xll.BDH("AMGN US Equity","ARDR_GL_ON_SALE_OF_INVESTMENTS","FQ2 2020","FQ2 2020","Currency=USD","Period=FQ","BEST_FPERIOD_OVERRIDE=FQ","FILING_STATUS=MR","SCALING_FORMAT=MLN","Sort=A","Dates=H","DateFormat=P","Fill=—","Direction=H","UseDPDF=Y")</f>
        <v>—</v>
      </c>
      <c r="J70" s="13" t="str">
        <f>_xll.BDH("AMGN US Equity","ARDR_GL_ON_SALE_OF_INVESTMENTS","FQ3 2020","FQ3 2020","Currency=USD","Period=FQ","BEST_FPERIOD_OVERRIDE=FQ","FILING_STATUS=MR","SCALING_FORMAT=MLN","Sort=A","Dates=H","DateFormat=P","Fill=—","Direction=H","UseDPDF=Y")</f>
        <v>—</v>
      </c>
      <c r="K70" s="13" t="str">
        <f>_xll.BDH("AMGN US Equity","ARDR_GL_ON_SALE_OF_INVESTMENTS","FQ4 2020","FQ4 2020","Currency=USD","Period=FQ","BEST_FPERIOD_OVERRIDE=FQ","FILING_STATUS=MR","SCALING_FORMAT=MLN","Sort=A","Dates=H","DateFormat=P","Fill=—","Direction=H","UseDPDF=Y")</f>
        <v>—</v>
      </c>
      <c r="L70" s="13">
        <f>_xll.BDH("AMGN US Equity","ARDR_GL_ON_SALE_OF_INVESTMENTS","FQ1 2021","FQ1 2021","Currency=USD","Period=FQ","BEST_FPERIOD_OVERRIDE=FQ","FILING_STATUS=MR","SCALING_FORMAT=MLN","Sort=A","Dates=H","DateFormat=P","Fill=—","Direction=H","UseDPDF=Y")</f>
        <v>-145</v>
      </c>
      <c r="M70" s="13">
        <f>_xll.BDH("AMGN US Equity","ARDR_GL_ON_SALE_OF_INVESTMENTS","FQ2 2021","FQ2 2021","Currency=USD","Period=FQ","BEST_FPERIOD_OVERRIDE=FQ","FILING_STATUS=MR","SCALING_FORMAT=MLN","Sort=A","Dates=H","DateFormat=P","Fill=—","Direction=H","UseDPDF=Y")</f>
        <v>1</v>
      </c>
      <c r="N70" s="13">
        <f>_xll.BDH("AMGN US Equity","ARDR_GL_ON_SALE_OF_INVESTMENTS","FQ3 2021","FQ3 2021","Currency=USD","Period=FQ","BEST_FPERIOD_OVERRIDE=FQ","FILING_STATUS=MR","SCALING_FORMAT=MLN","Sort=A","Dates=H","DateFormat=P","Fill=—","Direction=H","UseDPDF=Y")</f>
        <v>-191</v>
      </c>
      <c r="O70" s="13" t="str">
        <f>_xll.BDH("AMGN US Equity","ARDR_GL_ON_SALE_OF_INVESTMENTS","FQ4 2021","FQ4 2021","Currency=USD","Period=FQ","BEST_FPERIOD_OVERRIDE=FQ","FILING_STATUS=MR","SCALING_FORMAT=MLN","Sort=A","Dates=H","DateFormat=P","Fill=—","Direction=H","UseDPDF=Y")</f>
        <v>—</v>
      </c>
      <c r="P70" s="13">
        <f>_xll.BDH("AMGN US Equity","ARDR_GL_ON_SALE_OF_INVESTMENTS","FQ1 2022","FQ1 2022","Currency=USD","Period=FQ","BEST_FPERIOD_OVERRIDE=FQ","FILING_STATUS=MR","SCALING_FORMAT=MLN","Sort=A","Dates=H","DateFormat=P","Fill=—","Direction=H","UseDPDF=Y")</f>
        <v>365</v>
      </c>
      <c r="Q70" s="13">
        <f>_xll.BDH("AMGN US Equity","ARDR_GL_ON_SALE_OF_INVESTMENTS","FQ2 2022","FQ2 2022","Currency=USD","Period=FQ","BEST_FPERIOD_OVERRIDE=FQ","FILING_STATUS=MR","SCALING_FORMAT=MLN","Sort=A","Dates=H","DateFormat=P","Fill=—","Direction=H","UseDPDF=Y")</f>
        <v>186</v>
      </c>
      <c r="R70" s="13">
        <f>_xll.BDH("AMGN US Equity","ARDR_GL_ON_SALE_OF_INVESTMENTS","FQ3 2022","FQ3 2022","Currency=USD","Period=FQ","BEST_FPERIOD_OVERRIDE=FQ","FILING_STATUS=MR","SCALING_FORMAT=MLN","Sort=A","Dates=H","DateFormat=P","Fill=—","Direction=H","UseDPDF=Y")</f>
        <v>-150</v>
      </c>
      <c r="S70" s="13">
        <f>_xll.BDH("AMGN US Equity","ARDR_GL_ON_SALE_OF_INVESTMENTS","FQ4 2022","FQ4 2022","Currency=USD","Period=FQ","BEST_FPERIOD_OVERRIDE=FQ","FILING_STATUS=MR","SCALING_FORMAT=MLN","Sort=A","Dates=H","DateFormat=P","Fill=—","Direction=H","UseDPDF=Y")</f>
        <v>-39</v>
      </c>
      <c r="T70" s="13">
        <f>_xll.BDH("AMGN US Equity","ARDR_GL_ON_SALE_OF_INVESTMENTS","FQ1 2023","FQ1 2023","Currency=USD","Period=FQ","BEST_FPERIOD_OVERRIDE=FQ","FILING_STATUS=MR","SCALING_FORMAT=MLN","Sort=A","Dates=H","DateFormat=P","Fill=—","Direction=H","UseDPDF=Y")</f>
        <v>-1853</v>
      </c>
      <c r="U70" s="13" t="str">
        <f>_xll.BDH("AMGN US Equity","ARDR_GL_ON_SALE_OF_INVESTMENTS","FQ2 2023","FQ2 2023","Currency=USD","Period=FQ","BEST_FPERIOD_OVERRIDE=FQ","FILING_STATUS=MR","SCALING_FORMAT=MLN","Sort=A","Dates=H","DateFormat=P","Fill=—","Direction=H","UseDPDF=Y")</f>
        <v>—</v>
      </c>
      <c r="V70" s="13">
        <f>_xll.BDH("AMGN US Equity","ARDR_GL_ON_SALE_OF_INVESTMENTS","FQ3 2023","FQ3 2023","Currency=USD","Period=FQ","BEST_FPERIOD_OVERRIDE=FQ","FILING_STATUS=MR","SCALING_FORMAT=MLN","Sort=A","Dates=H","DateFormat=P","Fill=—","Direction=H","UseDPDF=Y")</f>
        <v>-170</v>
      </c>
      <c r="W70" s="13">
        <f>_xll.BDH("AMGN US Equity","ARDR_GL_ON_SALE_OF_INVESTMENTS","FQ4 2023","FQ4 2023","Currency=USD","Period=FQ","BEST_FPERIOD_OVERRIDE=FQ","FILING_STATUS=MR","SCALING_FORMAT=MLN","Sort=A","Dates=H","DateFormat=P","Fill=—","Direction=H","UseDPDF=Y")</f>
        <v>-217</v>
      </c>
      <c r="X70" s="13">
        <f>_xll.BDH("AMGN US Equity","ARDR_GL_ON_SALE_OF_INVESTMENTS","FQ1 2024","FQ1 2024","Currency=USD","Period=FQ","BEST_FPERIOD_OVERRIDE=FQ","FILING_STATUS=MR","SCALING_FORMAT=MLN","Sort=A","Dates=H","DateFormat=P","Fill=—","Direction=H","UseDPDF=Y")</f>
        <v>510</v>
      </c>
      <c r="Y70" s="13" t="str">
        <f>_xll.BDH("AMGN US Equity","ARDR_GL_ON_SALE_OF_INVESTMENTS","FQ2 2024","FQ2 2024","Currency=USD","Period=FQ","BEST_FPERIOD_OVERRIDE=FQ","FILING_STATUS=MR","SCALING_FORMAT=MLN","Sort=A","Dates=H","DateFormat=P","Fill=—","Direction=H","UseDPDF=Y")</f>
        <v>—</v>
      </c>
      <c r="Z70" s="13" t="str">
        <f>_xll.BDH("AMGN US Equity","ARDR_GL_ON_SALE_OF_INVESTMENTS","FQ3 2024","FQ3 2024","Currency=USD","Period=FQ","BEST_FPERIOD_OVERRIDE=FQ","FILING_STATUS=MR","SCALING_FORMAT=MLN","Sort=A","Dates=H","DateFormat=P","Fill=—","Direction=H","UseDPDF=Y")</f>
        <v>—</v>
      </c>
      <c r="AA70" s="13">
        <f>_xll.BDH("AMGN US Equity","ARDR_GL_ON_SALE_OF_INVESTMENTS","FQ4 2024","FQ4 2024","Currency=USD","Period=FQ","BEST_FPERIOD_OVERRIDE=FQ","FILING_STATUS=MR","SCALING_FORMAT=MLN","Sort=A","Dates=H","DateFormat=P","Fill=—","Direction=H","UseDPDF=Y")</f>
        <v>875</v>
      </c>
    </row>
    <row r="71" spans="1:27" x14ac:dyDescent="0.25">
      <c r="A71" s="10" t="s">
        <v>518</v>
      </c>
      <c r="B71" s="10" t="s">
        <v>519</v>
      </c>
      <c r="C71" s="13">
        <f>_xll.BDH("AMGN US Equity","ARDR_NET_INC_AVAIL_COM_SHRHLDR","FQ4 2018","FQ4 2018","Currency=USD","Period=FQ","BEST_FPERIOD_OVERRIDE=FQ","FILING_STATUS=MR","SCALING_FORMAT=MLN","Sort=A","Dates=H","DateFormat=P","Fill=—","Direction=H","UseDPDF=Y")</f>
        <v>1928</v>
      </c>
      <c r="D71" s="13">
        <f>_xll.BDH("AMGN US Equity","ARDR_NET_INC_AVAIL_COM_SHRHLDR","FQ1 2019","FQ1 2019","Currency=USD","Period=FQ","BEST_FPERIOD_OVERRIDE=FQ","FILING_STATUS=MR","SCALING_FORMAT=MLN","Sort=A","Dates=H","DateFormat=P","Fill=—","Direction=H","UseDPDF=Y")</f>
        <v>1992</v>
      </c>
      <c r="E71" s="13">
        <f>_xll.BDH("AMGN US Equity","ARDR_NET_INC_AVAIL_COM_SHRHLDR","FQ2 2019","FQ2 2019","Currency=USD","Period=FQ","BEST_FPERIOD_OVERRIDE=FQ","FILING_STATUS=MR","SCALING_FORMAT=MLN","Sort=A","Dates=H","DateFormat=P","Fill=—","Direction=H","UseDPDF=Y")</f>
        <v>2179</v>
      </c>
      <c r="F71" s="13">
        <f>_xll.BDH("AMGN US Equity","ARDR_NET_INC_AVAIL_COM_SHRHLDR","FQ3 2019","FQ3 2019","Currency=USD","Period=FQ","BEST_FPERIOD_OVERRIDE=FQ","FILING_STATUS=MR","SCALING_FORMAT=MLN","Sort=A","Dates=H","DateFormat=P","Fill=—","Direction=H","UseDPDF=Y")</f>
        <v>1968</v>
      </c>
      <c r="G71" s="13">
        <f>_xll.BDH("AMGN US Equity","ARDR_NET_INC_AVAIL_COM_SHRHLDR","FQ4 2019","FQ4 2019","Currency=USD","Period=FQ","BEST_FPERIOD_OVERRIDE=FQ","FILING_STATUS=MR","SCALING_FORMAT=MLN","Sort=A","Dates=H","DateFormat=P","Fill=—","Direction=H","UseDPDF=Y")</f>
        <v>1703</v>
      </c>
      <c r="H71" s="13">
        <f>_xll.BDH("AMGN US Equity","ARDR_NET_INC_AVAIL_COM_SHRHLDR","FQ1 2020","FQ1 2020","Currency=USD","Period=FQ","BEST_FPERIOD_OVERRIDE=FQ","FILING_STATUS=MR","SCALING_FORMAT=MLN","Sort=A","Dates=H","DateFormat=P","Fill=—","Direction=H","UseDPDF=Y")</f>
        <v>1825</v>
      </c>
      <c r="I71" s="13">
        <f>_xll.BDH("AMGN US Equity","ARDR_NET_INC_AVAIL_COM_SHRHLDR","FQ2 2020","FQ2 2020","Currency=USD","Period=FQ","BEST_FPERIOD_OVERRIDE=FQ","FILING_STATUS=MR","SCALING_FORMAT=MLN","Sort=A","Dates=H","DateFormat=P","Fill=—","Direction=H","UseDPDF=Y")</f>
        <v>1803</v>
      </c>
      <c r="J71" s="13">
        <f>_xll.BDH("AMGN US Equity","ARDR_NET_INC_AVAIL_COM_SHRHLDR","FQ3 2020","FQ3 2020","Currency=USD","Period=FQ","BEST_FPERIOD_OVERRIDE=FQ","FILING_STATUS=MR","SCALING_FORMAT=MLN","Sort=A","Dates=H","DateFormat=P","Fill=—","Direction=H","UseDPDF=Y")</f>
        <v>2021</v>
      </c>
      <c r="K71" s="13">
        <f>_xll.BDH("AMGN US Equity","ARDR_NET_INC_AVAIL_COM_SHRHLDR","FQ4 2020","FQ4 2020","Currency=USD","Period=FQ","BEST_FPERIOD_OVERRIDE=FQ","FILING_STATUS=MR","SCALING_FORMAT=MLN","Sort=A","Dates=H","DateFormat=P","Fill=—","Direction=H","UseDPDF=Y")</f>
        <v>1615</v>
      </c>
      <c r="L71" s="13">
        <f>_xll.BDH("AMGN US Equity","ARDR_NET_INC_AVAIL_COM_SHRHLDR","FQ1 2021","FQ1 2021","Currency=USD","Period=FQ","BEST_FPERIOD_OVERRIDE=FQ","FILING_STATUS=MR","SCALING_FORMAT=MLN","Sort=A","Dates=H","DateFormat=P","Fill=—","Direction=H","UseDPDF=Y")</f>
        <v>1646</v>
      </c>
      <c r="M71" s="13">
        <f>_xll.BDH("AMGN US Equity","ARDR_NET_INC_AVAIL_COM_SHRHLDR","FQ2 2021","FQ2 2021","Currency=USD","Period=FQ","BEST_FPERIOD_OVERRIDE=FQ","FILING_STATUS=MR","SCALING_FORMAT=MLN","Sort=A","Dates=H","DateFormat=P","Fill=—","Direction=H","UseDPDF=Y")</f>
        <v>464</v>
      </c>
      <c r="N71" s="13">
        <f>_xll.BDH("AMGN US Equity","ARDR_NET_INC_AVAIL_COM_SHRHLDR","FQ3 2021","FQ3 2021","Currency=USD","Period=FQ","BEST_FPERIOD_OVERRIDE=FQ","FILING_STATUS=MR","SCALING_FORMAT=MLN","Sort=A","Dates=H","DateFormat=P","Fill=—","Direction=H","UseDPDF=Y")</f>
        <v>1884</v>
      </c>
      <c r="O71" s="13">
        <f>_xll.BDH("AMGN US Equity","ARDR_NET_INC_AVAIL_COM_SHRHLDR","FQ4 2021","FQ4 2021","Currency=USD","Period=FQ","BEST_FPERIOD_OVERRIDE=FQ","FILING_STATUS=MR","SCALING_FORMAT=MLN","Sort=A","Dates=H","DateFormat=P","Fill=—","Direction=H","UseDPDF=Y")</f>
        <v>1899</v>
      </c>
      <c r="P71" s="13">
        <f>_xll.BDH("AMGN US Equity","ARDR_NET_INC_AVAIL_COM_SHRHLDR","FQ1 2022","FQ1 2022","Currency=USD","Period=FQ","BEST_FPERIOD_OVERRIDE=FQ","FILING_STATUS=MR","SCALING_FORMAT=MLN","Sort=A","Dates=H","DateFormat=P","Fill=—","Direction=H","UseDPDF=Y")</f>
        <v>1476</v>
      </c>
      <c r="Q71" s="13">
        <f>_xll.BDH("AMGN US Equity","ARDR_NET_INC_AVAIL_COM_SHRHLDR","FQ2 2022","FQ2 2022","Currency=USD","Period=FQ","BEST_FPERIOD_OVERRIDE=FQ","FILING_STATUS=MR","SCALING_FORMAT=MLN","Sort=A","Dates=H","DateFormat=P","Fill=—","Direction=H","UseDPDF=Y")</f>
        <v>1317</v>
      </c>
      <c r="R71" s="13">
        <f>_xll.BDH("AMGN US Equity","ARDR_NET_INC_AVAIL_COM_SHRHLDR","FQ3 2022","FQ3 2022","Currency=USD","Period=FQ","BEST_FPERIOD_OVERRIDE=FQ","FILING_STATUS=MR","SCALING_FORMAT=MLN","Sort=A","Dates=H","DateFormat=P","Fill=—","Direction=H","UseDPDF=Y")</f>
        <v>2143</v>
      </c>
      <c r="S71" s="13">
        <f>_xll.BDH("AMGN US Equity","ARDR_NET_INC_AVAIL_COM_SHRHLDR","FQ4 2022","FQ4 2022","Currency=USD","Period=FQ","BEST_FPERIOD_OVERRIDE=FQ","FILING_STATUS=MR","SCALING_FORMAT=MLN","Sort=A","Dates=H","DateFormat=P","Fill=—","Direction=H","UseDPDF=Y")</f>
        <v>1616</v>
      </c>
      <c r="T71" s="13">
        <f>_xll.BDH("AMGN US Equity","ARDR_NET_INC_AVAIL_COM_SHRHLDR","FQ1 2023","FQ1 2023","Currency=USD","Period=FQ","BEST_FPERIOD_OVERRIDE=FQ","FILING_STATUS=MR","SCALING_FORMAT=MLN","Sort=A","Dates=H","DateFormat=P","Fill=—","Direction=H","UseDPDF=Y")</f>
        <v>2841</v>
      </c>
      <c r="U71" s="13">
        <f>_xll.BDH("AMGN US Equity","ARDR_NET_INC_AVAIL_COM_SHRHLDR","FQ2 2023","FQ2 2023","Currency=USD","Period=FQ","BEST_FPERIOD_OVERRIDE=FQ","FILING_STATUS=MR","SCALING_FORMAT=MLN","Sort=A","Dates=H","DateFormat=P","Fill=—","Direction=H","UseDPDF=Y")</f>
        <v>1379</v>
      </c>
      <c r="V71" s="13">
        <f>_xll.BDH("AMGN US Equity","ARDR_NET_INC_AVAIL_COM_SHRHLDR","FQ3 2023","FQ3 2023","Currency=USD","Period=FQ","BEST_FPERIOD_OVERRIDE=FQ","FILING_STATUS=MR","SCALING_FORMAT=MLN","Sort=A","Dates=H","DateFormat=P","Fill=—","Direction=H","UseDPDF=Y")</f>
        <v>1730</v>
      </c>
      <c r="W71" s="13">
        <f>_xll.BDH("AMGN US Equity","ARDR_NET_INC_AVAIL_COM_SHRHLDR","FQ4 2023","FQ4 2023","Currency=USD","Period=FQ","BEST_FPERIOD_OVERRIDE=FQ","FILING_STATUS=MR","SCALING_FORMAT=MLN","Sort=A","Dates=H","DateFormat=P","Fill=—","Direction=H","UseDPDF=Y")</f>
        <v>767</v>
      </c>
      <c r="X71" s="13">
        <f>_xll.BDH("AMGN US Equity","ARDR_NET_INC_AVAIL_COM_SHRHLDR","FQ1 2024","FQ1 2024","Currency=USD","Period=FQ","BEST_FPERIOD_OVERRIDE=FQ","FILING_STATUS=MR","SCALING_FORMAT=MLN","Sort=A","Dates=H","DateFormat=P","Fill=—","Direction=H","UseDPDF=Y")</f>
        <v>-113</v>
      </c>
      <c r="Y71" s="13">
        <f>_xll.BDH("AMGN US Equity","ARDR_NET_INC_AVAIL_COM_SHRHLDR","FQ2 2024","FQ2 2024","Currency=USD","Period=FQ","BEST_FPERIOD_OVERRIDE=FQ","FILING_STATUS=MR","SCALING_FORMAT=MLN","Sort=A","Dates=H","DateFormat=P","Fill=—","Direction=H","UseDPDF=Y")</f>
        <v>746</v>
      </c>
      <c r="Z71" s="13">
        <f>_xll.BDH("AMGN US Equity","ARDR_NET_INC_AVAIL_COM_SHRHLDR","FQ3 2024","FQ3 2024","Currency=USD","Period=FQ","BEST_FPERIOD_OVERRIDE=FQ","FILING_STATUS=MR","SCALING_FORMAT=MLN","Sort=A","Dates=H","DateFormat=P","Fill=—","Direction=H","UseDPDF=Y")</f>
        <v>2830</v>
      </c>
      <c r="AA71" s="13">
        <f>_xll.BDH("AMGN US Equity","ARDR_NET_INC_AVAIL_COM_SHRHLDR","FQ4 2024","FQ4 2024","Currency=USD","Period=FQ","BEST_FPERIOD_OVERRIDE=FQ","FILING_STATUS=MR","SCALING_FORMAT=MLN","Sort=A","Dates=H","DateFormat=P","Fill=—","Direction=H","UseDPDF=Y")</f>
        <v>627</v>
      </c>
    </row>
    <row r="72" spans="1:27" x14ac:dyDescent="0.25">
      <c r="A72" s="10" t="s">
        <v>520</v>
      </c>
      <c r="B72" s="10" t="s">
        <v>521</v>
      </c>
      <c r="C72" s="13">
        <f>_xll.BDH("AMGN US Equity","ARD_ADJ_NET_INCOME_AS_REPORTED","FQ4 2018","FQ4 2018","Currency=USD","Period=FQ","BEST_FPERIOD_OVERRIDE=FQ","FILING_STATUS=MR","SCALING_FORMAT=MLN","Sort=A","Dates=H","DateFormat=P","Fill=—","Direction=H","UseDPDF=Y")</f>
        <v>2186</v>
      </c>
      <c r="D72" s="13">
        <f>_xll.BDH("AMGN US Equity","ARD_ADJ_NET_INCOME_AS_REPORTED","FQ1 2019","FQ1 2019","Currency=USD","Period=FQ","BEST_FPERIOD_OVERRIDE=FQ","FILING_STATUS=MR","SCALING_FORMAT=MLN","Sort=A","Dates=H","DateFormat=P","Fill=—","Direction=H","UseDPDF=Y")</f>
        <v>2230</v>
      </c>
      <c r="E72" s="13">
        <f>_xll.BDH("AMGN US Equity","ARD_ADJ_NET_INCOME_AS_REPORTED","FQ2 2019","FQ2 2019","Currency=USD","Period=FQ","BEST_FPERIOD_OVERRIDE=FQ","FILING_STATUS=MR","SCALING_FORMAT=MLN","Sort=A","Dates=H","DateFormat=P","Fill=—","Direction=H","UseDPDF=Y")</f>
        <v>2423</v>
      </c>
      <c r="F72" s="13">
        <f>_xll.BDH("AMGN US Equity","ARD_ADJ_NET_INCOME_AS_REPORTED","FQ3 2019","FQ3 2019","Currency=USD","Period=FQ","BEST_FPERIOD_OVERRIDE=FQ","FILING_STATUS=MR","SCALING_FORMAT=MLN","Sort=A","Dates=H","DateFormat=P","Fill=—","Direction=H","UseDPDF=Y")</f>
        <v>2201</v>
      </c>
      <c r="G72" s="13">
        <f>_xll.BDH("AMGN US Equity","ARD_ADJ_NET_INCOME_AS_REPORTED","FQ4 2019","FQ4 2019","Currency=USD","Period=FQ","BEST_FPERIOD_OVERRIDE=FQ","FILING_STATUS=MR","SCALING_FORMAT=MLN","Sort=A","Dates=H","DateFormat=P","Fill=—","Direction=H","UseDPDF=Y")</f>
        <v>2174</v>
      </c>
      <c r="H72" s="13">
        <f>_xll.BDH("AMGN US Equity","ARD_ADJ_NET_INCOME_AS_REPORTED","FQ1 2020","FQ1 2020","Currency=USD","Period=FQ","BEST_FPERIOD_OVERRIDE=FQ","FILING_STATUS=MR","SCALING_FORMAT=MLN","Sort=A","Dates=H","DateFormat=P","Fill=—","Direction=H","UseDPDF=Y")</f>
        <v>2506</v>
      </c>
      <c r="I72" s="13">
        <f>_xll.BDH("AMGN US Equity","ARD_ADJ_NET_INCOME_AS_REPORTED","FQ2 2020","FQ2 2020","Currency=USD","Period=FQ","BEST_FPERIOD_OVERRIDE=FQ","FILING_STATUS=MR","SCALING_FORMAT=MLN","Sort=A","Dates=H","DateFormat=P","Fill=—","Direction=H","UseDPDF=Y")</f>
        <v>2518</v>
      </c>
      <c r="J72" s="13">
        <f>_xll.BDH("AMGN US Equity","ARD_ADJ_NET_INCOME_AS_REPORTED","FQ3 2020","FQ3 2020","Currency=USD","Period=FQ","BEST_FPERIOD_OVERRIDE=FQ","FILING_STATUS=MR","SCALING_FORMAT=MLN","Sort=A","Dates=H","DateFormat=P","Fill=—","Direction=H","UseDPDF=Y")</f>
        <v>2467</v>
      </c>
      <c r="K72" s="13">
        <f>_xll.BDH("AMGN US Equity","ARD_ADJ_NET_INCOME_AS_REPORTED","FQ4 2020","FQ4 2020","Currency=USD","Period=FQ","BEST_FPERIOD_OVERRIDE=FQ","FILING_STATUS=MR","SCALING_FORMAT=MLN","Sort=A","Dates=H","DateFormat=P","Fill=—","Direction=H","UseDPDF=Y")</f>
        <v>2229</v>
      </c>
      <c r="L72" s="13">
        <f>_xll.BDH("AMGN US Equity","ARD_ADJ_NET_INCOME_AS_REPORTED","FQ1 2021","FQ1 2021","Currency=USD","Period=FQ","BEST_FPERIOD_OVERRIDE=FQ","FILING_STATUS=MR","SCALING_FORMAT=MLN","Sort=A","Dates=H","DateFormat=P","Fill=—","Direction=H","UseDPDF=Y")</f>
        <v>2150</v>
      </c>
      <c r="M72" s="13">
        <f>_xll.BDH("AMGN US Equity","ARD_ADJ_NET_INCOME_AS_REPORTED","FQ2 2021","FQ2 2021","Currency=USD","Period=FQ","BEST_FPERIOD_OVERRIDE=FQ","FILING_STATUS=MR","SCALING_FORMAT=MLN","Sort=A","Dates=H","DateFormat=P","Fill=—","Direction=H","UseDPDF=Y")</f>
        <v>2522</v>
      </c>
      <c r="N72" s="13">
        <f>_xll.BDH("AMGN US Equity","ARD_ADJ_NET_INCOME_AS_REPORTED","FQ3 2021","FQ3 2021","Currency=USD","Period=FQ","BEST_FPERIOD_OVERRIDE=FQ","FILING_STATUS=MR","SCALING_FORMAT=MLN","Sort=A","Dates=H","DateFormat=P","Fill=—","Direction=H","UseDPDF=Y")</f>
        <v>2324</v>
      </c>
      <c r="O72" s="13">
        <f>_xll.BDH("AMGN US Equity","ARD_ADJ_NET_INCOME_AS_REPORTED","FQ4 2021","FQ4 2021","Currency=USD","Period=FQ","BEST_FPERIOD_OVERRIDE=FQ","FILING_STATUS=MR","SCALING_FORMAT=MLN","Sort=A","Dates=H","DateFormat=P","Fill=—","Direction=H","UseDPDF=Y")</f>
        <v>2461</v>
      </c>
      <c r="P72" s="13">
        <f>_xll.BDH("AMGN US Equity","ARD_ADJ_NET_INCOME_AS_REPORTED","FQ1 2022","FQ1 2022","Currency=USD","Period=FQ","BEST_FPERIOD_OVERRIDE=FQ","FILING_STATUS=MR","SCALING_FORMAT=MLN","Sort=A","Dates=H","DateFormat=P","Fill=—","Direction=H","UseDPDF=Y")</f>
        <v>2343</v>
      </c>
      <c r="Q72" s="13">
        <f>_xll.BDH("AMGN US Equity","ARD_ADJ_NET_INCOME_AS_REPORTED","FQ2 2022","FQ2 2022","Currency=USD","Period=FQ","BEST_FPERIOD_OVERRIDE=FQ","FILING_STATUS=MR","SCALING_FORMAT=MLN","Sort=A","Dates=H","DateFormat=P","Fill=—","Direction=H","UseDPDF=Y")</f>
        <v>2495</v>
      </c>
      <c r="R72" s="13">
        <f>_xll.BDH("AMGN US Equity","ARD_ADJ_NET_INCOME_AS_REPORTED","FQ3 2022","FQ3 2022","Currency=USD","Period=FQ","BEST_FPERIOD_OVERRIDE=FQ","FILING_STATUS=MR","SCALING_FORMAT=MLN","Sort=A","Dates=H","DateFormat=P","Fill=—","Direction=H","UseDPDF=Y")</f>
        <v>2530</v>
      </c>
      <c r="S72" s="13">
        <f>_xll.BDH("AMGN US Equity","ARD_ADJ_NET_INCOME_AS_REPORTED","FQ4 2022","FQ4 2022","Currency=USD","Period=FQ","BEST_FPERIOD_OVERRIDE=FQ","FILING_STATUS=MR","SCALING_FORMAT=MLN","Sort=A","Dates=H","DateFormat=P","Fill=—","Direction=H","UseDPDF=Y")</f>
        <v>2202</v>
      </c>
      <c r="T72" s="13">
        <f>_xll.BDH("AMGN US Equity","ARD_ADJ_NET_INCOME_AS_REPORTED","FQ1 2023","FQ1 2023","Currency=USD","Period=FQ","BEST_FPERIOD_OVERRIDE=FQ","FILING_STATUS=MR","SCALING_FORMAT=MLN","Sort=A","Dates=H","DateFormat=P","Fill=—","Direction=H","UseDPDF=Y")</f>
        <v>2141</v>
      </c>
      <c r="U72" s="13">
        <f>_xll.BDH("AMGN US Equity","ARD_ADJ_NET_INCOME_AS_REPORTED","FQ2 2023","FQ2 2023","Currency=USD","Period=FQ","BEST_FPERIOD_OVERRIDE=FQ","FILING_STATUS=MR","SCALING_FORMAT=MLN","Sort=A","Dates=H","DateFormat=P","Fill=—","Direction=H","UseDPDF=Y")</f>
        <v>2683</v>
      </c>
      <c r="V72" s="13">
        <f>_xll.BDH("AMGN US Equity","ARD_ADJ_NET_INCOME_AS_REPORTED","FQ3 2023","FQ3 2023","Currency=USD","Period=FQ","BEST_FPERIOD_OVERRIDE=FQ","FILING_STATUS=MR","SCALING_FORMAT=MLN","Sort=A","Dates=H","DateFormat=P","Fill=—","Direction=H","UseDPDF=Y")</f>
        <v>2667</v>
      </c>
      <c r="W72" s="13">
        <f>_xll.BDH("AMGN US Equity","ARD_ADJ_NET_INCOME_AS_REPORTED","FQ4 2023","FQ4 2023","Currency=USD","Period=FQ","BEST_FPERIOD_OVERRIDE=FQ","FILING_STATUS=MR","SCALING_FORMAT=MLN","Sort=A","Dates=H","DateFormat=P","Fill=—","Direction=H","UseDPDF=Y")</f>
        <v>2543</v>
      </c>
      <c r="X72" s="13">
        <f>_xll.BDH("AMGN US Equity","ARD_ADJ_NET_INCOME_AS_REPORTED","FQ1 2024","FQ1 2024","Currency=USD","Period=FQ","BEST_FPERIOD_OVERRIDE=FQ","FILING_STATUS=MR","SCALING_FORMAT=MLN","Sort=A","Dates=H","DateFormat=P","Fill=—","Direction=H","UseDPDF=Y")</f>
        <v>2140</v>
      </c>
      <c r="Y72" s="13">
        <f>_xll.BDH("AMGN US Equity","ARD_ADJ_NET_INCOME_AS_REPORTED","FQ2 2024","FQ2 2024","Currency=USD","Period=FQ","BEST_FPERIOD_OVERRIDE=FQ","FILING_STATUS=MR","SCALING_FORMAT=MLN","Sort=A","Dates=H","DateFormat=P","Fill=—","Direction=H","UseDPDF=Y")</f>
        <v>2691</v>
      </c>
      <c r="Z72" s="13">
        <f>_xll.BDH("AMGN US Equity","ARD_ADJ_NET_INCOME_AS_REPORTED","FQ3 2024","FQ3 2024","Currency=USD","Period=FQ","BEST_FPERIOD_OVERRIDE=FQ","FILING_STATUS=MR","SCALING_FORMAT=MLN","Sort=A","Dates=H","DateFormat=P","Fill=—","Direction=H","UseDPDF=Y")</f>
        <v>3024</v>
      </c>
      <c r="AA72" s="13">
        <f>_xll.BDH("AMGN US Equity","ARD_ADJ_NET_INCOME_AS_REPORTED","FQ4 2024","FQ4 2024","Currency=USD","Period=FQ","BEST_FPERIOD_OVERRIDE=FQ","FILING_STATUS=MR","SCALING_FORMAT=MLN","Sort=A","Dates=H","DateFormat=P","Fill=—","Direction=H","UseDPDF=Y")</f>
        <v>2879</v>
      </c>
    </row>
    <row r="73" spans="1:27" x14ac:dyDescent="0.25">
      <c r="A73" s="10" t="s">
        <v>522</v>
      </c>
      <c r="B73" s="10" t="s">
        <v>523</v>
      </c>
      <c r="C73" s="14">
        <f>_xll.BDH("AMGN US Equity","ARDR_EFFECTIVE_TAX_RATE_PCT","FQ4 2018","FQ4 2018","Currency=USD","Period=FQ","BEST_FPERIOD_OVERRIDE=FQ","FILING_STATUS=MR","Sort=A","Dates=H","DateFormat=P","Fill=—","Direction=H","UseDPDF=Y")</f>
        <v>11.8</v>
      </c>
      <c r="D73" s="14">
        <f>_xll.BDH("AMGN US Equity","ARDR_EFFECTIVE_TAX_RATE_PCT","FQ1 2019","FQ1 2019","Currency=USD","Period=FQ","BEST_FPERIOD_OVERRIDE=FQ","FILING_STATUS=MR","Sort=A","Dates=H","DateFormat=P","Fill=—","Direction=H","UseDPDF=Y")</f>
        <v>13.9</v>
      </c>
      <c r="E73" s="14">
        <f>_xll.BDH("AMGN US Equity","ARDR_EFFECTIVE_TAX_RATE_PCT","FQ2 2019","FQ2 2019","Currency=USD","Period=FQ","BEST_FPERIOD_OVERRIDE=FQ","FILING_STATUS=MR","Sort=A","Dates=H","DateFormat=P","Fill=—","Direction=H","UseDPDF=Y")</f>
        <v>15</v>
      </c>
      <c r="F73" s="14">
        <f>_xll.BDH("AMGN US Equity","ARDR_EFFECTIVE_TAX_RATE_PCT","FQ3 2019","FQ3 2019","Currency=USD","Period=FQ","BEST_FPERIOD_OVERRIDE=FQ","FILING_STATUS=MR","Sort=A","Dates=H","DateFormat=P","Fill=—","Direction=H","UseDPDF=Y")</f>
        <v>13.6</v>
      </c>
      <c r="G73" s="14">
        <f>_xll.BDH("AMGN US Equity","ARDR_EFFECTIVE_TAX_RATE_PCT","FQ4 2019","FQ4 2019","Currency=USD","Period=FQ","BEST_FPERIOD_OVERRIDE=FQ","FILING_STATUS=MR","Sort=A","Dates=H","DateFormat=P","Fill=—","Direction=H","UseDPDF=Y")</f>
        <v>14.1</v>
      </c>
      <c r="H73" s="14">
        <f>_xll.BDH("AMGN US Equity","ARDR_EFFECTIVE_TAX_RATE_PCT","FQ1 2020","FQ1 2020","Currency=USD","Period=FQ","BEST_FPERIOD_OVERRIDE=FQ","FILING_STATUS=MR","Sort=A","Dates=H","DateFormat=P","Fill=—","Direction=H","UseDPDF=Y")</f>
        <v>9.6999999999999993</v>
      </c>
      <c r="I73" s="14">
        <f>_xll.BDH("AMGN US Equity","ARDR_EFFECTIVE_TAX_RATE_PCT","FQ2 2020","FQ2 2020","Currency=USD","Period=FQ","BEST_FPERIOD_OVERRIDE=FQ","FILING_STATUS=MR","Sort=A","Dates=H","DateFormat=P","Fill=—","Direction=H","UseDPDF=Y")</f>
        <v>11.2</v>
      </c>
      <c r="J73" s="14">
        <f>_xll.BDH("AMGN US Equity","ARDR_EFFECTIVE_TAX_RATE_PCT","FQ3 2020","FQ3 2020","Currency=USD","Period=FQ","BEST_FPERIOD_OVERRIDE=FQ","FILING_STATUS=MR","Sort=A","Dates=H","DateFormat=P","Fill=—","Direction=H","UseDPDF=Y")</f>
        <v>8.4</v>
      </c>
      <c r="K73" s="14">
        <f>_xll.BDH("AMGN US Equity","ARDR_EFFECTIVE_TAX_RATE_PCT","FQ4 2020","FQ4 2020","Currency=USD","Period=FQ","BEST_FPERIOD_OVERRIDE=FQ","FILING_STATUS=MR","Sort=A","Dates=H","DateFormat=P","Fill=—","Direction=H","UseDPDF=Y")</f>
        <v>14</v>
      </c>
      <c r="L73" s="14">
        <f>_xll.BDH("AMGN US Equity","ARDR_EFFECTIVE_TAX_RATE_PCT","FQ1 2021","FQ1 2021","Currency=USD","Period=FQ","BEST_FPERIOD_OVERRIDE=FQ","FILING_STATUS=MR","Sort=A","Dates=H","DateFormat=P","Fill=—","Direction=H","UseDPDF=Y")</f>
        <v>11.4</v>
      </c>
      <c r="M73" s="14">
        <f>_xll.BDH("AMGN US Equity","ARDR_EFFECTIVE_TAX_RATE_PCT","FQ2 2021","FQ2 2021","Currency=USD","Period=FQ","BEST_FPERIOD_OVERRIDE=FQ","FILING_STATUS=MR","Sort=A","Dates=H","DateFormat=P","Fill=—","Direction=H","UseDPDF=Y")</f>
        <v>16.8</v>
      </c>
      <c r="N73" s="14">
        <f>_xll.BDH("AMGN US Equity","ARDR_EFFECTIVE_TAX_RATE_PCT","FQ3 2021","FQ3 2021","Currency=USD","Period=FQ","BEST_FPERIOD_OVERRIDE=FQ","FILING_STATUS=MR","Sort=A","Dates=H","DateFormat=P","Fill=—","Direction=H","UseDPDF=Y")</f>
        <v>12.6</v>
      </c>
      <c r="O73" s="14">
        <f>_xll.BDH("AMGN US Equity","ARDR_EFFECTIVE_TAX_RATE_PCT","FQ4 2021","FQ4 2021","Currency=USD","Period=FQ","BEST_FPERIOD_OVERRIDE=FQ","FILING_STATUS=MR","Sort=A","Dates=H","DateFormat=P","Fill=—","Direction=H","UseDPDF=Y")</f>
        <v>10.9</v>
      </c>
      <c r="P73" s="14">
        <f>_xll.BDH("AMGN US Equity","ARDR_EFFECTIVE_TAX_RATE_PCT","FQ1 2022","FQ1 2022","Currency=USD","Period=FQ","BEST_FPERIOD_OVERRIDE=FQ","FILING_STATUS=MR","Sort=A","Dates=H","DateFormat=P","Fill=—","Direction=H","UseDPDF=Y")</f>
        <v>11.9</v>
      </c>
      <c r="Q73" s="14">
        <f>_xll.BDH("AMGN US Equity","ARDR_EFFECTIVE_TAX_RATE_PCT","FQ2 2022","FQ2 2022","Currency=USD","Period=FQ","BEST_FPERIOD_OVERRIDE=FQ","FILING_STATUS=MR","Sort=A","Dates=H","DateFormat=P","Fill=—","Direction=H","UseDPDF=Y")</f>
        <v>14</v>
      </c>
      <c r="R73" s="14">
        <f>_xll.BDH("AMGN US Equity","ARDR_EFFECTIVE_TAX_RATE_PCT","FQ3 2022","FQ3 2022","Currency=USD","Period=FQ","BEST_FPERIOD_OVERRIDE=FQ","FILING_STATUS=MR","Sort=A","Dates=H","DateFormat=P","Fill=—","Direction=H","UseDPDF=Y")</f>
        <v>10.4</v>
      </c>
      <c r="S73" s="14">
        <f>_xll.BDH("AMGN US Equity","ARDR_EFFECTIVE_TAX_RATE_PCT","FQ4 2022","FQ4 2022","Currency=USD","Period=FQ","BEST_FPERIOD_OVERRIDE=FQ","FILING_STATUS=MR","Sort=A","Dates=H","DateFormat=P","Fill=—","Direction=H","UseDPDF=Y")</f>
        <v>7.6</v>
      </c>
      <c r="T73" s="14">
        <f>_xll.BDH("AMGN US Equity","ARDR_EFFECTIVE_TAX_RATE_PCT","FQ1 2023","FQ1 2023","Currency=USD","Period=FQ","BEST_FPERIOD_OVERRIDE=FQ","FILING_STATUS=MR","Sort=A","Dates=H","DateFormat=P","Fill=—","Direction=H","UseDPDF=Y")</f>
        <v>17.5</v>
      </c>
      <c r="U73" s="14">
        <f>_xll.BDH("AMGN US Equity","ARDR_EFFECTIVE_TAX_RATE_PCT","FQ2 2023","FQ2 2023","Currency=USD","Period=FQ","BEST_FPERIOD_OVERRIDE=FQ","FILING_STATUS=MR","Sort=A","Dates=H","DateFormat=P","Fill=—","Direction=H","UseDPDF=Y")</f>
        <v>14.6</v>
      </c>
      <c r="V73" s="14">
        <f>_xll.BDH("AMGN US Equity","ARDR_EFFECTIVE_TAX_RATE_PCT","FQ3 2023","FQ3 2023","Currency=USD","Period=FQ","BEST_FPERIOD_OVERRIDE=FQ","FILING_STATUS=MR","Sort=A","Dates=H","DateFormat=P","Fill=—","Direction=H","UseDPDF=Y")</f>
        <v>11.1</v>
      </c>
      <c r="W73" s="14">
        <f>_xll.BDH("AMGN US Equity","ARDR_EFFECTIVE_TAX_RATE_PCT","FQ4 2023","FQ4 2023","Currency=USD","Period=FQ","BEST_FPERIOD_OVERRIDE=FQ","FILING_STATUS=MR","Sort=A","Dates=H","DateFormat=P","Fill=—","Direction=H","UseDPDF=Y")</f>
        <v>10</v>
      </c>
      <c r="X73" s="14">
        <f>_xll.BDH("AMGN US Equity","ARDR_EFFECTIVE_TAX_RATE_PCT","FQ1 2024","FQ1 2024","Currency=USD","Period=FQ","BEST_FPERIOD_OVERRIDE=FQ","FILING_STATUS=MR","Sort=A","Dates=H","DateFormat=P","Fill=—","Direction=H","UseDPDF=Y")</f>
        <v>66.2</v>
      </c>
      <c r="Y73" s="14">
        <f>_xll.BDH("AMGN US Equity","ARDR_EFFECTIVE_TAX_RATE_PCT","FQ2 2024","FQ2 2024","Currency=USD","Period=FQ","BEST_FPERIOD_OVERRIDE=FQ","FILING_STATUS=MR","Sort=A","Dates=H","DateFormat=P","Fill=—","Direction=H","UseDPDF=Y")</f>
        <v>6</v>
      </c>
      <c r="Z73" s="14">
        <f>_xll.BDH("AMGN US Equity","ARDR_EFFECTIVE_TAX_RATE_PCT","FQ3 2024","FQ3 2024","Currency=USD","Period=FQ","BEST_FPERIOD_OVERRIDE=FQ","FILING_STATUS=MR","Sort=A","Dates=H","DateFormat=P","Fill=—","Direction=H","UseDPDF=Y")</f>
        <v>8.6999999999999993</v>
      </c>
      <c r="AA73" s="14">
        <f>_xll.BDH("AMGN US Equity","ARDR_EFFECTIVE_TAX_RATE_PCT","FQ4 2024","FQ4 2024","Currency=USD","Period=FQ","BEST_FPERIOD_OVERRIDE=FQ","FILING_STATUS=MR","Sort=A","Dates=H","DateFormat=P","Fill=—","Direction=H","UseDPDF=Y")</f>
        <v>19.8</v>
      </c>
    </row>
    <row r="74" spans="1:27" x14ac:dyDescent="0.25">
      <c r="A74" s="10" t="s">
        <v>524</v>
      </c>
      <c r="B74" s="10" t="s">
        <v>525</v>
      </c>
      <c r="C74" s="14">
        <f>_xll.BDH("AMGN US Equity","ARDR_ADJUSTED_EPS","FQ4 2018","FQ4 2018","Currency=USD","Period=FQ","BEST_FPERIOD_OVERRIDE=FQ","FILING_STATUS=MR","Sort=A","Dates=H","DateFormat=P","Fill=—","Direction=H","UseDPDF=Y")</f>
        <v>3.42</v>
      </c>
      <c r="D74" s="14">
        <f>_xll.BDH("AMGN US Equity","ARDR_ADJUSTED_EPS","FQ1 2019","FQ1 2019","Currency=USD","Period=FQ","BEST_FPERIOD_OVERRIDE=FQ","FILING_STATUS=MR","Sort=A","Dates=H","DateFormat=P","Fill=—","Direction=H","UseDPDF=Y")</f>
        <v>3.56</v>
      </c>
      <c r="E74" s="14">
        <f>_xll.BDH("AMGN US Equity","ARDR_ADJUSTED_EPS","FQ2 2019","FQ2 2019","Currency=USD","Period=FQ","BEST_FPERIOD_OVERRIDE=FQ","FILING_STATUS=MR","Sort=A","Dates=H","DateFormat=P","Fill=—","Direction=H","UseDPDF=Y")</f>
        <v>3.97</v>
      </c>
      <c r="F74" s="14">
        <f>_xll.BDH("AMGN US Equity","ARDR_ADJUSTED_EPS","FQ3 2019","FQ3 2019","Currency=USD","Period=FQ","BEST_FPERIOD_OVERRIDE=FQ","FILING_STATUS=MR","Sort=A","Dates=H","DateFormat=P","Fill=—","Direction=H","UseDPDF=Y")</f>
        <v>3.66</v>
      </c>
      <c r="G74" s="14">
        <f>_xll.BDH("AMGN US Equity","ARDR_ADJUSTED_EPS","FQ4 2019","FQ4 2019","Currency=USD","Period=FQ","BEST_FPERIOD_OVERRIDE=FQ","FILING_STATUS=MR","Sort=A","Dates=H","DateFormat=P","Fill=—","Direction=H","UseDPDF=Y")</f>
        <v>3.64</v>
      </c>
      <c r="H74" s="14">
        <f>_xll.BDH("AMGN US Equity","ARDR_ADJUSTED_EPS","FQ1 2020","FQ1 2020","Currency=USD","Period=FQ","BEST_FPERIOD_OVERRIDE=FQ","FILING_STATUS=MR","Sort=A","Dates=H","DateFormat=P","Fill=—","Direction=H","UseDPDF=Y")</f>
        <v>4.17</v>
      </c>
      <c r="I74" s="14">
        <f>_xll.BDH("AMGN US Equity","ARDR_ADJUSTED_EPS","FQ2 2020","FQ2 2020","Currency=USD","Period=FQ","BEST_FPERIOD_OVERRIDE=FQ","FILING_STATUS=MR","Sort=A","Dates=H","DateFormat=P","Fill=—","Direction=H","UseDPDF=Y")</f>
        <v>4.25</v>
      </c>
      <c r="J74" s="14">
        <f>_xll.BDH("AMGN US Equity","ARDR_ADJUSTED_EPS","FQ3 2020","FQ3 2020","Currency=USD","Period=FQ","BEST_FPERIOD_OVERRIDE=FQ","FILING_STATUS=MR","Sort=A","Dates=H","DateFormat=P","Fill=—","Direction=H","UseDPDF=Y")</f>
        <v>4.1900000000000004</v>
      </c>
      <c r="K74" s="14">
        <f>_xll.BDH("AMGN US Equity","ARDR_ADJUSTED_EPS","FQ4 2020","FQ4 2020","Currency=USD","Period=FQ","BEST_FPERIOD_OVERRIDE=FQ","FILING_STATUS=MR","Sort=A","Dates=H","DateFormat=P","Fill=—","Direction=H","UseDPDF=Y")</f>
        <v>3.81</v>
      </c>
      <c r="L74" s="14">
        <f>_xll.BDH("AMGN US Equity","ARDR_ADJUSTED_EPS","FQ1 2021","FQ1 2021","Currency=USD","Period=FQ","BEST_FPERIOD_OVERRIDE=FQ","FILING_STATUS=MR","Sort=A","Dates=H","DateFormat=P","Fill=—","Direction=H","UseDPDF=Y")</f>
        <v>3.7</v>
      </c>
      <c r="M74" s="14">
        <f>_xll.BDH("AMGN US Equity","ARDR_ADJUSTED_EPS","FQ2 2021","FQ2 2021","Currency=USD","Period=FQ","BEST_FPERIOD_OVERRIDE=FQ","FILING_STATUS=MR","Sort=A","Dates=H","DateFormat=P","Fill=—","Direction=H","UseDPDF=Y")</f>
        <v>4.38</v>
      </c>
      <c r="N74" s="14">
        <f>_xll.BDH("AMGN US Equity","ARDR_ADJUSTED_EPS","FQ3 2021","FQ3 2021","Currency=USD","Period=FQ","BEST_FPERIOD_OVERRIDE=FQ","FILING_STATUS=MR","Sort=A","Dates=H","DateFormat=P","Fill=—","Direction=H","UseDPDF=Y")</f>
        <v>4.08</v>
      </c>
      <c r="O74" s="14">
        <f>_xll.BDH("AMGN US Equity","ARDR_ADJUSTED_EPS","FQ4 2021","FQ4 2021","Currency=USD","Period=FQ","BEST_FPERIOD_OVERRIDE=FQ","FILING_STATUS=MR","Sort=A","Dates=H","DateFormat=P","Fill=—","Direction=H","UseDPDF=Y")</f>
        <v>4.3600000000000003</v>
      </c>
      <c r="P74" s="14">
        <f>_xll.BDH("AMGN US Equity","ARDR_ADJUSTED_EPS","FQ1 2022","FQ1 2022","Currency=USD","Period=FQ","BEST_FPERIOD_OVERRIDE=FQ","FILING_STATUS=MR","Sort=A","Dates=H","DateFormat=P","Fill=—","Direction=H","UseDPDF=Y")</f>
        <v>4.25</v>
      </c>
      <c r="Q74" s="14">
        <f>_xll.BDH("AMGN US Equity","ARDR_ADJUSTED_EPS","FQ2 2022","FQ2 2022","Currency=USD","Period=FQ","BEST_FPERIOD_OVERRIDE=FQ","FILING_STATUS=MR","Sort=A","Dates=H","DateFormat=P","Fill=—","Direction=H","UseDPDF=Y")</f>
        <v>4.6500000000000004</v>
      </c>
      <c r="R74" s="14">
        <f>_xll.BDH("AMGN US Equity","ARDR_ADJUSTED_EPS","FQ3 2022","FQ3 2022","Currency=USD","Period=FQ","BEST_FPERIOD_OVERRIDE=FQ","FILING_STATUS=MR","Sort=A","Dates=H","DateFormat=P","Fill=—","Direction=H","UseDPDF=Y")</f>
        <v>4.7</v>
      </c>
      <c r="S74" s="14">
        <f>_xll.BDH("AMGN US Equity","ARDR_ADJUSTED_EPS","FQ4 2022","FQ4 2022","Currency=USD","Period=FQ","BEST_FPERIOD_OVERRIDE=FQ","FILING_STATUS=MR","Sort=A","Dates=H","DateFormat=P","Fill=—","Direction=H","UseDPDF=Y")</f>
        <v>4.09</v>
      </c>
      <c r="T74" s="14">
        <f>_xll.BDH("AMGN US Equity","ARDR_ADJUSTED_EPS","FQ1 2023","FQ1 2023","Currency=USD","Period=FQ","BEST_FPERIOD_OVERRIDE=FQ","FILING_STATUS=MR","Sort=A","Dates=H","DateFormat=P","Fill=—","Direction=H","UseDPDF=Y")</f>
        <v>3.98</v>
      </c>
      <c r="U74" s="14">
        <f>_xll.BDH("AMGN US Equity","ARDR_ADJUSTED_EPS","FQ2 2023","FQ2 2023","Currency=USD","Period=FQ","BEST_FPERIOD_OVERRIDE=FQ","FILING_STATUS=MR","Sort=A","Dates=H","DateFormat=P","Fill=—","Direction=H","UseDPDF=Y")</f>
        <v>5</v>
      </c>
      <c r="V74" s="14">
        <f>_xll.BDH("AMGN US Equity","ARDR_ADJUSTED_EPS","FQ3 2023","FQ3 2023","Currency=USD","Period=FQ","BEST_FPERIOD_OVERRIDE=FQ","FILING_STATUS=MR","Sort=A","Dates=H","DateFormat=P","Fill=—","Direction=H","UseDPDF=Y")</f>
        <v>4.96</v>
      </c>
      <c r="W74" s="14">
        <f>_xll.BDH("AMGN US Equity","ARDR_ADJUSTED_EPS","FQ4 2023","FQ4 2023","Currency=USD","Period=FQ","BEST_FPERIOD_OVERRIDE=FQ","FILING_STATUS=MR","Sort=A","Dates=H","DateFormat=P","Fill=—","Direction=H","UseDPDF=Y")</f>
        <v>4.71</v>
      </c>
      <c r="X74" s="14">
        <f>_xll.BDH("AMGN US Equity","ARDR_ADJUSTED_EPS","FQ1 2024","FQ1 2024","Currency=USD","Period=FQ","BEST_FPERIOD_OVERRIDE=FQ","FILING_STATUS=MR","Sort=A","Dates=H","DateFormat=P","Fill=—","Direction=H","UseDPDF=Y")</f>
        <v>3.96</v>
      </c>
      <c r="Y74" s="14">
        <f>_xll.BDH("AMGN US Equity","ARDR_ADJUSTED_EPS","FQ2 2024","FQ2 2024","Currency=USD","Period=FQ","BEST_FPERIOD_OVERRIDE=FQ","FILING_STATUS=MR","Sort=A","Dates=H","DateFormat=P","Fill=—","Direction=H","UseDPDF=Y")</f>
        <v>2.57</v>
      </c>
      <c r="Z74" s="14">
        <f>_xll.BDH("AMGN US Equity","ARDR_ADJUSTED_EPS","FQ3 2024","FQ3 2024","Currency=USD","Period=FQ","BEST_FPERIOD_OVERRIDE=FQ","FILING_STATUS=MR","Sort=A","Dates=H","DateFormat=P","Fill=—","Direction=H","UseDPDF=Y")</f>
        <v>5.58</v>
      </c>
      <c r="AA74" s="14">
        <f>_xll.BDH("AMGN US Equity","ARDR_ADJUSTED_EPS","FQ4 2024","FQ4 2024","Currency=USD","Period=FQ","BEST_FPERIOD_OVERRIDE=FQ","FILING_STATUS=MR","Sort=A","Dates=H","DateFormat=P","Fill=—","Direction=H","UseDPDF=Y")</f>
        <v>5.31</v>
      </c>
    </row>
    <row r="75" spans="1:27" x14ac:dyDescent="0.25">
      <c r="A75" s="10" t="s">
        <v>526</v>
      </c>
      <c r="B75" s="10" t="s">
        <v>527</v>
      </c>
      <c r="C75" s="13" t="str">
        <f>_xll.BDH("AMGN US Equity","ARDR_UNREAL_GL_FROM_SECS_NON_OP","FQ4 2018","FQ4 2018","Currency=USD","Period=FQ","BEST_FPERIOD_OVERRIDE=FQ","FILING_STATUS=MR","SCALING_FORMAT=MLN","Sort=A","Dates=H","DateFormat=P","Fill=—","Direction=H","UseDPDF=Y")</f>
        <v>—</v>
      </c>
      <c r="D75" s="13" t="str">
        <f>_xll.BDH("AMGN US Equity","ARDR_UNREAL_GL_FROM_SECS_NON_OP","FQ1 2019","FQ1 2019","Currency=USD","Period=FQ","BEST_FPERIOD_OVERRIDE=FQ","FILING_STATUS=MR","SCALING_FORMAT=MLN","Sort=A","Dates=H","DateFormat=P","Fill=—","Direction=H","UseDPDF=Y")</f>
        <v>—</v>
      </c>
      <c r="E75" s="13" t="str">
        <f>_xll.BDH("AMGN US Equity","ARDR_UNREAL_GL_FROM_SECS_NON_OP","FQ2 2019","FQ2 2019","Currency=USD","Period=FQ","BEST_FPERIOD_OVERRIDE=FQ","FILING_STATUS=MR","SCALING_FORMAT=MLN","Sort=A","Dates=H","DateFormat=P","Fill=—","Direction=H","UseDPDF=Y")</f>
        <v>—</v>
      </c>
      <c r="F75" s="13" t="str">
        <f>_xll.BDH("AMGN US Equity","ARDR_UNREAL_GL_FROM_SECS_NON_OP","FQ3 2019","FQ3 2019","Currency=USD","Period=FQ","BEST_FPERIOD_OVERRIDE=FQ","FILING_STATUS=MR","SCALING_FORMAT=MLN","Sort=A","Dates=H","DateFormat=P","Fill=—","Direction=H","UseDPDF=Y")</f>
        <v>—</v>
      </c>
      <c r="G75" s="13" t="str">
        <f>_xll.BDH("AMGN US Equity","ARDR_UNREAL_GL_FROM_SECS_NON_OP","FQ4 2019","FQ4 2019","Currency=USD","Period=FQ","BEST_FPERIOD_OVERRIDE=FQ","FILING_STATUS=MR","SCALING_FORMAT=MLN","Sort=A","Dates=H","DateFormat=P","Fill=—","Direction=H","UseDPDF=Y")</f>
        <v>—</v>
      </c>
      <c r="H75" s="13" t="str">
        <f>_xll.BDH("AMGN US Equity","ARDR_UNREAL_GL_FROM_SECS_NON_OP","FQ1 2020","FQ1 2020","Currency=USD","Period=FQ","BEST_FPERIOD_OVERRIDE=FQ","FILING_STATUS=MR","SCALING_FORMAT=MLN","Sort=A","Dates=H","DateFormat=P","Fill=—","Direction=H","UseDPDF=Y")</f>
        <v>—</v>
      </c>
      <c r="I75" s="13" t="str">
        <f>_xll.BDH("AMGN US Equity","ARDR_UNREAL_GL_FROM_SECS_NON_OP","FQ2 2020","FQ2 2020","Currency=USD","Period=FQ","BEST_FPERIOD_OVERRIDE=FQ","FILING_STATUS=MR","SCALING_FORMAT=MLN","Sort=A","Dates=H","DateFormat=P","Fill=—","Direction=H","UseDPDF=Y")</f>
        <v>—</v>
      </c>
      <c r="J75" s="13" t="str">
        <f>_xll.BDH("AMGN US Equity","ARDR_UNREAL_GL_FROM_SECS_NON_OP","FQ3 2020","FQ3 2020","Currency=USD","Period=FQ","BEST_FPERIOD_OVERRIDE=FQ","FILING_STATUS=MR","SCALING_FORMAT=MLN","Sort=A","Dates=H","DateFormat=P","Fill=—","Direction=H","UseDPDF=Y")</f>
        <v>—</v>
      </c>
      <c r="K75" s="13" t="str">
        <f>_xll.BDH("AMGN US Equity","ARDR_UNREAL_GL_FROM_SECS_NON_OP","FQ4 2020","FQ4 2020","Currency=USD","Period=FQ","BEST_FPERIOD_OVERRIDE=FQ","FILING_STATUS=MR","SCALING_FORMAT=MLN","Sort=A","Dates=H","DateFormat=P","Fill=—","Direction=H","UseDPDF=Y")</f>
        <v>—</v>
      </c>
      <c r="L75" s="13" t="str">
        <f>_xll.BDH("AMGN US Equity","ARDR_UNREAL_GL_FROM_SECS_NON_OP","FQ1 2021","FQ1 2021","Currency=USD","Period=FQ","BEST_FPERIOD_OVERRIDE=FQ","FILING_STATUS=MR","SCALING_FORMAT=MLN","Sort=A","Dates=H","DateFormat=P","Fill=—","Direction=H","UseDPDF=Y")</f>
        <v>—</v>
      </c>
      <c r="M75" s="13" t="str">
        <f>_xll.BDH("AMGN US Equity","ARDR_UNREAL_GL_FROM_SECS_NON_OP","FQ2 2021","FQ2 2021","Currency=USD","Period=FQ","BEST_FPERIOD_OVERRIDE=FQ","FILING_STATUS=MR","SCALING_FORMAT=MLN","Sort=A","Dates=H","DateFormat=P","Fill=—","Direction=H","UseDPDF=Y")</f>
        <v>—</v>
      </c>
      <c r="N75" s="13" t="str">
        <f>_xll.BDH("AMGN US Equity","ARDR_UNREAL_GL_FROM_SECS_NON_OP","FQ3 2021","FQ3 2021","Currency=USD","Period=FQ","BEST_FPERIOD_OVERRIDE=FQ","FILING_STATUS=MR","SCALING_FORMAT=MLN","Sort=A","Dates=H","DateFormat=P","Fill=—","Direction=H","UseDPDF=Y")</f>
        <v>—</v>
      </c>
      <c r="O75" s="13" t="str">
        <f>_xll.BDH("AMGN US Equity","ARDR_UNREAL_GL_FROM_SECS_NON_OP","FQ4 2021","FQ4 2021","Currency=USD","Period=FQ","BEST_FPERIOD_OVERRIDE=FQ","FILING_STATUS=MR","SCALING_FORMAT=MLN","Sort=A","Dates=H","DateFormat=P","Fill=—","Direction=H","UseDPDF=Y")</f>
        <v>—</v>
      </c>
      <c r="P75" s="13" t="str">
        <f>_xll.BDH("AMGN US Equity","ARDR_UNREAL_GL_FROM_SECS_NON_OP","FQ1 2022","FQ1 2022","Currency=USD","Period=FQ","BEST_FPERIOD_OVERRIDE=FQ","FILING_STATUS=MR","SCALING_FORMAT=MLN","Sort=A","Dates=H","DateFormat=P","Fill=—","Direction=H","UseDPDF=Y")</f>
        <v>—</v>
      </c>
      <c r="Q75" s="13" t="str">
        <f>_xll.BDH("AMGN US Equity","ARDR_UNREAL_GL_FROM_SECS_NON_OP","FQ2 2022","FQ2 2022","Currency=USD","Period=FQ","BEST_FPERIOD_OVERRIDE=FQ","FILING_STATUS=MR","SCALING_FORMAT=MLN","Sort=A","Dates=H","DateFormat=P","Fill=—","Direction=H","UseDPDF=Y")</f>
        <v>—</v>
      </c>
      <c r="R75" s="13" t="str">
        <f>_xll.BDH("AMGN US Equity","ARDR_UNREAL_GL_FROM_SECS_NON_OP","FQ3 2022","FQ3 2022","Currency=USD","Period=FQ","BEST_FPERIOD_OVERRIDE=FQ","FILING_STATUS=MR","SCALING_FORMAT=MLN","Sort=A","Dates=H","DateFormat=P","Fill=—","Direction=H","UseDPDF=Y")</f>
        <v>—</v>
      </c>
      <c r="S75" s="13" t="str">
        <f>_xll.BDH("AMGN US Equity","ARDR_UNREAL_GL_FROM_SECS_NON_OP","FQ4 2022","FQ4 2022","Currency=USD","Period=FQ","BEST_FPERIOD_OVERRIDE=FQ","FILING_STATUS=MR","SCALING_FORMAT=MLN","Sort=A","Dates=H","DateFormat=P","Fill=—","Direction=H","UseDPDF=Y")</f>
        <v>—</v>
      </c>
      <c r="T75" s="13" t="str">
        <f>_xll.BDH("AMGN US Equity","ARDR_UNREAL_GL_FROM_SECS_NON_OP","FQ1 2023","FQ1 2023","Currency=USD","Period=FQ","BEST_FPERIOD_OVERRIDE=FQ","FILING_STATUS=MR","SCALING_FORMAT=MLN","Sort=A","Dates=H","DateFormat=P","Fill=—","Direction=H","UseDPDF=Y")</f>
        <v>—</v>
      </c>
      <c r="U75" s="13">
        <f>_xll.BDH("AMGN US Equity","ARDR_UNREAL_GL_FROM_SECS_NON_OP","FQ2 2023","FQ2 2023","Currency=USD","Period=FQ","BEST_FPERIOD_OVERRIDE=FQ","FILING_STATUS=MR","SCALING_FORMAT=MLN","Sort=A","Dates=H","DateFormat=P","Fill=—","Direction=H","UseDPDF=Y")</f>
        <v>718</v>
      </c>
      <c r="V75" s="13" t="str">
        <f>_xll.BDH("AMGN US Equity","ARDR_UNREAL_GL_FROM_SECS_NON_OP","FQ3 2023","FQ3 2023","Currency=USD","Period=FQ","BEST_FPERIOD_OVERRIDE=FQ","FILING_STATUS=MR","SCALING_FORMAT=MLN","Sort=A","Dates=H","DateFormat=P","Fill=—","Direction=H","UseDPDF=Y")</f>
        <v>—</v>
      </c>
      <c r="W75" s="13" t="str">
        <f>_xll.BDH("AMGN US Equity","ARDR_UNREAL_GL_FROM_SECS_NON_OP","FQ4 2023","FQ4 2023","Currency=USD","Period=FQ","BEST_FPERIOD_OVERRIDE=FQ","FILING_STATUS=MR","SCALING_FORMAT=MLN","Sort=A","Dates=H","DateFormat=P","Fill=—","Direction=H","UseDPDF=Y")</f>
        <v>—</v>
      </c>
      <c r="X75" s="13" t="str">
        <f>_xll.BDH("AMGN US Equity","ARDR_UNREAL_GL_FROM_SECS_NON_OP","FQ1 2024","FQ1 2024","Currency=USD","Period=FQ","BEST_FPERIOD_OVERRIDE=FQ","FILING_STATUS=MR","SCALING_FORMAT=MLN","Sort=A","Dates=H","DateFormat=P","Fill=—","Direction=H","UseDPDF=Y")</f>
        <v>—</v>
      </c>
      <c r="Y75" s="13">
        <f>_xll.BDH("AMGN US Equity","ARDR_UNREAL_GL_FROM_SECS_NON_OP","FQ2 2024","FQ2 2024","Currency=USD","Period=FQ","BEST_FPERIOD_OVERRIDE=FQ","FILING_STATUS=MR","SCALING_FORMAT=MLN","Sort=A","Dates=H","DateFormat=P","Fill=—","Direction=H","UseDPDF=Y")</f>
        <v>405</v>
      </c>
      <c r="Z75" s="13">
        <f>_xll.BDH("AMGN US Equity","ARDR_UNREAL_GL_FROM_SECS_NON_OP","FQ3 2024","FQ3 2024","Currency=USD","Period=FQ","BEST_FPERIOD_OVERRIDE=FQ","FILING_STATUS=MR","SCALING_FORMAT=MLN","Sort=A","Dates=H","DateFormat=P","Fill=—","Direction=H","UseDPDF=Y")</f>
        <v>-1608</v>
      </c>
      <c r="AA75" s="13" t="str">
        <f>_xll.BDH("AMGN US Equity","ARDR_UNREAL_GL_FROM_SECS_NON_OP","FQ4 2024","FQ4 2024","Currency=USD","Period=FQ","BEST_FPERIOD_OVERRIDE=FQ","FILING_STATUS=MR","SCALING_FORMAT=MLN","Sort=A","Dates=H","DateFormat=P","Fill=—","Direction=H","UseDPDF=Y")</f>
        <v>—</v>
      </c>
    </row>
    <row r="76" spans="1:27" x14ac:dyDescent="0.25">
      <c r="A76" s="10" t="s">
        <v>528</v>
      </c>
      <c r="B76" s="10" t="s">
        <v>529</v>
      </c>
      <c r="C76" s="13">
        <f>_xll.BDH("AMGN US Equity","ARDR_DILUTED_NET_INCOME","FQ4 2018","FQ4 2018","Currency=USD","Period=FQ","BEST_FPERIOD_OVERRIDE=FQ","FILING_STATUS=MR","SCALING_FORMAT=MLN","Sort=A","Dates=H","DateFormat=P","Fill=—","Direction=H","UseDPDF=Y")</f>
        <v>1928</v>
      </c>
      <c r="D76" s="13">
        <f>_xll.BDH("AMGN US Equity","ARDR_DILUTED_NET_INCOME","FQ1 2019","FQ1 2019","Currency=USD","Period=FQ","BEST_FPERIOD_OVERRIDE=FQ","FILING_STATUS=MR","SCALING_FORMAT=MLN","Sort=A","Dates=H","DateFormat=P","Fill=—","Direction=H","UseDPDF=Y")</f>
        <v>1992</v>
      </c>
      <c r="E76" s="13">
        <f>_xll.BDH("AMGN US Equity","ARDR_DILUTED_NET_INCOME","FQ2 2019","FQ2 2019","Currency=USD","Period=FQ","BEST_FPERIOD_OVERRIDE=FQ","FILING_STATUS=MR","SCALING_FORMAT=MLN","Sort=A","Dates=H","DateFormat=P","Fill=—","Direction=H","UseDPDF=Y")</f>
        <v>2179</v>
      </c>
      <c r="F76" s="13">
        <f>_xll.BDH("AMGN US Equity","ARDR_DILUTED_NET_INCOME","FQ3 2019","FQ3 2019","Currency=USD","Period=FQ","BEST_FPERIOD_OVERRIDE=FQ","FILING_STATUS=MR","SCALING_FORMAT=MLN","Sort=A","Dates=H","DateFormat=P","Fill=—","Direction=H","UseDPDF=Y")</f>
        <v>1968</v>
      </c>
      <c r="G76" s="13">
        <f>_xll.BDH("AMGN US Equity","ARDR_DILUTED_NET_INCOME","FQ4 2019","FQ4 2019","Currency=USD","Period=FQ","BEST_FPERIOD_OVERRIDE=FQ","FILING_STATUS=MR","SCALING_FORMAT=MLN","Sort=A","Dates=H","DateFormat=P","Fill=—","Direction=H","UseDPDF=Y")</f>
        <v>1703</v>
      </c>
      <c r="H76" s="13">
        <f>_xll.BDH("AMGN US Equity","ARDR_DILUTED_NET_INCOME","FQ1 2020","FQ1 2020","Currency=USD","Period=FQ","BEST_FPERIOD_OVERRIDE=FQ","FILING_STATUS=MR","SCALING_FORMAT=MLN","Sort=A","Dates=H","DateFormat=P","Fill=—","Direction=H","UseDPDF=Y")</f>
        <v>1825</v>
      </c>
      <c r="I76" s="13">
        <f>_xll.BDH("AMGN US Equity","ARDR_DILUTED_NET_INCOME","FQ2 2020","FQ2 2020","Currency=USD","Period=FQ","BEST_FPERIOD_OVERRIDE=FQ","FILING_STATUS=MR","SCALING_FORMAT=MLN","Sort=A","Dates=H","DateFormat=P","Fill=—","Direction=H","UseDPDF=Y")</f>
        <v>1803</v>
      </c>
      <c r="J76" s="13">
        <f>_xll.BDH("AMGN US Equity","ARDR_DILUTED_NET_INCOME","FQ3 2020","FQ3 2020","Currency=USD","Period=FQ","BEST_FPERIOD_OVERRIDE=FQ","FILING_STATUS=MR","SCALING_FORMAT=MLN","Sort=A","Dates=H","DateFormat=P","Fill=—","Direction=H","UseDPDF=Y")</f>
        <v>2021</v>
      </c>
      <c r="K76" s="13">
        <f>_xll.BDH("AMGN US Equity","ARDR_DILUTED_NET_INCOME","FQ4 2020","FQ4 2020","Currency=USD","Period=FQ","BEST_FPERIOD_OVERRIDE=FQ","FILING_STATUS=MR","SCALING_FORMAT=MLN","Sort=A","Dates=H","DateFormat=P","Fill=—","Direction=H","UseDPDF=Y")</f>
        <v>1615</v>
      </c>
      <c r="L76" s="13">
        <f>_xll.BDH("AMGN US Equity","ARDR_DILUTED_NET_INCOME","FQ1 2021","FQ1 2021","Currency=USD","Period=FQ","BEST_FPERIOD_OVERRIDE=FQ","FILING_STATUS=MR","SCALING_FORMAT=MLN","Sort=A","Dates=H","DateFormat=P","Fill=—","Direction=H","UseDPDF=Y")</f>
        <v>1646</v>
      </c>
      <c r="M76" s="13">
        <f>_xll.BDH("AMGN US Equity","ARDR_DILUTED_NET_INCOME","FQ2 2021","FQ2 2021","Currency=USD","Period=FQ","BEST_FPERIOD_OVERRIDE=FQ","FILING_STATUS=MR","SCALING_FORMAT=MLN","Sort=A","Dates=H","DateFormat=P","Fill=—","Direction=H","UseDPDF=Y")</f>
        <v>464</v>
      </c>
      <c r="N76" s="13">
        <f>_xll.BDH("AMGN US Equity","ARDR_DILUTED_NET_INCOME","FQ3 2021","FQ3 2021","Currency=USD","Period=FQ","BEST_FPERIOD_OVERRIDE=FQ","FILING_STATUS=MR","SCALING_FORMAT=MLN","Sort=A","Dates=H","DateFormat=P","Fill=—","Direction=H","UseDPDF=Y")</f>
        <v>1884</v>
      </c>
      <c r="O76" s="13">
        <f>_xll.BDH("AMGN US Equity","ARDR_DILUTED_NET_INCOME","FQ4 2021","FQ4 2021","Currency=USD","Period=FQ","BEST_FPERIOD_OVERRIDE=FQ","FILING_STATUS=MR","SCALING_FORMAT=MLN","Sort=A","Dates=H","DateFormat=P","Fill=—","Direction=H","UseDPDF=Y")</f>
        <v>1899</v>
      </c>
      <c r="P76" s="13">
        <f>_xll.BDH("AMGN US Equity","ARDR_DILUTED_NET_INCOME","FQ1 2022","FQ1 2022","Currency=USD","Period=FQ","BEST_FPERIOD_OVERRIDE=FQ","FILING_STATUS=MR","SCALING_FORMAT=MLN","Sort=A","Dates=H","DateFormat=P","Fill=—","Direction=H","UseDPDF=Y")</f>
        <v>1476</v>
      </c>
      <c r="Q76" s="13">
        <f>_xll.BDH("AMGN US Equity","ARDR_DILUTED_NET_INCOME","FQ2 2022","FQ2 2022","Currency=USD","Period=FQ","BEST_FPERIOD_OVERRIDE=FQ","FILING_STATUS=MR","SCALING_FORMAT=MLN","Sort=A","Dates=H","DateFormat=P","Fill=—","Direction=H","UseDPDF=Y")</f>
        <v>1317</v>
      </c>
      <c r="R76" s="13">
        <f>_xll.BDH("AMGN US Equity","ARDR_DILUTED_NET_INCOME","FQ3 2022","FQ3 2022","Currency=USD","Period=FQ","BEST_FPERIOD_OVERRIDE=FQ","FILING_STATUS=MR","SCALING_FORMAT=MLN","Sort=A","Dates=H","DateFormat=P","Fill=—","Direction=H","UseDPDF=Y")</f>
        <v>2143</v>
      </c>
      <c r="S76" s="13">
        <f>_xll.BDH("AMGN US Equity","ARDR_DILUTED_NET_INCOME","FQ4 2022","FQ4 2022","Currency=USD","Period=FQ","BEST_FPERIOD_OVERRIDE=FQ","FILING_STATUS=MR","SCALING_FORMAT=MLN","Sort=A","Dates=H","DateFormat=P","Fill=—","Direction=H","UseDPDF=Y")</f>
        <v>1616</v>
      </c>
      <c r="T76" s="13">
        <f>_xll.BDH("AMGN US Equity","ARDR_DILUTED_NET_INCOME","FQ1 2023","FQ1 2023","Currency=USD","Period=FQ","BEST_FPERIOD_OVERRIDE=FQ","FILING_STATUS=MR","SCALING_FORMAT=MLN","Sort=A","Dates=H","DateFormat=P","Fill=—","Direction=H","UseDPDF=Y")</f>
        <v>2841</v>
      </c>
      <c r="U76" s="13">
        <f>_xll.BDH("AMGN US Equity","ARDR_DILUTED_NET_INCOME","FQ2 2023","FQ2 2023","Currency=USD","Period=FQ","BEST_FPERIOD_OVERRIDE=FQ","FILING_STATUS=MR","SCALING_FORMAT=MLN","Sort=A","Dates=H","DateFormat=P","Fill=—","Direction=H","UseDPDF=Y")</f>
        <v>1379</v>
      </c>
      <c r="V76" s="13">
        <f>_xll.BDH("AMGN US Equity","ARDR_DILUTED_NET_INCOME","FQ3 2023","FQ3 2023","Currency=USD","Period=FQ","BEST_FPERIOD_OVERRIDE=FQ","FILING_STATUS=MR","SCALING_FORMAT=MLN","Sort=A","Dates=H","DateFormat=P","Fill=—","Direction=H","UseDPDF=Y")</f>
        <v>1730</v>
      </c>
      <c r="W76" s="13">
        <f>_xll.BDH("AMGN US Equity","ARDR_DILUTED_NET_INCOME","FQ4 2023","FQ4 2023","Currency=USD","Period=FQ","BEST_FPERIOD_OVERRIDE=FQ","FILING_STATUS=MR","SCALING_FORMAT=MLN","Sort=A","Dates=H","DateFormat=P","Fill=—","Direction=H","UseDPDF=Y")</f>
        <v>767</v>
      </c>
      <c r="X76" s="13">
        <f>_xll.BDH("AMGN US Equity","ARDR_DILUTED_NET_INCOME","FQ1 2024","FQ1 2024","Currency=USD","Period=FQ","BEST_FPERIOD_OVERRIDE=FQ","FILING_STATUS=MR","SCALING_FORMAT=MLN","Sort=A","Dates=H","DateFormat=P","Fill=—","Direction=H","UseDPDF=Y")</f>
        <v>-113</v>
      </c>
      <c r="Y76" s="13">
        <f>_xll.BDH("AMGN US Equity","ARDR_DILUTED_NET_INCOME","FQ2 2024","FQ2 2024","Currency=USD","Period=FQ","BEST_FPERIOD_OVERRIDE=FQ","FILING_STATUS=MR","SCALING_FORMAT=MLN","Sort=A","Dates=H","DateFormat=P","Fill=—","Direction=H","UseDPDF=Y")</f>
        <v>746</v>
      </c>
      <c r="Z76" s="13">
        <f>_xll.BDH("AMGN US Equity","ARDR_DILUTED_NET_INCOME","FQ3 2024","FQ3 2024","Currency=USD","Period=FQ","BEST_FPERIOD_OVERRIDE=FQ","FILING_STATUS=MR","SCALING_FORMAT=MLN","Sort=A","Dates=H","DateFormat=P","Fill=—","Direction=H","UseDPDF=Y")</f>
        <v>2830</v>
      </c>
      <c r="AA76" s="13">
        <f>_xll.BDH("AMGN US Equity","ARDR_DILUTED_NET_INCOME","FQ4 2024","FQ4 2024","Currency=USD","Period=FQ","BEST_FPERIOD_OVERRIDE=FQ","FILING_STATUS=MR","SCALING_FORMAT=MLN","Sort=A","Dates=H","DateFormat=P","Fill=—","Direction=H","UseDPDF=Y")</f>
        <v>627</v>
      </c>
    </row>
    <row r="77" spans="1:27" x14ac:dyDescent="0.25">
      <c r="A77" s="10" t="s">
        <v>530</v>
      </c>
      <c r="B77" s="10" t="s">
        <v>531</v>
      </c>
      <c r="C77" s="13">
        <f>_xll.BDH("AMGN US Equity","ARDR_TAX_PROV_BENEFIT_NONREC","FQ4 2018","FQ4 2018","Currency=USD","Period=FQ","BEST_FPERIOD_OVERRIDE=FQ","FILING_STATUS=MR","SCALING_FORMAT=MLN","Sort=A","Dates=H","DateFormat=P","Fill=—","Direction=H","UseDPDF=Y")</f>
        <v>0</v>
      </c>
      <c r="D77" s="13">
        <f>_xll.BDH("AMGN US Equity","ARDR_TAX_PROV_BENEFIT_NONREC","FQ1 2019","FQ1 2019","Currency=USD","Period=FQ","BEST_FPERIOD_OVERRIDE=FQ","FILING_STATUS=MR","SCALING_FORMAT=MLN","Sort=A","Dates=H","DateFormat=P","Fill=—","Direction=H","UseDPDF=Y")</f>
        <v>8</v>
      </c>
      <c r="E77" s="13">
        <f>_xll.BDH("AMGN US Equity","ARDR_TAX_PROV_BENEFIT_NONREC","FQ2 2019","FQ2 2019","Currency=USD","Period=FQ","BEST_FPERIOD_OVERRIDE=FQ","FILING_STATUS=MR","SCALING_FORMAT=MLN","Sort=A","Dates=H","DateFormat=P","Fill=—","Direction=H","UseDPDF=Y")</f>
        <v>19</v>
      </c>
      <c r="F77" s="13">
        <f>_xll.BDH("AMGN US Equity","ARDR_TAX_PROV_BENEFIT_NONREC","FQ3 2019","FQ3 2019","Currency=USD","Period=FQ","BEST_FPERIOD_OVERRIDE=FQ","FILING_STATUS=MR","SCALING_FORMAT=MLN","Sort=A","Dates=H","DateFormat=P","Fill=—","Direction=H","UseDPDF=Y")</f>
        <v>8</v>
      </c>
      <c r="G77" s="13">
        <f>_xll.BDH("AMGN US Equity","ARDR_TAX_PROV_BENEFIT_NONREC","FQ4 2019","FQ4 2019","Currency=USD","Period=FQ","BEST_FPERIOD_OVERRIDE=FQ","FILING_STATUS=MR","SCALING_FORMAT=MLN","Sort=A","Dates=H","DateFormat=P","Fill=—","Direction=H","UseDPDF=Y")</f>
        <v>-3</v>
      </c>
      <c r="H77" s="13">
        <f>_xll.BDH("AMGN US Equity","ARDR_TAX_PROV_BENEFIT_NONREC","FQ1 2020","FQ1 2020","Currency=USD","Period=FQ","BEST_FPERIOD_OVERRIDE=FQ","FILING_STATUS=MR","SCALING_FORMAT=MLN","Sort=A","Dates=H","DateFormat=P","Fill=—","Direction=H","UseDPDF=Y")</f>
        <v>1</v>
      </c>
      <c r="I77" s="13">
        <f>_xll.BDH("AMGN US Equity","ARDR_TAX_PROV_BENEFIT_NONREC","FQ2 2020","FQ2 2020","Currency=USD","Period=FQ","BEST_FPERIOD_OVERRIDE=FQ","FILING_STATUS=MR","SCALING_FORMAT=MLN","Sort=A","Dates=H","DateFormat=P","Fill=—","Direction=H","UseDPDF=Y")</f>
        <v>-9</v>
      </c>
      <c r="J77" s="13">
        <f>_xll.BDH("AMGN US Equity","ARDR_TAX_PROV_BENEFIT_NONREC","FQ3 2020","FQ3 2020","Currency=USD","Period=FQ","BEST_FPERIOD_OVERRIDE=FQ","FILING_STATUS=MR","SCALING_FORMAT=MLN","Sort=A","Dates=H","DateFormat=P","Fill=—","Direction=H","UseDPDF=Y")</f>
        <v>-55</v>
      </c>
      <c r="K77" s="13">
        <f>_xll.BDH("AMGN US Equity","ARDR_TAX_PROV_BENEFIT_NONREC","FQ4 2020","FQ4 2020","Currency=USD","Period=FQ","BEST_FPERIOD_OVERRIDE=FQ","FILING_STATUS=MR","SCALING_FORMAT=MLN","Sort=A","Dates=H","DateFormat=P","Fill=—","Direction=H","UseDPDF=Y")</f>
        <v>-4</v>
      </c>
      <c r="L77" s="13">
        <f>_xll.BDH("AMGN US Equity","ARDR_TAX_PROV_BENEFIT_NONREC","FQ1 2021","FQ1 2021","Currency=USD","Period=FQ","BEST_FPERIOD_OVERRIDE=FQ","FILING_STATUS=MR","SCALING_FORMAT=MLN","Sort=A","Dates=H","DateFormat=P","Fill=—","Direction=H","UseDPDF=Y")</f>
        <v>-3</v>
      </c>
      <c r="M77" s="13">
        <f>_xll.BDH("AMGN US Equity","ARDR_TAX_PROV_BENEFIT_NONREC","FQ2 2021","FQ2 2021","Currency=USD","Period=FQ","BEST_FPERIOD_OVERRIDE=FQ","FILING_STATUS=MR","SCALING_FORMAT=MLN","Sort=A","Dates=H","DateFormat=P","Fill=—","Direction=H","UseDPDF=Y")</f>
        <v>9</v>
      </c>
      <c r="N77" s="13">
        <f>_xll.BDH("AMGN US Equity","ARDR_TAX_PROV_BENEFIT_NONREC","FQ3 2021","FQ3 2021","Currency=USD","Period=FQ","BEST_FPERIOD_OVERRIDE=FQ","FILING_STATUS=MR","SCALING_FORMAT=MLN","Sort=A","Dates=H","DateFormat=P","Fill=—","Direction=H","UseDPDF=Y")</f>
        <v>-29</v>
      </c>
      <c r="O77" s="13">
        <f>_xll.BDH("AMGN US Equity","ARDR_TAX_PROV_BENEFIT_NONREC","FQ4 2021","FQ4 2021","Currency=USD","Period=FQ","BEST_FPERIOD_OVERRIDE=FQ","FILING_STATUS=MR","SCALING_FORMAT=MLN","Sort=A","Dates=H","DateFormat=P","Fill=—","Direction=H","UseDPDF=Y")</f>
        <v>14</v>
      </c>
      <c r="P77" s="13">
        <f>_xll.BDH("AMGN US Equity","ARDR_TAX_PROV_BENEFIT_NONREC","FQ1 2022","FQ1 2022","Currency=USD","Period=FQ","BEST_FPERIOD_OVERRIDE=FQ","FILING_STATUS=MR","SCALING_FORMAT=MLN","Sort=A","Dates=H","DateFormat=P","Fill=—","Direction=H","UseDPDF=Y")</f>
        <v>4</v>
      </c>
      <c r="Q77" s="13" t="str">
        <f>_xll.BDH("AMGN US Equity","ARDR_TAX_PROV_BENEFIT_NONREC","FQ2 2022","FQ2 2022","Currency=USD","Period=FQ","BEST_FPERIOD_OVERRIDE=FQ","FILING_STATUS=MR","SCALING_FORMAT=MLN","Sort=A","Dates=H","DateFormat=P","Fill=—","Direction=H","UseDPDF=Y")</f>
        <v>—</v>
      </c>
      <c r="R77" s="13">
        <f>_xll.BDH("AMGN US Equity","ARDR_TAX_PROV_BENEFIT_NONREC","FQ3 2022","FQ3 2022","Currency=USD","Period=FQ","BEST_FPERIOD_OVERRIDE=FQ","FILING_STATUS=MR","SCALING_FORMAT=MLN","Sort=A","Dates=H","DateFormat=P","Fill=—","Direction=H","UseDPDF=Y")</f>
        <v>-5</v>
      </c>
      <c r="S77" s="13">
        <f>_xll.BDH("AMGN US Equity","ARDR_TAX_PROV_BENEFIT_NONREC","FQ4 2022","FQ4 2022","Currency=USD","Period=FQ","BEST_FPERIOD_OVERRIDE=FQ","FILING_STATUS=MR","SCALING_FORMAT=MLN","Sort=A","Dates=H","DateFormat=P","Fill=—","Direction=H","UseDPDF=Y")</f>
        <v>-45</v>
      </c>
      <c r="T77" s="13">
        <f>_xll.BDH("AMGN US Equity","ARDR_TAX_PROV_BENEFIT_NONREC","FQ1 2023","FQ1 2023","Currency=USD","Period=FQ","BEST_FPERIOD_OVERRIDE=FQ","FILING_STATUS=MR","SCALING_FORMAT=MLN","Sort=A","Dates=H","DateFormat=P","Fill=—","Direction=H","UseDPDF=Y")</f>
        <v>19</v>
      </c>
      <c r="U77" s="13">
        <f>_xll.BDH("AMGN US Equity","ARDR_TAX_PROV_BENEFIT_NONREC","FQ2 2023","FQ2 2023","Currency=USD","Period=FQ","BEST_FPERIOD_OVERRIDE=FQ","FILING_STATUS=MR","SCALING_FORMAT=MLN","Sort=A","Dates=H","DateFormat=P","Fill=—","Direction=H","UseDPDF=Y")</f>
        <v>-2</v>
      </c>
      <c r="V77" s="13">
        <f>_xll.BDH("AMGN US Equity","ARDR_TAX_PROV_BENEFIT_NONREC","FQ3 2023","FQ3 2023","Currency=USD","Period=FQ","BEST_FPERIOD_OVERRIDE=FQ","FILING_STATUS=MR","SCALING_FORMAT=MLN","Sort=A","Dates=H","DateFormat=P","Fill=—","Direction=H","UseDPDF=Y")</f>
        <v>-23</v>
      </c>
      <c r="W77" s="13">
        <f>_xll.BDH("AMGN US Equity","ARDR_TAX_PROV_BENEFIT_NONREC","FQ4 2023","FQ4 2023","Currency=USD","Period=FQ","BEST_FPERIOD_OVERRIDE=FQ","FILING_STATUS=MR","SCALING_FORMAT=MLN","Sort=A","Dates=H","DateFormat=P","Fill=—","Direction=H","UseDPDF=Y")</f>
        <v>-7</v>
      </c>
      <c r="X77" s="13">
        <f>_xll.BDH("AMGN US Equity","ARDR_TAX_PROV_BENEFIT_NONREC","FQ1 2024","FQ1 2024","Currency=USD","Period=FQ","BEST_FPERIOD_OVERRIDE=FQ","FILING_STATUS=MR","SCALING_FORMAT=MLN","Sort=A","Dates=H","DateFormat=P","Fill=—","Direction=H","UseDPDF=Y")</f>
        <v>15</v>
      </c>
      <c r="Y77" s="13">
        <f>_xll.BDH("AMGN US Equity","ARDR_TAX_PROV_BENEFIT_NONREC","FQ2 2024","FQ2 2024","Currency=USD","Period=FQ","BEST_FPERIOD_OVERRIDE=FQ","FILING_STATUS=MR","SCALING_FORMAT=MLN","Sort=A","Dates=H","DateFormat=P","Fill=—","Direction=H","UseDPDF=Y")</f>
        <v>-4</v>
      </c>
      <c r="Z77" s="13">
        <f>_xll.BDH("AMGN US Equity","ARDR_TAX_PROV_BENEFIT_NONREC","FQ3 2024","FQ3 2024","Currency=USD","Period=FQ","BEST_FPERIOD_OVERRIDE=FQ","FILING_STATUS=MR","SCALING_FORMAT=MLN","Sort=A","Dates=H","DateFormat=P","Fill=—","Direction=H","UseDPDF=Y")</f>
        <v>33</v>
      </c>
      <c r="AA77" s="13">
        <f>_xll.BDH("AMGN US Equity","ARDR_TAX_PROV_BENEFIT_NONREC","FQ4 2024","FQ4 2024","Currency=USD","Period=FQ","BEST_FPERIOD_OVERRIDE=FQ","FILING_STATUS=MR","SCALING_FORMAT=MLN","Sort=A","Dates=H","DateFormat=P","Fill=—","Direction=H","UseDPDF=Y")</f>
        <v>192</v>
      </c>
    </row>
    <row r="78" spans="1:27" x14ac:dyDescent="0.25">
      <c r="A78" s="10" t="s">
        <v>532</v>
      </c>
      <c r="B78" s="10" t="s">
        <v>533</v>
      </c>
      <c r="C78" s="13">
        <f>_xll.BDH("AMGN US Equity","ARDR_ADJ_EBIT_NON_GAAP_OP_INC","FQ4 2018","FQ4 2018","Currency=USD","Period=FQ","BEST_FPERIOD_OVERRIDE=FQ","FILING_STATUS=MR","SCALING_FORMAT=MLN","Sort=A","Dates=H","DateFormat=P","Fill=—","Direction=H","UseDPDF=Y")</f>
        <v>2717</v>
      </c>
      <c r="D78" s="13">
        <f>_xll.BDH("AMGN US Equity","ARDR_ADJ_EBIT_NON_GAAP_OP_INC","FQ1 2019","FQ1 2019","Currency=USD","Period=FQ","BEST_FPERIOD_OVERRIDE=FQ","FILING_STATUS=MR","SCALING_FORMAT=MLN","Sort=A","Dates=H","DateFormat=P","Fill=—","Direction=H","UseDPDF=Y")</f>
        <v>2770</v>
      </c>
      <c r="E78" s="13">
        <f>_xll.BDH("AMGN US Equity","ARDR_ADJ_EBIT_NON_GAAP_OP_INC","FQ2 2019","FQ2 2019","Currency=USD","Period=FQ","BEST_FPERIOD_OVERRIDE=FQ","FILING_STATUS=MR","SCALING_FORMAT=MLN","Sort=A","Dates=H","DateFormat=P","Fill=—","Direction=H","UseDPDF=Y")</f>
        <v>2973</v>
      </c>
      <c r="F78" s="13">
        <f>_xll.BDH("AMGN US Equity","ARDR_ADJ_EBIT_NON_GAAP_OP_INC","FQ3 2019","FQ3 2019","Currency=USD","Period=FQ","BEST_FPERIOD_OVERRIDE=FQ","FILING_STATUS=MR","SCALING_FORMAT=MLN","Sort=A","Dates=H","DateFormat=P","Fill=—","Direction=H","UseDPDF=Y")</f>
        <v>2793</v>
      </c>
      <c r="G78" s="13">
        <f>_xll.BDH("AMGN US Equity","ARDR_ADJ_EBIT_NON_GAAP_OP_INC","FQ4 2019","FQ4 2019","Currency=USD","Period=FQ","BEST_FPERIOD_OVERRIDE=FQ","FILING_STATUS=MR","SCALING_FORMAT=MLN","Sort=A","Dates=H","DateFormat=P","Fill=—","Direction=H","UseDPDF=Y")</f>
        <v>2621</v>
      </c>
      <c r="H78" s="13">
        <f>_xll.BDH("AMGN US Equity","ARDR_ADJ_EBIT_NON_GAAP_OP_INC","FQ1 2020","FQ1 2020","Currency=USD","Period=FQ","BEST_FPERIOD_OVERRIDE=FQ","FILING_STATUS=MR","SCALING_FORMAT=MLN","Sort=A","Dates=H","DateFormat=P","Fill=—","Direction=H","UseDPDF=Y")</f>
        <v>3176</v>
      </c>
      <c r="I78" s="13">
        <f>_xll.BDH("AMGN US Equity","ARDR_ADJ_EBIT_NON_GAAP_OP_INC","FQ2 2020","FQ2 2020","Currency=USD","Period=FQ","BEST_FPERIOD_OVERRIDE=FQ","FILING_STATUS=MR","SCALING_FORMAT=MLN","Sort=A","Dates=H","DateFormat=P","Fill=—","Direction=H","UseDPDF=Y")</f>
        <v>3247</v>
      </c>
      <c r="J78" s="13">
        <f>_xll.BDH("AMGN US Equity","ARDR_ADJ_EBIT_NON_GAAP_OP_INC","FQ3 2020","FQ3 2020","Currency=USD","Period=FQ","BEST_FPERIOD_OVERRIDE=FQ","FILING_STATUS=MR","SCALING_FORMAT=MLN","Sort=A","Dates=H","DateFormat=P","Fill=—","Direction=H","UseDPDF=Y")</f>
        <v>3183</v>
      </c>
      <c r="K78" s="13">
        <f>_xll.BDH("AMGN US Equity","ARDR_ADJ_EBIT_NON_GAAP_OP_INC","FQ4 2020","FQ4 2020","Currency=USD","Period=FQ","BEST_FPERIOD_OVERRIDE=FQ","FILING_STATUS=MR","SCALING_FORMAT=MLN","Sort=A","Dates=H","DateFormat=P","Fill=—","Direction=H","UseDPDF=Y")</f>
        <v>2728</v>
      </c>
      <c r="L78" s="13">
        <f>_xll.BDH("AMGN US Equity","ARDR_ADJ_EBIT_NON_GAAP_OP_INC","FQ1 2021","FQ1 2021","Currency=USD","Period=FQ","BEST_FPERIOD_OVERRIDE=FQ","FILING_STATUS=MR","SCALING_FORMAT=MLN","Sort=A","Dates=H","DateFormat=P","Fill=—","Direction=H","UseDPDF=Y")</f>
        <v>2864</v>
      </c>
      <c r="M78" s="13">
        <f>_xll.BDH("AMGN US Equity","ARDR_ADJ_EBIT_NON_GAAP_OP_INC","FQ2 2021","FQ2 2021","Currency=USD","Period=FQ","BEST_FPERIOD_OVERRIDE=FQ","FILING_STATUS=MR","SCALING_FORMAT=MLN","Sort=A","Dates=H","DateFormat=P","Fill=—","Direction=H","UseDPDF=Y")</f>
        <v>3111</v>
      </c>
      <c r="N78" s="13">
        <f>_xll.BDH("AMGN US Equity","ARDR_ADJ_EBIT_NON_GAAP_OP_INC","FQ3 2021","FQ3 2021","Currency=USD","Period=FQ","BEST_FPERIOD_OVERRIDE=FQ","FILING_STATUS=MR","SCALING_FORMAT=MLN","Sort=A","Dates=H","DateFormat=P","Fill=—","Direction=H","UseDPDF=Y")</f>
        <v>3052</v>
      </c>
      <c r="O78" s="13">
        <f>_xll.BDH("AMGN US Equity","ARDR_ADJ_EBIT_NON_GAAP_OP_INC","FQ4 2021","FQ4 2021","Currency=USD","Period=FQ","BEST_FPERIOD_OVERRIDE=FQ","FILING_STATUS=MR","SCALING_FORMAT=MLN","Sort=A","Dates=H","DateFormat=P","Fill=—","Direction=H","UseDPDF=Y")</f>
        <v>2997</v>
      </c>
      <c r="P78" s="13">
        <f>_xll.BDH("AMGN US Equity","ARDR_ADJ_EBIT_NON_GAAP_OP_INC","FQ1 2022","FQ1 2022","Currency=USD","Period=FQ","BEST_FPERIOD_OVERRIDE=FQ","FILING_STATUS=MR","SCALING_FORMAT=MLN","Sort=A","Dates=H","DateFormat=P","Fill=—","Direction=H","UseDPDF=Y")</f>
        <v>3140</v>
      </c>
      <c r="Q78" s="13">
        <f>_xll.BDH("AMGN US Equity","ARDR_ADJ_EBIT_NON_GAAP_OP_INC","FQ2 2022","FQ2 2022","Currency=USD","Period=FQ","BEST_FPERIOD_OVERRIDE=FQ","FILING_STATUS=MR","SCALING_FORMAT=MLN","Sort=A","Dates=H","DateFormat=P","Fill=—","Direction=H","UseDPDF=Y")</f>
        <v>3335</v>
      </c>
      <c r="R78" s="13">
        <f>_xll.BDH("AMGN US Equity","ARDR_ADJ_EBIT_NON_GAAP_OP_INC","FQ3 2022","FQ3 2022","Currency=USD","Period=FQ","BEST_FPERIOD_OVERRIDE=FQ","FILING_STATUS=MR","SCALING_FORMAT=MLN","Sort=A","Dates=H","DateFormat=P","Fill=—","Direction=H","UseDPDF=Y")</f>
        <v>3277</v>
      </c>
      <c r="S78" s="13">
        <f>_xll.BDH("AMGN US Equity","ARDR_ADJ_EBIT_NON_GAAP_OP_INC","FQ4 2022","FQ4 2022","Currency=USD","Period=FQ","BEST_FPERIOD_OVERRIDE=FQ","FILING_STATUS=MR","SCALING_FORMAT=MLN","Sort=A","Dates=H","DateFormat=P","Fill=—","Direction=H","UseDPDF=Y")</f>
        <v>3009</v>
      </c>
      <c r="T78" s="13">
        <f>_xll.BDH("AMGN US Equity","ARDR_ADJ_EBIT_NON_GAAP_OP_INC","FQ1 2023","FQ1 2023","Currency=USD","Period=FQ","BEST_FPERIOD_OVERRIDE=FQ","FILING_STATUS=MR","SCALING_FORMAT=MLN","Sort=A","Dates=H","DateFormat=P","Fill=—","Direction=H","UseDPDF=Y")</f>
        <v>2821</v>
      </c>
      <c r="U78" s="13">
        <f>_xll.BDH("AMGN US Equity","ARDR_ADJ_EBIT_NON_GAAP_OP_INC","FQ2 2023","FQ2 2023","Currency=USD","Period=FQ","BEST_FPERIOD_OVERRIDE=FQ","FILING_STATUS=MR","SCALING_FORMAT=MLN","Sort=A","Dates=H","DateFormat=P","Fill=—","Direction=H","UseDPDF=Y")</f>
        <v>3515</v>
      </c>
      <c r="V78" s="13">
        <f>_xll.BDH("AMGN US Equity","ARDR_ADJ_EBIT_NON_GAAP_OP_INC","FQ3 2023","FQ3 2023","Currency=USD","Period=FQ","BEST_FPERIOD_OVERRIDE=FQ","FILING_STATUS=MR","SCALING_FORMAT=MLN","Sort=A","Dates=H","DateFormat=P","Fill=—","Direction=H","UseDPDF=Y")</f>
        <v>3403</v>
      </c>
      <c r="W78" s="13">
        <f>_xll.BDH("AMGN US Equity","ARDR_ADJ_EBIT_NON_GAAP_OP_INC","FQ4 2023","FQ4 2023","Currency=USD","Period=FQ","BEST_FPERIOD_OVERRIDE=FQ","FILING_STATUS=MR","SCALING_FORMAT=MLN","Sort=A","Dates=H","DateFormat=P","Fill=—","Direction=H","UseDPDF=Y")</f>
        <v>3660</v>
      </c>
      <c r="X78" s="13">
        <f>_xll.BDH("AMGN US Equity","ARDR_ADJ_EBIT_NON_GAAP_OP_INC","FQ1 2024","FQ1 2024","Currency=USD","Period=FQ","BEST_FPERIOD_OVERRIDE=FQ","FILING_STATUS=MR","SCALING_FORMAT=MLN","Sort=A","Dates=H","DateFormat=P","Fill=—","Direction=H","UseDPDF=Y")</f>
        <v>3078</v>
      </c>
      <c r="Y78" s="13">
        <f>_xll.BDH("AMGN US Equity","ARDR_ADJ_EBIT_NON_GAAP_OP_INC","FQ2 2024","FQ2 2024","Currency=USD","Period=FQ","BEST_FPERIOD_OVERRIDE=FQ","FILING_STATUS=MR","SCALING_FORMAT=MLN","Sort=A","Dates=H","DateFormat=P","Fill=—","Direction=H","UseDPDF=Y")</f>
        <v>3873</v>
      </c>
      <c r="Z78" s="13">
        <f>_xll.BDH("AMGN US Equity","ARDR_ADJ_EBIT_NON_GAAP_OP_INC","FQ3 2024","FQ3 2024","Currency=USD","Period=FQ","BEST_FPERIOD_OVERRIDE=FQ","FILING_STATUS=MR","SCALING_FORMAT=MLN","Sort=A","Dates=H","DateFormat=P","Fill=—","Direction=H","UseDPDF=Y")</f>
        <v>4044</v>
      </c>
      <c r="AA78" s="13">
        <f>_xll.BDH("AMGN US Equity","ARDR_ADJ_EBIT_NON_GAAP_OP_INC","FQ4 2024","FQ4 2024","Currency=USD","Period=FQ","BEST_FPERIOD_OVERRIDE=FQ","FILING_STATUS=MR","SCALING_FORMAT=MLN","Sort=A","Dates=H","DateFormat=P","Fill=—","Direction=H","UseDPDF=Y")</f>
        <v>4033</v>
      </c>
    </row>
    <row r="79" spans="1:27" x14ac:dyDescent="0.25">
      <c r="A79" s="10" t="s">
        <v>534</v>
      </c>
      <c r="B79" s="10" t="s">
        <v>535</v>
      </c>
      <c r="C79" s="13">
        <f>_xll.BDH("AMGN US Equity","ARDR_NON_GAAP_COST_OF_SALES","FQ4 2018","FQ4 2018","Currency=USD","Period=FQ","BEST_FPERIOD_OVERRIDE=FQ","FILING_STATUS=MR","SCALING_FORMAT=MLN","Sort=A","Dates=H","DateFormat=P","Fill=—","Direction=H","UseDPDF=Y")</f>
        <v>819</v>
      </c>
      <c r="D79" s="13">
        <f>_xll.BDH("AMGN US Equity","ARDR_NON_GAAP_COST_OF_SALES","FQ1 2019","FQ1 2019","Currency=USD","Period=FQ","BEST_FPERIOD_OVERRIDE=FQ","FILING_STATUS=MR","SCALING_FORMAT=MLN","Sort=A","Dates=H","DateFormat=P","Fill=—","Direction=H","UseDPDF=Y")</f>
        <v>779</v>
      </c>
      <c r="E79" s="13">
        <f>_xll.BDH("AMGN US Equity","ARDR_NON_GAAP_COST_OF_SALES","FQ2 2019","FQ2 2019","Currency=USD","Period=FQ","BEST_FPERIOD_OVERRIDE=FQ","FILING_STATUS=MR","SCALING_FORMAT=MLN","Sort=A","Dates=H","DateFormat=P","Fill=—","Direction=H","UseDPDF=Y")</f>
        <v>736</v>
      </c>
      <c r="F79" s="13">
        <f>_xll.BDH("AMGN US Equity","ARDR_NON_GAAP_COST_OF_SALES","FQ3 2019","FQ3 2019","Currency=USD","Period=FQ","BEST_FPERIOD_OVERRIDE=FQ","FILING_STATUS=MR","SCALING_FORMAT=MLN","Sort=A","Dates=H","DateFormat=P","Fill=—","Direction=H","UseDPDF=Y")</f>
        <v>760</v>
      </c>
      <c r="G79" s="13">
        <f>_xll.BDH("AMGN US Equity","ARDR_NON_GAAP_COST_OF_SALES","FQ4 2019","FQ4 2019","Currency=USD","Period=FQ","BEST_FPERIOD_OVERRIDE=FQ","FILING_STATUS=MR","SCALING_FORMAT=MLN","Sort=A","Dates=H","DateFormat=P","Fill=—","Direction=H","UseDPDF=Y")</f>
        <v>790</v>
      </c>
      <c r="H79" s="13">
        <f>_xll.BDH("AMGN US Equity","ARDR_NON_GAAP_COST_OF_SALES","FQ1 2020","FQ1 2020","Currency=USD","Period=FQ","BEST_FPERIOD_OVERRIDE=FQ","FILING_STATUS=MR","SCALING_FORMAT=MLN","Sort=A","Dates=H","DateFormat=P","Fill=—","Direction=H","UseDPDF=Y")</f>
        <v>771</v>
      </c>
      <c r="I79" s="13">
        <f>_xll.BDH("AMGN US Equity","ARDR_NON_GAAP_COST_OF_SALES","FQ2 2020","FQ2 2020","Currency=USD","Period=FQ","BEST_FPERIOD_OVERRIDE=FQ","FILING_STATUS=MR","SCALING_FORMAT=MLN","Sort=A","Dates=H","DateFormat=P","Fill=—","Direction=H","UseDPDF=Y")</f>
        <v>758</v>
      </c>
      <c r="J79" s="13">
        <f>_xll.BDH("AMGN US Equity","ARDR_NON_GAAP_COST_OF_SALES","FQ3 2020","FQ3 2020","Currency=USD","Period=FQ","BEST_FPERIOD_OVERRIDE=FQ","FILING_STATUS=MR","SCALING_FORMAT=MLN","Sort=A","Dates=H","DateFormat=P","Fill=—","Direction=H","UseDPDF=Y")</f>
        <v>874</v>
      </c>
      <c r="K79" s="13">
        <f>_xll.BDH("AMGN US Equity","ARDR_NON_GAAP_COST_OF_SALES","FQ4 2020","FQ4 2020","Currency=USD","Period=FQ","BEST_FPERIOD_OVERRIDE=FQ","FILING_STATUS=MR","SCALING_FORMAT=MLN","Sort=A","Dates=H","DateFormat=P","Fill=—","Direction=H","UseDPDF=Y")</f>
        <v>959</v>
      </c>
      <c r="L79" s="13">
        <f>_xll.BDH("AMGN US Equity","ARDR_NON_GAAP_COST_OF_SALES","FQ1 2021","FQ1 2021","Currency=USD","Period=FQ","BEST_FPERIOD_OVERRIDE=FQ","FILING_STATUS=MR","SCALING_FORMAT=MLN","Sort=A","Dates=H","DateFormat=P","Fill=—","Direction=H","UseDPDF=Y")</f>
        <v>867</v>
      </c>
      <c r="M79" s="13">
        <f>_xll.BDH("AMGN US Equity","ARDR_NON_GAAP_COST_OF_SALES","FQ2 2021","FQ2 2021","Currency=USD","Period=FQ","BEST_FPERIOD_OVERRIDE=FQ","FILING_STATUS=MR","SCALING_FORMAT=MLN","Sort=A","Dates=H","DateFormat=P","Fill=—","Direction=H","UseDPDF=Y")</f>
        <v>1034</v>
      </c>
      <c r="N79" s="13">
        <f>_xll.BDH("AMGN US Equity","ARDR_NON_GAAP_COST_OF_SALES","FQ3 2021","FQ3 2021","Currency=USD","Period=FQ","BEST_FPERIOD_OVERRIDE=FQ","FILING_STATUS=MR","SCALING_FORMAT=MLN","Sort=A","Dates=H","DateFormat=P","Fill=—","Direction=H","UseDPDF=Y")</f>
        <v>997</v>
      </c>
      <c r="O79" s="13">
        <f>_xll.BDH("AMGN US Equity","ARDR_NON_GAAP_COST_OF_SALES","FQ4 2021","FQ4 2021","Currency=USD","Period=FQ","BEST_FPERIOD_OVERRIDE=FQ","FILING_STATUS=MR","SCALING_FORMAT=MLN","Sort=A","Dates=H","DateFormat=P","Fill=—","Direction=H","UseDPDF=Y")</f>
        <v>1096</v>
      </c>
      <c r="P79" s="13">
        <f>_xll.BDH("AMGN US Equity","ARDR_NON_GAAP_COST_OF_SALES","FQ1 2022","FQ1 2022","Currency=USD","Period=FQ","BEST_FPERIOD_OVERRIDE=FQ","FILING_STATUS=MR","SCALING_FORMAT=MLN","Sort=A","Dates=H","DateFormat=P","Fill=—","Direction=H","UseDPDF=Y")</f>
        <v>951</v>
      </c>
      <c r="Q79" s="13">
        <f>_xll.BDH("AMGN US Equity","ARDR_NON_GAAP_COST_OF_SALES","FQ2 2022","FQ2 2022","Currency=USD","Period=FQ","BEST_FPERIOD_OVERRIDE=FQ","FILING_STATUS=MR","SCALING_FORMAT=MLN","Sort=A","Dates=H","DateFormat=P","Fill=—","Direction=H","UseDPDF=Y")</f>
        <v>926</v>
      </c>
      <c r="R79" s="13">
        <f>_xll.BDH("AMGN US Equity","ARDR_NON_GAAP_COST_OF_SALES","FQ3 2022","FQ3 2022","Currency=USD","Period=FQ","BEST_FPERIOD_OVERRIDE=FQ","FILING_STATUS=MR","SCALING_FORMAT=MLN","Sort=A","Dates=H","DateFormat=P","Fill=—","Direction=H","UseDPDF=Y")</f>
        <v>1003</v>
      </c>
      <c r="S79" s="13">
        <f>_xll.BDH("AMGN US Equity","ARDR_NON_GAAP_COST_OF_SALES","FQ4 2022","FQ4 2022","Currency=USD","Period=FQ","BEST_FPERIOD_OVERRIDE=FQ","FILING_STATUS=MR","SCALING_FORMAT=MLN","Sort=A","Dates=H","DateFormat=P","Fill=—","Direction=H","UseDPDF=Y")</f>
        <v>1071</v>
      </c>
      <c r="T79" s="13">
        <f>_xll.BDH("AMGN US Equity","ARDR_NON_GAAP_COST_OF_SALES","FQ1 2023","FQ1 2023","Currency=USD","Period=FQ","BEST_FPERIOD_OVERRIDE=FQ","FILING_STATUS=MR","SCALING_FORMAT=MLN","Sort=A","Dates=H","DateFormat=P","Fill=—","Direction=H","UseDPDF=Y")</f>
        <v>1016</v>
      </c>
      <c r="U79" s="13">
        <f>_xll.BDH("AMGN US Equity","ARDR_NON_GAAP_COST_OF_SALES","FQ2 2023","FQ2 2023","Currency=USD","Period=FQ","BEST_FPERIOD_OVERRIDE=FQ","FILING_STATUS=MR","SCALING_FORMAT=MLN","Sort=A","Dates=H","DateFormat=P","Fill=—","Direction=H","UseDPDF=Y")</f>
        <v>1142</v>
      </c>
      <c r="V79" s="13">
        <f>_xll.BDH("AMGN US Equity","ARDR_NON_GAAP_COST_OF_SALES","FQ3 2023","FQ3 2023","Currency=USD","Period=FQ","BEST_FPERIOD_OVERRIDE=FQ","FILING_STATUS=MR","SCALING_FORMAT=MLN","Sort=A","Dates=H","DateFormat=P","Fill=—","Direction=H","UseDPDF=Y")</f>
        <v>1137</v>
      </c>
      <c r="W79" s="13">
        <f>_xll.BDH("AMGN US Equity","ARDR_NON_GAAP_COST_OF_SALES","FQ4 2023","FQ4 2023","Currency=USD","Period=FQ","BEST_FPERIOD_OVERRIDE=FQ","FILING_STATUS=MR","SCALING_FORMAT=MLN","Sort=A","Dates=H","DateFormat=P","Fill=—","Direction=H","UseDPDF=Y")</f>
        <v>1278</v>
      </c>
      <c r="X79" s="13">
        <f>_xll.BDH("AMGN US Equity","ARDR_NON_GAAP_COST_OF_SALES","FQ1 2024","FQ1 2024","Currency=USD","Period=FQ","BEST_FPERIOD_OVERRIDE=FQ","FILING_STATUS=MR","SCALING_FORMAT=MLN","Sort=A","Dates=H","DateFormat=P","Fill=—","Direction=H","UseDPDF=Y")</f>
        <v>1340</v>
      </c>
      <c r="Y79" s="13">
        <f>_xll.BDH("AMGN US Equity","ARDR_NON_GAAP_COST_OF_SALES","FQ2 2024","FQ2 2024","Currency=USD","Period=FQ","BEST_FPERIOD_OVERRIDE=FQ","FILING_STATUS=MR","SCALING_FORMAT=MLN","Sort=A","Dates=H","DateFormat=P","Fill=—","Direction=H","UseDPDF=Y")</f>
        <v>1406</v>
      </c>
      <c r="Z79" s="13">
        <f>_xll.BDH("AMGN US Equity","ARDR_NON_GAAP_COST_OF_SALES","FQ3 2024","FQ3 2024","Currency=USD","Period=FQ","BEST_FPERIOD_OVERRIDE=FQ","FILING_STATUS=MR","SCALING_FORMAT=MLN","Sort=A","Dates=H","DateFormat=P","Fill=—","Direction=H","UseDPDF=Y")</f>
        <v>1454</v>
      </c>
      <c r="AA79" s="13">
        <f>_xll.BDH("AMGN US Equity","ARDR_NON_GAAP_COST_OF_SALES","FQ4 2024","FQ4 2024","Currency=USD","Period=FQ","BEST_FPERIOD_OVERRIDE=FQ","FILING_STATUS=MR","SCALING_FORMAT=MLN","Sort=A","Dates=H","DateFormat=P","Fill=—","Direction=H","UseDPDF=Y")</f>
        <v>1536</v>
      </c>
    </row>
    <row r="80" spans="1:27" x14ac:dyDescent="0.25">
      <c r="A80" s="10" t="s">
        <v>536</v>
      </c>
      <c r="B80" s="10" t="s">
        <v>537</v>
      </c>
      <c r="C80" s="13">
        <f>_xll.BDH("AMGN US Equity","ARDR_NON_GAAP_SG&amp;A","FQ4 2018","FQ4 2018","Currency=USD","Period=FQ","BEST_FPERIOD_OVERRIDE=FQ","FILING_STATUS=MR","SCALING_FORMAT=MLN","Sort=A","Dates=H","DateFormat=P","Fill=—","Direction=H","UseDPDF=Y")</f>
        <v>1532</v>
      </c>
      <c r="D80" s="13">
        <f>_xll.BDH("AMGN US Equity","ARDR_NON_GAAP_SG&amp;A","FQ1 2019","FQ1 2019","Currency=USD","Period=FQ","BEST_FPERIOD_OVERRIDE=FQ","FILING_STATUS=MR","SCALING_FORMAT=MLN","Sort=A","Dates=H","DateFormat=P","Fill=—","Direction=H","UseDPDF=Y")</f>
        <v>1149</v>
      </c>
      <c r="E80" s="13">
        <f>_xll.BDH("AMGN US Equity","ARDR_NON_GAAP_SG&amp;A","FQ2 2019","FQ2 2019","Currency=USD","Period=FQ","BEST_FPERIOD_OVERRIDE=FQ","FILING_STATUS=MR","SCALING_FORMAT=MLN","Sort=A","Dates=H","DateFormat=P","Fill=—","Direction=H","UseDPDF=Y")</f>
        <v>1256</v>
      </c>
      <c r="F80" s="13">
        <f>_xll.BDH("AMGN US Equity","ARDR_NON_GAAP_SG&amp;A","FQ3 2019","FQ3 2019","Currency=USD","Period=FQ","BEST_FPERIOD_OVERRIDE=FQ","FILING_STATUS=MR","SCALING_FORMAT=MLN","Sort=A","Dates=H","DateFormat=P","Fill=—","Direction=H","UseDPDF=Y")</f>
        <v>1207</v>
      </c>
      <c r="G80" s="13">
        <f>_xll.BDH("AMGN US Equity","ARDR_NON_GAAP_SG&amp;A","FQ4 2019","FQ4 2019","Currency=USD","Period=FQ","BEST_FPERIOD_OVERRIDE=FQ","FILING_STATUS=MR","SCALING_FORMAT=MLN","Sort=A","Dates=H","DateFormat=P","Fill=—","Direction=H","UseDPDF=Y")</f>
        <v>1501</v>
      </c>
      <c r="H80" s="13">
        <f>_xll.BDH("AMGN US Equity","ARDR_NON_GAAP_SG&amp;A","FQ1 2020","FQ1 2020","Currency=USD","Period=FQ","BEST_FPERIOD_OVERRIDE=FQ","FILING_STATUS=MR","SCALING_FORMAT=MLN","Sort=A","Dates=H","DateFormat=P","Fill=—","Direction=H","UseDPDF=Y")</f>
        <v>1287</v>
      </c>
      <c r="I80" s="13">
        <f>_xll.BDH("AMGN US Equity","ARDR_NON_GAAP_SG&amp;A","FQ2 2020","FQ2 2020","Currency=USD","Period=FQ","BEST_FPERIOD_OVERRIDE=FQ","FILING_STATUS=MR","SCALING_FORMAT=MLN","Sort=A","Dates=H","DateFormat=P","Fill=—","Direction=H","UseDPDF=Y")</f>
        <v>1265</v>
      </c>
      <c r="J80" s="13">
        <f>_xll.BDH("AMGN US Equity","ARDR_NON_GAAP_SG&amp;A","FQ3 2020","FQ3 2020","Currency=USD","Period=FQ","BEST_FPERIOD_OVERRIDE=FQ","FILING_STATUS=MR","SCALING_FORMAT=MLN","Sort=A","Dates=H","DateFormat=P","Fill=—","Direction=H","UseDPDF=Y")</f>
        <v>1329</v>
      </c>
      <c r="K80" s="13">
        <f>_xll.BDH("AMGN US Equity","ARDR_NON_GAAP_SG&amp;A","FQ4 2020","FQ4 2020","Currency=USD","Period=FQ","BEST_FPERIOD_OVERRIDE=FQ","FILING_STATUS=MR","SCALING_FORMAT=MLN","Sort=A","Dates=H","DateFormat=P","Fill=—","Direction=H","UseDPDF=Y")</f>
        <v>1762</v>
      </c>
      <c r="L80" s="13">
        <f>_xll.BDH("AMGN US Equity","ARDR_NON_GAAP_SG&amp;A","FQ1 2021","FQ1 2021","Currency=USD","Period=FQ","BEST_FPERIOD_OVERRIDE=FQ","FILING_STATUS=MR","SCALING_FORMAT=MLN","Sort=A","Dates=H","DateFormat=P","Fill=—","Direction=H","UseDPDF=Y")</f>
        <v>1226</v>
      </c>
      <c r="M80" s="13">
        <f>_xll.BDH("AMGN US Equity","ARDR_NON_GAAP_SG&amp;A","FQ2 2021","FQ2 2021","Currency=USD","Period=FQ","BEST_FPERIOD_OVERRIDE=FQ","FILING_STATUS=MR","SCALING_FORMAT=MLN","Sort=A","Dates=H","DateFormat=P","Fill=—","Direction=H","UseDPDF=Y")</f>
        <v>1345</v>
      </c>
      <c r="N80" s="13">
        <f>_xll.BDH("AMGN US Equity","ARDR_NON_GAAP_SG&amp;A","FQ3 2021","FQ3 2021","Currency=USD","Period=FQ","BEST_FPERIOD_OVERRIDE=FQ","FILING_STATUS=MR","SCALING_FORMAT=MLN","Sort=A","Dates=H","DateFormat=P","Fill=—","Direction=H","UseDPDF=Y")</f>
        <v>1260</v>
      </c>
      <c r="O80" s="13">
        <f>_xll.BDH("AMGN US Equity","ARDR_NON_GAAP_SG&amp;A","FQ4 2021","FQ4 2021","Currency=USD","Period=FQ","BEST_FPERIOD_OVERRIDE=FQ","FILING_STATUS=MR","SCALING_FORMAT=MLN","Sort=A","Dates=H","DateFormat=P","Fill=—","Direction=H","UseDPDF=Y")</f>
        <v>1434</v>
      </c>
      <c r="P80" s="13">
        <f>_xll.BDH("AMGN US Equity","ARDR_NON_GAAP_SG&amp;A","FQ1 2022","FQ1 2022","Currency=USD","Period=FQ","BEST_FPERIOD_OVERRIDE=FQ","FILING_STATUS=MR","SCALING_FORMAT=MLN","Sort=A","Dates=H","DateFormat=P","Fill=—","Direction=H","UseDPDF=Y")</f>
        <v>1213</v>
      </c>
      <c r="Q80" s="13">
        <f>_xll.BDH("AMGN US Equity","ARDR_NON_GAAP_SG&amp;A","FQ2 2022","FQ2 2022","Currency=USD","Period=FQ","BEST_FPERIOD_OVERRIDE=FQ","FILING_STATUS=MR","SCALING_FORMAT=MLN","Sort=A","Dates=H","DateFormat=P","Fill=—","Direction=H","UseDPDF=Y")</f>
        <v>1313</v>
      </c>
      <c r="R80" s="13">
        <f>_xll.BDH("AMGN US Equity","ARDR_NON_GAAP_SG&amp;A","FQ3 2022","FQ3 2022","Currency=USD","Period=FQ","BEST_FPERIOD_OVERRIDE=FQ","FILING_STATUS=MR","SCALING_FORMAT=MLN","Sort=A","Dates=H","DateFormat=P","Fill=—","Direction=H","UseDPDF=Y")</f>
        <v>1276</v>
      </c>
      <c r="S80" s="13">
        <f>_xll.BDH("AMGN US Equity","ARDR_NON_GAAP_SG&amp;A","FQ4 2022","FQ4 2022","Currency=USD","Period=FQ","BEST_FPERIOD_OVERRIDE=FQ","FILING_STATUS=MR","SCALING_FORMAT=MLN","Sort=A","Dates=H","DateFormat=P","Fill=—","Direction=H","UseDPDF=Y")</f>
        <v>1468</v>
      </c>
      <c r="T80" s="13">
        <f>_xll.BDH("AMGN US Equity","ARDR_NON_GAAP_SG&amp;A","FQ1 2023","FQ1 2023","Currency=USD","Period=FQ","BEST_FPERIOD_OVERRIDE=FQ","FILING_STATUS=MR","SCALING_FORMAT=MLN","Sort=A","Dates=H","DateFormat=P","Fill=—","Direction=H","UseDPDF=Y")</f>
        <v>1224</v>
      </c>
      <c r="U80" s="13">
        <f>_xll.BDH("AMGN US Equity","ARDR_NON_GAAP_SG&amp;A","FQ2 2023","FQ2 2023","Currency=USD","Period=FQ","BEST_FPERIOD_OVERRIDE=FQ","FILING_STATUS=MR","SCALING_FORMAT=MLN","Sort=A","Dates=H","DateFormat=P","Fill=—","Direction=H","UseDPDF=Y")</f>
        <v>1237</v>
      </c>
      <c r="V80" s="13">
        <f>_xll.BDH("AMGN US Equity","ARDR_NON_GAAP_SG&amp;A","FQ3 2023","FQ3 2023","Currency=USD","Period=FQ","BEST_FPERIOD_OVERRIDE=FQ","FILING_STATUS=MR","SCALING_FORMAT=MLN","Sort=A","Dates=H","DateFormat=P","Fill=—","Direction=H","UseDPDF=Y")</f>
        <v>1293</v>
      </c>
      <c r="W80" s="13">
        <f>_xll.BDH("AMGN US Equity","ARDR_NON_GAAP_SG&amp;A","FQ4 2023","FQ4 2023","Currency=USD","Period=FQ","BEST_FPERIOD_OVERRIDE=FQ","FILING_STATUS=MR","SCALING_FORMAT=MLN","Sort=A","Dates=H","DateFormat=P","Fill=—","Direction=H","UseDPDF=Y")</f>
        <v>1764</v>
      </c>
      <c r="X80" s="13">
        <f>_xll.BDH("AMGN US Equity","ARDR_NON_GAAP_SG&amp;A","FQ1 2024","FQ1 2024","Currency=USD","Period=FQ","BEST_FPERIOD_OVERRIDE=FQ","FILING_STATUS=MR","SCALING_FORMAT=MLN","Sort=A","Dates=H","DateFormat=P","Fill=—","Direction=H","UseDPDF=Y")</f>
        <v>1712</v>
      </c>
      <c r="Y80" s="13">
        <f>_xll.BDH("AMGN US Equity","ARDR_NON_GAAP_SG&amp;A","FQ2 2024","FQ2 2024","Currency=USD","Period=FQ","BEST_FPERIOD_OVERRIDE=FQ","FILING_STATUS=MR","SCALING_FORMAT=MLN","Sort=A","Dates=H","DateFormat=P","Fill=—","Direction=H","UseDPDF=Y")</f>
        <v>1686</v>
      </c>
      <c r="Z80" s="13">
        <f>_xll.BDH("AMGN US Equity","ARDR_NON_GAAP_SG&amp;A","FQ3 2024","FQ3 2024","Currency=USD","Period=FQ","BEST_FPERIOD_OVERRIDE=FQ","FILING_STATUS=MR","SCALING_FORMAT=MLN","Sort=A","Dates=H","DateFormat=P","Fill=—","Direction=H","UseDPDF=Y")</f>
        <v>1565</v>
      </c>
      <c r="AA80" s="13">
        <f>_xll.BDH("AMGN US Equity","ARDR_NON_GAAP_SG&amp;A","FQ4 2024","FQ4 2024","Currency=USD","Period=FQ","BEST_FPERIOD_OVERRIDE=FQ","FILING_STATUS=MR","SCALING_FORMAT=MLN","Sort=A","Dates=H","DateFormat=P","Fill=—","Direction=H","UseDPDF=Y")</f>
        <v>1819</v>
      </c>
    </row>
    <row r="81" spans="1:27" x14ac:dyDescent="0.25">
      <c r="A81" s="10" t="s">
        <v>538</v>
      </c>
      <c r="B81" s="10" t="s">
        <v>539</v>
      </c>
      <c r="C81" s="13">
        <f>_xll.BDH("AMGN US Equity","ARDR_NON_GAAP_R&amp;D","FQ4 2018","FQ4 2018","Currency=USD","Period=FQ","BEST_FPERIOD_OVERRIDE=FQ","FILING_STATUS=MR","SCALING_FORMAT=MLN","Sort=A","Dates=H","DateFormat=P","Fill=—","Direction=H","UseDPDF=Y")</f>
        <v>1162</v>
      </c>
      <c r="D81" s="13">
        <f>_xll.BDH("AMGN US Equity","ARDR_NON_GAAP_R&amp;D","FQ1 2019","FQ1 2019","Currency=USD","Period=FQ","BEST_FPERIOD_OVERRIDE=FQ","FILING_STATUS=MR","SCALING_FORMAT=MLN","Sort=A","Dates=H","DateFormat=P","Fill=—","Direction=H","UseDPDF=Y")</f>
        <v>859</v>
      </c>
      <c r="E81" s="13">
        <f>_xll.BDH("AMGN US Equity","ARDR_NON_GAAP_R&amp;D","FQ2 2019","FQ2 2019","Currency=USD","Period=FQ","BEST_FPERIOD_OVERRIDE=FQ","FILING_STATUS=MR","SCALING_FORMAT=MLN","Sort=A","Dates=H","DateFormat=P","Fill=—","Direction=H","UseDPDF=Y")</f>
        <v>906</v>
      </c>
      <c r="F81" s="13">
        <f>_xll.BDH("AMGN US Equity","ARDR_NON_GAAP_R&amp;D","FQ3 2019","FQ3 2019","Currency=USD","Period=FQ","BEST_FPERIOD_OVERRIDE=FQ","FILING_STATUS=MR","SCALING_FORMAT=MLN","Sort=A","Dates=H","DateFormat=P","Fill=—","Direction=H","UseDPDF=Y")</f>
        <v>977</v>
      </c>
      <c r="G81" s="13">
        <f>_xll.BDH("AMGN US Equity","ARDR_NON_GAAP_R&amp;D","FQ4 2019","FQ4 2019","Currency=USD","Period=FQ","BEST_FPERIOD_OVERRIDE=FQ","FILING_STATUS=MR","SCALING_FORMAT=MLN","Sort=A","Dates=H","DateFormat=P","Fill=—","Direction=H","UseDPDF=Y")</f>
        <v>1285</v>
      </c>
      <c r="H81" s="13">
        <f>_xll.BDH("AMGN US Equity","ARDR_NON_GAAP_R&amp;D","FQ1 2020","FQ1 2020","Currency=USD","Period=FQ","BEST_FPERIOD_OVERRIDE=FQ","FILING_STATUS=MR","SCALING_FORMAT=MLN","Sort=A","Dates=H","DateFormat=P","Fill=—","Direction=H","UseDPDF=Y")</f>
        <v>927</v>
      </c>
      <c r="I81" s="13">
        <f>_xll.BDH("AMGN US Equity","ARDR_NON_GAAP_R&amp;D","FQ2 2020","FQ2 2020","Currency=USD","Period=FQ","BEST_FPERIOD_OVERRIDE=FQ","FILING_STATUS=MR","SCALING_FORMAT=MLN","Sort=A","Dates=H","DateFormat=P","Fill=—","Direction=H","UseDPDF=Y")</f>
        <v>936</v>
      </c>
      <c r="J81" s="13">
        <f>_xll.BDH("AMGN US Equity","ARDR_NON_GAAP_R&amp;D","FQ3 2020","FQ3 2020","Currency=USD","Period=FQ","BEST_FPERIOD_OVERRIDE=FQ","FILING_STATUS=MR","SCALING_FORMAT=MLN","Sort=A","Dates=H","DateFormat=P","Fill=—","Direction=H","UseDPDF=Y")</f>
        <v>1062</v>
      </c>
      <c r="K81" s="13">
        <f>_xll.BDH("AMGN US Equity","ARDR_NON_GAAP_R&amp;D","FQ4 2020","FQ4 2020","Currency=USD","Period=FQ","BEST_FPERIOD_OVERRIDE=FQ","FILING_STATUS=MR","SCALING_FORMAT=MLN","Sort=A","Dates=H","DateFormat=P","Fill=—","Direction=H","UseDPDF=Y")</f>
        <v>1185</v>
      </c>
      <c r="L81" s="13">
        <f>_xll.BDH("AMGN US Equity","ARDR_NON_GAAP_R&amp;D","FQ1 2021","FQ1 2021","Currency=USD","Period=FQ","BEST_FPERIOD_OVERRIDE=FQ","FILING_STATUS=MR","SCALING_FORMAT=MLN","Sort=A","Dates=H","DateFormat=P","Fill=—","Direction=H","UseDPDF=Y")</f>
        <v>944</v>
      </c>
      <c r="M81" s="13">
        <f>_xll.BDH("AMGN US Equity","ARDR_NON_GAAP_R&amp;D","FQ2 2021","FQ2 2021","Currency=USD","Period=FQ","BEST_FPERIOD_OVERRIDE=FQ","FILING_STATUS=MR","SCALING_FORMAT=MLN","Sort=A","Dates=H","DateFormat=P","Fill=—","Direction=H","UseDPDF=Y")</f>
        <v>1036</v>
      </c>
      <c r="N81" s="13">
        <f>_xll.BDH("AMGN US Equity","ARDR_NON_GAAP_R&amp;D","FQ3 2021","FQ3 2021","Currency=USD","Period=FQ","BEST_FPERIOD_OVERRIDE=FQ","FILING_STATUS=MR","SCALING_FORMAT=MLN","Sort=A","Dates=H","DateFormat=P","Fill=—","Direction=H","UseDPDF=Y")</f>
        <v>1397</v>
      </c>
      <c r="O81" s="13">
        <f>_xll.BDH("AMGN US Equity","ARDR_NON_GAAP_R&amp;D","FQ4 2021","FQ4 2021","Currency=USD","Period=FQ","BEST_FPERIOD_OVERRIDE=FQ","FILING_STATUS=MR","SCALING_FORMAT=MLN","Sort=A","Dates=H","DateFormat=P","Fill=—","Direction=H","UseDPDF=Y")</f>
        <v>1319</v>
      </c>
      <c r="P81" s="13">
        <f>_xll.BDH("AMGN US Equity","ARDR_NON_GAAP_R&amp;D","FQ1 2022","FQ1 2022","Currency=USD","Period=FQ","BEST_FPERIOD_OVERRIDE=FQ","FILING_STATUS=MR","SCALING_FORMAT=MLN","Sort=A","Dates=H","DateFormat=P","Fill=—","Direction=H","UseDPDF=Y")</f>
        <v>934</v>
      </c>
      <c r="Q81" s="13">
        <f>_xll.BDH("AMGN US Equity","ARDR_NON_GAAP_R&amp;D","FQ2 2022","FQ2 2022","Currency=USD","Period=FQ","BEST_FPERIOD_OVERRIDE=FQ","FILING_STATUS=MR","SCALING_FORMAT=MLN","Sort=A","Dates=H","DateFormat=P","Fill=—","Direction=H","UseDPDF=Y")</f>
        <v>1020</v>
      </c>
      <c r="R81" s="13">
        <f>_xll.BDH("AMGN US Equity","ARDR_NON_GAAP_R&amp;D","FQ3 2022","FQ3 2022","Currency=USD","Period=FQ","BEST_FPERIOD_OVERRIDE=FQ","FILING_STATUS=MR","SCALING_FORMAT=MLN","Sort=A","Dates=H","DateFormat=P","Fill=—","Direction=H","UseDPDF=Y")</f>
        <v>1096</v>
      </c>
      <c r="S81" s="13">
        <f>_xll.BDH("AMGN US Equity","ARDR_NON_GAAP_R&amp;D","FQ4 2022","FQ4 2022","Currency=USD","Period=FQ","BEST_FPERIOD_OVERRIDE=FQ","FILING_STATUS=MR","SCALING_FORMAT=MLN","Sort=A","Dates=H","DateFormat=P","Fill=—","Direction=H","UseDPDF=Y")</f>
        <v>1291</v>
      </c>
      <c r="T81" s="13">
        <f>_xll.BDH("AMGN US Equity","ARDR_NON_GAAP_R&amp;D","FQ1 2023","FQ1 2023","Currency=USD","Period=FQ","BEST_FPERIOD_OVERRIDE=FQ","FILING_STATUS=MR","SCALING_FORMAT=MLN","Sort=A","Dates=H","DateFormat=P","Fill=—","Direction=H","UseDPDF=Y")</f>
        <v>1044</v>
      </c>
      <c r="U81" s="13">
        <f>_xll.BDH("AMGN US Equity","ARDR_NON_GAAP_R&amp;D","FQ2 2023","FQ2 2023","Currency=USD","Period=FQ","BEST_FPERIOD_OVERRIDE=FQ","FILING_STATUS=MR","SCALING_FORMAT=MLN","Sort=A","Dates=H","DateFormat=P","Fill=—","Direction=H","UseDPDF=Y")</f>
        <v>1092</v>
      </c>
      <c r="V81" s="13">
        <f>_xll.BDH("AMGN US Equity","ARDR_NON_GAAP_R&amp;D","FQ3 2023","FQ3 2023","Currency=USD","Period=FQ","BEST_FPERIOD_OVERRIDE=FQ","FILING_STATUS=MR","SCALING_FORMAT=MLN","Sort=A","Dates=H","DateFormat=P","Fill=—","Direction=H","UseDPDF=Y")</f>
        <v>1070</v>
      </c>
      <c r="W81" s="13">
        <f>_xll.BDH("AMGN US Equity","ARDR_NON_GAAP_R&amp;D","FQ4 2023","FQ4 2023","Currency=USD","Period=FQ","BEST_FPERIOD_OVERRIDE=FQ","FILING_STATUS=MR","SCALING_FORMAT=MLN","Sort=A","Dates=H","DateFormat=P","Fill=—","Direction=H","UseDPDF=Y")</f>
        <v>1494</v>
      </c>
      <c r="X81" s="13">
        <f>_xll.BDH("AMGN US Equity","ARDR_NON_GAAP_R&amp;D","FQ1 2024","FQ1 2024","Currency=USD","Period=FQ","BEST_FPERIOD_OVERRIDE=FQ","FILING_STATUS=MR","SCALING_FORMAT=MLN","Sort=A","Dates=H","DateFormat=P","Fill=—","Direction=H","UseDPDF=Y")</f>
        <v>1317</v>
      </c>
      <c r="Y81" s="13">
        <f>_xll.BDH("AMGN US Equity","ARDR_NON_GAAP_R&amp;D","FQ2 2024","FQ2 2024","Currency=USD","Period=FQ","BEST_FPERIOD_OVERRIDE=FQ","FILING_STATUS=MR","SCALING_FORMAT=MLN","Sort=A","Dates=H","DateFormat=P","Fill=—","Direction=H","UseDPDF=Y")</f>
        <v>1423</v>
      </c>
      <c r="Z81" s="13">
        <f>_xll.BDH("AMGN US Equity","ARDR_NON_GAAP_R&amp;D","FQ3 2024","FQ3 2024","Currency=USD","Period=FQ","BEST_FPERIOD_OVERRIDE=FQ","FILING_STATUS=MR","SCALING_FORMAT=MLN","Sort=A","Dates=H","DateFormat=P","Fill=—","Direction=H","UseDPDF=Y")</f>
        <v>1440</v>
      </c>
      <c r="AA81" s="13">
        <f>_xll.BDH("AMGN US Equity","ARDR_NON_GAAP_R&amp;D","FQ4 2024","FQ4 2024","Currency=USD","Period=FQ","BEST_FPERIOD_OVERRIDE=FQ","FILING_STATUS=MR","SCALING_FORMAT=MLN","Sort=A","Dates=H","DateFormat=P","Fill=—","Direction=H","UseDPDF=Y")</f>
        <v>1698</v>
      </c>
    </row>
    <row r="82" spans="1:27" x14ac:dyDescent="0.25">
      <c r="A82" s="10" t="s">
        <v>540</v>
      </c>
      <c r="B82" s="10" t="s">
        <v>541</v>
      </c>
      <c r="C82" s="13">
        <f>_xll.BDH("AMGN US Equity","ARDR_NON_GAAP_OPERATING_EXPENSES","FQ4 2018","FQ4 2018","Currency=USD","Period=FQ","BEST_FPERIOD_OVERRIDE=FQ","FILING_STATUS=MR","SCALING_FORMAT=MLN","Sort=A","Dates=H","DateFormat=P","Fill=—","Direction=H","UseDPDF=Y")</f>
        <v>3513</v>
      </c>
      <c r="D82" s="13">
        <f>_xll.BDH("AMGN US Equity","ARDR_NON_GAAP_OPERATING_EXPENSES","FQ1 2019","FQ1 2019","Currency=USD","Period=FQ","BEST_FPERIOD_OVERRIDE=FQ","FILING_STATUS=MR","SCALING_FORMAT=MLN","Sort=A","Dates=H","DateFormat=P","Fill=—","Direction=H","UseDPDF=Y")</f>
        <v>2787</v>
      </c>
      <c r="E82" s="13">
        <f>_xll.BDH("AMGN US Equity","ARDR_NON_GAAP_OPERATING_EXPENSES","FQ2 2019","FQ2 2019","Currency=USD","Period=FQ","BEST_FPERIOD_OVERRIDE=FQ","FILING_STATUS=MR","SCALING_FORMAT=MLN","Sort=A","Dates=H","DateFormat=P","Fill=—","Direction=H","UseDPDF=Y")</f>
        <v>2898</v>
      </c>
      <c r="F82" s="13">
        <f>_xll.BDH("AMGN US Equity","ARDR_NON_GAAP_OPERATING_EXPENSES","FQ3 2019","FQ3 2019","Currency=USD","Period=FQ","BEST_FPERIOD_OVERRIDE=FQ","FILING_STATUS=MR","SCALING_FORMAT=MLN","Sort=A","Dates=H","DateFormat=P","Fill=—","Direction=H","UseDPDF=Y")</f>
        <v>2944</v>
      </c>
      <c r="G82" s="13">
        <f>_xll.BDH("AMGN US Equity","ARDR_NON_GAAP_OPERATING_EXPENSES","FQ4 2019","FQ4 2019","Currency=USD","Period=FQ","BEST_FPERIOD_OVERRIDE=FQ","FILING_STATUS=MR","SCALING_FORMAT=MLN","Sort=A","Dates=H","DateFormat=P","Fill=—","Direction=H","UseDPDF=Y")</f>
        <v>3576</v>
      </c>
      <c r="H82" s="13">
        <f>_xll.BDH("AMGN US Equity","ARDR_NON_GAAP_OPERATING_EXPENSES","FQ1 2020","FQ1 2020","Currency=USD","Period=FQ","BEST_FPERIOD_OVERRIDE=FQ","FILING_STATUS=MR","SCALING_FORMAT=MLN","Sort=A","Dates=H","DateFormat=P","Fill=—","Direction=H","UseDPDF=Y")</f>
        <v>2985</v>
      </c>
      <c r="I82" s="13">
        <f>_xll.BDH("AMGN US Equity","ARDR_NON_GAAP_OPERATING_EXPENSES","FQ2 2020","FQ2 2020","Currency=USD","Period=FQ","BEST_FPERIOD_OVERRIDE=FQ","FILING_STATUS=MR","SCALING_FORMAT=MLN","Sort=A","Dates=H","DateFormat=P","Fill=—","Direction=H","UseDPDF=Y")</f>
        <v>2959</v>
      </c>
      <c r="J82" s="13">
        <f>_xll.BDH("AMGN US Equity","ARDR_NON_GAAP_OPERATING_EXPENSES","FQ3 2020","FQ3 2020","Currency=USD","Period=FQ","BEST_FPERIOD_OVERRIDE=FQ","FILING_STATUS=MR","SCALING_FORMAT=MLN","Sort=A","Dates=H","DateFormat=P","Fill=—","Direction=H","UseDPDF=Y")</f>
        <v>3240</v>
      </c>
      <c r="K82" s="13">
        <f>_xll.BDH("AMGN US Equity","ARDR_NON_GAAP_OPERATING_EXPENSES","FQ4 2020","FQ4 2020","Currency=USD","Period=FQ","BEST_FPERIOD_OVERRIDE=FQ","FILING_STATUS=MR","SCALING_FORMAT=MLN","Sort=A","Dates=H","DateFormat=P","Fill=—","Direction=H","UseDPDF=Y")</f>
        <v>3906</v>
      </c>
      <c r="L82" s="13">
        <f>_xll.BDH("AMGN US Equity","ARDR_NON_GAAP_OPERATING_EXPENSES","FQ1 2021","FQ1 2021","Currency=USD","Period=FQ","BEST_FPERIOD_OVERRIDE=FQ","FILING_STATUS=MR","SCALING_FORMAT=MLN","Sort=A","Dates=H","DateFormat=P","Fill=—","Direction=H","UseDPDF=Y")</f>
        <v>3037</v>
      </c>
      <c r="M82" s="13">
        <f>_xll.BDH("AMGN US Equity","ARDR_NON_GAAP_OPERATING_EXPENSES","FQ2 2021","FQ2 2021","Currency=USD","Period=FQ","BEST_FPERIOD_OVERRIDE=FQ","FILING_STATUS=MR","SCALING_FORMAT=MLN","Sort=A","Dates=H","DateFormat=P","Fill=—","Direction=H","UseDPDF=Y")</f>
        <v>3415</v>
      </c>
      <c r="N82" s="13">
        <f>_xll.BDH("AMGN US Equity","ARDR_NON_GAAP_OPERATING_EXPENSES","FQ3 2021","FQ3 2021","Currency=USD","Period=FQ","BEST_FPERIOD_OVERRIDE=FQ","FILING_STATUS=MR","SCALING_FORMAT=MLN","Sort=A","Dates=H","DateFormat=P","Fill=—","Direction=H","UseDPDF=Y")</f>
        <v>3654</v>
      </c>
      <c r="O82" s="13">
        <f>_xll.BDH("AMGN US Equity","ARDR_NON_GAAP_OPERATING_EXPENSES","FQ4 2021","FQ4 2021","Currency=USD","Period=FQ","BEST_FPERIOD_OVERRIDE=FQ","FILING_STATUS=MR","SCALING_FORMAT=MLN","Sort=A","Dates=H","DateFormat=P","Fill=—","Direction=H","UseDPDF=Y")</f>
        <v>3849</v>
      </c>
      <c r="P82" s="13">
        <f>_xll.BDH("AMGN US Equity","ARDR_NON_GAAP_OPERATING_EXPENSES","FQ1 2022","FQ1 2022","Currency=USD","Period=FQ","BEST_FPERIOD_OVERRIDE=FQ","FILING_STATUS=MR","SCALING_FORMAT=MLN","Sort=A","Dates=H","DateFormat=P","Fill=—","Direction=H","UseDPDF=Y")</f>
        <v>3098</v>
      </c>
      <c r="Q82" s="13">
        <f>_xll.BDH("AMGN US Equity","ARDR_NON_GAAP_OPERATING_EXPENSES","FQ2 2022","FQ2 2022","Currency=USD","Period=FQ","BEST_FPERIOD_OVERRIDE=FQ","FILING_STATUS=MR","SCALING_FORMAT=MLN","Sort=A","Dates=H","DateFormat=P","Fill=—","Direction=H","UseDPDF=Y")</f>
        <v>3259</v>
      </c>
      <c r="R82" s="13">
        <f>_xll.BDH("AMGN US Equity","ARDR_NON_GAAP_OPERATING_EXPENSES","FQ3 2022","FQ3 2022","Currency=USD","Period=FQ","BEST_FPERIOD_OVERRIDE=FQ","FILING_STATUS=MR","SCALING_FORMAT=MLN","Sort=A","Dates=H","DateFormat=P","Fill=—","Direction=H","UseDPDF=Y")</f>
        <v>3375</v>
      </c>
      <c r="S82" s="13">
        <f>_xll.BDH("AMGN US Equity","ARDR_NON_GAAP_OPERATING_EXPENSES","FQ4 2022","FQ4 2022","Currency=USD","Period=FQ","BEST_FPERIOD_OVERRIDE=FQ","FILING_STATUS=MR","SCALING_FORMAT=MLN","Sort=A","Dates=H","DateFormat=P","Fill=—","Direction=H","UseDPDF=Y")</f>
        <v>3830</v>
      </c>
      <c r="T82" s="13">
        <f>_xll.BDH("AMGN US Equity","ARDR_NON_GAAP_OPERATING_EXPENSES","FQ1 2023","FQ1 2023","Currency=USD","Period=FQ","BEST_FPERIOD_OVERRIDE=FQ","FILING_STATUS=MR","SCALING_FORMAT=MLN","Sort=A","Dates=H","DateFormat=P","Fill=—","Direction=H","UseDPDF=Y")</f>
        <v>3284</v>
      </c>
      <c r="U82" s="13">
        <f>_xll.BDH("AMGN US Equity","ARDR_NON_GAAP_OPERATING_EXPENSES","FQ2 2023","FQ2 2023","Currency=USD","Period=FQ","BEST_FPERIOD_OVERRIDE=FQ","FILING_STATUS=MR","SCALING_FORMAT=MLN","Sort=A","Dates=H","DateFormat=P","Fill=—","Direction=H","UseDPDF=Y")</f>
        <v>3471</v>
      </c>
      <c r="V82" s="13">
        <f>_xll.BDH("AMGN US Equity","ARDR_NON_GAAP_OPERATING_EXPENSES","FQ3 2023","FQ3 2023","Currency=USD","Period=FQ","BEST_FPERIOD_OVERRIDE=FQ","FILING_STATUS=MR","SCALING_FORMAT=MLN","Sort=A","Dates=H","DateFormat=P","Fill=—","Direction=H","UseDPDF=Y")</f>
        <v>3500</v>
      </c>
      <c r="W82" s="13">
        <f>_xll.BDH("AMGN US Equity","ARDR_NON_GAAP_OPERATING_EXPENSES","FQ4 2023","FQ4 2023","Currency=USD","Period=FQ","BEST_FPERIOD_OVERRIDE=FQ","FILING_STATUS=MR","SCALING_FORMAT=MLN","Sort=A","Dates=H","DateFormat=P","Fill=—","Direction=H","UseDPDF=Y")</f>
        <v>4536</v>
      </c>
      <c r="X82" s="13">
        <f>_xll.BDH("AMGN US Equity","ARDR_NON_GAAP_OPERATING_EXPENSES","FQ1 2024","FQ1 2024","Currency=USD","Period=FQ","BEST_FPERIOD_OVERRIDE=FQ","FILING_STATUS=MR","SCALING_FORMAT=MLN","Sort=A","Dates=H","DateFormat=P","Fill=—","Direction=H","UseDPDF=Y")</f>
        <v>4369</v>
      </c>
      <c r="Y82" s="13">
        <f>_xll.BDH("AMGN US Equity","ARDR_NON_GAAP_OPERATING_EXPENSES","FQ2 2024","FQ2 2024","Currency=USD","Period=FQ","BEST_FPERIOD_OVERRIDE=FQ","FILING_STATUS=MR","SCALING_FORMAT=MLN","Sort=A","Dates=H","DateFormat=P","Fill=—","Direction=H","UseDPDF=Y")</f>
        <v>4515</v>
      </c>
      <c r="Z82" s="13">
        <f>_xll.BDH("AMGN US Equity","ARDR_NON_GAAP_OPERATING_EXPENSES","FQ3 2024","FQ3 2024","Currency=USD","Period=FQ","BEST_FPERIOD_OVERRIDE=FQ","FILING_STATUS=MR","SCALING_FORMAT=MLN","Sort=A","Dates=H","DateFormat=P","Fill=—","Direction=H","UseDPDF=Y")</f>
        <v>4459</v>
      </c>
      <c r="AA82" s="13">
        <f>_xll.BDH("AMGN US Equity","ARDR_NON_GAAP_OPERATING_EXPENSES","FQ4 2024","FQ4 2024","Currency=USD","Period=FQ","BEST_FPERIOD_OVERRIDE=FQ","FILING_STATUS=MR","SCALING_FORMAT=MLN","Sort=A","Dates=H","DateFormat=P","Fill=—","Direction=H","UseDPDF=Y")</f>
        <v>5053</v>
      </c>
    </row>
    <row r="83" spans="1:27" x14ac:dyDescent="0.25">
      <c r="A83" s="10" t="s">
        <v>542</v>
      </c>
      <c r="B83" s="10" t="s">
        <v>543</v>
      </c>
      <c r="C83" s="13" t="str">
        <f>_xll.BDH("AMGN US Equity","ARDR_NON_GAAP_INTEREST_INC_NET","FQ4 2018","FQ4 2018","Currency=USD","Period=FQ","BEST_FPERIOD_OVERRIDE=FQ","FILING_STATUS=MR","SCALING_FORMAT=MLN","Sort=A","Dates=H","DateFormat=P","Fill=—","Direction=H","UseDPDF=Y")</f>
        <v>—</v>
      </c>
      <c r="D83" s="13" t="str">
        <f>_xll.BDH("AMGN US Equity","ARDR_NON_GAAP_INTEREST_INC_NET","FQ1 2019","FQ1 2019","Currency=USD","Period=FQ","BEST_FPERIOD_OVERRIDE=FQ","FILING_STATUS=MR","SCALING_FORMAT=MLN","Sort=A","Dates=H","DateFormat=P","Fill=—","Direction=H","UseDPDF=Y")</f>
        <v>—</v>
      </c>
      <c r="E83" s="13" t="str">
        <f>_xll.BDH("AMGN US Equity","ARDR_NON_GAAP_INTEREST_INC_NET","FQ2 2019","FQ2 2019","Currency=USD","Period=FQ","BEST_FPERIOD_OVERRIDE=FQ","FILING_STATUS=MR","SCALING_FORMAT=MLN","Sort=A","Dates=H","DateFormat=P","Fill=—","Direction=H","UseDPDF=Y")</f>
        <v>—</v>
      </c>
      <c r="F83" s="13" t="str">
        <f>_xll.BDH("AMGN US Equity","ARDR_NON_GAAP_INTEREST_INC_NET","FQ3 2019","FQ3 2019","Currency=USD","Period=FQ","BEST_FPERIOD_OVERRIDE=FQ","FILING_STATUS=MR","SCALING_FORMAT=MLN","Sort=A","Dates=H","DateFormat=P","Fill=—","Direction=H","UseDPDF=Y")</f>
        <v>—</v>
      </c>
      <c r="G83" s="13" t="str">
        <f>_xll.BDH("AMGN US Equity","ARDR_NON_GAAP_INTEREST_INC_NET","FQ4 2019","FQ4 2019","Currency=USD","Period=FQ","BEST_FPERIOD_OVERRIDE=FQ","FILING_STATUS=MR","SCALING_FORMAT=MLN","Sort=A","Dates=H","DateFormat=P","Fill=—","Direction=H","UseDPDF=Y")</f>
        <v>—</v>
      </c>
      <c r="H83" s="13" t="str">
        <f>_xll.BDH("AMGN US Equity","ARDR_NON_GAAP_INTEREST_INC_NET","FQ1 2020","FQ1 2020","Currency=USD","Period=FQ","BEST_FPERIOD_OVERRIDE=FQ","FILING_STATUS=MR","SCALING_FORMAT=MLN","Sort=A","Dates=H","DateFormat=P","Fill=—","Direction=H","UseDPDF=Y")</f>
        <v>—</v>
      </c>
      <c r="I83" s="13" t="str">
        <f>_xll.BDH("AMGN US Equity","ARDR_NON_GAAP_INTEREST_INC_NET","FQ2 2020","FQ2 2020","Currency=USD","Period=FQ","BEST_FPERIOD_OVERRIDE=FQ","FILING_STATUS=MR","SCALING_FORMAT=MLN","Sort=A","Dates=H","DateFormat=P","Fill=—","Direction=H","UseDPDF=Y")</f>
        <v>—</v>
      </c>
      <c r="J83" s="13" t="str">
        <f>_xll.BDH("AMGN US Equity","ARDR_NON_GAAP_INTEREST_INC_NET","FQ3 2020","FQ3 2020","Currency=USD","Period=FQ","BEST_FPERIOD_OVERRIDE=FQ","FILING_STATUS=MR","SCALING_FORMAT=MLN","Sort=A","Dates=H","DateFormat=P","Fill=—","Direction=H","UseDPDF=Y")</f>
        <v>—</v>
      </c>
      <c r="K83" s="13" t="str">
        <f>_xll.BDH("AMGN US Equity","ARDR_NON_GAAP_INTEREST_INC_NET","FQ4 2020","FQ4 2020","Currency=USD","Period=FQ","BEST_FPERIOD_OVERRIDE=FQ","FILING_STATUS=MR","SCALING_FORMAT=MLN","Sort=A","Dates=H","DateFormat=P","Fill=—","Direction=H","UseDPDF=Y")</f>
        <v>—</v>
      </c>
      <c r="L83" s="13" t="str">
        <f>_xll.BDH("AMGN US Equity","ARDR_NON_GAAP_INTEREST_INC_NET","FQ1 2021","FQ1 2021","Currency=USD","Period=FQ","BEST_FPERIOD_OVERRIDE=FQ","FILING_STATUS=MR","SCALING_FORMAT=MLN","Sort=A","Dates=H","DateFormat=P","Fill=—","Direction=H","UseDPDF=Y")</f>
        <v>—</v>
      </c>
      <c r="M83" s="13" t="str">
        <f>_xll.BDH("AMGN US Equity","ARDR_NON_GAAP_INTEREST_INC_NET","FQ2 2021","FQ2 2021","Currency=USD","Period=FQ","BEST_FPERIOD_OVERRIDE=FQ","FILING_STATUS=MR","SCALING_FORMAT=MLN","Sort=A","Dates=H","DateFormat=P","Fill=—","Direction=H","UseDPDF=Y")</f>
        <v>—</v>
      </c>
      <c r="N83" s="13" t="str">
        <f>_xll.BDH("AMGN US Equity","ARDR_NON_GAAP_INTEREST_INC_NET","FQ3 2021","FQ3 2021","Currency=USD","Period=FQ","BEST_FPERIOD_OVERRIDE=FQ","FILING_STATUS=MR","SCALING_FORMAT=MLN","Sort=A","Dates=H","DateFormat=P","Fill=—","Direction=H","UseDPDF=Y")</f>
        <v>—</v>
      </c>
      <c r="O83" s="13" t="str">
        <f>_xll.BDH("AMGN US Equity","ARDR_NON_GAAP_INTEREST_INC_NET","FQ4 2021","FQ4 2021","Currency=USD","Period=FQ","BEST_FPERIOD_OVERRIDE=FQ","FILING_STATUS=MR","SCALING_FORMAT=MLN","Sort=A","Dates=H","DateFormat=P","Fill=—","Direction=H","UseDPDF=Y")</f>
        <v>—</v>
      </c>
      <c r="P83" s="13" t="str">
        <f>_xll.BDH("AMGN US Equity","ARDR_NON_GAAP_INTEREST_INC_NET","FQ1 2022","FQ1 2022","Currency=USD","Period=FQ","BEST_FPERIOD_OVERRIDE=FQ","FILING_STATUS=MR","SCALING_FORMAT=MLN","Sort=A","Dates=H","DateFormat=P","Fill=—","Direction=H","UseDPDF=Y")</f>
        <v>—</v>
      </c>
      <c r="Q83" s="13" t="str">
        <f>_xll.BDH("AMGN US Equity","ARDR_NON_GAAP_INTEREST_INC_NET","FQ2 2022","FQ2 2022","Currency=USD","Period=FQ","BEST_FPERIOD_OVERRIDE=FQ","FILING_STATUS=MR","SCALING_FORMAT=MLN","Sort=A","Dates=H","DateFormat=P","Fill=—","Direction=H","UseDPDF=Y")</f>
        <v>—</v>
      </c>
      <c r="R83" s="13" t="str">
        <f>_xll.BDH("AMGN US Equity","ARDR_NON_GAAP_INTEREST_INC_NET","FQ3 2022","FQ3 2022","Currency=USD","Period=FQ","BEST_FPERIOD_OVERRIDE=FQ","FILING_STATUS=MR","SCALING_FORMAT=MLN","Sort=A","Dates=H","DateFormat=P","Fill=—","Direction=H","UseDPDF=Y")</f>
        <v>—</v>
      </c>
      <c r="S83" s="13" t="str">
        <f>_xll.BDH("AMGN US Equity","ARDR_NON_GAAP_INTEREST_INC_NET","FQ4 2022","FQ4 2022","Currency=USD","Period=FQ","BEST_FPERIOD_OVERRIDE=FQ","FILING_STATUS=MR","SCALING_FORMAT=MLN","Sort=A","Dates=H","DateFormat=P","Fill=—","Direction=H","UseDPDF=Y")</f>
        <v>—</v>
      </c>
      <c r="T83" s="13" t="str">
        <f>_xll.BDH("AMGN US Equity","ARDR_NON_GAAP_INTEREST_INC_NET","FQ1 2023","FQ1 2023","Currency=USD","Period=FQ","BEST_FPERIOD_OVERRIDE=FQ","FILING_STATUS=MR","SCALING_FORMAT=MLN","Sort=A","Dates=H","DateFormat=P","Fill=—","Direction=H","UseDPDF=Y")</f>
        <v>—</v>
      </c>
      <c r="U83" s="13">
        <f>_xll.BDH("AMGN US Equity","ARDR_NON_GAAP_INTEREST_INC_NET","FQ2 2023","FQ2 2023","Currency=USD","Period=FQ","BEST_FPERIOD_OVERRIDE=FQ","FILING_STATUS=MR","SCALING_FORMAT=MLN","Sort=A","Dates=H","DateFormat=P","Fill=—","Direction=H","UseDPDF=Y")</f>
        <v>419</v>
      </c>
      <c r="V83" s="13" t="str">
        <f>_xll.BDH("AMGN US Equity","ARDR_NON_GAAP_INTEREST_INC_NET","FQ3 2023","FQ3 2023","Currency=USD","Period=FQ","BEST_FPERIOD_OVERRIDE=FQ","FILING_STATUS=MR","SCALING_FORMAT=MLN","Sort=A","Dates=H","DateFormat=P","Fill=—","Direction=H","UseDPDF=Y")</f>
        <v>—</v>
      </c>
      <c r="W83" s="13" t="str">
        <f>_xll.BDH("AMGN US Equity","ARDR_NON_GAAP_INTEREST_INC_NET","FQ4 2023","FQ4 2023","Currency=USD","Period=FQ","BEST_FPERIOD_OVERRIDE=FQ","FILING_STATUS=MR","SCALING_FORMAT=MLN","Sort=A","Dates=H","DateFormat=P","Fill=—","Direction=H","UseDPDF=Y")</f>
        <v>—</v>
      </c>
      <c r="X83" s="13" t="str">
        <f>_xll.BDH("AMGN US Equity","ARDR_NON_GAAP_INTEREST_INC_NET","FQ1 2024","FQ1 2024","Currency=USD","Period=FQ","BEST_FPERIOD_OVERRIDE=FQ","FILING_STATUS=MR","SCALING_FORMAT=MLN","Sort=A","Dates=H","DateFormat=P","Fill=—","Direction=H","UseDPDF=Y")</f>
        <v>—</v>
      </c>
      <c r="Y83" s="13">
        <f>_xll.BDH("AMGN US Equity","ARDR_NON_GAAP_INTEREST_INC_NET","FQ2 2024","FQ2 2024","Currency=USD","Period=FQ","BEST_FPERIOD_OVERRIDE=FQ","FILING_STATUS=MR","SCALING_FORMAT=MLN","Sort=A","Dates=H","DateFormat=P","Fill=—","Direction=H","UseDPDF=Y")</f>
        <v>808</v>
      </c>
      <c r="Z83" s="13" t="str">
        <f>_xll.BDH("AMGN US Equity","ARDR_NON_GAAP_INTEREST_INC_NET","FQ3 2024","FQ3 2024","Currency=USD","Period=FQ","BEST_FPERIOD_OVERRIDE=FQ","FILING_STATUS=MR","SCALING_FORMAT=MLN","Sort=A","Dates=H","DateFormat=P","Fill=—","Direction=H","UseDPDF=Y")</f>
        <v>—</v>
      </c>
      <c r="AA83" s="13" t="str">
        <f>_xll.BDH("AMGN US Equity","ARDR_NON_GAAP_INTEREST_INC_NET","FQ4 2024","FQ4 2024","Currency=USD","Period=FQ","BEST_FPERIOD_OVERRIDE=FQ","FILING_STATUS=MR","SCALING_FORMAT=MLN","Sort=A","Dates=H","DateFormat=P","Fill=—","Direction=H","UseDPDF=Y")</f>
        <v>—</v>
      </c>
    </row>
    <row r="84" spans="1:27" x14ac:dyDescent="0.25">
      <c r="A84" s="10" t="s">
        <v>544</v>
      </c>
      <c r="B84" s="10" t="s">
        <v>545</v>
      </c>
      <c r="C84" s="13" t="str">
        <f>_xll.BDH("AMGN US Equity","ARDR_NON_GAAP_INTEREST_EXPENSE","FQ4 2018","FQ4 2018","Currency=USD","Period=FQ","BEST_FPERIOD_OVERRIDE=FQ","FILING_STATUS=MR","SCALING_FORMAT=MLN","Sort=A","Dates=H","DateFormat=P","Fill=—","Direction=H","UseDPDF=Y")</f>
        <v>—</v>
      </c>
      <c r="D84" s="13" t="str">
        <f>_xll.BDH("AMGN US Equity","ARDR_NON_GAAP_INTEREST_EXPENSE","FQ1 2019","FQ1 2019","Currency=USD","Period=FQ","BEST_FPERIOD_OVERRIDE=FQ","FILING_STATUS=MR","SCALING_FORMAT=MLN","Sort=A","Dates=H","DateFormat=P","Fill=—","Direction=H","UseDPDF=Y")</f>
        <v>—</v>
      </c>
      <c r="E84" s="13" t="str">
        <f>_xll.BDH("AMGN US Equity","ARDR_NON_GAAP_INTEREST_EXPENSE","FQ2 2019","FQ2 2019","Currency=USD","Period=FQ","BEST_FPERIOD_OVERRIDE=FQ","FILING_STATUS=MR","SCALING_FORMAT=MLN","Sort=A","Dates=H","DateFormat=P","Fill=—","Direction=H","UseDPDF=Y")</f>
        <v>—</v>
      </c>
      <c r="F84" s="13" t="str">
        <f>_xll.BDH("AMGN US Equity","ARDR_NON_GAAP_INTEREST_EXPENSE","FQ3 2019","FQ3 2019","Currency=USD","Period=FQ","BEST_FPERIOD_OVERRIDE=FQ","FILING_STATUS=MR","SCALING_FORMAT=MLN","Sort=A","Dates=H","DateFormat=P","Fill=—","Direction=H","UseDPDF=Y")</f>
        <v>—</v>
      </c>
      <c r="G84" s="13" t="str">
        <f>_xll.BDH("AMGN US Equity","ARDR_NON_GAAP_INTEREST_EXPENSE","FQ4 2019","FQ4 2019","Currency=USD","Period=FQ","BEST_FPERIOD_OVERRIDE=FQ","FILING_STATUS=MR","SCALING_FORMAT=MLN","Sort=A","Dates=H","DateFormat=P","Fill=—","Direction=H","UseDPDF=Y")</f>
        <v>—</v>
      </c>
      <c r="H84" s="13" t="str">
        <f>_xll.BDH("AMGN US Equity","ARDR_NON_GAAP_INTEREST_EXPENSE","FQ1 2020","FQ1 2020","Currency=USD","Period=FQ","BEST_FPERIOD_OVERRIDE=FQ","FILING_STATUS=MR","SCALING_FORMAT=MLN","Sort=A","Dates=H","DateFormat=P","Fill=—","Direction=H","UseDPDF=Y")</f>
        <v>—</v>
      </c>
      <c r="I84" s="13" t="str">
        <f>_xll.BDH("AMGN US Equity","ARDR_NON_GAAP_INTEREST_EXPENSE","FQ2 2020","FQ2 2020","Currency=USD","Period=FQ","BEST_FPERIOD_OVERRIDE=FQ","FILING_STATUS=MR","SCALING_FORMAT=MLN","Sort=A","Dates=H","DateFormat=P","Fill=—","Direction=H","UseDPDF=Y")</f>
        <v>—</v>
      </c>
      <c r="J84" s="13" t="str">
        <f>_xll.BDH("AMGN US Equity","ARDR_NON_GAAP_INTEREST_EXPENSE","FQ3 2020","FQ3 2020","Currency=USD","Period=FQ","BEST_FPERIOD_OVERRIDE=FQ","FILING_STATUS=MR","SCALING_FORMAT=MLN","Sort=A","Dates=H","DateFormat=P","Fill=—","Direction=H","UseDPDF=Y")</f>
        <v>—</v>
      </c>
      <c r="K84" s="13" t="str">
        <f>_xll.BDH("AMGN US Equity","ARDR_NON_GAAP_INTEREST_EXPENSE","FQ4 2020","FQ4 2020","Currency=USD","Period=FQ","BEST_FPERIOD_OVERRIDE=FQ","FILING_STATUS=MR","SCALING_FORMAT=MLN","Sort=A","Dates=H","DateFormat=P","Fill=—","Direction=H","UseDPDF=Y")</f>
        <v>—</v>
      </c>
      <c r="L84" s="13" t="str">
        <f>_xll.BDH("AMGN US Equity","ARDR_NON_GAAP_INTEREST_EXPENSE","FQ1 2021","FQ1 2021","Currency=USD","Period=FQ","BEST_FPERIOD_OVERRIDE=FQ","FILING_STATUS=MR","SCALING_FORMAT=MLN","Sort=A","Dates=H","DateFormat=P","Fill=—","Direction=H","UseDPDF=Y")</f>
        <v>—</v>
      </c>
      <c r="M84" s="13" t="str">
        <f>_xll.BDH("AMGN US Equity","ARDR_NON_GAAP_INTEREST_EXPENSE","FQ2 2021","FQ2 2021","Currency=USD","Period=FQ","BEST_FPERIOD_OVERRIDE=FQ","FILING_STATUS=MR","SCALING_FORMAT=MLN","Sort=A","Dates=H","DateFormat=P","Fill=—","Direction=H","UseDPDF=Y")</f>
        <v>—</v>
      </c>
      <c r="N84" s="13" t="str">
        <f>_xll.BDH("AMGN US Equity","ARDR_NON_GAAP_INTEREST_EXPENSE","FQ3 2021","FQ3 2021","Currency=USD","Period=FQ","BEST_FPERIOD_OVERRIDE=FQ","FILING_STATUS=MR","SCALING_FORMAT=MLN","Sort=A","Dates=H","DateFormat=P","Fill=—","Direction=H","UseDPDF=Y")</f>
        <v>—</v>
      </c>
      <c r="O84" s="13" t="str">
        <f>_xll.BDH("AMGN US Equity","ARDR_NON_GAAP_INTEREST_EXPENSE","FQ4 2021","FQ4 2021","Currency=USD","Period=FQ","BEST_FPERIOD_OVERRIDE=FQ","FILING_STATUS=MR","SCALING_FORMAT=MLN","Sort=A","Dates=H","DateFormat=P","Fill=—","Direction=H","UseDPDF=Y")</f>
        <v>—</v>
      </c>
      <c r="P84" s="13" t="str">
        <f>_xll.BDH("AMGN US Equity","ARDR_NON_GAAP_INTEREST_EXPENSE","FQ1 2022","FQ1 2022","Currency=USD","Period=FQ","BEST_FPERIOD_OVERRIDE=FQ","FILING_STATUS=MR","SCALING_FORMAT=MLN","Sort=A","Dates=H","DateFormat=P","Fill=—","Direction=H","UseDPDF=Y")</f>
        <v>—</v>
      </c>
      <c r="Q84" s="13" t="str">
        <f>_xll.BDH("AMGN US Equity","ARDR_NON_GAAP_INTEREST_EXPENSE","FQ2 2022","FQ2 2022","Currency=USD","Period=FQ","BEST_FPERIOD_OVERRIDE=FQ","FILING_STATUS=MR","SCALING_FORMAT=MLN","Sort=A","Dates=H","DateFormat=P","Fill=—","Direction=H","UseDPDF=Y")</f>
        <v>—</v>
      </c>
      <c r="R84" s="13" t="str">
        <f>_xll.BDH("AMGN US Equity","ARDR_NON_GAAP_INTEREST_EXPENSE","FQ3 2022","FQ3 2022","Currency=USD","Period=FQ","BEST_FPERIOD_OVERRIDE=FQ","FILING_STATUS=MR","SCALING_FORMAT=MLN","Sort=A","Dates=H","DateFormat=P","Fill=—","Direction=H","UseDPDF=Y")</f>
        <v>—</v>
      </c>
      <c r="S84" s="13" t="str">
        <f>_xll.BDH("AMGN US Equity","ARDR_NON_GAAP_INTEREST_EXPENSE","FQ4 2022","FQ4 2022","Currency=USD","Period=FQ","BEST_FPERIOD_OVERRIDE=FQ","FILING_STATUS=MR","SCALING_FORMAT=MLN","Sort=A","Dates=H","DateFormat=P","Fill=—","Direction=H","UseDPDF=Y")</f>
        <v>—</v>
      </c>
      <c r="T84" s="13">
        <f>_xll.BDH("AMGN US Equity","ARDR_NON_GAAP_INTEREST_EXPENSE","FQ1 2023","FQ1 2023","Currency=USD","Period=FQ","BEST_FPERIOD_OVERRIDE=FQ","FILING_STATUS=MR","SCALING_FORMAT=MLN","Sort=A","Dates=H","DateFormat=P","Fill=—","Direction=H","UseDPDF=Y")</f>
        <v>420</v>
      </c>
      <c r="U84" s="13">
        <f>_xll.BDH("AMGN US Equity","ARDR_NON_GAAP_INTEREST_EXPENSE","FQ2 2023","FQ2 2023","Currency=USD","Period=FQ","BEST_FPERIOD_OVERRIDE=FQ","FILING_STATUS=MR","SCALING_FORMAT=MLN","Sort=A","Dates=H","DateFormat=P","Fill=—","Direction=H","UseDPDF=Y")</f>
        <v>419</v>
      </c>
      <c r="V84" s="13">
        <f>_xll.BDH("AMGN US Equity","ARDR_NON_GAAP_INTEREST_EXPENSE","FQ3 2023","FQ3 2023","Currency=USD","Period=FQ","BEST_FPERIOD_OVERRIDE=FQ","FILING_STATUS=MR","SCALING_FORMAT=MLN","Sort=A","Dates=H","DateFormat=P","Fill=—","Direction=H","UseDPDF=Y")</f>
        <v>427</v>
      </c>
      <c r="W84" s="13" t="str">
        <f>_xll.BDH("AMGN US Equity","ARDR_NON_GAAP_INTEREST_EXPENSE","FQ4 2023","FQ4 2023","Currency=USD","Period=FQ","BEST_FPERIOD_OVERRIDE=FQ","FILING_STATUS=MR","SCALING_FORMAT=MLN","Sort=A","Dates=H","DateFormat=P","Fill=—","Direction=H","UseDPDF=Y")</f>
        <v>—</v>
      </c>
      <c r="X84" s="13">
        <f>_xll.BDH("AMGN US Equity","ARDR_NON_GAAP_INTEREST_EXPENSE","FQ1 2024","FQ1 2024","Currency=USD","Period=FQ","BEST_FPERIOD_OVERRIDE=FQ","FILING_STATUS=MR","SCALING_FORMAT=MLN","Sort=A","Dates=H","DateFormat=P","Fill=—","Direction=H","UseDPDF=Y")</f>
        <v>824</v>
      </c>
      <c r="Y84" s="13">
        <f>_xll.BDH("AMGN US Equity","ARDR_NON_GAAP_INTEREST_EXPENSE","FQ2 2024","FQ2 2024","Currency=USD","Period=FQ","BEST_FPERIOD_OVERRIDE=FQ","FILING_STATUS=MR","SCALING_FORMAT=MLN","Sort=A","Dates=H","DateFormat=P","Fill=—","Direction=H","UseDPDF=Y")</f>
        <v>808</v>
      </c>
      <c r="Z84" s="13">
        <f>_xll.BDH("AMGN US Equity","ARDR_NON_GAAP_INTEREST_EXPENSE","FQ3 2024","FQ3 2024","Currency=USD","Period=FQ","BEST_FPERIOD_OVERRIDE=FQ","FILING_STATUS=MR","SCALING_FORMAT=MLN","Sort=A","Dates=H","DateFormat=P","Fill=—","Direction=H","UseDPDF=Y")</f>
        <v>776</v>
      </c>
      <c r="AA84" s="13" t="str">
        <f>_xll.BDH("AMGN US Equity","ARDR_NON_GAAP_INTEREST_EXPENSE","FQ4 2024","FQ4 2024","Currency=USD","Period=FQ","BEST_FPERIOD_OVERRIDE=FQ","FILING_STATUS=MR","SCALING_FORMAT=MLN","Sort=A","Dates=H","DateFormat=P","Fill=—","Direction=H","UseDPDF=Y")</f>
        <v>—</v>
      </c>
    </row>
    <row r="85" spans="1:27" x14ac:dyDescent="0.25">
      <c r="A85" s="10" t="s">
        <v>546</v>
      </c>
      <c r="B85" s="10" t="s">
        <v>547</v>
      </c>
      <c r="C85" s="13" t="str">
        <f>_xll.BDH("AMGN US Equity","ARDR_NON_GAAP_OTHER_INCOME","FQ4 2018","FQ4 2018","Currency=USD","Period=FQ","BEST_FPERIOD_OVERRIDE=FQ","FILING_STATUS=MR","SCALING_FORMAT=MLN","Sort=A","Dates=H","DateFormat=P","Fill=—","Direction=H","UseDPDF=Y")</f>
        <v>—</v>
      </c>
      <c r="D85" s="13" t="str">
        <f>_xll.BDH("AMGN US Equity","ARDR_NON_GAAP_OTHER_INCOME","FQ1 2019","FQ1 2019","Currency=USD","Period=FQ","BEST_FPERIOD_OVERRIDE=FQ","FILING_STATUS=MR","SCALING_FORMAT=MLN","Sort=A","Dates=H","DateFormat=P","Fill=—","Direction=H","UseDPDF=Y")</f>
        <v>—</v>
      </c>
      <c r="E85" s="13" t="str">
        <f>_xll.BDH("AMGN US Equity","ARDR_NON_GAAP_OTHER_INCOME","FQ2 2019","FQ2 2019","Currency=USD","Period=FQ","BEST_FPERIOD_OVERRIDE=FQ","FILING_STATUS=MR","SCALING_FORMAT=MLN","Sort=A","Dates=H","DateFormat=P","Fill=—","Direction=H","UseDPDF=Y")</f>
        <v>—</v>
      </c>
      <c r="F85" s="13" t="str">
        <f>_xll.BDH("AMGN US Equity","ARDR_NON_GAAP_OTHER_INCOME","FQ3 2019","FQ3 2019","Currency=USD","Period=FQ","BEST_FPERIOD_OVERRIDE=FQ","FILING_STATUS=MR","SCALING_FORMAT=MLN","Sort=A","Dates=H","DateFormat=P","Fill=—","Direction=H","UseDPDF=Y")</f>
        <v>—</v>
      </c>
      <c r="G85" s="13" t="str">
        <f>_xll.BDH("AMGN US Equity","ARDR_NON_GAAP_OTHER_INCOME","FQ4 2019","FQ4 2019","Currency=USD","Period=FQ","BEST_FPERIOD_OVERRIDE=FQ","FILING_STATUS=MR","SCALING_FORMAT=MLN","Sort=A","Dates=H","DateFormat=P","Fill=—","Direction=H","UseDPDF=Y")</f>
        <v>—</v>
      </c>
      <c r="H85" s="13" t="str">
        <f>_xll.BDH("AMGN US Equity","ARDR_NON_GAAP_OTHER_INCOME","FQ1 2020","FQ1 2020","Currency=USD","Period=FQ","BEST_FPERIOD_OVERRIDE=FQ","FILING_STATUS=MR","SCALING_FORMAT=MLN","Sort=A","Dates=H","DateFormat=P","Fill=—","Direction=H","UseDPDF=Y")</f>
        <v>—</v>
      </c>
      <c r="I85" s="13">
        <f>_xll.BDH("AMGN US Equity","ARDR_NON_GAAP_OTHER_INCOME","FQ2 2020","FQ2 2020","Currency=USD","Period=FQ","BEST_FPERIOD_OVERRIDE=FQ","FILING_STATUS=MR","SCALING_FORMAT=MLN","Sort=A","Dates=H","DateFormat=P","Fill=—","Direction=H","UseDPDF=Y")</f>
        <v>-77</v>
      </c>
      <c r="J85" s="13" t="str">
        <f>_xll.BDH("AMGN US Equity","ARDR_NON_GAAP_OTHER_INCOME","FQ3 2020","FQ3 2020","Currency=USD","Period=FQ","BEST_FPERIOD_OVERRIDE=FQ","FILING_STATUS=MR","SCALING_FORMAT=MLN","Sort=A","Dates=H","DateFormat=P","Fill=—","Direction=H","UseDPDF=Y")</f>
        <v>—</v>
      </c>
      <c r="K85" s="13" t="str">
        <f>_xll.BDH("AMGN US Equity","ARDR_NON_GAAP_OTHER_INCOME","FQ4 2020","FQ4 2020","Currency=USD","Period=FQ","BEST_FPERIOD_OVERRIDE=FQ","FILING_STATUS=MR","SCALING_FORMAT=MLN","Sort=A","Dates=H","DateFormat=P","Fill=—","Direction=H","UseDPDF=Y")</f>
        <v>—</v>
      </c>
      <c r="L85" s="13">
        <f>_xll.BDH("AMGN US Equity","ARDR_NON_GAAP_OTHER_INCOME","FQ1 2021","FQ1 2021","Currency=USD","Period=FQ","BEST_FPERIOD_OVERRIDE=FQ","FILING_STATUS=MR","SCALING_FORMAT=MLN","Sort=A","Dates=H","DateFormat=P","Fill=—","Direction=H","UseDPDF=Y")</f>
        <v>-90</v>
      </c>
      <c r="M85" s="13">
        <f>_xll.BDH("AMGN US Equity","ARDR_NON_GAAP_OTHER_INCOME","FQ2 2021","FQ2 2021","Currency=USD","Period=FQ","BEST_FPERIOD_OVERRIDE=FQ","FILING_STATUS=MR","SCALING_FORMAT=MLN","Sort=A","Dates=H","DateFormat=P","Fill=—","Direction=H","UseDPDF=Y")</f>
        <v>54</v>
      </c>
      <c r="N85" s="13">
        <f>_xll.BDH("AMGN US Equity","ARDR_NON_GAAP_OTHER_INCOME","FQ3 2021","FQ3 2021","Currency=USD","Period=FQ","BEST_FPERIOD_OVERRIDE=FQ","FILING_STATUS=MR","SCALING_FORMAT=MLN","Sort=A","Dates=H","DateFormat=P","Fill=—","Direction=H","UseDPDF=Y")</f>
        <v>-74</v>
      </c>
      <c r="O85" s="13">
        <f>_xll.BDH("AMGN US Equity","ARDR_NON_GAAP_OTHER_INCOME","FQ4 2021","FQ4 2021","Currency=USD","Period=FQ","BEST_FPERIOD_OVERRIDE=FQ","FILING_STATUS=MR","SCALING_FORMAT=MLN","Sort=A","Dates=H","DateFormat=P","Fill=—","Direction=H","UseDPDF=Y")</f>
        <v>121</v>
      </c>
      <c r="P85" s="13">
        <f>_xll.BDH("AMGN US Equity","ARDR_NON_GAAP_OTHER_INCOME","FQ1 2022","FQ1 2022","Currency=USD","Period=FQ","BEST_FPERIOD_OVERRIDE=FQ","FILING_STATUS=MR","SCALING_FORMAT=MLN","Sort=A","Dates=H","DateFormat=P","Fill=—","Direction=H","UseDPDF=Y")</f>
        <v>-118</v>
      </c>
      <c r="Q85" s="13">
        <f>_xll.BDH("AMGN US Equity","ARDR_NON_GAAP_OTHER_INCOME","FQ2 2022","FQ2 2022","Currency=USD","Period=FQ","BEST_FPERIOD_OVERRIDE=FQ","FILING_STATUS=MR","SCALING_FORMAT=MLN","Sort=A","Dates=H","DateFormat=P","Fill=—","Direction=H","UseDPDF=Y")</f>
        <v>-82</v>
      </c>
      <c r="R85" s="13">
        <f>_xll.BDH("AMGN US Equity","ARDR_NON_GAAP_OTHER_INCOME","FQ3 2022","FQ3 2022","Currency=USD","Period=FQ","BEST_FPERIOD_OVERRIDE=FQ","FILING_STATUS=MR","SCALING_FORMAT=MLN","Sort=A","Dates=H","DateFormat=P","Fill=—","Direction=H","UseDPDF=Y")</f>
        <v>-3</v>
      </c>
      <c r="S85" s="13">
        <f>_xll.BDH("AMGN US Equity","ARDR_NON_GAAP_OTHER_INCOME","FQ4 2022","FQ4 2022","Currency=USD","Period=FQ","BEST_FPERIOD_OVERRIDE=FQ","FILING_STATUS=MR","SCALING_FORMAT=MLN","Sort=A","Dates=H","DateFormat=P","Fill=—","Direction=H","UseDPDF=Y")</f>
        <v>-57</v>
      </c>
      <c r="T85" s="13">
        <f>_xll.BDH("AMGN US Equity","ARDR_NON_GAAP_OTHER_INCOME","FQ1 2023","FQ1 2023","Currency=USD","Period=FQ","BEST_FPERIOD_OVERRIDE=FQ","FILING_STATUS=MR","SCALING_FORMAT=MLN","Sort=A","Dates=H","DateFormat=P","Fill=—","Direction=H","UseDPDF=Y")</f>
        <v>205</v>
      </c>
      <c r="U85" s="13">
        <f>_xll.BDH("AMGN US Equity","ARDR_NON_GAAP_OTHER_INCOME","FQ2 2023","FQ2 2023","Currency=USD","Period=FQ","BEST_FPERIOD_OVERRIDE=FQ","FILING_STATUS=MR","SCALING_FORMAT=MLN","Sort=A","Dates=H","DateFormat=P","Fill=—","Direction=H","UseDPDF=Y")</f>
        <v>112</v>
      </c>
      <c r="V85" s="13">
        <f>_xll.BDH("AMGN US Equity","ARDR_NON_GAAP_OTHER_INCOME","FQ3 2023","FQ3 2023","Currency=USD","Period=FQ","BEST_FPERIOD_OVERRIDE=FQ","FILING_STATUS=MR","SCALING_FORMAT=MLN","Sort=A","Dates=H","DateFormat=P","Fill=—","Direction=H","UseDPDF=Y")</f>
        <v>202</v>
      </c>
      <c r="W85" s="13">
        <f>_xll.BDH("AMGN US Equity","ARDR_NON_GAAP_OTHER_INCOME","FQ4 2023","FQ4 2023","Currency=USD","Period=FQ","BEST_FPERIOD_OVERRIDE=FQ","FILING_STATUS=MR","SCALING_FORMAT=MLN","Sort=A","Dates=H","DateFormat=P","Fill=—","Direction=H","UseDPDF=Y")</f>
        <v>167</v>
      </c>
      <c r="X85" s="13">
        <f>_xll.BDH("AMGN US Equity","ARDR_NON_GAAP_OTHER_INCOME","FQ1 2024","FQ1 2024","Currency=USD","Period=FQ","BEST_FPERIOD_OVERRIDE=FQ","FILING_STATUS=MR","SCALING_FORMAT=MLN","Sort=A","Dates=H","DateFormat=P","Fill=—","Direction=H","UseDPDF=Y")</f>
        <v>275</v>
      </c>
      <c r="Y85" s="13">
        <f>_xll.BDH("AMGN US Equity","ARDR_NON_GAAP_OTHER_INCOME","FQ2 2024","FQ2 2024","Currency=USD","Period=FQ","BEST_FPERIOD_OVERRIDE=FQ","FILING_STATUS=MR","SCALING_FORMAT=MLN","Sort=A","Dates=H","DateFormat=P","Fill=—","Direction=H","UseDPDF=Y")</f>
        <v>98</v>
      </c>
      <c r="Z85" s="13">
        <f>_xll.BDH("AMGN US Equity","ARDR_NON_GAAP_OTHER_INCOME","FQ3 2024","FQ3 2024","Currency=USD","Period=FQ","BEST_FPERIOD_OVERRIDE=FQ","FILING_STATUS=MR","SCALING_FORMAT=MLN","Sort=A","Dates=H","DateFormat=P","Fill=—","Direction=H","UseDPDF=Y")</f>
        <v>222</v>
      </c>
      <c r="AA85" s="13">
        <f>_xll.BDH("AMGN US Equity","ARDR_NON_GAAP_OTHER_INCOME","FQ4 2024","FQ4 2024","Currency=USD","Period=FQ","BEST_FPERIOD_OVERRIDE=FQ","FILING_STATUS=MR","SCALING_FORMAT=MLN","Sort=A","Dates=H","DateFormat=P","Fill=—","Direction=H","UseDPDF=Y")</f>
        <v>93</v>
      </c>
    </row>
    <row r="86" spans="1:27" x14ac:dyDescent="0.25">
      <c r="A86" s="10" t="s">
        <v>548</v>
      </c>
      <c r="B86" s="10" t="s">
        <v>549</v>
      </c>
      <c r="C86" s="13">
        <f>_xll.BDH("AMGN US Equity","ARDR_NON_GAAP_PRETAX_INCOME","FQ4 2018","FQ4 2018","Currency=USD","Period=FQ","BEST_FPERIOD_OVERRIDE=FQ","FILING_STATUS=MR","SCALING_FORMAT=MLN","Sort=A","Dates=H","DateFormat=P","Fill=—","Direction=H","UseDPDF=Y")</f>
        <v>2520</v>
      </c>
      <c r="D86" s="13">
        <f>_xll.BDH("AMGN US Equity","ARDR_NON_GAAP_PRETAX_INCOME","FQ1 2019","FQ1 2019","Currency=USD","Period=FQ","BEST_FPERIOD_OVERRIDE=FQ","FILING_STATUS=MR","SCALING_FORMAT=MLN","Sort=A","Dates=H","DateFormat=P","Fill=—","Direction=H","UseDPDF=Y")</f>
        <v>2612</v>
      </c>
      <c r="E86" s="13">
        <f>_xll.BDH("AMGN US Equity","ARDR_NON_GAAP_PRETAX_INCOME","FQ2 2019","FQ2 2019","Currency=USD","Period=FQ","BEST_FPERIOD_OVERRIDE=FQ","FILING_STATUS=MR","SCALING_FORMAT=MLN","Sort=A","Dates=H","DateFormat=P","Fill=—","Direction=H","UseDPDF=Y")</f>
        <v>2859</v>
      </c>
      <c r="F86" s="13">
        <f>_xll.BDH("AMGN US Equity","ARDR_NON_GAAP_PRETAX_INCOME","FQ3 2019","FQ3 2019","Currency=USD","Period=FQ","BEST_FPERIOD_OVERRIDE=FQ","FILING_STATUS=MR","SCALING_FORMAT=MLN","Sort=A","Dates=H","DateFormat=P","Fill=—","Direction=H","UseDPDF=Y")</f>
        <v>2594</v>
      </c>
      <c r="G86" s="13">
        <f>_xll.BDH("AMGN US Equity","ARDR_NON_GAAP_PRETAX_INCOME","FQ4 2019","FQ4 2019","Currency=USD","Period=FQ","BEST_FPERIOD_OVERRIDE=FQ","FILING_STATUS=MR","SCALING_FORMAT=MLN","Sort=A","Dates=H","DateFormat=P","Fill=—","Direction=H","UseDPDF=Y")</f>
        <v>2556</v>
      </c>
      <c r="H86" s="13">
        <f>_xll.BDH("AMGN US Equity","ARDR_NON_GAAP_PRETAX_INCOME","FQ1 2020","FQ1 2020","Currency=USD","Period=FQ","BEST_FPERIOD_OVERRIDE=FQ","FILING_STATUS=MR","SCALING_FORMAT=MLN","Sort=A","Dates=H","DateFormat=P","Fill=—","Direction=H","UseDPDF=Y")</f>
        <v>2880</v>
      </c>
      <c r="I86" s="13">
        <f>_xll.BDH("AMGN US Equity","ARDR_NON_GAAP_PRETAX_INCOME","FQ2 2020","FQ2 2020","Currency=USD","Period=FQ","BEST_FPERIOD_OVERRIDE=FQ","FILING_STATUS=MR","SCALING_FORMAT=MLN","Sort=A","Dates=H","DateFormat=P","Fill=—","Direction=H","UseDPDF=Y")</f>
        <v>2874</v>
      </c>
      <c r="J86" s="13">
        <f>_xll.BDH("AMGN US Equity","ARDR_NON_GAAP_PRETAX_INCOME","FQ3 2020","FQ3 2020","Currency=USD","Period=FQ","BEST_FPERIOD_OVERRIDE=FQ","FILING_STATUS=MR","SCALING_FORMAT=MLN","Sort=A","Dates=H","DateFormat=P","Fill=—","Direction=H","UseDPDF=Y")</f>
        <v>2838</v>
      </c>
      <c r="K86" s="13">
        <f>_xll.BDH("AMGN US Equity","ARDR_NON_GAAP_PRETAX_INCOME","FQ4 2020","FQ4 2020","Currency=USD","Period=FQ","BEST_FPERIOD_OVERRIDE=FQ","FILING_STATUS=MR","SCALING_FORMAT=MLN","Sort=A","Dates=H","DateFormat=P","Fill=—","Direction=H","UseDPDF=Y")</f>
        <v>2634</v>
      </c>
      <c r="L86" s="13">
        <f>_xll.BDH("AMGN US Equity","ARDR_NON_GAAP_PRETAX_INCOME","FQ1 2021","FQ1 2021","Currency=USD","Period=FQ","BEST_FPERIOD_OVERRIDE=FQ","FILING_STATUS=MR","SCALING_FORMAT=MLN","Sort=A","Dates=H","DateFormat=P","Fill=—","Direction=H","UseDPDF=Y")</f>
        <v>2489</v>
      </c>
      <c r="M86" s="13">
        <f>_xll.BDH("AMGN US Equity","ARDR_NON_GAAP_PRETAX_INCOME","FQ2 2021","FQ2 2021","Currency=USD","Period=FQ","BEST_FPERIOD_OVERRIDE=FQ","FILING_STATUS=MR","SCALING_FORMAT=MLN","Sort=A","Dates=H","DateFormat=P","Fill=—","Direction=H","UseDPDF=Y")</f>
        <v>2884</v>
      </c>
      <c r="N86" s="13">
        <f>_xll.BDH("AMGN US Equity","ARDR_NON_GAAP_PRETAX_INCOME","FQ3 2021","FQ3 2021","Currency=USD","Period=FQ","BEST_FPERIOD_OVERRIDE=FQ","FILING_STATUS=MR","SCALING_FORMAT=MLN","Sort=A","Dates=H","DateFormat=P","Fill=—","Direction=H","UseDPDF=Y")</f>
        <v>2682</v>
      </c>
      <c r="O86" s="13">
        <f>_xll.BDH("AMGN US Equity","ARDR_NON_GAAP_PRETAX_INCOME","FQ4 2021","FQ4 2021","Currency=USD","Period=FQ","BEST_FPERIOD_OVERRIDE=FQ","FILING_STATUS=MR","SCALING_FORMAT=MLN","Sort=A","Dates=H","DateFormat=P","Fill=—","Direction=H","UseDPDF=Y")</f>
        <v>2783</v>
      </c>
      <c r="P86" s="13">
        <f>_xll.BDH("AMGN US Equity","ARDR_NON_GAAP_PRETAX_INCOME","FQ1 2022","FQ1 2022","Currency=USD","Period=FQ","BEST_FPERIOD_OVERRIDE=FQ","FILING_STATUS=MR","SCALING_FORMAT=MLN","Sort=A","Dates=H","DateFormat=P","Fill=—","Direction=H","UseDPDF=Y")</f>
        <v>2727</v>
      </c>
      <c r="Q86" s="13">
        <f>_xll.BDH("AMGN US Equity","ARDR_NON_GAAP_PRETAX_INCOME","FQ2 2022","FQ2 2022","Currency=USD","Period=FQ","BEST_FPERIOD_OVERRIDE=FQ","FILING_STATUS=MR","SCALING_FORMAT=MLN","Sort=A","Dates=H","DateFormat=P","Fill=—","Direction=H","UseDPDF=Y")</f>
        <v>2925</v>
      </c>
      <c r="R86" s="13">
        <f>_xll.BDH("AMGN US Equity","ARDR_NON_GAAP_PRETAX_INCOME","FQ3 2022","FQ3 2022","Currency=USD","Period=FQ","BEST_FPERIOD_OVERRIDE=FQ","FILING_STATUS=MR","SCALING_FORMAT=MLN","Sort=A","Dates=H","DateFormat=P","Fill=—","Direction=H","UseDPDF=Y")</f>
        <v>2906</v>
      </c>
      <c r="S86" s="13">
        <f>_xll.BDH("AMGN US Equity","ARDR_NON_GAAP_PRETAX_INCOME","FQ4 2022","FQ4 2022","Currency=USD","Period=FQ","BEST_FPERIOD_OVERRIDE=FQ","FILING_STATUS=MR","SCALING_FORMAT=MLN","Sort=A","Dates=H","DateFormat=P","Fill=—","Direction=H","UseDPDF=Y")</f>
        <v>2542</v>
      </c>
      <c r="T86" s="13">
        <f>_xll.BDH("AMGN US Equity","ARDR_NON_GAAP_PRETAX_INCOME","FQ1 2023","FQ1 2023","Currency=USD","Period=FQ","BEST_FPERIOD_OVERRIDE=FQ","FILING_STATUS=MR","SCALING_FORMAT=MLN","Sort=A","Dates=H","DateFormat=P","Fill=—","Direction=H","UseDPDF=Y")</f>
        <v>2606</v>
      </c>
      <c r="U86" s="13">
        <f>_xll.BDH("AMGN US Equity","ARDR_NON_GAAP_PRETAX_INCOME","FQ2 2023","FQ2 2023","Currency=USD","Period=FQ","BEST_FPERIOD_OVERRIDE=FQ","FILING_STATUS=MR","SCALING_FORMAT=MLN","Sort=A","Dates=H","DateFormat=P","Fill=—","Direction=H","UseDPDF=Y")</f>
        <v>3208</v>
      </c>
      <c r="V86" s="13">
        <f>_xll.BDH("AMGN US Equity","ARDR_NON_GAAP_PRETAX_INCOME","FQ3 2023","FQ3 2023","Currency=USD","Period=FQ","BEST_FPERIOD_OVERRIDE=FQ","FILING_STATUS=MR","SCALING_FORMAT=MLN","Sort=A","Dates=H","DateFormat=P","Fill=—","Direction=H","UseDPDF=Y")</f>
        <v>3178</v>
      </c>
      <c r="W86" s="13">
        <f>_xll.BDH("AMGN US Equity","ARDR_NON_GAAP_PRETAX_INCOME","FQ4 2023","FQ4 2023","Currency=USD","Period=FQ","BEST_FPERIOD_OVERRIDE=FQ","FILING_STATUS=MR","SCALING_FORMAT=MLN","Sort=A","Dates=H","DateFormat=P","Fill=—","Direction=H","UseDPDF=Y")</f>
        <v>3025</v>
      </c>
      <c r="X86" s="13">
        <f>_xll.BDH("AMGN US Equity","ARDR_NON_GAAP_PRETAX_INCOME","FQ1 2024","FQ1 2024","Currency=USD","Period=FQ","BEST_FPERIOD_OVERRIDE=FQ","FILING_STATUS=MR","SCALING_FORMAT=MLN","Sort=A","Dates=H","DateFormat=P","Fill=—","Direction=H","UseDPDF=Y")</f>
        <v>2597</v>
      </c>
      <c r="Y86" s="13">
        <f>_xll.BDH("AMGN US Equity","ARDR_NON_GAAP_PRETAX_INCOME","FQ2 2024","FQ2 2024","Currency=USD","Period=FQ","BEST_FPERIOD_OVERRIDE=FQ","FILING_STATUS=MR","SCALING_FORMAT=MLN","Sort=A","Dates=H","DateFormat=P","Fill=—","Direction=H","UseDPDF=Y")</f>
        <v>3163</v>
      </c>
      <c r="Z86" s="13">
        <f>_xll.BDH("AMGN US Equity","ARDR_NON_GAAP_PRETAX_INCOME","FQ3 2024","FQ3 2024","Currency=USD","Period=FQ","BEST_FPERIOD_OVERRIDE=FQ","FILING_STATUS=MR","SCALING_FORMAT=MLN","Sort=A","Dates=H","DateFormat=P","Fill=—","Direction=H","UseDPDF=Y")</f>
        <v>3490</v>
      </c>
      <c r="AA86" s="13">
        <f>_xll.BDH("AMGN US Equity","ARDR_NON_GAAP_PRETAX_INCOME","FQ4 2024","FQ4 2024","Currency=USD","Period=FQ","BEST_FPERIOD_OVERRIDE=FQ","FILING_STATUS=MR","SCALING_FORMAT=MLN","Sort=A","Dates=H","DateFormat=P","Fill=—","Direction=H","UseDPDF=Y")</f>
        <v>3379</v>
      </c>
    </row>
    <row r="87" spans="1:27" x14ac:dyDescent="0.25">
      <c r="A87" s="10" t="s">
        <v>550</v>
      </c>
      <c r="B87" s="10" t="s">
        <v>551</v>
      </c>
      <c r="C87" s="13">
        <f>_xll.BDH("AMGN US Equity","ARDR_RSTRCT_WF_BAL_NON_GAAP_COGS","FQ4 2018","FQ4 2018","Currency=USD","Period=FQ","BEST_FPERIOD_OVERRIDE=FQ","FILING_STATUS=MR","SCALING_FORMAT=MLN","Sort=A","Dates=H","DateFormat=P","Fill=—","Direction=H","UseDPDF=Y")</f>
        <v>1</v>
      </c>
      <c r="D87" s="13" t="str">
        <f>_xll.BDH("AMGN US Equity","ARDR_RSTRCT_WF_BAL_NON_GAAP_COGS","FQ1 2019","FQ1 2019","Currency=USD","Period=FQ","BEST_FPERIOD_OVERRIDE=FQ","FILING_STATUS=MR","SCALING_FORMAT=MLN","Sort=A","Dates=H","DateFormat=P","Fill=—","Direction=H","UseDPDF=Y")</f>
        <v>—</v>
      </c>
      <c r="E87" s="13" t="str">
        <f>_xll.BDH("AMGN US Equity","ARDR_RSTRCT_WF_BAL_NON_GAAP_COGS","FQ2 2019","FQ2 2019","Currency=USD","Period=FQ","BEST_FPERIOD_OVERRIDE=FQ","FILING_STATUS=MR","SCALING_FORMAT=MLN","Sort=A","Dates=H","DateFormat=P","Fill=—","Direction=H","UseDPDF=Y")</f>
        <v>—</v>
      </c>
      <c r="F87" s="13" t="str">
        <f>_xll.BDH("AMGN US Equity","ARDR_RSTRCT_WF_BAL_NON_GAAP_COGS","FQ3 2019","FQ3 2019","Currency=USD","Period=FQ","BEST_FPERIOD_OVERRIDE=FQ","FILING_STATUS=MR","SCALING_FORMAT=MLN","Sort=A","Dates=H","DateFormat=P","Fill=—","Direction=H","UseDPDF=Y")</f>
        <v>—</v>
      </c>
      <c r="G87" s="13" t="str">
        <f>_xll.BDH("AMGN US Equity","ARDR_RSTRCT_WF_BAL_NON_GAAP_COGS","FQ4 2019","FQ4 2019","Currency=USD","Period=FQ","BEST_FPERIOD_OVERRIDE=FQ","FILING_STATUS=MR","SCALING_FORMAT=MLN","Sort=A","Dates=H","DateFormat=P","Fill=—","Direction=H","UseDPDF=Y")</f>
        <v>—</v>
      </c>
      <c r="H87" s="13" t="str">
        <f>_xll.BDH("AMGN US Equity","ARDR_RSTRCT_WF_BAL_NON_GAAP_COGS","FQ1 2020","FQ1 2020","Currency=USD","Period=FQ","BEST_FPERIOD_OVERRIDE=FQ","FILING_STATUS=MR","SCALING_FORMAT=MLN","Sort=A","Dates=H","DateFormat=P","Fill=—","Direction=H","UseDPDF=Y")</f>
        <v>—</v>
      </c>
      <c r="I87" s="13" t="str">
        <f>_xll.BDH("AMGN US Equity","ARDR_RSTRCT_WF_BAL_NON_GAAP_COGS","FQ2 2020","FQ2 2020","Currency=USD","Period=FQ","BEST_FPERIOD_OVERRIDE=FQ","FILING_STATUS=MR","SCALING_FORMAT=MLN","Sort=A","Dates=H","DateFormat=P","Fill=—","Direction=H","UseDPDF=Y")</f>
        <v>—</v>
      </c>
      <c r="J87" s="13" t="str">
        <f>_xll.BDH("AMGN US Equity","ARDR_RSTRCT_WF_BAL_NON_GAAP_COGS","FQ3 2020","FQ3 2020","Currency=USD","Period=FQ","BEST_FPERIOD_OVERRIDE=FQ","FILING_STATUS=MR","SCALING_FORMAT=MLN","Sort=A","Dates=H","DateFormat=P","Fill=—","Direction=H","UseDPDF=Y")</f>
        <v>—</v>
      </c>
      <c r="K87" s="13" t="str">
        <f>_xll.BDH("AMGN US Equity","ARDR_RSTRCT_WF_BAL_NON_GAAP_COGS","FQ4 2020","FQ4 2020","Currency=USD","Period=FQ","BEST_FPERIOD_OVERRIDE=FQ","FILING_STATUS=MR","SCALING_FORMAT=MLN","Sort=A","Dates=H","DateFormat=P","Fill=—","Direction=H","UseDPDF=Y")</f>
        <v>—</v>
      </c>
      <c r="L87" s="13" t="str">
        <f>_xll.BDH("AMGN US Equity","ARDR_RSTRCT_WF_BAL_NON_GAAP_COGS","FQ1 2021","FQ1 2021","Currency=USD","Period=FQ","BEST_FPERIOD_OVERRIDE=FQ","FILING_STATUS=MR","SCALING_FORMAT=MLN","Sort=A","Dates=H","DateFormat=P","Fill=—","Direction=H","UseDPDF=Y")</f>
        <v>—</v>
      </c>
      <c r="M87" s="13" t="str">
        <f>_xll.BDH("AMGN US Equity","ARDR_RSTRCT_WF_BAL_NON_GAAP_COGS","FQ2 2021","FQ2 2021","Currency=USD","Period=FQ","BEST_FPERIOD_OVERRIDE=FQ","FILING_STATUS=MR","SCALING_FORMAT=MLN","Sort=A","Dates=H","DateFormat=P","Fill=—","Direction=H","UseDPDF=Y")</f>
        <v>—</v>
      </c>
      <c r="N87" s="13" t="str">
        <f>_xll.BDH("AMGN US Equity","ARDR_RSTRCT_WF_BAL_NON_GAAP_COGS","FQ3 2021","FQ3 2021","Currency=USD","Period=FQ","BEST_FPERIOD_OVERRIDE=FQ","FILING_STATUS=MR","SCALING_FORMAT=MLN","Sort=A","Dates=H","DateFormat=P","Fill=—","Direction=H","UseDPDF=Y")</f>
        <v>—</v>
      </c>
      <c r="O87" s="13" t="str">
        <f>_xll.BDH("AMGN US Equity","ARDR_RSTRCT_WF_BAL_NON_GAAP_COGS","FQ4 2021","FQ4 2021","Currency=USD","Period=FQ","BEST_FPERIOD_OVERRIDE=FQ","FILING_STATUS=MR","SCALING_FORMAT=MLN","Sort=A","Dates=H","DateFormat=P","Fill=—","Direction=H","UseDPDF=Y")</f>
        <v>—</v>
      </c>
      <c r="P87" s="13" t="str">
        <f>_xll.BDH("AMGN US Equity","ARDR_RSTRCT_WF_BAL_NON_GAAP_COGS","FQ1 2022","FQ1 2022","Currency=USD","Period=FQ","BEST_FPERIOD_OVERRIDE=FQ","FILING_STATUS=MR","SCALING_FORMAT=MLN","Sort=A","Dates=H","DateFormat=P","Fill=—","Direction=H","UseDPDF=Y")</f>
        <v>—</v>
      </c>
      <c r="Q87" s="13" t="str">
        <f>_xll.BDH("AMGN US Equity","ARDR_RSTRCT_WF_BAL_NON_GAAP_COGS","FQ2 2022","FQ2 2022","Currency=USD","Period=FQ","BEST_FPERIOD_OVERRIDE=FQ","FILING_STATUS=MR","SCALING_FORMAT=MLN","Sort=A","Dates=H","DateFormat=P","Fill=—","Direction=H","UseDPDF=Y")</f>
        <v>—</v>
      </c>
      <c r="R87" s="13" t="str">
        <f>_xll.BDH("AMGN US Equity","ARDR_RSTRCT_WF_BAL_NON_GAAP_COGS","FQ3 2022","FQ3 2022","Currency=USD","Period=FQ","BEST_FPERIOD_OVERRIDE=FQ","FILING_STATUS=MR","SCALING_FORMAT=MLN","Sort=A","Dates=H","DateFormat=P","Fill=—","Direction=H","UseDPDF=Y")</f>
        <v>—</v>
      </c>
      <c r="S87" s="13" t="str">
        <f>_xll.BDH("AMGN US Equity","ARDR_RSTRCT_WF_BAL_NON_GAAP_COGS","FQ4 2022","FQ4 2022","Currency=USD","Period=FQ","BEST_FPERIOD_OVERRIDE=FQ","FILING_STATUS=MR","SCALING_FORMAT=MLN","Sort=A","Dates=H","DateFormat=P","Fill=—","Direction=H","UseDPDF=Y")</f>
        <v>—</v>
      </c>
      <c r="T87" s="13" t="str">
        <f>_xll.BDH("AMGN US Equity","ARDR_RSTRCT_WF_BAL_NON_GAAP_COGS","FQ1 2023","FQ1 2023","Currency=USD","Period=FQ","BEST_FPERIOD_OVERRIDE=FQ","FILING_STATUS=MR","SCALING_FORMAT=MLN","Sort=A","Dates=H","DateFormat=P","Fill=—","Direction=H","UseDPDF=Y")</f>
        <v>—</v>
      </c>
      <c r="U87" s="13" t="str">
        <f>_xll.BDH("AMGN US Equity","ARDR_RSTRCT_WF_BAL_NON_GAAP_COGS","FQ2 2023","FQ2 2023","Currency=USD","Period=FQ","BEST_FPERIOD_OVERRIDE=FQ","FILING_STATUS=MR","SCALING_FORMAT=MLN","Sort=A","Dates=H","DateFormat=P","Fill=—","Direction=H","UseDPDF=Y")</f>
        <v>—</v>
      </c>
      <c r="V87" s="13" t="str">
        <f>_xll.BDH("AMGN US Equity","ARDR_RSTRCT_WF_BAL_NON_GAAP_COGS","FQ3 2023","FQ3 2023","Currency=USD","Period=FQ","BEST_FPERIOD_OVERRIDE=FQ","FILING_STATUS=MR","SCALING_FORMAT=MLN","Sort=A","Dates=H","DateFormat=P","Fill=—","Direction=H","UseDPDF=Y")</f>
        <v>—</v>
      </c>
      <c r="W87" s="13" t="str">
        <f>_xll.BDH("AMGN US Equity","ARDR_RSTRCT_WF_BAL_NON_GAAP_COGS","FQ4 2023","FQ4 2023","Currency=USD","Period=FQ","BEST_FPERIOD_OVERRIDE=FQ","FILING_STATUS=MR","SCALING_FORMAT=MLN","Sort=A","Dates=H","DateFormat=P","Fill=—","Direction=H","UseDPDF=Y")</f>
        <v>—</v>
      </c>
      <c r="X87" s="13" t="str">
        <f>_xll.BDH("AMGN US Equity","ARDR_RSTRCT_WF_BAL_NON_GAAP_COGS","FQ1 2024","FQ1 2024","Currency=USD","Period=FQ","BEST_FPERIOD_OVERRIDE=FQ","FILING_STATUS=MR","SCALING_FORMAT=MLN","Sort=A","Dates=H","DateFormat=P","Fill=—","Direction=H","UseDPDF=Y")</f>
        <v>—</v>
      </c>
      <c r="Y87" s="13" t="str">
        <f>_xll.BDH("AMGN US Equity","ARDR_RSTRCT_WF_BAL_NON_GAAP_COGS","FQ2 2024","FQ2 2024","Currency=USD","Period=FQ","BEST_FPERIOD_OVERRIDE=FQ","FILING_STATUS=MR","SCALING_FORMAT=MLN","Sort=A","Dates=H","DateFormat=P","Fill=—","Direction=H","UseDPDF=Y")</f>
        <v>—</v>
      </c>
      <c r="Z87" s="13" t="str">
        <f>_xll.BDH("AMGN US Equity","ARDR_RSTRCT_WF_BAL_NON_GAAP_COGS","FQ3 2024","FQ3 2024","Currency=USD","Period=FQ","BEST_FPERIOD_OVERRIDE=FQ","FILING_STATUS=MR","SCALING_FORMAT=MLN","Sort=A","Dates=H","DateFormat=P","Fill=—","Direction=H","UseDPDF=Y")</f>
        <v>—</v>
      </c>
      <c r="AA87" s="13" t="str">
        <f>_xll.BDH("AMGN US Equity","ARDR_RSTRCT_WF_BAL_NON_GAAP_COGS","FQ4 2024","FQ4 2024","Currency=USD","Period=FQ","BEST_FPERIOD_OVERRIDE=FQ","FILING_STATUS=MR","SCALING_FORMAT=MLN","Sort=A","Dates=H","DateFormat=P","Fill=—","Direction=H","UseDPDF=Y")</f>
        <v>—</v>
      </c>
    </row>
    <row r="88" spans="1:27" x14ac:dyDescent="0.25">
      <c r="A88" s="10" t="s">
        <v>552</v>
      </c>
      <c r="B88" s="10" t="s">
        <v>553</v>
      </c>
      <c r="C88" s="13">
        <f>_xll.BDH("AMGN US Equity","ARDR_RSTRCT_WF_BAL_NON_GAAP_SG&amp;A","FQ4 2018","FQ4 2018","Currency=USD","Period=FQ","BEST_FPERIOD_OVERRIDE=FQ","FILING_STATUS=MR","SCALING_FORMAT=MLN","Sort=A","Dates=H","DateFormat=P","Fill=—","Direction=H","UseDPDF=Y")</f>
        <v>8</v>
      </c>
      <c r="D88" s="13" t="str">
        <f>_xll.BDH("AMGN US Equity","ARDR_RSTRCT_WF_BAL_NON_GAAP_SG&amp;A","FQ1 2019","FQ1 2019","Currency=USD","Period=FQ","BEST_FPERIOD_OVERRIDE=FQ","FILING_STATUS=MR","SCALING_FORMAT=MLN","Sort=A","Dates=H","DateFormat=P","Fill=—","Direction=H","UseDPDF=Y")</f>
        <v>—</v>
      </c>
      <c r="E88" s="13" t="str">
        <f>_xll.BDH("AMGN US Equity","ARDR_RSTRCT_WF_BAL_NON_GAAP_SG&amp;A","FQ2 2019","FQ2 2019","Currency=USD","Period=FQ","BEST_FPERIOD_OVERRIDE=FQ","FILING_STATUS=MR","SCALING_FORMAT=MLN","Sort=A","Dates=H","DateFormat=P","Fill=—","Direction=H","UseDPDF=Y")</f>
        <v>—</v>
      </c>
      <c r="F88" s="13">
        <f>_xll.BDH("AMGN US Equity","ARDR_RSTRCT_WF_BAL_NON_GAAP_SG&amp;A","FQ3 2019","FQ3 2019","Currency=USD","Period=FQ","BEST_FPERIOD_OVERRIDE=FQ","FILING_STATUS=MR","SCALING_FORMAT=MLN","Sort=A","Dates=H","DateFormat=P","Fill=—","Direction=H","UseDPDF=Y")</f>
        <v>-1</v>
      </c>
      <c r="G88" s="13" t="str">
        <f>_xll.BDH("AMGN US Equity","ARDR_RSTRCT_WF_BAL_NON_GAAP_SG&amp;A","FQ4 2019","FQ4 2019","Currency=USD","Period=FQ","BEST_FPERIOD_OVERRIDE=FQ","FILING_STATUS=MR","SCALING_FORMAT=MLN","Sort=A","Dates=H","DateFormat=P","Fill=—","Direction=H","UseDPDF=Y")</f>
        <v>—</v>
      </c>
      <c r="H88" s="13" t="str">
        <f>_xll.BDH("AMGN US Equity","ARDR_RSTRCT_WF_BAL_NON_GAAP_SG&amp;A","FQ1 2020","FQ1 2020","Currency=USD","Period=FQ","BEST_FPERIOD_OVERRIDE=FQ","FILING_STATUS=MR","SCALING_FORMAT=MLN","Sort=A","Dates=H","DateFormat=P","Fill=—","Direction=H","UseDPDF=Y")</f>
        <v>—</v>
      </c>
      <c r="I88" s="13" t="str">
        <f>_xll.BDH("AMGN US Equity","ARDR_RSTRCT_WF_BAL_NON_GAAP_SG&amp;A","FQ2 2020","FQ2 2020","Currency=USD","Period=FQ","BEST_FPERIOD_OVERRIDE=FQ","FILING_STATUS=MR","SCALING_FORMAT=MLN","Sort=A","Dates=H","DateFormat=P","Fill=—","Direction=H","UseDPDF=Y")</f>
        <v>—</v>
      </c>
      <c r="J88" s="13" t="str">
        <f>_xll.BDH("AMGN US Equity","ARDR_RSTRCT_WF_BAL_NON_GAAP_SG&amp;A","FQ3 2020","FQ3 2020","Currency=USD","Period=FQ","BEST_FPERIOD_OVERRIDE=FQ","FILING_STATUS=MR","SCALING_FORMAT=MLN","Sort=A","Dates=H","DateFormat=P","Fill=—","Direction=H","UseDPDF=Y")</f>
        <v>—</v>
      </c>
      <c r="K88" s="13" t="str">
        <f>_xll.BDH("AMGN US Equity","ARDR_RSTRCT_WF_BAL_NON_GAAP_SG&amp;A","FQ4 2020","FQ4 2020","Currency=USD","Period=FQ","BEST_FPERIOD_OVERRIDE=FQ","FILING_STATUS=MR","SCALING_FORMAT=MLN","Sort=A","Dates=H","DateFormat=P","Fill=—","Direction=H","UseDPDF=Y")</f>
        <v>—</v>
      </c>
      <c r="L88" s="13" t="str">
        <f>_xll.BDH("AMGN US Equity","ARDR_RSTRCT_WF_BAL_NON_GAAP_SG&amp;A","FQ1 2021","FQ1 2021","Currency=USD","Period=FQ","BEST_FPERIOD_OVERRIDE=FQ","FILING_STATUS=MR","SCALING_FORMAT=MLN","Sort=A","Dates=H","DateFormat=P","Fill=—","Direction=H","UseDPDF=Y")</f>
        <v>—</v>
      </c>
      <c r="M88" s="13" t="str">
        <f>_xll.BDH("AMGN US Equity","ARDR_RSTRCT_WF_BAL_NON_GAAP_SG&amp;A","FQ2 2021","FQ2 2021","Currency=USD","Period=FQ","BEST_FPERIOD_OVERRIDE=FQ","FILING_STATUS=MR","SCALING_FORMAT=MLN","Sort=A","Dates=H","DateFormat=P","Fill=—","Direction=H","UseDPDF=Y")</f>
        <v>—</v>
      </c>
      <c r="N88" s="13" t="str">
        <f>_xll.BDH("AMGN US Equity","ARDR_RSTRCT_WF_BAL_NON_GAAP_SG&amp;A","FQ3 2021","FQ3 2021","Currency=USD","Period=FQ","BEST_FPERIOD_OVERRIDE=FQ","FILING_STATUS=MR","SCALING_FORMAT=MLN","Sort=A","Dates=H","DateFormat=P","Fill=—","Direction=H","UseDPDF=Y")</f>
        <v>—</v>
      </c>
      <c r="O88" s="13" t="str">
        <f>_xll.BDH("AMGN US Equity","ARDR_RSTRCT_WF_BAL_NON_GAAP_SG&amp;A","FQ4 2021","FQ4 2021","Currency=USD","Period=FQ","BEST_FPERIOD_OVERRIDE=FQ","FILING_STATUS=MR","SCALING_FORMAT=MLN","Sort=A","Dates=H","DateFormat=P","Fill=—","Direction=H","UseDPDF=Y")</f>
        <v>—</v>
      </c>
      <c r="P88" s="13" t="str">
        <f>_xll.BDH("AMGN US Equity","ARDR_RSTRCT_WF_BAL_NON_GAAP_SG&amp;A","FQ1 2022","FQ1 2022","Currency=USD","Period=FQ","BEST_FPERIOD_OVERRIDE=FQ","FILING_STATUS=MR","SCALING_FORMAT=MLN","Sort=A","Dates=H","DateFormat=P","Fill=—","Direction=H","UseDPDF=Y")</f>
        <v>—</v>
      </c>
      <c r="Q88" s="13" t="str">
        <f>_xll.BDH("AMGN US Equity","ARDR_RSTRCT_WF_BAL_NON_GAAP_SG&amp;A","FQ2 2022","FQ2 2022","Currency=USD","Period=FQ","BEST_FPERIOD_OVERRIDE=FQ","FILING_STATUS=MR","SCALING_FORMAT=MLN","Sort=A","Dates=H","DateFormat=P","Fill=—","Direction=H","UseDPDF=Y")</f>
        <v>—</v>
      </c>
      <c r="R88" s="13" t="str">
        <f>_xll.BDH("AMGN US Equity","ARDR_RSTRCT_WF_BAL_NON_GAAP_SG&amp;A","FQ3 2022","FQ3 2022","Currency=USD","Period=FQ","BEST_FPERIOD_OVERRIDE=FQ","FILING_STATUS=MR","SCALING_FORMAT=MLN","Sort=A","Dates=H","DateFormat=P","Fill=—","Direction=H","UseDPDF=Y")</f>
        <v>—</v>
      </c>
      <c r="S88" s="13" t="str">
        <f>_xll.BDH("AMGN US Equity","ARDR_RSTRCT_WF_BAL_NON_GAAP_SG&amp;A","FQ4 2022","FQ4 2022","Currency=USD","Period=FQ","BEST_FPERIOD_OVERRIDE=FQ","FILING_STATUS=MR","SCALING_FORMAT=MLN","Sort=A","Dates=H","DateFormat=P","Fill=—","Direction=H","UseDPDF=Y")</f>
        <v>—</v>
      </c>
      <c r="T88" s="13" t="str">
        <f>_xll.BDH("AMGN US Equity","ARDR_RSTRCT_WF_BAL_NON_GAAP_SG&amp;A","FQ1 2023","FQ1 2023","Currency=USD","Period=FQ","BEST_FPERIOD_OVERRIDE=FQ","FILING_STATUS=MR","SCALING_FORMAT=MLN","Sort=A","Dates=H","DateFormat=P","Fill=—","Direction=H","UseDPDF=Y")</f>
        <v>—</v>
      </c>
      <c r="U88" s="13" t="str">
        <f>_xll.BDH("AMGN US Equity","ARDR_RSTRCT_WF_BAL_NON_GAAP_SG&amp;A","FQ2 2023","FQ2 2023","Currency=USD","Period=FQ","BEST_FPERIOD_OVERRIDE=FQ","FILING_STATUS=MR","SCALING_FORMAT=MLN","Sort=A","Dates=H","DateFormat=P","Fill=—","Direction=H","UseDPDF=Y")</f>
        <v>—</v>
      </c>
      <c r="V88" s="13" t="str">
        <f>_xll.BDH("AMGN US Equity","ARDR_RSTRCT_WF_BAL_NON_GAAP_SG&amp;A","FQ3 2023","FQ3 2023","Currency=USD","Period=FQ","BEST_FPERIOD_OVERRIDE=FQ","FILING_STATUS=MR","SCALING_FORMAT=MLN","Sort=A","Dates=H","DateFormat=P","Fill=—","Direction=H","UseDPDF=Y")</f>
        <v>—</v>
      </c>
      <c r="W88" s="13" t="str">
        <f>_xll.BDH("AMGN US Equity","ARDR_RSTRCT_WF_BAL_NON_GAAP_SG&amp;A","FQ4 2023","FQ4 2023","Currency=USD","Period=FQ","BEST_FPERIOD_OVERRIDE=FQ","FILING_STATUS=MR","SCALING_FORMAT=MLN","Sort=A","Dates=H","DateFormat=P","Fill=—","Direction=H","UseDPDF=Y")</f>
        <v>—</v>
      </c>
      <c r="X88" s="13" t="str">
        <f>_xll.BDH("AMGN US Equity","ARDR_RSTRCT_WF_BAL_NON_GAAP_SG&amp;A","FQ1 2024","FQ1 2024","Currency=USD","Period=FQ","BEST_FPERIOD_OVERRIDE=FQ","FILING_STATUS=MR","SCALING_FORMAT=MLN","Sort=A","Dates=H","DateFormat=P","Fill=—","Direction=H","UseDPDF=Y")</f>
        <v>—</v>
      </c>
      <c r="Y88" s="13" t="str">
        <f>_xll.BDH("AMGN US Equity","ARDR_RSTRCT_WF_BAL_NON_GAAP_SG&amp;A","FQ2 2024","FQ2 2024","Currency=USD","Period=FQ","BEST_FPERIOD_OVERRIDE=FQ","FILING_STATUS=MR","SCALING_FORMAT=MLN","Sort=A","Dates=H","DateFormat=P","Fill=—","Direction=H","UseDPDF=Y")</f>
        <v>—</v>
      </c>
      <c r="Z88" s="13" t="str">
        <f>_xll.BDH("AMGN US Equity","ARDR_RSTRCT_WF_BAL_NON_GAAP_SG&amp;A","FQ3 2024","FQ3 2024","Currency=USD","Period=FQ","BEST_FPERIOD_OVERRIDE=FQ","FILING_STATUS=MR","SCALING_FORMAT=MLN","Sort=A","Dates=H","DateFormat=P","Fill=—","Direction=H","UseDPDF=Y")</f>
        <v>—</v>
      </c>
      <c r="AA88" s="13" t="str">
        <f>_xll.BDH("AMGN US Equity","ARDR_RSTRCT_WF_BAL_NON_GAAP_SG&amp;A","FQ4 2024","FQ4 2024","Currency=USD","Period=FQ","BEST_FPERIOD_OVERRIDE=FQ","FILING_STATUS=MR","SCALING_FORMAT=MLN","Sort=A","Dates=H","DateFormat=P","Fill=—","Direction=H","UseDPDF=Y")</f>
        <v>—</v>
      </c>
    </row>
    <row r="89" spans="1:27" x14ac:dyDescent="0.25">
      <c r="A89" s="10" t="s">
        <v>554</v>
      </c>
      <c r="B89" s="10" t="s">
        <v>555</v>
      </c>
      <c r="C89" s="13">
        <f>_xll.BDH("AMGN US Equity","ARDR_RSTRCT_WF_BAL_NON_GAAP_R&amp;D","FQ4 2018","FQ4 2018","Currency=USD","Period=FQ","BEST_FPERIOD_OVERRIDE=FQ","FILING_STATUS=MR","SCALING_FORMAT=MLN","Sort=A","Dates=H","DateFormat=P","Fill=—","Direction=H","UseDPDF=Y")</f>
        <v>1</v>
      </c>
      <c r="D89" s="13" t="str">
        <f>_xll.BDH("AMGN US Equity","ARDR_RSTRCT_WF_BAL_NON_GAAP_R&amp;D","FQ1 2019","FQ1 2019","Currency=USD","Period=FQ","BEST_FPERIOD_OVERRIDE=FQ","FILING_STATUS=MR","SCALING_FORMAT=MLN","Sort=A","Dates=H","DateFormat=P","Fill=—","Direction=H","UseDPDF=Y")</f>
        <v>—</v>
      </c>
      <c r="E89" s="13" t="str">
        <f>_xll.BDH("AMGN US Equity","ARDR_RSTRCT_WF_BAL_NON_GAAP_R&amp;D","FQ2 2019","FQ2 2019","Currency=USD","Period=FQ","BEST_FPERIOD_OVERRIDE=FQ","FILING_STATUS=MR","SCALING_FORMAT=MLN","Sort=A","Dates=H","DateFormat=P","Fill=—","Direction=H","UseDPDF=Y")</f>
        <v>—</v>
      </c>
      <c r="F89" s="13">
        <f>_xll.BDH("AMGN US Equity","ARDR_RSTRCT_WF_BAL_NON_GAAP_R&amp;D","FQ3 2019","FQ3 2019","Currency=USD","Period=FQ","BEST_FPERIOD_OVERRIDE=FQ","FILING_STATUS=MR","SCALING_FORMAT=MLN","Sort=A","Dates=H","DateFormat=P","Fill=—","Direction=H","UseDPDF=Y")</f>
        <v>0</v>
      </c>
      <c r="G89" s="13">
        <f>_xll.BDH("AMGN US Equity","ARDR_RSTRCT_WF_BAL_NON_GAAP_R&amp;D","FQ4 2019","FQ4 2019","Currency=USD","Period=FQ","BEST_FPERIOD_OVERRIDE=FQ","FILING_STATUS=MR","SCALING_FORMAT=MLN","Sort=A","Dates=H","DateFormat=P","Fill=—","Direction=H","UseDPDF=Y")</f>
        <v>2</v>
      </c>
      <c r="H89" s="13" t="str">
        <f>_xll.BDH("AMGN US Equity","ARDR_RSTRCT_WF_BAL_NON_GAAP_R&amp;D","FQ1 2020","FQ1 2020","Currency=USD","Period=FQ","BEST_FPERIOD_OVERRIDE=FQ","FILING_STATUS=MR","SCALING_FORMAT=MLN","Sort=A","Dates=H","DateFormat=P","Fill=—","Direction=H","UseDPDF=Y")</f>
        <v>—</v>
      </c>
      <c r="I89" s="13" t="str">
        <f>_xll.BDH("AMGN US Equity","ARDR_RSTRCT_WF_BAL_NON_GAAP_R&amp;D","FQ2 2020","FQ2 2020","Currency=USD","Period=FQ","BEST_FPERIOD_OVERRIDE=FQ","FILING_STATUS=MR","SCALING_FORMAT=MLN","Sort=A","Dates=H","DateFormat=P","Fill=—","Direction=H","UseDPDF=Y")</f>
        <v>—</v>
      </c>
      <c r="J89" s="13">
        <f>_xll.BDH("AMGN US Equity","ARDR_RSTRCT_WF_BAL_NON_GAAP_R&amp;D","FQ3 2020","FQ3 2020","Currency=USD","Period=FQ","BEST_FPERIOD_OVERRIDE=FQ","FILING_STATUS=MR","SCALING_FORMAT=MLN","Sort=A","Dates=H","DateFormat=P","Fill=—","Direction=H","UseDPDF=Y")</f>
        <v>1</v>
      </c>
      <c r="K89" s="13" t="str">
        <f>_xll.BDH("AMGN US Equity","ARDR_RSTRCT_WF_BAL_NON_GAAP_R&amp;D","FQ4 2020","FQ4 2020","Currency=USD","Period=FQ","BEST_FPERIOD_OVERRIDE=FQ","FILING_STATUS=MR","SCALING_FORMAT=MLN","Sort=A","Dates=H","DateFormat=P","Fill=—","Direction=H","UseDPDF=Y")</f>
        <v>—</v>
      </c>
      <c r="L89" s="13" t="str">
        <f>_xll.BDH("AMGN US Equity","ARDR_RSTRCT_WF_BAL_NON_GAAP_R&amp;D","FQ1 2021","FQ1 2021","Currency=USD","Period=FQ","BEST_FPERIOD_OVERRIDE=FQ","FILING_STATUS=MR","SCALING_FORMAT=MLN","Sort=A","Dates=H","DateFormat=P","Fill=—","Direction=H","UseDPDF=Y")</f>
        <v>—</v>
      </c>
      <c r="M89" s="13" t="str">
        <f>_xll.BDH("AMGN US Equity","ARDR_RSTRCT_WF_BAL_NON_GAAP_R&amp;D","FQ2 2021","FQ2 2021","Currency=USD","Period=FQ","BEST_FPERIOD_OVERRIDE=FQ","FILING_STATUS=MR","SCALING_FORMAT=MLN","Sort=A","Dates=H","DateFormat=P","Fill=—","Direction=H","UseDPDF=Y")</f>
        <v>—</v>
      </c>
      <c r="N89" s="13" t="str">
        <f>_xll.BDH("AMGN US Equity","ARDR_RSTRCT_WF_BAL_NON_GAAP_R&amp;D","FQ3 2021","FQ3 2021","Currency=USD","Period=FQ","BEST_FPERIOD_OVERRIDE=FQ","FILING_STATUS=MR","SCALING_FORMAT=MLN","Sort=A","Dates=H","DateFormat=P","Fill=—","Direction=H","UseDPDF=Y")</f>
        <v>—</v>
      </c>
      <c r="O89" s="13" t="str">
        <f>_xll.BDH("AMGN US Equity","ARDR_RSTRCT_WF_BAL_NON_GAAP_R&amp;D","FQ4 2021","FQ4 2021","Currency=USD","Period=FQ","BEST_FPERIOD_OVERRIDE=FQ","FILING_STATUS=MR","SCALING_FORMAT=MLN","Sort=A","Dates=H","DateFormat=P","Fill=—","Direction=H","UseDPDF=Y")</f>
        <v>—</v>
      </c>
      <c r="P89" s="13" t="str">
        <f>_xll.BDH("AMGN US Equity","ARDR_RSTRCT_WF_BAL_NON_GAAP_R&amp;D","FQ1 2022","FQ1 2022","Currency=USD","Period=FQ","BEST_FPERIOD_OVERRIDE=FQ","FILING_STATUS=MR","SCALING_FORMAT=MLN","Sort=A","Dates=H","DateFormat=P","Fill=—","Direction=H","UseDPDF=Y")</f>
        <v>—</v>
      </c>
      <c r="Q89" s="13" t="str">
        <f>_xll.BDH("AMGN US Equity","ARDR_RSTRCT_WF_BAL_NON_GAAP_R&amp;D","FQ2 2022","FQ2 2022","Currency=USD","Period=FQ","BEST_FPERIOD_OVERRIDE=FQ","FILING_STATUS=MR","SCALING_FORMAT=MLN","Sort=A","Dates=H","DateFormat=P","Fill=—","Direction=H","UseDPDF=Y")</f>
        <v>—</v>
      </c>
      <c r="R89" s="13" t="str">
        <f>_xll.BDH("AMGN US Equity","ARDR_RSTRCT_WF_BAL_NON_GAAP_R&amp;D","FQ3 2022","FQ3 2022","Currency=USD","Period=FQ","BEST_FPERIOD_OVERRIDE=FQ","FILING_STATUS=MR","SCALING_FORMAT=MLN","Sort=A","Dates=H","DateFormat=P","Fill=—","Direction=H","UseDPDF=Y")</f>
        <v>—</v>
      </c>
      <c r="S89" s="13" t="str">
        <f>_xll.BDH("AMGN US Equity","ARDR_RSTRCT_WF_BAL_NON_GAAP_R&amp;D","FQ4 2022","FQ4 2022","Currency=USD","Period=FQ","BEST_FPERIOD_OVERRIDE=FQ","FILING_STATUS=MR","SCALING_FORMAT=MLN","Sort=A","Dates=H","DateFormat=P","Fill=—","Direction=H","UseDPDF=Y")</f>
        <v>—</v>
      </c>
      <c r="T89" s="13" t="str">
        <f>_xll.BDH("AMGN US Equity","ARDR_RSTRCT_WF_BAL_NON_GAAP_R&amp;D","FQ1 2023","FQ1 2023","Currency=USD","Period=FQ","BEST_FPERIOD_OVERRIDE=FQ","FILING_STATUS=MR","SCALING_FORMAT=MLN","Sort=A","Dates=H","DateFormat=P","Fill=—","Direction=H","UseDPDF=Y")</f>
        <v>—</v>
      </c>
      <c r="U89" s="13" t="str">
        <f>_xll.BDH("AMGN US Equity","ARDR_RSTRCT_WF_BAL_NON_GAAP_R&amp;D","FQ2 2023","FQ2 2023","Currency=USD","Period=FQ","BEST_FPERIOD_OVERRIDE=FQ","FILING_STATUS=MR","SCALING_FORMAT=MLN","Sort=A","Dates=H","DateFormat=P","Fill=—","Direction=H","UseDPDF=Y")</f>
        <v>—</v>
      </c>
      <c r="V89" s="13" t="str">
        <f>_xll.BDH("AMGN US Equity","ARDR_RSTRCT_WF_BAL_NON_GAAP_R&amp;D","FQ3 2023","FQ3 2023","Currency=USD","Period=FQ","BEST_FPERIOD_OVERRIDE=FQ","FILING_STATUS=MR","SCALING_FORMAT=MLN","Sort=A","Dates=H","DateFormat=P","Fill=—","Direction=H","UseDPDF=Y")</f>
        <v>—</v>
      </c>
      <c r="W89" s="13">
        <f>_xll.BDH("AMGN US Equity","ARDR_RSTRCT_WF_BAL_NON_GAAP_R&amp;D","FQ4 2023","FQ4 2023","Currency=USD","Period=FQ","BEST_FPERIOD_OVERRIDE=FQ","FILING_STATUS=MR","SCALING_FORMAT=MLN","Sort=A","Dates=H","DateFormat=P","Fill=—","Direction=H","UseDPDF=Y")</f>
        <v>12</v>
      </c>
      <c r="X89" s="13" t="str">
        <f>_xll.BDH("AMGN US Equity","ARDR_RSTRCT_WF_BAL_NON_GAAP_R&amp;D","FQ1 2024","FQ1 2024","Currency=USD","Period=FQ","BEST_FPERIOD_OVERRIDE=FQ","FILING_STATUS=MR","SCALING_FORMAT=MLN","Sort=A","Dates=H","DateFormat=P","Fill=—","Direction=H","UseDPDF=Y")</f>
        <v>—</v>
      </c>
      <c r="Y89" s="13">
        <f>_xll.BDH("AMGN US Equity","ARDR_RSTRCT_WF_BAL_NON_GAAP_R&amp;D","FQ2 2024","FQ2 2024","Currency=USD","Period=FQ","BEST_FPERIOD_OVERRIDE=FQ","FILING_STATUS=MR","SCALING_FORMAT=MLN","Sort=A","Dates=H","DateFormat=P","Fill=—","Direction=H","UseDPDF=Y")</f>
        <v>0</v>
      </c>
      <c r="Z89" s="13" t="str">
        <f>_xll.BDH("AMGN US Equity","ARDR_RSTRCT_WF_BAL_NON_GAAP_R&amp;D","FQ3 2024","FQ3 2024","Currency=USD","Period=FQ","BEST_FPERIOD_OVERRIDE=FQ","FILING_STATUS=MR","SCALING_FORMAT=MLN","Sort=A","Dates=H","DateFormat=P","Fill=—","Direction=H","UseDPDF=Y")</f>
        <v>—</v>
      </c>
      <c r="AA89" s="13" t="str">
        <f>_xll.BDH("AMGN US Equity","ARDR_RSTRCT_WF_BAL_NON_GAAP_R&amp;D","FQ4 2024","FQ4 2024","Currency=USD","Period=FQ","BEST_FPERIOD_OVERRIDE=FQ","FILING_STATUS=MR","SCALING_FORMAT=MLN","Sort=A","Dates=H","DateFormat=P","Fill=—","Direction=H","UseDPDF=Y")</f>
        <v>—</v>
      </c>
    </row>
    <row r="90" spans="1:27" x14ac:dyDescent="0.25">
      <c r="A90" s="10" t="s">
        <v>556</v>
      </c>
      <c r="B90" s="10" t="s">
        <v>557</v>
      </c>
      <c r="C90" s="13">
        <f>_xll.BDH("AMGN US Equity","ARDR_AMORT_INT_AST_NON_GAAP_COGS","FQ4 2018","FQ4 2018","Currency=USD","Period=FQ","BEST_FPERIOD_OVERRIDE=FQ","FILING_STATUS=MR","SCALING_FORMAT=MLN","Sort=A","Dates=H","DateFormat=P","Fill=—","Direction=H","UseDPDF=Y")</f>
        <v>276</v>
      </c>
      <c r="D90" s="13">
        <f>_xll.BDH("AMGN US Equity","ARDR_AMORT_INT_AST_NON_GAAP_COGS","FQ1 2019","FQ1 2019","Currency=USD","Period=FQ","BEST_FPERIOD_OVERRIDE=FQ","FILING_STATUS=MR","SCALING_FORMAT=MLN","Sort=A","Dates=H","DateFormat=P","Fill=—","Direction=H","UseDPDF=Y")</f>
        <v>276</v>
      </c>
      <c r="E90" s="13">
        <f>_xll.BDH("AMGN US Equity","ARDR_AMORT_INT_AST_NON_GAAP_COGS","FQ2 2019","FQ2 2019","Currency=USD","Period=FQ","BEST_FPERIOD_OVERRIDE=FQ","FILING_STATUS=MR","SCALING_FORMAT=MLN","Sort=A","Dates=H","DateFormat=P","Fill=—","Direction=H","UseDPDF=Y")</f>
        <v>276</v>
      </c>
      <c r="F90" s="13">
        <f>_xll.BDH("AMGN US Equity","ARDR_AMORT_INT_AST_NON_GAAP_COGS","FQ3 2019","FQ3 2019","Currency=USD","Period=FQ","BEST_FPERIOD_OVERRIDE=FQ","FILING_STATUS=MR","SCALING_FORMAT=MLN","Sort=A","Dates=H","DateFormat=P","Fill=—","Direction=H","UseDPDF=Y")</f>
        <v>276</v>
      </c>
      <c r="G90" s="13">
        <f>_xll.BDH("AMGN US Equity","ARDR_AMORT_INT_AST_NON_GAAP_COGS","FQ4 2019","FQ4 2019","Currency=USD","Period=FQ","BEST_FPERIOD_OVERRIDE=FQ","FILING_STATUS=MR","SCALING_FORMAT=MLN","Sort=A","Dates=H","DateFormat=P","Fill=—","Direction=H","UseDPDF=Y")</f>
        <v>463</v>
      </c>
      <c r="H90" s="13">
        <f>_xll.BDH("AMGN US Equity","ARDR_AMORT_INT_AST_NON_GAAP_COGS","FQ1 2020","FQ1 2020","Currency=USD","Period=FQ","BEST_FPERIOD_OVERRIDE=FQ","FILING_STATUS=MR","SCALING_FORMAT=MLN","Sort=A","Dates=H","DateFormat=P","Fill=—","Direction=H","UseDPDF=Y")</f>
        <v>742</v>
      </c>
      <c r="I90" s="13">
        <f>_xll.BDH("AMGN US Equity","ARDR_AMORT_INT_AST_NON_GAAP_COGS","FQ2 2020","FQ2 2020","Currency=USD","Period=FQ","BEST_FPERIOD_OVERRIDE=FQ","FILING_STATUS=MR","SCALING_FORMAT=MLN","Sort=A","Dates=H","DateFormat=P","Fill=—","Direction=H","UseDPDF=Y")</f>
        <v>730</v>
      </c>
      <c r="J90" s="13">
        <f>_xll.BDH("AMGN US Equity","ARDR_AMORT_INT_AST_NON_GAAP_COGS","FQ3 2020","FQ3 2020","Currency=USD","Period=FQ","BEST_FPERIOD_OVERRIDE=FQ","FILING_STATUS=MR","SCALING_FORMAT=MLN","Sort=A","Dates=H","DateFormat=P","Fill=—","Direction=H","UseDPDF=Y")</f>
        <v>687</v>
      </c>
      <c r="K90" s="13">
        <f>_xll.BDH("AMGN US Equity","ARDR_AMORT_INT_AST_NON_GAAP_COGS","FQ4 2020","FQ4 2020","Currency=USD","Period=FQ","BEST_FPERIOD_OVERRIDE=FQ","FILING_STATUS=MR","SCALING_FORMAT=MLN","Sort=A","Dates=H","DateFormat=P","Fill=—","Direction=H","UseDPDF=Y")</f>
        <v>638</v>
      </c>
      <c r="L90" s="13">
        <f>_xll.BDH("AMGN US Equity","ARDR_AMORT_INT_AST_NON_GAAP_COGS","FQ1 2021","FQ1 2021","Currency=USD","Period=FQ","BEST_FPERIOD_OVERRIDE=FQ","FILING_STATUS=MR","SCALING_FORMAT=MLN","Sort=A","Dates=H","DateFormat=P","Fill=—","Direction=H","UseDPDF=Y")</f>
        <v>623</v>
      </c>
      <c r="M90" s="13">
        <f>_xll.BDH("AMGN US Equity","ARDR_AMORT_INT_AST_NON_GAAP_COGS","FQ2 2021","FQ2 2021","Currency=USD","Period=FQ","BEST_FPERIOD_OVERRIDE=FQ","FILING_STATUS=MR","SCALING_FORMAT=MLN","Sort=A","Dates=H","DateFormat=P","Fill=—","Direction=H","UseDPDF=Y")</f>
        <v>603</v>
      </c>
      <c r="N90" s="13">
        <f>_xll.BDH("AMGN US Equity","ARDR_AMORT_INT_AST_NON_GAAP_COGS","FQ3 2021","FQ3 2021","Currency=USD","Period=FQ","BEST_FPERIOD_OVERRIDE=FQ","FILING_STATUS=MR","SCALING_FORMAT=MLN","Sort=A","Dates=H","DateFormat=P","Fill=—","Direction=H","UseDPDF=Y")</f>
        <v>612</v>
      </c>
      <c r="O90" s="13">
        <f>_xll.BDH("AMGN US Equity","ARDR_AMORT_INT_AST_NON_GAAP_COGS","FQ4 2021","FQ4 2021","Currency=USD","Period=FQ","BEST_FPERIOD_OVERRIDE=FQ","FILING_STATUS=MR","SCALING_FORMAT=MLN","Sort=A","Dates=H","DateFormat=P","Fill=—","Direction=H","UseDPDF=Y")</f>
        <v>616</v>
      </c>
      <c r="P90" s="13">
        <f>_xll.BDH("AMGN US Equity","ARDR_AMORT_INT_AST_NON_GAAP_COGS","FQ1 2022","FQ1 2022","Currency=USD","Period=FQ","BEST_FPERIOD_OVERRIDE=FQ","FILING_STATUS=MR","SCALING_FORMAT=MLN","Sort=A","Dates=H","DateFormat=P","Fill=—","Direction=H","UseDPDF=Y")</f>
        <v>610</v>
      </c>
      <c r="Q90" s="13">
        <f>_xll.BDH("AMGN US Equity","ARDR_AMORT_INT_AST_NON_GAAP_COGS","FQ2 2022","FQ2 2022","Currency=USD","Period=FQ","BEST_FPERIOD_OVERRIDE=FQ","FILING_STATUS=MR","SCALING_FORMAT=MLN","Sort=A","Dates=H","DateFormat=P","Fill=—","Direction=H","UseDPDF=Y")</f>
        <v>584</v>
      </c>
      <c r="R90" s="13">
        <f>_xll.BDH("AMGN US Equity","ARDR_AMORT_INT_AST_NON_GAAP_COGS","FQ3 2022","FQ3 2022","Currency=USD","Period=FQ","BEST_FPERIOD_OVERRIDE=FQ","FILING_STATUS=MR","SCALING_FORMAT=MLN","Sort=A","Dates=H","DateFormat=P","Fill=—","Direction=H","UseDPDF=Y")</f>
        <v>585</v>
      </c>
      <c r="S90" s="13">
        <f>_xll.BDH("AMGN US Equity","ARDR_AMORT_INT_AST_NON_GAAP_COGS","FQ4 2022","FQ4 2022","Currency=USD","Period=FQ","BEST_FPERIOD_OVERRIDE=FQ","FILING_STATUS=MR","SCALING_FORMAT=MLN","Sort=A","Dates=H","DateFormat=P","Fill=—","Direction=H","UseDPDF=Y")</f>
        <v>676</v>
      </c>
      <c r="T90" s="13">
        <f>_xll.BDH("AMGN US Equity","ARDR_AMORT_INT_AST_NON_GAAP_COGS","FQ1 2023","FQ1 2023","Currency=USD","Period=FQ","BEST_FPERIOD_OVERRIDE=FQ","FILING_STATUS=MR","SCALING_FORMAT=MLN","Sort=A","Dates=H","DateFormat=P","Fill=—","Direction=H","UseDPDF=Y")</f>
        <v>669</v>
      </c>
      <c r="U90" s="13">
        <f>_xll.BDH("AMGN US Equity","ARDR_AMORT_INT_AST_NON_GAAP_COGS","FQ2 2023","FQ2 2023","Currency=USD","Period=FQ","BEST_FPERIOD_OVERRIDE=FQ","FILING_STATUS=MR","SCALING_FORMAT=MLN","Sort=A","Dates=H","DateFormat=P","Fill=—","Direction=H","UseDPDF=Y")</f>
        <v>671</v>
      </c>
      <c r="V90" s="13">
        <f>_xll.BDH("AMGN US Equity","ARDR_AMORT_INT_AST_NON_GAAP_COGS","FQ3 2023","FQ3 2023","Currency=USD","Period=FQ","BEST_FPERIOD_OVERRIDE=FQ","FILING_STATUS=MR","SCALING_FORMAT=MLN","Sort=A","Dates=H","DateFormat=P","Fill=—","Direction=H","UseDPDF=Y")</f>
        <v>668</v>
      </c>
      <c r="W90" s="13">
        <f>_xll.BDH("AMGN US Equity","ARDR_AMORT_INT_AST_NON_GAAP_COGS","FQ4 2023","FQ4 2023","Currency=USD","Period=FQ","BEST_FPERIOD_OVERRIDE=FQ","FILING_STATUS=MR","SCALING_FORMAT=MLN","Sort=A","Dates=H","DateFormat=P","Fill=—","Direction=H","UseDPDF=Y")</f>
        <v>1834</v>
      </c>
      <c r="X90" s="13">
        <f>_xll.BDH("AMGN US Equity","ARDR_AMORT_INT_AST_NON_GAAP_COGS","FQ1 2024","FQ1 2024","Currency=USD","Period=FQ","BEST_FPERIOD_OVERRIDE=FQ","FILING_STATUS=MR","SCALING_FORMAT=MLN","Sort=A","Dates=H","DateFormat=P","Fill=—","Direction=H","UseDPDF=Y")</f>
        <v>1860</v>
      </c>
      <c r="Y90" s="13">
        <f>_xll.BDH("AMGN US Equity","ARDR_AMORT_INT_AST_NON_GAAP_COGS","FQ2 2024","FQ2 2024","Currency=USD","Period=FQ","BEST_FPERIOD_OVERRIDE=FQ","FILING_STATUS=MR","SCALING_FORMAT=MLN","Sort=A","Dates=H","DateFormat=P","Fill=—","Direction=H","UseDPDF=Y")</f>
        <v>1830</v>
      </c>
      <c r="Z90" s="13">
        <f>_xll.BDH("AMGN US Equity","ARDR_AMORT_INT_AST_NON_GAAP_COGS","FQ3 2024","FQ3 2024","Currency=USD","Period=FQ","BEST_FPERIOD_OVERRIDE=FQ","FILING_STATUS=MR","SCALING_FORMAT=MLN","Sort=A","Dates=H","DateFormat=P","Fill=—","Direction=H","UseDPDF=Y")</f>
        <v>1856</v>
      </c>
      <c r="AA90" s="13">
        <f>_xll.BDH("AMGN US Equity","ARDR_AMORT_INT_AST_NON_GAAP_COGS","FQ4 2024","FQ4 2024","Currency=USD","Period=FQ","BEST_FPERIOD_OVERRIDE=FQ","FILING_STATUS=MR","SCALING_FORMAT=MLN","Sort=A","Dates=H","DateFormat=P","Fill=—","Direction=H","UseDPDF=Y")</f>
        <v>376</v>
      </c>
    </row>
    <row r="91" spans="1:27" x14ac:dyDescent="0.25">
      <c r="A91" s="10" t="s">
        <v>558</v>
      </c>
      <c r="B91" s="10" t="s">
        <v>559</v>
      </c>
      <c r="C91" s="13">
        <f>_xll.BDH("AMGN US Equity","ARDR_AMORT_INT_AST_NON_GAAP_SG&amp;A","FQ4 2018","FQ4 2018","Currency=USD","Period=FQ","BEST_FPERIOD_OVERRIDE=FQ","FILING_STATUS=MR","SCALING_FORMAT=MLN","Sort=A","Dates=H","DateFormat=P","Fill=—","Direction=H","UseDPDF=Y")</f>
        <v>19</v>
      </c>
      <c r="D91" s="13">
        <f>_xll.BDH("AMGN US Equity","ARDR_AMORT_INT_AST_NON_GAAP_SG&amp;A","FQ1 2019","FQ1 2019","Currency=USD","Period=FQ","BEST_FPERIOD_OVERRIDE=FQ","FILING_STATUS=MR","SCALING_FORMAT=MLN","Sort=A","Dates=H","DateFormat=P","Fill=—","Direction=H","UseDPDF=Y")</f>
        <v>4</v>
      </c>
      <c r="E91" s="13">
        <f>_xll.BDH("AMGN US Equity","ARDR_AMORT_INT_AST_NON_GAAP_SG&amp;A","FQ2 2019","FQ2 2019","Currency=USD","Period=FQ","BEST_FPERIOD_OVERRIDE=FQ","FILING_STATUS=MR","SCALING_FORMAT=MLN","Sort=A","Dates=H","DateFormat=P","Fill=—","Direction=H","UseDPDF=Y")</f>
        <v>5</v>
      </c>
      <c r="F91" s="13">
        <f>_xll.BDH("AMGN US Equity","ARDR_AMORT_INT_AST_NON_GAAP_SG&amp;A","FQ3 2019","FQ3 2019","Currency=USD","Period=FQ","BEST_FPERIOD_OVERRIDE=FQ","FILING_STATUS=MR","SCALING_FORMAT=MLN","Sort=A","Dates=H","DateFormat=P","Fill=—","Direction=H","UseDPDF=Y")</f>
        <v>17</v>
      </c>
      <c r="G91" s="13">
        <f>_xll.BDH("AMGN US Equity","ARDR_AMORT_INT_AST_NON_GAAP_SG&amp;A","FQ4 2019","FQ4 2019","Currency=USD","Period=FQ","BEST_FPERIOD_OVERRIDE=FQ","FILING_STATUS=MR","SCALING_FORMAT=MLN","Sort=A","Dates=H","DateFormat=P","Fill=—","Direction=H","UseDPDF=Y")</f>
        <v>12</v>
      </c>
      <c r="H91" s="13">
        <f>_xll.BDH("AMGN US Equity","ARDR_AMORT_INT_AST_NON_GAAP_SG&amp;A","FQ1 2020","FQ1 2020","Currency=USD","Period=FQ","BEST_FPERIOD_OVERRIDE=FQ","FILING_STATUS=MR","SCALING_FORMAT=MLN","Sort=A","Dates=H","DateFormat=P","Fill=—","Direction=H","UseDPDF=Y")</f>
        <v>29</v>
      </c>
      <c r="I91" s="13">
        <f>_xll.BDH("AMGN US Equity","ARDR_AMORT_INT_AST_NON_GAAP_SG&amp;A","FQ2 2020","FQ2 2020","Currency=USD","Period=FQ","BEST_FPERIOD_OVERRIDE=FQ","FILING_STATUS=MR","SCALING_FORMAT=MLN","Sort=A","Dates=H","DateFormat=P","Fill=—","Direction=H","UseDPDF=Y")</f>
        <v>30</v>
      </c>
      <c r="J91" s="13">
        <f>_xll.BDH("AMGN US Equity","ARDR_AMORT_INT_AST_NON_GAAP_SG&amp;A","FQ3 2020","FQ3 2020","Currency=USD","Period=FQ","BEST_FPERIOD_OVERRIDE=FQ","FILING_STATUS=MR","SCALING_FORMAT=MLN","Sort=A","Dates=H","DateFormat=P","Fill=—","Direction=H","UseDPDF=Y")</f>
        <v>15</v>
      </c>
      <c r="K91" s="13">
        <f>_xll.BDH("AMGN US Equity","ARDR_AMORT_INT_AST_NON_GAAP_SG&amp;A","FQ4 2020","FQ4 2020","Currency=USD","Period=FQ","BEST_FPERIOD_OVERRIDE=FQ","FILING_STATUS=MR","SCALING_FORMAT=MLN","Sort=A","Dates=H","DateFormat=P","Fill=—","Direction=H","UseDPDF=Y")</f>
        <v>11</v>
      </c>
      <c r="L91" s="13">
        <f>_xll.BDH("AMGN US Equity","ARDR_AMORT_INT_AST_NON_GAAP_SG&amp;A","FQ1 2021","FQ1 2021","Currency=USD","Period=FQ","BEST_FPERIOD_OVERRIDE=FQ","FILING_STATUS=MR","SCALING_FORMAT=MLN","Sort=A","Dates=H","DateFormat=P","Fill=—","Direction=H","UseDPDF=Y")</f>
        <v>28</v>
      </c>
      <c r="M91" s="13">
        <f>_xll.BDH("AMGN US Equity","ARDR_AMORT_INT_AST_NON_GAAP_SG&amp;A","FQ2 2021","FQ2 2021","Currency=USD","Period=FQ","BEST_FPERIOD_OVERRIDE=FQ","FILING_STATUS=MR","SCALING_FORMAT=MLN","Sort=A","Dates=H","DateFormat=P","Fill=—","Direction=H","UseDPDF=Y")</f>
        <v>39</v>
      </c>
      <c r="N91" s="13">
        <f>_xll.BDH("AMGN US Equity","ARDR_AMORT_INT_AST_NON_GAAP_SG&amp;A","FQ3 2021","FQ3 2021","Currency=USD","Period=FQ","BEST_FPERIOD_OVERRIDE=FQ","FILING_STATUS=MR","SCALING_FORMAT=MLN","Sort=A","Dates=H","DateFormat=P","Fill=—","Direction=H","UseDPDF=Y")</f>
        <v>16</v>
      </c>
      <c r="O91" s="13">
        <f>_xll.BDH("AMGN US Equity","ARDR_AMORT_INT_AST_NON_GAAP_SG&amp;A","FQ4 2021","FQ4 2021","Currency=USD","Period=FQ","BEST_FPERIOD_OVERRIDE=FQ","FILING_STATUS=MR","SCALING_FORMAT=MLN","Sort=A","Dates=H","DateFormat=P","Fill=—","Direction=H","UseDPDF=Y")</f>
        <v>20</v>
      </c>
      <c r="P91" s="13">
        <f>_xll.BDH("AMGN US Equity","ARDR_AMORT_INT_AST_NON_GAAP_SG&amp;A","FQ1 2022","FQ1 2022","Currency=USD","Period=FQ","BEST_FPERIOD_OVERRIDE=FQ","FILING_STATUS=MR","SCALING_FORMAT=MLN","Sort=A","Dates=H","DateFormat=P","Fill=—","Direction=H","UseDPDF=Y")</f>
        <v>15</v>
      </c>
      <c r="Q91" s="13">
        <f>_xll.BDH("AMGN US Equity","ARDR_AMORT_INT_AST_NON_GAAP_SG&amp;A","FQ2 2022","FQ2 2022","Currency=USD","Period=FQ","BEST_FPERIOD_OVERRIDE=FQ","FILING_STATUS=MR","SCALING_FORMAT=MLN","Sort=A","Dates=H","DateFormat=P","Fill=—","Direction=H","UseDPDF=Y")</f>
        <v>14</v>
      </c>
      <c r="R91" s="13">
        <f>_xll.BDH("AMGN US Equity","ARDR_AMORT_INT_AST_NON_GAAP_SG&amp;A","FQ3 2022","FQ3 2022","Currency=USD","Period=FQ","BEST_FPERIOD_OVERRIDE=FQ","FILING_STATUS=MR","SCALING_FORMAT=MLN","Sort=A","Dates=H","DateFormat=P","Fill=—","Direction=H","UseDPDF=Y")</f>
        <v>11</v>
      </c>
      <c r="S91" s="13">
        <f>_xll.BDH("AMGN US Equity","ARDR_AMORT_INT_AST_NON_GAAP_SG&amp;A","FQ4 2022","FQ4 2022","Currency=USD","Period=FQ","BEST_FPERIOD_OVERRIDE=FQ","FILING_STATUS=MR","SCALING_FORMAT=MLN","Sort=A","Dates=H","DateFormat=P","Fill=—","Direction=H","UseDPDF=Y")</f>
        <v>104</v>
      </c>
      <c r="T91" s="13">
        <f>_xll.BDH("AMGN US Equity","ARDR_AMORT_INT_AST_NON_GAAP_SG&amp;A","FQ1 2023","FQ1 2023","Currency=USD","Period=FQ","BEST_FPERIOD_OVERRIDE=FQ","FILING_STATUS=MR","SCALING_FORMAT=MLN","Sort=A","Dates=H","DateFormat=P","Fill=—","Direction=H","UseDPDF=Y")</f>
        <v>34</v>
      </c>
      <c r="U91" s="13">
        <f>_xll.BDH("AMGN US Equity","ARDR_AMORT_INT_AST_NON_GAAP_SG&amp;A","FQ2 2023","FQ2 2023","Currency=USD","Period=FQ","BEST_FPERIOD_OVERRIDE=FQ","FILING_STATUS=MR","SCALING_FORMAT=MLN","Sort=A","Dates=H","DateFormat=P","Fill=—","Direction=H","UseDPDF=Y")</f>
        <v>57</v>
      </c>
      <c r="V91" s="13" t="str">
        <f>_xll.BDH("AMGN US Equity","ARDR_AMORT_INT_AST_NON_GAAP_SG&amp;A","FQ3 2023","FQ3 2023","Currency=USD","Period=FQ","BEST_FPERIOD_OVERRIDE=FQ","FILING_STATUS=MR","SCALING_FORMAT=MLN","Sort=A","Dates=H","DateFormat=P","Fill=—","Direction=H","UseDPDF=Y")</f>
        <v>—</v>
      </c>
      <c r="W91" s="13" t="str">
        <f>_xll.BDH("AMGN US Equity","ARDR_AMORT_INT_AST_NON_GAAP_SG&amp;A","FQ4 2023","FQ4 2023","Currency=USD","Period=FQ","BEST_FPERIOD_OVERRIDE=FQ","FILING_STATUS=MR","SCALING_FORMAT=MLN","Sort=A","Dates=H","DateFormat=P","Fill=—","Direction=H","UseDPDF=Y")</f>
        <v>—</v>
      </c>
      <c r="X91" s="13">
        <f>_xll.BDH("AMGN US Equity","ARDR_AMORT_INT_AST_NON_GAAP_SG&amp;A","FQ1 2024","FQ1 2024","Currency=USD","Period=FQ","BEST_FPERIOD_OVERRIDE=FQ","FILING_STATUS=MR","SCALING_FORMAT=MLN","Sort=A","Dates=H","DateFormat=P","Fill=—","Direction=H","UseDPDF=Y")</f>
        <v>96</v>
      </c>
      <c r="Y91" s="13">
        <f>_xll.BDH("AMGN US Equity","ARDR_AMORT_INT_AST_NON_GAAP_SG&amp;A","FQ2 2024","FQ2 2024","Currency=USD","Period=FQ","BEST_FPERIOD_OVERRIDE=FQ","FILING_STATUS=MR","SCALING_FORMAT=MLN","Sort=A","Dates=H","DateFormat=P","Fill=—","Direction=H","UseDPDF=Y")</f>
        <v>99</v>
      </c>
      <c r="Z91" s="13">
        <f>_xll.BDH("AMGN US Equity","ARDR_AMORT_INT_AST_NON_GAAP_SG&amp;A","FQ3 2024","FQ3 2024","Currency=USD","Period=FQ","BEST_FPERIOD_OVERRIDE=FQ","FILING_STATUS=MR","SCALING_FORMAT=MLN","Sort=A","Dates=H","DateFormat=P","Fill=—","Direction=H","UseDPDF=Y")</f>
        <v>60</v>
      </c>
      <c r="AA91" s="13" t="str">
        <f>_xll.BDH("AMGN US Equity","ARDR_AMORT_INT_AST_NON_GAAP_SG&amp;A","FQ4 2024","FQ4 2024","Currency=USD","Period=FQ","BEST_FPERIOD_OVERRIDE=FQ","FILING_STATUS=MR","SCALING_FORMAT=MLN","Sort=A","Dates=H","DateFormat=P","Fill=—","Direction=H","UseDPDF=Y")</f>
        <v>—</v>
      </c>
    </row>
    <row r="92" spans="1:27" x14ac:dyDescent="0.25">
      <c r="A92" s="10" t="s">
        <v>560</v>
      </c>
      <c r="B92" s="10" t="s">
        <v>561</v>
      </c>
      <c r="C92" s="13">
        <f>_xll.BDH("AMGN US Equity","ARDR_AMORT_INT_AST_NON_GAAP_R&amp;D","FQ4 2018","FQ4 2018","Currency=USD","Period=FQ","BEST_FPERIOD_OVERRIDE=FQ","FILING_STATUS=MR","SCALING_FORMAT=MLN","Sort=A","Dates=H","DateFormat=P","Fill=—","Direction=H","UseDPDF=Y")</f>
        <v>19</v>
      </c>
      <c r="D92" s="13">
        <f>_xll.BDH("AMGN US Equity","ARDR_AMORT_INT_AST_NON_GAAP_R&amp;D","FQ1 2019","FQ1 2019","Currency=USD","Period=FQ","BEST_FPERIOD_OVERRIDE=FQ","FILING_STATUS=MR","SCALING_FORMAT=MLN","Sort=A","Dates=H","DateFormat=P","Fill=—","Direction=H","UseDPDF=Y")</f>
        <v>20</v>
      </c>
      <c r="E92" s="13">
        <f>_xll.BDH("AMGN US Equity","ARDR_AMORT_INT_AST_NON_GAAP_R&amp;D","FQ2 2019","FQ2 2019","Currency=USD","Period=FQ","BEST_FPERIOD_OVERRIDE=FQ","FILING_STATUS=MR","SCALING_FORMAT=MLN","Sort=A","Dates=H","DateFormat=P","Fill=—","Direction=H","UseDPDF=Y")</f>
        <v>18</v>
      </c>
      <c r="F92" s="13">
        <f>_xll.BDH("AMGN US Equity","ARDR_AMORT_INT_AST_NON_GAAP_R&amp;D","FQ3 2019","FQ3 2019","Currency=USD","Period=FQ","BEST_FPERIOD_OVERRIDE=FQ","FILING_STATUS=MR","SCALING_FORMAT=MLN","Sort=A","Dates=H","DateFormat=P","Fill=—","Direction=H","UseDPDF=Y")</f>
        <v>24</v>
      </c>
      <c r="G92" s="13">
        <f>_xll.BDH("AMGN US Equity","ARDR_AMORT_INT_AST_NON_GAAP_R&amp;D","FQ4 2019","FQ4 2019","Currency=USD","Period=FQ","BEST_FPERIOD_OVERRIDE=FQ","FILING_STATUS=MR","SCALING_FORMAT=MLN","Sort=A","Dates=H","DateFormat=P","Fill=—","Direction=H","UseDPDF=Y")</f>
        <v>25</v>
      </c>
      <c r="H92" s="13">
        <f>_xll.BDH("AMGN US Equity","ARDR_AMORT_INT_AST_NON_GAAP_R&amp;D","FQ1 2020","FQ1 2020","Currency=USD","Period=FQ","BEST_FPERIOD_OVERRIDE=FQ","FILING_STATUS=MR","SCALING_FORMAT=MLN","Sort=A","Dates=H","DateFormat=P","Fill=—","Direction=H","UseDPDF=Y")</f>
        <v>25</v>
      </c>
      <c r="I92" s="13">
        <f>_xll.BDH("AMGN US Equity","ARDR_AMORT_INT_AST_NON_GAAP_R&amp;D","FQ2 2020","FQ2 2020","Currency=USD","Period=FQ","BEST_FPERIOD_OVERRIDE=FQ","FILING_STATUS=MR","SCALING_FORMAT=MLN","Sort=A","Dates=H","DateFormat=P","Fill=—","Direction=H","UseDPDF=Y")</f>
        <v>28</v>
      </c>
      <c r="J92" s="13">
        <f>_xll.BDH("AMGN US Equity","ARDR_AMORT_INT_AST_NON_GAAP_R&amp;D","FQ3 2020","FQ3 2020","Currency=USD","Period=FQ","BEST_FPERIOD_OVERRIDE=FQ","FILING_STATUS=MR","SCALING_FORMAT=MLN","Sort=A","Dates=H","DateFormat=P","Fill=—","Direction=H","UseDPDF=Y")</f>
        <v>24</v>
      </c>
      <c r="K92" s="13">
        <f>_xll.BDH("AMGN US Equity","ARDR_AMORT_INT_AST_NON_GAAP_R&amp;D","FQ4 2020","FQ4 2020","Currency=USD","Period=FQ","BEST_FPERIOD_OVERRIDE=FQ","FILING_STATUS=MR","SCALING_FORMAT=MLN","Sort=A","Dates=H","DateFormat=P","Fill=—","Direction=H","UseDPDF=Y")</f>
        <v>43</v>
      </c>
      <c r="L92" s="13">
        <f>_xll.BDH("AMGN US Equity","ARDR_AMORT_INT_AST_NON_GAAP_R&amp;D","FQ1 2021","FQ1 2021","Currency=USD","Period=FQ","BEST_FPERIOD_OVERRIDE=FQ","FILING_STATUS=MR","SCALING_FORMAT=MLN","Sort=A","Dates=H","DateFormat=P","Fill=—","Direction=H","UseDPDF=Y")</f>
        <v>23</v>
      </c>
      <c r="M92" s="13">
        <f>_xll.BDH("AMGN US Equity","ARDR_AMORT_INT_AST_NON_GAAP_R&amp;D","FQ2 2021","FQ2 2021","Currency=USD","Period=FQ","BEST_FPERIOD_OVERRIDE=FQ","FILING_STATUS=MR","SCALING_FORMAT=MLN","Sort=A","Dates=H","DateFormat=P","Fill=—","Direction=H","UseDPDF=Y")</f>
        <v>46</v>
      </c>
      <c r="N92" s="13">
        <f>_xll.BDH("AMGN US Equity","ARDR_AMORT_INT_AST_NON_GAAP_R&amp;D","FQ3 2021","FQ3 2021","Currency=USD","Period=FQ","BEST_FPERIOD_OVERRIDE=FQ","FILING_STATUS=MR","SCALING_FORMAT=MLN","Sort=A","Dates=H","DateFormat=P","Fill=—","Direction=H","UseDPDF=Y")</f>
        <v>25</v>
      </c>
      <c r="O92" s="13">
        <f>_xll.BDH("AMGN US Equity","ARDR_AMORT_INT_AST_NON_GAAP_R&amp;D","FQ4 2021","FQ4 2021","Currency=USD","Period=FQ","BEST_FPERIOD_OVERRIDE=FQ","FILING_STATUS=MR","SCALING_FORMAT=MLN","Sort=A","Dates=H","DateFormat=P","Fill=—","Direction=H","UseDPDF=Y")</f>
        <v>29</v>
      </c>
      <c r="P92" s="13">
        <f>_xll.BDH("AMGN US Equity","ARDR_AMORT_INT_AST_NON_GAAP_R&amp;D","FQ1 2022","FQ1 2022","Currency=USD","Period=FQ","BEST_FPERIOD_OVERRIDE=FQ","FILING_STATUS=MR","SCALING_FORMAT=MLN","Sort=A","Dates=H","DateFormat=P","Fill=—","Direction=H","UseDPDF=Y")</f>
        <v>25</v>
      </c>
      <c r="Q92" s="13">
        <f>_xll.BDH("AMGN US Equity","ARDR_AMORT_INT_AST_NON_GAAP_R&amp;D","FQ2 2022","FQ2 2022","Currency=USD","Period=FQ","BEST_FPERIOD_OVERRIDE=FQ","FILING_STATUS=MR","SCALING_FORMAT=MLN","Sort=A","Dates=H","DateFormat=P","Fill=—","Direction=H","UseDPDF=Y")</f>
        <v>19</v>
      </c>
      <c r="R92" s="13">
        <f>_xll.BDH("AMGN US Equity","ARDR_AMORT_INT_AST_NON_GAAP_R&amp;D","FQ3 2022","FQ3 2022","Currency=USD","Period=FQ","BEST_FPERIOD_OVERRIDE=FQ","FILING_STATUS=MR","SCALING_FORMAT=MLN","Sort=A","Dates=H","DateFormat=P","Fill=—","Direction=H","UseDPDF=Y")</f>
        <v>16</v>
      </c>
      <c r="S92" s="13">
        <f>_xll.BDH("AMGN US Equity","ARDR_AMORT_INT_AST_NON_GAAP_R&amp;D","FQ4 2022","FQ4 2022","Currency=USD","Period=FQ","BEST_FPERIOD_OVERRIDE=FQ","FILING_STATUS=MR","SCALING_FORMAT=MLN","Sort=A","Dates=H","DateFormat=P","Fill=—","Direction=H","UseDPDF=Y")</f>
        <v>33</v>
      </c>
      <c r="T92" s="13">
        <f>_xll.BDH("AMGN US Equity","ARDR_AMORT_INT_AST_NON_GAAP_R&amp;D","FQ1 2023","FQ1 2023","Currency=USD","Period=FQ","BEST_FPERIOD_OVERRIDE=FQ","FILING_STATUS=MR","SCALING_FORMAT=MLN","Sort=A","Dates=H","DateFormat=P","Fill=—","Direction=H","UseDPDF=Y")</f>
        <v>14</v>
      </c>
      <c r="U92" s="13">
        <f>_xll.BDH("AMGN US Equity","ARDR_AMORT_INT_AST_NON_GAAP_R&amp;D","FQ2 2023","FQ2 2023","Currency=USD","Period=FQ","BEST_FPERIOD_OVERRIDE=FQ","FILING_STATUS=MR","SCALING_FORMAT=MLN","Sort=A","Dates=H","DateFormat=P","Fill=—","Direction=H","UseDPDF=Y")</f>
        <v>4</v>
      </c>
      <c r="V92" s="13">
        <f>_xll.BDH("AMGN US Equity","ARDR_AMORT_INT_AST_NON_GAAP_R&amp;D","FQ3 2023","FQ3 2023","Currency=USD","Period=FQ","BEST_FPERIOD_OVERRIDE=FQ","FILING_STATUS=MR","SCALING_FORMAT=MLN","Sort=A","Dates=H","DateFormat=P","Fill=—","Direction=H","UseDPDF=Y")</f>
        <v>9</v>
      </c>
      <c r="W92" s="13">
        <f>_xll.BDH("AMGN US Equity","ARDR_AMORT_INT_AST_NON_GAAP_R&amp;D","FQ4 2023","FQ4 2023","Currency=USD","Period=FQ","BEST_FPERIOD_OVERRIDE=FQ","FILING_STATUS=MR","SCALING_FORMAT=MLN","Sort=A","Dates=H","DateFormat=P","Fill=—","Direction=H","UseDPDF=Y")</f>
        <v>28</v>
      </c>
      <c r="X92" s="13">
        <f>_xll.BDH("AMGN US Equity","ARDR_AMORT_INT_AST_NON_GAAP_R&amp;D","FQ1 2024","FQ1 2024","Currency=USD","Period=FQ","BEST_FPERIOD_OVERRIDE=FQ","FILING_STATUS=MR","SCALING_FORMAT=MLN","Sort=A","Dates=H","DateFormat=P","Fill=—","Direction=H","UseDPDF=Y")</f>
        <v>26</v>
      </c>
      <c r="Y92" s="13">
        <f>_xll.BDH("AMGN US Equity","ARDR_AMORT_INT_AST_NON_GAAP_R&amp;D","FQ2 2024","FQ2 2024","Currency=USD","Period=FQ","BEST_FPERIOD_OVERRIDE=FQ","FILING_STATUS=MR","SCALING_FORMAT=MLN","Sort=A","Dates=H","DateFormat=P","Fill=—","Direction=H","UseDPDF=Y")</f>
        <v>24</v>
      </c>
      <c r="Z92" s="13">
        <f>_xll.BDH("AMGN US Equity","ARDR_AMORT_INT_AST_NON_GAAP_R&amp;D","FQ3 2024","FQ3 2024","Currency=USD","Period=FQ","BEST_FPERIOD_OVERRIDE=FQ","FILING_STATUS=MR","SCALING_FORMAT=MLN","Sort=A","Dates=H","DateFormat=P","Fill=—","Direction=H","UseDPDF=Y")</f>
        <v>10</v>
      </c>
      <c r="AA92" s="13">
        <f>_xll.BDH("AMGN US Equity","ARDR_AMORT_INT_AST_NON_GAAP_R&amp;D","FQ4 2024","FQ4 2024","Currency=USD","Period=FQ","BEST_FPERIOD_OVERRIDE=FQ","FILING_STATUS=MR","SCALING_FORMAT=MLN","Sort=A","Dates=H","DateFormat=P","Fill=—","Direction=H","UseDPDF=Y")</f>
        <v>26</v>
      </c>
    </row>
    <row r="93" spans="1:27" x14ac:dyDescent="0.25">
      <c r="A93" s="10" t="s">
        <v>562</v>
      </c>
      <c r="B93" s="10" t="s">
        <v>563</v>
      </c>
      <c r="C93" s="13" t="str">
        <f>_xll.BDH("AMGN US Equity","ARDR_ACQ_REL_CHRGS_NON_GAAP_COGS","FQ4 2018","FQ4 2018","Currency=USD","Period=FQ","BEST_FPERIOD_OVERRIDE=FQ","FILING_STATUS=MR","SCALING_FORMAT=MLN","Sort=A","Dates=H","DateFormat=P","Fill=—","Direction=H","UseDPDF=Y")</f>
        <v>—</v>
      </c>
      <c r="D93" s="13" t="str">
        <f>_xll.BDH("AMGN US Equity","ARDR_ACQ_REL_CHRGS_NON_GAAP_COGS","FQ1 2019","FQ1 2019","Currency=USD","Period=FQ","BEST_FPERIOD_OVERRIDE=FQ","FILING_STATUS=MR","SCALING_FORMAT=MLN","Sort=A","Dates=H","DateFormat=P","Fill=—","Direction=H","UseDPDF=Y")</f>
        <v>—</v>
      </c>
      <c r="E93" s="13" t="str">
        <f>_xll.BDH("AMGN US Equity","ARDR_ACQ_REL_CHRGS_NON_GAAP_COGS","FQ2 2019","FQ2 2019","Currency=USD","Period=FQ","BEST_FPERIOD_OVERRIDE=FQ","FILING_STATUS=MR","SCALING_FORMAT=MLN","Sort=A","Dates=H","DateFormat=P","Fill=—","Direction=H","UseDPDF=Y")</f>
        <v>—</v>
      </c>
      <c r="F93" s="13" t="str">
        <f>_xll.BDH("AMGN US Equity","ARDR_ACQ_REL_CHRGS_NON_GAAP_COGS","FQ3 2019","FQ3 2019","Currency=USD","Period=FQ","BEST_FPERIOD_OVERRIDE=FQ","FILING_STATUS=MR","SCALING_FORMAT=MLN","Sort=A","Dates=H","DateFormat=P","Fill=—","Direction=H","UseDPDF=Y")</f>
        <v>—</v>
      </c>
      <c r="G93" s="13" t="str">
        <f>_xll.BDH("AMGN US Equity","ARDR_ACQ_REL_CHRGS_NON_GAAP_COGS","FQ4 2019","FQ4 2019","Currency=USD","Period=FQ","BEST_FPERIOD_OVERRIDE=FQ","FILING_STATUS=MR","SCALING_FORMAT=MLN","Sort=A","Dates=H","DateFormat=P","Fill=—","Direction=H","UseDPDF=Y")</f>
        <v>—</v>
      </c>
      <c r="H93" s="13" t="str">
        <f>_xll.BDH("AMGN US Equity","ARDR_ACQ_REL_CHRGS_NON_GAAP_COGS","FQ1 2020","FQ1 2020","Currency=USD","Period=FQ","BEST_FPERIOD_OVERRIDE=FQ","FILING_STATUS=MR","SCALING_FORMAT=MLN","Sort=A","Dates=H","DateFormat=P","Fill=—","Direction=H","UseDPDF=Y")</f>
        <v>—</v>
      </c>
      <c r="I93" s="13" t="str">
        <f>_xll.BDH("AMGN US Equity","ARDR_ACQ_REL_CHRGS_NON_GAAP_COGS","FQ2 2020","FQ2 2020","Currency=USD","Period=FQ","BEST_FPERIOD_OVERRIDE=FQ","FILING_STATUS=MR","SCALING_FORMAT=MLN","Sort=A","Dates=H","DateFormat=P","Fill=—","Direction=H","UseDPDF=Y")</f>
        <v>—</v>
      </c>
      <c r="J93" s="13">
        <f>_xll.BDH("AMGN US Equity","ARDR_ACQ_REL_CHRGS_NON_GAAP_COGS","FQ3 2020","FQ3 2020","Currency=USD","Period=FQ","BEST_FPERIOD_OVERRIDE=FQ","FILING_STATUS=MR","SCALING_FORMAT=MLN","Sort=A","Dates=H","DateFormat=P","Fill=—","Direction=H","UseDPDF=Y")</f>
        <v>687</v>
      </c>
      <c r="K93" s="13" t="str">
        <f>_xll.BDH("AMGN US Equity","ARDR_ACQ_REL_CHRGS_NON_GAAP_COGS","FQ4 2020","FQ4 2020","Currency=USD","Period=FQ","BEST_FPERIOD_OVERRIDE=FQ","FILING_STATUS=MR","SCALING_FORMAT=MLN","Sort=A","Dates=H","DateFormat=P","Fill=—","Direction=H","UseDPDF=Y")</f>
        <v>—</v>
      </c>
      <c r="L93" s="13" t="str">
        <f>_xll.BDH("AMGN US Equity","ARDR_ACQ_REL_CHRGS_NON_GAAP_COGS","FQ1 2021","FQ1 2021","Currency=USD","Period=FQ","BEST_FPERIOD_OVERRIDE=FQ","FILING_STATUS=MR","SCALING_FORMAT=MLN","Sort=A","Dates=H","DateFormat=P","Fill=—","Direction=H","UseDPDF=Y")</f>
        <v>—</v>
      </c>
      <c r="M93" s="13">
        <f>_xll.BDH("AMGN US Equity","ARDR_ACQ_REL_CHRGS_NON_GAAP_COGS","FQ2 2021","FQ2 2021","Currency=USD","Period=FQ","BEST_FPERIOD_OVERRIDE=FQ","FILING_STATUS=MR","SCALING_FORMAT=MLN","Sort=A","Dates=H","DateFormat=P","Fill=—","Direction=H","UseDPDF=Y")</f>
        <v>598</v>
      </c>
      <c r="N93" s="13" t="str">
        <f>_xll.BDH("AMGN US Equity","ARDR_ACQ_REL_CHRGS_NON_GAAP_COGS","FQ3 2021","FQ3 2021","Currency=USD","Period=FQ","BEST_FPERIOD_OVERRIDE=FQ","FILING_STATUS=MR","SCALING_FORMAT=MLN","Sort=A","Dates=H","DateFormat=P","Fill=—","Direction=H","UseDPDF=Y")</f>
        <v>—</v>
      </c>
      <c r="O93" s="13" t="str">
        <f>_xll.BDH("AMGN US Equity","ARDR_ACQ_REL_CHRGS_NON_GAAP_COGS","FQ4 2021","FQ4 2021","Currency=USD","Period=FQ","BEST_FPERIOD_OVERRIDE=FQ","FILING_STATUS=MR","SCALING_FORMAT=MLN","Sort=A","Dates=H","DateFormat=P","Fill=—","Direction=H","UseDPDF=Y")</f>
        <v>—</v>
      </c>
      <c r="P93" s="13" t="str">
        <f>_xll.BDH("AMGN US Equity","ARDR_ACQ_REL_CHRGS_NON_GAAP_COGS","FQ1 2022","FQ1 2022","Currency=USD","Period=FQ","BEST_FPERIOD_OVERRIDE=FQ","FILING_STATUS=MR","SCALING_FORMAT=MLN","Sort=A","Dates=H","DateFormat=P","Fill=—","Direction=H","UseDPDF=Y")</f>
        <v>—</v>
      </c>
      <c r="Q93" s="13">
        <f>_xll.BDH("AMGN US Equity","ARDR_ACQ_REL_CHRGS_NON_GAAP_COGS","FQ2 2022","FQ2 2022","Currency=USD","Period=FQ","BEST_FPERIOD_OVERRIDE=FQ","FILING_STATUS=MR","SCALING_FORMAT=MLN","Sort=A","Dates=H","DateFormat=P","Fill=—","Direction=H","UseDPDF=Y")</f>
        <v>584</v>
      </c>
      <c r="R93" s="13" t="str">
        <f>_xll.BDH("AMGN US Equity","ARDR_ACQ_REL_CHRGS_NON_GAAP_COGS","FQ3 2022","FQ3 2022","Currency=USD","Period=FQ","BEST_FPERIOD_OVERRIDE=FQ","FILING_STATUS=MR","SCALING_FORMAT=MLN","Sort=A","Dates=H","DateFormat=P","Fill=—","Direction=H","UseDPDF=Y")</f>
        <v>—</v>
      </c>
      <c r="S93" s="13" t="str">
        <f>_xll.BDH("AMGN US Equity","ARDR_ACQ_REL_CHRGS_NON_GAAP_COGS","FQ4 2022","FQ4 2022","Currency=USD","Period=FQ","BEST_FPERIOD_OVERRIDE=FQ","FILING_STATUS=MR","SCALING_FORMAT=MLN","Sort=A","Dates=H","DateFormat=P","Fill=—","Direction=H","UseDPDF=Y")</f>
        <v>—</v>
      </c>
      <c r="T93" s="13">
        <f>_xll.BDH("AMGN US Equity","ARDR_ACQ_REL_CHRGS_NON_GAAP_COGS","FQ1 2023","FQ1 2023","Currency=USD","Period=FQ","BEST_FPERIOD_OVERRIDE=FQ","FILING_STATUS=MR","SCALING_FORMAT=MLN","Sort=A","Dates=H","DateFormat=P","Fill=—","Direction=H","UseDPDF=Y")</f>
        <v>669</v>
      </c>
      <c r="U93" s="13" t="str">
        <f>_xll.BDH("AMGN US Equity","ARDR_ACQ_REL_CHRGS_NON_GAAP_COGS","FQ2 2023","FQ2 2023","Currency=USD","Period=FQ","BEST_FPERIOD_OVERRIDE=FQ","FILING_STATUS=MR","SCALING_FORMAT=MLN","Sort=A","Dates=H","DateFormat=P","Fill=—","Direction=H","UseDPDF=Y")</f>
        <v>—</v>
      </c>
      <c r="V93" s="13" t="str">
        <f>_xll.BDH("AMGN US Equity","ARDR_ACQ_REL_CHRGS_NON_GAAP_COGS","FQ3 2023","FQ3 2023","Currency=USD","Period=FQ","BEST_FPERIOD_OVERRIDE=FQ","FILING_STATUS=MR","SCALING_FORMAT=MLN","Sort=A","Dates=H","DateFormat=P","Fill=—","Direction=H","UseDPDF=Y")</f>
        <v>—</v>
      </c>
      <c r="W93" s="13">
        <f>_xll.BDH("AMGN US Equity","ARDR_ACQ_REL_CHRGS_NON_GAAP_COGS","FQ4 2023","FQ4 2023","Currency=USD","Period=FQ","BEST_FPERIOD_OVERRIDE=FQ","FILING_STATUS=MR","SCALING_FORMAT=MLN","Sort=A","Dates=H","DateFormat=P","Fill=—","Direction=H","UseDPDF=Y")</f>
        <v>1834</v>
      </c>
      <c r="X93" s="13" t="str">
        <f>_xll.BDH("AMGN US Equity","ARDR_ACQ_REL_CHRGS_NON_GAAP_COGS","FQ1 2024","FQ1 2024","Currency=USD","Period=FQ","BEST_FPERIOD_OVERRIDE=FQ","FILING_STATUS=MR","SCALING_FORMAT=MLN","Sort=A","Dates=H","DateFormat=P","Fill=—","Direction=H","UseDPDF=Y")</f>
        <v>—</v>
      </c>
      <c r="Y93" s="13" t="str">
        <f>_xll.BDH("AMGN US Equity","ARDR_ACQ_REL_CHRGS_NON_GAAP_COGS","FQ2 2024","FQ2 2024","Currency=USD","Period=FQ","BEST_FPERIOD_OVERRIDE=FQ","FILING_STATUS=MR","SCALING_FORMAT=MLN","Sort=A","Dates=H","DateFormat=P","Fill=—","Direction=H","UseDPDF=Y")</f>
        <v>—</v>
      </c>
      <c r="Z93" s="13" t="str">
        <f>_xll.BDH("AMGN US Equity","ARDR_ACQ_REL_CHRGS_NON_GAAP_COGS","FQ3 2024","FQ3 2024","Currency=USD","Period=FQ","BEST_FPERIOD_OVERRIDE=FQ","FILING_STATUS=MR","SCALING_FORMAT=MLN","Sort=A","Dates=H","DateFormat=P","Fill=—","Direction=H","UseDPDF=Y")</f>
        <v>—</v>
      </c>
      <c r="AA93" s="13" t="str">
        <f>_xll.BDH("AMGN US Equity","ARDR_ACQ_REL_CHRGS_NON_GAAP_COGS","FQ4 2024","FQ4 2024","Currency=USD","Period=FQ","BEST_FPERIOD_OVERRIDE=FQ","FILING_STATUS=MR","SCALING_FORMAT=MLN","Sort=A","Dates=H","DateFormat=P","Fill=—","Direction=H","UseDPDF=Y")</f>
        <v>—</v>
      </c>
    </row>
    <row r="94" spans="1:27" x14ac:dyDescent="0.25">
      <c r="A94" s="10" t="s">
        <v>564</v>
      </c>
      <c r="B94" s="10" t="s">
        <v>565</v>
      </c>
      <c r="C94" s="13" t="str">
        <f>_xll.BDH("AMGN US Equity","ARDR_ACQ_REL_CHRGS_NON_GAAP_SG&amp;A","FQ4 2018","FQ4 2018","Currency=USD","Period=FQ","BEST_FPERIOD_OVERRIDE=FQ","FILING_STATUS=MR","SCALING_FORMAT=MLN","Sort=A","Dates=H","DateFormat=P","Fill=—","Direction=H","UseDPDF=Y")</f>
        <v>—</v>
      </c>
      <c r="D94" s="13" t="str">
        <f>_xll.BDH("AMGN US Equity","ARDR_ACQ_REL_CHRGS_NON_GAAP_SG&amp;A","FQ1 2019","FQ1 2019","Currency=USD","Period=FQ","BEST_FPERIOD_OVERRIDE=FQ","FILING_STATUS=MR","SCALING_FORMAT=MLN","Sort=A","Dates=H","DateFormat=P","Fill=—","Direction=H","UseDPDF=Y")</f>
        <v>—</v>
      </c>
      <c r="E94" s="13" t="str">
        <f>_xll.BDH("AMGN US Equity","ARDR_ACQ_REL_CHRGS_NON_GAAP_SG&amp;A","FQ2 2019","FQ2 2019","Currency=USD","Period=FQ","BEST_FPERIOD_OVERRIDE=FQ","FILING_STATUS=MR","SCALING_FORMAT=MLN","Sort=A","Dates=H","DateFormat=P","Fill=—","Direction=H","UseDPDF=Y")</f>
        <v>—</v>
      </c>
      <c r="F94" s="13" t="str">
        <f>_xll.BDH("AMGN US Equity","ARDR_ACQ_REL_CHRGS_NON_GAAP_SG&amp;A","FQ3 2019","FQ3 2019","Currency=USD","Period=FQ","BEST_FPERIOD_OVERRIDE=FQ","FILING_STATUS=MR","SCALING_FORMAT=MLN","Sort=A","Dates=H","DateFormat=P","Fill=—","Direction=H","UseDPDF=Y")</f>
        <v>—</v>
      </c>
      <c r="G94" s="13" t="str">
        <f>_xll.BDH("AMGN US Equity","ARDR_ACQ_REL_CHRGS_NON_GAAP_SG&amp;A","FQ4 2019","FQ4 2019","Currency=USD","Period=FQ","BEST_FPERIOD_OVERRIDE=FQ","FILING_STATUS=MR","SCALING_FORMAT=MLN","Sort=A","Dates=H","DateFormat=P","Fill=—","Direction=H","UseDPDF=Y")</f>
        <v>—</v>
      </c>
      <c r="H94" s="13" t="str">
        <f>_xll.BDH("AMGN US Equity","ARDR_ACQ_REL_CHRGS_NON_GAAP_SG&amp;A","FQ1 2020","FQ1 2020","Currency=USD","Period=FQ","BEST_FPERIOD_OVERRIDE=FQ","FILING_STATUS=MR","SCALING_FORMAT=MLN","Sort=A","Dates=H","DateFormat=P","Fill=—","Direction=H","UseDPDF=Y")</f>
        <v>—</v>
      </c>
      <c r="I94" s="13" t="str">
        <f>_xll.BDH("AMGN US Equity","ARDR_ACQ_REL_CHRGS_NON_GAAP_SG&amp;A","FQ2 2020","FQ2 2020","Currency=USD","Period=FQ","BEST_FPERIOD_OVERRIDE=FQ","FILING_STATUS=MR","SCALING_FORMAT=MLN","Sort=A","Dates=H","DateFormat=P","Fill=—","Direction=H","UseDPDF=Y")</f>
        <v>—</v>
      </c>
      <c r="J94" s="13">
        <f>_xll.BDH("AMGN US Equity","ARDR_ACQ_REL_CHRGS_NON_GAAP_SG&amp;A","FQ3 2020","FQ3 2020","Currency=USD","Period=FQ","BEST_FPERIOD_OVERRIDE=FQ","FILING_STATUS=MR","SCALING_FORMAT=MLN","Sort=A","Dates=H","DateFormat=P","Fill=—","Direction=H","UseDPDF=Y")</f>
        <v>15</v>
      </c>
      <c r="K94" s="13" t="str">
        <f>_xll.BDH("AMGN US Equity","ARDR_ACQ_REL_CHRGS_NON_GAAP_SG&amp;A","FQ4 2020","FQ4 2020","Currency=USD","Period=FQ","BEST_FPERIOD_OVERRIDE=FQ","FILING_STATUS=MR","SCALING_FORMAT=MLN","Sort=A","Dates=H","DateFormat=P","Fill=—","Direction=H","UseDPDF=Y")</f>
        <v>—</v>
      </c>
      <c r="L94" s="13" t="str">
        <f>_xll.BDH("AMGN US Equity","ARDR_ACQ_REL_CHRGS_NON_GAAP_SG&amp;A","FQ1 2021","FQ1 2021","Currency=USD","Period=FQ","BEST_FPERIOD_OVERRIDE=FQ","FILING_STATUS=MR","SCALING_FORMAT=MLN","Sort=A","Dates=H","DateFormat=P","Fill=—","Direction=H","UseDPDF=Y")</f>
        <v>—</v>
      </c>
      <c r="M94" s="13">
        <f>_xll.BDH("AMGN US Equity","ARDR_ACQ_REL_CHRGS_NON_GAAP_SG&amp;A","FQ2 2021","FQ2 2021","Currency=USD","Period=FQ","BEST_FPERIOD_OVERRIDE=FQ","FILING_STATUS=MR","SCALING_FORMAT=MLN","Sort=A","Dates=H","DateFormat=P","Fill=—","Direction=H","UseDPDF=Y")</f>
        <v>39</v>
      </c>
      <c r="N94" s="13" t="str">
        <f>_xll.BDH("AMGN US Equity","ARDR_ACQ_REL_CHRGS_NON_GAAP_SG&amp;A","FQ3 2021","FQ3 2021","Currency=USD","Period=FQ","BEST_FPERIOD_OVERRIDE=FQ","FILING_STATUS=MR","SCALING_FORMAT=MLN","Sort=A","Dates=H","DateFormat=P","Fill=—","Direction=H","UseDPDF=Y")</f>
        <v>—</v>
      </c>
      <c r="O94" s="13" t="str">
        <f>_xll.BDH("AMGN US Equity","ARDR_ACQ_REL_CHRGS_NON_GAAP_SG&amp;A","FQ4 2021","FQ4 2021","Currency=USD","Period=FQ","BEST_FPERIOD_OVERRIDE=FQ","FILING_STATUS=MR","SCALING_FORMAT=MLN","Sort=A","Dates=H","DateFormat=P","Fill=—","Direction=H","UseDPDF=Y")</f>
        <v>—</v>
      </c>
      <c r="P94" s="13" t="str">
        <f>_xll.BDH("AMGN US Equity","ARDR_ACQ_REL_CHRGS_NON_GAAP_SG&amp;A","FQ1 2022","FQ1 2022","Currency=USD","Period=FQ","BEST_FPERIOD_OVERRIDE=FQ","FILING_STATUS=MR","SCALING_FORMAT=MLN","Sort=A","Dates=H","DateFormat=P","Fill=—","Direction=H","UseDPDF=Y")</f>
        <v>—</v>
      </c>
      <c r="Q94" s="13">
        <f>_xll.BDH("AMGN US Equity","ARDR_ACQ_REL_CHRGS_NON_GAAP_SG&amp;A","FQ2 2022","FQ2 2022","Currency=USD","Period=FQ","BEST_FPERIOD_OVERRIDE=FQ","FILING_STATUS=MR","SCALING_FORMAT=MLN","Sort=A","Dates=H","DateFormat=P","Fill=—","Direction=H","UseDPDF=Y")</f>
        <v>19</v>
      </c>
      <c r="R94" s="13" t="str">
        <f>_xll.BDH("AMGN US Equity","ARDR_ACQ_REL_CHRGS_NON_GAAP_SG&amp;A","FQ3 2022","FQ3 2022","Currency=USD","Period=FQ","BEST_FPERIOD_OVERRIDE=FQ","FILING_STATUS=MR","SCALING_FORMAT=MLN","Sort=A","Dates=H","DateFormat=P","Fill=—","Direction=H","UseDPDF=Y")</f>
        <v>—</v>
      </c>
      <c r="S94" s="13" t="str">
        <f>_xll.BDH("AMGN US Equity","ARDR_ACQ_REL_CHRGS_NON_GAAP_SG&amp;A","FQ4 2022","FQ4 2022","Currency=USD","Period=FQ","BEST_FPERIOD_OVERRIDE=FQ","FILING_STATUS=MR","SCALING_FORMAT=MLN","Sort=A","Dates=H","DateFormat=P","Fill=—","Direction=H","UseDPDF=Y")</f>
        <v>—</v>
      </c>
      <c r="T94" s="13">
        <f>_xll.BDH("AMGN US Equity","ARDR_ACQ_REL_CHRGS_NON_GAAP_SG&amp;A","FQ1 2023","FQ1 2023","Currency=USD","Period=FQ","BEST_FPERIOD_OVERRIDE=FQ","FILING_STATUS=MR","SCALING_FORMAT=MLN","Sort=A","Dates=H","DateFormat=P","Fill=—","Direction=H","UseDPDF=Y")</f>
        <v>14</v>
      </c>
      <c r="U94" s="13" t="str">
        <f>_xll.BDH("AMGN US Equity","ARDR_ACQ_REL_CHRGS_NON_GAAP_SG&amp;A","FQ2 2023","FQ2 2023","Currency=USD","Period=FQ","BEST_FPERIOD_OVERRIDE=FQ","FILING_STATUS=MR","SCALING_FORMAT=MLN","Sort=A","Dates=H","DateFormat=P","Fill=—","Direction=H","UseDPDF=Y")</f>
        <v>—</v>
      </c>
      <c r="V94" s="13" t="str">
        <f>_xll.BDH("AMGN US Equity","ARDR_ACQ_REL_CHRGS_NON_GAAP_SG&amp;A","FQ3 2023","FQ3 2023","Currency=USD","Period=FQ","BEST_FPERIOD_OVERRIDE=FQ","FILING_STATUS=MR","SCALING_FORMAT=MLN","Sort=A","Dates=H","DateFormat=P","Fill=—","Direction=H","UseDPDF=Y")</f>
        <v>—</v>
      </c>
      <c r="W94" s="13">
        <f>_xll.BDH("AMGN US Equity","ARDR_ACQ_REL_CHRGS_NON_GAAP_SG&amp;A","FQ4 2023","FQ4 2023","Currency=USD","Period=FQ","BEST_FPERIOD_OVERRIDE=FQ","FILING_STATUS=MR","SCALING_FORMAT=MLN","Sort=A","Dates=H","DateFormat=P","Fill=—","Direction=H","UseDPDF=Y")</f>
        <v>510</v>
      </c>
      <c r="X94" s="13" t="str">
        <f>_xll.BDH("AMGN US Equity","ARDR_ACQ_REL_CHRGS_NON_GAAP_SG&amp;A","FQ1 2024","FQ1 2024","Currency=USD","Period=FQ","BEST_FPERIOD_OVERRIDE=FQ","FILING_STATUS=MR","SCALING_FORMAT=MLN","Sort=A","Dates=H","DateFormat=P","Fill=—","Direction=H","UseDPDF=Y")</f>
        <v>—</v>
      </c>
      <c r="Y94" s="13" t="str">
        <f>_xll.BDH("AMGN US Equity","ARDR_ACQ_REL_CHRGS_NON_GAAP_SG&amp;A","FQ2 2024","FQ2 2024","Currency=USD","Period=FQ","BEST_FPERIOD_OVERRIDE=FQ","FILING_STATUS=MR","SCALING_FORMAT=MLN","Sort=A","Dates=H","DateFormat=P","Fill=—","Direction=H","UseDPDF=Y")</f>
        <v>—</v>
      </c>
      <c r="Z94" s="13" t="str">
        <f>_xll.BDH("AMGN US Equity","ARDR_ACQ_REL_CHRGS_NON_GAAP_SG&amp;A","FQ3 2024","FQ3 2024","Currency=USD","Period=FQ","BEST_FPERIOD_OVERRIDE=FQ","FILING_STATUS=MR","SCALING_FORMAT=MLN","Sort=A","Dates=H","DateFormat=P","Fill=—","Direction=H","UseDPDF=Y")</f>
        <v>—</v>
      </c>
      <c r="AA94" s="13" t="str">
        <f>_xll.BDH("AMGN US Equity","ARDR_ACQ_REL_CHRGS_NON_GAAP_SG&amp;A","FQ4 2024","FQ4 2024","Currency=USD","Period=FQ","BEST_FPERIOD_OVERRIDE=FQ","FILING_STATUS=MR","SCALING_FORMAT=MLN","Sort=A","Dates=H","DateFormat=P","Fill=—","Direction=H","UseDPDF=Y")</f>
        <v>—</v>
      </c>
    </row>
    <row r="95" spans="1:27" x14ac:dyDescent="0.25">
      <c r="A95" s="10" t="s">
        <v>566</v>
      </c>
      <c r="B95" s="10" t="s">
        <v>567</v>
      </c>
      <c r="C95" s="13" t="str">
        <f>_xll.BDH("AMGN US Equity","ARDR_ACQ_REL_CHRGS_NON_GAAP_R&amp;D","FQ4 2018","FQ4 2018","Currency=USD","Period=FQ","BEST_FPERIOD_OVERRIDE=FQ","FILING_STATUS=MR","SCALING_FORMAT=MLN","Sort=A","Dates=H","DateFormat=P","Fill=—","Direction=H","UseDPDF=Y")</f>
        <v>—</v>
      </c>
      <c r="D95" s="13" t="str">
        <f>_xll.BDH("AMGN US Equity","ARDR_ACQ_REL_CHRGS_NON_GAAP_R&amp;D","FQ1 2019","FQ1 2019","Currency=USD","Period=FQ","BEST_FPERIOD_OVERRIDE=FQ","FILING_STATUS=MR","SCALING_FORMAT=MLN","Sort=A","Dates=H","DateFormat=P","Fill=—","Direction=H","UseDPDF=Y")</f>
        <v>—</v>
      </c>
      <c r="E95" s="13" t="str">
        <f>_xll.BDH("AMGN US Equity","ARDR_ACQ_REL_CHRGS_NON_GAAP_R&amp;D","FQ2 2019","FQ2 2019","Currency=USD","Period=FQ","BEST_FPERIOD_OVERRIDE=FQ","FILING_STATUS=MR","SCALING_FORMAT=MLN","Sort=A","Dates=H","DateFormat=P","Fill=—","Direction=H","UseDPDF=Y")</f>
        <v>—</v>
      </c>
      <c r="F95" s="13" t="str">
        <f>_xll.BDH("AMGN US Equity","ARDR_ACQ_REL_CHRGS_NON_GAAP_R&amp;D","FQ3 2019","FQ3 2019","Currency=USD","Period=FQ","BEST_FPERIOD_OVERRIDE=FQ","FILING_STATUS=MR","SCALING_FORMAT=MLN","Sort=A","Dates=H","DateFormat=P","Fill=—","Direction=H","UseDPDF=Y")</f>
        <v>—</v>
      </c>
      <c r="G95" s="13" t="str">
        <f>_xll.BDH("AMGN US Equity","ARDR_ACQ_REL_CHRGS_NON_GAAP_R&amp;D","FQ4 2019","FQ4 2019","Currency=USD","Period=FQ","BEST_FPERIOD_OVERRIDE=FQ","FILING_STATUS=MR","SCALING_FORMAT=MLN","Sort=A","Dates=H","DateFormat=P","Fill=—","Direction=H","UseDPDF=Y")</f>
        <v>—</v>
      </c>
      <c r="H95" s="13" t="str">
        <f>_xll.BDH("AMGN US Equity","ARDR_ACQ_REL_CHRGS_NON_GAAP_R&amp;D","FQ1 2020","FQ1 2020","Currency=USD","Period=FQ","BEST_FPERIOD_OVERRIDE=FQ","FILING_STATUS=MR","SCALING_FORMAT=MLN","Sort=A","Dates=H","DateFormat=P","Fill=—","Direction=H","UseDPDF=Y")</f>
        <v>—</v>
      </c>
      <c r="I95" s="13" t="str">
        <f>_xll.BDH("AMGN US Equity","ARDR_ACQ_REL_CHRGS_NON_GAAP_R&amp;D","FQ2 2020","FQ2 2020","Currency=USD","Period=FQ","BEST_FPERIOD_OVERRIDE=FQ","FILING_STATUS=MR","SCALING_FORMAT=MLN","Sort=A","Dates=H","DateFormat=P","Fill=—","Direction=H","UseDPDF=Y")</f>
        <v>—</v>
      </c>
      <c r="J95" s="13" t="str">
        <f>_xll.BDH("AMGN US Equity","ARDR_ACQ_REL_CHRGS_NON_GAAP_R&amp;D","FQ3 2020","FQ3 2020","Currency=USD","Period=FQ","BEST_FPERIOD_OVERRIDE=FQ","FILING_STATUS=MR","SCALING_FORMAT=MLN","Sort=A","Dates=H","DateFormat=P","Fill=—","Direction=H","UseDPDF=Y")</f>
        <v>—</v>
      </c>
      <c r="K95" s="13" t="str">
        <f>_xll.BDH("AMGN US Equity","ARDR_ACQ_REL_CHRGS_NON_GAAP_R&amp;D","FQ4 2020","FQ4 2020","Currency=USD","Period=FQ","BEST_FPERIOD_OVERRIDE=FQ","FILING_STATUS=MR","SCALING_FORMAT=MLN","Sort=A","Dates=H","DateFormat=P","Fill=—","Direction=H","UseDPDF=Y")</f>
        <v>—</v>
      </c>
      <c r="L95" s="13" t="str">
        <f>_xll.BDH("AMGN US Equity","ARDR_ACQ_REL_CHRGS_NON_GAAP_R&amp;D","FQ1 2021","FQ1 2021","Currency=USD","Period=FQ","BEST_FPERIOD_OVERRIDE=FQ","FILING_STATUS=MR","SCALING_FORMAT=MLN","Sort=A","Dates=H","DateFormat=P","Fill=—","Direction=H","UseDPDF=Y")</f>
        <v>—</v>
      </c>
      <c r="M95" s="13">
        <f>_xll.BDH("AMGN US Equity","ARDR_ACQ_REL_CHRGS_NON_GAAP_R&amp;D","FQ2 2021","FQ2 2021","Currency=USD","Period=FQ","BEST_FPERIOD_OVERRIDE=FQ","FILING_STATUS=MR","SCALING_FORMAT=MLN","Sort=A","Dates=H","DateFormat=P","Fill=—","Direction=H","UseDPDF=Y")</f>
        <v>46</v>
      </c>
      <c r="N95" s="13" t="str">
        <f>_xll.BDH("AMGN US Equity","ARDR_ACQ_REL_CHRGS_NON_GAAP_R&amp;D","FQ3 2021","FQ3 2021","Currency=USD","Period=FQ","BEST_FPERIOD_OVERRIDE=FQ","FILING_STATUS=MR","SCALING_FORMAT=MLN","Sort=A","Dates=H","DateFormat=P","Fill=—","Direction=H","UseDPDF=Y")</f>
        <v>—</v>
      </c>
      <c r="O95" s="13" t="str">
        <f>_xll.BDH("AMGN US Equity","ARDR_ACQ_REL_CHRGS_NON_GAAP_R&amp;D","FQ4 2021","FQ4 2021","Currency=USD","Period=FQ","BEST_FPERIOD_OVERRIDE=FQ","FILING_STATUS=MR","SCALING_FORMAT=MLN","Sort=A","Dates=H","DateFormat=P","Fill=—","Direction=H","UseDPDF=Y")</f>
        <v>—</v>
      </c>
      <c r="P95" s="13" t="str">
        <f>_xll.BDH("AMGN US Equity","ARDR_ACQ_REL_CHRGS_NON_GAAP_R&amp;D","FQ1 2022","FQ1 2022","Currency=USD","Period=FQ","BEST_FPERIOD_OVERRIDE=FQ","FILING_STATUS=MR","SCALING_FORMAT=MLN","Sort=A","Dates=H","DateFormat=P","Fill=—","Direction=H","UseDPDF=Y")</f>
        <v>—</v>
      </c>
      <c r="Q95" s="13">
        <f>_xll.BDH("AMGN US Equity","ARDR_ACQ_REL_CHRGS_NON_GAAP_R&amp;D","FQ2 2022","FQ2 2022","Currency=USD","Period=FQ","BEST_FPERIOD_OVERRIDE=FQ","FILING_STATUS=MR","SCALING_FORMAT=MLN","Sort=A","Dates=H","DateFormat=P","Fill=—","Direction=H","UseDPDF=Y")</f>
        <v>14</v>
      </c>
      <c r="R95" s="13" t="str">
        <f>_xll.BDH("AMGN US Equity","ARDR_ACQ_REL_CHRGS_NON_GAAP_R&amp;D","FQ3 2022","FQ3 2022","Currency=USD","Period=FQ","BEST_FPERIOD_OVERRIDE=FQ","FILING_STATUS=MR","SCALING_FORMAT=MLN","Sort=A","Dates=H","DateFormat=P","Fill=—","Direction=H","UseDPDF=Y")</f>
        <v>—</v>
      </c>
      <c r="S95" s="13" t="str">
        <f>_xll.BDH("AMGN US Equity","ARDR_ACQ_REL_CHRGS_NON_GAAP_R&amp;D","FQ4 2022","FQ4 2022","Currency=USD","Period=FQ","BEST_FPERIOD_OVERRIDE=FQ","FILING_STATUS=MR","SCALING_FORMAT=MLN","Sort=A","Dates=H","DateFormat=P","Fill=—","Direction=H","UseDPDF=Y")</f>
        <v>—</v>
      </c>
      <c r="T95" s="13">
        <f>_xll.BDH("AMGN US Equity","ARDR_ACQ_REL_CHRGS_NON_GAAP_R&amp;D","FQ1 2023","FQ1 2023","Currency=USD","Period=FQ","BEST_FPERIOD_OVERRIDE=FQ","FILING_STATUS=MR","SCALING_FORMAT=MLN","Sort=A","Dates=H","DateFormat=P","Fill=—","Direction=H","UseDPDF=Y")</f>
        <v>34</v>
      </c>
      <c r="U95" s="13" t="str">
        <f>_xll.BDH("AMGN US Equity","ARDR_ACQ_REL_CHRGS_NON_GAAP_R&amp;D","FQ2 2023","FQ2 2023","Currency=USD","Period=FQ","BEST_FPERIOD_OVERRIDE=FQ","FILING_STATUS=MR","SCALING_FORMAT=MLN","Sort=A","Dates=H","DateFormat=P","Fill=—","Direction=H","UseDPDF=Y")</f>
        <v>—</v>
      </c>
      <c r="V95" s="13" t="str">
        <f>_xll.BDH("AMGN US Equity","ARDR_ACQ_REL_CHRGS_NON_GAAP_R&amp;D","FQ3 2023","FQ3 2023","Currency=USD","Period=FQ","BEST_FPERIOD_OVERRIDE=FQ","FILING_STATUS=MR","SCALING_FORMAT=MLN","Sort=A","Dates=H","DateFormat=P","Fill=—","Direction=H","UseDPDF=Y")</f>
        <v>—</v>
      </c>
      <c r="W95" s="13">
        <f>_xll.BDH("AMGN US Equity","ARDR_ACQ_REL_CHRGS_NON_GAAP_R&amp;D","FQ4 2023","FQ4 2023","Currency=USD","Period=FQ","BEST_FPERIOD_OVERRIDE=FQ","FILING_STATUS=MR","SCALING_FORMAT=MLN","Sort=A","Dates=H","DateFormat=P","Fill=—","Direction=H","UseDPDF=Y")</f>
        <v>28</v>
      </c>
      <c r="X95" s="13" t="str">
        <f>_xll.BDH("AMGN US Equity","ARDR_ACQ_REL_CHRGS_NON_GAAP_R&amp;D","FQ1 2024","FQ1 2024","Currency=USD","Period=FQ","BEST_FPERIOD_OVERRIDE=FQ","FILING_STATUS=MR","SCALING_FORMAT=MLN","Sort=A","Dates=H","DateFormat=P","Fill=—","Direction=H","UseDPDF=Y")</f>
        <v>—</v>
      </c>
      <c r="Y95" s="13" t="str">
        <f>_xll.BDH("AMGN US Equity","ARDR_ACQ_REL_CHRGS_NON_GAAP_R&amp;D","FQ2 2024","FQ2 2024","Currency=USD","Period=FQ","BEST_FPERIOD_OVERRIDE=FQ","FILING_STATUS=MR","SCALING_FORMAT=MLN","Sort=A","Dates=H","DateFormat=P","Fill=—","Direction=H","UseDPDF=Y")</f>
        <v>—</v>
      </c>
      <c r="Z95" s="13" t="str">
        <f>_xll.BDH("AMGN US Equity","ARDR_ACQ_REL_CHRGS_NON_GAAP_R&amp;D","FQ3 2024","FQ3 2024","Currency=USD","Period=FQ","BEST_FPERIOD_OVERRIDE=FQ","FILING_STATUS=MR","SCALING_FORMAT=MLN","Sort=A","Dates=H","DateFormat=P","Fill=—","Direction=H","UseDPDF=Y")</f>
        <v>—</v>
      </c>
      <c r="AA95" s="13" t="str">
        <f>_xll.BDH("AMGN US Equity","ARDR_ACQ_REL_CHRGS_NON_GAAP_R&amp;D","FQ4 2024","FQ4 2024","Currency=USD","Period=FQ","BEST_FPERIOD_OVERRIDE=FQ","FILING_STATUS=MR","SCALING_FORMAT=MLN","Sort=A","Dates=H","DateFormat=P","Fill=—","Direction=H","UseDPDF=Y")</f>
        <v>—</v>
      </c>
    </row>
    <row r="96" spans="1:27" x14ac:dyDescent="0.25">
      <c r="A96" s="10" t="s">
        <v>568</v>
      </c>
      <c r="B96" s="10" t="s">
        <v>569</v>
      </c>
      <c r="C96" s="13" t="str">
        <f>_xll.BDH("AMGN US Equity","ARDR_OTH_ADJ_NON_GAAP_COGS","FQ4 2018","FQ4 2018","Currency=USD","Period=FQ","BEST_FPERIOD_OVERRIDE=FQ","FILING_STATUS=MR","SCALING_FORMAT=MLN","Sort=A","Dates=H","DateFormat=P","Fill=—","Direction=H","UseDPDF=Y")</f>
        <v>—</v>
      </c>
      <c r="D96" s="13" t="str">
        <f>_xll.BDH("AMGN US Equity","ARDR_OTH_ADJ_NON_GAAP_COGS","FQ1 2019","FQ1 2019","Currency=USD","Period=FQ","BEST_FPERIOD_OVERRIDE=FQ","FILING_STATUS=MR","SCALING_FORMAT=MLN","Sort=A","Dates=H","DateFormat=P","Fill=—","Direction=H","UseDPDF=Y")</f>
        <v>—</v>
      </c>
      <c r="E96" s="13" t="str">
        <f>_xll.BDH("AMGN US Equity","ARDR_OTH_ADJ_NON_GAAP_COGS","FQ2 2019","FQ2 2019","Currency=USD","Period=FQ","BEST_FPERIOD_OVERRIDE=FQ","FILING_STATUS=MR","SCALING_FORMAT=MLN","Sort=A","Dates=H","DateFormat=P","Fill=—","Direction=H","UseDPDF=Y")</f>
        <v>—</v>
      </c>
      <c r="F96" s="13" t="str">
        <f>_xll.BDH("AMGN US Equity","ARDR_OTH_ADJ_NON_GAAP_COGS","FQ3 2019","FQ3 2019","Currency=USD","Period=FQ","BEST_FPERIOD_OVERRIDE=FQ","FILING_STATUS=MR","SCALING_FORMAT=MLN","Sort=A","Dates=H","DateFormat=P","Fill=—","Direction=H","UseDPDF=Y")</f>
        <v>—</v>
      </c>
      <c r="G96" s="13" t="str">
        <f>_xll.BDH("AMGN US Equity","ARDR_OTH_ADJ_NON_GAAP_COGS","FQ4 2019","FQ4 2019","Currency=USD","Period=FQ","BEST_FPERIOD_OVERRIDE=FQ","FILING_STATUS=MR","SCALING_FORMAT=MLN","Sort=A","Dates=H","DateFormat=P","Fill=—","Direction=H","UseDPDF=Y")</f>
        <v>—</v>
      </c>
      <c r="H96" s="13" t="str">
        <f>_xll.BDH("AMGN US Equity","ARDR_OTH_ADJ_NON_GAAP_COGS","FQ1 2020","FQ1 2020","Currency=USD","Period=FQ","BEST_FPERIOD_OVERRIDE=FQ","FILING_STATUS=MR","SCALING_FORMAT=MLN","Sort=A","Dates=H","DateFormat=P","Fill=—","Direction=H","UseDPDF=Y")</f>
        <v>—</v>
      </c>
      <c r="I96" s="13" t="str">
        <f>_xll.BDH("AMGN US Equity","ARDR_OTH_ADJ_NON_GAAP_COGS","FQ2 2020","FQ2 2020","Currency=USD","Period=FQ","BEST_FPERIOD_OVERRIDE=FQ","FILING_STATUS=MR","SCALING_FORMAT=MLN","Sort=A","Dates=H","DateFormat=P","Fill=—","Direction=H","UseDPDF=Y")</f>
        <v>—</v>
      </c>
      <c r="J96" s="13" t="str">
        <f>_xll.BDH("AMGN US Equity","ARDR_OTH_ADJ_NON_GAAP_COGS","FQ3 2020","FQ3 2020","Currency=USD","Period=FQ","BEST_FPERIOD_OVERRIDE=FQ","FILING_STATUS=MR","SCALING_FORMAT=MLN","Sort=A","Dates=H","DateFormat=P","Fill=—","Direction=H","UseDPDF=Y")</f>
        <v>—</v>
      </c>
      <c r="K96" s="13" t="str">
        <f>_xll.BDH("AMGN US Equity","ARDR_OTH_ADJ_NON_GAAP_COGS","FQ4 2020","FQ4 2020","Currency=USD","Period=FQ","BEST_FPERIOD_OVERRIDE=FQ","FILING_STATUS=MR","SCALING_FORMAT=MLN","Sort=A","Dates=H","DateFormat=P","Fill=—","Direction=H","UseDPDF=Y")</f>
        <v>—</v>
      </c>
      <c r="L96" s="13" t="str">
        <f>_xll.BDH("AMGN US Equity","ARDR_OTH_ADJ_NON_GAAP_COGS","FQ1 2021","FQ1 2021","Currency=USD","Period=FQ","BEST_FPERIOD_OVERRIDE=FQ","FILING_STATUS=MR","SCALING_FORMAT=MLN","Sort=A","Dates=H","DateFormat=P","Fill=—","Direction=H","UseDPDF=Y")</f>
        <v>—</v>
      </c>
      <c r="M96" s="13">
        <f>_xll.BDH("AMGN US Equity","ARDR_OTH_ADJ_NON_GAAP_COGS","FQ2 2021","FQ2 2021","Currency=USD","Period=FQ","BEST_FPERIOD_OVERRIDE=FQ","FILING_STATUS=MR","SCALING_FORMAT=MLN","Sort=A","Dates=H","DateFormat=P","Fill=—","Direction=H","UseDPDF=Y")</f>
        <v>5</v>
      </c>
      <c r="N96" s="13" t="str">
        <f>_xll.BDH("AMGN US Equity","ARDR_OTH_ADJ_NON_GAAP_COGS","FQ3 2021","FQ3 2021","Currency=USD","Period=FQ","BEST_FPERIOD_OVERRIDE=FQ","FILING_STATUS=MR","SCALING_FORMAT=MLN","Sort=A","Dates=H","DateFormat=P","Fill=—","Direction=H","UseDPDF=Y")</f>
        <v>—</v>
      </c>
      <c r="O96" s="13">
        <f>_xll.BDH("AMGN US Equity","ARDR_OTH_ADJ_NON_GAAP_COGS","FQ4 2021","FQ4 2021","Currency=USD","Period=FQ","BEST_FPERIOD_OVERRIDE=FQ","FILING_STATUS=MR","SCALING_FORMAT=MLN","Sort=A","Dates=H","DateFormat=P","Fill=—","Direction=H","UseDPDF=Y")</f>
        <v>6</v>
      </c>
      <c r="P96" s="13" t="str">
        <f>_xll.BDH("AMGN US Equity","ARDR_OTH_ADJ_NON_GAAP_COGS","FQ1 2022","FQ1 2022","Currency=USD","Period=FQ","BEST_FPERIOD_OVERRIDE=FQ","FILING_STATUS=MR","SCALING_FORMAT=MLN","Sort=A","Dates=H","DateFormat=P","Fill=—","Direction=H","UseDPDF=Y")</f>
        <v>—</v>
      </c>
      <c r="Q96" s="13" t="str">
        <f>_xll.BDH("AMGN US Equity","ARDR_OTH_ADJ_NON_GAAP_COGS","FQ2 2022","FQ2 2022","Currency=USD","Period=FQ","BEST_FPERIOD_OVERRIDE=FQ","FILING_STATUS=MR","SCALING_FORMAT=MLN","Sort=A","Dates=H","DateFormat=P","Fill=—","Direction=H","UseDPDF=Y")</f>
        <v>—</v>
      </c>
      <c r="R96" s="13" t="str">
        <f>_xll.BDH("AMGN US Equity","ARDR_OTH_ADJ_NON_GAAP_COGS","FQ3 2022","FQ3 2022","Currency=USD","Period=FQ","BEST_FPERIOD_OVERRIDE=FQ","FILING_STATUS=MR","SCALING_FORMAT=MLN","Sort=A","Dates=H","DateFormat=P","Fill=—","Direction=H","UseDPDF=Y")</f>
        <v>—</v>
      </c>
      <c r="S96" s="13" t="str">
        <f>_xll.BDH("AMGN US Equity","ARDR_OTH_ADJ_NON_GAAP_COGS","FQ4 2022","FQ4 2022","Currency=USD","Period=FQ","BEST_FPERIOD_OVERRIDE=FQ","FILING_STATUS=MR","SCALING_FORMAT=MLN","Sort=A","Dates=H","DateFormat=P","Fill=—","Direction=H","UseDPDF=Y")</f>
        <v>—</v>
      </c>
      <c r="T96" s="13" t="str">
        <f>_xll.BDH("AMGN US Equity","ARDR_OTH_ADJ_NON_GAAP_COGS","FQ1 2023","FQ1 2023","Currency=USD","Period=FQ","BEST_FPERIOD_OVERRIDE=FQ","FILING_STATUS=MR","SCALING_FORMAT=MLN","Sort=A","Dates=H","DateFormat=P","Fill=—","Direction=H","UseDPDF=Y")</f>
        <v>—</v>
      </c>
      <c r="U96" s="13">
        <f>_xll.BDH("AMGN US Equity","ARDR_OTH_ADJ_NON_GAAP_COGS","FQ2 2023","FQ2 2023","Currency=USD","Period=FQ","BEST_FPERIOD_OVERRIDE=FQ","FILING_STATUS=MR","SCALING_FORMAT=MLN","Sort=A","Dates=H","DateFormat=P","Fill=—","Direction=H","UseDPDF=Y")</f>
        <v>0</v>
      </c>
      <c r="V96" s="13" t="str">
        <f>_xll.BDH("AMGN US Equity","ARDR_OTH_ADJ_NON_GAAP_COGS","FQ3 2023","FQ3 2023","Currency=USD","Period=FQ","BEST_FPERIOD_OVERRIDE=FQ","FILING_STATUS=MR","SCALING_FORMAT=MLN","Sort=A","Dates=H","DateFormat=P","Fill=—","Direction=H","UseDPDF=Y")</f>
        <v>—</v>
      </c>
      <c r="W96" s="13" t="str">
        <f>_xll.BDH("AMGN US Equity","ARDR_OTH_ADJ_NON_GAAP_COGS","FQ4 2023","FQ4 2023","Currency=USD","Period=FQ","BEST_FPERIOD_OVERRIDE=FQ","FILING_STATUS=MR","SCALING_FORMAT=MLN","Sort=A","Dates=H","DateFormat=P","Fill=—","Direction=H","UseDPDF=Y")</f>
        <v>—</v>
      </c>
      <c r="X96" s="13" t="str">
        <f>_xll.BDH("AMGN US Equity","ARDR_OTH_ADJ_NON_GAAP_COGS","FQ1 2024","FQ1 2024","Currency=USD","Period=FQ","BEST_FPERIOD_OVERRIDE=FQ","FILING_STATUS=MR","SCALING_FORMAT=MLN","Sort=A","Dates=H","DateFormat=P","Fill=—","Direction=H","UseDPDF=Y")</f>
        <v>—</v>
      </c>
      <c r="Y96" s="13" t="str">
        <f>_xll.BDH("AMGN US Equity","ARDR_OTH_ADJ_NON_GAAP_COGS","FQ2 2024","FQ2 2024","Currency=USD","Period=FQ","BEST_FPERIOD_OVERRIDE=FQ","FILING_STATUS=MR","SCALING_FORMAT=MLN","Sort=A","Dates=H","DateFormat=P","Fill=—","Direction=H","UseDPDF=Y")</f>
        <v>—</v>
      </c>
      <c r="Z96" s="13" t="str">
        <f>_xll.BDH("AMGN US Equity","ARDR_OTH_ADJ_NON_GAAP_COGS","FQ3 2024","FQ3 2024","Currency=USD","Period=FQ","BEST_FPERIOD_OVERRIDE=FQ","FILING_STATUS=MR","SCALING_FORMAT=MLN","Sort=A","Dates=H","DateFormat=P","Fill=—","Direction=H","UseDPDF=Y")</f>
        <v>—</v>
      </c>
      <c r="AA96" s="13" t="str">
        <f>_xll.BDH("AMGN US Equity","ARDR_OTH_ADJ_NON_GAAP_COGS","FQ4 2024","FQ4 2024","Currency=USD","Period=FQ","BEST_FPERIOD_OVERRIDE=FQ","FILING_STATUS=MR","SCALING_FORMAT=MLN","Sort=A","Dates=H","DateFormat=P","Fill=—","Direction=H","UseDPDF=Y")</f>
        <v>—</v>
      </c>
    </row>
    <row r="97" spans="1:27" x14ac:dyDescent="0.25">
      <c r="A97" s="10" t="s">
        <v>570</v>
      </c>
      <c r="B97" s="10" t="s">
        <v>571</v>
      </c>
      <c r="C97" s="13" t="str">
        <f>_xll.BDH("AMGN US Equity","ARDR_OTH_ADJ_NON_GAAP_SG&amp;A","FQ4 2018","FQ4 2018","Currency=USD","Period=FQ","BEST_FPERIOD_OVERRIDE=FQ","FILING_STATUS=MR","SCALING_FORMAT=MLN","Sort=A","Dates=H","DateFormat=P","Fill=—","Direction=H","UseDPDF=Y")</f>
        <v>—</v>
      </c>
      <c r="D97" s="13" t="str">
        <f>_xll.BDH("AMGN US Equity","ARDR_OTH_ADJ_NON_GAAP_SG&amp;A","FQ1 2019","FQ1 2019","Currency=USD","Period=FQ","BEST_FPERIOD_OVERRIDE=FQ","FILING_STATUS=MR","SCALING_FORMAT=MLN","Sort=A","Dates=H","DateFormat=P","Fill=—","Direction=H","UseDPDF=Y")</f>
        <v>—</v>
      </c>
      <c r="E97" s="13" t="str">
        <f>_xll.BDH("AMGN US Equity","ARDR_OTH_ADJ_NON_GAAP_SG&amp;A","FQ2 2019","FQ2 2019","Currency=USD","Period=FQ","BEST_FPERIOD_OVERRIDE=FQ","FILING_STATUS=MR","SCALING_FORMAT=MLN","Sort=A","Dates=H","DateFormat=P","Fill=—","Direction=H","UseDPDF=Y")</f>
        <v>—</v>
      </c>
      <c r="F97" s="13" t="str">
        <f>_xll.BDH("AMGN US Equity","ARDR_OTH_ADJ_NON_GAAP_SG&amp;A","FQ3 2019","FQ3 2019","Currency=USD","Period=FQ","BEST_FPERIOD_OVERRIDE=FQ","FILING_STATUS=MR","SCALING_FORMAT=MLN","Sort=A","Dates=H","DateFormat=P","Fill=—","Direction=H","UseDPDF=Y")</f>
        <v>—</v>
      </c>
      <c r="G97" s="13" t="str">
        <f>_xll.BDH("AMGN US Equity","ARDR_OTH_ADJ_NON_GAAP_SG&amp;A","FQ4 2019","FQ4 2019","Currency=USD","Period=FQ","BEST_FPERIOD_OVERRIDE=FQ","FILING_STATUS=MR","SCALING_FORMAT=MLN","Sort=A","Dates=H","DateFormat=P","Fill=—","Direction=H","UseDPDF=Y")</f>
        <v>—</v>
      </c>
      <c r="H97" s="13" t="str">
        <f>_xll.BDH("AMGN US Equity","ARDR_OTH_ADJ_NON_GAAP_SG&amp;A","FQ1 2020","FQ1 2020","Currency=USD","Period=FQ","BEST_FPERIOD_OVERRIDE=FQ","FILING_STATUS=MR","SCALING_FORMAT=MLN","Sort=A","Dates=H","DateFormat=P","Fill=—","Direction=H","UseDPDF=Y")</f>
        <v>—</v>
      </c>
      <c r="I97" s="13" t="str">
        <f>_xll.BDH("AMGN US Equity","ARDR_OTH_ADJ_NON_GAAP_SG&amp;A","FQ2 2020","FQ2 2020","Currency=USD","Period=FQ","BEST_FPERIOD_OVERRIDE=FQ","FILING_STATUS=MR","SCALING_FORMAT=MLN","Sort=A","Dates=H","DateFormat=P","Fill=—","Direction=H","UseDPDF=Y")</f>
        <v>—</v>
      </c>
      <c r="J97" s="13">
        <f>_xll.BDH("AMGN US Equity","ARDR_OTH_ADJ_NON_GAAP_SG&amp;A","FQ3 2020","FQ3 2020","Currency=USD","Period=FQ","BEST_FPERIOD_OVERRIDE=FQ","FILING_STATUS=MR","SCALING_FORMAT=MLN","Sort=A","Dates=H","DateFormat=P","Fill=—","Direction=H","UseDPDF=Y")</f>
        <v>2</v>
      </c>
      <c r="K97" s="13" t="str">
        <f>_xll.BDH("AMGN US Equity","ARDR_OTH_ADJ_NON_GAAP_SG&amp;A","FQ4 2020","FQ4 2020","Currency=USD","Period=FQ","BEST_FPERIOD_OVERRIDE=FQ","FILING_STATUS=MR","SCALING_FORMAT=MLN","Sort=A","Dates=H","DateFormat=P","Fill=—","Direction=H","UseDPDF=Y")</f>
        <v>—</v>
      </c>
      <c r="L97" s="13" t="str">
        <f>_xll.BDH("AMGN US Equity","ARDR_OTH_ADJ_NON_GAAP_SG&amp;A","FQ1 2021","FQ1 2021","Currency=USD","Period=FQ","BEST_FPERIOD_OVERRIDE=FQ","FILING_STATUS=MR","SCALING_FORMAT=MLN","Sort=A","Dates=H","DateFormat=P","Fill=—","Direction=H","UseDPDF=Y")</f>
        <v>—</v>
      </c>
      <c r="M97" s="13" t="str">
        <f>_xll.BDH("AMGN US Equity","ARDR_OTH_ADJ_NON_GAAP_SG&amp;A","FQ2 2021","FQ2 2021","Currency=USD","Period=FQ","BEST_FPERIOD_OVERRIDE=FQ","FILING_STATUS=MR","SCALING_FORMAT=MLN","Sort=A","Dates=H","DateFormat=P","Fill=—","Direction=H","UseDPDF=Y")</f>
        <v>—</v>
      </c>
      <c r="N97" s="13" t="str">
        <f>_xll.BDH("AMGN US Equity","ARDR_OTH_ADJ_NON_GAAP_SG&amp;A","FQ3 2021","FQ3 2021","Currency=USD","Period=FQ","BEST_FPERIOD_OVERRIDE=FQ","FILING_STATUS=MR","SCALING_FORMAT=MLN","Sort=A","Dates=H","DateFormat=P","Fill=—","Direction=H","UseDPDF=Y")</f>
        <v>—</v>
      </c>
      <c r="O97" s="13">
        <f>_xll.BDH("AMGN US Equity","ARDR_OTH_ADJ_NON_GAAP_SG&amp;A","FQ4 2021","FQ4 2021","Currency=USD","Period=FQ","BEST_FPERIOD_OVERRIDE=FQ","FILING_STATUS=MR","SCALING_FORMAT=MLN","Sort=A","Dates=H","DateFormat=P","Fill=—","Direction=H","UseDPDF=Y")</f>
        <v>-29</v>
      </c>
      <c r="P97" s="13" t="str">
        <f>_xll.BDH("AMGN US Equity","ARDR_OTH_ADJ_NON_GAAP_SG&amp;A","FQ1 2022","FQ1 2022","Currency=USD","Period=FQ","BEST_FPERIOD_OVERRIDE=FQ","FILING_STATUS=MR","SCALING_FORMAT=MLN","Sort=A","Dates=H","DateFormat=P","Fill=—","Direction=H","UseDPDF=Y")</f>
        <v>—</v>
      </c>
      <c r="Q97" s="13" t="str">
        <f>_xll.BDH("AMGN US Equity","ARDR_OTH_ADJ_NON_GAAP_SG&amp;A","FQ2 2022","FQ2 2022","Currency=USD","Period=FQ","BEST_FPERIOD_OVERRIDE=FQ","FILING_STATUS=MR","SCALING_FORMAT=MLN","Sort=A","Dates=H","DateFormat=P","Fill=—","Direction=H","UseDPDF=Y")</f>
        <v>—</v>
      </c>
      <c r="R97" s="13" t="str">
        <f>_xll.BDH("AMGN US Equity","ARDR_OTH_ADJ_NON_GAAP_SG&amp;A","FQ3 2022","FQ3 2022","Currency=USD","Period=FQ","BEST_FPERIOD_OVERRIDE=FQ","FILING_STATUS=MR","SCALING_FORMAT=MLN","Sort=A","Dates=H","DateFormat=P","Fill=—","Direction=H","UseDPDF=Y")</f>
        <v>—</v>
      </c>
      <c r="S97" s="13" t="str">
        <f>_xll.BDH("AMGN US Equity","ARDR_OTH_ADJ_NON_GAAP_SG&amp;A","FQ4 2022","FQ4 2022","Currency=USD","Period=FQ","BEST_FPERIOD_OVERRIDE=FQ","FILING_STATUS=MR","SCALING_FORMAT=MLN","Sort=A","Dates=H","DateFormat=P","Fill=—","Direction=H","UseDPDF=Y")</f>
        <v>—</v>
      </c>
      <c r="T97" s="13" t="str">
        <f>_xll.BDH("AMGN US Equity","ARDR_OTH_ADJ_NON_GAAP_SG&amp;A","FQ1 2023","FQ1 2023","Currency=USD","Period=FQ","BEST_FPERIOD_OVERRIDE=FQ","FILING_STATUS=MR","SCALING_FORMAT=MLN","Sort=A","Dates=H","DateFormat=P","Fill=—","Direction=H","UseDPDF=Y")</f>
        <v>—</v>
      </c>
      <c r="U97" s="13" t="str">
        <f>_xll.BDH("AMGN US Equity","ARDR_OTH_ADJ_NON_GAAP_SG&amp;A","FQ2 2023","FQ2 2023","Currency=USD","Period=FQ","BEST_FPERIOD_OVERRIDE=FQ","FILING_STATUS=MR","SCALING_FORMAT=MLN","Sort=A","Dates=H","DateFormat=P","Fill=—","Direction=H","UseDPDF=Y")</f>
        <v>—</v>
      </c>
      <c r="V97" s="13" t="str">
        <f>_xll.BDH("AMGN US Equity","ARDR_OTH_ADJ_NON_GAAP_SG&amp;A","FQ3 2023","FQ3 2023","Currency=USD","Period=FQ","BEST_FPERIOD_OVERRIDE=FQ","FILING_STATUS=MR","SCALING_FORMAT=MLN","Sort=A","Dates=H","DateFormat=P","Fill=—","Direction=H","UseDPDF=Y")</f>
        <v>—</v>
      </c>
      <c r="W97" s="13" t="str">
        <f>_xll.BDH("AMGN US Equity","ARDR_OTH_ADJ_NON_GAAP_SG&amp;A","FQ4 2023","FQ4 2023","Currency=USD","Period=FQ","BEST_FPERIOD_OVERRIDE=FQ","FILING_STATUS=MR","SCALING_FORMAT=MLN","Sort=A","Dates=H","DateFormat=P","Fill=—","Direction=H","UseDPDF=Y")</f>
        <v>—</v>
      </c>
      <c r="X97" s="13" t="str">
        <f>_xll.BDH("AMGN US Equity","ARDR_OTH_ADJ_NON_GAAP_SG&amp;A","FQ1 2024","FQ1 2024","Currency=USD","Period=FQ","BEST_FPERIOD_OVERRIDE=FQ","FILING_STATUS=MR","SCALING_FORMAT=MLN","Sort=A","Dates=H","DateFormat=P","Fill=—","Direction=H","UseDPDF=Y")</f>
        <v>—</v>
      </c>
      <c r="Y97" s="13" t="str">
        <f>_xll.BDH("AMGN US Equity","ARDR_OTH_ADJ_NON_GAAP_SG&amp;A","FQ2 2024","FQ2 2024","Currency=USD","Period=FQ","BEST_FPERIOD_OVERRIDE=FQ","FILING_STATUS=MR","SCALING_FORMAT=MLN","Sort=A","Dates=H","DateFormat=P","Fill=—","Direction=H","UseDPDF=Y")</f>
        <v>—</v>
      </c>
      <c r="Z97" s="13" t="str">
        <f>_xll.BDH("AMGN US Equity","ARDR_OTH_ADJ_NON_GAAP_SG&amp;A","FQ3 2024","FQ3 2024","Currency=USD","Period=FQ","BEST_FPERIOD_OVERRIDE=FQ","FILING_STATUS=MR","SCALING_FORMAT=MLN","Sort=A","Dates=H","DateFormat=P","Fill=—","Direction=H","UseDPDF=Y")</f>
        <v>—</v>
      </c>
      <c r="AA97" s="13" t="str">
        <f>_xll.BDH("AMGN US Equity","ARDR_OTH_ADJ_NON_GAAP_SG&amp;A","FQ4 2024","FQ4 2024","Currency=USD","Period=FQ","BEST_FPERIOD_OVERRIDE=FQ","FILING_STATUS=MR","SCALING_FORMAT=MLN","Sort=A","Dates=H","DateFormat=P","Fill=—","Direction=H","UseDPDF=Y")</f>
        <v>—</v>
      </c>
    </row>
    <row r="98" spans="1:27" x14ac:dyDescent="0.25">
      <c r="A98" s="10" t="s">
        <v>572</v>
      </c>
      <c r="B98" s="10" t="s">
        <v>573</v>
      </c>
      <c r="C98" s="13" t="str">
        <f>_xll.BDH("AMGN US Equity","ARDR_OTH_ADJ_NON_GAAP_R&amp;D","FQ4 2018","FQ4 2018","Currency=USD","Period=FQ","BEST_FPERIOD_OVERRIDE=FQ","FILING_STATUS=MR","SCALING_FORMAT=MLN","Sort=A","Dates=H","DateFormat=P","Fill=—","Direction=H","UseDPDF=Y")</f>
        <v>—</v>
      </c>
      <c r="D98" s="13" t="str">
        <f>_xll.BDH("AMGN US Equity","ARDR_OTH_ADJ_NON_GAAP_R&amp;D","FQ1 2019","FQ1 2019","Currency=USD","Period=FQ","BEST_FPERIOD_OVERRIDE=FQ","FILING_STATUS=MR","SCALING_FORMAT=MLN","Sort=A","Dates=H","DateFormat=P","Fill=—","Direction=H","UseDPDF=Y")</f>
        <v>—</v>
      </c>
      <c r="E98" s="13" t="str">
        <f>_xll.BDH("AMGN US Equity","ARDR_OTH_ADJ_NON_GAAP_R&amp;D","FQ2 2019","FQ2 2019","Currency=USD","Period=FQ","BEST_FPERIOD_OVERRIDE=FQ","FILING_STATUS=MR","SCALING_FORMAT=MLN","Sort=A","Dates=H","DateFormat=P","Fill=—","Direction=H","UseDPDF=Y")</f>
        <v>—</v>
      </c>
      <c r="F98" s="13" t="str">
        <f>_xll.BDH("AMGN US Equity","ARDR_OTH_ADJ_NON_GAAP_R&amp;D","FQ3 2019","FQ3 2019","Currency=USD","Period=FQ","BEST_FPERIOD_OVERRIDE=FQ","FILING_STATUS=MR","SCALING_FORMAT=MLN","Sort=A","Dates=H","DateFormat=P","Fill=—","Direction=H","UseDPDF=Y")</f>
        <v>—</v>
      </c>
      <c r="G98" s="13" t="str">
        <f>_xll.BDH("AMGN US Equity","ARDR_OTH_ADJ_NON_GAAP_R&amp;D","FQ4 2019","FQ4 2019","Currency=USD","Period=FQ","BEST_FPERIOD_OVERRIDE=FQ","FILING_STATUS=MR","SCALING_FORMAT=MLN","Sort=A","Dates=H","DateFormat=P","Fill=—","Direction=H","UseDPDF=Y")</f>
        <v>—</v>
      </c>
      <c r="H98" s="13" t="str">
        <f>_xll.BDH("AMGN US Equity","ARDR_OTH_ADJ_NON_GAAP_R&amp;D","FQ1 2020","FQ1 2020","Currency=USD","Period=FQ","BEST_FPERIOD_OVERRIDE=FQ","FILING_STATUS=MR","SCALING_FORMAT=MLN","Sort=A","Dates=H","DateFormat=P","Fill=—","Direction=H","UseDPDF=Y")</f>
        <v>—</v>
      </c>
      <c r="I98" s="13" t="str">
        <f>_xll.BDH("AMGN US Equity","ARDR_OTH_ADJ_NON_GAAP_R&amp;D","FQ2 2020","FQ2 2020","Currency=USD","Period=FQ","BEST_FPERIOD_OVERRIDE=FQ","FILING_STATUS=MR","SCALING_FORMAT=MLN","Sort=A","Dates=H","DateFormat=P","Fill=—","Direction=H","UseDPDF=Y")</f>
        <v>—</v>
      </c>
      <c r="J98" s="13" t="str">
        <f>_xll.BDH("AMGN US Equity","ARDR_OTH_ADJ_NON_GAAP_R&amp;D","FQ3 2020","FQ3 2020","Currency=USD","Period=FQ","BEST_FPERIOD_OVERRIDE=FQ","FILING_STATUS=MR","SCALING_FORMAT=MLN","Sort=A","Dates=H","DateFormat=P","Fill=—","Direction=H","UseDPDF=Y")</f>
        <v>—</v>
      </c>
      <c r="K98" s="13" t="str">
        <f>_xll.BDH("AMGN US Equity","ARDR_OTH_ADJ_NON_GAAP_R&amp;D","FQ4 2020","FQ4 2020","Currency=USD","Period=FQ","BEST_FPERIOD_OVERRIDE=FQ","FILING_STATUS=MR","SCALING_FORMAT=MLN","Sort=A","Dates=H","DateFormat=P","Fill=—","Direction=H","UseDPDF=Y")</f>
        <v>—</v>
      </c>
      <c r="L98" s="13" t="str">
        <f>_xll.BDH("AMGN US Equity","ARDR_OTH_ADJ_NON_GAAP_R&amp;D","FQ1 2021","FQ1 2021","Currency=USD","Period=FQ","BEST_FPERIOD_OVERRIDE=FQ","FILING_STATUS=MR","SCALING_FORMAT=MLN","Sort=A","Dates=H","DateFormat=P","Fill=—","Direction=H","UseDPDF=Y")</f>
        <v>—</v>
      </c>
      <c r="M98" s="13" t="str">
        <f>_xll.BDH("AMGN US Equity","ARDR_OTH_ADJ_NON_GAAP_R&amp;D","FQ2 2021","FQ2 2021","Currency=USD","Period=FQ","BEST_FPERIOD_OVERRIDE=FQ","FILING_STATUS=MR","SCALING_FORMAT=MLN","Sort=A","Dates=H","DateFormat=P","Fill=—","Direction=H","UseDPDF=Y")</f>
        <v>—</v>
      </c>
      <c r="N98" s="13" t="str">
        <f>_xll.BDH("AMGN US Equity","ARDR_OTH_ADJ_NON_GAAP_R&amp;D","FQ3 2021","FQ3 2021","Currency=USD","Period=FQ","BEST_FPERIOD_OVERRIDE=FQ","FILING_STATUS=MR","SCALING_FORMAT=MLN","Sort=A","Dates=H","DateFormat=P","Fill=—","Direction=H","UseDPDF=Y")</f>
        <v>—</v>
      </c>
      <c r="O98" s="13" t="str">
        <f>_xll.BDH("AMGN US Equity","ARDR_OTH_ADJ_NON_GAAP_R&amp;D","FQ4 2021","FQ4 2021","Currency=USD","Period=FQ","BEST_FPERIOD_OVERRIDE=FQ","FILING_STATUS=MR","SCALING_FORMAT=MLN","Sort=A","Dates=H","DateFormat=P","Fill=—","Direction=H","UseDPDF=Y")</f>
        <v>—</v>
      </c>
      <c r="P98" s="13" t="str">
        <f>_xll.BDH("AMGN US Equity","ARDR_OTH_ADJ_NON_GAAP_R&amp;D","FQ1 2022","FQ1 2022","Currency=USD","Period=FQ","BEST_FPERIOD_OVERRIDE=FQ","FILING_STATUS=MR","SCALING_FORMAT=MLN","Sort=A","Dates=H","DateFormat=P","Fill=—","Direction=H","UseDPDF=Y")</f>
        <v>—</v>
      </c>
      <c r="Q98" s="13" t="str">
        <f>_xll.BDH("AMGN US Equity","ARDR_OTH_ADJ_NON_GAAP_R&amp;D","FQ2 2022","FQ2 2022","Currency=USD","Period=FQ","BEST_FPERIOD_OVERRIDE=FQ","FILING_STATUS=MR","SCALING_FORMAT=MLN","Sort=A","Dates=H","DateFormat=P","Fill=—","Direction=H","UseDPDF=Y")</f>
        <v>—</v>
      </c>
      <c r="R98" s="13" t="str">
        <f>_xll.BDH("AMGN US Equity","ARDR_OTH_ADJ_NON_GAAP_R&amp;D","FQ3 2022","FQ3 2022","Currency=USD","Period=FQ","BEST_FPERIOD_OVERRIDE=FQ","FILING_STATUS=MR","SCALING_FORMAT=MLN","Sort=A","Dates=H","DateFormat=P","Fill=—","Direction=H","UseDPDF=Y")</f>
        <v>—</v>
      </c>
      <c r="S98" s="13" t="str">
        <f>_xll.BDH("AMGN US Equity","ARDR_OTH_ADJ_NON_GAAP_R&amp;D","FQ4 2022","FQ4 2022","Currency=USD","Period=FQ","BEST_FPERIOD_OVERRIDE=FQ","FILING_STATUS=MR","SCALING_FORMAT=MLN","Sort=A","Dates=H","DateFormat=P","Fill=—","Direction=H","UseDPDF=Y")</f>
        <v>—</v>
      </c>
      <c r="T98" s="13" t="str">
        <f>_xll.BDH("AMGN US Equity","ARDR_OTH_ADJ_NON_GAAP_R&amp;D","FQ1 2023","FQ1 2023","Currency=USD","Period=FQ","BEST_FPERIOD_OVERRIDE=FQ","FILING_STATUS=MR","SCALING_FORMAT=MLN","Sort=A","Dates=H","DateFormat=P","Fill=—","Direction=H","UseDPDF=Y")</f>
        <v>—</v>
      </c>
      <c r="U98" s="13">
        <f>_xll.BDH("AMGN US Equity","ARDR_OTH_ADJ_NON_GAAP_R&amp;D","FQ2 2023","FQ2 2023","Currency=USD","Period=FQ","BEST_FPERIOD_OVERRIDE=FQ","FILING_STATUS=MR","SCALING_FORMAT=MLN","Sort=A","Dates=H","DateFormat=P","Fill=—","Direction=H","UseDPDF=Y")</f>
        <v>17</v>
      </c>
      <c r="V98" s="13" t="str">
        <f>_xll.BDH("AMGN US Equity","ARDR_OTH_ADJ_NON_GAAP_R&amp;D","FQ3 2023","FQ3 2023","Currency=USD","Period=FQ","BEST_FPERIOD_OVERRIDE=FQ","FILING_STATUS=MR","SCALING_FORMAT=MLN","Sort=A","Dates=H","DateFormat=P","Fill=—","Direction=H","UseDPDF=Y")</f>
        <v>—</v>
      </c>
      <c r="W98" s="13" t="str">
        <f>_xll.BDH("AMGN US Equity","ARDR_OTH_ADJ_NON_GAAP_R&amp;D","FQ4 2023","FQ4 2023","Currency=USD","Period=FQ","BEST_FPERIOD_OVERRIDE=FQ","FILING_STATUS=MR","SCALING_FORMAT=MLN","Sort=A","Dates=H","DateFormat=P","Fill=—","Direction=H","UseDPDF=Y")</f>
        <v>—</v>
      </c>
      <c r="X98" s="13" t="str">
        <f>_xll.BDH("AMGN US Equity","ARDR_OTH_ADJ_NON_GAAP_R&amp;D","FQ1 2024","FQ1 2024","Currency=USD","Period=FQ","BEST_FPERIOD_OVERRIDE=FQ","FILING_STATUS=MR","SCALING_FORMAT=MLN","Sort=A","Dates=H","DateFormat=P","Fill=—","Direction=H","UseDPDF=Y")</f>
        <v>—</v>
      </c>
      <c r="Y98" s="13" t="str">
        <f>_xll.BDH("AMGN US Equity","ARDR_OTH_ADJ_NON_GAAP_R&amp;D","FQ2 2024","FQ2 2024","Currency=USD","Period=FQ","BEST_FPERIOD_OVERRIDE=FQ","FILING_STATUS=MR","SCALING_FORMAT=MLN","Sort=A","Dates=H","DateFormat=P","Fill=—","Direction=H","UseDPDF=Y")</f>
        <v>—</v>
      </c>
      <c r="Z98" s="13" t="str">
        <f>_xll.BDH("AMGN US Equity","ARDR_OTH_ADJ_NON_GAAP_R&amp;D","FQ3 2024","FQ3 2024","Currency=USD","Period=FQ","BEST_FPERIOD_OVERRIDE=FQ","FILING_STATUS=MR","SCALING_FORMAT=MLN","Sort=A","Dates=H","DateFormat=P","Fill=—","Direction=H","UseDPDF=Y")</f>
        <v>—</v>
      </c>
      <c r="AA98" s="13" t="str">
        <f>_xll.BDH("AMGN US Equity","ARDR_OTH_ADJ_NON_GAAP_R&amp;D","FQ4 2024","FQ4 2024","Currency=USD","Period=FQ","BEST_FPERIOD_OVERRIDE=FQ","FILING_STATUS=MR","SCALING_FORMAT=MLN","Sort=A","Dates=H","DateFormat=P","Fill=—","Direction=H","UseDPDF=Y")</f>
        <v>—</v>
      </c>
    </row>
    <row r="99" spans="1:27" x14ac:dyDescent="0.25">
      <c r="A99" s="10" t="s">
        <v>574</v>
      </c>
      <c r="B99" s="10" t="s">
        <v>575</v>
      </c>
      <c r="C99" s="13">
        <f>_xll.BDH("AMGN US Equity","ARDR_TAX_EFFECT_NON_GAAP_ADJ","FQ4 2018","FQ4 2018","Currency=USD","Period=FQ","BEST_FPERIOD_OVERRIDE=FQ","FILING_STATUS=MR","SCALING_FORMAT=MLN","Sort=A","Dates=H","DateFormat=P","Fill=—","Direction=H","UseDPDF=Y")</f>
        <v>-77</v>
      </c>
      <c r="D99" s="13">
        <f>_xll.BDH("AMGN US Equity","ARDR_TAX_EFFECT_NON_GAAP_ADJ","FQ1 2019","FQ1 2019","Currency=USD","Period=FQ","BEST_FPERIOD_OVERRIDE=FQ","FILING_STATUS=MR","SCALING_FORMAT=MLN","Sort=A","Dates=H","DateFormat=P","Fill=—","Direction=H","UseDPDF=Y")</f>
        <v>-68</v>
      </c>
      <c r="E99" s="13">
        <f>_xll.BDH("AMGN US Equity","ARDR_TAX_EFFECT_NON_GAAP_ADJ","FQ2 2019","FQ2 2019","Currency=USD","Period=FQ","BEST_FPERIOD_OVERRIDE=FQ","FILING_STATUS=MR","SCALING_FORMAT=MLN","Sort=A","Dates=H","DateFormat=P","Fill=—","Direction=H","UseDPDF=Y")</f>
        <v>-70</v>
      </c>
      <c r="F99" s="13">
        <f>_xll.BDH("AMGN US Equity","ARDR_TAX_EFFECT_NON_GAAP_ADJ","FQ3 2019","FQ3 2019","Currency=USD","Period=FQ","BEST_FPERIOD_OVERRIDE=FQ","FILING_STATUS=MR","SCALING_FORMAT=MLN","Sort=A","Dates=H","DateFormat=P","Fill=—","Direction=H","UseDPDF=Y")</f>
        <v>-92</v>
      </c>
      <c r="G99" s="13">
        <f>_xll.BDH("AMGN US Equity","ARDR_TAX_EFFECT_NON_GAAP_ADJ","FQ4 2019","FQ4 2019","Currency=USD","Period=FQ","BEST_FPERIOD_OVERRIDE=FQ","FILING_STATUS=MR","SCALING_FORMAT=MLN","Sort=A","Dates=H","DateFormat=P","Fill=—","Direction=H","UseDPDF=Y")</f>
        <v>-99</v>
      </c>
      <c r="H99" s="13">
        <f>_xll.BDH("AMGN US Equity","ARDR_TAX_EFFECT_NON_GAAP_ADJ","FQ1 2020","FQ1 2020","Currency=USD","Period=FQ","BEST_FPERIOD_OVERRIDE=FQ","FILING_STATUS=MR","SCALING_FORMAT=MLN","Sort=A","Dates=H","DateFormat=P","Fill=—","Direction=H","UseDPDF=Y")</f>
        <v>-179</v>
      </c>
      <c r="I99" s="13">
        <f>_xll.BDH("AMGN US Equity","ARDR_TAX_EFFECT_NON_GAAP_ADJ","FQ2 2020","FQ2 2020","Currency=USD","Period=FQ","BEST_FPERIOD_OVERRIDE=FQ","FILING_STATUS=MR","SCALING_FORMAT=MLN","Sort=A","Dates=H","DateFormat=P","Fill=—","Direction=H","UseDPDF=Y")</f>
        <v>-164</v>
      </c>
      <c r="J99" s="13">
        <f>_xll.BDH("AMGN US Equity","ARDR_TAX_EFFECT_NON_GAAP_ADJ","FQ3 2020","FQ3 2020","Currency=USD","Period=FQ","BEST_FPERIOD_OVERRIDE=FQ","FILING_STATUS=MR","SCALING_FORMAT=MLN","Sort=A","Dates=H","DateFormat=P","Fill=—","Direction=H","UseDPDF=Y")</f>
        <v>-131</v>
      </c>
      <c r="K99" s="13">
        <f>_xll.BDH("AMGN US Equity","ARDR_TAX_EFFECT_NON_GAAP_ADJ","FQ4 2020","FQ4 2020","Currency=USD","Period=FQ","BEST_FPERIOD_OVERRIDE=FQ","FILING_STATUS=MR","SCALING_FORMAT=MLN","Sort=A","Dates=H","DateFormat=P","Fill=—","Direction=H","UseDPDF=Y")</f>
        <v>-139</v>
      </c>
      <c r="L99" s="13">
        <f>_xll.BDH("AMGN US Equity","ARDR_TAX_EFFECT_NON_GAAP_ADJ","FQ1 2021","FQ1 2021","Currency=USD","Period=FQ","BEST_FPERIOD_OVERRIDE=FQ","FILING_STATUS=MR","SCALING_FORMAT=MLN","Sort=A","Dates=H","DateFormat=P","Fill=—","Direction=H","UseDPDF=Y")</f>
        <v>-131</v>
      </c>
      <c r="M99" s="13">
        <f>_xll.BDH("AMGN US Equity","ARDR_TAX_EFFECT_NON_GAAP_ADJ","FQ2 2021","FQ2 2021","Currency=USD","Period=FQ","BEST_FPERIOD_OVERRIDE=FQ","FILING_STATUS=MR","SCALING_FORMAT=MLN","Sort=A","Dates=H","DateFormat=P","Fill=—","Direction=H","UseDPDF=Y")</f>
        <v>-277</v>
      </c>
      <c r="N99" s="13">
        <f>_xll.BDH("AMGN US Equity","ARDR_TAX_EFFECT_NON_GAAP_ADJ","FQ3 2021","FQ3 2021","Currency=USD","Period=FQ","BEST_FPERIOD_OVERRIDE=FQ","FILING_STATUS=MR","SCALING_FORMAT=MLN","Sort=A","Dates=H","DateFormat=P","Fill=—","Direction=H","UseDPDF=Y")</f>
        <v>-58</v>
      </c>
      <c r="O99" s="13">
        <f>_xll.BDH("AMGN US Equity","ARDR_TAX_EFFECT_NON_GAAP_ADJ","FQ4 2021","FQ4 2021","Currency=USD","Period=FQ","BEST_FPERIOD_OVERRIDE=FQ","FILING_STATUS=MR","SCALING_FORMAT=MLN","Sort=A","Dates=H","DateFormat=P","Fill=—","Direction=H","UseDPDF=Y")</f>
        <v>-104</v>
      </c>
      <c r="P99" s="13">
        <f>_xll.BDH("AMGN US Equity","ARDR_TAX_EFFECT_NON_GAAP_ADJ","FQ1 2022","FQ1 2022","Currency=USD","Period=FQ","BEST_FPERIOD_OVERRIDE=FQ","FILING_STATUS=MR","SCALING_FORMAT=MLN","Sort=A","Dates=H","DateFormat=P","Fill=—","Direction=H","UseDPDF=Y")</f>
        <v>-189</v>
      </c>
      <c r="Q99" s="13">
        <f>_xll.BDH("AMGN US Equity","ARDR_TAX_EFFECT_NON_GAAP_ADJ","FQ2 2022","FQ2 2022","Currency=USD","Period=FQ","BEST_FPERIOD_OVERRIDE=FQ","FILING_STATUS=MR","SCALING_FORMAT=MLN","Sort=A","Dates=H","DateFormat=P","Fill=—","Direction=H","UseDPDF=Y")</f>
        <v>-216</v>
      </c>
      <c r="R99" s="13">
        <f>_xll.BDH("AMGN US Equity","ARDR_TAX_EFFECT_NON_GAAP_ADJ","FQ3 2022","FQ3 2022","Currency=USD","Period=FQ","BEST_FPERIOD_OVERRIDE=FQ","FILING_STATUS=MR","SCALING_FORMAT=MLN","Sort=A","Dates=H","DateFormat=P","Fill=—","Direction=H","UseDPDF=Y")</f>
        <v>-122</v>
      </c>
      <c r="S99" s="13">
        <f>_xll.BDH("AMGN US Equity","ARDR_TAX_EFFECT_NON_GAAP_ADJ","FQ4 2022","FQ4 2022","Currency=USD","Period=FQ","BEST_FPERIOD_OVERRIDE=FQ","FILING_STATUS=MR","SCALING_FORMAT=MLN","Sort=A","Dates=H","DateFormat=P","Fill=—","Direction=H","UseDPDF=Y")</f>
        <v>-163</v>
      </c>
      <c r="T99" s="13">
        <f>_xll.BDH("AMGN US Equity","ARDR_TAX_EFFECT_NON_GAAP_ADJ","FQ1 2023","FQ1 2023","Currency=USD","Period=FQ","BEST_FPERIOD_OVERRIDE=FQ","FILING_STATUS=MR","SCALING_FORMAT=MLN","Sort=A","Dates=H","DateFormat=P","Fill=—","Direction=H","UseDPDF=Y")</f>
        <v>117</v>
      </c>
      <c r="U99" s="13">
        <f>_xll.BDH("AMGN US Equity","ARDR_TAX_EFFECT_NON_GAAP_ADJ","FQ2 2023","FQ2 2023","Currency=USD","Period=FQ","BEST_FPERIOD_OVERRIDE=FQ","FILING_STATUS=MR","SCALING_FORMAT=MLN","Sort=A","Dates=H","DateFormat=P","Fill=—","Direction=H","UseDPDF=Y")</f>
        <v>-288</v>
      </c>
      <c r="V99" s="13">
        <f>_xll.BDH("AMGN US Equity","ARDR_TAX_EFFECT_NON_GAAP_ADJ","FQ3 2023","FQ3 2023","Currency=USD","Period=FQ","BEST_FPERIOD_OVERRIDE=FQ","FILING_STATUS=MR","SCALING_FORMAT=MLN","Sort=A","Dates=H","DateFormat=P","Fill=—","Direction=H","UseDPDF=Y")</f>
        <v>-294</v>
      </c>
      <c r="W99" s="13">
        <f>_xll.BDH("AMGN US Equity","ARDR_TAX_EFFECT_NON_GAAP_ADJ","FQ4 2023","FQ4 2023","Currency=USD","Period=FQ","BEST_FPERIOD_OVERRIDE=FQ","FILING_STATUS=MR","SCALING_FORMAT=MLN","Sort=A","Dates=H","DateFormat=P","Fill=—","Direction=H","UseDPDF=Y")</f>
        <v>-411</v>
      </c>
      <c r="X99" s="13">
        <f>_xll.BDH("AMGN US Equity","ARDR_TAX_EFFECT_NON_GAAP_ADJ","FQ1 2024","FQ1 2024","Currency=USD","Period=FQ","BEST_FPERIOD_OVERRIDE=FQ","FILING_STATUS=MR","SCALING_FORMAT=MLN","Sort=A","Dates=H","DateFormat=P","Fill=—","Direction=H","UseDPDF=Y")</f>
        <v>-359</v>
      </c>
      <c r="Y99" s="13">
        <f>_xll.BDH("AMGN US Equity","ARDR_TAX_EFFECT_NON_GAAP_ADJ","FQ2 2024","FQ2 2024","Currency=USD","Period=FQ","BEST_FPERIOD_OVERRIDE=FQ","FILING_STATUS=MR","SCALING_FORMAT=MLN","Sort=A","Dates=H","DateFormat=P","Fill=—","Direction=H","UseDPDF=Y")</f>
        <v>-420</v>
      </c>
      <c r="Z99" s="13">
        <f>_xll.BDH("AMGN US Equity","ARDR_TAX_EFFECT_NON_GAAP_ADJ","FQ3 2024","FQ3 2024","Currency=USD","Period=FQ","BEST_FPERIOD_OVERRIDE=FQ","FILING_STATUS=MR","SCALING_FORMAT=MLN","Sort=A","Dates=H","DateFormat=P","Fill=—","Direction=H","UseDPDF=Y")</f>
        <v>-228</v>
      </c>
      <c r="AA99" s="13">
        <f>_xll.BDH("AMGN US Equity","ARDR_TAX_EFFECT_NON_GAAP_ADJ","FQ4 2024","FQ4 2024","Currency=USD","Period=FQ","BEST_FPERIOD_OVERRIDE=FQ","FILING_STATUS=MR","SCALING_FORMAT=MLN","Sort=A","Dates=H","DateFormat=P","Fill=—","Direction=H","UseDPDF=Y")</f>
        <v>-729</v>
      </c>
    </row>
    <row r="100" spans="1:27" x14ac:dyDescent="0.25">
      <c r="A100" s="10" t="s">
        <v>576</v>
      </c>
      <c r="B100" s="10" t="s">
        <v>577</v>
      </c>
      <c r="C100" s="13">
        <f>_xll.BDH("AMGN US Equity","ARDR_NON_GAAP_DIL_WAVG_SHRS","FQ4 2018","FQ4 2018","Currency=USD","Period=FQ","BEST_FPERIOD_OVERRIDE=FQ","FILING_STATUS=MR","Sort=A","Dates=H","DateFormat=P","Fill=—","Direction=H","UseDPDF=Y")</f>
        <v>640</v>
      </c>
      <c r="D100" s="13">
        <f>_xll.BDH("AMGN US Equity","ARDR_NON_GAAP_DIL_WAVG_SHRS","FQ1 2019","FQ1 2019","Currency=USD","Period=FQ","BEST_FPERIOD_OVERRIDE=FQ","FILING_STATUS=MR","Sort=A","Dates=H","DateFormat=P","Fill=—","Direction=H","UseDPDF=Y")</f>
        <v>626</v>
      </c>
      <c r="E100" s="13">
        <f>_xll.BDH("AMGN US Equity","ARDR_NON_GAAP_DIL_WAVG_SHRS","FQ2 2019","FQ2 2019","Currency=USD","Period=FQ","BEST_FPERIOD_OVERRIDE=FQ","FILING_STATUS=MR","Sort=A","Dates=H","DateFormat=P","Fill=—","Direction=H","UseDPDF=Y")</f>
        <v>610</v>
      </c>
      <c r="F100" s="13">
        <f>_xll.BDH("AMGN US Equity","ARDR_NON_GAAP_DIL_WAVG_SHRS","FQ3 2019","FQ3 2019","Currency=USD","Period=FQ","BEST_FPERIOD_OVERRIDE=FQ","FILING_STATUS=MR","Sort=A","Dates=H","DateFormat=P","Fill=—","Direction=H","UseDPDF=Y")</f>
        <v>602</v>
      </c>
      <c r="G100" s="13">
        <f>_xll.BDH("AMGN US Equity","ARDR_NON_GAAP_DIL_WAVG_SHRS","FQ4 2019","FQ4 2019","Currency=USD","Period=FQ","BEST_FPERIOD_OVERRIDE=FQ","FILING_STATUS=MR","Sort=A","Dates=H","DateFormat=P","Fill=—","Direction=H","UseDPDF=Y")</f>
        <v>598</v>
      </c>
      <c r="H100" s="13">
        <f>_xll.BDH("AMGN US Equity","ARDR_NON_GAAP_DIL_WAVG_SHRS","FQ1 2020","FQ1 2020","Currency=USD","Period=FQ","BEST_FPERIOD_OVERRIDE=FQ","FILING_STATUS=MR","Sort=A","Dates=H","DateFormat=P","Fill=—","Direction=H","UseDPDF=Y")</f>
        <v>594</v>
      </c>
      <c r="I100" s="13">
        <f>_xll.BDH("AMGN US Equity","ARDR_NON_GAAP_DIL_WAVG_SHRS","FQ2 2020","FQ2 2020","Currency=USD","Period=FQ","BEST_FPERIOD_OVERRIDE=FQ","FILING_STATUS=MR","Sort=A","Dates=H","DateFormat=P","Fill=—","Direction=H","UseDPDF=Y")</f>
        <v>592</v>
      </c>
      <c r="J100" s="13">
        <f>_xll.BDH("AMGN US Equity","ARDR_NON_GAAP_DIL_WAVG_SHRS","FQ3 2020","FQ3 2020","Currency=USD","Period=FQ","BEST_FPERIOD_OVERRIDE=FQ","FILING_STATUS=MR","Sort=A","Dates=H","DateFormat=P","Fill=—","Direction=H","UseDPDF=Y")</f>
        <v>589</v>
      </c>
      <c r="K100" s="13">
        <f>_xll.BDH("AMGN US Equity","ARDR_NON_GAAP_DIL_WAVG_SHRS","FQ4 2020","FQ4 2020","Currency=USD","Period=FQ","BEST_FPERIOD_OVERRIDE=FQ","FILING_STATUS=MR","Sort=A","Dates=H","DateFormat=P","Fill=—","Direction=H","UseDPDF=Y")</f>
        <v>585</v>
      </c>
      <c r="L100" s="13">
        <f>_xll.BDH("AMGN US Equity","ARDR_NON_GAAP_DIL_WAVG_SHRS","FQ1 2021","FQ1 2021","Currency=USD","Period=FQ","BEST_FPERIOD_OVERRIDE=FQ","FILING_STATUS=MR","Sort=A","Dates=H","DateFormat=P","Fill=—","Direction=H","UseDPDF=Y")</f>
        <v>581</v>
      </c>
      <c r="M100" s="13">
        <f>_xll.BDH("AMGN US Equity","ARDR_NON_GAAP_DIL_WAVG_SHRS","FQ2 2021","FQ2 2021","Currency=USD","Period=FQ","BEST_FPERIOD_OVERRIDE=FQ","FILING_STATUS=MR","Sort=A","Dates=H","DateFormat=P","Fill=—","Direction=H","UseDPDF=Y")</f>
        <v>576</v>
      </c>
      <c r="N100" s="13">
        <f>_xll.BDH("AMGN US Equity","ARDR_NON_GAAP_DIL_WAVG_SHRS","FQ3 2021","FQ3 2021","Currency=USD","Period=FQ","BEST_FPERIOD_OVERRIDE=FQ","FILING_STATUS=MR","Sort=A","Dates=H","DateFormat=P","Fill=—","Direction=H","UseDPDF=Y")</f>
        <v>570</v>
      </c>
      <c r="O100" s="13">
        <f>_xll.BDH("AMGN US Equity","ARDR_NON_GAAP_DIL_WAVG_SHRS","FQ4 2021","FQ4 2021","Currency=USD","Period=FQ","BEST_FPERIOD_OVERRIDE=FQ","FILING_STATUS=MR","Sort=A","Dates=H","DateFormat=P","Fill=—","Direction=H","UseDPDF=Y")</f>
        <v>565</v>
      </c>
      <c r="P100" s="13">
        <f>_xll.BDH("AMGN US Equity","ARDR_NON_GAAP_DIL_WAVG_SHRS","FQ1 2022","FQ1 2022","Currency=USD","Period=FQ","BEST_FPERIOD_OVERRIDE=FQ","FILING_STATUS=MR","Sort=A","Dates=H","DateFormat=P","Fill=—","Direction=H","UseDPDF=Y")</f>
        <v>551</v>
      </c>
      <c r="Q100" s="13">
        <f>_xll.BDH("AMGN US Equity","ARDR_NON_GAAP_DIL_WAVG_SHRS","FQ2 2022","FQ2 2022","Currency=USD","Period=FQ","BEST_FPERIOD_OVERRIDE=FQ","FILING_STATUS=MR","Sort=A","Dates=H","DateFormat=P","Fill=—","Direction=H","UseDPDF=Y")</f>
        <v>537</v>
      </c>
      <c r="R100" s="13">
        <f>_xll.BDH("AMGN US Equity","ARDR_NON_GAAP_DIL_WAVG_SHRS","FQ3 2022","FQ3 2022","Currency=USD","Period=FQ","BEST_FPERIOD_OVERRIDE=FQ","FILING_STATUS=MR","Sort=A","Dates=H","DateFormat=P","Fill=—","Direction=H","UseDPDF=Y")</f>
        <v>538</v>
      </c>
      <c r="S100" s="13">
        <f>_xll.BDH("AMGN US Equity","ARDR_NON_GAAP_DIL_WAVG_SHRS","FQ4 2022","FQ4 2022","Currency=USD","Period=FQ","BEST_FPERIOD_OVERRIDE=FQ","FILING_STATUS=MR","Sort=A","Dates=H","DateFormat=P","Fill=—","Direction=H","UseDPDF=Y")</f>
        <v>539</v>
      </c>
      <c r="T100" s="13">
        <f>_xll.BDH("AMGN US Equity","ARDR_NON_GAAP_DIL_WAVG_SHRS","FQ1 2023","FQ1 2023","Currency=USD","Period=FQ","BEST_FPERIOD_OVERRIDE=FQ","FILING_STATUS=MR","Sort=A","Dates=H","DateFormat=P","Fill=—","Direction=H","UseDPDF=Y")</f>
        <v>538</v>
      </c>
      <c r="U100" s="13">
        <f>_xll.BDH("AMGN US Equity","ARDR_NON_GAAP_DIL_WAVG_SHRS","FQ2 2023","FQ2 2023","Currency=USD","Period=FQ","BEST_FPERIOD_OVERRIDE=FQ","FILING_STATUS=MR","Sort=A","Dates=H","DateFormat=P","Fill=—","Direction=H","UseDPDF=Y")</f>
        <v>537</v>
      </c>
      <c r="V100" s="13">
        <f>_xll.BDH("AMGN US Equity","ARDR_NON_GAAP_DIL_WAVG_SHRS","FQ3 2023","FQ3 2023","Currency=USD","Period=FQ","BEST_FPERIOD_OVERRIDE=FQ","FILING_STATUS=MR","Sort=A","Dates=H","DateFormat=P","Fill=—","Direction=H","UseDPDF=Y")</f>
        <v>538</v>
      </c>
      <c r="W100" s="13">
        <f>_xll.BDH("AMGN US Equity","ARDR_NON_GAAP_DIL_WAVG_SHRS","FQ4 2023","FQ4 2023","Currency=USD","Period=FQ","BEST_FPERIOD_OVERRIDE=FQ","FILING_STATUS=MR","Sort=A","Dates=H","DateFormat=P","Fill=—","Direction=H","UseDPDF=Y")</f>
        <v>538</v>
      </c>
      <c r="X100" s="13">
        <f>_xll.BDH("AMGN US Equity","ARDR_NON_GAAP_DIL_WAVG_SHRS","FQ1 2024","FQ1 2024","Currency=USD","Period=FQ","BEST_FPERIOD_OVERRIDE=FQ","FILING_STATUS=MR","Sort=A","Dates=H","DateFormat=P","Fill=—","Direction=H","UseDPDF=Y")</f>
        <v>536</v>
      </c>
      <c r="Y100" s="13">
        <f>_xll.BDH("AMGN US Equity","ARDR_NON_GAAP_DIL_WAVG_SHRS","FQ2 2024","FQ2 2024","Currency=USD","Period=FQ","BEST_FPERIOD_OVERRIDE=FQ","FILING_STATUS=MR","Sort=A","Dates=H","DateFormat=P","Fill=—","Direction=H","UseDPDF=Y")</f>
        <v>541</v>
      </c>
      <c r="Z100" s="13">
        <f>_xll.BDH("AMGN US Equity","ARDR_NON_GAAP_DIL_WAVG_SHRS","FQ3 2024","FQ3 2024","Currency=USD","Period=FQ","BEST_FPERIOD_OVERRIDE=FQ","FILING_STATUS=MR","Sort=A","Dates=H","DateFormat=P","Fill=—","Direction=H","UseDPDF=Y")</f>
        <v>542</v>
      </c>
      <c r="AA100" s="13">
        <f>_xll.BDH("AMGN US Equity","ARDR_NON_GAAP_DIL_WAVG_SHRS","FQ4 2024","FQ4 2024","Currency=USD","Period=FQ","BEST_FPERIOD_OVERRIDE=FQ","FILING_STATUS=MR","Sort=A","Dates=H","DateFormat=P","Fill=—","Direction=H","UseDPDF=Y")</f>
        <v>541</v>
      </c>
    </row>
    <row r="101" spans="1:27" x14ac:dyDescent="0.25">
      <c r="A101" s="10" t="s">
        <v>578</v>
      </c>
      <c r="B101" s="10" t="s">
        <v>579</v>
      </c>
      <c r="C101" s="13">
        <f>_xll.BDH("AMGN US Equity","ARDR_EBIT","FQ4 2018","FQ4 2018","Currency=USD","Period=FQ","BEST_FPERIOD_OVERRIDE=FQ","FILING_STATUS=MR","SCALING_FORMAT=MLN","Sort=A","Dates=H","DateFormat=P","Fill=—","Direction=H","UseDPDF=Y")</f>
        <v>2382</v>
      </c>
      <c r="D101" s="13" t="str">
        <f>_xll.BDH("AMGN US Equity","ARDR_EBIT","FQ1 2019","FQ1 2019","Currency=USD","Period=FQ","BEST_FPERIOD_OVERRIDE=FQ","FILING_STATUS=MR","SCALING_FORMAT=MLN","Sort=A","Dates=H","DateFormat=P","Fill=—","Direction=H","UseDPDF=Y")</f>
        <v>—</v>
      </c>
      <c r="E101" s="13">
        <f>_xll.BDH("AMGN US Equity","ARDR_EBIT","FQ2 2019","FQ2 2019","Currency=USD","Period=FQ","BEST_FPERIOD_OVERRIDE=FQ","FILING_STATUS=MR","SCALING_FORMAT=MLN","Sort=A","Dates=H","DateFormat=P","Fill=—","Direction=H","UseDPDF=Y")</f>
        <v>2678</v>
      </c>
      <c r="F101" s="13">
        <f>_xll.BDH("AMGN US Equity","ARDR_EBIT","FQ3 2019","FQ3 2019","Currency=USD","Period=FQ","BEST_FPERIOD_OVERRIDE=FQ","FILING_STATUS=MR","SCALING_FORMAT=MLN","Sort=A","Dates=H","DateFormat=P","Fill=—","Direction=H","UseDPDF=Y")</f>
        <v>2476</v>
      </c>
      <c r="G101" s="13">
        <f>_xll.BDH("AMGN US Equity","ARDR_EBIT","FQ4 2019","FQ4 2019","Currency=USD","Period=FQ","BEST_FPERIOD_OVERRIDE=FQ","FILING_STATUS=MR","SCALING_FORMAT=MLN","Sort=A","Dates=H","DateFormat=P","Fill=—","Direction=H","UseDPDF=Y")</f>
        <v>2048</v>
      </c>
      <c r="H101" s="13">
        <f>_xll.BDH("AMGN US Equity","ARDR_EBIT","FQ1 2020","FQ1 2020","Currency=USD","Period=FQ","BEST_FPERIOD_OVERRIDE=FQ","FILING_STATUS=MR","SCALING_FORMAT=MLN","Sort=A","Dates=H","DateFormat=P","Fill=—","Direction=H","UseDPDF=Y")</f>
        <v>2355</v>
      </c>
      <c r="I101" s="13">
        <f>_xll.BDH("AMGN US Equity","ARDR_EBIT","FQ2 2020","FQ2 2020","Currency=USD","Period=FQ","BEST_FPERIOD_OVERRIDE=FQ","FILING_STATUS=MR","SCALING_FORMAT=MLN","Sort=A","Dates=H","DateFormat=P","Fill=—","Direction=H","UseDPDF=Y")</f>
        <v>2323</v>
      </c>
      <c r="J101" s="13">
        <f>_xll.BDH("AMGN US Equity","ARDR_EBIT","FQ3 2020","FQ3 2020","Currency=USD","Period=FQ","BEST_FPERIOD_OVERRIDE=FQ","FILING_STATUS=MR","SCALING_FORMAT=MLN","Sort=A","Dates=H","DateFormat=P","Fill=—","Direction=H","UseDPDF=Y")</f>
        <v>2453</v>
      </c>
      <c r="K101" s="13">
        <f>_xll.BDH("AMGN US Equity","ARDR_EBIT","FQ4 2020","FQ4 2020","Currency=USD","Period=FQ","BEST_FPERIOD_OVERRIDE=FQ","FILING_STATUS=MR","SCALING_FORMAT=MLN","Sort=A","Dates=H","DateFormat=P","Fill=—","Direction=H","UseDPDF=Y")</f>
        <v>2008</v>
      </c>
      <c r="L101" s="13">
        <f>_xll.BDH("AMGN US Equity","ARDR_EBIT","FQ1 2021","FQ1 2021","Currency=USD","Period=FQ","BEST_FPERIOD_OVERRIDE=FQ","FILING_STATUS=MR","SCALING_FORMAT=MLN","Sort=A","Dates=H","DateFormat=P","Fill=—","Direction=H","UseDPDF=Y")</f>
        <v>2129</v>
      </c>
      <c r="M101" s="13">
        <f>_xll.BDH("AMGN US Equity","ARDR_EBIT","FQ2 2021","FQ2 2021","Currency=USD","Period=FQ","BEST_FPERIOD_OVERRIDE=FQ","FILING_STATUS=MR","SCALING_FORMAT=MLN","Sort=A","Dates=H","DateFormat=P","Fill=—","Direction=H","UseDPDF=Y")</f>
        <v>828</v>
      </c>
      <c r="N101" s="13">
        <f>_xll.BDH("AMGN US Equity","ARDR_EBIT","FQ3 2021","FQ3 2021","Currency=USD","Period=FQ","BEST_FPERIOD_OVERRIDE=FQ","FILING_STATUS=MR","SCALING_FORMAT=MLN","Sort=A","Dates=H","DateFormat=P","Fill=—","Direction=H","UseDPDF=Y")</f>
        <v>2378</v>
      </c>
      <c r="O101" s="13">
        <f>_xll.BDH("AMGN US Equity","ARDR_EBIT","FQ4 2021","FQ4 2021","Currency=USD","Period=FQ","BEST_FPERIOD_OVERRIDE=FQ","FILING_STATUS=MR","SCALING_FORMAT=MLN","Sort=A","Dates=H","DateFormat=P","Fill=—","Direction=H","UseDPDF=Y")</f>
        <v>2304</v>
      </c>
      <c r="P101" s="13">
        <f>_xll.BDH("AMGN US Equity","ARDR_EBIT","FQ1 2022","FQ1 2022","Currency=USD","Period=FQ","BEST_FPERIOD_OVERRIDE=FQ","FILING_STATUS=MR","SCALING_FORMAT=MLN","Sort=A","Dates=H","DateFormat=P","Fill=—","Direction=H","UseDPDF=Y")</f>
        <v>2500</v>
      </c>
      <c r="Q101" s="13">
        <f>_xll.BDH("AMGN US Equity","ARDR_EBIT","FQ2 2022","FQ2 2022","Currency=USD","Period=FQ","BEST_FPERIOD_OVERRIDE=FQ","FILING_STATUS=MR","SCALING_FORMAT=MLN","Sort=A","Dates=H","DateFormat=P","Fill=—","Direction=H","UseDPDF=Y")</f>
        <v>2176</v>
      </c>
      <c r="R101" s="13">
        <f>_xll.BDH("AMGN US Equity","ARDR_EBIT","FQ3 2022","FQ3 2022","Currency=USD","Period=FQ","BEST_FPERIOD_OVERRIDE=FQ","FILING_STATUS=MR","SCALING_FORMAT=MLN","Sort=A","Dates=H","DateFormat=P","Fill=—","Direction=H","UseDPDF=Y")</f>
        <v>2660</v>
      </c>
      <c r="S101" s="13">
        <f>_xll.BDH("AMGN US Equity","ARDR_EBIT","FQ4 2022","FQ4 2022","Currency=USD","Period=FQ","BEST_FPERIOD_OVERRIDE=FQ","FILING_STATUS=MR","SCALING_FORMAT=MLN","Sort=A","Dates=H","DateFormat=P","Fill=—","Direction=H","UseDPDF=Y")</f>
        <v>2230</v>
      </c>
      <c r="T101" s="13">
        <f>_xll.BDH("AMGN US Equity","ARDR_EBIT","FQ1 2023","FQ1 2023","Currency=USD","Period=FQ","BEST_FPERIOD_OVERRIDE=FQ","FILING_STATUS=MR","SCALING_FORMAT=MLN","Sort=A","Dates=H","DateFormat=P","Fill=—","Direction=H","UseDPDF=Y")</f>
        <v>1921</v>
      </c>
      <c r="U101" s="13">
        <f>_xll.BDH("AMGN US Equity","ARDR_EBIT","FQ2 2023","FQ2 2023","Currency=USD","Period=FQ","BEST_FPERIOD_OVERRIDE=FQ","FILING_STATUS=MR","SCALING_FORMAT=MLN","Sort=A","Dates=H","DateFormat=P","Fill=—","Direction=H","UseDPDF=Y")</f>
        <v>2684</v>
      </c>
      <c r="V101" s="13">
        <f>_xll.BDH("AMGN US Equity","ARDR_EBIT","FQ3 2023","FQ3 2023","Currency=USD","Period=FQ","BEST_FPERIOD_OVERRIDE=FQ","FILING_STATUS=MR","SCALING_FORMAT=MLN","Sort=A","Dates=H","DateFormat=P","Fill=—","Direction=H","UseDPDF=Y")</f>
        <v>2021</v>
      </c>
      <c r="W101" s="13">
        <f>_xll.BDH("AMGN US Equity","ARDR_EBIT","FQ4 2023","FQ4 2023","Currency=USD","Period=FQ","BEST_FPERIOD_OVERRIDE=FQ","FILING_STATUS=MR","SCALING_FORMAT=MLN","Sort=A","Dates=H","DateFormat=P","Fill=—","Direction=H","UseDPDF=Y")</f>
        <v>1271</v>
      </c>
      <c r="X101" s="13">
        <f>_xll.BDH("AMGN US Equity","ARDR_EBIT","FQ1 2024","FQ1 2024","Currency=USD","Period=FQ","BEST_FPERIOD_OVERRIDE=FQ","FILING_STATUS=MR","SCALING_FORMAT=MLN","Sort=A","Dates=H","DateFormat=P","Fill=—","Direction=H","UseDPDF=Y")</f>
        <v>991</v>
      </c>
      <c r="Y101" s="13">
        <f>_xll.BDH("AMGN US Equity","ARDR_EBIT","FQ2 2024","FQ2 2024","Currency=USD","Period=FQ","BEST_FPERIOD_OVERRIDE=FQ","FILING_STATUS=MR","SCALING_FORMAT=MLN","Sort=A","Dates=H","DateFormat=P","Fill=—","Direction=H","UseDPDF=Y")</f>
        <v>1909</v>
      </c>
      <c r="Z101" s="13">
        <f>_xll.BDH("AMGN US Equity","ARDR_EBIT","FQ3 2024","FQ3 2024","Currency=USD","Period=FQ","BEST_FPERIOD_OVERRIDE=FQ","FILING_STATUS=MR","SCALING_FORMAT=MLN","Sort=A","Dates=H","DateFormat=P","Fill=—","Direction=H","UseDPDF=Y")</f>
        <v>2047</v>
      </c>
      <c r="AA101" s="13">
        <f>_xll.BDH("AMGN US Equity","ARDR_EBIT","FQ4 2024","FQ4 2024","Currency=USD","Period=FQ","BEST_FPERIOD_OVERRIDE=FQ","FILING_STATUS=MR","SCALING_FORMAT=MLN","Sort=A","Dates=H","DateFormat=P","Fill=—","Direction=H","UseDPDF=Y")</f>
        <v>2311</v>
      </c>
    </row>
    <row r="102" spans="1:27" x14ac:dyDescent="0.25">
      <c r="A102" s="10" t="s">
        <v>580</v>
      </c>
      <c r="B102" s="10" t="s">
        <v>581</v>
      </c>
      <c r="C102" s="14">
        <f>_xll.BDH("AMGN US Equity","ARDR_EBIT_MARGIN","FQ4 2018","FQ4 2018","Currency=USD","Period=FQ","BEST_FPERIOD_OVERRIDE=FQ","FILING_STATUS=MR","Sort=A","Dates=H","DateFormat=P","Fill=—","Direction=H","UseDPDF=Y")</f>
        <v>39.700000000000003</v>
      </c>
      <c r="D102" s="14">
        <f>_xll.BDH("AMGN US Equity","ARDR_EBIT_MARGIN","FQ1 2019","FQ1 2019","Currency=USD","Period=FQ","BEST_FPERIOD_OVERRIDE=FQ","FILING_STATUS=MR","Sort=A","Dates=H","DateFormat=P","Fill=—","Direction=H","UseDPDF=Y")</f>
        <v>46.8</v>
      </c>
      <c r="E102" s="14">
        <f>_xll.BDH("AMGN US Equity","ARDR_EBIT_MARGIN","FQ2 2019","FQ2 2019","Currency=USD","Period=FQ","BEST_FPERIOD_OVERRIDE=FQ","FILING_STATUS=MR","Sort=A","Dates=H","DateFormat=P","Fill=—","Direction=H","UseDPDF=Y")</f>
        <v>48</v>
      </c>
      <c r="F102" s="14">
        <f>_xll.BDH("AMGN US Equity","ARDR_EBIT_MARGIN","FQ3 2019","FQ3 2019","Currency=USD","Period=FQ","BEST_FPERIOD_OVERRIDE=FQ","FILING_STATUS=MR","Sort=A","Dates=H","DateFormat=P","Fill=—","Direction=H","UseDPDF=Y")</f>
        <v>45.3</v>
      </c>
      <c r="G102" s="14">
        <f>_xll.BDH("AMGN US Equity","ARDR_EBIT_MARGIN","FQ4 2019","FQ4 2019","Currency=USD","Period=FQ","BEST_FPERIOD_OVERRIDE=FQ","FILING_STATUS=MR","Sort=A","Dates=H","DateFormat=P","Fill=—","Direction=H","UseDPDF=Y")</f>
        <v>34.799999999999997</v>
      </c>
      <c r="H102" s="14">
        <f>_xll.BDH("AMGN US Equity","ARDR_EBIT_MARGIN","FQ1 2020","FQ1 2020","Currency=USD","Period=FQ","BEST_FPERIOD_OVERRIDE=FQ","FILING_STATUS=MR","Sort=A","Dates=H","DateFormat=P","Fill=—","Direction=H","UseDPDF=Y")</f>
        <v>40</v>
      </c>
      <c r="I102" s="14">
        <f>_xll.BDH("AMGN US Equity","ARDR_EBIT_MARGIN","FQ2 2020","FQ2 2020","Currency=USD","Period=FQ","BEST_FPERIOD_OVERRIDE=FQ","FILING_STATUS=MR","Sort=A","Dates=H","DateFormat=P","Fill=—","Direction=H","UseDPDF=Y")</f>
        <v>39.299999999999997</v>
      </c>
      <c r="J102" s="14">
        <f>_xll.BDH("AMGN US Equity","ARDR_EBIT_MARGIN","FQ3 2020","FQ3 2020","Currency=USD","Period=FQ","BEST_FPERIOD_OVERRIDE=FQ","FILING_STATUS=MR","Sort=A","Dates=H","DateFormat=P","Fill=—","Direction=H","UseDPDF=Y")</f>
        <v>40.200000000000003</v>
      </c>
      <c r="K102" s="14">
        <f>_xll.BDH("AMGN US Equity","ARDR_EBIT_MARGIN","FQ4 2020","FQ4 2020","Currency=USD","Period=FQ","BEST_FPERIOD_OVERRIDE=FQ","FILING_STATUS=MR","Sort=A","Dates=H","DateFormat=P","Fill=—","Direction=H","UseDPDF=Y")</f>
        <v>31.7</v>
      </c>
      <c r="L102" s="14">
        <f>_xll.BDH("AMGN US Equity","ARDR_EBIT_MARGIN","FQ1 2021","FQ1 2021","Currency=USD","Period=FQ","BEST_FPERIOD_OVERRIDE=FQ","FILING_STATUS=MR","Sort=A","Dates=H","DateFormat=P","Fill=—","Direction=H","UseDPDF=Y")</f>
        <v>38.1</v>
      </c>
      <c r="M102" s="14">
        <f>_xll.BDH("AMGN US Equity","ARDR_EBIT_MARGIN","FQ2 2021","FQ2 2021","Currency=USD","Period=FQ","BEST_FPERIOD_OVERRIDE=FQ","FILING_STATUS=MR","Sort=A","Dates=H","DateFormat=P","Fill=—","Direction=H","UseDPDF=Y")</f>
        <v>13.5</v>
      </c>
      <c r="N102" s="14">
        <f>_xll.BDH("AMGN US Equity","ARDR_EBIT_MARGIN","FQ3 2021","FQ3 2021","Currency=USD","Period=FQ","BEST_FPERIOD_OVERRIDE=FQ","FILING_STATUS=MR","Sort=A","Dates=H","DateFormat=P","Fill=—","Direction=H","UseDPDF=Y")</f>
        <v>37.6</v>
      </c>
      <c r="O102" s="14">
        <f>_xll.BDH("AMGN US Equity","ARDR_EBIT_MARGIN","FQ4 2021","FQ4 2021","Currency=USD","Period=FQ","BEST_FPERIOD_OVERRIDE=FQ","FILING_STATUS=MR","Sort=A","Dates=H","DateFormat=P","Fill=—","Direction=H","UseDPDF=Y")</f>
        <v>36.700000000000003</v>
      </c>
      <c r="P102" s="14">
        <f>_xll.BDH("AMGN US Equity","ARDR_EBIT_MARGIN","FQ1 2022","FQ1 2022","Currency=USD","Period=FQ","BEST_FPERIOD_OVERRIDE=FQ","FILING_STATUS=MR","Sort=A","Dates=H","DateFormat=P","Fill=—","Direction=H","UseDPDF=Y")</f>
        <v>43.6</v>
      </c>
      <c r="Q102" s="14">
        <f>_xll.BDH("AMGN US Equity","ARDR_EBIT_MARGIN","FQ2 2022","FQ2 2022","Currency=USD","Period=FQ","BEST_FPERIOD_OVERRIDE=FQ","FILING_STATUS=MR","Sort=A","Dates=H","DateFormat=P","Fill=—","Direction=H","UseDPDF=Y")</f>
        <v>34.6</v>
      </c>
      <c r="R102" s="14">
        <f>_xll.BDH("AMGN US Equity","ARDR_EBIT_MARGIN","FQ3 2022","FQ3 2022","Currency=USD","Period=FQ","BEST_FPERIOD_OVERRIDE=FQ","FILING_STATUS=MR","Sort=A","Dates=H","DateFormat=P","Fill=—","Direction=H","UseDPDF=Y")</f>
        <v>42.6</v>
      </c>
      <c r="S102" s="14">
        <f>_xll.BDH("AMGN US Equity","ARDR_EBIT_MARGIN","FQ4 2022","FQ4 2022","Currency=USD","Period=FQ","BEST_FPERIOD_OVERRIDE=FQ","FILING_STATUS=MR","Sort=A","Dates=H","DateFormat=P","Fill=—","Direction=H","UseDPDF=Y")</f>
        <v>34</v>
      </c>
      <c r="T102" s="14">
        <f>_xll.BDH("AMGN US Equity","ARDR_EBIT_MARGIN","FQ1 2023","FQ1 2023","Currency=USD","Period=FQ","BEST_FPERIOD_OVERRIDE=FQ","FILING_STATUS=MR","Sort=A","Dates=H","DateFormat=P","Fill=—","Direction=H","UseDPDF=Y")</f>
        <v>32.9</v>
      </c>
      <c r="U102" s="14">
        <f>_xll.BDH("AMGN US Equity","ARDR_EBIT_MARGIN","FQ2 2023","FQ2 2023","Currency=USD","Period=FQ","BEST_FPERIOD_OVERRIDE=FQ","FILING_STATUS=MR","Sort=A","Dates=H","DateFormat=P","Fill=—","Direction=H","UseDPDF=Y")</f>
        <v>40.200000000000003</v>
      </c>
      <c r="V102" s="14">
        <f>_xll.BDH("AMGN US Equity","ARDR_EBIT_MARGIN","FQ3 2023","FQ3 2023","Currency=USD","Period=FQ","BEST_FPERIOD_OVERRIDE=FQ","FILING_STATUS=MR","Sort=A","Dates=H","DateFormat=P","Fill=—","Direction=H","UseDPDF=Y")</f>
        <v>30.9</v>
      </c>
      <c r="W102" s="14">
        <f>_xll.BDH("AMGN US Equity","ARDR_EBIT_MARGIN","FQ4 2023","FQ4 2023","Currency=USD","Period=FQ","BEST_FPERIOD_OVERRIDE=FQ","FILING_STATUS=MR","Sort=A","Dates=H","DateFormat=P","Fill=—","Direction=H","UseDPDF=Y")</f>
        <v>16.2</v>
      </c>
      <c r="X102" s="14">
        <f>_xll.BDH("AMGN US Equity","ARDR_EBIT_MARGIN","FQ1 2024","FQ1 2024","Currency=USD","Period=FQ","BEST_FPERIOD_OVERRIDE=FQ","FILING_STATUS=MR","Sort=A","Dates=H","DateFormat=P","Fill=—","Direction=H","UseDPDF=Y")</f>
        <v>13.9</v>
      </c>
      <c r="Y102" s="14">
        <f>_xll.BDH("AMGN US Equity","ARDR_EBIT_MARGIN","FQ2 2024","FQ2 2024","Currency=USD","Period=FQ","BEST_FPERIOD_OVERRIDE=FQ","FILING_STATUS=MR","Sort=A","Dates=H","DateFormat=P","Fill=—","Direction=H","UseDPDF=Y")</f>
        <v>23.7</v>
      </c>
      <c r="Z102" s="14">
        <f>_xll.BDH("AMGN US Equity","ARDR_EBIT_MARGIN","FQ3 2024","FQ3 2024","Currency=USD","Period=FQ","BEST_FPERIOD_OVERRIDE=FQ","FILING_STATUS=MR","Sort=A","Dates=H","DateFormat=P","Fill=—","Direction=H","UseDPDF=Y")</f>
        <v>25.1</v>
      </c>
      <c r="AA102" s="14">
        <f>_xll.BDH("AMGN US Equity","ARDR_EBIT_MARGIN","FQ4 2024","FQ4 2024","Currency=USD","Period=FQ","BEST_FPERIOD_OVERRIDE=FQ","FILING_STATUS=MR","Sort=A","Dates=H","DateFormat=P","Fill=—","Direction=H","UseDPDF=Y")</f>
        <v>26.5</v>
      </c>
    </row>
    <row r="103" spans="1:27" x14ac:dyDescent="0.25">
      <c r="A103" s="10" t="s">
        <v>582</v>
      </c>
      <c r="B103" s="10" t="s">
        <v>583</v>
      </c>
      <c r="C103" s="14">
        <f>_xll.BDH("AMGN US Equity","ARDR_REVENUE_GROWTH","FQ4 2018","FQ4 2018","Currency=USD","Period=FQ","BEST_FPERIOD_OVERRIDE=FQ","FILING_STATUS=MR","Sort=A","Dates=H","DateFormat=P","Fill=—","Direction=H","UseDPDF=Y")</f>
        <v>7</v>
      </c>
      <c r="D103" s="14">
        <f>_xll.BDH("AMGN US Equity","ARDR_REVENUE_GROWTH","FQ1 2019","FQ1 2019","Currency=USD","Period=FQ","BEST_FPERIOD_OVERRIDE=FQ","FILING_STATUS=MR","Sort=A","Dates=H","DateFormat=P","Fill=—","Direction=H","UseDPDF=Y")</f>
        <v>0</v>
      </c>
      <c r="E103" s="14">
        <f>_xll.BDH("AMGN US Equity","ARDR_REVENUE_GROWTH","FQ2 2019","FQ2 2019","Currency=USD","Period=FQ","BEST_FPERIOD_OVERRIDE=FQ","FILING_STATUS=MR","Sort=A","Dates=H","DateFormat=P","Fill=—","Direction=H","UseDPDF=Y")</f>
        <v>-3</v>
      </c>
      <c r="F103" s="14">
        <f>_xll.BDH("AMGN US Equity","ARDR_REVENUE_GROWTH","FQ3 2019","FQ3 2019","Currency=USD","Period=FQ","BEST_FPERIOD_OVERRIDE=FQ","FILING_STATUS=MR","Sort=A","Dates=H","DateFormat=P","Fill=—","Direction=H","UseDPDF=Y")</f>
        <v>-3</v>
      </c>
      <c r="G103" s="14">
        <f>_xll.BDH("AMGN US Equity","ARDR_REVENUE_GROWTH","FQ4 2019","FQ4 2019","Currency=USD","Period=FQ","BEST_FPERIOD_OVERRIDE=FQ","FILING_STATUS=MR","Sort=A","Dates=H","DateFormat=P","Fill=—","Direction=H","UseDPDF=Y")</f>
        <v>-1</v>
      </c>
      <c r="H103" s="14">
        <f>_xll.BDH("AMGN US Equity","ARDR_REVENUE_GROWTH","FQ1 2020","FQ1 2020","Currency=USD","Period=FQ","BEST_FPERIOD_OVERRIDE=FQ","FILING_STATUS=MR","Sort=A","Dates=H","DateFormat=P","Fill=—","Direction=H","UseDPDF=Y")</f>
        <v>9</v>
      </c>
      <c r="I103" s="14">
        <f>_xll.BDH("AMGN US Equity","ARDR_REVENUE_GROWTH","FQ2 2020","FQ2 2020","Currency=USD","Period=FQ","BEST_FPERIOD_OVERRIDE=FQ","FILING_STATUS=MR","Sort=A","Dates=H","DateFormat=P","Fill=—","Direction=H","UseDPDF=Y")</f>
        <v>6</v>
      </c>
      <c r="J103" s="14">
        <f>_xll.BDH("AMGN US Equity","ARDR_REVENUE_GROWTH","FQ3 2020","FQ3 2020","Currency=USD","Period=FQ","BEST_FPERIOD_OVERRIDE=FQ","FILING_STATUS=MR","Sort=A","Dates=H","DateFormat=P","Fill=—","Direction=H","UseDPDF=Y")</f>
        <v>12</v>
      </c>
      <c r="K103" s="14">
        <f>_xll.BDH("AMGN US Equity","ARDR_REVENUE_GROWTH","FQ4 2020","FQ4 2020","Currency=USD","Period=FQ","BEST_FPERIOD_OVERRIDE=FQ","FILING_STATUS=MR","Sort=A","Dates=H","DateFormat=P","Fill=—","Direction=H","UseDPDF=Y")</f>
        <v>7</v>
      </c>
      <c r="L103" s="14">
        <f>_xll.BDH("AMGN US Equity","ARDR_REVENUE_GROWTH","FQ1 2021","FQ1 2021","Currency=USD","Period=FQ","BEST_FPERIOD_OVERRIDE=FQ","FILING_STATUS=MR","Sort=A","Dates=H","DateFormat=P","Fill=—","Direction=H","UseDPDF=Y")</f>
        <v>-4</v>
      </c>
      <c r="M103" s="14">
        <f>_xll.BDH("AMGN US Equity","ARDR_REVENUE_GROWTH","FQ2 2021","FQ2 2021","Currency=USD","Period=FQ","BEST_FPERIOD_OVERRIDE=FQ","FILING_STATUS=MR","Sort=A","Dates=H","DateFormat=P","Fill=—","Direction=H","UseDPDF=Y")</f>
        <v>5</v>
      </c>
      <c r="N103" s="14">
        <f>_xll.BDH("AMGN US Equity","ARDR_REVENUE_GROWTH","FQ3 2021","FQ3 2021","Currency=USD","Period=FQ","BEST_FPERIOD_OVERRIDE=FQ","FILING_STATUS=MR","Sort=A","Dates=H","DateFormat=P","Fill=—","Direction=H","UseDPDF=Y")</f>
        <v>4</v>
      </c>
      <c r="O103" s="14">
        <f>_xll.BDH("AMGN US Equity","ARDR_REVENUE_GROWTH","FQ4 2021","FQ4 2021","Currency=USD","Period=FQ","BEST_FPERIOD_OVERRIDE=FQ","FILING_STATUS=MR","Sort=A","Dates=H","DateFormat=P","Fill=—","Direction=H","UseDPDF=Y")</f>
        <v>3</v>
      </c>
      <c r="P103" s="14">
        <f>_xll.BDH("AMGN US Equity","ARDR_REVENUE_GROWTH","FQ1 2022","FQ1 2022","Currency=USD","Period=FQ","BEST_FPERIOD_OVERRIDE=FQ","FILING_STATUS=MR","Sort=A","Dates=H","DateFormat=P","Fill=—","Direction=H","UseDPDF=Y")</f>
        <v>6</v>
      </c>
      <c r="Q103" s="14">
        <f>_xll.BDH("AMGN US Equity","ARDR_REVENUE_GROWTH","FQ2 2022","FQ2 2022","Currency=USD","Period=FQ","BEST_FPERIOD_OVERRIDE=FQ","FILING_STATUS=MR","Sort=A","Dates=H","DateFormat=P","Fill=—","Direction=H","UseDPDF=Y")</f>
        <v>1</v>
      </c>
      <c r="R103" s="14">
        <f>_xll.BDH("AMGN US Equity","ARDR_REVENUE_GROWTH","FQ3 2022","FQ3 2022","Currency=USD","Period=FQ","BEST_FPERIOD_OVERRIDE=FQ","FILING_STATUS=MR","Sort=A","Dates=H","DateFormat=P","Fill=—","Direction=H","UseDPDF=Y")</f>
        <v>-1</v>
      </c>
      <c r="S103" s="14">
        <f>_xll.BDH("AMGN US Equity","ARDR_REVENUE_GROWTH","FQ4 2022","FQ4 2022","Currency=USD","Period=FQ","BEST_FPERIOD_OVERRIDE=FQ","FILING_STATUS=MR","Sort=A","Dates=H","DateFormat=P","Fill=—","Direction=H","UseDPDF=Y")</f>
        <v>0</v>
      </c>
      <c r="T103" s="14">
        <f>_xll.BDH("AMGN US Equity","ARDR_REVENUE_GROWTH","FQ1 2023","FQ1 2023","Currency=USD","Period=FQ","BEST_FPERIOD_OVERRIDE=FQ","FILING_STATUS=MR","Sort=A","Dates=H","DateFormat=P","Fill=—","Direction=H","UseDPDF=Y")</f>
        <v>-2</v>
      </c>
      <c r="U103" s="14">
        <f>_xll.BDH("AMGN US Equity","ARDR_REVENUE_GROWTH","FQ2 2023","FQ2 2023","Currency=USD","Period=FQ","BEST_FPERIOD_OVERRIDE=FQ","FILING_STATUS=MR","Sort=A","Dates=H","DateFormat=P","Fill=—","Direction=H","UseDPDF=Y")</f>
        <v>6</v>
      </c>
      <c r="V103" s="14">
        <f>_xll.BDH("AMGN US Equity","ARDR_REVENUE_GROWTH","FQ3 2023","FQ3 2023","Currency=USD","Period=FQ","BEST_FPERIOD_OVERRIDE=FQ","FILING_STATUS=MR","Sort=A","Dates=H","DateFormat=P","Fill=—","Direction=H","UseDPDF=Y")</f>
        <v>4</v>
      </c>
      <c r="W103" s="14">
        <f>_xll.BDH("AMGN US Equity","ARDR_REVENUE_GROWTH","FQ4 2023","FQ4 2023","Currency=USD","Period=FQ","BEST_FPERIOD_OVERRIDE=FQ","FILING_STATUS=MR","Sort=A","Dates=H","DateFormat=P","Fill=—","Direction=H","UseDPDF=Y")</f>
        <v>20</v>
      </c>
      <c r="X103" s="14">
        <f>_xll.BDH("AMGN US Equity","ARDR_REVENUE_GROWTH","FQ1 2024","FQ1 2024","Currency=USD","Period=FQ","BEST_FPERIOD_OVERRIDE=FQ","FILING_STATUS=MR","Sort=A","Dates=H","DateFormat=P","Fill=—","Direction=H","UseDPDF=Y")</f>
        <v>22</v>
      </c>
      <c r="Y103" s="14">
        <f>_xll.BDH("AMGN US Equity","ARDR_REVENUE_GROWTH","FQ2 2024","FQ2 2024","Currency=USD","Period=FQ","BEST_FPERIOD_OVERRIDE=FQ","FILING_STATUS=MR","Sort=A","Dates=H","DateFormat=P","Fill=—","Direction=H","UseDPDF=Y")</f>
        <v>20</v>
      </c>
      <c r="Z103" s="14">
        <f>_xll.BDH("AMGN US Equity","ARDR_REVENUE_GROWTH","FQ3 2024","FQ3 2024","Currency=USD","Period=FQ","BEST_FPERIOD_OVERRIDE=FQ","FILING_STATUS=MR","Sort=A","Dates=H","DateFormat=P","Fill=—","Direction=H","UseDPDF=Y")</f>
        <v>23</v>
      </c>
      <c r="AA103" s="14">
        <f>_xll.BDH("AMGN US Equity","ARDR_REVENUE_GROWTH","FQ4 2024","FQ4 2024","Currency=USD","Period=FQ","BEST_FPERIOD_OVERRIDE=FQ","FILING_STATUS=MR","Sort=A","Dates=H","DateFormat=P","Fill=—","Direction=H","UseDPDF=Y")</f>
        <v>11</v>
      </c>
    </row>
    <row r="104" spans="1:27" x14ac:dyDescent="0.25">
      <c r="A104" s="10" t="s">
        <v>584</v>
      </c>
      <c r="B104" s="10" t="s">
        <v>585</v>
      </c>
      <c r="C104" s="14">
        <f>_xll.BDH("AMGN US Equity","ARDR_ADJUSTED_OPERATING_MARGIN","FQ4 2018","FQ4 2018","Currency=USD","Period=FQ","BEST_FPERIOD_OVERRIDE=FQ","FILING_STATUS=MR","Sort=A","Dates=H","DateFormat=P","Fill=—","Direction=H","UseDPDF=Y")</f>
        <v>45.3</v>
      </c>
      <c r="D104" s="14">
        <f>_xll.BDH("AMGN US Equity","ARDR_ADJUSTED_OPERATING_MARGIN","FQ1 2019","FQ1 2019","Currency=USD","Period=FQ","BEST_FPERIOD_OVERRIDE=FQ","FILING_STATUS=MR","Sort=A","Dates=H","DateFormat=P","Fill=—","Direction=H","UseDPDF=Y")</f>
        <v>52.4</v>
      </c>
      <c r="E104" s="14">
        <f>_xll.BDH("AMGN US Equity","ARDR_ADJUSTED_OPERATING_MARGIN","FQ2 2019","FQ2 2019","Currency=USD","Period=FQ","BEST_FPERIOD_OVERRIDE=FQ","FILING_STATUS=MR","Sort=A","Dates=H","DateFormat=P","Fill=—","Direction=H","UseDPDF=Y")</f>
        <v>53.3</v>
      </c>
      <c r="F104" s="14">
        <f>_xll.BDH("AMGN US Equity","ARDR_ADJUSTED_OPERATING_MARGIN","FQ3 2019","FQ3 2019","Currency=USD","Period=FQ","BEST_FPERIOD_OVERRIDE=FQ","FILING_STATUS=MR","Sort=A","Dates=H","DateFormat=P","Fill=—","Direction=H","UseDPDF=Y")</f>
        <v>51.1</v>
      </c>
      <c r="G104" s="14">
        <f>_xll.BDH("AMGN US Equity","ARDR_ADJUSTED_OPERATING_MARGIN","FQ4 2019","FQ4 2019","Currency=USD","Period=FQ","BEST_FPERIOD_OVERRIDE=FQ","FILING_STATUS=MR","Sort=A","Dates=H","DateFormat=P","Fill=—","Direction=H","UseDPDF=Y")</f>
        <v>44.6</v>
      </c>
      <c r="H104" s="14">
        <f>_xll.BDH("AMGN US Equity","ARDR_ADJUSTED_OPERATING_MARGIN","FQ1 2020","FQ1 2020","Currency=USD","Period=FQ","BEST_FPERIOD_OVERRIDE=FQ","FILING_STATUS=MR","Sort=A","Dates=H","DateFormat=P","Fill=—","Direction=H","UseDPDF=Y")</f>
        <v>53.9</v>
      </c>
      <c r="I104" s="14">
        <f>_xll.BDH("AMGN US Equity","ARDR_ADJUSTED_OPERATING_MARGIN","FQ2 2020","FQ2 2020","Currency=USD","Period=FQ","BEST_FPERIOD_OVERRIDE=FQ","FILING_STATUS=MR","Sort=A","Dates=H","DateFormat=P","Fill=—","Direction=H","UseDPDF=Y")</f>
        <v>55</v>
      </c>
      <c r="J104" s="14">
        <f>_xll.BDH("AMGN US Equity","ARDR_ADJUSTED_OPERATING_MARGIN","FQ3 2020","FQ3 2020","Currency=USD","Period=FQ","BEST_FPERIOD_OVERRIDE=FQ","FILING_STATUS=MR","Sort=A","Dates=H","DateFormat=P","Fill=—","Direction=H","UseDPDF=Y")</f>
        <v>52.1</v>
      </c>
      <c r="K104" s="14">
        <f>_xll.BDH("AMGN US Equity","ARDR_ADJUSTED_OPERATING_MARGIN","FQ4 2020","FQ4 2020","Currency=USD","Period=FQ","BEST_FPERIOD_OVERRIDE=FQ","FILING_STATUS=MR","Sort=A","Dates=H","DateFormat=P","Fill=—","Direction=H","UseDPDF=Y")</f>
        <v>43.1</v>
      </c>
      <c r="L104" s="14">
        <f>_xll.BDH("AMGN US Equity","ARDR_ADJUSTED_OPERATING_MARGIN","FQ1 2021","FQ1 2021","Currency=USD","Period=FQ","BEST_FPERIOD_OVERRIDE=FQ","FILING_STATUS=MR","Sort=A","Dates=H","DateFormat=P","Fill=—","Direction=H","UseDPDF=Y")</f>
        <v>51.2</v>
      </c>
      <c r="M104" s="14">
        <f>_xll.BDH("AMGN US Equity","ARDR_ADJUSTED_OPERATING_MARGIN","FQ2 2021","FQ2 2021","Currency=USD","Period=FQ","BEST_FPERIOD_OVERRIDE=FQ","FILING_STATUS=MR","Sort=A","Dates=H","DateFormat=P","Fill=—","Direction=H","UseDPDF=Y")</f>
        <v>50.9</v>
      </c>
      <c r="N104" s="14">
        <f>_xll.BDH("AMGN US Equity","ARDR_ADJUSTED_OPERATING_MARGIN","FQ3 2021","FQ3 2021","Currency=USD","Period=FQ","BEST_FPERIOD_OVERRIDE=FQ","FILING_STATUS=MR","Sort=A","Dates=H","DateFormat=P","Fill=—","Direction=H","UseDPDF=Y")</f>
        <v>48.3</v>
      </c>
      <c r="O104" s="14">
        <f>_xll.BDH("AMGN US Equity","ARDR_ADJUSTED_OPERATING_MARGIN","FQ4 2021","FQ4 2021","Currency=USD","Period=FQ","BEST_FPERIOD_OVERRIDE=FQ","FILING_STATUS=MR","Sort=A","Dates=H","DateFormat=P","Fill=—","Direction=H","UseDPDF=Y")</f>
        <v>47.8</v>
      </c>
      <c r="P104" s="14">
        <f>_xll.BDH("AMGN US Equity","ARDR_ADJUSTED_OPERATING_MARGIN","FQ1 2022","FQ1 2022","Currency=USD","Period=FQ","BEST_FPERIOD_OVERRIDE=FQ","FILING_STATUS=MR","Sort=A","Dates=H","DateFormat=P","Fill=—","Direction=H","UseDPDF=Y")</f>
        <v>54.8</v>
      </c>
      <c r="Q104" s="14">
        <f>_xll.BDH("AMGN US Equity","ARDR_ADJUSTED_OPERATING_MARGIN","FQ2 2022","FQ2 2022","Currency=USD","Period=FQ","BEST_FPERIOD_OVERRIDE=FQ","FILING_STATUS=MR","Sort=A","Dates=H","DateFormat=P","Fill=—","Direction=H","UseDPDF=Y")</f>
        <v>53.1</v>
      </c>
      <c r="R104" s="14">
        <f>_xll.BDH("AMGN US Equity","ARDR_ADJUSTED_OPERATING_MARGIN","FQ3 2022","FQ3 2022","Currency=USD","Period=FQ","BEST_FPERIOD_OVERRIDE=FQ","FILING_STATUS=MR","Sort=A","Dates=H","DateFormat=P","Fill=—","Direction=H","UseDPDF=Y")</f>
        <v>52.5</v>
      </c>
      <c r="S104" s="14">
        <f>_xll.BDH("AMGN US Equity","ARDR_ADJUSTED_OPERATING_MARGIN","FQ4 2022","FQ4 2022","Currency=USD","Period=FQ","BEST_FPERIOD_OVERRIDE=FQ","FILING_STATUS=MR","Sort=A","Dates=H","DateFormat=P","Fill=—","Direction=H","UseDPDF=Y")</f>
        <v>45.9</v>
      </c>
      <c r="T104" s="14">
        <f>_xll.BDH("AMGN US Equity","ARDR_ADJUSTED_OPERATING_MARGIN","FQ1 2023","FQ1 2023","Currency=USD","Period=FQ","BEST_FPERIOD_OVERRIDE=FQ","FILING_STATUS=MR","Sort=A","Dates=H","DateFormat=P","Fill=—","Direction=H","UseDPDF=Y")</f>
        <v>48.3</v>
      </c>
      <c r="U104" s="14">
        <f>_xll.BDH("AMGN US Equity","ARDR_ADJUSTED_OPERATING_MARGIN","FQ2 2023","FQ2 2023","Currency=USD","Period=FQ","BEST_FPERIOD_OVERRIDE=FQ","FILING_STATUS=MR","Sort=A","Dates=H","DateFormat=P","Fill=—","Direction=H","UseDPDF=Y")</f>
        <v>52.6</v>
      </c>
      <c r="V104" s="14">
        <f>_xll.BDH("AMGN US Equity","ARDR_ADJUSTED_OPERATING_MARGIN","FQ3 2023","FQ3 2023","Currency=USD","Period=FQ","BEST_FPERIOD_OVERRIDE=FQ","FILING_STATUS=MR","Sort=A","Dates=H","DateFormat=P","Fill=—","Direction=H","UseDPDF=Y")</f>
        <v>52</v>
      </c>
      <c r="W104" s="14">
        <f>_xll.BDH("AMGN US Equity","ARDR_ADJUSTED_OPERATING_MARGIN","FQ4 2023","FQ4 2023","Currency=USD","Period=FQ","BEST_FPERIOD_OVERRIDE=FQ","FILING_STATUS=MR","Sort=A","Dates=H","DateFormat=P","Fill=—","Direction=H","UseDPDF=Y")</f>
        <v>46.7</v>
      </c>
      <c r="X104" s="14">
        <f>_xll.BDH("AMGN US Equity","ARDR_ADJUSTED_OPERATING_MARGIN","FQ1 2024","FQ1 2024","Currency=USD","Period=FQ","BEST_FPERIOD_OVERRIDE=FQ","FILING_STATUS=MR","Sort=A","Dates=H","DateFormat=P","Fill=—","Direction=H","UseDPDF=Y")</f>
        <v>43.2</v>
      </c>
      <c r="Y104" s="14">
        <f>_xll.BDH("AMGN US Equity","ARDR_ADJUSTED_OPERATING_MARGIN","FQ2 2024","FQ2 2024","Currency=USD","Period=FQ","BEST_FPERIOD_OVERRIDE=FQ","FILING_STATUS=MR","Sort=A","Dates=H","DateFormat=P","Fill=—","Direction=H","UseDPDF=Y")</f>
        <v>48.2</v>
      </c>
      <c r="Z104" s="14">
        <f>_xll.BDH("AMGN US Equity","ARDR_ADJUSTED_OPERATING_MARGIN","FQ3 2024","FQ3 2024","Currency=USD","Period=FQ","BEST_FPERIOD_OVERRIDE=FQ","FILING_STATUS=MR","Sort=A","Dates=H","DateFormat=P","Fill=—","Direction=H","UseDPDF=Y")</f>
        <v>49.6</v>
      </c>
      <c r="AA104" s="14">
        <f>_xll.BDH("AMGN US Equity","ARDR_ADJUSTED_OPERATING_MARGIN","FQ4 2024","FQ4 2024","Currency=USD","Period=FQ","BEST_FPERIOD_OVERRIDE=FQ","FILING_STATUS=MR","Sort=A","Dates=H","DateFormat=P","Fill=—","Direction=H","UseDPDF=Y")</f>
        <v>46.3</v>
      </c>
    </row>
    <row r="105" spans="1:27" x14ac:dyDescent="0.25">
      <c r="A105" s="10" t="s">
        <v>586</v>
      </c>
      <c r="B105" s="10" t="s">
        <v>587</v>
      </c>
      <c r="C105" s="13">
        <f>_xll.BDH("AMGN US Equity","ARDR_STK_BSD_CMPNSTN_CF_PRE_TAX","FQ4 2018","FQ4 2018","Currency=USD","Period=FQ","BEST_FPERIOD_OVERRIDE=FQ","FILING_STATUS=MR","SCALING_FORMAT=MLN","Sort=A","Dates=H","DateFormat=P","Fill=—","Direction=H","UseDPDF=Y")</f>
        <v>87</v>
      </c>
      <c r="D105" s="13" t="str">
        <f>_xll.BDH("AMGN US Equity","ARDR_STK_BSD_CMPNSTN_CF_PRE_TAX","FQ1 2019","FQ1 2019","Currency=USD","Period=FQ","BEST_FPERIOD_OVERRIDE=FQ","FILING_STATUS=MR","SCALING_FORMAT=MLN","Sort=A","Dates=H","DateFormat=P","Fill=—","Direction=H","UseDPDF=Y")</f>
        <v>—</v>
      </c>
      <c r="E105" s="13" t="str">
        <f>_xll.BDH("AMGN US Equity","ARDR_STK_BSD_CMPNSTN_CF_PRE_TAX","FQ2 2019","FQ2 2019","Currency=USD","Period=FQ","BEST_FPERIOD_OVERRIDE=FQ","FILING_STATUS=MR","SCALING_FORMAT=MLN","Sort=A","Dates=H","DateFormat=P","Fill=—","Direction=H","UseDPDF=Y")</f>
        <v>—</v>
      </c>
      <c r="F105" s="13" t="str">
        <f>_xll.BDH("AMGN US Equity","ARDR_STK_BSD_CMPNSTN_CF_PRE_TAX","FQ3 2019","FQ3 2019","Currency=USD","Period=FQ","BEST_FPERIOD_OVERRIDE=FQ","FILING_STATUS=MR","SCALING_FORMAT=MLN","Sort=A","Dates=H","DateFormat=P","Fill=—","Direction=H","UseDPDF=Y")</f>
        <v>—</v>
      </c>
      <c r="G105" s="13" t="str">
        <f>_xll.BDH("AMGN US Equity","ARDR_STK_BSD_CMPNSTN_CF_PRE_TAX","FQ4 2019","FQ4 2019","Currency=USD","Period=FQ","BEST_FPERIOD_OVERRIDE=FQ","FILING_STATUS=MR","SCALING_FORMAT=MLN","Sort=A","Dates=H","DateFormat=P","Fill=—","Direction=H","UseDPDF=Y")</f>
        <v>—</v>
      </c>
      <c r="H105" s="13" t="str">
        <f>_xll.BDH("AMGN US Equity","ARDR_STK_BSD_CMPNSTN_CF_PRE_TAX","FQ1 2020","FQ1 2020","Currency=USD","Period=FQ","BEST_FPERIOD_OVERRIDE=FQ","FILING_STATUS=MR","SCALING_FORMAT=MLN","Sort=A","Dates=H","DateFormat=P","Fill=—","Direction=H","UseDPDF=Y")</f>
        <v>—</v>
      </c>
      <c r="I105" s="13" t="str">
        <f>_xll.BDH("AMGN US Equity","ARDR_STK_BSD_CMPNSTN_CF_PRE_TAX","FQ2 2020","FQ2 2020","Currency=USD","Period=FQ","BEST_FPERIOD_OVERRIDE=FQ","FILING_STATUS=MR","SCALING_FORMAT=MLN","Sort=A","Dates=H","DateFormat=P","Fill=—","Direction=H","UseDPDF=Y")</f>
        <v>—</v>
      </c>
      <c r="J105" s="13" t="str">
        <f>_xll.BDH("AMGN US Equity","ARDR_STK_BSD_CMPNSTN_CF_PRE_TAX","FQ3 2020","FQ3 2020","Currency=USD","Period=FQ","BEST_FPERIOD_OVERRIDE=FQ","FILING_STATUS=MR","SCALING_FORMAT=MLN","Sort=A","Dates=H","DateFormat=P","Fill=—","Direction=H","UseDPDF=Y")</f>
        <v>—</v>
      </c>
      <c r="K105" s="13" t="str">
        <f>_xll.BDH("AMGN US Equity","ARDR_STK_BSD_CMPNSTN_CF_PRE_TAX","FQ4 2020","FQ4 2020","Currency=USD","Period=FQ","BEST_FPERIOD_OVERRIDE=FQ","FILING_STATUS=MR","SCALING_FORMAT=MLN","Sort=A","Dates=H","DateFormat=P","Fill=—","Direction=H","UseDPDF=Y")</f>
        <v>—</v>
      </c>
      <c r="L105" s="13" t="str">
        <f>_xll.BDH("AMGN US Equity","ARDR_STK_BSD_CMPNSTN_CF_PRE_TAX","FQ1 2021","FQ1 2021","Currency=USD","Period=FQ","BEST_FPERIOD_OVERRIDE=FQ","FILING_STATUS=MR","SCALING_FORMAT=MLN","Sort=A","Dates=H","DateFormat=P","Fill=—","Direction=H","UseDPDF=Y")</f>
        <v>—</v>
      </c>
      <c r="M105" s="13" t="str">
        <f>_xll.BDH("AMGN US Equity","ARDR_STK_BSD_CMPNSTN_CF_PRE_TAX","FQ2 2021","FQ2 2021","Currency=USD","Period=FQ","BEST_FPERIOD_OVERRIDE=FQ","FILING_STATUS=MR","SCALING_FORMAT=MLN","Sort=A","Dates=H","DateFormat=P","Fill=—","Direction=H","UseDPDF=Y")</f>
        <v>—</v>
      </c>
      <c r="N105" s="13" t="str">
        <f>_xll.BDH("AMGN US Equity","ARDR_STK_BSD_CMPNSTN_CF_PRE_TAX","FQ3 2021","FQ3 2021","Currency=USD","Period=FQ","BEST_FPERIOD_OVERRIDE=FQ","FILING_STATUS=MR","SCALING_FORMAT=MLN","Sort=A","Dates=H","DateFormat=P","Fill=—","Direction=H","UseDPDF=Y")</f>
        <v>—</v>
      </c>
      <c r="O105" s="13" t="str">
        <f>_xll.BDH("AMGN US Equity","ARDR_STK_BSD_CMPNSTN_CF_PRE_TAX","FQ4 2021","FQ4 2021","Currency=USD","Period=FQ","BEST_FPERIOD_OVERRIDE=FQ","FILING_STATUS=MR","SCALING_FORMAT=MLN","Sort=A","Dates=H","DateFormat=P","Fill=—","Direction=H","UseDPDF=Y")</f>
        <v>—</v>
      </c>
      <c r="P105" s="13" t="str">
        <f>_xll.BDH("AMGN US Equity","ARDR_STK_BSD_CMPNSTN_CF_PRE_TAX","FQ1 2022","FQ1 2022","Currency=USD","Period=FQ","BEST_FPERIOD_OVERRIDE=FQ","FILING_STATUS=MR","SCALING_FORMAT=MLN","Sort=A","Dates=H","DateFormat=P","Fill=—","Direction=H","UseDPDF=Y")</f>
        <v>—</v>
      </c>
      <c r="Q105" s="13" t="str">
        <f>_xll.BDH("AMGN US Equity","ARDR_STK_BSD_CMPNSTN_CF_PRE_TAX","FQ2 2022","FQ2 2022","Currency=USD","Period=FQ","BEST_FPERIOD_OVERRIDE=FQ","FILING_STATUS=MR","SCALING_FORMAT=MLN","Sort=A","Dates=H","DateFormat=P","Fill=—","Direction=H","UseDPDF=Y")</f>
        <v>—</v>
      </c>
      <c r="R105" s="13" t="str">
        <f>_xll.BDH("AMGN US Equity","ARDR_STK_BSD_CMPNSTN_CF_PRE_TAX","FQ3 2022","FQ3 2022","Currency=USD","Period=FQ","BEST_FPERIOD_OVERRIDE=FQ","FILING_STATUS=MR","SCALING_FORMAT=MLN","Sort=A","Dates=H","DateFormat=P","Fill=—","Direction=H","UseDPDF=Y")</f>
        <v>—</v>
      </c>
      <c r="S105" s="13" t="str">
        <f>_xll.BDH("AMGN US Equity","ARDR_STK_BSD_CMPNSTN_CF_PRE_TAX","FQ4 2022","FQ4 2022","Currency=USD","Period=FQ","BEST_FPERIOD_OVERRIDE=FQ","FILING_STATUS=MR","SCALING_FORMAT=MLN","Sort=A","Dates=H","DateFormat=P","Fill=—","Direction=H","UseDPDF=Y")</f>
        <v>—</v>
      </c>
      <c r="T105" s="13" t="str">
        <f>_xll.BDH("AMGN US Equity","ARDR_STK_BSD_CMPNSTN_CF_PRE_TAX","FQ1 2023","FQ1 2023","Currency=USD","Period=FQ","BEST_FPERIOD_OVERRIDE=FQ","FILING_STATUS=MR","SCALING_FORMAT=MLN","Sort=A","Dates=H","DateFormat=P","Fill=—","Direction=H","UseDPDF=Y")</f>
        <v>—</v>
      </c>
      <c r="U105" s="13" t="str">
        <f>_xll.BDH("AMGN US Equity","ARDR_STK_BSD_CMPNSTN_CF_PRE_TAX","FQ2 2023","FQ2 2023","Currency=USD","Period=FQ","BEST_FPERIOD_OVERRIDE=FQ","FILING_STATUS=MR","SCALING_FORMAT=MLN","Sort=A","Dates=H","DateFormat=P","Fill=—","Direction=H","UseDPDF=Y")</f>
        <v>—</v>
      </c>
      <c r="V105" s="13" t="str">
        <f>_xll.BDH("AMGN US Equity","ARDR_STK_BSD_CMPNSTN_CF_PRE_TAX","FQ3 2023","FQ3 2023","Currency=USD","Period=FQ","BEST_FPERIOD_OVERRIDE=FQ","FILING_STATUS=MR","SCALING_FORMAT=MLN","Sort=A","Dates=H","DateFormat=P","Fill=—","Direction=H","UseDPDF=Y")</f>
        <v>—</v>
      </c>
      <c r="W105" s="13" t="str">
        <f>_xll.BDH("AMGN US Equity","ARDR_STK_BSD_CMPNSTN_CF_PRE_TAX","FQ4 2023","FQ4 2023","Currency=USD","Period=FQ","BEST_FPERIOD_OVERRIDE=FQ","FILING_STATUS=MR","SCALING_FORMAT=MLN","Sort=A","Dates=H","DateFormat=P","Fill=—","Direction=H","UseDPDF=Y")</f>
        <v>—</v>
      </c>
      <c r="X105" s="13">
        <f>_xll.BDH("AMGN US Equity","ARDR_STK_BSD_CMPNSTN_CF_PRE_TAX","FQ1 2024","FQ1 2024","Currency=USD","Period=FQ","BEST_FPERIOD_OVERRIDE=FQ","FILING_STATUS=MR","SCALING_FORMAT=MLN","Sort=A","Dates=H","DateFormat=P","Fill=—","Direction=H","UseDPDF=Y")</f>
        <v>103</v>
      </c>
      <c r="Y105" s="13">
        <f>_xll.BDH("AMGN US Equity","ARDR_STK_BSD_CMPNSTN_CF_PRE_TAX","FQ2 2024","FQ2 2024","Currency=USD","Period=FQ","BEST_FPERIOD_OVERRIDE=FQ","FILING_STATUS=MR","SCALING_FORMAT=MLN","Sort=A","Dates=H","DateFormat=P","Fill=—","Direction=H","UseDPDF=Y")</f>
        <v>260</v>
      </c>
      <c r="Z105" s="13">
        <f>_xll.BDH("AMGN US Equity","ARDR_STK_BSD_CMPNSTN_CF_PRE_TAX","FQ3 2024","FQ3 2024","Currency=USD","Period=FQ","BEST_FPERIOD_OVERRIDE=FQ","FILING_STATUS=MR","SCALING_FORMAT=MLN","Sort=A","Dates=H","DateFormat=P","Fill=—","Direction=H","UseDPDF=Y")</f>
        <v>136</v>
      </c>
      <c r="AA105" s="13">
        <f>_xll.BDH("AMGN US Equity","ARDR_STK_BSD_CMPNSTN_CF_PRE_TAX","FQ4 2024","FQ4 2024","Currency=USD","Period=FQ","BEST_FPERIOD_OVERRIDE=FQ","FILING_STATUS=MR","SCALING_FORMAT=MLN","Sort=A","Dates=H","DateFormat=P","Fill=—","Direction=H","UseDPDF=Y")</f>
        <v>134</v>
      </c>
    </row>
    <row r="106" spans="1:27" x14ac:dyDescent="0.25">
      <c r="A106" s="10" t="s">
        <v>588</v>
      </c>
      <c r="B106" s="10" t="s">
        <v>589</v>
      </c>
      <c r="C106" s="13">
        <f>_xll.BDH("AMGN US Equity","ARDR_NON_GAAP_INCOME_TAX_EXPENSE","FQ4 2018","FQ4 2018","Currency=USD","Period=FQ","BEST_FPERIOD_OVERRIDE=FQ","FILING_STATUS=MR","Sort=A","Dates=H","DateFormat=P","Fill=—","Direction=H","UseDPDF=Y")</f>
        <v>334</v>
      </c>
      <c r="D106" s="13">
        <f>_xll.BDH("AMGN US Equity","ARDR_NON_GAAP_INCOME_TAX_EXPENSE","FQ1 2019","FQ1 2019","Currency=USD","Period=FQ","BEST_FPERIOD_OVERRIDE=FQ","FILING_STATUS=MR","Sort=A","Dates=H","DateFormat=P","Fill=—","Direction=H","UseDPDF=Y")</f>
        <v>382</v>
      </c>
      <c r="E106" s="13">
        <f>_xll.BDH("AMGN US Equity","ARDR_NON_GAAP_INCOME_TAX_EXPENSE","FQ2 2019","FQ2 2019","Currency=USD","Period=FQ","BEST_FPERIOD_OVERRIDE=FQ","FILING_STATUS=MR","Sort=A","Dates=H","DateFormat=P","Fill=—","Direction=H","UseDPDF=Y")</f>
        <v>436</v>
      </c>
      <c r="F106" s="13">
        <f>_xll.BDH("AMGN US Equity","ARDR_NON_GAAP_INCOME_TAX_EXPENSE","FQ3 2019","FQ3 2019","Currency=USD","Period=FQ","BEST_FPERIOD_OVERRIDE=FQ","FILING_STATUS=MR","Sort=A","Dates=H","DateFormat=P","Fill=—","Direction=H","UseDPDF=Y")</f>
        <v>393</v>
      </c>
      <c r="G106" s="13">
        <f>_xll.BDH("AMGN US Equity","ARDR_NON_GAAP_INCOME_TAX_EXPENSE","FQ4 2019","FQ4 2019","Currency=USD","Period=FQ","BEST_FPERIOD_OVERRIDE=FQ","FILING_STATUS=MR","Sort=A","Dates=H","DateFormat=P","Fill=—","Direction=H","UseDPDF=Y")</f>
        <v>382</v>
      </c>
      <c r="H106" s="13">
        <f>_xll.BDH("AMGN US Equity","ARDR_NON_GAAP_INCOME_TAX_EXPENSE","FQ1 2020","FQ1 2020","Currency=USD","Period=FQ","BEST_FPERIOD_OVERRIDE=FQ","FILING_STATUS=MR","Sort=A","Dates=H","DateFormat=P","Fill=—","Direction=H","UseDPDF=Y")</f>
        <v>374</v>
      </c>
      <c r="I106" s="13">
        <f>_xll.BDH("AMGN US Equity","ARDR_NON_GAAP_INCOME_TAX_EXPENSE","FQ2 2020","FQ2 2020","Currency=USD","Period=FQ","BEST_FPERIOD_OVERRIDE=FQ","FILING_STATUS=MR","Sort=A","Dates=H","DateFormat=P","Fill=—","Direction=H","UseDPDF=Y")</f>
        <v>390</v>
      </c>
      <c r="J106" s="13">
        <f>_xll.BDH("AMGN US Equity","ARDR_NON_GAAP_INCOME_TAX_EXPENSE","FQ3 2020","FQ3 2020","Currency=USD","Period=FQ","BEST_FPERIOD_OVERRIDE=FQ","FILING_STATUS=MR","Sort=A","Dates=H","DateFormat=P","Fill=—","Direction=H","UseDPDF=Y")</f>
        <v>371</v>
      </c>
      <c r="K106" s="13">
        <f>_xll.BDH("AMGN US Equity","ARDR_NON_GAAP_INCOME_TAX_EXPENSE","FQ4 2020","FQ4 2020","Currency=USD","Period=FQ","BEST_FPERIOD_OVERRIDE=FQ","FILING_STATUS=MR","Sort=A","Dates=H","DateFormat=P","Fill=—","Direction=H","UseDPDF=Y")</f>
        <v>405</v>
      </c>
      <c r="L106" s="13">
        <f>_xll.BDH("AMGN US Equity","ARDR_NON_GAAP_INCOME_TAX_EXPENSE","FQ1 2021","FQ1 2021","Currency=USD","Period=FQ","BEST_FPERIOD_OVERRIDE=FQ","FILING_STATUS=MR","Sort=A","Dates=H","DateFormat=P","Fill=—","Direction=H","UseDPDF=Y")</f>
        <v>339</v>
      </c>
      <c r="M106" s="13">
        <f>_xll.BDH("AMGN US Equity","ARDR_NON_GAAP_INCOME_TAX_EXPENSE","FQ2 2021","FQ2 2021","Currency=USD","Period=FQ","BEST_FPERIOD_OVERRIDE=FQ","FILING_STATUS=MR","Sort=A","Dates=H","DateFormat=P","Fill=—","Direction=H","UseDPDF=Y")</f>
        <v>362</v>
      </c>
      <c r="N106" s="13">
        <f>_xll.BDH("AMGN US Equity","ARDR_NON_GAAP_INCOME_TAX_EXPENSE","FQ3 2021","FQ3 2021","Currency=USD","Period=FQ","BEST_FPERIOD_OVERRIDE=FQ","FILING_STATUS=MR","Sort=A","Dates=H","DateFormat=P","Fill=—","Direction=H","UseDPDF=Y")</f>
        <v>358</v>
      </c>
      <c r="O106" s="13">
        <f>_xll.BDH("AMGN US Equity","ARDR_NON_GAAP_INCOME_TAX_EXPENSE","FQ4 2021","FQ4 2021","Currency=USD","Period=FQ","BEST_FPERIOD_OVERRIDE=FQ","FILING_STATUS=MR","Sort=A","Dates=H","DateFormat=P","Fill=—","Direction=H","UseDPDF=Y")</f>
        <v>322</v>
      </c>
      <c r="P106" s="13">
        <f>_xll.BDH("AMGN US Equity","ARDR_NON_GAAP_INCOME_TAX_EXPENSE","FQ1 2022","FQ1 2022","Currency=USD","Period=FQ","BEST_FPERIOD_OVERRIDE=FQ","FILING_STATUS=MR","Sort=A","Dates=H","DateFormat=P","Fill=—","Direction=H","UseDPDF=Y")</f>
        <v>384</v>
      </c>
      <c r="Q106" s="13">
        <f>_xll.BDH("AMGN US Equity","ARDR_NON_GAAP_INCOME_TAX_EXPENSE","FQ2 2022","FQ2 2022","Currency=USD","Period=FQ","BEST_FPERIOD_OVERRIDE=FQ","FILING_STATUS=MR","Sort=A","Dates=H","DateFormat=P","Fill=—","Direction=H","UseDPDF=Y")</f>
        <v>430</v>
      </c>
      <c r="R106" s="13">
        <f>_xll.BDH("AMGN US Equity","ARDR_NON_GAAP_INCOME_TAX_EXPENSE","FQ3 2022","FQ3 2022","Currency=USD","Period=FQ","BEST_FPERIOD_OVERRIDE=FQ","FILING_STATUS=MR","Sort=A","Dates=H","DateFormat=P","Fill=—","Direction=H","UseDPDF=Y")</f>
        <v>376</v>
      </c>
      <c r="S106" s="13">
        <f>_xll.BDH("AMGN US Equity","ARDR_NON_GAAP_INCOME_TAX_EXPENSE","FQ4 2022","FQ4 2022","Currency=USD","Period=FQ","BEST_FPERIOD_OVERRIDE=FQ","FILING_STATUS=MR","Sort=A","Dates=H","DateFormat=P","Fill=—","Direction=H","UseDPDF=Y")</f>
        <v>340</v>
      </c>
      <c r="T106" s="13">
        <f>_xll.BDH("AMGN US Equity","ARDR_NON_GAAP_INCOME_TAX_EXPENSE","FQ1 2023","FQ1 2023","Currency=USD","Period=FQ","BEST_FPERIOD_OVERRIDE=FQ","FILING_STATUS=MR","Sort=A","Dates=H","DateFormat=P","Fill=—","Direction=H","UseDPDF=Y")</f>
        <v>465</v>
      </c>
      <c r="U106" s="13">
        <f>_xll.BDH("AMGN US Equity","ARDR_NON_GAAP_INCOME_TAX_EXPENSE","FQ2 2023","FQ2 2023","Currency=USD","Period=FQ","BEST_FPERIOD_OVERRIDE=FQ","FILING_STATUS=MR","Sort=A","Dates=H","DateFormat=P","Fill=—","Direction=H","UseDPDF=Y")</f>
        <v>525</v>
      </c>
      <c r="V106" s="13">
        <f>_xll.BDH("AMGN US Equity","ARDR_NON_GAAP_INCOME_TAX_EXPENSE","FQ3 2023","FQ3 2023","Currency=USD","Period=FQ","BEST_FPERIOD_OVERRIDE=FQ","FILING_STATUS=MR","Sort=A","Dates=H","DateFormat=P","Fill=—","Direction=H","UseDPDF=Y")</f>
        <v>511</v>
      </c>
      <c r="W106" s="13">
        <f>_xll.BDH("AMGN US Equity","ARDR_NON_GAAP_INCOME_TAX_EXPENSE","FQ4 2023","FQ4 2023","Currency=USD","Period=FQ","BEST_FPERIOD_OVERRIDE=FQ","FILING_STATUS=MR","Sort=A","Dates=H","DateFormat=P","Fill=—","Direction=H","UseDPDF=Y")</f>
        <v>482</v>
      </c>
      <c r="X106" s="13">
        <f>_xll.BDH("AMGN US Equity","ARDR_NON_GAAP_INCOME_TAX_EXPENSE","FQ1 2024","FQ1 2024","Currency=USD","Period=FQ","BEST_FPERIOD_OVERRIDE=FQ","FILING_STATUS=MR","Sort=A","Dates=H","DateFormat=P","Fill=—","Direction=H","UseDPDF=Y")</f>
        <v>389</v>
      </c>
      <c r="Y106" s="13">
        <f>_xll.BDH("AMGN US Equity","ARDR_NON_GAAP_INCOME_TAX_EXPENSE","FQ2 2024","FQ2 2024","Currency=USD","Period=FQ","BEST_FPERIOD_OVERRIDE=FQ","FILING_STATUS=MR","Sort=A","Dates=H","DateFormat=P","Fill=—","Direction=H","UseDPDF=Y")</f>
        <v>472</v>
      </c>
      <c r="Z106" s="13">
        <f>_xll.BDH("AMGN US Equity","ARDR_NON_GAAP_INCOME_TAX_EXPENSE","FQ3 2024","FQ3 2024","Currency=USD","Period=FQ","BEST_FPERIOD_OVERRIDE=FQ","FILING_STATUS=MR","Sort=A","Dates=H","DateFormat=P","Fill=—","Direction=H","UseDPDF=Y")</f>
        <v>466</v>
      </c>
      <c r="AA106" s="13">
        <f>_xll.BDH("AMGN US Equity","ARDR_NON_GAAP_INCOME_TAX_EXPENSE","FQ4 2024","FQ4 2024","Currency=USD","Period=FQ","BEST_FPERIOD_OVERRIDE=FQ","FILING_STATUS=MR","Sort=A","Dates=H","DateFormat=P","Fill=—","Direction=H","UseDPDF=Y")</f>
        <v>500</v>
      </c>
    </row>
    <row r="107" spans="1:27" x14ac:dyDescent="0.25">
      <c r="A107" s="7" t="s">
        <v>90</v>
      </c>
      <c r="B107" s="7"/>
      <c r="C107" s="7" t="s">
        <v>5</v>
      </c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75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590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591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6" t="s">
        <v>592</v>
      </c>
      <c r="B7" s="6" t="s">
        <v>99</v>
      </c>
      <c r="C7" s="19">
        <f>_xll.BDH("AMGN US Equity","IS_OPER_INC","FQ4 2018","FQ4 2018","Currency=USD","Period=FQ","BEST_FPERIOD_OVERRIDE=FQ","FILING_STATUS=MR","SCALING_FORMAT=MLN","FA_ADJUSTED=GAAP","Sort=A","Dates=H","DateFormat=P","Fill=—","Direction=H","UseDPDF=Y")</f>
        <v>2382</v>
      </c>
      <c r="D7" s="19">
        <f>_xll.BDH("AMGN US Equity","IS_OPER_INC","FQ1 2019","FQ1 2019","Currency=USD","Period=FQ","BEST_FPERIOD_OVERRIDE=FQ","FILING_STATUS=MR","SCALING_FORMAT=MLN","FA_ADJUSTED=GAAP","Sort=A","Dates=H","DateFormat=P","Fill=—","Direction=H","UseDPDF=Y")</f>
        <v>2472</v>
      </c>
      <c r="E7" s="19">
        <f>_xll.BDH("AMGN US Equity","IS_OPER_INC","FQ2 2019","FQ2 2019","Currency=USD","Period=FQ","BEST_FPERIOD_OVERRIDE=FQ","FILING_STATUS=MR","SCALING_FORMAT=MLN","FA_ADJUSTED=GAAP","Sort=A","Dates=H","DateFormat=P","Fill=—","Direction=H","UseDPDF=Y")</f>
        <v>2678</v>
      </c>
      <c r="F7" s="19">
        <f>_xll.BDH("AMGN US Equity","IS_OPER_INC","FQ3 2019","FQ3 2019","Currency=USD","Period=FQ","BEST_FPERIOD_OVERRIDE=FQ","FILING_STATUS=MR","SCALING_FORMAT=MLN","FA_ADJUSTED=GAAP","Sort=A","Dates=H","DateFormat=P","Fill=—","Direction=H","UseDPDF=Y")</f>
        <v>2476</v>
      </c>
      <c r="G7" s="19">
        <f>_xll.BDH("AMGN US Equity","IS_OPER_INC","FQ4 2019","FQ4 2019","Currency=USD","Period=FQ","BEST_FPERIOD_OVERRIDE=FQ","FILING_STATUS=MR","SCALING_FORMAT=MLN","FA_ADJUSTED=GAAP","Sort=A","Dates=H","DateFormat=P","Fill=—","Direction=H","UseDPDF=Y")</f>
        <v>2048</v>
      </c>
      <c r="H7" s="19">
        <f>_xll.BDH("AMGN US Equity","IS_OPER_INC","FQ1 2020","FQ1 2020","Currency=USD","Period=FQ","BEST_FPERIOD_OVERRIDE=FQ","FILING_STATUS=MR","SCALING_FORMAT=MLN","FA_ADJUSTED=GAAP","Sort=A","Dates=H","DateFormat=P","Fill=—","Direction=H","UseDPDF=Y")</f>
        <v>2355</v>
      </c>
      <c r="I7" s="19">
        <f>_xll.BDH("AMGN US Equity","IS_OPER_INC","FQ2 2020","FQ2 2020","Currency=USD","Period=FQ","BEST_FPERIOD_OVERRIDE=FQ","FILING_STATUS=MR","SCALING_FORMAT=MLN","FA_ADJUSTED=GAAP","Sort=A","Dates=H","DateFormat=P","Fill=—","Direction=H","UseDPDF=Y")</f>
        <v>2323</v>
      </c>
      <c r="J7" s="19">
        <f>_xll.BDH("AMGN US Equity","IS_OPER_INC","FQ3 2020","FQ3 2020","Currency=USD","Period=FQ","BEST_FPERIOD_OVERRIDE=FQ","FILING_STATUS=MR","SCALING_FORMAT=MLN","FA_ADJUSTED=GAAP","Sort=A","Dates=H","DateFormat=P","Fill=—","Direction=H","UseDPDF=Y")</f>
        <v>2453</v>
      </c>
      <c r="K7" s="19">
        <f>_xll.BDH("AMGN US Equity","IS_OPER_INC","FQ4 2020","FQ4 2020","Currency=USD","Period=FQ","BEST_FPERIOD_OVERRIDE=FQ","FILING_STATUS=MR","SCALING_FORMAT=MLN","FA_ADJUSTED=GAAP","Sort=A","Dates=H","DateFormat=P","Fill=—","Direction=H","UseDPDF=Y")</f>
        <v>2008</v>
      </c>
      <c r="L7" s="19">
        <f>_xll.BDH("AMGN US Equity","IS_OPER_INC","FQ1 2021","FQ1 2021","Currency=USD","Period=FQ","BEST_FPERIOD_OVERRIDE=FQ","FILING_STATUS=MR","SCALING_FORMAT=MLN","FA_ADJUSTED=GAAP","Sort=A","Dates=H","DateFormat=P","Fill=—","Direction=H","UseDPDF=Y")</f>
        <v>2129</v>
      </c>
      <c r="M7" s="19">
        <f>_xll.BDH("AMGN US Equity","IS_OPER_INC","FQ2 2021","FQ2 2021","Currency=USD","Period=FQ","BEST_FPERIOD_OVERRIDE=FQ","FILING_STATUS=MR","SCALING_FORMAT=MLN","FA_ADJUSTED=GAAP","Sort=A","Dates=H","DateFormat=P","Fill=—","Direction=H","UseDPDF=Y")</f>
        <v>828</v>
      </c>
      <c r="N7" s="19">
        <f>_xll.BDH("AMGN US Equity","IS_OPER_INC","FQ3 2021","FQ3 2021","Currency=USD","Period=FQ","BEST_FPERIOD_OVERRIDE=FQ","FILING_STATUS=MR","SCALING_FORMAT=MLN","FA_ADJUSTED=GAAP","Sort=A","Dates=H","DateFormat=P","Fill=—","Direction=H","UseDPDF=Y")</f>
        <v>2378</v>
      </c>
      <c r="O7" s="19">
        <f>_xll.BDH("AMGN US Equity","IS_OPER_INC","FQ4 2021","FQ4 2021","Currency=USD","Period=FQ","BEST_FPERIOD_OVERRIDE=FQ","FILING_STATUS=MR","SCALING_FORMAT=MLN","FA_ADJUSTED=GAAP","Sort=A","Dates=H","DateFormat=P","Fill=—","Direction=H","UseDPDF=Y")</f>
        <v>2304</v>
      </c>
      <c r="P7" s="19">
        <f>_xll.BDH("AMGN US Equity","IS_OPER_INC","FQ1 2022","FQ1 2022","Currency=USD","Period=FQ","BEST_FPERIOD_OVERRIDE=FQ","FILING_STATUS=MR","SCALING_FORMAT=MLN","FA_ADJUSTED=GAAP","Sort=A","Dates=H","DateFormat=P","Fill=—","Direction=H","UseDPDF=Y")</f>
        <v>2500</v>
      </c>
      <c r="Q7" s="19">
        <f>_xll.BDH("AMGN US Equity","IS_OPER_INC","FQ2 2022","FQ2 2022","Currency=USD","Period=FQ","BEST_FPERIOD_OVERRIDE=FQ","FILING_STATUS=MR","SCALING_FORMAT=MLN","FA_ADJUSTED=GAAP","Sort=A","Dates=H","DateFormat=P","Fill=—","Direction=H","UseDPDF=Y")</f>
        <v>2176</v>
      </c>
      <c r="R7" s="19">
        <f>_xll.BDH("AMGN US Equity","IS_OPER_INC","FQ3 2022","FQ3 2022","Currency=USD","Period=FQ","BEST_FPERIOD_OVERRIDE=FQ","FILING_STATUS=MR","SCALING_FORMAT=MLN","FA_ADJUSTED=GAAP","Sort=A","Dates=H","DateFormat=P","Fill=—","Direction=H","UseDPDF=Y")</f>
        <v>2660</v>
      </c>
      <c r="S7" s="19">
        <f>_xll.BDH("AMGN US Equity","IS_OPER_INC","FQ4 2022","FQ4 2022","Currency=USD","Period=FQ","BEST_FPERIOD_OVERRIDE=FQ","FILING_STATUS=MR","SCALING_FORMAT=MLN","FA_ADJUSTED=GAAP","Sort=A","Dates=H","DateFormat=P","Fill=—","Direction=H","UseDPDF=Y")</f>
        <v>2230</v>
      </c>
      <c r="T7" s="19">
        <f>_xll.BDH("AMGN US Equity","IS_OPER_INC","FQ1 2023","FQ1 2023","Currency=USD","Period=FQ","BEST_FPERIOD_OVERRIDE=FQ","FILING_STATUS=MR","SCALING_FORMAT=MLN","FA_ADJUSTED=GAAP","Sort=A","Dates=H","DateFormat=P","Fill=—","Direction=H","UseDPDF=Y")</f>
        <v>1921</v>
      </c>
      <c r="U7" s="19">
        <f>_xll.BDH("AMGN US Equity","IS_OPER_INC","FQ2 2023","FQ2 2023","Currency=USD","Period=FQ","BEST_FPERIOD_OVERRIDE=FQ","FILING_STATUS=MR","SCALING_FORMAT=MLN","FA_ADJUSTED=GAAP","Sort=A","Dates=H","DateFormat=P","Fill=—","Direction=H","UseDPDF=Y")</f>
        <v>2684</v>
      </c>
      <c r="V7" s="19">
        <f>_xll.BDH("AMGN US Equity","IS_OPER_INC","FQ3 2023","FQ3 2023","Currency=USD","Period=FQ","BEST_FPERIOD_OVERRIDE=FQ","FILING_STATUS=MR","SCALING_FORMAT=MLN","FA_ADJUSTED=GAAP","Sort=A","Dates=H","DateFormat=P","Fill=—","Direction=H","UseDPDF=Y")</f>
        <v>2021</v>
      </c>
      <c r="W7" s="19">
        <f>_xll.BDH("AMGN US Equity","IS_OPER_INC","FQ4 2023","FQ4 2023","Currency=USD","Period=FQ","BEST_FPERIOD_OVERRIDE=FQ","FILING_STATUS=MR","SCALING_FORMAT=MLN","FA_ADJUSTED=GAAP","Sort=A","Dates=H","DateFormat=P","Fill=—","Direction=H","UseDPDF=Y")</f>
        <v>1271</v>
      </c>
      <c r="X7" s="19">
        <f>_xll.BDH("AMGN US Equity","IS_OPER_INC","FQ1 2024","FQ1 2024","Currency=USD","Period=FQ","BEST_FPERIOD_OVERRIDE=FQ","FILING_STATUS=MR","SCALING_FORMAT=MLN","FA_ADJUSTED=GAAP","Sort=A","Dates=H","DateFormat=P","Fill=—","Direction=H","UseDPDF=Y")</f>
        <v>991</v>
      </c>
      <c r="Y7" s="19">
        <f>_xll.BDH("AMGN US Equity","IS_OPER_INC","FQ2 2024","FQ2 2024","Currency=USD","Period=FQ","BEST_FPERIOD_OVERRIDE=FQ","FILING_STATUS=MR","SCALING_FORMAT=MLN","FA_ADJUSTED=GAAP","Sort=A","Dates=H","DateFormat=P","Fill=—","Direction=H","UseDPDF=Y")</f>
        <v>1909</v>
      </c>
      <c r="Z7" s="19">
        <f>_xll.BDH("AMGN US Equity","IS_OPER_INC","FQ3 2024","FQ3 2024","Currency=USD","Period=FQ","BEST_FPERIOD_OVERRIDE=FQ","FILING_STATUS=MR","SCALING_FORMAT=MLN","FA_ADJUSTED=GAAP","Sort=A","Dates=H","DateFormat=P","Fill=—","Direction=H","UseDPDF=Y")</f>
        <v>2047</v>
      </c>
      <c r="AA7" s="19">
        <f>_xll.BDH("AMGN US Equity","IS_OPER_INC","FQ4 2024","FQ4 2024","Currency=USD","Period=FQ","BEST_FPERIOD_OVERRIDE=FQ","FILING_STATUS=MR","SCALING_FORMAT=MLN","FA_ADJUSTED=GAAP","Sort=A","Dates=H","DateFormat=P","Fill=—","Direction=H","UseDPDF=Y")</f>
        <v>2311</v>
      </c>
    </row>
    <row r="8" spans="1:27" x14ac:dyDescent="0.25">
      <c r="A8" s="10" t="s">
        <v>593</v>
      </c>
      <c r="B8" s="10" t="s">
        <v>594</v>
      </c>
      <c r="C8" s="13">
        <f>_xll.BDH("AMGN US Equity","IS_REVENUE_ADJUSTMENTS","FQ4 2018","FQ4 2018","Currency=USD","Period=FQ","BEST_FPERIOD_OVERRIDE=FQ","FILING_STATUS=MR","SCALING_FORMAT=MLN","Sort=A","Dates=H","DateFormat=P","Fill=—","Direction=H","UseDPDF=Y")</f>
        <v>0</v>
      </c>
      <c r="D8" s="13">
        <f>_xll.BDH("AMGN US Equity","IS_REVENUE_ADJUSTMENTS","FQ1 2019","FQ1 2019","Currency=USD","Period=FQ","BEST_FPERIOD_OVERRIDE=FQ","FILING_STATUS=MR","SCALING_FORMAT=MLN","Sort=A","Dates=H","DateFormat=P","Fill=—","Direction=H","UseDPDF=Y")</f>
        <v>0</v>
      </c>
      <c r="E8" s="13">
        <f>_xll.BDH("AMGN US Equity","IS_REVENUE_ADJUSTMENTS","FQ2 2019","FQ2 2019","Currency=USD","Period=FQ","BEST_FPERIOD_OVERRIDE=FQ","FILING_STATUS=MR","SCALING_FORMAT=MLN","Sort=A","Dates=H","DateFormat=P","Fill=—","Direction=H","UseDPDF=Y")</f>
        <v>0</v>
      </c>
      <c r="F8" s="13">
        <f>_xll.BDH("AMGN US Equity","IS_REVENUE_ADJUSTMENTS","FQ3 2019","FQ3 2019","Currency=USD","Period=FQ","BEST_FPERIOD_OVERRIDE=FQ","FILING_STATUS=MR","SCALING_FORMAT=MLN","Sort=A","Dates=H","DateFormat=P","Fill=—","Direction=H","UseDPDF=Y")</f>
        <v>0</v>
      </c>
      <c r="G8" s="13">
        <f>_xll.BDH("AMGN US Equity","IS_REVENUE_ADJUSTMENTS","FQ4 2019","FQ4 2019","Currency=USD","Period=FQ","BEST_FPERIOD_OVERRIDE=FQ","FILING_STATUS=MR","SCALING_FORMAT=MLN","Sort=A","Dates=H","DateFormat=P","Fill=—","Direction=H","UseDPDF=Y")</f>
        <v>0</v>
      </c>
      <c r="H8" s="13">
        <f>_xll.BDH("AMGN US Equity","IS_REVENUE_ADJUSTMENTS","FQ1 2020","FQ1 2020","Currency=USD","Period=FQ","BEST_FPERIOD_OVERRIDE=FQ","FILING_STATUS=MR","SCALING_FORMAT=MLN","Sort=A","Dates=H","DateFormat=P","Fill=—","Direction=H","UseDPDF=Y")</f>
        <v>0</v>
      </c>
      <c r="I8" s="13">
        <f>_xll.BDH("AMGN US Equity","IS_REVENUE_ADJUSTMENTS","FQ2 2020","FQ2 2020","Currency=USD","Period=FQ","BEST_FPERIOD_OVERRIDE=FQ","FILING_STATUS=MR","SCALING_FORMAT=MLN","Sort=A","Dates=H","DateFormat=P","Fill=—","Direction=H","UseDPDF=Y")</f>
        <v>0</v>
      </c>
      <c r="J8" s="13">
        <f>_xll.BDH("AMGN US Equity","IS_REVENUE_ADJUSTMENTS","FQ3 2020","FQ3 2020","Currency=USD","Period=FQ","BEST_FPERIOD_OVERRIDE=FQ","FILING_STATUS=MR","SCALING_FORMAT=MLN","Sort=A","Dates=H","DateFormat=P","Fill=—","Direction=H","UseDPDF=Y")</f>
        <v>0</v>
      </c>
      <c r="K8" s="13">
        <f>_xll.BDH("AMGN US Equity","IS_REVENUE_ADJUSTMENTS","FQ4 2020","FQ4 2020","Currency=USD","Period=FQ","BEST_FPERIOD_OVERRIDE=FQ","FILING_STATUS=MR","SCALING_FORMAT=MLN","Sort=A","Dates=H","DateFormat=P","Fill=—","Direction=H","UseDPDF=Y")</f>
        <v>0</v>
      </c>
      <c r="L8" s="13">
        <f>_xll.BDH("AMGN US Equity","IS_REVENUE_ADJUSTMENTS","FQ1 2021","FQ1 2021","Currency=USD","Period=FQ","BEST_FPERIOD_OVERRIDE=FQ","FILING_STATUS=MR","SCALING_FORMAT=MLN","Sort=A","Dates=H","DateFormat=P","Fill=—","Direction=H","UseDPDF=Y")</f>
        <v>0</v>
      </c>
      <c r="M8" s="13">
        <f>_xll.BDH("AMGN US Equity","IS_REVENUE_ADJUSTMENTS","FQ2 2021","FQ2 2021","Currency=USD","Period=FQ","BEST_FPERIOD_OVERRIDE=FQ","FILING_STATUS=MR","SCALING_FORMAT=MLN","Sort=A","Dates=H","DateFormat=P","Fill=—","Direction=H","UseDPDF=Y")</f>
        <v>0</v>
      </c>
      <c r="N8" s="13">
        <f>_xll.BDH("AMGN US Equity","IS_REVENUE_ADJUSTMENTS","FQ3 2021","FQ3 2021","Currency=USD","Period=FQ","BEST_FPERIOD_OVERRIDE=FQ","FILING_STATUS=MR","SCALING_FORMAT=MLN","Sort=A","Dates=H","DateFormat=P","Fill=—","Direction=H","UseDPDF=Y")</f>
        <v>0</v>
      </c>
      <c r="O8" s="13">
        <f>_xll.BDH("AMGN US Equity","IS_REVENUE_ADJUSTMENTS","FQ4 2021","FQ4 2021","Currency=USD","Period=FQ","BEST_FPERIOD_OVERRIDE=FQ","FILING_STATUS=MR","SCALING_FORMAT=MLN","Sort=A","Dates=H","DateFormat=P","Fill=—","Direction=H","UseDPDF=Y")</f>
        <v>0</v>
      </c>
      <c r="P8" s="13">
        <f>_xll.BDH("AMGN US Equity","IS_REVENUE_ADJUSTMENTS","FQ1 2022","FQ1 2022","Currency=USD","Period=FQ","BEST_FPERIOD_OVERRIDE=FQ","FILING_STATUS=MR","SCALING_FORMAT=MLN","Sort=A","Dates=H","DateFormat=P","Fill=—","Direction=H","UseDPDF=Y")</f>
        <v>0</v>
      </c>
      <c r="Q8" s="13">
        <f>_xll.BDH("AMGN US Equity","IS_REVENUE_ADJUSTMENTS","FQ2 2022","FQ2 2022","Currency=USD","Period=FQ","BEST_FPERIOD_OVERRIDE=FQ","FILING_STATUS=MR","SCALING_FORMAT=MLN","Sort=A","Dates=H","DateFormat=P","Fill=—","Direction=H","UseDPDF=Y")</f>
        <v>0</v>
      </c>
      <c r="R8" s="13">
        <f>_xll.BDH("AMGN US Equity","IS_REVENUE_ADJUSTMENTS","FQ3 2022","FQ3 2022","Currency=USD","Period=FQ","BEST_FPERIOD_OVERRIDE=FQ","FILING_STATUS=MR","SCALING_FORMAT=MLN","Sort=A","Dates=H","DateFormat=P","Fill=—","Direction=H","UseDPDF=Y")</f>
        <v>0</v>
      </c>
      <c r="S8" s="13">
        <f>_xll.BDH("AMGN US Equity","IS_REVENUE_ADJUSTMENTS","FQ4 2022","FQ4 2022","Currency=USD","Period=FQ","BEST_FPERIOD_OVERRIDE=FQ","FILING_STATUS=MR","SCALING_FORMAT=MLN","Sort=A","Dates=H","DateFormat=P","Fill=—","Direction=H","UseDPDF=Y")</f>
        <v>0</v>
      </c>
      <c r="T8" s="13">
        <f>_xll.BDH("AMGN US Equity","IS_REVENUE_ADJUSTMENTS","FQ1 2023","FQ1 2023","Currency=USD","Period=FQ","BEST_FPERIOD_OVERRIDE=FQ","FILING_STATUS=MR","SCALING_FORMAT=MLN","Sort=A","Dates=H","DateFormat=P","Fill=—","Direction=H","UseDPDF=Y")</f>
        <v>0</v>
      </c>
      <c r="U8" s="13">
        <f>_xll.BDH("AMGN US Equity","IS_REVENUE_ADJUSTMENTS","FQ2 2023","FQ2 2023","Currency=USD","Period=FQ","BEST_FPERIOD_OVERRIDE=FQ","FILING_STATUS=MR","SCALING_FORMAT=MLN","Sort=A","Dates=H","DateFormat=P","Fill=—","Direction=H","UseDPDF=Y")</f>
        <v>0</v>
      </c>
      <c r="V8" s="13">
        <f>_xll.BDH("AMGN US Equity","IS_REVENUE_ADJUSTMENTS","FQ3 2023","FQ3 2023","Currency=USD","Period=FQ","BEST_FPERIOD_OVERRIDE=FQ","FILING_STATUS=MR","SCALING_FORMAT=MLN","Sort=A","Dates=H","DateFormat=P","Fill=—","Direction=H","UseDPDF=Y")</f>
        <v>0</v>
      </c>
      <c r="W8" s="13">
        <f>_xll.BDH("AMGN US Equity","IS_REVENUE_ADJUSTMENTS","FQ4 2023","FQ4 2023","Currency=USD","Period=FQ","BEST_FPERIOD_OVERRIDE=FQ","FILING_STATUS=MR","SCALING_FORMAT=MLN","Sort=A","Dates=H","DateFormat=P","Fill=—","Direction=H","UseDPDF=Y")</f>
        <v>0</v>
      </c>
      <c r="X8" s="13">
        <f>_xll.BDH("AMGN US Equity","IS_REVENUE_ADJUSTMENTS","FQ1 2024","FQ1 2024","Currency=USD","Period=FQ","BEST_FPERIOD_OVERRIDE=FQ","FILING_STATUS=MR","SCALING_FORMAT=MLN","Sort=A","Dates=H","DateFormat=P","Fill=—","Direction=H","UseDPDF=Y")</f>
        <v>0</v>
      </c>
      <c r="Y8" s="13">
        <f>_xll.BDH("AMGN US Equity","IS_REVENUE_ADJUSTMENTS","FQ2 2024","FQ2 2024","Currency=USD","Period=FQ","BEST_FPERIOD_OVERRIDE=FQ","FILING_STATUS=MR","SCALING_FORMAT=MLN","Sort=A","Dates=H","DateFormat=P","Fill=—","Direction=H","UseDPDF=Y")</f>
        <v>0</v>
      </c>
      <c r="Z8" s="13">
        <f>_xll.BDH("AMGN US Equity","IS_REVENUE_ADJUSTMENTS","FQ3 2024","FQ3 2024","Currency=USD","Period=FQ","BEST_FPERIOD_OVERRIDE=FQ","FILING_STATUS=MR","SCALING_FORMAT=MLN","Sort=A","Dates=H","DateFormat=P","Fill=—","Direction=H","UseDPDF=Y")</f>
        <v>0</v>
      </c>
      <c r="AA8" s="13">
        <f>_xll.BDH("AMGN US Equity","IS_REVENUE_ADJUSTMENTS","FQ4 2024","FQ4 2024","Currency=USD","Period=FQ","BEST_FPERIOD_OVERRIDE=FQ","FILING_STATUS=MR","SCALING_FORMAT=MLN","Sort=A","Dates=H","DateFormat=P","Fill=—","Direction=H","UseDPDF=Y")</f>
        <v>0</v>
      </c>
    </row>
    <row r="9" spans="1:27" x14ac:dyDescent="0.25">
      <c r="A9" s="10" t="s">
        <v>595</v>
      </c>
      <c r="B9" s="10" t="s">
        <v>596</v>
      </c>
      <c r="C9" s="13">
        <f>_xll.BDH("AMGN US Equity","IS_COST_OF_REVENUE_ADJUSTMENTS","FQ4 2018","FQ4 2018","Currency=USD","Period=FQ","BEST_FPERIOD_OVERRIDE=FQ","FILING_STATUS=MR","SCALING_FORMAT=MLN","Sort=A","Dates=H","DateFormat=P","Fill=—","Direction=H","UseDPDF=Y")</f>
        <v>1</v>
      </c>
      <c r="D9" s="13">
        <f>_xll.BDH("AMGN US Equity","IS_COST_OF_REVENUE_ADJUSTMENTS","FQ1 2019","FQ1 2019","Currency=USD","Period=FQ","BEST_FPERIOD_OVERRIDE=FQ","FILING_STATUS=MR","SCALING_FORMAT=MLN","Sort=A","Dates=H","DateFormat=P","Fill=—","Direction=H","UseDPDF=Y")</f>
        <v>0</v>
      </c>
      <c r="E9" s="13">
        <f>_xll.BDH("AMGN US Equity","IS_COST_OF_REVENUE_ADJUSTMENTS","FQ2 2019","FQ2 2019","Currency=USD","Period=FQ","BEST_FPERIOD_OVERRIDE=FQ","FILING_STATUS=MR","SCALING_FORMAT=MLN","Sort=A","Dates=H","DateFormat=P","Fill=—","Direction=H","UseDPDF=Y")</f>
        <v>0</v>
      </c>
      <c r="F9" s="13">
        <f>_xll.BDH("AMGN US Equity","IS_COST_OF_REVENUE_ADJUSTMENTS","FQ3 2019","FQ3 2019","Currency=USD","Period=FQ","BEST_FPERIOD_OVERRIDE=FQ","FILING_STATUS=MR","SCALING_FORMAT=MLN","Sort=A","Dates=H","DateFormat=P","Fill=—","Direction=H","UseDPDF=Y")</f>
        <v>0</v>
      </c>
      <c r="G9" s="13">
        <f>_xll.BDH("AMGN US Equity","IS_COST_OF_REVENUE_ADJUSTMENTS","FQ4 2019","FQ4 2019","Currency=USD","Period=FQ","BEST_FPERIOD_OVERRIDE=FQ","FILING_STATUS=MR","SCALING_FORMAT=MLN","Sort=A","Dates=H","DateFormat=P","Fill=—","Direction=H","UseDPDF=Y")</f>
        <v>0</v>
      </c>
      <c r="H9" s="13">
        <f>_xll.BDH("AMGN US Equity","IS_COST_OF_REVENUE_ADJUSTMENTS","FQ1 2020","FQ1 2020","Currency=USD","Period=FQ","BEST_FPERIOD_OVERRIDE=FQ","FILING_STATUS=MR","SCALING_FORMAT=MLN","Sort=A","Dates=H","DateFormat=P","Fill=—","Direction=H","UseDPDF=Y")</f>
        <v>0</v>
      </c>
      <c r="I9" s="13">
        <f>_xll.BDH("AMGN US Equity","IS_COST_OF_REVENUE_ADJUSTMENTS","FQ2 2020","FQ2 2020","Currency=USD","Period=FQ","BEST_FPERIOD_OVERRIDE=FQ","FILING_STATUS=MR","SCALING_FORMAT=MLN","Sort=A","Dates=H","DateFormat=P","Fill=—","Direction=H","UseDPDF=Y")</f>
        <v>0</v>
      </c>
      <c r="J9" s="13">
        <f>_xll.BDH("AMGN US Equity","IS_COST_OF_REVENUE_ADJUSTMENTS","FQ3 2020","FQ3 2020","Currency=USD","Period=FQ","BEST_FPERIOD_OVERRIDE=FQ","FILING_STATUS=MR","SCALING_FORMAT=MLN","Sort=A","Dates=H","DateFormat=P","Fill=—","Direction=H","UseDPDF=Y")</f>
        <v>687</v>
      </c>
      <c r="K9" s="13">
        <f>_xll.BDH("AMGN US Equity","IS_COST_OF_REVENUE_ADJUSTMENTS","FQ4 2020","FQ4 2020","Currency=USD","Period=FQ","BEST_FPERIOD_OVERRIDE=FQ","FILING_STATUS=MR","SCALING_FORMAT=MLN","Sort=A","Dates=H","DateFormat=P","Fill=—","Direction=H","UseDPDF=Y")</f>
        <v>0</v>
      </c>
      <c r="L9" s="13">
        <f>_xll.BDH("AMGN US Equity","IS_COST_OF_REVENUE_ADJUSTMENTS","FQ1 2021","FQ1 2021","Currency=USD","Period=FQ","BEST_FPERIOD_OVERRIDE=FQ","FILING_STATUS=MR","SCALING_FORMAT=MLN","Sort=A","Dates=H","DateFormat=P","Fill=—","Direction=H","UseDPDF=Y")</f>
        <v>0</v>
      </c>
      <c r="M9" s="13">
        <f>_xll.BDH("AMGN US Equity","IS_COST_OF_REVENUE_ADJUSTMENTS","FQ2 2021","FQ2 2021","Currency=USD","Period=FQ","BEST_FPERIOD_OVERRIDE=FQ","FILING_STATUS=MR","SCALING_FORMAT=MLN","Sort=A","Dates=H","DateFormat=P","Fill=—","Direction=H","UseDPDF=Y")</f>
        <v>603</v>
      </c>
      <c r="N9" s="13">
        <f>_xll.BDH("AMGN US Equity","IS_COST_OF_REVENUE_ADJUSTMENTS","FQ3 2021","FQ3 2021","Currency=USD","Period=FQ","BEST_FPERIOD_OVERRIDE=FQ","FILING_STATUS=MR","SCALING_FORMAT=MLN","Sort=A","Dates=H","DateFormat=P","Fill=—","Direction=H","UseDPDF=Y")</f>
        <v>0</v>
      </c>
      <c r="O9" s="13">
        <f>_xll.BDH("AMGN US Equity","IS_COST_OF_REVENUE_ADJUSTMENTS","FQ4 2021","FQ4 2021","Currency=USD","Period=FQ","BEST_FPERIOD_OVERRIDE=FQ","FILING_STATUS=MR","SCALING_FORMAT=MLN","Sort=A","Dates=H","DateFormat=P","Fill=—","Direction=H","UseDPDF=Y")</f>
        <v>6</v>
      </c>
      <c r="P9" s="13">
        <f>_xll.BDH("AMGN US Equity","IS_COST_OF_REVENUE_ADJUSTMENTS","FQ1 2022","FQ1 2022","Currency=USD","Period=FQ","BEST_FPERIOD_OVERRIDE=FQ","FILING_STATUS=MR","SCALING_FORMAT=MLN","Sort=A","Dates=H","DateFormat=P","Fill=—","Direction=H","UseDPDF=Y")</f>
        <v>0</v>
      </c>
      <c r="Q9" s="13">
        <f>_xll.BDH("AMGN US Equity","IS_COST_OF_REVENUE_ADJUSTMENTS","FQ2 2022","FQ2 2022","Currency=USD","Period=FQ","BEST_FPERIOD_OVERRIDE=FQ","FILING_STATUS=MR","SCALING_FORMAT=MLN","Sort=A","Dates=H","DateFormat=P","Fill=—","Direction=H","UseDPDF=Y")</f>
        <v>584</v>
      </c>
      <c r="R9" s="13">
        <f>_xll.BDH("AMGN US Equity","IS_COST_OF_REVENUE_ADJUSTMENTS","FQ3 2022","FQ3 2022","Currency=USD","Period=FQ","BEST_FPERIOD_OVERRIDE=FQ","FILING_STATUS=MR","SCALING_FORMAT=MLN","Sort=A","Dates=H","DateFormat=P","Fill=—","Direction=H","UseDPDF=Y")</f>
        <v>0</v>
      </c>
      <c r="S9" s="13">
        <f>_xll.BDH("AMGN US Equity","IS_COST_OF_REVENUE_ADJUSTMENTS","FQ4 2022","FQ4 2022","Currency=USD","Period=FQ","BEST_FPERIOD_OVERRIDE=FQ","FILING_STATUS=MR","SCALING_FORMAT=MLN","Sort=A","Dates=H","DateFormat=P","Fill=—","Direction=H","UseDPDF=Y")</f>
        <v>0</v>
      </c>
      <c r="T9" s="13">
        <f>_xll.BDH("AMGN US Equity","IS_COST_OF_REVENUE_ADJUSTMENTS","FQ1 2023","FQ1 2023","Currency=USD","Period=FQ","BEST_FPERIOD_OVERRIDE=FQ","FILING_STATUS=MR","SCALING_FORMAT=MLN","Sort=A","Dates=H","DateFormat=P","Fill=—","Direction=H","UseDPDF=Y")</f>
        <v>669</v>
      </c>
      <c r="U9" s="13">
        <f>_xll.BDH("AMGN US Equity","IS_COST_OF_REVENUE_ADJUSTMENTS","FQ2 2023","FQ2 2023","Currency=USD","Period=FQ","BEST_FPERIOD_OVERRIDE=FQ","FILING_STATUS=MR","SCALING_FORMAT=MLN","Sort=A","Dates=H","DateFormat=P","Fill=—","Direction=H","UseDPDF=Y")</f>
        <v>0</v>
      </c>
      <c r="V9" s="13">
        <f>_xll.BDH("AMGN US Equity","IS_COST_OF_REVENUE_ADJUSTMENTS","FQ3 2023","FQ3 2023","Currency=USD","Period=FQ","BEST_FPERIOD_OVERRIDE=FQ","FILING_STATUS=MR","SCALING_FORMAT=MLN","Sort=A","Dates=H","DateFormat=P","Fill=—","Direction=H","UseDPDF=Y")</f>
        <v>0</v>
      </c>
      <c r="W9" s="13">
        <f>_xll.BDH("AMGN US Equity","IS_COST_OF_REVENUE_ADJUSTMENTS","FQ4 2023","FQ4 2023","Currency=USD","Period=FQ","BEST_FPERIOD_OVERRIDE=FQ","FILING_STATUS=MR","SCALING_FORMAT=MLN","Sort=A","Dates=H","DateFormat=P","Fill=—","Direction=H","UseDPDF=Y")</f>
        <v>1834</v>
      </c>
      <c r="X9" s="13">
        <f>_xll.BDH("AMGN US Equity","IS_COST_OF_REVENUE_ADJUSTMENTS","FQ1 2024","FQ1 2024","Currency=USD","Period=FQ","BEST_FPERIOD_OVERRIDE=FQ","FILING_STATUS=MR","SCALING_FORMAT=MLN","Sort=A","Dates=H","DateFormat=P","Fill=—","Direction=H","UseDPDF=Y")</f>
        <v>0</v>
      </c>
      <c r="Y9" s="13">
        <f>_xll.BDH("AMGN US Equity","IS_COST_OF_REVENUE_ADJUSTMENTS","FQ2 2024","FQ2 2024","Currency=USD","Period=FQ","BEST_FPERIOD_OVERRIDE=FQ","FILING_STATUS=MR","SCALING_FORMAT=MLN","Sort=A","Dates=H","DateFormat=P","Fill=—","Direction=H","UseDPDF=Y")</f>
        <v>0</v>
      </c>
      <c r="Z9" s="13">
        <f>_xll.BDH("AMGN US Equity","IS_COST_OF_REVENUE_ADJUSTMENTS","FQ3 2024","FQ3 2024","Currency=USD","Period=FQ","BEST_FPERIOD_OVERRIDE=FQ","FILING_STATUS=MR","SCALING_FORMAT=MLN","Sort=A","Dates=H","DateFormat=P","Fill=—","Direction=H","UseDPDF=Y")</f>
        <v>0</v>
      </c>
      <c r="AA9" s="13">
        <f>_xll.BDH("AMGN US Equity","IS_COST_OF_REVENUE_ADJUSTMENTS","FQ4 2024","FQ4 2024","Currency=USD","Period=FQ","BEST_FPERIOD_OVERRIDE=FQ","FILING_STATUS=MR","SCALING_FORMAT=MLN","Sort=A","Dates=H","DateFormat=P","Fill=—","Direction=H","UseDPDF=Y")</f>
        <v>0</v>
      </c>
    </row>
    <row r="10" spans="1:27" x14ac:dyDescent="0.25">
      <c r="A10" s="10" t="s">
        <v>597</v>
      </c>
      <c r="B10" s="10" t="s">
        <v>598</v>
      </c>
      <c r="C10" s="13">
        <f>_xll.BDH("AMGN US Equity","IS_OTHER_OPER_INC_NONGAAP_ADJUST","FQ4 2018","FQ4 2018","Currency=USD","Period=FQ","BEST_FPERIOD_OVERRIDE=FQ","FILING_STATUS=MR","SCALING_FORMAT=MLN","Sort=A","Dates=H","DateFormat=P","Fill=—","Direction=H","UseDPDF=Y")</f>
        <v>0</v>
      </c>
      <c r="D10" s="13">
        <f>_xll.BDH("AMGN US Equity","IS_OTHER_OPER_INC_NONGAAP_ADJUST","FQ1 2019","FQ1 2019","Currency=USD","Period=FQ","BEST_FPERIOD_OVERRIDE=FQ","FILING_STATUS=MR","SCALING_FORMAT=MLN","Sort=A","Dates=H","DateFormat=P","Fill=—","Direction=H","UseDPDF=Y")</f>
        <v>0</v>
      </c>
      <c r="E10" s="13">
        <f>_xll.BDH("AMGN US Equity","IS_OTHER_OPER_INC_NONGAAP_ADJUST","FQ2 2019","FQ2 2019","Currency=USD","Period=FQ","BEST_FPERIOD_OVERRIDE=FQ","FILING_STATUS=MR","SCALING_FORMAT=MLN","Sort=A","Dates=H","DateFormat=P","Fill=—","Direction=H","UseDPDF=Y")</f>
        <v>0</v>
      </c>
      <c r="F10" s="13">
        <f>_xll.BDH("AMGN US Equity","IS_OTHER_OPER_INC_NONGAAP_ADJUST","FQ3 2019","FQ3 2019","Currency=USD","Period=FQ","BEST_FPERIOD_OVERRIDE=FQ","FILING_STATUS=MR","SCALING_FORMAT=MLN","Sort=A","Dates=H","DateFormat=P","Fill=—","Direction=H","UseDPDF=Y")</f>
        <v>0</v>
      </c>
      <c r="G10" s="13">
        <f>_xll.BDH("AMGN US Equity","IS_OTHER_OPER_INC_NONGAAP_ADJUST","FQ4 2019","FQ4 2019","Currency=USD","Period=FQ","BEST_FPERIOD_OVERRIDE=FQ","FILING_STATUS=MR","SCALING_FORMAT=MLN","Sort=A","Dates=H","DateFormat=P","Fill=—","Direction=H","UseDPDF=Y")</f>
        <v>0</v>
      </c>
      <c r="H10" s="13">
        <f>_xll.BDH("AMGN US Equity","IS_OTHER_OPER_INC_NONGAAP_ADJUST","FQ1 2020","FQ1 2020","Currency=USD","Period=FQ","BEST_FPERIOD_OVERRIDE=FQ","FILING_STATUS=MR","SCALING_FORMAT=MLN","Sort=A","Dates=H","DateFormat=P","Fill=—","Direction=H","UseDPDF=Y")</f>
        <v>0</v>
      </c>
      <c r="I10" s="13">
        <f>_xll.BDH("AMGN US Equity","IS_OTHER_OPER_INC_NONGAAP_ADJUST","FQ2 2020","FQ2 2020","Currency=USD","Period=FQ","BEST_FPERIOD_OVERRIDE=FQ","FILING_STATUS=MR","SCALING_FORMAT=MLN","Sort=A","Dates=H","DateFormat=P","Fill=—","Direction=H","UseDPDF=Y")</f>
        <v>0</v>
      </c>
      <c r="J10" s="13">
        <f>_xll.BDH("AMGN US Equity","IS_OTHER_OPER_INC_NONGAAP_ADJUST","FQ3 2020","FQ3 2020","Currency=USD","Period=FQ","BEST_FPERIOD_OVERRIDE=FQ","FILING_STATUS=MR","SCALING_FORMAT=MLN","Sort=A","Dates=H","DateFormat=P","Fill=—","Direction=H","UseDPDF=Y")</f>
        <v>0</v>
      </c>
      <c r="K10" s="13">
        <f>_xll.BDH("AMGN US Equity","IS_OTHER_OPER_INC_NONGAAP_ADJUST","FQ4 2020","FQ4 2020","Currency=USD","Period=FQ","BEST_FPERIOD_OVERRIDE=FQ","FILING_STATUS=MR","SCALING_FORMAT=MLN","Sort=A","Dates=H","DateFormat=P","Fill=—","Direction=H","UseDPDF=Y")</f>
        <v>0</v>
      </c>
      <c r="L10" s="13">
        <f>_xll.BDH("AMGN US Equity","IS_OTHER_OPER_INC_NONGAAP_ADJUST","FQ1 2021","FQ1 2021","Currency=USD","Period=FQ","BEST_FPERIOD_OVERRIDE=FQ","FILING_STATUS=MR","SCALING_FORMAT=MLN","Sort=A","Dates=H","DateFormat=P","Fill=—","Direction=H","UseDPDF=Y")</f>
        <v>0</v>
      </c>
      <c r="M10" s="13">
        <f>_xll.BDH("AMGN US Equity","IS_OTHER_OPER_INC_NONGAAP_ADJUST","FQ2 2021","FQ2 2021","Currency=USD","Period=FQ","BEST_FPERIOD_OVERRIDE=FQ","FILING_STATUS=MR","SCALING_FORMAT=MLN","Sort=A","Dates=H","DateFormat=P","Fill=—","Direction=H","UseDPDF=Y")</f>
        <v>0</v>
      </c>
      <c r="N10" s="13">
        <f>_xll.BDH("AMGN US Equity","IS_OTHER_OPER_INC_NONGAAP_ADJUST","FQ3 2021","FQ3 2021","Currency=USD","Period=FQ","BEST_FPERIOD_OVERRIDE=FQ","FILING_STATUS=MR","SCALING_FORMAT=MLN","Sort=A","Dates=H","DateFormat=P","Fill=—","Direction=H","UseDPDF=Y")</f>
        <v>0</v>
      </c>
      <c r="O10" s="13">
        <f>_xll.BDH("AMGN US Equity","IS_OTHER_OPER_INC_NONGAAP_ADJUST","FQ4 2021","FQ4 2021","Currency=USD","Period=FQ","BEST_FPERIOD_OVERRIDE=FQ","FILING_STATUS=MR","SCALING_FORMAT=MLN","Sort=A","Dates=H","DateFormat=P","Fill=—","Direction=H","UseDPDF=Y")</f>
        <v>0</v>
      </c>
      <c r="P10" s="13">
        <f>_xll.BDH("AMGN US Equity","IS_OTHER_OPER_INC_NONGAAP_ADJUST","FQ1 2022","FQ1 2022","Currency=USD","Period=FQ","BEST_FPERIOD_OVERRIDE=FQ","FILING_STATUS=MR","SCALING_FORMAT=MLN","Sort=A","Dates=H","DateFormat=P","Fill=—","Direction=H","UseDPDF=Y")</f>
        <v>0</v>
      </c>
      <c r="Q10" s="13">
        <f>_xll.BDH("AMGN US Equity","IS_OTHER_OPER_INC_NONGAAP_ADJUST","FQ2 2022","FQ2 2022","Currency=USD","Period=FQ","BEST_FPERIOD_OVERRIDE=FQ","FILING_STATUS=MR","SCALING_FORMAT=MLN","Sort=A","Dates=H","DateFormat=P","Fill=—","Direction=H","UseDPDF=Y")</f>
        <v>0</v>
      </c>
      <c r="R10" s="13">
        <f>_xll.BDH("AMGN US Equity","IS_OTHER_OPER_INC_NONGAAP_ADJUST","FQ3 2022","FQ3 2022","Currency=USD","Period=FQ","BEST_FPERIOD_OVERRIDE=FQ","FILING_STATUS=MR","SCALING_FORMAT=MLN","Sort=A","Dates=H","DateFormat=P","Fill=—","Direction=H","UseDPDF=Y")</f>
        <v>0</v>
      </c>
      <c r="S10" s="13">
        <f>_xll.BDH("AMGN US Equity","IS_OTHER_OPER_INC_NONGAAP_ADJUST","FQ4 2022","FQ4 2022","Currency=USD","Period=FQ","BEST_FPERIOD_OVERRIDE=FQ","FILING_STATUS=MR","SCALING_FORMAT=MLN","Sort=A","Dates=H","DateFormat=P","Fill=—","Direction=H","UseDPDF=Y")</f>
        <v>0</v>
      </c>
      <c r="T10" s="13">
        <f>_xll.BDH("AMGN US Equity","IS_OTHER_OPER_INC_NONGAAP_ADJUST","FQ1 2023","FQ1 2023","Currency=USD","Period=FQ","BEST_FPERIOD_OVERRIDE=FQ","FILING_STATUS=MR","SCALING_FORMAT=MLN","Sort=A","Dates=H","DateFormat=P","Fill=—","Direction=H","UseDPDF=Y")</f>
        <v>0</v>
      </c>
      <c r="U10" s="13">
        <f>_xll.BDH("AMGN US Equity","IS_OTHER_OPER_INC_NONGAAP_ADJUST","FQ2 2023","FQ2 2023","Currency=USD","Period=FQ","BEST_FPERIOD_OVERRIDE=FQ","FILING_STATUS=MR","SCALING_FORMAT=MLN","Sort=A","Dates=H","DateFormat=P","Fill=—","Direction=H","UseDPDF=Y")</f>
        <v>0</v>
      </c>
      <c r="V10" s="13">
        <f>_xll.BDH("AMGN US Equity","IS_OTHER_OPER_INC_NONGAAP_ADJUST","FQ3 2023","FQ3 2023","Currency=USD","Period=FQ","BEST_FPERIOD_OVERRIDE=FQ","FILING_STATUS=MR","SCALING_FORMAT=MLN","Sort=A","Dates=H","DateFormat=P","Fill=—","Direction=H","UseDPDF=Y")</f>
        <v>0</v>
      </c>
      <c r="W10" s="13">
        <f>_xll.BDH("AMGN US Equity","IS_OTHER_OPER_INC_NONGAAP_ADJUST","FQ4 2023","FQ4 2023","Currency=USD","Period=FQ","BEST_FPERIOD_OVERRIDE=FQ","FILING_STATUS=MR","SCALING_FORMAT=MLN","Sort=A","Dates=H","DateFormat=P","Fill=—","Direction=H","UseDPDF=Y")</f>
        <v>0</v>
      </c>
      <c r="X10" s="13">
        <f>_xll.BDH("AMGN US Equity","IS_OTHER_OPER_INC_NONGAAP_ADJUST","FQ1 2024","FQ1 2024","Currency=USD","Period=FQ","BEST_FPERIOD_OVERRIDE=FQ","FILING_STATUS=MR","SCALING_FORMAT=MLN","Sort=A","Dates=H","DateFormat=P","Fill=—","Direction=H","UseDPDF=Y")</f>
        <v>0</v>
      </c>
      <c r="Y10" s="13">
        <f>_xll.BDH("AMGN US Equity","IS_OTHER_OPER_INC_NONGAAP_ADJUST","FQ2 2024","FQ2 2024","Currency=USD","Period=FQ","BEST_FPERIOD_OVERRIDE=FQ","FILING_STATUS=MR","SCALING_FORMAT=MLN","Sort=A","Dates=H","DateFormat=P","Fill=—","Direction=H","UseDPDF=Y")</f>
        <v>0</v>
      </c>
      <c r="Z10" s="13">
        <f>_xll.BDH("AMGN US Equity","IS_OTHER_OPER_INC_NONGAAP_ADJUST","FQ3 2024","FQ3 2024","Currency=USD","Period=FQ","BEST_FPERIOD_OVERRIDE=FQ","FILING_STATUS=MR","SCALING_FORMAT=MLN","Sort=A","Dates=H","DateFormat=P","Fill=—","Direction=H","UseDPDF=Y")</f>
        <v>0</v>
      </c>
      <c r="AA10" s="13">
        <f>_xll.BDH("AMGN US Equity","IS_OTHER_OPER_INC_NONGAAP_ADJUST","FQ4 2024","FQ4 2024","Currency=USD","Period=FQ","BEST_FPERIOD_OVERRIDE=FQ","FILING_STATUS=MR","SCALING_FORMAT=MLN","Sort=A","Dates=H","DateFormat=P","Fill=—","Direction=H","UseDPDF=Y")</f>
        <v>0</v>
      </c>
    </row>
    <row r="11" spans="1:27" x14ac:dyDescent="0.25">
      <c r="A11" s="10" t="s">
        <v>599</v>
      </c>
      <c r="B11" s="10" t="s">
        <v>600</v>
      </c>
      <c r="C11" s="13">
        <f>_xll.BDH("AMGN US Equity","IS_SGA_ADJ","FQ4 2018","FQ4 2018","Currency=USD","Period=FQ","BEST_FPERIOD_OVERRIDE=FQ","FILING_STATUS=MR","SCALING_FORMAT=MLN","Sort=A","Dates=H","DateFormat=P","Fill=—","Direction=H","UseDPDF=Y")</f>
        <v>8</v>
      </c>
      <c r="D11" s="13">
        <f>_xll.BDH("AMGN US Equity","IS_SGA_ADJ","FQ1 2019","FQ1 2019","Currency=USD","Period=FQ","BEST_FPERIOD_OVERRIDE=FQ","FILING_STATUS=MR","SCALING_FORMAT=MLN","Sort=A","Dates=H","DateFormat=P","Fill=—","Direction=H","UseDPDF=Y")</f>
        <v>0</v>
      </c>
      <c r="E11" s="13">
        <f>_xll.BDH("AMGN US Equity","IS_SGA_ADJ","FQ2 2019","FQ2 2019","Currency=USD","Period=FQ","BEST_FPERIOD_OVERRIDE=FQ","FILING_STATUS=MR","SCALING_FORMAT=MLN","Sort=A","Dates=H","DateFormat=P","Fill=—","Direction=H","UseDPDF=Y")</f>
        <v>0</v>
      </c>
      <c r="F11" s="13">
        <f>_xll.BDH("AMGN US Equity","IS_SGA_ADJ","FQ3 2019","FQ3 2019","Currency=USD","Period=FQ","BEST_FPERIOD_OVERRIDE=FQ","FILING_STATUS=MR","SCALING_FORMAT=MLN","Sort=A","Dates=H","DateFormat=P","Fill=—","Direction=H","UseDPDF=Y")</f>
        <v>-1</v>
      </c>
      <c r="G11" s="13">
        <f>_xll.BDH("AMGN US Equity","IS_SGA_ADJ","FQ4 2019","FQ4 2019","Currency=USD","Period=FQ","BEST_FPERIOD_OVERRIDE=FQ","FILING_STATUS=MR","SCALING_FORMAT=MLN","Sort=A","Dates=H","DateFormat=P","Fill=—","Direction=H","UseDPDF=Y")</f>
        <v>0</v>
      </c>
      <c r="H11" s="13">
        <f>_xll.BDH("AMGN US Equity","IS_SGA_ADJ","FQ1 2020","FQ1 2020","Currency=USD","Period=FQ","BEST_FPERIOD_OVERRIDE=FQ","FILING_STATUS=MR","SCALING_FORMAT=MLN","Sort=A","Dates=H","DateFormat=P","Fill=—","Direction=H","UseDPDF=Y")</f>
        <v>0</v>
      </c>
      <c r="I11" s="13">
        <f>_xll.BDH("AMGN US Equity","IS_SGA_ADJ","FQ2 2020","FQ2 2020","Currency=USD","Period=FQ","BEST_FPERIOD_OVERRIDE=FQ","FILING_STATUS=MR","SCALING_FORMAT=MLN","Sort=A","Dates=H","DateFormat=P","Fill=—","Direction=H","UseDPDF=Y")</f>
        <v>0</v>
      </c>
      <c r="J11" s="13">
        <f>_xll.BDH("AMGN US Equity","IS_SGA_ADJ","FQ3 2020","FQ3 2020","Currency=USD","Period=FQ","BEST_FPERIOD_OVERRIDE=FQ","FILING_STATUS=MR","SCALING_FORMAT=MLN","Sort=A","Dates=H","DateFormat=P","Fill=—","Direction=H","UseDPDF=Y")</f>
        <v>17</v>
      </c>
      <c r="K11" s="13">
        <f>_xll.BDH("AMGN US Equity","IS_SGA_ADJ","FQ4 2020","FQ4 2020","Currency=USD","Period=FQ","BEST_FPERIOD_OVERRIDE=FQ","FILING_STATUS=MR","SCALING_FORMAT=MLN","Sort=A","Dates=H","DateFormat=P","Fill=—","Direction=H","UseDPDF=Y")</f>
        <v>0</v>
      </c>
      <c r="L11" s="13">
        <f>_xll.BDH("AMGN US Equity","IS_SGA_ADJ","FQ1 2021","FQ1 2021","Currency=USD","Period=FQ","BEST_FPERIOD_OVERRIDE=FQ","FILING_STATUS=MR","SCALING_FORMAT=MLN","Sort=A","Dates=H","DateFormat=P","Fill=—","Direction=H","UseDPDF=Y")</f>
        <v>0</v>
      </c>
      <c r="M11" s="13">
        <f>_xll.BDH("AMGN US Equity","IS_SGA_ADJ","FQ2 2021","FQ2 2021","Currency=USD","Period=FQ","BEST_FPERIOD_OVERRIDE=FQ","FILING_STATUS=MR","SCALING_FORMAT=MLN","Sort=A","Dates=H","DateFormat=P","Fill=—","Direction=H","UseDPDF=Y")</f>
        <v>39</v>
      </c>
      <c r="N11" s="13">
        <f>_xll.BDH("AMGN US Equity","IS_SGA_ADJ","FQ3 2021","FQ3 2021","Currency=USD","Period=FQ","BEST_FPERIOD_OVERRIDE=FQ","FILING_STATUS=MR","SCALING_FORMAT=MLN","Sort=A","Dates=H","DateFormat=P","Fill=—","Direction=H","UseDPDF=Y")</f>
        <v>0</v>
      </c>
      <c r="O11" s="13">
        <f>_xll.BDH("AMGN US Equity","IS_SGA_ADJ","FQ4 2021","FQ4 2021","Currency=USD","Period=FQ","BEST_FPERIOD_OVERRIDE=FQ","FILING_STATUS=MR","SCALING_FORMAT=MLN","Sort=A","Dates=H","DateFormat=P","Fill=—","Direction=H","UseDPDF=Y")</f>
        <v>-29</v>
      </c>
      <c r="P11" s="13">
        <f>_xll.BDH("AMGN US Equity","IS_SGA_ADJ","FQ1 2022","FQ1 2022","Currency=USD","Period=FQ","BEST_FPERIOD_OVERRIDE=FQ","FILING_STATUS=MR","SCALING_FORMAT=MLN","Sort=A","Dates=H","DateFormat=P","Fill=—","Direction=H","UseDPDF=Y")</f>
        <v>0</v>
      </c>
      <c r="Q11" s="13">
        <f>_xll.BDH("AMGN US Equity","IS_SGA_ADJ","FQ2 2022","FQ2 2022","Currency=USD","Period=FQ","BEST_FPERIOD_OVERRIDE=FQ","FILING_STATUS=MR","SCALING_FORMAT=MLN","Sort=A","Dates=H","DateFormat=P","Fill=—","Direction=H","UseDPDF=Y")</f>
        <v>19</v>
      </c>
      <c r="R11" s="13">
        <f>_xll.BDH("AMGN US Equity","IS_SGA_ADJ","FQ3 2022","FQ3 2022","Currency=USD","Period=FQ","BEST_FPERIOD_OVERRIDE=FQ","FILING_STATUS=MR","SCALING_FORMAT=MLN","Sort=A","Dates=H","DateFormat=P","Fill=—","Direction=H","UseDPDF=Y")</f>
        <v>0</v>
      </c>
      <c r="S11" s="13">
        <f>_xll.BDH("AMGN US Equity","IS_SGA_ADJ","FQ4 2022","FQ4 2022","Currency=USD","Period=FQ","BEST_FPERIOD_OVERRIDE=FQ","FILING_STATUS=MR","SCALING_FORMAT=MLN","Sort=A","Dates=H","DateFormat=P","Fill=—","Direction=H","UseDPDF=Y")</f>
        <v>0</v>
      </c>
      <c r="T11" s="13">
        <f>_xll.BDH("AMGN US Equity","IS_SGA_ADJ","FQ1 2023","FQ1 2023","Currency=USD","Period=FQ","BEST_FPERIOD_OVERRIDE=FQ","FILING_STATUS=MR","SCALING_FORMAT=MLN","Sort=A","Dates=H","DateFormat=P","Fill=—","Direction=H","UseDPDF=Y")</f>
        <v>14</v>
      </c>
      <c r="U11" s="13">
        <f>_xll.BDH("AMGN US Equity","IS_SGA_ADJ","FQ2 2023","FQ2 2023","Currency=USD","Period=FQ","BEST_FPERIOD_OVERRIDE=FQ","FILING_STATUS=MR","SCALING_FORMAT=MLN","Sort=A","Dates=H","DateFormat=P","Fill=—","Direction=H","UseDPDF=Y")</f>
        <v>0</v>
      </c>
      <c r="V11" s="13">
        <f>_xll.BDH("AMGN US Equity","IS_SGA_ADJ","FQ3 2023","FQ3 2023","Currency=USD","Period=FQ","BEST_FPERIOD_OVERRIDE=FQ","FILING_STATUS=MR","SCALING_FORMAT=MLN","Sort=A","Dates=H","DateFormat=P","Fill=—","Direction=H","UseDPDF=Y")</f>
        <v>0</v>
      </c>
      <c r="W11" s="13">
        <f>_xll.BDH("AMGN US Equity","IS_SGA_ADJ","FQ4 2023","FQ4 2023","Currency=USD","Period=FQ","BEST_FPERIOD_OVERRIDE=FQ","FILING_STATUS=MR","SCALING_FORMAT=MLN","Sort=A","Dates=H","DateFormat=P","Fill=—","Direction=H","UseDPDF=Y")</f>
        <v>510</v>
      </c>
      <c r="X11" s="13">
        <f>_xll.BDH("AMGN US Equity","IS_SGA_ADJ","FQ1 2024","FQ1 2024","Currency=USD","Period=FQ","BEST_FPERIOD_OVERRIDE=FQ","FILING_STATUS=MR","SCALING_FORMAT=MLN","Sort=A","Dates=H","DateFormat=P","Fill=—","Direction=H","UseDPDF=Y")</f>
        <v>0</v>
      </c>
      <c r="Y11" s="13">
        <f>_xll.BDH("AMGN US Equity","IS_SGA_ADJ","FQ2 2024","FQ2 2024","Currency=USD","Period=FQ","BEST_FPERIOD_OVERRIDE=FQ","FILING_STATUS=MR","SCALING_FORMAT=MLN","Sort=A","Dates=H","DateFormat=P","Fill=—","Direction=H","UseDPDF=Y")</f>
        <v>0</v>
      </c>
      <c r="Z11" s="13">
        <f>_xll.BDH("AMGN US Equity","IS_SGA_ADJ","FQ3 2024","FQ3 2024","Currency=USD","Period=FQ","BEST_FPERIOD_OVERRIDE=FQ","FILING_STATUS=MR","SCALING_FORMAT=MLN","Sort=A","Dates=H","DateFormat=P","Fill=—","Direction=H","UseDPDF=Y")</f>
        <v>0</v>
      </c>
      <c r="AA11" s="13">
        <f>_xll.BDH("AMGN US Equity","IS_SGA_ADJ","FQ4 2024","FQ4 2024","Currency=USD","Period=FQ","BEST_FPERIOD_OVERRIDE=FQ","FILING_STATUS=MR","SCALING_FORMAT=MLN","Sort=A","Dates=H","DateFormat=P","Fill=—","Direction=H","UseDPDF=Y")</f>
        <v>0</v>
      </c>
    </row>
    <row r="12" spans="1:27" x14ac:dyDescent="0.25">
      <c r="A12" s="10" t="s">
        <v>601</v>
      </c>
      <c r="B12" s="10" t="s">
        <v>602</v>
      </c>
      <c r="C12" s="13">
        <f>_xll.BDH("AMGN US Equity","IS_RD_EXPENSE_NON_GAAP_ADJ","FQ4 2018","FQ4 2018","Currency=USD","Period=FQ","BEST_FPERIOD_OVERRIDE=FQ","FILING_STATUS=MR","SCALING_FORMAT=MLN","Sort=A","Dates=H","DateFormat=P","Fill=—","Direction=H","UseDPDF=Y")</f>
        <v>1</v>
      </c>
      <c r="D12" s="13">
        <f>_xll.BDH("AMGN US Equity","IS_RD_EXPENSE_NON_GAAP_ADJ","FQ1 2019","FQ1 2019","Currency=USD","Period=FQ","BEST_FPERIOD_OVERRIDE=FQ","FILING_STATUS=MR","SCALING_FORMAT=MLN","Sort=A","Dates=H","DateFormat=P","Fill=—","Direction=H","UseDPDF=Y")</f>
        <v>0</v>
      </c>
      <c r="E12" s="13">
        <f>_xll.BDH("AMGN US Equity","IS_RD_EXPENSE_NON_GAAP_ADJ","FQ2 2019","FQ2 2019","Currency=USD","Period=FQ","BEST_FPERIOD_OVERRIDE=FQ","FILING_STATUS=MR","SCALING_FORMAT=MLN","Sort=A","Dates=H","DateFormat=P","Fill=—","Direction=H","UseDPDF=Y")</f>
        <v>0</v>
      </c>
      <c r="F12" s="13">
        <f>_xll.BDH("AMGN US Equity","IS_RD_EXPENSE_NON_GAAP_ADJ","FQ3 2019","FQ3 2019","Currency=USD","Period=FQ","BEST_FPERIOD_OVERRIDE=FQ","FILING_STATUS=MR","SCALING_FORMAT=MLN","Sort=A","Dates=H","DateFormat=P","Fill=—","Direction=H","UseDPDF=Y")</f>
        <v>0</v>
      </c>
      <c r="G12" s="13">
        <f>_xll.BDH("AMGN US Equity","IS_RD_EXPENSE_NON_GAAP_ADJ","FQ4 2019","FQ4 2019","Currency=USD","Period=FQ","BEST_FPERIOD_OVERRIDE=FQ","FILING_STATUS=MR","SCALING_FORMAT=MLN","Sort=A","Dates=H","DateFormat=P","Fill=—","Direction=H","UseDPDF=Y")</f>
        <v>2</v>
      </c>
      <c r="H12" s="13">
        <f>_xll.BDH("AMGN US Equity","IS_RD_EXPENSE_NON_GAAP_ADJ","FQ1 2020","FQ1 2020","Currency=USD","Period=FQ","BEST_FPERIOD_OVERRIDE=FQ","FILING_STATUS=MR","SCALING_FORMAT=MLN","Sort=A","Dates=H","DateFormat=P","Fill=—","Direction=H","UseDPDF=Y")</f>
        <v>0</v>
      </c>
      <c r="I12" s="13">
        <f>_xll.BDH("AMGN US Equity","IS_RD_EXPENSE_NON_GAAP_ADJ","FQ2 2020","FQ2 2020","Currency=USD","Period=FQ","BEST_FPERIOD_OVERRIDE=FQ","FILING_STATUS=MR","SCALING_FORMAT=MLN","Sort=A","Dates=H","DateFormat=P","Fill=—","Direction=H","UseDPDF=Y")</f>
        <v>0</v>
      </c>
      <c r="J12" s="13">
        <f>_xll.BDH("AMGN US Equity","IS_RD_EXPENSE_NON_GAAP_ADJ","FQ3 2020","FQ3 2020","Currency=USD","Period=FQ","BEST_FPERIOD_OVERRIDE=FQ","FILING_STATUS=MR","SCALING_FORMAT=MLN","Sort=A","Dates=H","DateFormat=P","Fill=—","Direction=H","UseDPDF=Y")</f>
        <v>1</v>
      </c>
      <c r="K12" s="13">
        <f>_xll.BDH("AMGN US Equity","IS_RD_EXPENSE_NON_GAAP_ADJ","FQ4 2020","FQ4 2020","Currency=USD","Period=FQ","BEST_FPERIOD_OVERRIDE=FQ","FILING_STATUS=MR","SCALING_FORMAT=MLN","Sort=A","Dates=H","DateFormat=P","Fill=—","Direction=H","UseDPDF=Y")</f>
        <v>0</v>
      </c>
      <c r="L12" s="13">
        <f>_xll.BDH("AMGN US Equity","IS_RD_EXPENSE_NON_GAAP_ADJ","FQ1 2021","FQ1 2021","Currency=USD","Period=FQ","BEST_FPERIOD_OVERRIDE=FQ","FILING_STATUS=MR","SCALING_FORMAT=MLN","Sort=A","Dates=H","DateFormat=P","Fill=—","Direction=H","UseDPDF=Y")</f>
        <v>0</v>
      </c>
      <c r="M12" s="13">
        <f>_xll.BDH("AMGN US Equity","IS_RD_EXPENSE_NON_GAAP_ADJ","FQ2 2021","FQ2 2021","Currency=USD","Period=FQ","BEST_FPERIOD_OVERRIDE=FQ","FILING_STATUS=MR","SCALING_FORMAT=MLN","Sort=A","Dates=H","DateFormat=P","Fill=—","Direction=H","UseDPDF=Y")</f>
        <v>46</v>
      </c>
      <c r="N12" s="13">
        <f>_xll.BDH("AMGN US Equity","IS_RD_EXPENSE_NON_GAAP_ADJ","FQ3 2021","FQ3 2021","Currency=USD","Period=FQ","BEST_FPERIOD_OVERRIDE=FQ","FILING_STATUS=MR","SCALING_FORMAT=MLN","Sort=A","Dates=H","DateFormat=P","Fill=—","Direction=H","UseDPDF=Y")</f>
        <v>0</v>
      </c>
      <c r="O12" s="13">
        <f>_xll.BDH("AMGN US Equity","IS_RD_EXPENSE_NON_GAAP_ADJ","FQ4 2021","FQ4 2021","Currency=USD","Period=FQ","BEST_FPERIOD_OVERRIDE=FQ","FILING_STATUS=MR","SCALING_FORMAT=MLN","Sort=A","Dates=H","DateFormat=P","Fill=—","Direction=H","UseDPDF=Y")</f>
        <v>0</v>
      </c>
      <c r="P12" s="13">
        <f>_xll.BDH("AMGN US Equity","IS_RD_EXPENSE_NON_GAAP_ADJ","FQ1 2022","FQ1 2022","Currency=USD","Period=FQ","BEST_FPERIOD_OVERRIDE=FQ","FILING_STATUS=MR","SCALING_FORMAT=MLN","Sort=A","Dates=H","DateFormat=P","Fill=—","Direction=H","UseDPDF=Y")</f>
        <v>0</v>
      </c>
      <c r="Q12" s="13">
        <f>_xll.BDH("AMGN US Equity","IS_RD_EXPENSE_NON_GAAP_ADJ","FQ2 2022","FQ2 2022","Currency=USD","Period=FQ","BEST_FPERIOD_OVERRIDE=FQ","FILING_STATUS=MR","SCALING_FORMAT=MLN","Sort=A","Dates=H","DateFormat=P","Fill=—","Direction=H","UseDPDF=Y")</f>
        <v>14</v>
      </c>
      <c r="R12" s="13">
        <f>_xll.BDH("AMGN US Equity","IS_RD_EXPENSE_NON_GAAP_ADJ","FQ3 2022","FQ3 2022","Currency=USD","Period=FQ","BEST_FPERIOD_OVERRIDE=FQ","FILING_STATUS=MR","SCALING_FORMAT=MLN","Sort=A","Dates=H","DateFormat=P","Fill=—","Direction=H","UseDPDF=Y")</f>
        <v>0</v>
      </c>
      <c r="S12" s="13">
        <f>_xll.BDH("AMGN US Equity","IS_RD_EXPENSE_NON_GAAP_ADJ","FQ4 2022","FQ4 2022","Currency=USD","Period=FQ","BEST_FPERIOD_OVERRIDE=FQ","FILING_STATUS=MR","SCALING_FORMAT=MLN","Sort=A","Dates=H","DateFormat=P","Fill=—","Direction=H","UseDPDF=Y")</f>
        <v>0</v>
      </c>
      <c r="T12" s="13">
        <f>_xll.BDH("AMGN US Equity","IS_RD_EXPENSE_NON_GAAP_ADJ","FQ1 2023","FQ1 2023","Currency=USD","Period=FQ","BEST_FPERIOD_OVERRIDE=FQ","FILING_STATUS=MR","SCALING_FORMAT=MLN","Sort=A","Dates=H","DateFormat=P","Fill=—","Direction=H","UseDPDF=Y")</f>
        <v>34</v>
      </c>
      <c r="U12" s="13">
        <f>_xll.BDH("AMGN US Equity","IS_RD_EXPENSE_NON_GAAP_ADJ","FQ2 2023","FQ2 2023","Currency=USD","Period=FQ","BEST_FPERIOD_OVERRIDE=FQ","FILING_STATUS=MR","SCALING_FORMAT=MLN","Sort=A","Dates=H","DateFormat=P","Fill=—","Direction=H","UseDPDF=Y")</f>
        <v>17</v>
      </c>
      <c r="V12" s="13">
        <f>_xll.BDH("AMGN US Equity","IS_RD_EXPENSE_NON_GAAP_ADJ","FQ3 2023","FQ3 2023","Currency=USD","Period=FQ","BEST_FPERIOD_OVERRIDE=FQ","FILING_STATUS=MR","SCALING_FORMAT=MLN","Sort=A","Dates=H","DateFormat=P","Fill=—","Direction=H","UseDPDF=Y")</f>
        <v>0</v>
      </c>
      <c r="W12" s="13">
        <f>_xll.BDH("AMGN US Equity","IS_RD_EXPENSE_NON_GAAP_ADJ","FQ4 2023","FQ4 2023","Currency=USD","Period=FQ","BEST_FPERIOD_OVERRIDE=FQ","FILING_STATUS=MR","SCALING_FORMAT=MLN","Sort=A","Dates=H","DateFormat=P","Fill=—","Direction=H","UseDPDF=Y")</f>
        <v>40</v>
      </c>
      <c r="X12" s="13">
        <f>_xll.BDH("AMGN US Equity","IS_RD_EXPENSE_NON_GAAP_ADJ","FQ1 2024","FQ1 2024","Currency=USD","Period=FQ","BEST_FPERIOD_OVERRIDE=FQ","FILING_STATUS=MR","SCALING_FORMAT=MLN","Sort=A","Dates=H","DateFormat=P","Fill=—","Direction=H","UseDPDF=Y")</f>
        <v>0</v>
      </c>
      <c r="Y12" s="13">
        <f>_xll.BDH("AMGN US Equity","IS_RD_EXPENSE_NON_GAAP_ADJ","FQ2 2024","FQ2 2024","Currency=USD","Period=FQ","BEST_FPERIOD_OVERRIDE=FQ","FILING_STATUS=MR","SCALING_FORMAT=MLN","Sort=A","Dates=H","DateFormat=P","Fill=—","Direction=H","UseDPDF=Y")</f>
        <v>0</v>
      </c>
      <c r="Z12" s="13">
        <f>_xll.BDH("AMGN US Equity","IS_RD_EXPENSE_NON_GAAP_ADJ","FQ3 2024","FQ3 2024","Currency=USD","Period=FQ","BEST_FPERIOD_OVERRIDE=FQ","FILING_STATUS=MR","SCALING_FORMAT=MLN","Sort=A","Dates=H","DateFormat=P","Fill=—","Direction=H","UseDPDF=Y")</f>
        <v>0</v>
      </c>
      <c r="AA12" s="13">
        <f>_xll.BDH("AMGN US Equity","IS_RD_EXPENSE_NON_GAAP_ADJ","FQ4 2024","FQ4 2024","Currency=USD","Period=FQ","BEST_FPERIOD_OVERRIDE=FQ","FILING_STATUS=MR","SCALING_FORMAT=MLN","Sort=A","Dates=H","DateFormat=P","Fill=—","Direction=H","UseDPDF=Y")</f>
        <v>0</v>
      </c>
    </row>
    <row r="13" spans="1:27" x14ac:dyDescent="0.25">
      <c r="A13" s="10" t="s">
        <v>603</v>
      </c>
      <c r="B13" s="10" t="s">
        <v>604</v>
      </c>
      <c r="C13" s="13">
        <f>_xll.BDH("AMGN US Equity","IS_DA_NON_GAAP_ADJ","FQ4 2018","FQ4 2018","Currency=USD","Period=FQ","BEST_FPERIOD_OVERRIDE=FQ","FILING_STATUS=MR","SCALING_FORMAT=MLN","Sort=A","Dates=H","DateFormat=P","Fill=—","Direction=H","UseDPDF=Y")</f>
        <v>0</v>
      </c>
      <c r="D13" s="13">
        <f>_xll.BDH("AMGN US Equity","IS_DA_NON_GAAP_ADJ","FQ1 2019","FQ1 2019","Currency=USD","Period=FQ","BEST_FPERIOD_OVERRIDE=FQ","FILING_STATUS=MR","SCALING_FORMAT=MLN","Sort=A","Dates=H","DateFormat=P","Fill=—","Direction=H","UseDPDF=Y")</f>
        <v>0</v>
      </c>
      <c r="E13" s="13">
        <f>_xll.BDH("AMGN US Equity","IS_DA_NON_GAAP_ADJ","FQ2 2019","FQ2 2019","Currency=USD","Period=FQ","BEST_FPERIOD_OVERRIDE=FQ","FILING_STATUS=MR","SCALING_FORMAT=MLN","Sort=A","Dates=H","DateFormat=P","Fill=—","Direction=H","UseDPDF=Y")</f>
        <v>0</v>
      </c>
      <c r="F13" s="13">
        <f>_xll.BDH("AMGN US Equity","IS_DA_NON_GAAP_ADJ","FQ3 2019","FQ3 2019","Currency=USD","Period=FQ","BEST_FPERIOD_OVERRIDE=FQ","FILING_STATUS=MR","SCALING_FORMAT=MLN","Sort=A","Dates=H","DateFormat=P","Fill=—","Direction=H","UseDPDF=Y")</f>
        <v>0</v>
      </c>
      <c r="G13" s="13">
        <f>_xll.BDH("AMGN US Equity","IS_DA_NON_GAAP_ADJ","FQ4 2019","FQ4 2019","Currency=USD","Period=FQ","BEST_FPERIOD_OVERRIDE=FQ","FILING_STATUS=MR","SCALING_FORMAT=MLN","Sort=A","Dates=H","DateFormat=P","Fill=—","Direction=H","UseDPDF=Y")</f>
        <v>0</v>
      </c>
      <c r="H13" s="13">
        <f>_xll.BDH("AMGN US Equity","IS_DA_NON_GAAP_ADJ","FQ1 2020","FQ1 2020","Currency=USD","Period=FQ","BEST_FPERIOD_OVERRIDE=FQ","FILING_STATUS=MR","SCALING_FORMAT=MLN","Sort=A","Dates=H","DateFormat=P","Fill=—","Direction=H","UseDPDF=Y")</f>
        <v>0</v>
      </c>
      <c r="I13" s="13">
        <f>_xll.BDH("AMGN US Equity","IS_DA_NON_GAAP_ADJ","FQ2 2020","FQ2 2020","Currency=USD","Period=FQ","BEST_FPERIOD_OVERRIDE=FQ","FILING_STATUS=MR","SCALING_FORMAT=MLN","Sort=A","Dates=H","DateFormat=P","Fill=—","Direction=H","UseDPDF=Y")</f>
        <v>0</v>
      </c>
      <c r="J13" s="13">
        <f>_xll.BDH("AMGN US Equity","IS_DA_NON_GAAP_ADJ","FQ3 2020","FQ3 2020","Currency=USD","Period=FQ","BEST_FPERIOD_OVERRIDE=FQ","FILING_STATUS=MR","SCALING_FORMAT=MLN","Sort=A","Dates=H","DateFormat=P","Fill=—","Direction=H","UseDPDF=Y")</f>
        <v>0</v>
      </c>
      <c r="K13" s="13">
        <f>_xll.BDH("AMGN US Equity","IS_DA_NON_GAAP_ADJ","FQ4 2020","FQ4 2020","Currency=USD","Period=FQ","BEST_FPERIOD_OVERRIDE=FQ","FILING_STATUS=MR","SCALING_FORMAT=MLN","Sort=A","Dates=H","DateFormat=P","Fill=—","Direction=H","UseDPDF=Y")</f>
        <v>0</v>
      </c>
      <c r="L13" s="13">
        <f>_xll.BDH("AMGN US Equity","IS_DA_NON_GAAP_ADJ","FQ1 2021","FQ1 2021","Currency=USD","Period=FQ","BEST_FPERIOD_OVERRIDE=FQ","FILING_STATUS=MR","SCALING_FORMAT=MLN","Sort=A","Dates=H","DateFormat=P","Fill=—","Direction=H","UseDPDF=Y")</f>
        <v>0</v>
      </c>
      <c r="M13" s="13">
        <f>_xll.BDH("AMGN US Equity","IS_DA_NON_GAAP_ADJ","FQ2 2021","FQ2 2021","Currency=USD","Period=FQ","BEST_FPERIOD_OVERRIDE=FQ","FILING_STATUS=MR","SCALING_FORMAT=MLN","Sort=A","Dates=H","DateFormat=P","Fill=—","Direction=H","UseDPDF=Y")</f>
        <v>0</v>
      </c>
      <c r="N13" s="13">
        <f>_xll.BDH("AMGN US Equity","IS_DA_NON_GAAP_ADJ","FQ3 2021","FQ3 2021","Currency=USD","Period=FQ","BEST_FPERIOD_OVERRIDE=FQ","FILING_STATUS=MR","SCALING_FORMAT=MLN","Sort=A","Dates=H","DateFormat=P","Fill=—","Direction=H","UseDPDF=Y")</f>
        <v>0</v>
      </c>
      <c r="O13" s="13">
        <f>_xll.BDH("AMGN US Equity","IS_DA_NON_GAAP_ADJ","FQ4 2021","FQ4 2021","Currency=USD","Period=FQ","BEST_FPERIOD_OVERRIDE=FQ","FILING_STATUS=MR","SCALING_FORMAT=MLN","Sort=A","Dates=H","DateFormat=P","Fill=—","Direction=H","UseDPDF=Y")</f>
        <v>0</v>
      </c>
      <c r="P13" s="13">
        <f>_xll.BDH("AMGN US Equity","IS_DA_NON_GAAP_ADJ","FQ1 2022","FQ1 2022","Currency=USD","Period=FQ","BEST_FPERIOD_OVERRIDE=FQ","FILING_STATUS=MR","SCALING_FORMAT=MLN","Sort=A","Dates=H","DateFormat=P","Fill=—","Direction=H","UseDPDF=Y")</f>
        <v>0</v>
      </c>
      <c r="Q13" s="13">
        <f>_xll.BDH("AMGN US Equity","IS_DA_NON_GAAP_ADJ","FQ2 2022","FQ2 2022","Currency=USD","Period=FQ","BEST_FPERIOD_OVERRIDE=FQ","FILING_STATUS=MR","SCALING_FORMAT=MLN","Sort=A","Dates=H","DateFormat=P","Fill=—","Direction=H","UseDPDF=Y")</f>
        <v>0</v>
      </c>
      <c r="R13" s="13">
        <f>_xll.BDH("AMGN US Equity","IS_DA_NON_GAAP_ADJ","FQ3 2022","FQ3 2022","Currency=USD","Period=FQ","BEST_FPERIOD_OVERRIDE=FQ","FILING_STATUS=MR","SCALING_FORMAT=MLN","Sort=A","Dates=H","DateFormat=P","Fill=—","Direction=H","UseDPDF=Y")</f>
        <v>0</v>
      </c>
      <c r="S13" s="13">
        <f>_xll.BDH("AMGN US Equity","IS_DA_NON_GAAP_ADJ","FQ4 2022","FQ4 2022","Currency=USD","Period=FQ","BEST_FPERIOD_OVERRIDE=FQ","FILING_STATUS=MR","SCALING_FORMAT=MLN","Sort=A","Dates=H","DateFormat=P","Fill=—","Direction=H","UseDPDF=Y")</f>
        <v>0</v>
      </c>
      <c r="T13" s="13">
        <f>_xll.BDH("AMGN US Equity","IS_DA_NON_GAAP_ADJ","FQ1 2023","FQ1 2023","Currency=USD","Period=FQ","BEST_FPERIOD_OVERRIDE=FQ","FILING_STATUS=MR","SCALING_FORMAT=MLN","Sort=A","Dates=H","DateFormat=P","Fill=—","Direction=H","UseDPDF=Y")</f>
        <v>0</v>
      </c>
      <c r="U13" s="13">
        <f>_xll.BDH("AMGN US Equity","IS_DA_NON_GAAP_ADJ","FQ2 2023","FQ2 2023","Currency=USD","Period=FQ","BEST_FPERIOD_OVERRIDE=FQ","FILING_STATUS=MR","SCALING_FORMAT=MLN","Sort=A","Dates=H","DateFormat=P","Fill=—","Direction=H","UseDPDF=Y")</f>
        <v>0</v>
      </c>
      <c r="V13" s="13">
        <f>_xll.BDH("AMGN US Equity","IS_DA_NON_GAAP_ADJ","FQ3 2023","FQ3 2023","Currency=USD","Period=FQ","BEST_FPERIOD_OVERRIDE=FQ","FILING_STATUS=MR","SCALING_FORMAT=MLN","Sort=A","Dates=H","DateFormat=P","Fill=—","Direction=H","UseDPDF=Y")</f>
        <v>0</v>
      </c>
      <c r="W13" s="13">
        <f>_xll.BDH("AMGN US Equity","IS_DA_NON_GAAP_ADJ","FQ4 2023","FQ4 2023","Currency=USD","Period=FQ","BEST_FPERIOD_OVERRIDE=FQ","FILING_STATUS=MR","SCALING_FORMAT=MLN","Sort=A","Dates=H","DateFormat=P","Fill=—","Direction=H","UseDPDF=Y")</f>
        <v>0</v>
      </c>
      <c r="X13" s="13">
        <f>_xll.BDH("AMGN US Equity","IS_DA_NON_GAAP_ADJ","FQ1 2024","FQ1 2024","Currency=USD","Period=FQ","BEST_FPERIOD_OVERRIDE=FQ","FILING_STATUS=MR","SCALING_FORMAT=MLN","Sort=A","Dates=H","DateFormat=P","Fill=—","Direction=H","UseDPDF=Y")</f>
        <v>0</v>
      </c>
      <c r="Y13" s="13">
        <f>_xll.BDH("AMGN US Equity","IS_DA_NON_GAAP_ADJ","FQ2 2024","FQ2 2024","Currency=USD","Period=FQ","BEST_FPERIOD_OVERRIDE=FQ","FILING_STATUS=MR","SCALING_FORMAT=MLN","Sort=A","Dates=H","DateFormat=P","Fill=—","Direction=H","UseDPDF=Y")</f>
        <v>0</v>
      </c>
      <c r="Z13" s="13">
        <f>_xll.BDH("AMGN US Equity","IS_DA_NON_GAAP_ADJ","FQ3 2024","FQ3 2024","Currency=USD","Period=FQ","BEST_FPERIOD_OVERRIDE=FQ","FILING_STATUS=MR","SCALING_FORMAT=MLN","Sort=A","Dates=H","DateFormat=P","Fill=—","Direction=H","UseDPDF=Y")</f>
        <v>0</v>
      </c>
      <c r="AA13" s="13">
        <f>_xll.BDH("AMGN US Equity","IS_DA_NON_GAAP_ADJ","FQ4 2024","FQ4 2024","Currency=USD","Period=FQ","BEST_FPERIOD_OVERRIDE=FQ","FILING_STATUS=MR","SCALING_FORMAT=MLN","Sort=A","Dates=H","DateFormat=P","Fill=—","Direction=H","UseDPDF=Y")</f>
        <v>0</v>
      </c>
    </row>
    <row r="14" spans="1:27" x14ac:dyDescent="0.25">
      <c r="A14" s="10" t="s">
        <v>605</v>
      </c>
      <c r="B14" s="10" t="s">
        <v>606</v>
      </c>
      <c r="C14" s="13">
        <f>_xll.BDH("AMGN US Equity","IS_PDA_NONGAAP_ADJUSTMENTS","FQ4 2018","FQ4 2018","Currency=USD","Period=FQ","BEST_FPERIOD_OVERRIDE=FQ","FILING_STATUS=MR","SCALING_FORMAT=MLN","Sort=A","Dates=H","DateFormat=P","Fill=—","Direction=H","UseDPDF=Y")</f>
        <v>0</v>
      </c>
      <c r="D14" s="13">
        <f>_xll.BDH("AMGN US Equity","IS_PDA_NONGAAP_ADJUSTMENTS","FQ1 2019","FQ1 2019","Currency=USD","Period=FQ","BEST_FPERIOD_OVERRIDE=FQ","FILING_STATUS=MR","SCALING_FORMAT=MLN","Sort=A","Dates=H","DateFormat=P","Fill=—","Direction=H","UseDPDF=Y")</f>
        <v>0</v>
      </c>
      <c r="E14" s="13">
        <f>_xll.BDH("AMGN US Equity","IS_PDA_NONGAAP_ADJUSTMENTS","FQ2 2019","FQ2 2019","Currency=USD","Period=FQ","BEST_FPERIOD_OVERRIDE=FQ","FILING_STATUS=MR","SCALING_FORMAT=MLN","Sort=A","Dates=H","DateFormat=P","Fill=—","Direction=H","UseDPDF=Y")</f>
        <v>0</v>
      </c>
      <c r="F14" s="13">
        <f>_xll.BDH("AMGN US Equity","IS_PDA_NONGAAP_ADJUSTMENTS","FQ3 2019","FQ3 2019","Currency=USD","Period=FQ","BEST_FPERIOD_OVERRIDE=FQ","FILING_STATUS=MR","SCALING_FORMAT=MLN","Sort=A","Dates=H","DateFormat=P","Fill=—","Direction=H","UseDPDF=Y")</f>
        <v>0</v>
      </c>
      <c r="G14" s="13">
        <f>_xll.BDH("AMGN US Equity","IS_PDA_NONGAAP_ADJUSTMENTS","FQ4 2019","FQ4 2019","Currency=USD","Period=FQ","BEST_FPERIOD_OVERRIDE=FQ","FILING_STATUS=MR","SCALING_FORMAT=MLN","Sort=A","Dates=H","DateFormat=P","Fill=—","Direction=H","UseDPDF=Y")</f>
        <v>0</v>
      </c>
      <c r="H14" s="13">
        <f>_xll.BDH("AMGN US Equity","IS_PDA_NONGAAP_ADJUSTMENTS","FQ1 2020","FQ1 2020","Currency=USD","Period=FQ","BEST_FPERIOD_OVERRIDE=FQ","FILING_STATUS=MR","SCALING_FORMAT=MLN","Sort=A","Dates=H","DateFormat=P","Fill=—","Direction=H","UseDPDF=Y")</f>
        <v>0</v>
      </c>
      <c r="I14" s="13">
        <f>_xll.BDH("AMGN US Equity","IS_PDA_NONGAAP_ADJUSTMENTS","FQ2 2020","FQ2 2020","Currency=USD","Period=FQ","BEST_FPERIOD_OVERRIDE=FQ","FILING_STATUS=MR","SCALING_FORMAT=MLN","Sort=A","Dates=H","DateFormat=P","Fill=—","Direction=H","UseDPDF=Y")</f>
        <v>0</v>
      </c>
      <c r="J14" s="13">
        <f>_xll.BDH("AMGN US Equity","IS_PDA_NONGAAP_ADJUSTMENTS","FQ3 2020","FQ3 2020","Currency=USD","Period=FQ","BEST_FPERIOD_OVERRIDE=FQ","FILING_STATUS=MR","SCALING_FORMAT=MLN","Sort=A","Dates=H","DateFormat=P","Fill=—","Direction=H","UseDPDF=Y")</f>
        <v>0</v>
      </c>
      <c r="K14" s="13">
        <f>_xll.BDH("AMGN US Equity","IS_PDA_NONGAAP_ADJUSTMENTS","FQ4 2020","FQ4 2020","Currency=USD","Period=FQ","BEST_FPERIOD_OVERRIDE=FQ","FILING_STATUS=MR","SCALING_FORMAT=MLN","Sort=A","Dates=H","DateFormat=P","Fill=—","Direction=H","UseDPDF=Y")</f>
        <v>0</v>
      </c>
      <c r="L14" s="13">
        <f>_xll.BDH("AMGN US Equity","IS_PDA_NONGAAP_ADJUSTMENTS","FQ1 2021","FQ1 2021","Currency=USD","Period=FQ","BEST_FPERIOD_OVERRIDE=FQ","FILING_STATUS=MR","SCALING_FORMAT=MLN","Sort=A","Dates=H","DateFormat=P","Fill=—","Direction=H","UseDPDF=Y")</f>
        <v>0</v>
      </c>
      <c r="M14" s="13">
        <f>_xll.BDH("AMGN US Equity","IS_PDA_NONGAAP_ADJUSTMENTS","FQ2 2021","FQ2 2021","Currency=USD","Period=FQ","BEST_FPERIOD_OVERRIDE=FQ","FILING_STATUS=MR","SCALING_FORMAT=MLN","Sort=A","Dates=H","DateFormat=P","Fill=—","Direction=H","UseDPDF=Y")</f>
        <v>0</v>
      </c>
      <c r="N14" s="13">
        <f>_xll.BDH("AMGN US Equity","IS_PDA_NONGAAP_ADJUSTMENTS","FQ3 2021","FQ3 2021","Currency=USD","Period=FQ","BEST_FPERIOD_OVERRIDE=FQ","FILING_STATUS=MR","SCALING_FORMAT=MLN","Sort=A","Dates=H","DateFormat=P","Fill=—","Direction=H","UseDPDF=Y")</f>
        <v>0</v>
      </c>
      <c r="O14" s="13">
        <f>_xll.BDH("AMGN US Equity","IS_PDA_NONGAAP_ADJUSTMENTS","FQ4 2021","FQ4 2021","Currency=USD","Period=FQ","BEST_FPERIOD_OVERRIDE=FQ","FILING_STATUS=MR","SCALING_FORMAT=MLN","Sort=A","Dates=H","DateFormat=P","Fill=—","Direction=H","UseDPDF=Y")</f>
        <v>0</v>
      </c>
      <c r="P14" s="13">
        <f>_xll.BDH("AMGN US Equity","IS_PDA_NONGAAP_ADJUSTMENTS","FQ1 2022","FQ1 2022","Currency=USD","Period=FQ","BEST_FPERIOD_OVERRIDE=FQ","FILING_STATUS=MR","SCALING_FORMAT=MLN","Sort=A","Dates=H","DateFormat=P","Fill=—","Direction=H","UseDPDF=Y")</f>
        <v>0</v>
      </c>
      <c r="Q14" s="13">
        <f>_xll.BDH("AMGN US Equity","IS_PDA_NONGAAP_ADJUSTMENTS","FQ2 2022","FQ2 2022","Currency=USD","Period=FQ","BEST_FPERIOD_OVERRIDE=FQ","FILING_STATUS=MR","SCALING_FORMAT=MLN","Sort=A","Dates=H","DateFormat=P","Fill=—","Direction=H","UseDPDF=Y")</f>
        <v>0</v>
      </c>
      <c r="R14" s="13">
        <f>_xll.BDH("AMGN US Equity","IS_PDA_NONGAAP_ADJUSTMENTS","FQ3 2022","FQ3 2022","Currency=USD","Period=FQ","BEST_FPERIOD_OVERRIDE=FQ","FILING_STATUS=MR","SCALING_FORMAT=MLN","Sort=A","Dates=H","DateFormat=P","Fill=—","Direction=H","UseDPDF=Y")</f>
        <v>0</v>
      </c>
      <c r="S14" s="13">
        <f>_xll.BDH("AMGN US Equity","IS_PDA_NONGAAP_ADJUSTMENTS","FQ4 2022","FQ4 2022","Currency=USD","Period=FQ","BEST_FPERIOD_OVERRIDE=FQ","FILING_STATUS=MR","SCALING_FORMAT=MLN","Sort=A","Dates=H","DateFormat=P","Fill=—","Direction=H","UseDPDF=Y")</f>
        <v>0</v>
      </c>
      <c r="T14" s="13">
        <f>_xll.BDH("AMGN US Equity","IS_PDA_NONGAAP_ADJUSTMENTS","FQ1 2023","FQ1 2023","Currency=USD","Period=FQ","BEST_FPERIOD_OVERRIDE=FQ","FILING_STATUS=MR","SCALING_FORMAT=MLN","Sort=A","Dates=H","DateFormat=P","Fill=—","Direction=H","UseDPDF=Y")</f>
        <v>0</v>
      </c>
      <c r="U14" s="13">
        <f>_xll.BDH("AMGN US Equity","IS_PDA_NONGAAP_ADJUSTMENTS","FQ2 2023","FQ2 2023","Currency=USD","Period=FQ","BEST_FPERIOD_OVERRIDE=FQ","FILING_STATUS=MR","SCALING_FORMAT=MLN","Sort=A","Dates=H","DateFormat=P","Fill=—","Direction=H","UseDPDF=Y")</f>
        <v>0</v>
      </c>
      <c r="V14" s="13">
        <f>_xll.BDH("AMGN US Equity","IS_PDA_NONGAAP_ADJUSTMENTS","FQ3 2023","FQ3 2023","Currency=USD","Period=FQ","BEST_FPERIOD_OVERRIDE=FQ","FILING_STATUS=MR","SCALING_FORMAT=MLN","Sort=A","Dates=H","DateFormat=P","Fill=—","Direction=H","UseDPDF=Y")</f>
        <v>0</v>
      </c>
      <c r="W14" s="13">
        <f>_xll.BDH("AMGN US Equity","IS_PDA_NONGAAP_ADJUSTMENTS","FQ4 2023","FQ4 2023","Currency=USD","Period=FQ","BEST_FPERIOD_OVERRIDE=FQ","FILING_STATUS=MR","SCALING_FORMAT=MLN","Sort=A","Dates=H","DateFormat=P","Fill=—","Direction=H","UseDPDF=Y")</f>
        <v>0</v>
      </c>
      <c r="X14" s="13">
        <f>_xll.BDH("AMGN US Equity","IS_PDA_NONGAAP_ADJUSTMENTS","FQ1 2024","FQ1 2024","Currency=USD","Period=FQ","BEST_FPERIOD_OVERRIDE=FQ","FILING_STATUS=MR","SCALING_FORMAT=MLN","Sort=A","Dates=H","DateFormat=P","Fill=—","Direction=H","UseDPDF=Y")</f>
        <v>0</v>
      </c>
      <c r="Y14" s="13">
        <f>_xll.BDH("AMGN US Equity","IS_PDA_NONGAAP_ADJUSTMENTS","FQ2 2024","FQ2 2024","Currency=USD","Period=FQ","BEST_FPERIOD_OVERRIDE=FQ","FILING_STATUS=MR","SCALING_FORMAT=MLN","Sort=A","Dates=H","DateFormat=P","Fill=—","Direction=H","UseDPDF=Y")</f>
        <v>0</v>
      </c>
      <c r="Z14" s="13">
        <f>_xll.BDH("AMGN US Equity","IS_PDA_NONGAAP_ADJUSTMENTS","FQ3 2024","FQ3 2024","Currency=USD","Period=FQ","BEST_FPERIOD_OVERRIDE=FQ","FILING_STATUS=MR","SCALING_FORMAT=MLN","Sort=A","Dates=H","DateFormat=P","Fill=—","Direction=H","UseDPDF=Y")</f>
        <v>0</v>
      </c>
      <c r="AA14" s="13">
        <f>_xll.BDH("AMGN US Equity","IS_PDA_NONGAAP_ADJUSTMENTS","FQ4 2024","FQ4 2024","Currency=USD","Period=FQ","BEST_FPERIOD_OVERRIDE=FQ","FILING_STATUS=MR","SCALING_FORMAT=MLN","Sort=A","Dates=H","DateFormat=P","Fill=—","Direction=H","UseDPDF=Y")</f>
        <v>0</v>
      </c>
    </row>
    <row r="15" spans="1:27" x14ac:dyDescent="0.25">
      <c r="A15" s="10" t="s">
        <v>607</v>
      </c>
      <c r="B15" s="10" t="s">
        <v>608</v>
      </c>
      <c r="C15" s="13">
        <f>_xll.BDH("AMGN US Equity","IS_OTHER_OPERATING_EXPN_ADJUST","FQ4 2018","FQ4 2018","Currency=USD","Period=FQ","BEST_FPERIOD_OVERRIDE=FQ","FILING_STATUS=MR","SCALING_FORMAT=MLN","Sort=A","Dates=H","DateFormat=P","Fill=—","Direction=H","UseDPDF=Y")</f>
        <v>11</v>
      </c>
      <c r="D15" s="13">
        <f>_xll.BDH("AMGN US Equity","IS_OTHER_OPERATING_EXPN_ADJUST","FQ1 2019","FQ1 2019","Currency=USD","Period=FQ","BEST_FPERIOD_OVERRIDE=FQ","FILING_STATUS=MR","SCALING_FORMAT=MLN","Sort=A","Dates=H","DateFormat=P","Fill=—","Direction=H","UseDPDF=Y")</f>
        <v>-2</v>
      </c>
      <c r="E15" s="13">
        <f>_xll.BDH("AMGN US Equity","IS_OTHER_OPERATING_EXPN_ADJUST","FQ2 2019","FQ2 2019","Currency=USD","Period=FQ","BEST_FPERIOD_OVERRIDE=FQ","FILING_STATUS=MR","SCALING_FORMAT=MLN","Sort=A","Dates=H","DateFormat=P","Fill=—","Direction=H","UseDPDF=Y")</f>
        <v>-3</v>
      </c>
      <c r="F15" s="13">
        <f>_xll.BDH("AMGN US Equity","IS_OTHER_OPERATING_EXPN_ADJUST","FQ3 2019","FQ3 2019","Currency=USD","Period=FQ","BEST_FPERIOD_OVERRIDE=FQ","FILING_STATUS=MR","SCALING_FORMAT=MLN","Sort=A","Dates=H","DateFormat=P","Fill=—","Direction=H","UseDPDF=Y")</f>
        <v>1</v>
      </c>
      <c r="G15" s="13">
        <f>_xll.BDH("AMGN US Equity","IS_OTHER_OPERATING_EXPN_ADJUST","FQ4 2019","FQ4 2019","Currency=USD","Period=FQ","BEST_FPERIOD_OVERRIDE=FQ","FILING_STATUS=MR","SCALING_FORMAT=MLN","Sort=A","Dates=H","DateFormat=P","Fill=—","Direction=H","UseDPDF=Y")</f>
        <v>71</v>
      </c>
      <c r="H15" s="13">
        <f>_xll.BDH("AMGN US Equity","IS_OTHER_OPERATING_EXPN_ADJUST","FQ1 2020","FQ1 2020","Currency=USD","Period=FQ","BEST_FPERIOD_OVERRIDE=FQ","FILING_STATUS=MR","SCALING_FORMAT=MLN","Sort=A","Dates=H","DateFormat=P","Fill=—","Direction=H","UseDPDF=Y")</f>
        <v>25</v>
      </c>
      <c r="I15" s="13">
        <f>_xll.BDH("AMGN US Equity","IS_OTHER_OPERATING_EXPN_ADJUST","FQ2 2020","FQ2 2020","Currency=USD","Period=FQ","BEST_FPERIOD_OVERRIDE=FQ","FILING_STATUS=MR","SCALING_FORMAT=MLN","Sort=A","Dates=H","DateFormat=P","Fill=—","Direction=H","UseDPDF=Y")</f>
        <v>100</v>
      </c>
      <c r="J15" s="13">
        <f>_xll.BDH("AMGN US Equity","IS_OTHER_OPERATING_EXPN_ADJUST","FQ3 2020","FQ3 2020","Currency=USD","Period=FQ","BEST_FPERIOD_OVERRIDE=FQ","FILING_STATUS=MR","SCALING_FORMAT=MLN","Sort=A","Dates=H","DateFormat=P","Fill=—","Direction=H","UseDPDF=Y")</f>
        <v>24</v>
      </c>
      <c r="K15" s="13">
        <f>_xll.BDH("AMGN US Equity","IS_OTHER_OPERATING_EXPN_ADJUST","FQ4 2020","FQ4 2020","Currency=USD","Period=FQ","BEST_FPERIOD_OVERRIDE=FQ","FILING_STATUS=MR","SCALING_FORMAT=MLN","Sort=A","Dates=H","DateFormat=P","Fill=—","Direction=H","UseDPDF=Y")</f>
        <v>65</v>
      </c>
      <c r="L15" s="13">
        <f>_xll.BDH("AMGN US Equity","IS_OTHER_OPERATING_EXPN_ADJUST","FQ1 2021","FQ1 2021","Currency=USD","Period=FQ","BEST_FPERIOD_OVERRIDE=FQ","FILING_STATUS=MR","SCALING_FORMAT=MLN","Sort=A","Dates=H","DateFormat=P","Fill=—","Direction=H","UseDPDF=Y")</f>
        <v>735</v>
      </c>
      <c r="M15" s="13">
        <f>_xll.BDH("AMGN US Equity","IS_OTHER_OPERATING_EXPN_ADJUST","FQ2 2021","FQ2 2021","Currency=USD","Period=FQ","BEST_FPERIOD_OVERRIDE=FQ","FILING_STATUS=MR","SCALING_FORMAT=MLN","Sort=A","Dates=H","DateFormat=P","Fill=—","Direction=H","UseDPDF=Y")</f>
        <v>1595</v>
      </c>
      <c r="N15" s="13">
        <f>_xll.BDH("AMGN US Equity","IS_OTHER_OPERATING_EXPN_ADJUST","FQ3 2021","FQ3 2021","Currency=USD","Period=FQ","BEST_FPERIOD_OVERRIDE=FQ","FILING_STATUS=MR","SCALING_FORMAT=MLN","Sort=A","Dates=H","DateFormat=P","Fill=—","Direction=H","UseDPDF=Y")</f>
        <v>27</v>
      </c>
      <c r="O15" s="13">
        <f>_xll.BDH("AMGN US Equity","IS_OTHER_OPERATING_EXPN_ADJUST","FQ4 2021","FQ4 2021","Currency=USD","Period=FQ","BEST_FPERIOD_OVERRIDE=FQ","FILING_STATUS=MR","SCALING_FORMAT=MLN","Sort=A","Dates=H","DateFormat=P","Fill=—","Direction=H","UseDPDF=Y")</f>
        <v>-35</v>
      </c>
      <c r="P15" s="13">
        <f>_xll.BDH("AMGN US Equity","IS_OTHER_OPERATING_EXPN_ADJUST","FQ1 2022","FQ1 2022","Currency=USD","Period=FQ","BEST_FPERIOD_OVERRIDE=FQ","FILING_STATUS=MR","SCALING_FORMAT=MLN","Sort=A","Dates=H","DateFormat=P","Fill=—","Direction=H","UseDPDF=Y")</f>
        <v>640</v>
      </c>
      <c r="Q15" s="13">
        <f>_xll.BDH("AMGN US Equity","IS_OTHER_OPERATING_EXPN_ADJUST","FQ2 2022","FQ2 2022","Currency=USD","Period=FQ","BEST_FPERIOD_OVERRIDE=FQ","FILING_STATUS=MR","SCALING_FORMAT=MLN","Sort=A","Dates=H","DateFormat=P","Fill=—","Direction=H","UseDPDF=Y")</f>
        <v>542</v>
      </c>
      <c r="R15" s="13">
        <f>_xll.BDH("AMGN US Equity","IS_OTHER_OPERATING_EXPN_ADJUST","FQ3 2022","FQ3 2022","Currency=USD","Period=FQ","BEST_FPERIOD_OVERRIDE=FQ","FILING_STATUS=MR","SCALING_FORMAT=MLN","Sort=A","Dates=H","DateFormat=P","Fill=—","Direction=H","UseDPDF=Y")</f>
        <v>5</v>
      </c>
      <c r="S15" s="13">
        <f>_xll.BDH("AMGN US Equity","IS_OTHER_OPERATING_EXPN_ADJUST","FQ4 2022","FQ4 2022","Currency=USD","Period=FQ","BEST_FPERIOD_OVERRIDE=FQ","FILING_STATUS=MR","SCALING_FORMAT=MLN","Sort=A","Dates=H","DateFormat=P","Fill=—","Direction=H","UseDPDF=Y")</f>
        <v>-34</v>
      </c>
      <c r="T15" s="13">
        <f>_xll.BDH("AMGN US Equity","IS_OTHER_OPERATING_EXPN_ADJUST","FQ1 2023","FQ1 2023","Currency=USD","Period=FQ","BEST_FPERIOD_OVERRIDE=FQ","FILING_STATUS=MR","SCALING_FORMAT=MLN","Sort=A","Dates=H","DateFormat=P","Fill=—","Direction=H","UseDPDF=Y")</f>
        <v>183</v>
      </c>
      <c r="U15" s="13">
        <f>_xll.BDH("AMGN US Equity","IS_OTHER_OPERATING_EXPN_ADJUST","FQ2 2023","FQ2 2023","Currency=USD","Period=FQ","BEST_FPERIOD_OVERRIDE=FQ","FILING_STATUS=MR","SCALING_FORMAT=MLN","Sort=A","Dates=H","DateFormat=P","Fill=—","Direction=H","UseDPDF=Y")</f>
        <v>25</v>
      </c>
      <c r="V15" s="13">
        <f>_xll.BDH("AMGN US Equity","IS_OTHER_OPERATING_EXPN_ADJUST","FQ3 2023","FQ3 2023","Currency=USD","Period=FQ","BEST_FPERIOD_OVERRIDE=FQ","FILING_STATUS=MR","SCALING_FORMAT=MLN","Sort=A","Dates=H","DateFormat=P","Fill=—","Direction=H","UseDPDF=Y")</f>
        <v>663</v>
      </c>
      <c r="W15" s="13">
        <f>_xll.BDH("AMGN US Equity","IS_OTHER_OPERATING_EXPN_ADJUST","FQ4 2023","FQ4 2023","Currency=USD","Period=FQ","BEST_FPERIOD_OVERRIDE=FQ","FILING_STATUS=MR","SCALING_FORMAT=MLN","Sort=A","Dates=H","DateFormat=P","Fill=—","Direction=H","UseDPDF=Y")</f>
        <v>-1857</v>
      </c>
      <c r="X15" s="13">
        <f>_xll.BDH("AMGN US Equity","IS_OTHER_OPERATING_EXPN_ADJUST","FQ1 2024","FQ1 2024","Currency=USD","Period=FQ","BEST_FPERIOD_OVERRIDE=FQ","FILING_STATUS=MR","SCALING_FORMAT=MLN","Sort=A","Dates=H","DateFormat=P","Fill=—","Direction=H","UseDPDF=Y")</f>
        <v>105</v>
      </c>
      <c r="Y15" s="13">
        <f>_xll.BDH("AMGN US Equity","IS_OTHER_OPERATING_EXPN_ADJUST","FQ2 2024","FQ2 2024","Currency=USD","Period=FQ","BEST_FPERIOD_OVERRIDE=FQ","FILING_STATUS=MR","SCALING_FORMAT=MLN","Sort=A","Dates=H","DateFormat=P","Fill=—","Direction=H","UseDPDF=Y")</f>
        <v>134</v>
      </c>
      <c r="Z15" s="13">
        <f>_xll.BDH("AMGN US Equity","IS_OTHER_OPERATING_EXPN_ADJUST","FQ3 2024","FQ3 2024","Currency=USD","Period=FQ","BEST_FPERIOD_OVERRIDE=FQ","FILING_STATUS=MR","SCALING_FORMAT=MLN","Sort=A","Dates=H","DateFormat=P","Fill=—","Direction=H","UseDPDF=Y")</f>
        <v>141</v>
      </c>
      <c r="AA15" s="13">
        <f>_xll.BDH("AMGN US Equity","IS_OTHER_OPERATING_EXPN_ADJUST","FQ4 2024","FQ4 2024","Currency=USD","Period=FQ","BEST_FPERIOD_OVERRIDE=FQ","FILING_STATUS=MR","SCALING_FORMAT=MLN","Sort=A","Dates=H","DateFormat=P","Fill=—","Direction=H","UseDPDF=Y")</f>
        <v>146</v>
      </c>
    </row>
    <row r="16" spans="1:27" x14ac:dyDescent="0.25">
      <c r="A16" s="6" t="s">
        <v>609</v>
      </c>
      <c r="B16" s="6" t="s">
        <v>99</v>
      </c>
      <c r="C16" s="19">
        <f>_xll.BDH("AMGN US Equity","IS_OPER_INC","FQ4 2018","FQ4 2018","Currency=USD","Period=FQ","BEST_FPERIOD_OVERRIDE=FQ","FILING_STATUS=MR","SCALING_FORMAT=MLN","FA_ADJUSTED=Adjusted","Sort=A","Dates=H","DateFormat=P","Fill=—","Direction=H","UseDPDF=Y")</f>
        <v>2403</v>
      </c>
      <c r="D16" s="19">
        <f>_xll.BDH("AMGN US Equity","IS_OPER_INC","FQ1 2019","FQ1 2019","Currency=USD","Period=FQ","BEST_FPERIOD_OVERRIDE=FQ","FILING_STATUS=MR","SCALING_FORMAT=MLN","FA_ADJUSTED=Adjusted","Sort=A","Dates=H","DateFormat=P","Fill=—","Direction=H","UseDPDF=Y")</f>
        <v>2470</v>
      </c>
      <c r="E16" s="19">
        <f>_xll.BDH("AMGN US Equity","IS_OPER_INC","FQ2 2019","FQ2 2019","Currency=USD","Period=FQ","BEST_FPERIOD_OVERRIDE=FQ","FILING_STATUS=MR","SCALING_FORMAT=MLN","FA_ADJUSTED=Adjusted","Sort=A","Dates=H","DateFormat=P","Fill=—","Direction=H","UseDPDF=Y")</f>
        <v>2675</v>
      </c>
      <c r="F16" s="19">
        <f>_xll.BDH("AMGN US Equity","IS_OPER_INC","FQ3 2019","FQ3 2019","Currency=USD","Period=FQ","BEST_FPERIOD_OVERRIDE=FQ","FILING_STATUS=MR","SCALING_FORMAT=MLN","FA_ADJUSTED=Adjusted","Sort=A","Dates=H","DateFormat=P","Fill=—","Direction=H","UseDPDF=Y")</f>
        <v>2476</v>
      </c>
      <c r="G16" s="19">
        <f>_xll.BDH("AMGN US Equity","IS_OPER_INC","FQ4 2019","FQ4 2019","Currency=USD","Period=FQ","BEST_FPERIOD_OVERRIDE=FQ","FILING_STATUS=MR","SCALING_FORMAT=MLN","FA_ADJUSTED=Adjusted","Sort=A","Dates=H","DateFormat=P","Fill=—","Direction=H","UseDPDF=Y")</f>
        <v>2121</v>
      </c>
      <c r="H16" s="19">
        <f>_xll.BDH("AMGN US Equity","IS_OPER_INC","FQ1 2020","FQ1 2020","Currency=USD","Period=FQ","BEST_FPERIOD_OVERRIDE=FQ","FILING_STATUS=MR","SCALING_FORMAT=MLN","FA_ADJUSTED=Adjusted","Sort=A","Dates=H","DateFormat=P","Fill=—","Direction=H","UseDPDF=Y")</f>
        <v>2380</v>
      </c>
      <c r="I16" s="19">
        <f>_xll.BDH("AMGN US Equity","IS_OPER_INC","FQ2 2020","FQ2 2020","Currency=USD","Period=FQ","BEST_FPERIOD_OVERRIDE=FQ","FILING_STATUS=MR","SCALING_FORMAT=MLN","FA_ADJUSTED=Adjusted","Sort=A","Dates=H","DateFormat=P","Fill=—","Direction=H","UseDPDF=Y")</f>
        <v>2423</v>
      </c>
      <c r="J16" s="19">
        <f>_xll.BDH("AMGN US Equity","IS_OPER_INC","FQ3 2020","FQ3 2020","Currency=USD","Period=FQ","BEST_FPERIOD_OVERRIDE=FQ","FILING_STATUS=MR","SCALING_FORMAT=MLN","FA_ADJUSTED=Adjusted","Sort=A","Dates=H","DateFormat=P","Fill=—","Direction=H","UseDPDF=Y")</f>
        <v>3182</v>
      </c>
      <c r="K16" s="19">
        <f>_xll.BDH("AMGN US Equity","IS_OPER_INC","FQ4 2020","FQ4 2020","Currency=USD","Period=FQ","BEST_FPERIOD_OVERRIDE=FQ","FILING_STATUS=MR","SCALING_FORMAT=MLN","FA_ADJUSTED=Adjusted","Sort=A","Dates=H","DateFormat=P","Fill=—","Direction=H","UseDPDF=Y")</f>
        <v>2073</v>
      </c>
      <c r="L16" s="19">
        <f>_xll.BDH("AMGN US Equity","IS_OPER_INC","FQ1 2021","FQ1 2021","Currency=USD","Period=FQ","BEST_FPERIOD_OVERRIDE=FQ","FILING_STATUS=MR","SCALING_FORMAT=MLN","FA_ADJUSTED=Adjusted","Sort=A","Dates=H","DateFormat=P","Fill=—","Direction=H","UseDPDF=Y")</f>
        <v>2864</v>
      </c>
      <c r="M16" s="19">
        <f>_xll.BDH("AMGN US Equity","IS_OPER_INC","FQ2 2021","FQ2 2021","Currency=USD","Period=FQ","BEST_FPERIOD_OVERRIDE=FQ","FILING_STATUS=MR","SCALING_FORMAT=MLN","FA_ADJUSTED=Adjusted","Sort=A","Dates=H","DateFormat=P","Fill=—","Direction=H","UseDPDF=Y")</f>
        <v>3111</v>
      </c>
      <c r="N16" s="19">
        <f>_xll.BDH("AMGN US Equity","IS_OPER_INC","FQ3 2021","FQ3 2021","Currency=USD","Period=FQ","BEST_FPERIOD_OVERRIDE=FQ","FILING_STATUS=MR","SCALING_FORMAT=MLN","FA_ADJUSTED=Adjusted","Sort=A","Dates=H","DateFormat=P","Fill=—","Direction=H","UseDPDF=Y")</f>
        <v>2405</v>
      </c>
      <c r="O16" s="19">
        <f>_xll.BDH("AMGN US Equity","IS_OPER_INC","FQ4 2021","FQ4 2021","Currency=USD","Period=FQ","BEST_FPERIOD_OVERRIDE=FQ","FILING_STATUS=MR","SCALING_FORMAT=MLN","FA_ADJUSTED=Adjusted","Sort=A","Dates=H","DateFormat=P","Fill=—","Direction=H","UseDPDF=Y")</f>
        <v>2246</v>
      </c>
      <c r="P16" s="19">
        <f>_xll.BDH("AMGN US Equity","IS_OPER_INC","FQ1 2022","FQ1 2022","Currency=USD","Period=FQ","BEST_FPERIOD_OVERRIDE=FQ","FILING_STATUS=MR","SCALING_FORMAT=MLN","FA_ADJUSTED=Adjusted","Sort=A","Dates=H","DateFormat=P","Fill=—","Direction=H","UseDPDF=Y")</f>
        <v>3140</v>
      </c>
      <c r="Q16" s="19">
        <f>_xll.BDH("AMGN US Equity","IS_OPER_INC","FQ2 2022","FQ2 2022","Currency=USD","Period=FQ","BEST_FPERIOD_OVERRIDE=FQ","FILING_STATUS=MR","SCALING_FORMAT=MLN","FA_ADJUSTED=Adjusted","Sort=A","Dates=H","DateFormat=P","Fill=—","Direction=H","UseDPDF=Y")</f>
        <v>3335</v>
      </c>
      <c r="R16" s="19">
        <f>_xll.BDH("AMGN US Equity","IS_OPER_INC","FQ3 2022","FQ3 2022","Currency=USD","Period=FQ","BEST_FPERIOD_OVERRIDE=FQ","FILING_STATUS=MR","SCALING_FORMAT=MLN","FA_ADJUSTED=Adjusted","Sort=A","Dates=H","DateFormat=P","Fill=—","Direction=H","UseDPDF=Y")</f>
        <v>2665</v>
      </c>
      <c r="S16" s="19">
        <f>_xll.BDH("AMGN US Equity","IS_OPER_INC","FQ4 2022","FQ4 2022","Currency=USD","Period=FQ","BEST_FPERIOD_OVERRIDE=FQ","FILING_STATUS=MR","SCALING_FORMAT=MLN","FA_ADJUSTED=Adjusted","Sort=A","Dates=H","DateFormat=P","Fill=—","Direction=H","UseDPDF=Y")</f>
        <v>2196</v>
      </c>
      <c r="T16" s="19">
        <f>_xll.BDH("AMGN US Equity","IS_OPER_INC","FQ1 2023","FQ1 2023","Currency=USD","Period=FQ","BEST_FPERIOD_OVERRIDE=FQ","FILING_STATUS=MR","SCALING_FORMAT=MLN","FA_ADJUSTED=Adjusted","Sort=A","Dates=H","DateFormat=P","Fill=—","Direction=H","UseDPDF=Y")</f>
        <v>2821</v>
      </c>
      <c r="U16" s="19">
        <f>_xll.BDH("AMGN US Equity","IS_OPER_INC","FQ2 2023","FQ2 2023","Currency=USD","Period=FQ","BEST_FPERIOD_OVERRIDE=FQ","FILING_STATUS=MR","SCALING_FORMAT=MLN","FA_ADJUSTED=Adjusted","Sort=A","Dates=H","DateFormat=P","Fill=—","Direction=H","UseDPDF=Y")</f>
        <v>2726</v>
      </c>
      <c r="V16" s="19">
        <f>_xll.BDH("AMGN US Equity","IS_OPER_INC","FQ3 2023","FQ3 2023","Currency=USD","Period=FQ","BEST_FPERIOD_OVERRIDE=FQ","FILING_STATUS=MR","SCALING_FORMAT=MLN","FA_ADJUSTED=Adjusted","Sort=A","Dates=H","DateFormat=P","Fill=—","Direction=H","UseDPDF=Y")</f>
        <v>2684</v>
      </c>
      <c r="W16" s="19">
        <f>_xll.BDH("AMGN US Equity","IS_OPER_INC","FQ4 2023","FQ4 2023","Currency=USD","Period=FQ","BEST_FPERIOD_OVERRIDE=FQ","FILING_STATUS=MR","SCALING_FORMAT=MLN","FA_ADJUSTED=Adjusted","Sort=A","Dates=H","DateFormat=P","Fill=—","Direction=H","UseDPDF=Y")</f>
        <v>1798</v>
      </c>
      <c r="X16" s="19">
        <f>_xll.BDH("AMGN US Equity","IS_OPER_INC","FQ1 2024","FQ1 2024","Currency=USD","Period=FQ","BEST_FPERIOD_OVERRIDE=FQ","FILING_STATUS=MR","SCALING_FORMAT=MLN","FA_ADJUSTED=Adjusted","Sort=A","Dates=H","DateFormat=P","Fill=—","Direction=H","UseDPDF=Y")</f>
        <v>1096</v>
      </c>
      <c r="Y16" s="19">
        <f>_xll.BDH("AMGN US Equity","IS_OPER_INC","FQ2 2024","FQ2 2024","Currency=USD","Period=FQ","BEST_FPERIOD_OVERRIDE=FQ","FILING_STATUS=MR","SCALING_FORMAT=MLN","FA_ADJUSTED=Adjusted","Sort=A","Dates=H","DateFormat=P","Fill=—","Direction=H","UseDPDF=Y")</f>
        <v>2043</v>
      </c>
      <c r="Z16" s="19">
        <f>_xll.BDH("AMGN US Equity","IS_OPER_INC","FQ3 2024","FQ3 2024","Currency=USD","Period=FQ","BEST_FPERIOD_OVERRIDE=FQ","FILING_STATUS=MR","SCALING_FORMAT=MLN","FA_ADJUSTED=Adjusted","Sort=A","Dates=H","DateFormat=P","Fill=—","Direction=H","UseDPDF=Y")</f>
        <v>2188</v>
      </c>
      <c r="AA16" s="19">
        <f>_xll.BDH("AMGN US Equity","IS_OPER_INC","FQ4 2024","FQ4 2024","Currency=USD","Period=FQ","BEST_FPERIOD_OVERRIDE=FQ","FILING_STATUS=MR","SCALING_FORMAT=MLN","FA_ADJUSTED=Adjusted","Sort=A","Dates=H","DateFormat=P","Fill=—","Direction=H","UseDPDF=Y")</f>
        <v>2457</v>
      </c>
    </row>
    <row r="17" spans="1:27" x14ac:dyDescent="0.25">
      <c r="A17" s="10" t="s">
        <v>610</v>
      </c>
      <c r="B17" s="10" t="s">
        <v>611</v>
      </c>
      <c r="C17" s="13">
        <f>_xll.BDH("AMGN US Equity","ADJUSTED_DA_EXPENSES","FQ4 2018","FQ4 2018","Currency=USD","Period=FQ","BEST_FPERIOD_OVERRIDE=FQ","FILING_STATUS=MR","SCALING_FORMAT=MLN","Sort=A","Dates=H","DateFormat=P","Fill=—","Direction=H","UseDPDF=Y")</f>
        <v>490</v>
      </c>
      <c r="D17" s="13">
        <f>_xll.BDH("AMGN US Equity","ADJUSTED_DA_EXPENSES","FQ1 2019","FQ1 2019","Currency=USD","Period=FQ","BEST_FPERIOD_OVERRIDE=FQ","FILING_STATUS=MR","SCALING_FORMAT=MLN","Sort=A","Dates=H","DateFormat=P","Fill=—","Direction=H","UseDPDF=Y")</f>
        <v>495</v>
      </c>
      <c r="E17" s="13">
        <f>_xll.BDH("AMGN US Equity","ADJUSTED_DA_EXPENSES","FQ2 2019","FQ2 2019","Currency=USD","Period=FQ","BEST_FPERIOD_OVERRIDE=FQ","FILING_STATUS=MR","SCALING_FORMAT=MLN","Sort=A","Dates=H","DateFormat=P","Fill=—","Direction=H","UseDPDF=Y")</f>
        <v>501</v>
      </c>
      <c r="F17" s="13">
        <f>_xll.BDH("AMGN US Equity","ADJUSTED_DA_EXPENSES","FQ3 2019","FQ3 2019","Currency=USD","Period=FQ","BEST_FPERIOD_OVERRIDE=FQ","FILING_STATUS=MR","SCALING_FORMAT=MLN","Sort=A","Dates=H","DateFormat=P","Fill=—","Direction=H","UseDPDF=Y")</f>
        <v>508</v>
      </c>
      <c r="G17" s="13">
        <f>_xll.BDH("AMGN US Equity","ADJUSTED_DA_EXPENSES","FQ4 2019","FQ4 2019","Currency=USD","Period=FQ","BEST_FPERIOD_OVERRIDE=FQ","FILING_STATUS=MR","SCALING_FORMAT=MLN","Sort=A","Dates=H","DateFormat=P","Fill=—","Direction=H","UseDPDF=Y")</f>
        <v>702</v>
      </c>
      <c r="H17" s="13">
        <f>_xll.BDH("AMGN US Equity","ADJUSTED_DA_EXPENSES","FQ1 2020","FQ1 2020","Currency=USD","Period=FQ","BEST_FPERIOD_OVERRIDE=FQ","FILING_STATUS=MR","SCALING_FORMAT=MLN","Sort=A","Dates=H","DateFormat=P","Fill=—","Direction=H","UseDPDF=Y")</f>
        <v>897</v>
      </c>
      <c r="I17" s="13">
        <f>_xll.BDH("AMGN US Equity","ADJUSTED_DA_EXPENSES","FQ2 2020","FQ2 2020","Currency=USD","Period=FQ","BEST_FPERIOD_OVERRIDE=FQ","FILING_STATUS=MR","SCALING_FORMAT=MLN","Sort=A","Dates=H","DateFormat=P","Fill=—","Direction=H","UseDPDF=Y")</f>
        <v>930</v>
      </c>
      <c r="J17" s="13">
        <f>_xll.BDH("AMGN US Equity","ADJUSTED_DA_EXPENSES","FQ3 2020","FQ3 2020","Currency=USD","Period=FQ","BEST_FPERIOD_OVERRIDE=FQ","FILING_STATUS=MR","SCALING_FORMAT=MLN","Sort=A","Dates=H","DateFormat=P","Fill=—","Direction=H","UseDPDF=Y")</f>
        <v>901</v>
      </c>
      <c r="K17" s="13">
        <f>_xll.BDH("AMGN US Equity","ADJUSTED_DA_EXPENSES","FQ4 2020","FQ4 2020","Currency=USD","Period=FQ","BEST_FPERIOD_OVERRIDE=FQ","FILING_STATUS=MR","SCALING_FORMAT=MLN","Sort=A","Dates=H","DateFormat=P","Fill=—","Direction=H","UseDPDF=Y")</f>
        <v>873</v>
      </c>
      <c r="L17" s="13">
        <f>_xll.BDH("AMGN US Equity","ADJUSTED_DA_EXPENSES","FQ1 2021","FQ1 2021","Currency=USD","Period=FQ","BEST_FPERIOD_OVERRIDE=FQ","FILING_STATUS=MR","SCALING_FORMAT=MLN","Sort=A","Dates=H","DateFormat=P","Fill=—","Direction=H","UseDPDF=Y")</f>
        <v>841</v>
      </c>
      <c r="M17" s="13">
        <f>_xll.BDH("AMGN US Equity","ADJUSTED_DA_EXPENSES","FQ2 2021","FQ2 2021","Currency=USD","Period=FQ","BEST_FPERIOD_OVERRIDE=FQ","FILING_STATUS=MR","SCALING_FORMAT=MLN","Sort=A","Dates=H","DateFormat=P","Fill=—","Direction=H","UseDPDF=Y")</f>
        <v>855</v>
      </c>
      <c r="N17" s="13">
        <f>_xll.BDH("AMGN US Equity","ADJUSTED_DA_EXPENSES","FQ3 2021","FQ3 2021","Currency=USD","Period=FQ","BEST_FPERIOD_OVERRIDE=FQ","FILING_STATUS=MR","SCALING_FORMAT=MLN","Sort=A","Dates=H","DateFormat=P","Fill=—","Direction=H","UseDPDF=Y")</f>
        <v>850</v>
      </c>
      <c r="O17" s="13">
        <f>_xll.BDH("AMGN US Equity","ADJUSTED_DA_EXPENSES","FQ4 2021","FQ4 2021","Currency=USD","Period=FQ","BEST_FPERIOD_OVERRIDE=FQ","FILING_STATUS=MR","SCALING_FORMAT=MLN","Sort=A","Dates=H","DateFormat=P","Fill=—","Direction=H","UseDPDF=Y")</f>
        <v>852</v>
      </c>
      <c r="P17" s="13">
        <f>_xll.BDH("AMGN US Equity","ADJUSTED_DA_EXPENSES","FQ1 2022","FQ1 2022","Currency=USD","Period=FQ","BEST_FPERIOD_OVERRIDE=FQ","FILING_STATUS=MR","SCALING_FORMAT=MLN","Sort=A","Dates=H","DateFormat=P","Fill=—","Direction=H","UseDPDF=Y")</f>
        <v>841</v>
      </c>
      <c r="Q17" s="13">
        <f>_xll.BDH("AMGN US Equity","ADJUSTED_DA_EXPENSES","FQ2 2022","FQ2 2022","Currency=USD","Period=FQ","BEST_FPERIOD_OVERRIDE=FQ","FILING_STATUS=MR","SCALING_FORMAT=MLN","Sort=A","Dates=H","DateFormat=P","Fill=—","Direction=H","UseDPDF=Y")</f>
        <v>828</v>
      </c>
      <c r="R17" s="13">
        <f>_xll.BDH("AMGN US Equity","ADJUSTED_DA_EXPENSES","FQ3 2022","FQ3 2022","Currency=USD","Period=FQ","BEST_FPERIOD_OVERRIDE=FQ","FILING_STATUS=MR","SCALING_FORMAT=MLN","Sort=A","Dates=H","DateFormat=P","Fill=—","Direction=H","UseDPDF=Y")</f>
        <v>837</v>
      </c>
      <c r="S17" s="13">
        <f>_xll.BDH("AMGN US Equity","ADJUSTED_DA_EXPENSES","FQ4 2022","FQ4 2022","Currency=USD","Period=FQ","BEST_FPERIOD_OVERRIDE=FQ","FILING_STATUS=MR","SCALING_FORMAT=MLN","Sort=A","Dates=H","DateFormat=P","Fill=—","Direction=H","UseDPDF=Y")</f>
        <v>911</v>
      </c>
      <c r="T17" s="13">
        <f>_xll.BDH("AMGN US Equity","ADJUSTED_DA_EXPENSES","FQ1 2023","FQ1 2023","Currency=USD","Period=FQ","BEST_FPERIOD_OVERRIDE=FQ","FILING_STATUS=MR","SCALING_FORMAT=MLN","Sort=A","Dates=H","DateFormat=P","Fill=—","Direction=H","UseDPDF=Y")</f>
        <v>900</v>
      </c>
      <c r="U17" s="13">
        <f>_xll.BDH("AMGN US Equity","ADJUSTED_DA_EXPENSES","FQ2 2023","FQ2 2023","Currency=USD","Period=FQ","BEST_FPERIOD_OVERRIDE=FQ","FILING_STATUS=MR","SCALING_FORMAT=MLN","Sort=A","Dates=H","DateFormat=P","Fill=—","Direction=H","UseDPDF=Y")</f>
        <v>896</v>
      </c>
      <c r="V17" s="13">
        <f>_xll.BDH("AMGN US Equity","ADJUSTED_DA_EXPENSES","FQ3 2023","FQ3 2023","Currency=USD","Period=FQ","BEST_FPERIOD_OVERRIDE=FQ","FILING_STATUS=MR","SCALING_FORMAT=MLN","Sort=A","Dates=H","DateFormat=P","Fill=—","Direction=H","UseDPDF=Y")</f>
        <v>895</v>
      </c>
      <c r="W17" s="13">
        <f>_xll.BDH("AMGN US Equity","ADJUSTED_DA_EXPENSES","FQ4 2023","FQ4 2023","Currency=USD","Period=FQ","BEST_FPERIOD_OVERRIDE=FQ","FILING_STATUS=MR","SCALING_FORMAT=MLN","Sort=A","Dates=H","DateFormat=P","Fill=—","Direction=H","UseDPDF=Y")</f>
        <v>1380</v>
      </c>
      <c r="X17" s="13">
        <f>_xll.BDH("AMGN US Equity","ADJUSTED_DA_EXPENSES","FQ1 2024","FQ1 2024","Currency=USD","Period=FQ","BEST_FPERIOD_OVERRIDE=FQ","FILING_STATUS=MR","SCALING_FORMAT=MLN","Sort=A","Dates=H","DateFormat=P","Fill=—","Direction=H","UseDPDF=Y")</f>
        <v>1399</v>
      </c>
      <c r="Y17" s="13">
        <f>_xll.BDH("AMGN US Equity","ADJUSTED_DA_EXPENSES","FQ2 2024","FQ2 2024","Currency=USD","Period=FQ","BEST_FPERIOD_OVERRIDE=FQ","FILING_STATUS=MR","SCALING_FORMAT=MLN","Sort=A","Dates=H","DateFormat=P","Fill=—","Direction=H","UseDPDF=Y")</f>
        <v>1400</v>
      </c>
      <c r="Z17" s="13">
        <f>_xll.BDH("AMGN US Equity","ADJUSTED_DA_EXPENSES","FQ3 2024","FQ3 2024","Currency=USD","Period=FQ","BEST_FPERIOD_OVERRIDE=FQ","FILING_STATUS=MR","SCALING_FORMAT=MLN","Sort=A","Dates=H","DateFormat=P","Fill=—","Direction=H","UseDPDF=Y")</f>
        <v>1396</v>
      </c>
      <c r="AA17" s="13">
        <f>_xll.BDH("AMGN US Equity","ADJUSTED_DA_EXPENSES","FQ4 2024","FQ4 2024","Currency=USD","Period=FQ","BEST_FPERIOD_OVERRIDE=FQ","FILING_STATUS=MR","SCALING_FORMAT=MLN","Sort=A","Dates=H","DateFormat=P","Fill=—","Direction=H","UseDPDF=Y")</f>
        <v>1397</v>
      </c>
    </row>
    <row r="18" spans="1:27" x14ac:dyDescent="0.25">
      <c r="A18" s="10" t="s">
        <v>612</v>
      </c>
      <c r="B18" s="10" t="s">
        <v>613</v>
      </c>
      <c r="C18" s="13">
        <f>_xll.BDH("AMGN US Equity","COST_CAPITALIZED_OPERATING_LEAS","FQ4 2018","FQ4 2018","Currency=USD","Period=FQ","BEST_FPERIOD_OVERRIDE=FQ","FILING_STATUS=MR","SCALING_FORMAT=MLN","Sort=A","Dates=H","DateFormat=P","Fill=—","Direction=H","UseDPDF=Y")</f>
        <v>0</v>
      </c>
      <c r="D18" s="13">
        <f>_xll.BDH("AMGN US Equity","COST_CAPITALIZED_OPERATING_LEAS","FQ1 2019","FQ1 2019","Currency=USD","Period=FQ","BEST_FPERIOD_OVERRIDE=FQ","FILING_STATUS=MR","SCALING_FORMAT=MLN","Sort=A","Dates=H","DateFormat=P","Fill=—","Direction=H","UseDPDF=Y")</f>
        <v>40</v>
      </c>
      <c r="E18" s="13">
        <f>_xll.BDH("AMGN US Equity","COST_CAPITALIZED_OPERATING_LEAS","FQ2 2019","FQ2 2019","Currency=USD","Period=FQ","BEST_FPERIOD_OVERRIDE=FQ","FILING_STATUS=MR","SCALING_FORMAT=MLN","Sort=A","Dates=H","DateFormat=P","Fill=—","Direction=H","UseDPDF=Y")</f>
        <v>42</v>
      </c>
      <c r="F18" s="13">
        <f>_xll.BDH("AMGN US Equity","COST_CAPITALIZED_OPERATING_LEAS","FQ3 2019","FQ3 2019","Currency=USD","Period=FQ","BEST_FPERIOD_OVERRIDE=FQ","FILING_STATUS=MR","SCALING_FORMAT=MLN","Sort=A","Dates=H","DateFormat=P","Fill=—","Direction=H","UseDPDF=Y")</f>
        <v>42</v>
      </c>
      <c r="G18" s="13">
        <f>_xll.BDH("AMGN US Equity","COST_CAPITALIZED_OPERATING_LEAS","FQ4 2019","FQ4 2019","Currency=USD","Period=FQ","BEST_FPERIOD_OVERRIDE=FQ","FILING_STATUS=MR","SCALING_FORMAT=MLN","Sort=A","Dates=H","DateFormat=P","Fill=—","Direction=H","UseDPDF=Y")</f>
        <v>47</v>
      </c>
      <c r="H18" s="13">
        <f>_xll.BDH("AMGN US Equity","COST_CAPITALIZED_OPERATING_LEAS","FQ1 2020","FQ1 2020","Currency=USD","Period=FQ","BEST_FPERIOD_OVERRIDE=FQ","FILING_STATUS=MR","SCALING_FORMAT=MLN","Sort=A","Dates=H","DateFormat=P","Fill=—","Direction=H","UseDPDF=Y")</f>
        <v>0</v>
      </c>
      <c r="I18" s="13">
        <f>_xll.BDH("AMGN US Equity","COST_CAPITALIZED_OPERATING_LEAS","FQ2 2020","FQ2 2020","Currency=USD","Period=FQ","BEST_FPERIOD_OVERRIDE=FQ","FILING_STATUS=MR","SCALING_FORMAT=MLN","Sort=A","Dates=H","DateFormat=P","Fill=—","Direction=H","UseDPDF=Y")</f>
        <v>0</v>
      </c>
      <c r="J18" s="13">
        <f>_xll.BDH("AMGN US Equity","COST_CAPITALIZED_OPERATING_LEAS","FQ3 2020","FQ3 2020","Currency=USD","Period=FQ","BEST_FPERIOD_OVERRIDE=FQ","FILING_STATUS=MR","SCALING_FORMAT=MLN","Sort=A","Dates=H","DateFormat=P","Fill=—","Direction=H","UseDPDF=Y")</f>
        <v>0</v>
      </c>
      <c r="K18" s="13">
        <f>_xll.BDH("AMGN US Equity","COST_CAPITALIZED_OPERATING_LEAS","FQ4 2020","FQ4 2020","Currency=USD","Period=FQ","BEST_FPERIOD_OVERRIDE=FQ","FILING_STATUS=MR","SCALING_FORMAT=MLN","Sort=A","Dates=H","DateFormat=P","Fill=—","Direction=H","UseDPDF=Y")</f>
        <v>0</v>
      </c>
      <c r="L18" s="13">
        <f>_xll.BDH("AMGN US Equity","COST_CAPITALIZED_OPERATING_LEAS","FQ1 2021","FQ1 2021","Currency=USD","Period=FQ","BEST_FPERIOD_OVERRIDE=FQ","FILING_STATUS=MR","SCALING_FORMAT=MLN","Sort=A","Dates=H","DateFormat=P","Fill=—","Direction=H","UseDPDF=Y")</f>
        <v>0</v>
      </c>
      <c r="M18" s="13">
        <f>_xll.BDH("AMGN US Equity","COST_CAPITALIZED_OPERATING_LEAS","FQ2 2021","FQ2 2021","Currency=USD","Period=FQ","BEST_FPERIOD_OVERRIDE=FQ","FILING_STATUS=MR","SCALING_FORMAT=MLN","Sort=A","Dates=H","DateFormat=P","Fill=—","Direction=H","UseDPDF=Y")</f>
        <v>0</v>
      </c>
      <c r="N18" s="13">
        <f>_xll.BDH("AMGN US Equity","COST_CAPITALIZED_OPERATING_LEAS","FQ3 2021","FQ3 2021","Currency=USD","Period=FQ","BEST_FPERIOD_OVERRIDE=FQ","FILING_STATUS=MR","SCALING_FORMAT=MLN","Sort=A","Dates=H","DateFormat=P","Fill=—","Direction=H","UseDPDF=Y")</f>
        <v>0</v>
      </c>
      <c r="O18" s="13">
        <f>_xll.BDH("AMGN US Equity","COST_CAPITALIZED_OPERATING_LEAS","FQ4 2021","FQ4 2021","Currency=USD","Period=FQ","BEST_FPERIOD_OVERRIDE=FQ","FILING_STATUS=MR","SCALING_FORMAT=MLN","Sort=A","Dates=H","DateFormat=P","Fill=—","Direction=H","UseDPDF=Y")</f>
        <v>0</v>
      </c>
      <c r="P18" s="13">
        <f>_xll.BDH("AMGN US Equity","COST_CAPITALIZED_OPERATING_LEAS","FQ1 2022","FQ1 2022","Currency=USD","Period=FQ","BEST_FPERIOD_OVERRIDE=FQ","FILING_STATUS=MR","SCALING_FORMAT=MLN","Sort=A","Dates=H","DateFormat=P","Fill=—","Direction=H","UseDPDF=Y")</f>
        <v>0</v>
      </c>
      <c r="Q18" s="13">
        <f>_xll.BDH("AMGN US Equity","COST_CAPITALIZED_OPERATING_LEAS","FQ2 2022","FQ2 2022","Currency=USD","Period=FQ","BEST_FPERIOD_OVERRIDE=FQ","FILING_STATUS=MR","SCALING_FORMAT=MLN","Sort=A","Dates=H","DateFormat=P","Fill=—","Direction=H","UseDPDF=Y")</f>
        <v>0</v>
      </c>
      <c r="R18" s="13">
        <f>_xll.BDH("AMGN US Equity","COST_CAPITALIZED_OPERATING_LEAS","FQ3 2022","FQ3 2022","Currency=USD","Period=FQ","BEST_FPERIOD_OVERRIDE=FQ","FILING_STATUS=MR","SCALING_FORMAT=MLN","Sort=A","Dates=H","DateFormat=P","Fill=—","Direction=H","UseDPDF=Y")</f>
        <v>0</v>
      </c>
      <c r="S18" s="13">
        <f>_xll.BDH("AMGN US Equity","COST_CAPITALIZED_OPERATING_LEAS","FQ4 2022","FQ4 2022","Currency=USD","Period=FQ","BEST_FPERIOD_OVERRIDE=FQ","FILING_STATUS=MR","SCALING_FORMAT=MLN","Sort=A","Dates=H","DateFormat=P","Fill=—","Direction=H","UseDPDF=Y")</f>
        <v>0</v>
      </c>
      <c r="T18" s="13">
        <f>_xll.BDH("AMGN US Equity","COST_CAPITALIZED_OPERATING_LEAS","FQ1 2023","FQ1 2023","Currency=USD","Period=FQ","BEST_FPERIOD_OVERRIDE=FQ","FILING_STATUS=MR","SCALING_FORMAT=MLN","Sort=A","Dates=H","DateFormat=P","Fill=—","Direction=H","UseDPDF=Y")</f>
        <v>0</v>
      </c>
      <c r="U18" s="13">
        <f>_xll.BDH("AMGN US Equity","COST_CAPITALIZED_OPERATING_LEAS","FQ2 2023","FQ2 2023","Currency=USD","Period=FQ","BEST_FPERIOD_OVERRIDE=FQ","FILING_STATUS=MR","SCALING_FORMAT=MLN","Sort=A","Dates=H","DateFormat=P","Fill=—","Direction=H","UseDPDF=Y")</f>
        <v>0</v>
      </c>
      <c r="V18" s="13">
        <f>_xll.BDH("AMGN US Equity","COST_CAPITALIZED_OPERATING_LEAS","FQ3 2023","FQ3 2023","Currency=USD","Period=FQ","BEST_FPERIOD_OVERRIDE=FQ","FILING_STATUS=MR","SCALING_FORMAT=MLN","Sort=A","Dates=H","DateFormat=P","Fill=—","Direction=H","UseDPDF=Y")</f>
        <v>0</v>
      </c>
      <c r="W18" s="13">
        <f>_xll.BDH("AMGN US Equity","COST_CAPITALIZED_OPERATING_LEAS","FQ4 2023","FQ4 2023","Currency=USD","Period=FQ","BEST_FPERIOD_OVERRIDE=FQ","FILING_STATUS=MR","SCALING_FORMAT=MLN","Sort=A","Dates=H","DateFormat=P","Fill=—","Direction=H","UseDPDF=Y")</f>
        <v>0</v>
      </c>
      <c r="X18" s="13">
        <f>_xll.BDH("AMGN US Equity","COST_CAPITALIZED_OPERATING_LEAS","FQ1 2024","FQ1 2024","Currency=USD","Period=FQ","BEST_FPERIOD_OVERRIDE=FQ","FILING_STATUS=MR","SCALING_FORMAT=MLN","Sort=A","Dates=H","DateFormat=P","Fill=—","Direction=H","UseDPDF=Y")</f>
        <v>0</v>
      </c>
      <c r="Y18" s="13">
        <f>_xll.BDH("AMGN US Equity","COST_CAPITALIZED_OPERATING_LEAS","FQ2 2024","FQ2 2024","Currency=USD","Period=FQ","BEST_FPERIOD_OVERRIDE=FQ","FILING_STATUS=MR","SCALING_FORMAT=MLN","Sort=A","Dates=H","DateFormat=P","Fill=—","Direction=H","UseDPDF=Y")</f>
        <v>0</v>
      </c>
      <c r="Z18" s="13">
        <f>_xll.BDH("AMGN US Equity","COST_CAPITALIZED_OPERATING_LEAS","FQ3 2024","FQ3 2024","Currency=USD","Period=FQ","BEST_FPERIOD_OVERRIDE=FQ","FILING_STATUS=MR","SCALING_FORMAT=MLN","Sort=A","Dates=H","DateFormat=P","Fill=—","Direction=H","UseDPDF=Y")</f>
        <v>0</v>
      </c>
      <c r="AA18" s="13">
        <f>_xll.BDH("AMGN US Equity","COST_CAPITALIZED_OPERATING_LEAS","FQ4 2024","FQ4 2024","Currency=USD","Period=FQ","BEST_FPERIOD_OVERRIDE=FQ","FILING_STATUS=MR","SCALING_FORMAT=MLN","Sort=A","Dates=H","DateFormat=P","Fill=—","Direction=H","UseDPDF=Y")</f>
        <v>0</v>
      </c>
    </row>
    <row r="19" spans="1:27" x14ac:dyDescent="0.25">
      <c r="A19" s="6" t="s">
        <v>614</v>
      </c>
      <c r="B19" s="6" t="s">
        <v>78</v>
      </c>
      <c r="C19" s="19">
        <f>_xll.BDH("AMGN US Equity","EBITDA","FQ4 2018","FQ4 2018","Currency=USD","Period=FQ","BEST_FPERIOD_OVERRIDE=FQ","FILING_STATUS=MR","SCALING_FORMAT=MLN","FA_ADJUSTED=Adjusted","Sort=A","Dates=H","DateFormat=P","Fill=—","Direction=H","UseDPDF=Y")</f>
        <v>2893</v>
      </c>
      <c r="D19" s="19">
        <f>_xll.BDH("AMGN US Equity","EBITDA","FQ1 2019","FQ1 2019","Currency=USD","Period=FQ","BEST_FPERIOD_OVERRIDE=FQ","FILING_STATUS=MR","SCALING_FORMAT=MLN","FA_ADJUSTED=Adjusted","Sort=A","Dates=H","DateFormat=P","Fill=—","Direction=H","UseDPDF=Y")</f>
        <v>3005</v>
      </c>
      <c r="E19" s="19">
        <f>_xll.BDH("AMGN US Equity","EBITDA","FQ2 2019","FQ2 2019","Currency=USD","Period=FQ","BEST_FPERIOD_OVERRIDE=FQ","FILING_STATUS=MR","SCALING_FORMAT=MLN","FA_ADJUSTED=Adjusted","Sort=A","Dates=H","DateFormat=P","Fill=—","Direction=H","UseDPDF=Y")</f>
        <v>3218</v>
      </c>
      <c r="F19" s="19">
        <f>_xll.BDH("AMGN US Equity","EBITDA","FQ3 2019","FQ3 2019","Currency=USD","Period=FQ","BEST_FPERIOD_OVERRIDE=FQ","FILING_STATUS=MR","SCALING_FORMAT=MLN","FA_ADJUSTED=Adjusted","Sort=A","Dates=H","DateFormat=P","Fill=—","Direction=H","UseDPDF=Y")</f>
        <v>3026</v>
      </c>
      <c r="G19" s="19">
        <f>_xll.BDH("AMGN US Equity","EBITDA","FQ4 2019","FQ4 2019","Currency=USD","Period=FQ","BEST_FPERIOD_OVERRIDE=FQ","FILING_STATUS=MR","SCALING_FORMAT=MLN","FA_ADJUSTED=Adjusted","Sort=A","Dates=H","DateFormat=P","Fill=—","Direction=H","UseDPDF=Y")</f>
        <v>2870</v>
      </c>
      <c r="H19" s="19">
        <f>_xll.BDH("AMGN US Equity","EBITDA","FQ1 2020","FQ1 2020","Currency=USD","Period=FQ","BEST_FPERIOD_OVERRIDE=FQ","FILING_STATUS=MR","SCALING_FORMAT=MLN","FA_ADJUSTED=Adjusted","Sort=A","Dates=H","DateFormat=P","Fill=—","Direction=H","UseDPDF=Y")</f>
        <v>3277</v>
      </c>
      <c r="I19" s="19">
        <f>_xll.BDH("AMGN US Equity","EBITDA","FQ2 2020","FQ2 2020","Currency=USD","Period=FQ","BEST_FPERIOD_OVERRIDE=FQ","FILING_STATUS=MR","SCALING_FORMAT=MLN","FA_ADJUSTED=Adjusted","Sort=A","Dates=H","DateFormat=P","Fill=—","Direction=H","UseDPDF=Y")</f>
        <v>3353</v>
      </c>
      <c r="J19" s="19">
        <f>_xll.BDH("AMGN US Equity","EBITDA","FQ3 2020","FQ3 2020","Currency=USD","Period=FQ","BEST_FPERIOD_OVERRIDE=FQ","FILING_STATUS=MR","SCALING_FORMAT=MLN","FA_ADJUSTED=Adjusted","Sort=A","Dates=H","DateFormat=P","Fill=—","Direction=H","UseDPDF=Y")</f>
        <v>4083</v>
      </c>
      <c r="K19" s="19">
        <f>_xll.BDH("AMGN US Equity","EBITDA","FQ4 2020","FQ4 2020","Currency=USD","Period=FQ","BEST_FPERIOD_OVERRIDE=FQ","FILING_STATUS=MR","SCALING_FORMAT=MLN","FA_ADJUSTED=Adjusted","Sort=A","Dates=H","DateFormat=P","Fill=—","Direction=H","UseDPDF=Y")</f>
        <v>2946</v>
      </c>
      <c r="L19" s="19">
        <f>_xll.BDH("AMGN US Equity","EBITDA","FQ1 2021","FQ1 2021","Currency=USD","Period=FQ","BEST_FPERIOD_OVERRIDE=FQ","FILING_STATUS=MR","SCALING_FORMAT=MLN","FA_ADJUSTED=Adjusted","Sort=A","Dates=H","DateFormat=P","Fill=—","Direction=H","UseDPDF=Y")</f>
        <v>3705</v>
      </c>
      <c r="M19" s="19">
        <f>_xll.BDH("AMGN US Equity","EBITDA","FQ2 2021","FQ2 2021","Currency=USD","Period=FQ","BEST_FPERIOD_OVERRIDE=FQ","FILING_STATUS=MR","SCALING_FORMAT=MLN","FA_ADJUSTED=Adjusted","Sort=A","Dates=H","DateFormat=P","Fill=—","Direction=H","UseDPDF=Y")</f>
        <v>3966</v>
      </c>
      <c r="N19" s="19">
        <f>_xll.BDH("AMGN US Equity","EBITDA","FQ3 2021","FQ3 2021","Currency=USD","Period=FQ","BEST_FPERIOD_OVERRIDE=FQ","FILING_STATUS=MR","SCALING_FORMAT=MLN","FA_ADJUSTED=Adjusted","Sort=A","Dates=H","DateFormat=P","Fill=—","Direction=H","UseDPDF=Y")</f>
        <v>3255</v>
      </c>
      <c r="O19" s="19">
        <f>_xll.BDH("AMGN US Equity","EBITDA","FQ4 2021","FQ4 2021","Currency=USD","Period=FQ","BEST_FPERIOD_OVERRIDE=FQ","FILING_STATUS=MR","SCALING_FORMAT=MLN","FA_ADJUSTED=Adjusted","Sort=A","Dates=H","DateFormat=P","Fill=—","Direction=H","UseDPDF=Y")</f>
        <v>3098</v>
      </c>
      <c r="P19" s="19">
        <f>_xll.BDH("AMGN US Equity","EBITDA","FQ1 2022","FQ1 2022","Currency=USD","Period=FQ","BEST_FPERIOD_OVERRIDE=FQ","FILING_STATUS=MR","SCALING_FORMAT=MLN","FA_ADJUSTED=Adjusted","Sort=A","Dates=H","DateFormat=P","Fill=—","Direction=H","UseDPDF=Y")</f>
        <v>3981</v>
      </c>
      <c r="Q19" s="19">
        <f>_xll.BDH("AMGN US Equity","EBITDA","FQ2 2022","FQ2 2022","Currency=USD","Period=FQ","BEST_FPERIOD_OVERRIDE=FQ","FILING_STATUS=MR","SCALING_FORMAT=MLN","FA_ADJUSTED=Adjusted","Sort=A","Dates=H","DateFormat=P","Fill=—","Direction=H","UseDPDF=Y")</f>
        <v>4163</v>
      </c>
      <c r="R19" s="19">
        <f>_xll.BDH("AMGN US Equity","EBITDA","FQ3 2022","FQ3 2022","Currency=USD","Period=FQ","BEST_FPERIOD_OVERRIDE=FQ","FILING_STATUS=MR","SCALING_FORMAT=MLN","FA_ADJUSTED=Adjusted","Sort=A","Dates=H","DateFormat=P","Fill=—","Direction=H","UseDPDF=Y")</f>
        <v>3502</v>
      </c>
      <c r="S19" s="19">
        <f>_xll.BDH("AMGN US Equity","EBITDA","FQ4 2022","FQ4 2022","Currency=USD","Period=FQ","BEST_FPERIOD_OVERRIDE=FQ","FILING_STATUS=MR","SCALING_FORMAT=MLN","FA_ADJUSTED=Adjusted","Sort=A","Dates=H","DateFormat=P","Fill=—","Direction=H","UseDPDF=Y")</f>
        <v>3107</v>
      </c>
      <c r="T19" s="19">
        <f>_xll.BDH("AMGN US Equity","EBITDA","FQ1 2023","FQ1 2023","Currency=USD","Period=FQ","BEST_FPERIOD_OVERRIDE=FQ","FILING_STATUS=MR","SCALING_FORMAT=MLN","FA_ADJUSTED=Adjusted","Sort=A","Dates=H","DateFormat=P","Fill=—","Direction=H","UseDPDF=Y")</f>
        <v>3721</v>
      </c>
      <c r="U19" s="19">
        <f>_xll.BDH("AMGN US Equity","EBITDA","FQ2 2023","FQ2 2023","Currency=USD","Period=FQ","BEST_FPERIOD_OVERRIDE=FQ","FILING_STATUS=MR","SCALING_FORMAT=MLN","FA_ADJUSTED=Adjusted","Sort=A","Dates=H","DateFormat=P","Fill=—","Direction=H","UseDPDF=Y")</f>
        <v>3622</v>
      </c>
      <c r="V19" s="19">
        <f>_xll.BDH("AMGN US Equity","EBITDA","FQ3 2023","FQ3 2023","Currency=USD","Period=FQ","BEST_FPERIOD_OVERRIDE=FQ","FILING_STATUS=MR","SCALING_FORMAT=MLN","FA_ADJUSTED=Adjusted","Sort=A","Dates=H","DateFormat=P","Fill=—","Direction=H","UseDPDF=Y")</f>
        <v>3579</v>
      </c>
      <c r="W19" s="19">
        <f>_xll.BDH("AMGN US Equity","EBITDA","FQ4 2023","FQ4 2023","Currency=USD","Period=FQ","BEST_FPERIOD_OVERRIDE=FQ","FILING_STATUS=MR","SCALING_FORMAT=MLN","FA_ADJUSTED=Adjusted","Sort=A","Dates=H","DateFormat=P","Fill=—","Direction=H","UseDPDF=Y")</f>
        <v>3178</v>
      </c>
      <c r="X19" s="19">
        <f>_xll.BDH("AMGN US Equity","EBITDA","FQ1 2024","FQ1 2024","Currency=USD","Period=FQ","BEST_FPERIOD_OVERRIDE=FQ","FILING_STATUS=MR","SCALING_FORMAT=MLN","FA_ADJUSTED=Adjusted","Sort=A","Dates=H","DateFormat=P","Fill=—","Direction=H","UseDPDF=Y")</f>
        <v>2495</v>
      </c>
      <c r="Y19" s="19">
        <f>_xll.BDH("AMGN US Equity","EBITDA","FQ2 2024","FQ2 2024","Currency=USD","Period=FQ","BEST_FPERIOD_OVERRIDE=FQ","FILING_STATUS=MR","SCALING_FORMAT=MLN","FA_ADJUSTED=Adjusted","Sort=A","Dates=H","DateFormat=P","Fill=—","Direction=H","UseDPDF=Y")</f>
        <v>3443</v>
      </c>
      <c r="Z19" s="19">
        <f>_xll.BDH("AMGN US Equity","EBITDA","FQ3 2024","FQ3 2024","Currency=USD","Period=FQ","BEST_FPERIOD_OVERRIDE=FQ","FILING_STATUS=MR","SCALING_FORMAT=MLN","FA_ADJUSTED=Adjusted","Sort=A","Dates=H","DateFormat=P","Fill=—","Direction=H","UseDPDF=Y")</f>
        <v>3584</v>
      </c>
      <c r="AA19" s="19">
        <f>_xll.BDH("AMGN US Equity","EBITDA","FQ4 2024","FQ4 2024","Currency=USD","Period=FQ","BEST_FPERIOD_OVERRIDE=FQ","FILING_STATUS=MR","SCALING_FORMAT=MLN","FA_ADJUSTED=Adjusted","Sort=A","Dates=H","DateFormat=P","Fill=—","Direction=H","UseDPDF=Y")</f>
        <v>3854</v>
      </c>
    </row>
    <row r="20" spans="1:27" x14ac:dyDescent="0.25">
      <c r="A20" s="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x14ac:dyDescent="0.25">
      <c r="A21" s="6" t="s">
        <v>615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x14ac:dyDescent="0.25">
      <c r="A22" s="6" t="s">
        <v>592</v>
      </c>
      <c r="B22" s="6" t="s">
        <v>99</v>
      </c>
      <c r="C22" s="19">
        <f>_xll.BDH("AMGN US Equity","IS_OPER_INC","FQ4 2018","FQ4 2018","Currency=USD","Period=FQ","BEST_FPERIOD_OVERRIDE=FQ","FILING_STATUS=MR","SCALING_FORMAT=MLN","FA_ADJUSTED=GAAP","Sort=A","Dates=H","DateFormat=P","Fill=—","Direction=H","UseDPDF=Y")</f>
        <v>2382</v>
      </c>
      <c r="D22" s="19">
        <f>_xll.BDH("AMGN US Equity","IS_OPER_INC","FQ1 2019","FQ1 2019","Currency=USD","Period=FQ","BEST_FPERIOD_OVERRIDE=FQ","FILING_STATUS=MR","SCALING_FORMAT=MLN","FA_ADJUSTED=GAAP","Sort=A","Dates=H","DateFormat=P","Fill=—","Direction=H","UseDPDF=Y")</f>
        <v>2472</v>
      </c>
      <c r="E22" s="19">
        <f>_xll.BDH("AMGN US Equity","IS_OPER_INC","FQ2 2019","FQ2 2019","Currency=USD","Period=FQ","BEST_FPERIOD_OVERRIDE=FQ","FILING_STATUS=MR","SCALING_FORMAT=MLN","FA_ADJUSTED=GAAP","Sort=A","Dates=H","DateFormat=P","Fill=—","Direction=H","UseDPDF=Y")</f>
        <v>2678</v>
      </c>
      <c r="F22" s="19">
        <f>_xll.BDH("AMGN US Equity","IS_OPER_INC","FQ3 2019","FQ3 2019","Currency=USD","Period=FQ","BEST_FPERIOD_OVERRIDE=FQ","FILING_STATUS=MR","SCALING_FORMAT=MLN","FA_ADJUSTED=GAAP","Sort=A","Dates=H","DateFormat=P","Fill=—","Direction=H","UseDPDF=Y")</f>
        <v>2476</v>
      </c>
      <c r="G22" s="19">
        <f>_xll.BDH("AMGN US Equity","IS_OPER_INC","FQ4 2019","FQ4 2019","Currency=USD","Period=FQ","BEST_FPERIOD_OVERRIDE=FQ","FILING_STATUS=MR","SCALING_FORMAT=MLN","FA_ADJUSTED=GAAP","Sort=A","Dates=H","DateFormat=P","Fill=—","Direction=H","UseDPDF=Y")</f>
        <v>2048</v>
      </c>
      <c r="H22" s="19">
        <f>_xll.BDH("AMGN US Equity","IS_OPER_INC","FQ1 2020","FQ1 2020","Currency=USD","Period=FQ","BEST_FPERIOD_OVERRIDE=FQ","FILING_STATUS=MR","SCALING_FORMAT=MLN","FA_ADJUSTED=GAAP","Sort=A","Dates=H","DateFormat=P","Fill=—","Direction=H","UseDPDF=Y")</f>
        <v>2355</v>
      </c>
      <c r="I22" s="19">
        <f>_xll.BDH("AMGN US Equity","IS_OPER_INC","FQ2 2020","FQ2 2020","Currency=USD","Period=FQ","BEST_FPERIOD_OVERRIDE=FQ","FILING_STATUS=MR","SCALING_FORMAT=MLN","FA_ADJUSTED=GAAP","Sort=A","Dates=H","DateFormat=P","Fill=—","Direction=H","UseDPDF=Y")</f>
        <v>2323</v>
      </c>
      <c r="J22" s="19">
        <f>_xll.BDH("AMGN US Equity","IS_OPER_INC","FQ3 2020","FQ3 2020","Currency=USD","Period=FQ","BEST_FPERIOD_OVERRIDE=FQ","FILING_STATUS=MR","SCALING_FORMAT=MLN","FA_ADJUSTED=GAAP","Sort=A","Dates=H","DateFormat=P","Fill=—","Direction=H","UseDPDF=Y")</f>
        <v>2453</v>
      </c>
      <c r="K22" s="19">
        <f>_xll.BDH("AMGN US Equity","IS_OPER_INC","FQ4 2020","FQ4 2020","Currency=USD","Period=FQ","BEST_FPERIOD_OVERRIDE=FQ","FILING_STATUS=MR","SCALING_FORMAT=MLN","FA_ADJUSTED=GAAP","Sort=A","Dates=H","DateFormat=P","Fill=—","Direction=H","UseDPDF=Y")</f>
        <v>2008</v>
      </c>
      <c r="L22" s="19">
        <f>_xll.BDH("AMGN US Equity","IS_OPER_INC","FQ1 2021","FQ1 2021","Currency=USD","Period=FQ","BEST_FPERIOD_OVERRIDE=FQ","FILING_STATUS=MR","SCALING_FORMAT=MLN","FA_ADJUSTED=GAAP","Sort=A","Dates=H","DateFormat=P","Fill=—","Direction=H","UseDPDF=Y")</f>
        <v>2129</v>
      </c>
      <c r="M22" s="19">
        <f>_xll.BDH("AMGN US Equity","IS_OPER_INC","FQ2 2021","FQ2 2021","Currency=USD","Period=FQ","BEST_FPERIOD_OVERRIDE=FQ","FILING_STATUS=MR","SCALING_FORMAT=MLN","FA_ADJUSTED=GAAP","Sort=A","Dates=H","DateFormat=P","Fill=—","Direction=H","UseDPDF=Y")</f>
        <v>828</v>
      </c>
      <c r="N22" s="19">
        <f>_xll.BDH("AMGN US Equity","IS_OPER_INC","FQ3 2021","FQ3 2021","Currency=USD","Period=FQ","BEST_FPERIOD_OVERRIDE=FQ","FILING_STATUS=MR","SCALING_FORMAT=MLN","FA_ADJUSTED=GAAP","Sort=A","Dates=H","DateFormat=P","Fill=—","Direction=H","UseDPDF=Y")</f>
        <v>2378</v>
      </c>
      <c r="O22" s="19">
        <f>_xll.BDH("AMGN US Equity","IS_OPER_INC","FQ4 2021","FQ4 2021","Currency=USD","Period=FQ","BEST_FPERIOD_OVERRIDE=FQ","FILING_STATUS=MR","SCALING_FORMAT=MLN","FA_ADJUSTED=GAAP","Sort=A","Dates=H","DateFormat=P","Fill=—","Direction=H","UseDPDF=Y")</f>
        <v>2304</v>
      </c>
      <c r="P22" s="19">
        <f>_xll.BDH("AMGN US Equity","IS_OPER_INC","FQ1 2022","FQ1 2022","Currency=USD","Period=FQ","BEST_FPERIOD_OVERRIDE=FQ","FILING_STATUS=MR","SCALING_FORMAT=MLN","FA_ADJUSTED=GAAP","Sort=A","Dates=H","DateFormat=P","Fill=—","Direction=H","UseDPDF=Y")</f>
        <v>2500</v>
      </c>
      <c r="Q22" s="19">
        <f>_xll.BDH("AMGN US Equity","IS_OPER_INC","FQ2 2022","FQ2 2022","Currency=USD","Period=FQ","BEST_FPERIOD_OVERRIDE=FQ","FILING_STATUS=MR","SCALING_FORMAT=MLN","FA_ADJUSTED=GAAP","Sort=A","Dates=H","DateFormat=P","Fill=—","Direction=H","UseDPDF=Y")</f>
        <v>2176</v>
      </c>
      <c r="R22" s="19">
        <f>_xll.BDH("AMGN US Equity","IS_OPER_INC","FQ3 2022","FQ3 2022","Currency=USD","Period=FQ","BEST_FPERIOD_OVERRIDE=FQ","FILING_STATUS=MR","SCALING_FORMAT=MLN","FA_ADJUSTED=GAAP","Sort=A","Dates=H","DateFormat=P","Fill=—","Direction=H","UseDPDF=Y")</f>
        <v>2660</v>
      </c>
      <c r="S22" s="19">
        <f>_xll.BDH("AMGN US Equity","IS_OPER_INC","FQ4 2022","FQ4 2022","Currency=USD","Period=FQ","BEST_FPERIOD_OVERRIDE=FQ","FILING_STATUS=MR","SCALING_FORMAT=MLN","FA_ADJUSTED=GAAP","Sort=A","Dates=H","DateFormat=P","Fill=—","Direction=H","UseDPDF=Y")</f>
        <v>2230</v>
      </c>
      <c r="T22" s="19">
        <f>_xll.BDH("AMGN US Equity","IS_OPER_INC","FQ1 2023","FQ1 2023","Currency=USD","Period=FQ","BEST_FPERIOD_OVERRIDE=FQ","FILING_STATUS=MR","SCALING_FORMAT=MLN","FA_ADJUSTED=GAAP","Sort=A","Dates=H","DateFormat=P","Fill=—","Direction=H","UseDPDF=Y")</f>
        <v>1921</v>
      </c>
      <c r="U22" s="19">
        <f>_xll.BDH("AMGN US Equity","IS_OPER_INC","FQ2 2023","FQ2 2023","Currency=USD","Period=FQ","BEST_FPERIOD_OVERRIDE=FQ","FILING_STATUS=MR","SCALING_FORMAT=MLN","FA_ADJUSTED=GAAP","Sort=A","Dates=H","DateFormat=P","Fill=—","Direction=H","UseDPDF=Y")</f>
        <v>2684</v>
      </c>
      <c r="V22" s="19">
        <f>_xll.BDH("AMGN US Equity","IS_OPER_INC","FQ3 2023","FQ3 2023","Currency=USD","Period=FQ","BEST_FPERIOD_OVERRIDE=FQ","FILING_STATUS=MR","SCALING_FORMAT=MLN","FA_ADJUSTED=GAAP","Sort=A","Dates=H","DateFormat=P","Fill=—","Direction=H","UseDPDF=Y")</f>
        <v>2021</v>
      </c>
      <c r="W22" s="19">
        <f>_xll.BDH("AMGN US Equity","IS_OPER_INC","FQ4 2023","FQ4 2023","Currency=USD","Period=FQ","BEST_FPERIOD_OVERRIDE=FQ","FILING_STATUS=MR","SCALING_FORMAT=MLN","FA_ADJUSTED=GAAP","Sort=A","Dates=H","DateFormat=P","Fill=—","Direction=H","UseDPDF=Y")</f>
        <v>1271</v>
      </c>
      <c r="X22" s="19">
        <f>_xll.BDH("AMGN US Equity","IS_OPER_INC","FQ1 2024","FQ1 2024","Currency=USD","Period=FQ","BEST_FPERIOD_OVERRIDE=FQ","FILING_STATUS=MR","SCALING_FORMAT=MLN","FA_ADJUSTED=GAAP","Sort=A","Dates=H","DateFormat=P","Fill=—","Direction=H","UseDPDF=Y")</f>
        <v>991</v>
      </c>
      <c r="Y22" s="19">
        <f>_xll.BDH("AMGN US Equity","IS_OPER_INC","FQ2 2024","FQ2 2024","Currency=USD","Period=FQ","BEST_FPERIOD_OVERRIDE=FQ","FILING_STATUS=MR","SCALING_FORMAT=MLN","FA_ADJUSTED=GAAP","Sort=A","Dates=H","DateFormat=P","Fill=—","Direction=H","UseDPDF=Y")</f>
        <v>1909</v>
      </c>
      <c r="Z22" s="19">
        <f>_xll.BDH("AMGN US Equity","IS_OPER_INC","FQ3 2024","FQ3 2024","Currency=USD","Period=FQ","BEST_FPERIOD_OVERRIDE=FQ","FILING_STATUS=MR","SCALING_FORMAT=MLN","FA_ADJUSTED=GAAP","Sort=A","Dates=H","DateFormat=P","Fill=—","Direction=H","UseDPDF=Y")</f>
        <v>2047</v>
      </c>
      <c r="AA22" s="19">
        <f>_xll.BDH("AMGN US Equity","IS_OPER_INC","FQ4 2024","FQ4 2024","Currency=USD","Period=FQ","BEST_FPERIOD_OVERRIDE=FQ","FILING_STATUS=MR","SCALING_FORMAT=MLN","FA_ADJUSTED=GAAP","Sort=A","Dates=H","DateFormat=P","Fill=—","Direction=H","UseDPDF=Y")</f>
        <v>2311</v>
      </c>
    </row>
    <row r="23" spans="1:27" x14ac:dyDescent="0.25">
      <c r="A23" s="10" t="s">
        <v>616</v>
      </c>
      <c r="B23" s="10" t="s">
        <v>617</v>
      </c>
      <c r="C23" s="13" t="str">
        <f>_xll.BDH("AMGN US Equity","IS_AIP_RD_EXPENSE_OPERATING","FQ4 2018","FQ4 2018","Currency=USD","Period=FQ","BEST_FPERIOD_OVERRIDE=FQ","FILING_STATUS=MR","SCALING_FORMAT=MLN","Sort=A","Dates=H","DateFormat=P","Fill=—","Direction=H","UseDPDF=Y")</f>
        <v>—</v>
      </c>
      <c r="D23" s="13" t="str">
        <f>_xll.BDH("AMGN US Equity","IS_AIP_RD_EXPENSE_OPERATING","FQ1 2019","FQ1 2019","Currency=USD","Period=FQ","BEST_FPERIOD_OVERRIDE=FQ","FILING_STATUS=MR","SCALING_FORMAT=MLN","Sort=A","Dates=H","DateFormat=P","Fill=—","Direction=H","UseDPDF=Y")</f>
        <v>—</v>
      </c>
      <c r="E23" s="13" t="str">
        <f>_xll.BDH("AMGN US Equity","IS_AIP_RD_EXPENSE_OPERATING","FQ2 2019","FQ2 2019","Currency=USD","Period=FQ","BEST_FPERIOD_OVERRIDE=FQ","FILING_STATUS=MR","SCALING_FORMAT=MLN","Sort=A","Dates=H","DateFormat=P","Fill=—","Direction=H","UseDPDF=Y")</f>
        <v>—</v>
      </c>
      <c r="F23" s="13" t="str">
        <f>_xll.BDH("AMGN US Equity","IS_AIP_RD_EXPENSE_OPERATING","FQ3 2019","FQ3 2019","Currency=USD","Period=FQ","BEST_FPERIOD_OVERRIDE=FQ","FILING_STATUS=MR","SCALING_FORMAT=MLN","Sort=A","Dates=H","DateFormat=P","Fill=—","Direction=H","UseDPDF=Y")</f>
        <v>—</v>
      </c>
      <c r="G23" s="13" t="str">
        <f>_xll.BDH("AMGN US Equity","IS_AIP_RD_EXPENSE_OPERATING","FQ4 2019","FQ4 2019","Currency=USD","Period=FQ","BEST_FPERIOD_OVERRIDE=FQ","FILING_STATUS=MR","SCALING_FORMAT=MLN","Sort=A","Dates=H","DateFormat=P","Fill=—","Direction=H","UseDPDF=Y")</f>
        <v>—</v>
      </c>
      <c r="H23" s="13" t="str">
        <f>_xll.BDH("AMGN US Equity","IS_AIP_RD_EXPENSE_OPERATING","FQ1 2020","FQ1 2020","Currency=USD","Period=FQ","BEST_FPERIOD_OVERRIDE=FQ","FILING_STATUS=MR","SCALING_FORMAT=MLN","Sort=A","Dates=H","DateFormat=P","Fill=—","Direction=H","UseDPDF=Y")</f>
        <v>—</v>
      </c>
      <c r="I23" s="13" t="str">
        <f>_xll.BDH("AMGN US Equity","IS_AIP_RD_EXPENSE_OPERATING","FQ2 2020","FQ2 2020","Currency=USD","Period=FQ","BEST_FPERIOD_OVERRIDE=FQ","FILING_STATUS=MR","SCALING_FORMAT=MLN","Sort=A","Dates=H","DateFormat=P","Fill=—","Direction=H","UseDPDF=Y")</f>
        <v>—</v>
      </c>
      <c r="J23" s="13" t="str">
        <f>_xll.BDH("AMGN US Equity","IS_AIP_RD_EXPENSE_OPERATING","FQ3 2020","FQ3 2020","Currency=USD","Period=FQ","BEST_FPERIOD_OVERRIDE=FQ","FILING_STATUS=MR","SCALING_FORMAT=MLN","Sort=A","Dates=H","DateFormat=P","Fill=—","Direction=H","UseDPDF=Y")</f>
        <v>—</v>
      </c>
      <c r="K23" s="13" t="str">
        <f>_xll.BDH("AMGN US Equity","IS_AIP_RD_EXPENSE_OPERATING","FQ4 2020","FQ4 2020","Currency=USD","Period=FQ","BEST_FPERIOD_OVERRIDE=FQ","FILING_STATUS=MR","SCALING_FORMAT=MLN","Sort=A","Dates=H","DateFormat=P","Fill=—","Direction=H","UseDPDF=Y")</f>
        <v>—</v>
      </c>
      <c r="L23" s="13" t="str">
        <f>_xll.BDH("AMGN US Equity","IS_AIP_RD_EXPENSE_OPERATING","FQ1 2021","FQ1 2021","Currency=USD","Period=FQ","BEST_FPERIOD_OVERRIDE=FQ","FILING_STATUS=MR","SCALING_FORMAT=MLN","Sort=A","Dates=H","DateFormat=P","Fill=—","Direction=H","UseDPDF=Y")</f>
        <v>—</v>
      </c>
      <c r="M23" s="13">
        <f>_xll.BDH("AMGN US Equity","IS_AIP_RD_EXPENSE_OPERATING","FQ2 2021","FQ2 2021","Currency=USD","Period=FQ","BEST_FPERIOD_OVERRIDE=FQ","FILING_STATUS=MR","SCALING_FORMAT=MLN","Sort=A","Dates=H","DateFormat=P","Fill=—","Direction=H","UseDPDF=Y")</f>
        <v>1505</v>
      </c>
      <c r="N23" s="13" t="str">
        <f>_xll.BDH("AMGN US Equity","IS_AIP_RD_EXPENSE_OPERATING","FQ3 2021","FQ3 2021","Currency=USD","Period=FQ","BEST_FPERIOD_OVERRIDE=FQ","FILING_STATUS=MR","SCALING_FORMAT=MLN","Sort=A","Dates=H","DateFormat=P","Fill=—","Direction=H","UseDPDF=Y")</f>
        <v>—</v>
      </c>
      <c r="O23" s="13" t="str">
        <f>_xll.BDH("AMGN US Equity","IS_AIP_RD_EXPENSE_OPERATING","FQ4 2021","FQ4 2021","Currency=USD","Period=FQ","BEST_FPERIOD_OVERRIDE=FQ","FILING_STATUS=MR","SCALING_FORMAT=MLN","Sort=A","Dates=H","DateFormat=P","Fill=—","Direction=H","UseDPDF=Y")</f>
        <v>—</v>
      </c>
      <c r="P23" s="13" t="str">
        <f>_xll.BDH("AMGN US Equity","IS_AIP_RD_EXPENSE_OPERATING","FQ1 2022","FQ1 2022","Currency=USD","Period=FQ","BEST_FPERIOD_OVERRIDE=FQ","FILING_STATUS=MR","SCALING_FORMAT=MLN","Sort=A","Dates=H","DateFormat=P","Fill=—","Direction=H","UseDPDF=Y")</f>
        <v>—</v>
      </c>
      <c r="Q23" s="13" t="str">
        <f>_xll.BDH("AMGN US Equity","IS_AIP_RD_EXPENSE_OPERATING","FQ2 2022","FQ2 2022","Currency=USD","Period=FQ","BEST_FPERIOD_OVERRIDE=FQ","FILING_STATUS=MR","SCALING_FORMAT=MLN","Sort=A","Dates=H","DateFormat=P","Fill=—","Direction=H","UseDPDF=Y")</f>
        <v>—</v>
      </c>
      <c r="R23" s="13" t="str">
        <f>_xll.BDH("AMGN US Equity","IS_AIP_RD_EXPENSE_OPERATING","FQ3 2022","FQ3 2022","Currency=USD","Period=FQ","BEST_FPERIOD_OVERRIDE=FQ","FILING_STATUS=MR","SCALING_FORMAT=MLN","Sort=A","Dates=H","DateFormat=P","Fill=—","Direction=H","UseDPDF=Y")</f>
        <v>—</v>
      </c>
      <c r="S23" s="13" t="str">
        <f>_xll.BDH("AMGN US Equity","IS_AIP_RD_EXPENSE_OPERATING","FQ4 2022","FQ4 2022","Currency=USD","Period=FQ","BEST_FPERIOD_OVERRIDE=FQ","FILING_STATUS=MR","SCALING_FORMAT=MLN","Sort=A","Dates=H","DateFormat=P","Fill=—","Direction=H","UseDPDF=Y")</f>
        <v>—</v>
      </c>
      <c r="T23" s="13" t="str">
        <f>_xll.BDH("AMGN US Equity","IS_AIP_RD_EXPENSE_OPERATING","FQ1 2023","FQ1 2023","Currency=USD","Period=FQ","BEST_FPERIOD_OVERRIDE=FQ","FILING_STATUS=MR","SCALING_FORMAT=MLN","Sort=A","Dates=H","DateFormat=P","Fill=—","Direction=H","UseDPDF=Y")</f>
        <v>—</v>
      </c>
      <c r="U23" s="13" t="str">
        <f>_xll.BDH("AMGN US Equity","IS_AIP_RD_EXPENSE_OPERATING","FQ2 2023","FQ2 2023","Currency=USD","Period=FQ","BEST_FPERIOD_OVERRIDE=FQ","FILING_STATUS=MR","SCALING_FORMAT=MLN","Sort=A","Dates=H","DateFormat=P","Fill=—","Direction=H","UseDPDF=Y")</f>
        <v>—</v>
      </c>
      <c r="V23" s="13" t="str">
        <f>_xll.BDH("AMGN US Equity","IS_AIP_RD_EXPENSE_OPERATING","FQ3 2023","FQ3 2023","Currency=USD","Period=FQ","BEST_FPERIOD_OVERRIDE=FQ","FILING_STATUS=MR","SCALING_FORMAT=MLN","Sort=A","Dates=H","DateFormat=P","Fill=—","Direction=H","UseDPDF=Y")</f>
        <v>—</v>
      </c>
      <c r="W23" s="13" t="str">
        <f>_xll.BDH("AMGN US Equity","IS_AIP_RD_EXPENSE_OPERATING","FQ4 2023","FQ4 2023","Currency=USD","Period=FQ","BEST_FPERIOD_OVERRIDE=FQ","FILING_STATUS=MR","SCALING_FORMAT=MLN","Sort=A","Dates=H","DateFormat=P","Fill=—","Direction=H","UseDPDF=Y")</f>
        <v>—</v>
      </c>
      <c r="X23" s="13" t="str">
        <f>_xll.BDH("AMGN US Equity","IS_AIP_RD_EXPENSE_OPERATING","FQ1 2024","FQ1 2024","Currency=USD","Period=FQ","BEST_FPERIOD_OVERRIDE=FQ","FILING_STATUS=MR","SCALING_FORMAT=MLN","Sort=A","Dates=H","DateFormat=P","Fill=—","Direction=H","UseDPDF=Y")</f>
        <v>—</v>
      </c>
      <c r="Y23" s="13" t="str">
        <f>_xll.BDH("AMGN US Equity","IS_AIP_RD_EXPENSE_OPERATING","FQ2 2024","FQ2 2024","Currency=USD","Period=FQ","BEST_FPERIOD_OVERRIDE=FQ","FILING_STATUS=MR","SCALING_FORMAT=MLN","Sort=A","Dates=H","DateFormat=P","Fill=—","Direction=H","UseDPDF=Y")</f>
        <v>—</v>
      </c>
      <c r="Z23" s="13" t="str">
        <f>_xll.BDH("AMGN US Equity","IS_AIP_RD_EXPENSE_OPERATING","FQ3 2024","FQ3 2024","Currency=USD","Period=FQ","BEST_FPERIOD_OVERRIDE=FQ","FILING_STATUS=MR","SCALING_FORMAT=MLN","Sort=A","Dates=H","DateFormat=P","Fill=—","Direction=H","UseDPDF=Y")</f>
        <v>—</v>
      </c>
      <c r="AA23" s="13" t="str">
        <f>_xll.BDH("AMGN US Equity","IS_AIP_RD_EXPENSE_OPERATING","FQ4 2024","FQ4 2024","Currency=USD","Period=FQ","BEST_FPERIOD_OVERRIDE=FQ","FILING_STATUS=MR","SCALING_FORMAT=MLN","Sort=A","Dates=H","DateFormat=P","Fill=—","Direction=H","UseDPDF=Y")</f>
        <v>—</v>
      </c>
    </row>
    <row r="24" spans="1:27" x14ac:dyDescent="0.25">
      <c r="A24" s="10" t="s">
        <v>618</v>
      </c>
      <c r="B24" s="10" t="s">
        <v>619</v>
      </c>
      <c r="C24" s="13">
        <f>_xll.BDH("AMGN US Equity","IS_MERGER_ACQ_EXPENSE_OPERATING","FQ4 2018","FQ4 2018","Currency=USD","Period=FQ","BEST_FPERIOD_OVERRIDE=FQ","FILING_STATUS=MR","SCALING_FORMAT=MLN","Sort=A","Dates=H","DateFormat=P","Fill=—","Direction=H","UseDPDF=Y")</f>
        <v>10</v>
      </c>
      <c r="D24" s="13">
        <f>_xll.BDH("AMGN US Equity","IS_MERGER_ACQ_EXPENSE_OPERATING","FQ1 2019","FQ1 2019","Currency=USD","Period=FQ","BEST_FPERIOD_OVERRIDE=FQ","FILING_STATUS=MR","SCALING_FORMAT=MLN","Sort=A","Dates=H","DateFormat=P","Fill=—","Direction=H","UseDPDF=Y")</f>
        <v>-2</v>
      </c>
      <c r="E24" s="13">
        <f>_xll.BDH("AMGN US Equity","IS_MERGER_ACQ_EXPENSE_OPERATING","FQ2 2019","FQ2 2019","Currency=USD","Period=FQ","BEST_FPERIOD_OVERRIDE=FQ","FILING_STATUS=MR","SCALING_FORMAT=MLN","Sort=A","Dates=H","DateFormat=P","Fill=—","Direction=H","UseDPDF=Y")</f>
        <v>-2</v>
      </c>
      <c r="F24" s="13">
        <f>_xll.BDH("AMGN US Equity","IS_MERGER_ACQ_EXPENSE_OPERATING","FQ3 2019","FQ3 2019","Currency=USD","Period=FQ","BEST_FPERIOD_OVERRIDE=FQ","FILING_STATUS=MR","SCALING_FORMAT=MLN","Sort=A","Dates=H","DateFormat=P","Fill=—","Direction=H","UseDPDF=Y")</f>
        <v>1</v>
      </c>
      <c r="G24" s="13">
        <f>_xll.BDH("AMGN US Equity","IS_MERGER_ACQ_EXPENSE_OPERATING","FQ4 2019","FQ4 2019","Currency=USD","Period=FQ","BEST_FPERIOD_OVERRIDE=FQ","FILING_STATUS=MR","SCALING_FORMAT=MLN","Sort=A","Dates=H","DateFormat=P","Fill=—","Direction=H","UseDPDF=Y")</f>
        <v>25</v>
      </c>
      <c r="H24" s="13">
        <f>_xll.BDH("AMGN US Equity","IS_MERGER_ACQ_EXPENSE_OPERATING","FQ1 2020","FQ1 2020","Currency=USD","Period=FQ","BEST_FPERIOD_OVERRIDE=FQ","FILING_STATUS=MR","SCALING_FORMAT=MLN","Sort=A","Dates=H","DateFormat=P","Fill=—","Direction=H","UseDPDF=Y")</f>
        <v>27</v>
      </c>
      <c r="I24" s="13" t="str">
        <f>_xll.BDH("AMGN US Equity","IS_MERGER_ACQ_EXPENSE_OPERATING","FQ2 2020","FQ2 2020","Currency=USD","Period=FQ","BEST_FPERIOD_OVERRIDE=FQ","FILING_STATUS=MR","SCALING_FORMAT=MLN","Sort=A","Dates=H","DateFormat=P","Fill=—","Direction=H","UseDPDF=Y")</f>
        <v>—</v>
      </c>
      <c r="J24" s="13">
        <f>_xll.BDH("AMGN US Equity","IS_MERGER_ACQ_EXPENSE_OPERATING","FQ3 2020","FQ3 2020","Currency=USD","Period=FQ","BEST_FPERIOD_OVERRIDE=FQ","FILING_STATUS=MR","SCALING_FORMAT=MLN","Sort=A","Dates=H","DateFormat=P","Fill=—","Direction=H","UseDPDF=Y")</f>
        <v>727</v>
      </c>
      <c r="K24" s="13" t="str">
        <f>_xll.BDH("AMGN US Equity","IS_MERGER_ACQ_EXPENSE_OPERATING","FQ4 2020","FQ4 2020","Currency=USD","Period=FQ","BEST_FPERIOD_OVERRIDE=FQ","FILING_STATUS=MR","SCALING_FORMAT=MLN","Sort=A","Dates=H","DateFormat=P","Fill=—","Direction=H","UseDPDF=Y")</f>
        <v>—</v>
      </c>
      <c r="L24" s="13">
        <f>_xll.BDH("AMGN US Equity","IS_MERGER_ACQ_EXPENSE_OPERATING","FQ1 2021","FQ1 2021","Currency=USD","Period=FQ","BEST_FPERIOD_OVERRIDE=FQ","FILING_STATUS=MR","SCALING_FORMAT=MLN","Sort=A","Dates=H","DateFormat=P","Fill=—","Direction=H","UseDPDF=Y")</f>
        <v>658</v>
      </c>
      <c r="M24" s="13">
        <f>_xll.BDH("AMGN US Equity","IS_MERGER_ACQ_EXPENSE_OPERATING","FQ2 2021","FQ2 2021","Currency=USD","Period=FQ","BEST_FPERIOD_OVERRIDE=FQ","FILING_STATUS=MR","SCALING_FORMAT=MLN","Sort=A","Dates=H","DateFormat=P","Fill=—","Direction=H","UseDPDF=Y")</f>
        <v>697</v>
      </c>
      <c r="N24" s="13" t="str">
        <f>_xll.BDH("AMGN US Equity","IS_MERGER_ACQ_EXPENSE_OPERATING","FQ3 2021","FQ3 2021","Currency=USD","Period=FQ","BEST_FPERIOD_OVERRIDE=FQ","FILING_STATUS=MR","SCALING_FORMAT=MLN","Sort=A","Dates=H","DateFormat=P","Fill=—","Direction=H","UseDPDF=Y")</f>
        <v>—</v>
      </c>
      <c r="O24" s="13" t="str">
        <f>_xll.BDH("AMGN US Equity","IS_MERGER_ACQ_EXPENSE_OPERATING","FQ4 2021","FQ4 2021","Currency=USD","Period=FQ","BEST_FPERIOD_OVERRIDE=FQ","FILING_STATUS=MR","SCALING_FORMAT=MLN","Sort=A","Dates=H","DateFormat=P","Fill=—","Direction=H","UseDPDF=Y")</f>
        <v>—</v>
      </c>
      <c r="P24" s="13">
        <f>_xll.BDH("AMGN US Equity","IS_MERGER_ACQ_EXPENSE_OPERATING","FQ1 2022","FQ1 2022","Currency=USD","Period=FQ","BEST_FPERIOD_OVERRIDE=FQ","FILING_STATUS=MR","SCALING_FORMAT=MLN","Sort=A","Dates=H","DateFormat=P","Fill=—","Direction=H","UseDPDF=Y")</f>
        <v>650</v>
      </c>
      <c r="Q24" s="13">
        <f>_xll.BDH("AMGN US Equity","IS_MERGER_ACQ_EXPENSE_OPERATING","FQ2 2022","FQ2 2022","Currency=USD","Period=FQ","BEST_FPERIOD_OVERRIDE=FQ","FILING_STATUS=MR","SCALING_FORMAT=MLN","Sort=A","Dates=H","DateFormat=P","Fill=—","Direction=H","UseDPDF=Y")</f>
        <v>1160</v>
      </c>
      <c r="R24" s="13" t="str">
        <f>_xll.BDH("AMGN US Equity","IS_MERGER_ACQ_EXPENSE_OPERATING","FQ3 2022","FQ3 2022","Currency=USD","Period=FQ","BEST_FPERIOD_OVERRIDE=FQ","FILING_STATUS=MR","SCALING_FORMAT=MLN","Sort=A","Dates=H","DateFormat=P","Fill=—","Direction=H","UseDPDF=Y")</f>
        <v>—</v>
      </c>
      <c r="S24" s="13">
        <f>_xll.BDH("AMGN US Equity","IS_MERGER_ACQ_EXPENSE_OPERATING","FQ4 2022","FQ4 2022","Currency=USD","Period=FQ","BEST_FPERIOD_OVERRIDE=FQ","FILING_STATUS=MR","SCALING_FORMAT=MLN","Sort=A","Dates=H","DateFormat=P","Fill=—","Direction=H","UseDPDF=Y")</f>
        <v>-33</v>
      </c>
      <c r="T24" s="13">
        <f>_xll.BDH("AMGN US Equity","IS_MERGER_ACQ_EXPENSE_OPERATING","FQ1 2023","FQ1 2023","Currency=USD","Period=FQ","BEST_FPERIOD_OVERRIDE=FQ","FILING_STATUS=MR","SCALING_FORMAT=MLN","Sort=A","Dates=H","DateFormat=P","Fill=—","Direction=H","UseDPDF=Y")</f>
        <v>752</v>
      </c>
      <c r="U24" s="13" t="str">
        <f>_xll.BDH("AMGN US Equity","IS_MERGER_ACQ_EXPENSE_OPERATING","FQ2 2023","FQ2 2023","Currency=USD","Period=FQ","BEST_FPERIOD_OVERRIDE=FQ","FILING_STATUS=MR","SCALING_FORMAT=MLN","Sort=A","Dates=H","DateFormat=P","Fill=—","Direction=H","UseDPDF=Y")</f>
        <v>—</v>
      </c>
      <c r="V24" s="13">
        <f>_xll.BDH("AMGN US Equity","IS_MERGER_ACQ_EXPENSE_OPERATING","FQ3 2023","FQ3 2023","Currency=USD","Period=FQ","BEST_FPERIOD_OVERRIDE=FQ","FILING_STATUS=MR","SCALING_FORMAT=MLN","Sort=A","Dates=H","DateFormat=P","Fill=—","Direction=H","UseDPDF=Y")</f>
        <v>19</v>
      </c>
      <c r="W24" s="13">
        <f>_xll.BDH("AMGN US Equity","IS_MERGER_ACQ_EXPENSE_OPERATING","FQ4 2023","FQ4 2023","Currency=USD","Period=FQ","BEST_FPERIOD_OVERRIDE=FQ","FILING_STATUS=MR","SCALING_FORMAT=MLN","Sort=A","Dates=H","DateFormat=P","Fill=—","Direction=H","UseDPDF=Y")</f>
        <v>510</v>
      </c>
      <c r="X24" s="13" t="str">
        <f>_xll.BDH("AMGN US Equity","IS_MERGER_ACQ_EXPENSE_OPERATING","FQ1 2024","FQ1 2024","Currency=USD","Period=FQ","BEST_FPERIOD_OVERRIDE=FQ","FILING_STATUS=MR","SCALING_FORMAT=MLN","Sort=A","Dates=H","DateFormat=P","Fill=—","Direction=H","UseDPDF=Y")</f>
        <v>—</v>
      </c>
      <c r="Y24" s="13">
        <f>_xll.BDH("AMGN US Equity","IS_MERGER_ACQ_EXPENSE_OPERATING","FQ2 2024","FQ2 2024","Currency=USD","Period=FQ","BEST_FPERIOD_OVERRIDE=FQ","FILING_STATUS=MR","SCALING_FORMAT=MLN","Sort=A","Dates=H","DateFormat=P","Fill=—","Direction=H","UseDPDF=Y")</f>
        <v>137</v>
      </c>
      <c r="Z24" s="13">
        <f>_xll.BDH("AMGN US Equity","IS_MERGER_ACQ_EXPENSE_OPERATING","FQ3 2024","FQ3 2024","Currency=USD","Period=FQ","BEST_FPERIOD_OVERRIDE=FQ","FILING_STATUS=MR","SCALING_FORMAT=MLN","Sort=A","Dates=H","DateFormat=P","Fill=—","Direction=H","UseDPDF=Y")</f>
        <v>141</v>
      </c>
      <c r="AA24" s="13">
        <f>_xll.BDH("AMGN US Equity","IS_MERGER_ACQ_EXPENSE_OPERATING","FQ4 2024","FQ4 2024","Currency=USD","Period=FQ","BEST_FPERIOD_OVERRIDE=FQ","FILING_STATUS=MR","SCALING_FORMAT=MLN","Sort=A","Dates=H","DateFormat=P","Fill=—","Direction=H","UseDPDF=Y")</f>
        <v>85</v>
      </c>
    </row>
    <row r="25" spans="1:27" x14ac:dyDescent="0.25">
      <c r="A25" s="10" t="s">
        <v>620</v>
      </c>
      <c r="B25" s="10" t="s">
        <v>621</v>
      </c>
      <c r="C25" s="13" t="str">
        <f>_xll.BDH("AMGN US Equity","IS_WRTDWN_IOA_OP","FQ4 2018","FQ4 2018","Currency=USD","Period=FQ","BEST_FPERIOD_OVERRIDE=FQ","FILING_STATUS=MR","SCALING_FORMAT=MLN","Sort=A","Dates=H","DateFormat=P","Fill=—","Direction=H","UseDPDF=Y")</f>
        <v>—</v>
      </c>
      <c r="D25" s="13" t="str">
        <f>_xll.BDH("AMGN US Equity","IS_WRTDWN_IOA_OP","FQ1 2019","FQ1 2019","Currency=USD","Period=FQ","BEST_FPERIOD_OVERRIDE=FQ","FILING_STATUS=MR","SCALING_FORMAT=MLN","Sort=A","Dates=H","DateFormat=P","Fill=—","Direction=H","UseDPDF=Y")</f>
        <v>—</v>
      </c>
      <c r="E25" s="13" t="str">
        <f>_xll.BDH("AMGN US Equity","IS_WRTDWN_IOA_OP","FQ2 2019","FQ2 2019","Currency=USD","Period=FQ","BEST_FPERIOD_OVERRIDE=FQ","FILING_STATUS=MR","SCALING_FORMAT=MLN","Sort=A","Dates=H","DateFormat=P","Fill=—","Direction=H","UseDPDF=Y")</f>
        <v>—</v>
      </c>
      <c r="F25" s="13" t="str">
        <f>_xll.BDH("AMGN US Equity","IS_WRTDWN_IOA_OP","FQ3 2019","FQ3 2019","Currency=USD","Period=FQ","BEST_FPERIOD_OVERRIDE=FQ","FILING_STATUS=MR","SCALING_FORMAT=MLN","Sort=A","Dates=H","DateFormat=P","Fill=—","Direction=H","UseDPDF=Y")</f>
        <v>—</v>
      </c>
      <c r="G25" s="13" t="str">
        <f>_xll.BDH("AMGN US Equity","IS_WRTDWN_IOA_OP","FQ4 2019","FQ4 2019","Currency=USD","Period=FQ","BEST_FPERIOD_OVERRIDE=FQ","FILING_STATUS=MR","SCALING_FORMAT=MLN","Sort=A","Dates=H","DateFormat=P","Fill=—","Direction=H","UseDPDF=Y")</f>
        <v>—</v>
      </c>
      <c r="H25" s="13" t="str">
        <f>_xll.BDH("AMGN US Equity","IS_WRTDWN_IOA_OP","FQ1 2020","FQ1 2020","Currency=USD","Period=FQ","BEST_FPERIOD_OVERRIDE=FQ","FILING_STATUS=MR","SCALING_FORMAT=MLN","Sort=A","Dates=H","DateFormat=P","Fill=—","Direction=H","UseDPDF=Y")</f>
        <v>—</v>
      </c>
      <c r="I25" s="13" t="str">
        <f>_xll.BDH("AMGN US Equity","IS_WRTDWN_IOA_OP","FQ2 2020","FQ2 2020","Currency=USD","Period=FQ","BEST_FPERIOD_OVERRIDE=FQ","FILING_STATUS=MR","SCALING_FORMAT=MLN","Sort=A","Dates=H","DateFormat=P","Fill=—","Direction=H","UseDPDF=Y")</f>
        <v>—</v>
      </c>
      <c r="J25" s="13" t="str">
        <f>_xll.BDH("AMGN US Equity","IS_WRTDWN_IOA_OP","FQ3 2020","FQ3 2020","Currency=USD","Period=FQ","BEST_FPERIOD_OVERRIDE=FQ","FILING_STATUS=MR","SCALING_FORMAT=MLN","Sort=A","Dates=H","DateFormat=P","Fill=—","Direction=H","UseDPDF=Y")</f>
        <v>—</v>
      </c>
      <c r="K25" s="13" t="str">
        <f>_xll.BDH("AMGN US Equity","IS_WRTDWN_IOA_OP","FQ4 2020","FQ4 2020","Currency=USD","Period=FQ","BEST_FPERIOD_OVERRIDE=FQ","FILING_STATUS=MR","SCALING_FORMAT=MLN","Sort=A","Dates=H","DateFormat=P","Fill=—","Direction=H","UseDPDF=Y")</f>
        <v>—</v>
      </c>
      <c r="L25" s="13">
        <f>_xll.BDH("AMGN US Equity","IS_WRTDWN_IOA_OP","FQ1 2021","FQ1 2021","Currency=USD","Period=FQ","BEST_FPERIOD_OVERRIDE=FQ","FILING_STATUS=MR","SCALING_FORMAT=MLN","Sort=A","Dates=H","DateFormat=P","Fill=—","Direction=H","UseDPDF=Y")</f>
        <v>9</v>
      </c>
      <c r="M25" s="13" t="str">
        <f>_xll.BDH("AMGN US Equity","IS_WRTDWN_IOA_OP","FQ2 2021","FQ2 2021","Currency=USD","Period=FQ","BEST_FPERIOD_OVERRIDE=FQ","FILING_STATUS=MR","SCALING_FORMAT=MLN","Sort=A","Dates=H","DateFormat=P","Fill=—","Direction=H","UseDPDF=Y")</f>
        <v>—</v>
      </c>
      <c r="N25" s="13" t="str">
        <f>_xll.BDH("AMGN US Equity","IS_WRTDWN_IOA_OP","FQ3 2021","FQ3 2021","Currency=USD","Period=FQ","BEST_FPERIOD_OVERRIDE=FQ","FILING_STATUS=MR","SCALING_FORMAT=MLN","Sort=A","Dates=H","DateFormat=P","Fill=—","Direction=H","UseDPDF=Y")</f>
        <v>—</v>
      </c>
      <c r="O25" s="13" t="str">
        <f>_xll.BDH("AMGN US Equity","IS_WRTDWN_IOA_OP","FQ4 2021","FQ4 2021","Currency=USD","Period=FQ","BEST_FPERIOD_OVERRIDE=FQ","FILING_STATUS=MR","SCALING_FORMAT=MLN","Sort=A","Dates=H","DateFormat=P","Fill=—","Direction=H","UseDPDF=Y")</f>
        <v>—</v>
      </c>
      <c r="P25" s="13">
        <f>_xll.BDH("AMGN US Equity","IS_WRTDWN_IOA_OP","FQ1 2022","FQ1 2022","Currency=USD","Period=FQ","BEST_FPERIOD_OVERRIDE=FQ","FILING_STATUS=MR","SCALING_FORMAT=MLN","Sort=A","Dates=H","DateFormat=P","Fill=—","Direction=H","UseDPDF=Y")</f>
        <v>-12</v>
      </c>
      <c r="Q25" s="13" t="str">
        <f>_xll.BDH("AMGN US Equity","IS_WRTDWN_IOA_OP","FQ2 2022","FQ2 2022","Currency=USD","Period=FQ","BEST_FPERIOD_OVERRIDE=FQ","FILING_STATUS=MR","SCALING_FORMAT=MLN","Sort=A","Dates=H","DateFormat=P","Fill=—","Direction=H","UseDPDF=Y")</f>
        <v>—</v>
      </c>
      <c r="R25" s="13" t="str">
        <f>_xll.BDH("AMGN US Equity","IS_WRTDWN_IOA_OP","FQ3 2022","FQ3 2022","Currency=USD","Period=FQ","BEST_FPERIOD_OVERRIDE=FQ","FILING_STATUS=MR","SCALING_FORMAT=MLN","Sort=A","Dates=H","DateFormat=P","Fill=—","Direction=H","UseDPDF=Y")</f>
        <v>—</v>
      </c>
      <c r="S25" s="13" t="str">
        <f>_xll.BDH("AMGN US Equity","IS_WRTDWN_IOA_OP","FQ4 2022","FQ4 2022","Currency=USD","Period=FQ","BEST_FPERIOD_OVERRIDE=FQ","FILING_STATUS=MR","SCALING_FORMAT=MLN","Sort=A","Dates=H","DateFormat=P","Fill=—","Direction=H","UseDPDF=Y")</f>
        <v>—</v>
      </c>
      <c r="T25" s="13">
        <f>_xll.BDH("AMGN US Equity","IS_WRTDWN_IOA_OP","FQ1 2023","FQ1 2023","Currency=USD","Period=FQ","BEST_FPERIOD_OVERRIDE=FQ","FILING_STATUS=MR","SCALING_FORMAT=MLN","Sort=A","Dates=H","DateFormat=P","Fill=—","Direction=H","UseDPDF=Y")</f>
        <v>7</v>
      </c>
      <c r="U25" s="13" t="str">
        <f>_xll.BDH("AMGN US Equity","IS_WRTDWN_IOA_OP","FQ2 2023","FQ2 2023","Currency=USD","Period=FQ","BEST_FPERIOD_OVERRIDE=FQ","FILING_STATUS=MR","SCALING_FORMAT=MLN","Sort=A","Dates=H","DateFormat=P","Fill=—","Direction=H","UseDPDF=Y")</f>
        <v>—</v>
      </c>
      <c r="V25" s="13" t="str">
        <f>_xll.BDH("AMGN US Equity","IS_WRTDWN_IOA_OP","FQ3 2023","FQ3 2023","Currency=USD","Period=FQ","BEST_FPERIOD_OVERRIDE=FQ","FILING_STATUS=MR","SCALING_FORMAT=MLN","Sort=A","Dates=H","DateFormat=P","Fill=—","Direction=H","UseDPDF=Y")</f>
        <v>—</v>
      </c>
      <c r="W25" s="13">
        <f>_xll.BDH("AMGN US Equity","IS_WRTDWN_IOA_OP","FQ4 2023","FQ4 2023","Currency=USD","Period=FQ","BEST_FPERIOD_OVERRIDE=FQ","FILING_STATUS=MR","SCALING_FORMAT=MLN","Sort=A","Dates=H","DateFormat=P","Fill=—","Direction=H","UseDPDF=Y")</f>
        <v>3</v>
      </c>
      <c r="X25" s="13">
        <f>_xll.BDH("AMGN US Equity","IS_WRTDWN_IOA_OP","FQ1 2024","FQ1 2024","Currency=USD","Period=FQ","BEST_FPERIOD_OVERRIDE=FQ","FILING_STATUS=MR","SCALING_FORMAT=MLN","Sort=A","Dates=H","DateFormat=P","Fill=—","Direction=H","UseDPDF=Y")</f>
        <v>106</v>
      </c>
      <c r="Y25" s="13" t="str">
        <f>_xll.BDH("AMGN US Equity","IS_WRTDWN_IOA_OP","FQ2 2024","FQ2 2024","Currency=USD","Period=FQ","BEST_FPERIOD_OVERRIDE=FQ","FILING_STATUS=MR","SCALING_FORMAT=MLN","Sort=A","Dates=H","DateFormat=P","Fill=—","Direction=H","UseDPDF=Y")</f>
        <v>—</v>
      </c>
      <c r="Z25" s="13" t="str">
        <f>_xll.BDH("AMGN US Equity","IS_WRTDWN_IOA_OP","FQ3 2024","FQ3 2024","Currency=USD","Period=FQ","BEST_FPERIOD_OVERRIDE=FQ","FILING_STATUS=MR","SCALING_FORMAT=MLN","Sort=A","Dates=H","DateFormat=P","Fill=—","Direction=H","UseDPDF=Y")</f>
        <v>—</v>
      </c>
      <c r="AA25" s="13">
        <f>_xll.BDH("AMGN US Equity","IS_WRTDWN_IOA_OP","FQ4 2024","FQ4 2024","Currency=USD","Period=FQ","BEST_FPERIOD_OVERRIDE=FQ","FILING_STATUS=MR","SCALING_FORMAT=MLN","Sort=A","Dates=H","DateFormat=P","Fill=—","Direction=H","UseDPDF=Y")</f>
        <v>21</v>
      </c>
    </row>
    <row r="26" spans="1:27" x14ac:dyDescent="0.25">
      <c r="A26" s="10" t="s">
        <v>622</v>
      </c>
      <c r="B26" s="10" t="s">
        <v>623</v>
      </c>
      <c r="C26" s="13" t="str">
        <f>_xll.BDH("AMGN US Equity","IS_LEGAL_LIT_SETTLE_EXPN_OP","FQ4 2018","FQ4 2018","Currency=USD","Period=FQ","BEST_FPERIOD_OVERRIDE=FQ","FILING_STATUS=MR","SCALING_FORMAT=MLN","Sort=A","Dates=H","DateFormat=P","Fill=—","Direction=H","UseDPDF=Y")</f>
        <v>—</v>
      </c>
      <c r="D26" s="13" t="str">
        <f>_xll.BDH("AMGN US Equity","IS_LEGAL_LIT_SETTLE_EXPN_OP","FQ1 2019","FQ1 2019","Currency=USD","Period=FQ","BEST_FPERIOD_OVERRIDE=FQ","FILING_STATUS=MR","SCALING_FORMAT=MLN","Sort=A","Dates=H","DateFormat=P","Fill=—","Direction=H","UseDPDF=Y")</f>
        <v>—</v>
      </c>
      <c r="E26" s="13" t="str">
        <f>_xll.BDH("AMGN US Equity","IS_LEGAL_LIT_SETTLE_EXPN_OP","FQ2 2019","FQ2 2019","Currency=USD","Period=FQ","BEST_FPERIOD_OVERRIDE=FQ","FILING_STATUS=MR","SCALING_FORMAT=MLN","Sort=A","Dates=H","DateFormat=P","Fill=—","Direction=H","UseDPDF=Y")</f>
        <v>—</v>
      </c>
      <c r="F26" s="13">
        <f>_xll.BDH("AMGN US Equity","IS_LEGAL_LIT_SETTLE_EXPN_OP","FQ3 2019","FQ3 2019","Currency=USD","Period=FQ","BEST_FPERIOD_OVERRIDE=FQ","FILING_STATUS=MR","SCALING_FORMAT=MLN","Sort=A","Dates=H","DateFormat=P","Fill=—","Direction=H","UseDPDF=Y")</f>
        <v>1</v>
      </c>
      <c r="G26" s="13" t="str">
        <f>_xll.BDH("AMGN US Equity","IS_LEGAL_LIT_SETTLE_EXPN_OP","FQ4 2019","FQ4 2019","Currency=USD","Period=FQ","BEST_FPERIOD_OVERRIDE=FQ","FILING_STATUS=MR","SCALING_FORMAT=MLN","Sort=A","Dates=H","DateFormat=P","Fill=—","Direction=H","UseDPDF=Y")</f>
        <v>—</v>
      </c>
      <c r="H26" s="13" t="str">
        <f>_xll.BDH("AMGN US Equity","IS_LEGAL_LIT_SETTLE_EXPN_OP","FQ1 2020","FQ1 2020","Currency=USD","Period=FQ","BEST_FPERIOD_OVERRIDE=FQ","FILING_STATUS=MR","SCALING_FORMAT=MLN","Sort=A","Dates=H","DateFormat=P","Fill=—","Direction=H","UseDPDF=Y")</f>
        <v>—</v>
      </c>
      <c r="I26" s="13">
        <f>_xll.BDH("AMGN US Equity","IS_LEGAL_LIT_SETTLE_EXPN_OP","FQ2 2020","FQ2 2020","Currency=USD","Period=FQ","BEST_FPERIOD_OVERRIDE=FQ","FILING_STATUS=MR","SCALING_FORMAT=MLN","Sort=A","Dates=H","DateFormat=P","Fill=—","Direction=H","UseDPDF=Y")</f>
        <v>102</v>
      </c>
      <c r="J26" s="13" t="str">
        <f>_xll.BDH("AMGN US Equity","IS_LEGAL_LIT_SETTLE_EXPN_OP","FQ3 2020","FQ3 2020","Currency=USD","Period=FQ","BEST_FPERIOD_OVERRIDE=FQ","FILING_STATUS=MR","SCALING_FORMAT=MLN","Sort=A","Dates=H","DateFormat=P","Fill=—","Direction=H","UseDPDF=Y")</f>
        <v>—</v>
      </c>
      <c r="K26" s="13">
        <f>_xll.BDH("AMGN US Equity","IS_LEGAL_LIT_SETTLE_EXPN_OP","FQ4 2020","FQ4 2020","Currency=USD","Period=FQ","BEST_FPERIOD_OVERRIDE=FQ","FILING_STATUS=MR","SCALING_FORMAT=MLN","Sort=A","Dates=H","DateFormat=P","Fill=—","Direction=H","UseDPDF=Y")</f>
        <v>65</v>
      </c>
      <c r="L26" s="13" t="str">
        <f>_xll.BDH("AMGN US Equity","IS_LEGAL_LIT_SETTLE_EXPN_OP","FQ1 2021","FQ1 2021","Currency=USD","Period=FQ","BEST_FPERIOD_OVERRIDE=FQ","FILING_STATUS=MR","SCALING_FORMAT=MLN","Sort=A","Dates=H","DateFormat=P","Fill=—","Direction=H","UseDPDF=Y")</f>
        <v>—</v>
      </c>
      <c r="M26" s="13" t="str">
        <f>_xll.BDH("AMGN US Equity","IS_LEGAL_LIT_SETTLE_EXPN_OP","FQ2 2021","FQ2 2021","Currency=USD","Period=FQ","BEST_FPERIOD_OVERRIDE=FQ","FILING_STATUS=MR","SCALING_FORMAT=MLN","Sort=A","Dates=H","DateFormat=P","Fill=—","Direction=H","UseDPDF=Y")</f>
        <v>—</v>
      </c>
      <c r="N26" s="13" t="str">
        <f>_xll.BDH("AMGN US Equity","IS_LEGAL_LIT_SETTLE_EXPN_OP","FQ3 2021","FQ3 2021","Currency=USD","Period=FQ","BEST_FPERIOD_OVERRIDE=FQ","FILING_STATUS=MR","SCALING_FORMAT=MLN","Sort=A","Dates=H","DateFormat=P","Fill=—","Direction=H","UseDPDF=Y")</f>
        <v>—</v>
      </c>
      <c r="O26" s="13">
        <f>_xll.BDH("AMGN US Equity","IS_LEGAL_LIT_SETTLE_EXPN_OP","FQ4 2021","FQ4 2021","Currency=USD","Period=FQ","BEST_FPERIOD_OVERRIDE=FQ","FILING_STATUS=MR","SCALING_FORMAT=MLN","Sort=A","Dates=H","DateFormat=P","Fill=—","Direction=H","UseDPDF=Y")</f>
        <v>50</v>
      </c>
      <c r="P26" s="13" t="str">
        <f>_xll.BDH("AMGN US Equity","IS_LEGAL_LIT_SETTLE_EXPN_OP","FQ1 2022","FQ1 2022","Currency=USD","Period=FQ","BEST_FPERIOD_OVERRIDE=FQ","FILING_STATUS=MR","SCALING_FORMAT=MLN","Sort=A","Dates=H","DateFormat=P","Fill=—","Direction=H","UseDPDF=Y")</f>
        <v>—</v>
      </c>
      <c r="Q26" s="13" t="str">
        <f>_xll.BDH("AMGN US Equity","IS_LEGAL_LIT_SETTLE_EXPN_OP","FQ2 2022","FQ2 2022","Currency=USD","Period=FQ","BEST_FPERIOD_OVERRIDE=FQ","FILING_STATUS=MR","SCALING_FORMAT=MLN","Sort=A","Dates=H","DateFormat=P","Fill=—","Direction=H","UseDPDF=Y")</f>
        <v>—</v>
      </c>
      <c r="R26" s="13" t="str">
        <f>_xll.BDH("AMGN US Equity","IS_LEGAL_LIT_SETTLE_EXPN_OP","FQ3 2022","FQ3 2022","Currency=USD","Period=FQ","BEST_FPERIOD_OVERRIDE=FQ","FILING_STATUS=MR","SCALING_FORMAT=MLN","Sort=A","Dates=H","DateFormat=P","Fill=—","Direction=H","UseDPDF=Y")</f>
        <v>—</v>
      </c>
      <c r="S26" s="13" t="str">
        <f>_xll.BDH("AMGN US Equity","IS_LEGAL_LIT_SETTLE_EXPN_OP","FQ4 2022","FQ4 2022","Currency=USD","Period=FQ","BEST_FPERIOD_OVERRIDE=FQ","FILING_STATUS=MR","SCALING_FORMAT=MLN","Sort=A","Dates=H","DateFormat=P","Fill=—","Direction=H","UseDPDF=Y")</f>
        <v>—</v>
      </c>
      <c r="T26" s="13" t="str">
        <f>_xll.BDH("AMGN US Equity","IS_LEGAL_LIT_SETTLE_EXPN_OP","FQ1 2023","FQ1 2023","Currency=USD","Period=FQ","BEST_FPERIOD_OVERRIDE=FQ","FILING_STATUS=MR","SCALING_FORMAT=MLN","Sort=A","Dates=H","DateFormat=P","Fill=—","Direction=H","UseDPDF=Y")</f>
        <v>—</v>
      </c>
      <c r="U26" s="13" t="str">
        <f>_xll.BDH("AMGN US Equity","IS_LEGAL_LIT_SETTLE_EXPN_OP","FQ2 2023","FQ2 2023","Currency=USD","Period=FQ","BEST_FPERIOD_OVERRIDE=FQ","FILING_STATUS=MR","SCALING_FORMAT=MLN","Sort=A","Dates=H","DateFormat=P","Fill=—","Direction=H","UseDPDF=Y")</f>
        <v>—</v>
      </c>
      <c r="V26" s="13" t="str">
        <f>_xll.BDH("AMGN US Equity","IS_LEGAL_LIT_SETTLE_EXPN_OP","FQ3 2023","FQ3 2023","Currency=USD","Period=FQ","BEST_FPERIOD_OVERRIDE=FQ","FILING_STATUS=MR","SCALING_FORMAT=MLN","Sort=A","Dates=H","DateFormat=P","Fill=—","Direction=H","UseDPDF=Y")</f>
        <v>—</v>
      </c>
      <c r="W26" s="13" t="str">
        <f>_xll.BDH("AMGN US Equity","IS_LEGAL_LIT_SETTLE_EXPN_OP","FQ4 2023","FQ4 2023","Currency=USD","Period=FQ","BEST_FPERIOD_OVERRIDE=FQ","FILING_STATUS=MR","SCALING_FORMAT=MLN","Sort=A","Dates=H","DateFormat=P","Fill=—","Direction=H","UseDPDF=Y")</f>
        <v>—</v>
      </c>
      <c r="X26" s="13" t="str">
        <f>_xll.BDH("AMGN US Equity","IS_LEGAL_LIT_SETTLE_EXPN_OP","FQ1 2024","FQ1 2024","Currency=USD","Period=FQ","BEST_FPERIOD_OVERRIDE=FQ","FILING_STATUS=MR","SCALING_FORMAT=MLN","Sort=A","Dates=H","DateFormat=P","Fill=—","Direction=H","UseDPDF=Y")</f>
        <v>—</v>
      </c>
      <c r="Y26" s="13" t="str">
        <f>_xll.BDH("AMGN US Equity","IS_LEGAL_LIT_SETTLE_EXPN_OP","FQ2 2024","FQ2 2024","Currency=USD","Period=FQ","BEST_FPERIOD_OVERRIDE=FQ","FILING_STATUS=MR","SCALING_FORMAT=MLN","Sort=A","Dates=H","DateFormat=P","Fill=—","Direction=H","UseDPDF=Y")</f>
        <v>—</v>
      </c>
      <c r="Z26" s="13" t="str">
        <f>_xll.BDH("AMGN US Equity","IS_LEGAL_LIT_SETTLE_EXPN_OP","FQ3 2024","FQ3 2024","Currency=USD","Period=FQ","BEST_FPERIOD_OVERRIDE=FQ","FILING_STATUS=MR","SCALING_FORMAT=MLN","Sort=A","Dates=H","DateFormat=P","Fill=—","Direction=H","UseDPDF=Y")</f>
        <v>—</v>
      </c>
      <c r="AA26" s="13" t="str">
        <f>_xll.BDH("AMGN US Equity","IS_LEGAL_LIT_SETTLE_EXPN_OP","FQ4 2024","FQ4 2024","Currency=USD","Period=FQ","BEST_FPERIOD_OVERRIDE=FQ","FILING_STATUS=MR","SCALING_FORMAT=MLN","Sort=A","Dates=H","DateFormat=P","Fill=—","Direction=H","UseDPDF=Y")</f>
        <v>—</v>
      </c>
    </row>
    <row r="27" spans="1:27" x14ac:dyDescent="0.25">
      <c r="A27" s="10" t="s">
        <v>624</v>
      </c>
      <c r="B27" s="10" t="s">
        <v>625</v>
      </c>
      <c r="C27" s="13">
        <f>_xll.BDH("AMGN US Equity","IS_RESTRUCTURING_OP","FQ4 2018","FQ4 2018","Currency=USD","Period=FQ","BEST_FPERIOD_OVERRIDE=FQ","FILING_STATUS=MR","SCALING_FORMAT=MLN","Sort=A","Dates=H","DateFormat=P","Fill=—","Direction=H","UseDPDF=Y")</f>
        <v>11</v>
      </c>
      <c r="D27" s="13" t="str">
        <f>_xll.BDH("AMGN US Equity","IS_RESTRUCTURING_OP","FQ1 2019","FQ1 2019","Currency=USD","Period=FQ","BEST_FPERIOD_OVERRIDE=FQ","FILING_STATUS=MR","SCALING_FORMAT=MLN","Sort=A","Dates=H","DateFormat=P","Fill=—","Direction=H","UseDPDF=Y")</f>
        <v>—</v>
      </c>
      <c r="E27" s="13">
        <f>_xll.BDH("AMGN US Equity","IS_RESTRUCTURING_OP","FQ2 2019","FQ2 2019","Currency=USD","Period=FQ","BEST_FPERIOD_OVERRIDE=FQ","FILING_STATUS=MR","SCALING_FORMAT=MLN","Sort=A","Dates=H","DateFormat=P","Fill=—","Direction=H","UseDPDF=Y")</f>
        <v>-1</v>
      </c>
      <c r="F27" s="13">
        <f>_xll.BDH("AMGN US Equity","IS_RESTRUCTURING_OP","FQ3 2019","FQ3 2019","Currency=USD","Period=FQ","BEST_FPERIOD_OVERRIDE=FQ","FILING_STATUS=MR","SCALING_FORMAT=MLN","Sort=A","Dates=H","DateFormat=P","Fill=—","Direction=H","UseDPDF=Y")</f>
        <v>-1</v>
      </c>
      <c r="G27" s="13">
        <f>_xll.BDH("AMGN US Equity","IS_RESTRUCTURING_OP","FQ4 2019","FQ4 2019","Currency=USD","Period=FQ","BEST_FPERIOD_OVERRIDE=FQ","FILING_STATUS=MR","SCALING_FORMAT=MLN","Sort=A","Dates=H","DateFormat=P","Fill=—","Direction=H","UseDPDF=Y")</f>
        <v>48</v>
      </c>
      <c r="H27" s="13">
        <f>_xll.BDH("AMGN US Equity","IS_RESTRUCTURING_OP","FQ1 2020","FQ1 2020","Currency=USD","Period=FQ","BEST_FPERIOD_OVERRIDE=FQ","FILING_STATUS=MR","SCALING_FORMAT=MLN","Sort=A","Dates=H","DateFormat=P","Fill=—","Direction=H","UseDPDF=Y")</f>
        <v>-2</v>
      </c>
      <c r="I27" s="13">
        <f>_xll.BDH("AMGN US Equity","IS_RESTRUCTURING_OP","FQ2 2020","FQ2 2020","Currency=USD","Period=FQ","BEST_FPERIOD_OVERRIDE=FQ","FILING_STATUS=MR","SCALING_FORMAT=MLN","Sort=A","Dates=H","DateFormat=P","Fill=—","Direction=H","UseDPDF=Y")</f>
        <v>-2</v>
      </c>
      <c r="J27" s="13">
        <f>_xll.BDH("AMGN US Equity","IS_RESTRUCTURING_OP","FQ3 2020","FQ3 2020","Currency=USD","Period=FQ","BEST_FPERIOD_OVERRIDE=FQ","FILING_STATUS=MR","SCALING_FORMAT=MLN","Sort=A","Dates=H","DateFormat=P","Fill=—","Direction=H","UseDPDF=Y")</f>
        <v>1</v>
      </c>
      <c r="K27" s="13" t="str">
        <f>_xll.BDH("AMGN US Equity","IS_RESTRUCTURING_OP","FQ4 2020","FQ4 2020","Currency=USD","Period=FQ","BEST_FPERIOD_OVERRIDE=FQ","FILING_STATUS=MR","SCALING_FORMAT=MLN","Sort=A","Dates=H","DateFormat=P","Fill=—","Direction=H","UseDPDF=Y")</f>
        <v>—</v>
      </c>
      <c r="L27" s="13" t="str">
        <f>_xll.BDH("AMGN US Equity","IS_RESTRUCTURING_OP","FQ1 2021","FQ1 2021","Currency=USD","Period=FQ","BEST_FPERIOD_OVERRIDE=FQ","FILING_STATUS=MR","SCALING_FORMAT=MLN","Sort=A","Dates=H","DateFormat=P","Fill=—","Direction=H","UseDPDF=Y")</f>
        <v>—</v>
      </c>
      <c r="M27" s="13">
        <f>_xll.BDH("AMGN US Equity","IS_RESTRUCTURING_OP","FQ2 2021","FQ2 2021","Currency=USD","Period=FQ","BEST_FPERIOD_OVERRIDE=FQ","FILING_STATUS=MR","SCALING_FORMAT=MLN","Sort=A","Dates=H","DateFormat=P","Fill=—","Direction=H","UseDPDF=Y")</f>
        <v>76</v>
      </c>
      <c r="N27" s="13" t="str">
        <f>_xll.BDH("AMGN US Equity","IS_RESTRUCTURING_OP","FQ3 2021","FQ3 2021","Currency=USD","Period=FQ","BEST_FPERIOD_OVERRIDE=FQ","FILING_STATUS=MR","SCALING_FORMAT=MLN","Sort=A","Dates=H","DateFormat=P","Fill=—","Direction=H","UseDPDF=Y")</f>
        <v>—</v>
      </c>
      <c r="O27" s="13">
        <f>_xll.BDH("AMGN US Equity","IS_RESTRUCTURING_OP","FQ4 2021","FQ4 2021","Currency=USD","Period=FQ","BEST_FPERIOD_OVERRIDE=FQ","FILING_STATUS=MR","SCALING_FORMAT=MLN","Sort=A","Dates=H","DateFormat=P","Fill=—","Direction=H","UseDPDF=Y")</f>
        <v>1</v>
      </c>
      <c r="P27" s="13" t="str">
        <f>_xll.BDH("AMGN US Equity","IS_RESTRUCTURING_OP","FQ1 2022","FQ1 2022","Currency=USD","Period=FQ","BEST_FPERIOD_OVERRIDE=FQ","FILING_STATUS=MR","SCALING_FORMAT=MLN","Sort=A","Dates=H","DateFormat=P","Fill=—","Direction=H","UseDPDF=Y")</f>
        <v>—</v>
      </c>
      <c r="Q27" s="13">
        <f>_xll.BDH("AMGN US Equity","IS_RESTRUCTURING_OP","FQ2 2022","FQ2 2022","Currency=USD","Period=FQ","BEST_FPERIOD_OVERRIDE=FQ","FILING_STATUS=MR","SCALING_FORMAT=MLN","Sort=A","Dates=H","DateFormat=P","Fill=—","Direction=H","UseDPDF=Y")</f>
        <v>-1</v>
      </c>
      <c r="R27" s="13" t="str">
        <f>_xll.BDH("AMGN US Equity","IS_RESTRUCTURING_OP","FQ3 2022","FQ3 2022","Currency=USD","Period=FQ","BEST_FPERIOD_OVERRIDE=FQ","FILING_STATUS=MR","SCALING_FORMAT=MLN","Sort=A","Dates=H","DateFormat=P","Fill=—","Direction=H","UseDPDF=Y")</f>
        <v>—</v>
      </c>
      <c r="S27" s="13" t="str">
        <f>_xll.BDH("AMGN US Equity","IS_RESTRUCTURING_OP","FQ4 2022","FQ4 2022","Currency=USD","Period=FQ","BEST_FPERIOD_OVERRIDE=FQ","FILING_STATUS=MR","SCALING_FORMAT=MLN","Sort=A","Dates=H","DateFormat=P","Fill=—","Direction=H","UseDPDF=Y")</f>
        <v>—</v>
      </c>
      <c r="T27" s="13" t="str">
        <f>_xll.BDH("AMGN US Equity","IS_RESTRUCTURING_OP","FQ1 2023","FQ1 2023","Currency=USD","Period=FQ","BEST_FPERIOD_OVERRIDE=FQ","FILING_STATUS=MR","SCALING_FORMAT=MLN","Sort=A","Dates=H","DateFormat=P","Fill=—","Direction=H","UseDPDF=Y")</f>
        <v>—</v>
      </c>
      <c r="U27" s="13">
        <f>_xll.BDH("AMGN US Equity","IS_RESTRUCTURING_OP","FQ2 2023","FQ2 2023","Currency=USD","Period=FQ","BEST_FPERIOD_OVERRIDE=FQ","FILING_STATUS=MR","SCALING_FORMAT=MLN","Sort=A","Dates=H","DateFormat=P","Fill=—","Direction=H","UseDPDF=Y")</f>
        <v>25</v>
      </c>
      <c r="V27" s="13">
        <f>_xll.BDH("AMGN US Equity","IS_RESTRUCTURING_OP","FQ3 2023","FQ3 2023","Currency=USD","Period=FQ","BEST_FPERIOD_OVERRIDE=FQ","FILING_STATUS=MR","SCALING_FORMAT=MLN","Sort=A","Dates=H","DateFormat=P","Fill=—","Direction=H","UseDPDF=Y")</f>
        <v>16</v>
      </c>
      <c r="W27" s="13">
        <f>_xll.BDH("AMGN US Equity","IS_RESTRUCTURING_OP","FQ4 2023","FQ4 2023","Currency=USD","Period=FQ","BEST_FPERIOD_OVERRIDE=FQ","FILING_STATUS=MR","SCALING_FORMAT=MLN","Sort=A","Dates=H","DateFormat=P","Fill=—","Direction=H","UseDPDF=Y")</f>
        <v>14</v>
      </c>
      <c r="X27" s="13" t="str">
        <f>_xll.BDH("AMGN US Equity","IS_RESTRUCTURING_OP","FQ1 2024","FQ1 2024","Currency=USD","Period=FQ","BEST_FPERIOD_OVERRIDE=FQ","FILING_STATUS=MR","SCALING_FORMAT=MLN","Sort=A","Dates=H","DateFormat=P","Fill=—","Direction=H","UseDPDF=Y")</f>
        <v>—</v>
      </c>
      <c r="Y27" s="13">
        <f>_xll.BDH("AMGN US Equity","IS_RESTRUCTURING_OP","FQ2 2024","FQ2 2024","Currency=USD","Period=FQ","BEST_FPERIOD_OVERRIDE=FQ","FILING_STATUS=MR","SCALING_FORMAT=MLN","Sort=A","Dates=H","DateFormat=P","Fill=—","Direction=H","UseDPDF=Y")</f>
        <v>-3</v>
      </c>
      <c r="Z27" s="13" t="str">
        <f>_xll.BDH("AMGN US Equity","IS_RESTRUCTURING_OP","FQ3 2024","FQ3 2024","Currency=USD","Period=FQ","BEST_FPERIOD_OVERRIDE=FQ","FILING_STATUS=MR","SCALING_FORMAT=MLN","Sort=A","Dates=H","DateFormat=P","Fill=—","Direction=H","UseDPDF=Y")</f>
        <v>—</v>
      </c>
      <c r="AA27" s="13" t="str">
        <f>_xll.BDH("AMGN US Equity","IS_RESTRUCTURING_OP","FQ4 2024","FQ4 2024","Currency=USD","Period=FQ","BEST_FPERIOD_OVERRIDE=FQ","FILING_STATUS=MR","SCALING_FORMAT=MLN","Sort=A","Dates=H","DateFormat=P","Fill=—","Direction=H","UseDPDF=Y")</f>
        <v>—</v>
      </c>
    </row>
    <row r="28" spans="1:27" x14ac:dyDescent="0.25">
      <c r="A28" s="10" t="s">
        <v>626</v>
      </c>
      <c r="B28" s="10" t="s">
        <v>627</v>
      </c>
      <c r="C28" s="13" t="str">
        <f>_xll.BDH("AMGN US Equity","IS_GAIN_LOSS_SALE_OF_INVEST_OP","FQ4 2018","FQ4 2018","Currency=USD","Period=FQ","BEST_FPERIOD_OVERRIDE=FQ","FILING_STATUS=MR","SCALING_FORMAT=MLN","Sort=A","Dates=H","DateFormat=P","Fill=—","Direction=H","UseDPDF=Y")</f>
        <v>—</v>
      </c>
      <c r="D28" s="13" t="str">
        <f>_xll.BDH("AMGN US Equity","IS_GAIN_LOSS_SALE_OF_INVEST_OP","FQ1 2019","FQ1 2019","Currency=USD","Period=FQ","BEST_FPERIOD_OVERRIDE=FQ","FILING_STATUS=MR","SCALING_FORMAT=MLN","Sort=A","Dates=H","DateFormat=P","Fill=—","Direction=H","UseDPDF=Y")</f>
        <v>—</v>
      </c>
      <c r="E28" s="13" t="str">
        <f>_xll.BDH("AMGN US Equity","IS_GAIN_LOSS_SALE_OF_INVEST_OP","FQ2 2019","FQ2 2019","Currency=USD","Period=FQ","BEST_FPERIOD_OVERRIDE=FQ","FILING_STATUS=MR","SCALING_FORMAT=MLN","Sort=A","Dates=H","DateFormat=P","Fill=—","Direction=H","UseDPDF=Y")</f>
        <v>—</v>
      </c>
      <c r="F28" s="13" t="str">
        <f>_xll.BDH("AMGN US Equity","IS_GAIN_LOSS_SALE_OF_INVEST_OP","FQ3 2019","FQ3 2019","Currency=USD","Period=FQ","BEST_FPERIOD_OVERRIDE=FQ","FILING_STATUS=MR","SCALING_FORMAT=MLN","Sort=A","Dates=H","DateFormat=P","Fill=—","Direction=H","UseDPDF=Y")</f>
        <v>—</v>
      </c>
      <c r="G28" s="13" t="str">
        <f>_xll.BDH("AMGN US Equity","IS_GAIN_LOSS_SALE_OF_INVEST_OP","FQ4 2019","FQ4 2019","Currency=USD","Period=FQ","BEST_FPERIOD_OVERRIDE=FQ","FILING_STATUS=MR","SCALING_FORMAT=MLN","Sort=A","Dates=H","DateFormat=P","Fill=—","Direction=H","UseDPDF=Y")</f>
        <v>—</v>
      </c>
      <c r="H28" s="13" t="str">
        <f>_xll.BDH("AMGN US Equity","IS_GAIN_LOSS_SALE_OF_INVEST_OP","FQ1 2020","FQ1 2020","Currency=USD","Period=FQ","BEST_FPERIOD_OVERRIDE=FQ","FILING_STATUS=MR","SCALING_FORMAT=MLN","Sort=A","Dates=H","DateFormat=P","Fill=—","Direction=H","UseDPDF=Y")</f>
        <v>—</v>
      </c>
      <c r="I28" s="13" t="str">
        <f>_xll.BDH("AMGN US Equity","IS_GAIN_LOSS_SALE_OF_INVEST_OP","FQ2 2020","FQ2 2020","Currency=USD","Period=FQ","BEST_FPERIOD_OVERRIDE=FQ","FILING_STATUS=MR","SCALING_FORMAT=MLN","Sort=A","Dates=H","DateFormat=P","Fill=—","Direction=H","UseDPDF=Y")</f>
        <v>—</v>
      </c>
      <c r="J28" s="13" t="str">
        <f>_xll.BDH("AMGN US Equity","IS_GAIN_LOSS_SALE_OF_INVEST_OP","FQ3 2020","FQ3 2020","Currency=USD","Period=FQ","BEST_FPERIOD_OVERRIDE=FQ","FILING_STATUS=MR","SCALING_FORMAT=MLN","Sort=A","Dates=H","DateFormat=P","Fill=—","Direction=H","UseDPDF=Y")</f>
        <v>—</v>
      </c>
      <c r="K28" s="13" t="str">
        <f>_xll.BDH("AMGN US Equity","IS_GAIN_LOSS_SALE_OF_INVEST_OP","FQ4 2020","FQ4 2020","Currency=USD","Period=FQ","BEST_FPERIOD_OVERRIDE=FQ","FILING_STATUS=MR","SCALING_FORMAT=MLN","Sort=A","Dates=H","DateFormat=P","Fill=—","Direction=H","UseDPDF=Y")</f>
        <v>—</v>
      </c>
      <c r="L28" s="13" t="str">
        <f>_xll.BDH("AMGN US Equity","IS_GAIN_LOSS_SALE_OF_INVEST_OP","FQ1 2021","FQ1 2021","Currency=USD","Period=FQ","BEST_FPERIOD_OVERRIDE=FQ","FILING_STATUS=MR","SCALING_FORMAT=MLN","Sort=A","Dates=H","DateFormat=P","Fill=—","Direction=H","UseDPDF=Y")</f>
        <v>—</v>
      </c>
      <c r="M28" s="13" t="str">
        <f>_xll.BDH("AMGN US Equity","IS_GAIN_LOSS_SALE_OF_INVEST_OP","FQ2 2021","FQ2 2021","Currency=USD","Period=FQ","BEST_FPERIOD_OVERRIDE=FQ","FILING_STATUS=MR","SCALING_FORMAT=MLN","Sort=A","Dates=H","DateFormat=P","Fill=—","Direction=H","UseDPDF=Y")</f>
        <v>—</v>
      </c>
      <c r="N28" s="13" t="str">
        <f>_xll.BDH("AMGN US Equity","IS_GAIN_LOSS_SALE_OF_INVEST_OP","FQ3 2021","FQ3 2021","Currency=USD","Period=FQ","BEST_FPERIOD_OVERRIDE=FQ","FILING_STATUS=MR","SCALING_FORMAT=MLN","Sort=A","Dates=H","DateFormat=P","Fill=—","Direction=H","UseDPDF=Y")</f>
        <v>—</v>
      </c>
      <c r="O28" s="13">
        <f>_xll.BDH("AMGN US Equity","IS_GAIN_LOSS_SALE_OF_INVEST_OP","FQ4 2021","FQ4 2021","Currency=USD","Period=FQ","BEST_FPERIOD_OVERRIDE=FQ","FILING_STATUS=MR","SCALING_FORMAT=MLN","Sort=A","Dates=H","DateFormat=P","Fill=—","Direction=H","UseDPDF=Y")</f>
        <v>-86</v>
      </c>
      <c r="P28" s="13" t="str">
        <f>_xll.BDH("AMGN US Equity","IS_GAIN_LOSS_SALE_OF_INVEST_OP","FQ1 2022","FQ1 2022","Currency=USD","Period=FQ","BEST_FPERIOD_OVERRIDE=FQ","FILING_STATUS=MR","SCALING_FORMAT=MLN","Sort=A","Dates=H","DateFormat=P","Fill=—","Direction=H","UseDPDF=Y")</f>
        <v>—</v>
      </c>
      <c r="Q28" s="13" t="str">
        <f>_xll.BDH("AMGN US Equity","IS_GAIN_LOSS_SALE_OF_INVEST_OP","FQ2 2022","FQ2 2022","Currency=USD","Period=FQ","BEST_FPERIOD_OVERRIDE=FQ","FILING_STATUS=MR","SCALING_FORMAT=MLN","Sort=A","Dates=H","DateFormat=P","Fill=—","Direction=H","UseDPDF=Y")</f>
        <v>—</v>
      </c>
      <c r="R28" s="13" t="str">
        <f>_xll.BDH("AMGN US Equity","IS_GAIN_LOSS_SALE_OF_INVEST_OP","FQ3 2022","FQ3 2022","Currency=USD","Period=FQ","BEST_FPERIOD_OVERRIDE=FQ","FILING_STATUS=MR","SCALING_FORMAT=MLN","Sort=A","Dates=H","DateFormat=P","Fill=—","Direction=H","UseDPDF=Y")</f>
        <v>—</v>
      </c>
      <c r="S28" s="13" t="str">
        <f>_xll.BDH("AMGN US Equity","IS_GAIN_LOSS_SALE_OF_INVEST_OP","FQ4 2022","FQ4 2022","Currency=USD","Period=FQ","BEST_FPERIOD_OVERRIDE=FQ","FILING_STATUS=MR","SCALING_FORMAT=MLN","Sort=A","Dates=H","DateFormat=P","Fill=—","Direction=H","UseDPDF=Y")</f>
        <v>—</v>
      </c>
      <c r="T28" s="13" t="str">
        <f>_xll.BDH("AMGN US Equity","IS_GAIN_LOSS_SALE_OF_INVEST_OP","FQ1 2023","FQ1 2023","Currency=USD","Period=FQ","BEST_FPERIOD_OVERRIDE=FQ","FILING_STATUS=MR","SCALING_FORMAT=MLN","Sort=A","Dates=H","DateFormat=P","Fill=—","Direction=H","UseDPDF=Y")</f>
        <v>—</v>
      </c>
      <c r="U28" s="13" t="str">
        <f>_xll.BDH("AMGN US Equity","IS_GAIN_LOSS_SALE_OF_INVEST_OP","FQ2 2023","FQ2 2023","Currency=USD","Period=FQ","BEST_FPERIOD_OVERRIDE=FQ","FILING_STATUS=MR","SCALING_FORMAT=MLN","Sort=A","Dates=H","DateFormat=P","Fill=—","Direction=H","UseDPDF=Y")</f>
        <v>—</v>
      </c>
      <c r="V28" s="13" t="str">
        <f>_xll.BDH("AMGN US Equity","IS_GAIN_LOSS_SALE_OF_INVEST_OP","FQ3 2023","FQ3 2023","Currency=USD","Period=FQ","BEST_FPERIOD_OVERRIDE=FQ","FILING_STATUS=MR","SCALING_FORMAT=MLN","Sort=A","Dates=H","DateFormat=P","Fill=—","Direction=H","UseDPDF=Y")</f>
        <v>—</v>
      </c>
      <c r="W28" s="13" t="str">
        <f>_xll.BDH("AMGN US Equity","IS_GAIN_LOSS_SALE_OF_INVEST_OP","FQ4 2023","FQ4 2023","Currency=USD","Period=FQ","BEST_FPERIOD_OVERRIDE=FQ","FILING_STATUS=MR","SCALING_FORMAT=MLN","Sort=A","Dates=H","DateFormat=P","Fill=—","Direction=H","UseDPDF=Y")</f>
        <v>—</v>
      </c>
      <c r="X28" s="13" t="str">
        <f>_xll.BDH("AMGN US Equity","IS_GAIN_LOSS_SALE_OF_INVEST_OP","FQ1 2024","FQ1 2024","Currency=USD","Period=FQ","BEST_FPERIOD_OVERRIDE=FQ","FILING_STATUS=MR","SCALING_FORMAT=MLN","Sort=A","Dates=H","DateFormat=P","Fill=—","Direction=H","UseDPDF=Y")</f>
        <v>—</v>
      </c>
      <c r="Y28" s="13" t="str">
        <f>_xll.BDH("AMGN US Equity","IS_GAIN_LOSS_SALE_OF_INVEST_OP","FQ2 2024","FQ2 2024","Currency=USD","Period=FQ","BEST_FPERIOD_OVERRIDE=FQ","FILING_STATUS=MR","SCALING_FORMAT=MLN","Sort=A","Dates=H","DateFormat=P","Fill=—","Direction=H","UseDPDF=Y")</f>
        <v>—</v>
      </c>
      <c r="Z28" s="13" t="str">
        <f>_xll.BDH("AMGN US Equity","IS_GAIN_LOSS_SALE_OF_INVEST_OP","FQ3 2024","FQ3 2024","Currency=USD","Period=FQ","BEST_FPERIOD_OVERRIDE=FQ","FILING_STATUS=MR","SCALING_FORMAT=MLN","Sort=A","Dates=H","DateFormat=P","Fill=—","Direction=H","UseDPDF=Y")</f>
        <v>—</v>
      </c>
      <c r="AA28" s="13" t="str">
        <f>_xll.BDH("AMGN US Equity","IS_GAIN_LOSS_SALE_OF_INVEST_OP","FQ4 2024","FQ4 2024","Currency=USD","Period=FQ","BEST_FPERIOD_OVERRIDE=FQ","FILING_STATUS=MR","SCALING_FORMAT=MLN","Sort=A","Dates=H","DateFormat=P","Fill=—","Direction=H","UseDPDF=Y")</f>
        <v>—</v>
      </c>
    </row>
    <row r="29" spans="1:27" x14ac:dyDescent="0.25">
      <c r="A29" s="10" t="s">
        <v>628</v>
      </c>
      <c r="B29" s="10" t="s">
        <v>629</v>
      </c>
      <c r="C29" s="13" t="str">
        <f>_xll.BDH("AMGN US Equity","IS_OTHER_ONE_TIME_ITEMS_OP","FQ4 2018","FQ4 2018","Currency=USD","Period=FQ","BEST_FPERIOD_OVERRIDE=FQ","FILING_STATUS=MR","SCALING_FORMAT=MLN","Sort=A","Dates=H","DateFormat=P","Fill=—","Direction=H","UseDPDF=Y")</f>
        <v>—</v>
      </c>
      <c r="D29" s="13" t="str">
        <f>_xll.BDH("AMGN US Equity","IS_OTHER_ONE_TIME_ITEMS_OP","FQ1 2019","FQ1 2019","Currency=USD","Period=FQ","BEST_FPERIOD_OVERRIDE=FQ","FILING_STATUS=MR","SCALING_FORMAT=MLN","Sort=A","Dates=H","DateFormat=P","Fill=—","Direction=H","UseDPDF=Y")</f>
        <v>—</v>
      </c>
      <c r="E29" s="13" t="str">
        <f>_xll.BDH("AMGN US Equity","IS_OTHER_ONE_TIME_ITEMS_OP","FQ2 2019","FQ2 2019","Currency=USD","Period=FQ","BEST_FPERIOD_OVERRIDE=FQ","FILING_STATUS=MR","SCALING_FORMAT=MLN","Sort=A","Dates=H","DateFormat=P","Fill=—","Direction=H","UseDPDF=Y")</f>
        <v>—</v>
      </c>
      <c r="F29" s="13" t="str">
        <f>_xll.BDH("AMGN US Equity","IS_OTHER_ONE_TIME_ITEMS_OP","FQ3 2019","FQ3 2019","Currency=USD","Period=FQ","BEST_FPERIOD_OVERRIDE=FQ","FILING_STATUS=MR","SCALING_FORMAT=MLN","Sort=A","Dates=H","DateFormat=P","Fill=—","Direction=H","UseDPDF=Y")</f>
        <v>—</v>
      </c>
      <c r="G29" s="13" t="str">
        <f>_xll.BDH("AMGN US Equity","IS_OTHER_ONE_TIME_ITEMS_OP","FQ4 2019","FQ4 2019","Currency=USD","Period=FQ","BEST_FPERIOD_OVERRIDE=FQ","FILING_STATUS=MR","SCALING_FORMAT=MLN","Sort=A","Dates=H","DateFormat=P","Fill=—","Direction=H","UseDPDF=Y")</f>
        <v>—</v>
      </c>
      <c r="H29" s="13" t="str">
        <f>_xll.BDH("AMGN US Equity","IS_OTHER_ONE_TIME_ITEMS_OP","FQ1 2020","FQ1 2020","Currency=USD","Period=FQ","BEST_FPERIOD_OVERRIDE=FQ","FILING_STATUS=MR","SCALING_FORMAT=MLN","Sort=A","Dates=H","DateFormat=P","Fill=—","Direction=H","UseDPDF=Y")</f>
        <v>—</v>
      </c>
      <c r="I29" s="13" t="str">
        <f>_xll.BDH("AMGN US Equity","IS_OTHER_ONE_TIME_ITEMS_OP","FQ2 2020","FQ2 2020","Currency=USD","Period=FQ","BEST_FPERIOD_OVERRIDE=FQ","FILING_STATUS=MR","SCALING_FORMAT=MLN","Sort=A","Dates=H","DateFormat=P","Fill=—","Direction=H","UseDPDF=Y")</f>
        <v>—</v>
      </c>
      <c r="J29" s="13">
        <f>_xll.BDH("AMGN US Equity","IS_OTHER_ONE_TIME_ITEMS_OP","FQ3 2020","FQ3 2020","Currency=USD","Period=FQ","BEST_FPERIOD_OVERRIDE=FQ","FILING_STATUS=MR","SCALING_FORMAT=MLN","Sort=A","Dates=H","DateFormat=P","Fill=—","Direction=H","UseDPDF=Y")</f>
        <v>1</v>
      </c>
      <c r="K29" s="13" t="str">
        <f>_xll.BDH("AMGN US Equity","IS_OTHER_ONE_TIME_ITEMS_OP","FQ4 2020","FQ4 2020","Currency=USD","Period=FQ","BEST_FPERIOD_OVERRIDE=FQ","FILING_STATUS=MR","SCALING_FORMAT=MLN","Sort=A","Dates=H","DateFormat=P","Fill=—","Direction=H","UseDPDF=Y")</f>
        <v>—</v>
      </c>
      <c r="L29" s="13">
        <f>_xll.BDH("AMGN US Equity","IS_OTHER_ONE_TIME_ITEMS_OP","FQ1 2021","FQ1 2021","Currency=USD","Period=FQ","BEST_FPERIOD_OVERRIDE=FQ","FILING_STATUS=MR","SCALING_FORMAT=MLN","Sort=A","Dates=H","DateFormat=P","Fill=—","Direction=H","UseDPDF=Y")</f>
        <v>68</v>
      </c>
      <c r="M29" s="13">
        <f>_xll.BDH("AMGN US Equity","IS_OTHER_ONE_TIME_ITEMS_OP","FQ2 2021","FQ2 2021","Currency=USD","Period=FQ","BEST_FPERIOD_OVERRIDE=FQ","FILING_STATUS=MR","SCALING_FORMAT=MLN","Sort=A","Dates=H","DateFormat=P","Fill=—","Direction=H","UseDPDF=Y")</f>
        <v>5</v>
      </c>
      <c r="N29" s="13">
        <f>_xll.BDH("AMGN US Equity","IS_OTHER_ONE_TIME_ITEMS_OP","FQ3 2021","FQ3 2021","Currency=USD","Period=FQ","BEST_FPERIOD_OVERRIDE=FQ","FILING_STATUS=MR","SCALING_FORMAT=MLN","Sort=A","Dates=H","DateFormat=P","Fill=—","Direction=H","UseDPDF=Y")</f>
        <v>27</v>
      </c>
      <c r="O29" s="13">
        <f>_xll.BDH("AMGN US Equity","IS_OTHER_ONE_TIME_ITEMS_OP","FQ4 2021","FQ4 2021","Currency=USD","Period=FQ","BEST_FPERIOD_OVERRIDE=FQ","FILING_STATUS=MR","SCALING_FORMAT=MLN","Sort=A","Dates=H","DateFormat=P","Fill=—","Direction=H","UseDPDF=Y")</f>
        <v>-23</v>
      </c>
      <c r="P29" s="13">
        <f>_xll.BDH("AMGN US Equity","IS_OTHER_ONE_TIME_ITEMS_OP","FQ1 2022","FQ1 2022","Currency=USD","Period=FQ","BEST_FPERIOD_OVERRIDE=FQ","FILING_STATUS=MR","SCALING_FORMAT=MLN","Sort=A","Dates=H","DateFormat=P","Fill=—","Direction=H","UseDPDF=Y")</f>
        <v>2</v>
      </c>
      <c r="Q29" s="13" t="str">
        <f>_xll.BDH("AMGN US Equity","IS_OTHER_ONE_TIME_ITEMS_OP","FQ2 2022","FQ2 2022","Currency=USD","Period=FQ","BEST_FPERIOD_OVERRIDE=FQ","FILING_STATUS=MR","SCALING_FORMAT=MLN","Sort=A","Dates=H","DateFormat=P","Fill=—","Direction=H","UseDPDF=Y")</f>
        <v>—</v>
      </c>
      <c r="R29" s="13">
        <f>_xll.BDH("AMGN US Equity","IS_OTHER_ONE_TIME_ITEMS_OP","FQ3 2022","FQ3 2022","Currency=USD","Period=FQ","BEST_FPERIOD_OVERRIDE=FQ","FILING_STATUS=MR","SCALING_FORMAT=MLN","Sort=A","Dates=H","DateFormat=P","Fill=—","Direction=H","UseDPDF=Y")</f>
        <v>5</v>
      </c>
      <c r="S29" s="13">
        <f>_xll.BDH("AMGN US Equity","IS_OTHER_ONE_TIME_ITEMS_OP","FQ4 2022","FQ4 2022","Currency=USD","Period=FQ","BEST_FPERIOD_OVERRIDE=FQ","FILING_STATUS=MR","SCALING_FORMAT=MLN","Sort=A","Dates=H","DateFormat=P","Fill=—","Direction=H","UseDPDF=Y")</f>
        <v>-1</v>
      </c>
      <c r="T29" s="13">
        <f>_xll.BDH("AMGN US Equity","IS_OTHER_ONE_TIME_ITEMS_OP","FQ1 2023","FQ1 2023","Currency=USD","Period=FQ","BEST_FPERIOD_OVERRIDE=FQ","FILING_STATUS=MR","SCALING_FORMAT=MLN","Sort=A","Dates=H","DateFormat=P","Fill=—","Direction=H","UseDPDF=Y")</f>
        <v>141</v>
      </c>
      <c r="U29" s="13">
        <f>_xll.BDH("AMGN US Equity","IS_OTHER_ONE_TIME_ITEMS_OP","FQ2 2023","FQ2 2023","Currency=USD","Period=FQ","BEST_FPERIOD_OVERRIDE=FQ","FILING_STATUS=MR","SCALING_FORMAT=MLN","Sort=A","Dates=H","DateFormat=P","Fill=—","Direction=H","UseDPDF=Y")</f>
        <v>17</v>
      </c>
      <c r="V29" s="13">
        <f>_xll.BDH("AMGN US Equity","IS_OTHER_ONE_TIME_ITEMS_OP","FQ3 2023","FQ3 2023","Currency=USD","Period=FQ","BEST_FPERIOD_OVERRIDE=FQ","FILING_STATUS=MR","SCALING_FORMAT=MLN","Sort=A","Dates=H","DateFormat=P","Fill=—","Direction=H","UseDPDF=Y")</f>
        <v>628</v>
      </c>
      <c r="W29" s="13" t="str">
        <f>_xll.BDH("AMGN US Equity","IS_OTHER_ONE_TIME_ITEMS_OP","FQ4 2023","FQ4 2023","Currency=USD","Period=FQ","BEST_FPERIOD_OVERRIDE=FQ","FILING_STATUS=MR","SCALING_FORMAT=MLN","Sort=A","Dates=H","DateFormat=P","Fill=—","Direction=H","UseDPDF=Y")</f>
        <v>—</v>
      </c>
      <c r="X29" s="13">
        <f>_xll.BDH("AMGN US Equity","IS_OTHER_ONE_TIME_ITEMS_OP","FQ1 2024","FQ1 2024","Currency=USD","Period=FQ","BEST_FPERIOD_OVERRIDE=FQ","FILING_STATUS=MR","SCALING_FORMAT=MLN","Sort=A","Dates=H","DateFormat=P","Fill=—","Direction=H","UseDPDF=Y")</f>
        <v>-1</v>
      </c>
      <c r="Y29" s="13" t="str">
        <f>_xll.BDH("AMGN US Equity","IS_OTHER_ONE_TIME_ITEMS_OP","FQ2 2024","FQ2 2024","Currency=USD","Period=FQ","BEST_FPERIOD_OVERRIDE=FQ","FILING_STATUS=MR","SCALING_FORMAT=MLN","Sort=A","Dates=H","DateFormat=P","Fill=—","Direction=H","UseDPDF=Y")</f>
        <v>—</v>
      </c>
      <c r="Z29" s="13" t="str">
        <f>_xll.BDH("AMGN US Equity","IS_OTHER_ONE_TIME_ITEMS_OP","FQ3 2024","FQ3 2024","Currency=USD","Period=FQ","BEST_FPERIOD_OVERRIDE=FQ","FILING_STATUS=MR","SCALING_FORMAT=MLN","Sort=A","Dates=H","DateFormat=P","Fill=—","Direction=H","UseDPDF=Y")</f>
        <v>—</v>
      </c>
      <c r="AA29" s="13">
        <f>_xll.BDH("AMGN US Equity","IS_OTHER_ONE_TIME_ITEMS_OP","FQ4 2024","FQ4 2024","Currency=USD","Period=FQ","BEST_FPERIOD_OVERRIDE=FQ","FILING_STATUS=MR","SCALING_FORMAT=MLN","Sort=A","Dates=H","DateFormat=P","Fill=—","Direction=H","UseDPDF=Y")</f>
        <v>40</v>
      </c>
    </row>
    <row r="30" spans="1:27" x14ac:dyDescent="0.25">
      <c r="A30" s="6" t="s">
        <v>609</v>
      </c>
      <c r="B30" s="6" t="s">
        <v>99</v>
      </c>
      <c r="C30" s="19">
        <f>_xll.BDH("AMGN US Equity","IS_OPER_INC","FQ4 2018","FQ4 2018","Currency=USD","Period=FQ","BEST_FPERIOD_OVERRIDE=FQ","FILING_STATUS=MR","SCALING_FORMAT=MLN","FA_ADJUSTED=Adjusted","Sort=A","Dates=H","DateFormat=P","Fill=—","Direction=H","UseDPDF=Y")</f>
        <v>2403</v>
      </c>
      <c r="D30" s="19">
        <f>_xll.BDH("AMGN US Equity","IS_OPER_INC","FQ1 2019","FQ1 2019","Currency=USD","Period=FQ","BEST_FPERIOD_OVERRIDE=FQ","FILING_STATUS=MR","SCALING_FORMAT=MLN","FA_ADJUSTED=Adjusted","Sort=A","Dates=H","DateFormat=P","Fill=—","Direction=H","UseDPDF=Y")</f>
        <v>2470</v>
      </c>
      <c r="E30" s="19">
        <f>_xll.BDH("AMGN US Equity","IS_OPER_INC","FQ2 2019","FQ2 2019","Currency=USD","Period=FQ","BEST_FPERIOD_OVERRIDE=FQ","FILING_STATUS=MR","SCALING_FORMAT=MLN","FA_ADJUSTED=Adjusted","Sort=A","Dates=H","DateFormat=P","Fill=—","Direction=H","UseDPDF=Y")</f>
        <v>2675</v>
      </c>
      <c r="F30" s="19">
        <f>_xll.BDH("AMGN US Equity","IS_OPER_INC","FQ3 2019","FQ3 2019","Currency=USD","Period=FQ","BEST_FPERIOD_OVERRIDE=FQ","FILING_STATUS=MR","SCALING_FORMAT=MLN","FA_ADJUSTED=Adjusted","Sort=A","Dates=H","DateFormat=P","Fill=—","Direction=H","UseDPDF=Y")</f>
        <v>2476</v>
      </c>
      <c r="G30" s="19">
        <f>_xll.BDH("AMGN US Equity","IS_OPER_INC","FQ4 2019","FQ4 2019","Currency=USD","Period=FQ","BEST_FPERIOD_OVERRIDE=FQ","FILING_STATUS=MR","SCALING_FORMAT=MLN","FA_ADJUSTED=Adjusted","Sort=A","Dates=H","DateFormat=P","Fill=—","Direction=H","UseDPDF=Y")</f>
        <v>2121</v>
      </c>
      <c r="H30" s="19">
        <f>_xll.BDH("AMGN US Equity","IS_OPER_INC","FQ1 2020","FQ1 2020","Currency=USD","Period=FQ","BEST_FPERIOD_OVERRIDE=FQ","FILING_STATUS=MR","SCALING_FORMAT=MLN","FA_ADJUSTED=Adjusted","Sort=A","Dates=H","DateFormat=P","Fill=—","Direction=H","UseDPDF=Y")</f>
        <v>2380</v>
      </c>
      <c r="I30" s="19">
        <f>_xll.BDH("AMGN US Equity","IS_OPER_INC","FQ2 2020","FQ2 2020","Currency=USD","Period=FQ","BEST_FPERIOD_OVERRIDE=FQ","FILING_STATUS=MR","SCALING_FORMAT=MLN","FA_ADJUSTED=Adjusted","Sort=A","Dates=H","DateFormat=P","Fill=—","Direction=H","UseDPDF=Y")</f>
        <v>2423</v>
      </c>
      <c r="J30" s="19">
        <f>_xll.BDH("AMGN US Equity","IS_OPER_INC","FQ3 2020","FQ3 2020","Currency=USD","Period=FQ","BEST_FPERIOD_OVERRIDE=FQ","FILING_STATUS=MR","SCALING_FORMAT=MLN","FA_ADJUSTED=Adjusted","Sort=A","Dates=H","DateFormat=P","Fill=—","Direction=H","UseDPDF=Y")</f>
        <v>3182</v>
      </c>
      <c r="K30" s="19">
        <f>_xll.BDH("AMGN US Equity","IS_OPER_INC","FQ4 2020","FQ4 2020","Currency=USD","Period=FQ","BEST_FPERIOD_OVERRIDE=FQ","FILING_STATUS=MR","SCALING_FORMAT=MLN","FA_ADJUSTED=Adjusted","Sort=A","Dates=H","DateFormat=P","Fill=—","Direction=H","UseDPDF=Y")</f>
        <v>2073</v>
      </c>
      <c r="L30" s="19">
        <f>_xll.BDH("AMGN US Equity","IS_OPER_INC","FQ1 2021","FQ1 2021","Currency=USD","Period=FQ","BEST_FPERIOD_OVERRIDE=FQ","FILING_STATUS=MR","SCALING_FORMAT=MLN","FA_ADJUSTED=Adjusted","Sort=A","Dates=H","DateFormat=P","Fill=—","Direction=H","UseDPDF=Y")</f>
        <v>2864</v>
      </c>
      <c r="M30" s="19">
        <f>_xll.BDH("AMGN US Equity","IS_OPER_INC","FQ2 2021","FQ2 2021","Currency=USD","Period=FQ","BEST_FPERIOD_OVERRIDE=FQ","FILING_STATUS=MR","SCALING_FORMAT=MLN","FA_ADJUSTED=Adjusted","Sort=A","Dates=H","DateFormat=P","Fill=—","Direction=H","UseDPDF=Y")</f>
        <v>3111</v>
      </c>
      <c r="N30" s="19">
        <f>_xll.BDH("AMGN US Equity","IS_OPER_INC","FQ3 2021","FQ3 2021","Currency=USD","Period=FQ","BEST_FPERIOD_OVERRIDE=FQ","FILING_STATUS=MR","SCALING_FORMAT=MLN","FA_ADJUSTED=Adjusted","Sort=A","Dates=H","DateFormat=P","Fill=—","Direction=H","UseDPDF=Y")</f>
        <v>2405</v>
      </c>
      <c r="O30" s="19">
        <f>_xll.BDH("AMGN US Equity","IS_OPER_INC","FQ4 2021","FQ4 2021","Currency=USD","Period=FQ","BEST_FPERIOD_OVERRIDE=FQ","FILING_STATUS=MR","SCALING_FORMAT=MLN","FA_ADJUSTED=Adjusted","Sort=A","Dates=H","DateFormat=P","Fill=—","Direction=H","UseDPDF=Y")</f>
        <v>2246</v>
      </c>
      <c r="P30" s="19">
        <f>_xll.BDH("AMGN US Equity","IS_OPER_INC","FQ1 2022","FQ1 2022","Currency=USD","Period=FQ","BEST_FPERIOD_OVERRIDE=FQ","FILING_STATUS=MR","SCALING_FORMAT=MLN","FA_ADJUSTED=Adjusted","Sort=A","Dates=H","DateFormat=P","Fill=—","Direction=H","UseDPDF=Y")</f>
        <v>3140</v>
      </c>
      <c r="Q30" s="19">
        <f>_xll.BDH("AMGN US Equity","IS_OPER_INC","FQ2 2022","FQ2 2022","Currency=USD","Period=FQ","BEST_FPERIOD_OVERRIDE=FQ","FILING_STATUS=MR","SCALING_FORMAT=MLN","FA_ADJUSTED=Adjusted","Sort=A","Dates=H","DateFormat=P","Fill=—","Direction=H","UseDPDF=Y")</f>
        <v>3335</v>
      </c>
      <c r="R30" s="19">
        <f>_xll.BDH("AMGN US Equity","IS_OPER_INC","FQ3 2022","FQ3 2022","Currency=USD","Period=FQ","BEST_FPERIOD_OVERRIDE=FQ","FILING_STATUS=MR","SCALING_FORMAT=MLN","FA_ADJUSTED=Adjusted","Sort=A","Dates=H","DateFormat=P","Fill=—","Direction=H","UseDPDF=Y")</f>
        <v>2665</v>
      </c>
      <c r="S30" s="19">
        <f>_xll.BDH("AMGN US Equity","IS_OPER_INC","FQ4 2022","FQ4 2022","Currency=USD","Period=FQ","BEST_FPERIOD_OVERRIDE=FQ","FILING_STATUS=MR","SCALING_FORMAT=MLN","FA_ADJUSTED=Adjusted","Sort=A","Dates=H","DateFormat=P","Fill=—","Direction=H","UseDPDF=Y")</f>
        <v>2196</v>
      </c>
      <c r="T30" s="19">
        <f>_xll.BDH("AMGN US Equity","IS_OPER_INC","FQ1 2023","FQ1 2023","Currency=USD","Period=FQ","BEST_FPERIOD_OVERRIDE=FQ","FILING_STATUS=MR","SCALING_FORMAT=MLN","FA_ADJUSTED=Adjusted","Sort=A","Dates=H","DateFormat=P","Fill=—","Direction=H","UseDPDF=Y")</f>
        <v>2821</v>
      </c>
      <c r="U30" s="19">
        <f>_xll.BDH("AMGN US Equity","IS_OPER_INC","FQ2 2023","FQ2 2023","Currency=USD","Period=FQ","BEST_FPERIOD_OVERRIDE=FQ","FILING_STATUS=MR","SCALING_FORMAT=MLN","FA_ADJUSTED=Adjusted","Sort=A","Dates=H","DateFormat=P","Fill=—","Direction=H","UseDPDF=Y")</f>
        <v>2726</v>
      </c>
      <c r="V30" s="19">
        <f>_xll.BDH("AMGN US Equity","IS_OPER_INC","FQ3 2023","FQ3 2023","Currency=USD","Period=FQ","BEST_FPERIOD_OVERRIDE=FQ","FILING_STATUS=MR","SCALING_FORMAT=MLN","FA_ADJUSTED=Adjusted","Sort=A","Dates=H","DateFormat=P","Fill=—","Direction=H","UseDPDF=Y")</f>
        <v>2684</v>
      </c>
      <c r="W30" s="19">
        <f>_xll.BDH("AMGN US Equity","IS_OPER_INC","FQ4 2023","FQ4 2023","Currency=USD","Period=FQ","BEST_FPERIOD_OVERRIDE=FQ","FILING_STATUS=MR","SCALING_FORMAT=MLN","FA_ADJUSTED=Adjusted","Sort=A","Dates=H","DateFormat=P","Fill=—","Direction=H","UseDPDF=Y")</f>
        <v>1798</v>
      </c>
      <c r="X30" s="19">
        <f>_xll.BDH("AMGN US Equity","IS_OPER_INC","FQ1 2024","FQ1 2024","Currency=USD","Period=FQ","BEST_FPERIOD_OVERRIDE=FQ","FILING_STATUS=MR","SCALING_FORMAT=MLN","FA_ADJUSTED=Adjusted","Sort=A","Dates=H","DateFormat=P","Fill=—","Direction=H","UseDPDF=Y")</f>
        <v>1096</v>
      </c>
      <c r="Y30" s="19">
        <f>_xll.BDH("AMGN US Equity","IS_OPER_INC","FQ2 2024","FQ2 2024","Currency=USD","Period=FQ","BEST_FPERIOD_OVERRIDE=FQ","FILING_STATUS=MR","SCALING_FORMAT=MLN","FA_ADJUSTED=Adjusted","Sort=A","Dates=H","DateFormat=P","Fill=—","Direction=H","UseDPDF=Y")</f>
        <v>2043</v>
      </c>
      <c r="Z30" s="19">
        <f>_xll.BDH("AMGN US Equity","IS_OPER_INC","FQ3 2024","FQ3 2024","Currency=USD","Period=FQ","BEST_FPERIOD_OVERRIDE=FQ","FILING_STATUS=MR","SCALING_FORMAT=MLN","FA_ADJUSTED=Adjusted","Sort=A","Dates=H","DateFormat=P","Fill=—","Direction=H","UseDPDF=Y")</f>
        <v>2188</v>
      </c>
      <c r="AA30" s="19">
        <f>_xll.BDH("AMGN US Equity","IS_OPER_INC","FQ4 2024","FQ4 2024","Currency=USD","Period=FQ","BEST_FPERIOD_OVERRIDE=FQ","FILING_STATUS=MR","SCALING_FORMAT=MLN","FA_ADJUSTED=Adjusted","Sort=A","Dates=H","DateFormat=P","Fill=—","Direction=H","UseDPDF=Y")</f>
        <v>2457</v>
      </c>
    </row>
    <row r="31" spans="1:27" x14ac:dyDescent="0.25">
      <c r="A31" s="6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 x14ac:dyDescent="0.25">
      <c r="A32" s="6" t="s">
        <v>630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 x14ac:dyDescent="0.25">
      <c r="A33" s="6" t="s">
        <v>356</v>
      </c>
      <c r="B33" s="6" t="s">
        <v>158</v>
      </c>
      <c r="C33" s="19">
        <f>_xll.BDH("AMGN US Equity","PRETAX_INC","FQ4 2018","FQ4 2018","Currency=USD","Period=FQ","BEST_FPERIOD_OVERRIDE=FQ","FILING_STATUS=MR","SCALING_FORMAT=MLN","FA_ADJUSTED=GAAP","Sort=A","Dates=H","DateFormat=P","Fill=—","Direction=H","UseDPDF=Y")</f>
        <v>2185</v>
      </c>
      <c r="D33" s="19">
        <f>_xll.BDH("AMGN US Equity","PRETAX_INC","FQ1 2019","FQ1 2019","Currency=USD","Period=FQ","BEST_FPERIOD_OVERRIDE=FQ","FILING_STATUS=MR","SCALING_FORMAT=MLN","FA_ADJUSTED=GAAP","Sort=A","Dates=H","DateFormat=P","Fill=—","Direction=H","UseDPDF=Y")</f>
        <v>2314</v>
      </c>
      <c r="E33" s="19">
        <f>_xll.BDH("AMGN US Equity","PRETAX_INC","FQ2 2019","FQ2 2019","Currency=USD","Period=FQ","BEST_FPERIOD_OVERRIDE=FQ","FILING_STATUS=MR","SCALING_FORMAT=MLN","FA_ADJUSTED=GAAP","Sort=A","Dates=H","DateFormat=P","Fill=—","Direction=H","UseDPDF=Y")</f>
        <v>2564</v>
      </c>
      <c r="F33" s="19">
        <f>_xll.BDH("AMGN US Equity","PRETAX_INC","FQ3 2019","FQ3 2019","Currency=USD","Period=FQ","BEST_FPERIOD_OVERRIDE=FQ","FILING_STATUS=MR","SCALING_FORMAT=MLN","FA_ADJUSTED=GAAP","Sort=A","Dates=H","DateFormat=P","Fill=—","Direction=H","UseDPDF=Y")</f>
        <v>2277</v>
      </c>
      <c r="G33" s="19">
        <f>_xll.BDH("AMGN US Equity","PRETAX_INC","FQ4 2019","FQ4 2019","Currency=USD","Period=FQ","BEST_FPERIOD_OVERRIDE=FQ","FILING_STATUS=MR","SCALING_FORMAT=MLN","FA_ADJUSTED=GAAP","Sort=A","Dates=H","DateFormat=P","Fill=—","Direction=H","UseDPDF=Y")</f>
        <v>1983</v>
      </c>
      <c r="H33" s="19">
        <f>_xll.BDH("AMGN US Equity","PRETAX_INC","FQ1 2020","FQ1 2020","Currency=USD","Period=FQ","BEST_FPERIOD_OVERRIDE=FQ","FILING_STATUS=MR","SCALING_FORMAT=MLN","FA_ADJUSTED=GAAP","Sort=A","Dates=H","DateFormat=P","Fill=—","Direction=H","UseDPDF=Y")</f>
        <v>2020</v>
      </c>
      <c r="I33" s="19">
        <f>_xll.BDH("AMGN US Equity","PRETAX_INC","FQ2 2020","FQ2 2020","Currency=USD","Period=FQ","BEST_FPERIOD_OVERRIDE=FQ","FILING_STATUS=MR","SCALING_FORMAT=MLN","FA_ADJUSTED=GAAP","Sort=A","Dates=H","DateFormat=P","Fill=—","Direction=H","UseDPDF=Y")</f>
        <v>2030</v>
      </c>
      <c r="J33" s="19">
        <f>_xll.BDH("AMGN US Equity","PRETAX_INC","FQ3 2020","FQ3 2020","Currency=USD","Period=FQ","BEST_FPERIOD_OVERRIDE=FQ","FILING_STATUS=MR","SCALING_FORMAT=MLN","FA_ADJUSTED=GAAP","Sort=A","Dates=H","DateFormat=P","Fill=—","Direction=H","UseDPDF=Y")</f>
        <v>2206</v>
      </c>
      <c r="K33" s="19">
        <f>_xll.BDH("AMGN US Equity","PRETAX_INC","FQ4 2020","FQ4 2020","Currency=USD","Period=FQ","BEST_FPERIOD_OVERRIDE=FQ","FILING_STATUS=MR","SCALING_FORMAT=MLN","FA_ADJUSTED=GAAP","Sort=A","Dates=H","DateFormat=P","Fill=—","Direction=H","UseDPDF=Y")</f>
        <v>1877</v>
      </c>
      <c r="L33" s="19">
        <f>_xll.BDH("AMGN US Equity","PRETAX_INC","FQ1 2021","FQ1 2021","Currency=USD","Period=FQ","BEST_FPERIOD_OVERRIDE=FQ","FILING_STATUS=MR","SCALING_FORMAT=MLN","FA_ADJUSTED=GAAP","Sort=A","Dates=H","DateFormat=P","Fill=—","Direction=H","UseDPDF=Y")</f>
        <v>1857</v>
      </c>
      <c r="M33" s="19">
        <f>_xll.BDH("AMGN US Equity","PRETAX_INC","FQ2 2021","FQ2 2021","Currency=USD","Period=FQ","BEST_FPERIOD_OVERRIDE=FQ","FILING_STATUS=MR","SCALING_FORMAT=MLN","FA_ADJUSTED=GAAP","Sort=A","Dates=H","DateFormat=P","Fill=—","Direction=H","UseDPDF=Y")</f>
        <v>558</v>
      </c>
      <c r="N33" s="19">
        <f>_xll.BDH("AMGN US Equity","PRETAX_INC","FQ3 2021","FQ3 2021","Currency=USD","Period=FQ","BEST_FPERIOD_OVERRIDE=FQ","FILING_STATUS=MR","SCALING_FORMAT=MLN","FA_ADJUSTED=GAAP","Sort=A","Dates=H","DateFormat=P","Fill=—","Direction=H","UseDPDF=Y")</f>
        <v>2155</v>
      </c>
      <c r="O33" s="19">
        <f>_xll.BDH("AMGN US Equity","PRETAX_INC","FQ4 2021","FQ4 2021","Currency=USD","Period=FQ","BEST_FPERIOD_OVERRIDE=FQ","FILING_STATUS=MR","SCALING_FORMAT=MLN","FA_ADJUSTED=GAAP","Sort=A","Dates=H","DateFormat=P","Fill=—","Direction=H","UseDPDF=Y")</f>
        <v>2131</v>
      </c>
      <c r="P33" s="19">
        <f>_xll.BDH("AMGN US Equity","PRETAX_INC","FQ1 2022","FQ1 2022","Currency=USD","Period=FQ","BEST_FPERIOD_OVERRIDE=FQ","FILING_STATUS=MR","SCALING_FORMAT=MLN","FA_ADJUSTED=GAAP","Sort=A","Dates=H","DateFormat=P","Fill=—","Direction=H","UseDPDF=Y")</f>
        <v>1675</v>
      </c>
      <c r="Q33" s="19">
        <f>_xll.BDH("AMGN US Equity","PRETAX_INC","FQ2 2022","FQ2 2022","Currency=USD","Period=FQ","BEST_FPERIOD_OVERRIDE=FQ","FILING_STATUS=MR","SCALING_FORMAT=MLN","FA_ADJUSTED=GAAP","Sort=A","Dates=H","DateFormat=P","Fill=—","Direction=H","UseDPDF=Y")</f>
        <v>1531</v>
      </c>
      <c r="R33" s="19">
        <f>_xll.BDH("AMGN US Equity","PRETAX_INC","FQ3 2022","FQ3 2022","Currency=USD","Period=FQ","BEST_FPERIOD_OVERRIDE=FQ","FILING_STATUS=MR","SCALING_FORMAT=MLN","FA_ADJUSTED=GAAP","Sort=A","Dates=H","DateFormat=P","Fill=—","Direction=H","UseDPDF=Y")</f>
        <v>2392</v>
      </c>
      <c r="S33" s="19">
        <f>_xll.BDH("AMGN US Equity","PRETAX_INC","FQ4 2022","FQ4 2022","Currency=USD","Period=FQ","BEST_FPERIOD_OVERRIDE=FQ","FILING_STATUS=MR","SCALING_FORMAT=MLN","FA_ADJUSTED=GAAP","Sort=A","Dates=H","DateFormat=P","Fill=—","Direction=H","UseDPDF=Y")</f>
        <v>1748</v>
      </c>
      <c r="T33" s="19">
        <f>_xll.BDH("AMGN US Equity","PRETAX_INC","FQ1 2023","FQ1 2023","Currency=USD","Period=FQ","BEST_FPERIOD_OVERRIDE=FQ","FILING_STATUS=MR","SCALING_FORMAT=MLN","FA_ADJUSTED=GAAP","Sort=A","Dates=H","DateFormat=P","Fill=—","Direction=H","UseDPDF=Y")</f>
        <v>3442</v>
      </c>
      <c r="U33" s="19">
        <f>_xll.BDH("AMGN US Equity","PRETAX_INC","FQ2 2023","FQ2 2023","Currency=USD","Period=FQ","BEST_FPERIOD_OVERRIDE=FQ","FILING_STATUS=MR","SCALING_FORMAT=MLN","FA_ADJUSTED=GAAP","Sort=A","Dates=H","DateFormat=P","Fill=—","Direction=H","UseDPDF=Y")</f>
        <v>1614</v>
      </c>
      <c r="V33" s="19">
        <f>_xll.BDH("AMGN US Equity","PRETAX_INC","FQ3 2023","FQ3 2023","Currency=USD","Period=FQ","BEST_FPERIOD_OVERRIDE=FQ","FILING_STATUS=MR","SCALING_FORMAT=MLN","FA_ADJUSTED=GAAP","Sort=A","Dates=H","DateFormat=P","Fill=—","Direction=H","UseDPDF=Y")</f>
        <v>1947</v>
      </c>
      <c r="W33" s="19">
        <f>_xll.BDH("AMGN US Equity","PRETAX_INC","FQ4 2023","FQ4 2023","Currency=USD","Period=FQ","BEST_FPERIOD_OVERRIDE=FQ","FILING_STATUS=MR","SCALING_FORMAT=MLN","FA_ADJUSTED=GAAP","Sort=A","Dates=H","DateFormat=P","Fill=—","Direction=H","UseDPDF=Y")</f>
        <v>852</v>
      </c>
      <c r="X33" s="19">
        <f>_xll.BDH("AMGN US Equity","PRETAX_INC","FQ1 2024","FQ1 2024","Currency=USD","Period=FQ","BEST_FPERIOD_OVERRIDE=FQ","FILING_STATUS=MR","SCALING_FORMAT=MLN","FA_ADJUSTED=GAAP","Sort=A","Dates=H","DateFormat=P","Fill=—","Direction=H","UseDPDF=Y")</f>
        <v>-68</v>
      </c>
      <c r="Y33" s="19">
        <f>_xll.BDH("AMGN US Equity","PRETAX_INC","FQ2 2024","FQ2 2024","Currency=USD","Period=FQ","BEST_FPERIOD_OVERRIDE=FQ","FILING_STATUS=MR","SCALING_FORMAT=MLN","FA_ADJUSTED=GAAP","Sort=A","Dates=H","DateFormat=P","Fill=—","Direction=H","UseDPDF=Y")</f>
        <v>794</v>
      </c>
      <c r="Z33" s="19">
        <f>_xll.BDH("AMGN US Equity","PRETAX_INC","FQ3 2024","FQ3 2024","Currency=USD","Period=FQ","BEST_FPERIOD_OVERRIDE=FQ","FILING_STATUS=MR","SCALING_FORMAT=MLN","FA_ADJUSTED=GAAP","Sort=A","Dates=H","DateFormat=P","Fill=—","Direction=H","UseDPDF=Y")</f>
        <v>3101</v>
      </c>
      <c r="AA33" s="19">
        <f>_xll.BDH("AMGN US Equity","PRETAX_INC","FQ4 2024","FQ4 2024","Currency=USD","Period=FQ","BEST_FPERIOD_OVERRIDE=FQ","FILING_STATUS=MR","SCALING_FORMAT=MLN","FA_ADJUSTED=GAAP","Sort=A","Dates=H","DateFormat=P","Fill=—","Direction=H","UseDPDF=Y")</f>
        <v>782</v>
      </c>
    </row>
    <row r="34" spans="1:27" x14ac:dyDescent="0.25">
      <c r="A34" s="10" t="s">
        <v>616</v>
      </c>
      <c r="B34" s="10" t="s">
        <v>341</v>
      </c>
      <c r="C34" s="13" t="str">
        <f>_xll.BDH("AMGN US Equity","IS_ACQUIRED_PROCESS_RD","FQ4 2018","FQ4 2018","Currency=USD","Period=FQ","BEST_FPERIOD_OVERRIDE=FQ","FILING_STATUS=MR","SCALING_FORMAT=MLN","Sort=A","Dates=H","DateFormat=P","Fill=—","Direction=H","UseDPDF=Y")</f>
        <v>—</v>
      </c>
      <c r="D34" s="13" t="str">
        <f>_xll.BDH("AMGN US Equity","IS_ACQUIRED_PROCESS_RD","FQ1 2019","FQ1 2019","Currency=USD","Period=FQ","BEST_FPERIOD_OVERRIDE=FQ","FILING_STATUS=MR","SCALING_FORMAT=MLN","Sort=A","Dates=H","DateFormat=P","Fill=—","Direction=H","UseDPDF=Y")</f>
        <v>—</v>
      </c>
      <c r="E34" s="13" t="str">
        <f>_xll.BDH("AMGN US Equity","IS_ACQUIRED_PROCESS_RD","FQ2 2019","FQ2 2019","Currency=USD","Period=FQ","BEST_FPERIOD_OVERRIDE=FQ","FILING_STATUS=MR","SCALING_FORMAT=MLN","Sort=A","Dates=H","DateFormat=P","Fill=—","Direction=H","UseDPDF=Y")</f>
        <v>—</v>
      </c>
      <c r="F34" s="13" t="str">
        <f>_xll.BDH("AMGN US Equity","IS_ACQUIRED_PROCESS_RD","FQ3 2019","FQ3 2019","Currency=USD","Period=FQ","BEST_FPERIOD_OVERRIDE=FQ","FILING_STATUS=MR","SCALING_FORMAT=MLN","Sort=A","Dates=H","DateFormat=P","Fill=—","Direction=H","UseDPDF=Y")</f>
        <v>—</v>
      </c>
      <c r="G34" s="13" t="str">
        <f>_xll.BDH("AMGN US Equity","IS_ACQUIRED_PROCESS_RD","FQ4 2019","FQ4 2019","Currency=USD","Period=FQ","BEST_FPERIOD_OVERRIDE=FQ","FILING_STATUS=MR","SCALING_FORMAT=MLN","Sort=A","Dates=H","DateFormat=P","Fill=—","Direction=H","UseDPDF=Y")</f>
        <v>—</v>
      </c>
      <c r="H34" s="13" t="str">
        <f>_xll.BDH("AMGN US Equity","IS_ACQUIRED_PROCESS_RD","FQ1 2020","FQ1 2020","Currency=USD","Period=FQ","BEST_FPERIOD_OVERRIDE=FQ","FILING_STATUS=MR","SCALING_FORMAT=MLN","Sort=A","Dates=H","DateFormat=P","Fill=—","Direction=H","UseDPDF=Y")</f>
        <v>—</v>
      </c>
      <c r="I34" s="13" t="str">
        <f>_xll.BDH("AMGN US Equity","IS_ACQUIRED_PROCESS_RD","FQ2 2020","FQ2 2020","Currency=USD","Period=FQ","BEST_FPERIOD_OVERRIDE=FQ","FILING_STATUS=MR","SCALING_FORMAT=MLN","Sort=A","Dates=H","DateFormat=P","Fill=—","Direction=H","UseDPDF=Y")</f>
        <v>—</v>
      </c>
      <c r="J34" s="13" t="str">
        <f>_xll.BDH("AMGN US Equity","IS_ACQUIRED_PROCESS_RD","FQ3 2020","FQ3 2020","Currency=USD","Period=FQ","BEST_FPERIOD_OVERRIDE=FQ","FILING_STATUS=MR","SCALING_FORMAT=MLN","Sort=A","Dates=H","DateFormat=P","Fill=—","Direction=H","UseDPDF=Y")</f>
        <v>—</v>
      </c>
      <c r="K34" s="13" t="str">
        <f>_xll.BDH("AMGN US Equity","IS_ACQUIRED_PROCESS_RD","FQ4 2020","FQ4 2020","Currency=USD","Period=FQ","BEST_FPERIOD_OVERRIDE=FQ","FILING_STATUS=MR","SCALING_FORMAT=MLN","Sort=A","Dates=H","DateFormat=P","Fill=—","Direction=H","UseDPDF=Y")</f>
        <v>—</v>
      </c>
      <c r="L34" s="13" t="str">
        <f>_xll.BDH("AMGN US Equity","IS_ACQUIRED_PROCESS_RD","FQ1 2021","FQ1 2021","Currency=USD","Period=FQ","BEST_FPERIOD_OVERRIDE=FQ","FILING_STATUS=MR","SCALING_FORMAT=MLN","Sort=A","Dates=H","DateFormat=P","Fill=—","Direction=H","UseDPDF=Y")</f>
        <v>—</v>
      </c>
      <c r="M34" s="13">
        <f>_xll.BDH("AMGN US Equity","IS_ACQUIRED_PROCESS_RD","FQ2 2021","FQ2 2021","Currency=USD","Period=FQ","BEST_FPERIOD_OVERRIDE=FQ","FILING_STATUS=MR","SCALING_FORMAT=MLN","Sort=A","Dates=H","DateFormat=P","Fill=—","Direction=H","UseDPDF=Y")</f>
        <v>1505</v>
      </c>
      <c r="N34" s="13" t="str">
        <f>_xll.BDH("AMGN US Equity","IS_ACQUIRED_PROCESS_RD","FQ3 2021","FQ3 2021","Currency=USD","Period=FQ","BEST_FPERIOD_OVERRIDE=FQ","FILING_STATUS=MR","SCALING_FORMAT=MLN","Sort=A","Dates=H","DateFormat=P","Fill=—","Direction=H","UseDPDF=Y")</f>
        <v>—</v>
      </c>
      <c r="O34" s="13" t="str">
        <f>_xll.BDH("AMGN US Equity","IS_ACQUIRED_PROCESS_RD","FQ4 2021","FQ4 2021","Currency=USD","Period=FQ","BEST_FPERIOD_OVERRIDE=FQ","FILING_STATUS=MR","SCALING_FORMAT=MLN","Sort=A","Dates=H","DateFormat=P","Fill=—","Direction=H","UseDPDF=Y")</f>
        <v>—</v>
      </c>
      <c r="P34" s="13" t="str">
        <f>_xll.BDH("AMGN US Equity","IS_ACQUIRED_PROCESS_RD","FQ1 2022","FQ1 2022","Currency=USD","Period=FQ","BEST_FPERIOD_OVERRIDE=FQ","FILING_STATUS=MR","SCALING_FORMAT=MLN","Sort=A","Dates=H","DateFormat=P","Fill=—","Direction=H","UseDPDF=Y")</f>
        <v>—</v>
      </c>
      <c r="Q34" s="13" t="str">
        <f>_xll.BDH("AMGN US Equity","IS_ACQUIRED_PROCESS_RD","FQ2 2022","FQ2 2022","Currency=USD","Period=FQ","BEST_FPERIOD_OVERRIDE=FQ","FILING_STATUS=MR","SCALING_FORMAT=MLN","Sort=A","Dates=H","DateFormat=P","Fill=—","Direction=H","UseDPDF=Y")</f>
        <v>—</v>
      </c>
      <c r="R34" s="13" t="str">
        <f>_xll.BDH("AMGN US Equity","IS_ACQUIRED_PROCESS_RD","FQ3 2022","FQ3 2022","Currency=USD","Period=FQ","BEST_FPERIOD_OVERRIDE=FQ","FILING_STATUS=MR","SCALING_FORMAT=MLN","Sort=A","Dates=H","DateFormat=P","Fill=—","Direction=H","UseDPDF=Y")</f>
        <v>—</v>
      </c>
      <c r="S34" s="13" t="str">
        <f>_xll.BDH("AMGN US Equity","IS_ACQUIRED_PROCESS_RD","FQ4 2022","FQ4 2022","Currency=USD","Period=FQ","BEST_FPERIOD_OVERRIDE=FQ","FILING_STATUS=MR","SCALING_FORMAT=MLN","Sort=A","Dates=H","DateFormat=P","Fill=—","Direction=H","UseDPDF=Y")</f>
        <v>—</v>
      </c>
      <c r="T34" s="13" t="str">
        <f>_xll.BDH("AMGN US Equity","IS_ACQUIRED_PROCESS_RD","FQ1 2023","FQ1 2023","Currency=USD","Period=FQ","BEST_FPERIOD_OVERRIDE=FQ","FILING_STATUS=MR","SCALING_FORMAT=MLN","Sort=A","Dates=H","DateFormat=P","Fill=—","Direction=H","UseDPDF=Y")</f>
        <v>—</v>
      </c>
      <c r="U34" s="13" t="str">
        <f>_xll.BDH("AMGN US Equity","IS_ACQUIRED_PROCESS_RD","FQ2 2023","FQ2 2023","Currency=USD","Period=FQ","BEST_FPERIOD_OVERRIDE=FQ","FILING_STATUS=MR","SCALING_FORMAT=MLN","Sort=A","Dates=H","DateFormat=P","Fill=—","Direction=H","UseDPDF=Y")</f>
        <v>—</v>
      </c>
      <c r="V34" s="13" t="str">
        <f>_xll.BDH("AMGN US Equity","IS_ACQUIRED_PROCESS_RD","FQ3 2023","FQ3 2023","Currency=USD","Period=FQ","BEST_FPERIOD_OVERRIDE=FQ","FILING_STATUS=MR","SCALING_FORMAT=MLN","Sort=A","Dates=H","DateFormat=P","Fill=—","Direction=H","UseDPDF=Y")</f>
        <v>—</v>
      </c>
      <c r="W34" s="13" t="str">
        <f>_xll.BDH("AMGN US Equity","IS_ACQUIRED_PROCESS_RD","FQ4 2023","FQ4 2023","Currency=USD","Period=FQ","BEST_FPERIOD_OVERRIDE=FQ","FILING_STATUS=MR","SCALING_FORMAT=MLN","Sort=A","Dates=H","DateFormat=P","Fill=—","Direction=H","UseDPDF=Y")</f>
        <v>—</v>
      </c>
      <c r="X34" s="13" t="str">
        <f>_xll.BDH("AMGN US Equity","IS_ACQUIRED_PROCESS_RD","FQ1 2024","FQ1 2024","Currency=USD","Period=FQ","BEST_FPERIOD_OVERRIDE=FQ","FILING_STATUS=MR","SCALING_FORMAT=MLN","Sort=A","Dates=H","DateFormat=P","Fill=—","Direction=H","UseDPDF=Y")</f>
        <v>—</v>
      </c>
      <c r="Y34" s="13" t="str">
        <f>_xll.BDH("AMGN US Equity","IS_ACQUIRED_PROCESS_RD","FQ2 2024","FQ2 2024","Currency=USD","Period=FQ","BEST_FPERIOD_OVERRIDE=FQ","FILING_STATUS=MR","SCALING_FORMAT=MLN","Sort=A","Dates=H","DateFormat=P","Fill=—","Direction=H","UseDPDF=Y")</f>
        <v>—</v>
      </c>
      <c r="Z34" s="13" t="str">
        <f>_xll.BDH("AMGN US Equity","IS_ACQUIRED_PROCESS_RD","FQ3 2024","FQ3 2024","Currency=USD","Period=FQ","BEST_FPERIOD_OVERRIDE=FQ","FILING_STATUS=MR","SCALING_FORMAT=MLN","Sort=A","Dates=H","DateFormat=P","Fill=—","Direction=H","UseDPDF=Y")</f>
        <v>—</v>
      </c>
      <c r="AA34" s="13" t="str">
        <f>_xll.BDH("AMGN US Equity","IS_ACQUIRED_PROCESS_RD","FQ4 2024","FQ4 2024","Currency=USD","Period=FQ","BEST_FPERIOD_OVERRIDE=FQ","FILING_STATUS=MR","SCALING_FORMAT=MLN","Sort=A","Dates=H","DateFormat=P","Fill=—","Direction=H","UseDPDF=Y")</f>
        <v>—</v>
      </c>
    </row>
    <row r="35" spans="1:27" x14ac:dyDescent="0.25">
      <c r="A35" s="10" t="s">
        <v>618</v>
      </c>
      <c r="B35" s="10" t="s">
        <v>343</v>
      </c>
      <c r="C35" s="13">
        <f>_xll.BDH("AMGN US Equity","IS_MERGER_ACQUISITION_EXPENSE","FQ4 2018","FQ4 2018","Currency=USD","Period=FQ","BEST_FPERIOD_OVERRIDE=FQ","FILING_STATUS=MR","SCALING_FORMAT=MLN","Sort=A","Dates=H","DateFormat=P","Fill=—","Direction=H","UseDPDF=Y")</f>
        <v>10</v>
      </c>
      <c r="D35" s="13">
        <f>_xll.BDH("AMGN US Equity","IS_MERGER_ACQUISITION_EXPENSE","FQ1 2019","FQ1 2019","Currency=USD","Period=FQ","BEST_FPERIOD_OVERRIDE=FQ","FILING_STATUS=MR","SCALING_FORMAT=MLN","Sort=A","Dates=H","DateFormat=P","Fill=—","Direction=H","UseDPDF=Y")</f>
        <v>-2</v>
      </c>
      <c r="E35" s="13">
        <f>_xll.BDH("AMGN US Equity","IS_MERGER_ACQUISITION_EXPENSE","FQ2 2019","FQ2 2019","Currency=USD","Period=FQ","BEST_FPERIOD_OVERRIDE=FQ","FILING_STATUS=MR","SCALING_FORMAT=MLN","Sort=A","Dates=H","DateFormat=P","Fill=—","Direction=H","UseDPDF=Y")</f>
        <v>-2</v>
      </c>
      <c r="F35" s="13">
        <f>_xll.BDH("AMGN US Equity","IS_MERGER_ACQUISITION_EXPENSE","FQ3 2019","FQ3 2019","Currency=USD","Period=FQ","BEST_FPERIOD_OVERRIDE=FQ","FILING_STATUS=MR","SCALING_FORMAT=MLN","Sort=A","Dates=H","DateFormat=P","Fill=—","Direction=H","UseDPDF=Y")</f>
        <v>1</v>
      </c>
      <c r="G35" s="13">
        <f>_xll.BDH("AMGN US Equity","IS_MERGER_ACQUISITION_EXPENSE","FQ4 2019","FQ4 2019","Currency=USD","Period=FQ","BEST_FPERIOD_OVERRIDE=FQ","FILING_STATUS=MR","SCALING_FORMAT=MLN","Sort=A","Dates=H","DateFormat=P","Fill=—","Direction=H","UseDPDF=Y")</f>
        <v>25</v>
      </c>
      <c r="H35" s="13">
        <f>_xll.BDH("AMGN US Equity","IS_MERGER_ACQUISITION_EXPENSE","FQ1 2020","FQ1 2020","Currency=USD","Period=FQ","BEST_FPERIOD_OVERRIDE=FQ","FILING_STATUS=MR","SCALING_FORMAT=MLN","Sort=A","Dates=H","DateFormat=P","Fill=—","Direction=H","UseDPDF=Y")</f>
        <v>27</v>
      </c>
      <c r="I35" s="13" t="str">
        <f>_xll.BDH("AMGN US Equity","IS_MERGER_ACQUISITION_EXPENSE","FQ2 2020","FQ2 2020","Currency=USD","Period=FQ","BEST_FPERIOD_OVERRIDE=FQ","FILING_STATUS=MR","SCALING_FORMAT=MLN","Sort=A","Dates=H","DateFormat=P","Fill=—","Direction=H","UseDPDF=Y")</f>
        <v>—</v>
      </c>
      <c r="J35" s="13">
        <f>_xll.BDH("AMGN US Equity","IS_MERGER_ACQUISITION_EXPENSE","FQ3 2020","FQ3 2020","Currency=USD","Period=FQ","BEST_FPERIOD_OVERRIDE=FQ","FILING_STATUS=MR","SCALING_FORMAT=MLN","Sort=A","Dates=H","DateFormat=P","Fill=—","Direction=H","UseDPDF=Y")</f>
        <v>727</v>
      </c>
      <c r="K35" s="13" t="str">
        <f>_xll.BDH("AMGN US Equity","IS_MERGER_ACQUISITION_EXPENSE","FQ4 2020","FQ4 2020","Currency=USD","Period=FQ","BEST_FPERIOD_OVERRIDE=FQ","FILING_STATUS=MR","SCALING_FORMAT=MLN","Sort=A","Dates=H","DateFormat=P","Fill=—","Direction=H","UseDPDF=Y")</f>
        <v>—</v>
      </c>
      <c r="L35" s="13">
        <f>_xll.BDH("AMGN US Equity","IS_MERGER_ACQUISITION_EXPENSE","FQ1 2021","FQ1 2021","Currency=USD","Period=FQ","BEST_FPERIOD_OVERRIDE=FQ","FILING_STATUS=MR","SCALING_FORMAT=MLN","Sort=A","Dates=H","DateFormat=P","Fill=—","Direction=H","UseDPDF=Y")</f>
        <v>658</v>
      </c>
      <c r="M35" s="13">
        <f>_xll.BDH("AMGN US Equity","IS_MERGER_ACQUISITION_EXPENSE","FQ2 2021","FQ2 2021","Currency=USD","Period=FQ","BEST_FPERIOD_OVERRIDE=FQ","FILING_STATUS=MR","SCALING_FORMAT=MLN","Sort=A","Dates=H","DateFormat=P","Fill=—","Direction=H","UseDPDF=Y")</f>
        <v>697</v>
      </c>
      <c r="N35" s="13" t="str">
        <f>_xll.BDH("AMGN US Equity","IS_MERGER_ACQUISITION_EXPENSE","FQ3 2021","FQ3 2021","Currency=USD","Period=FQ","BEST_FPERIOD_OVERRIDE=FQ","FILING_STATUS=MR","SCALING_FORMAT=MLN","Sort=A","Dates=H","DateFormat=P","Fill=—","Direction=H","UseDPDF=Y")</f>
        <v>—</v>
      </c>
      <c r="O35" s="13" t="str">
        <f>_xll.BDH("AMGN US Equity","IS_MERGER_ACQUISITION_EXPENSE","FQ4 2021","FQ4 2021","Currency=USD","Period=FQ","BEST_FPERIOD_OVERRIDE=FQ","FILING_STATUS=MR","SCALING_FORMAT=MLN","Sort=A","Dates=H","DateFormat=P","Fill=—","Direction=H","UseDPDF=Y")</f>
        <v>—</v>
      </c>
      <c r="P35" s="13">
        <f>_xll.BDH("AMGN US Equity","IS_MERGER_ACQUISITION_EXPENSE","FQ1 2022","FQ1 2022","Currency=USD","Period=FQ","BEST_FPERIOD_OVERRIDE=FQ","FILING_STATUS=MR","SCALING_FORMAT=MLN","Sort=A","Dates=H","DateFormat=P","Fill=—","Direction=H","UseDPDF=Y")</f>
        <v>650</v>
      </c>
      <c r="Q35" s="13">
        <f>_xll.BDH("AMGN US Equity","IS_MERGER_ACQUISITION_EXPENSE","FQ2 2022","FQ2 2022","Currency=USD","Period=FQ","BEST_FPERIOD_OVERRIDE=FQ","FILING_STATUS=MR","SCALING_FORMAT=MLN","Sort=A","Dates=H","DateFormat=P","Fill=—","Direction=H","UseDPDF=Y")</f>
        <v>1160</v>
      </c>
      <c r="R35" s="13" t="str">
        <f>_xll.BDH("AMGN US Equity","IS_MERGER_ACQUISITION_EXPENSE","FQ3 2022","FQ3 2022","Currency=USD","Period=FQ","BEST_FPERIOD_OVERRIDE=FQ","FILING_STATUS=MR","SCALING_FORMAT=MLN","Sort=A","Dates=H","DateFormat=P","Fill=—","Direction=H","UseDPDF=Y")</f>
        <v>—</v>
      </c>
      <c r="S35" s="13">
        <f>_xll.BDH("AMGN US Equity","IS_MERGER_ACQUISITION_EXPENSE","FQ4 2022","FQ4 2022","Currency=USD","Period=FQ","BEST_FPERIOD_OVERRIDE=FQ","FILING_STATUS=MR","SCALING_FORMAT=MLN","Sort=A","Dates=H","DateFormat=P","Fill=—","Direction=H","UseDPDF=Y")</f>
        <v>-33</v>
      </c>
      <c r="T35" s="13">
        <f>_xll.BDH("AMGN US Equity","IS_MERGER_ACQUISITION_EXPENSE","FQ1 2023","FQ1 2023","Currency=USD","Period=FQ","BEST_FPERIOD_OVERRIDE=FQ","FILING_STATUS=MR","SCALING_FORMAT=MLN","Sort=A","Dates=H","DateFormat=P","Fill=—","Direction=H","UseDPDF=Y")</f>
        <v>752</v>
      </c>
      <c r="U35" s="13" t="str">
        <f>_xll.BDH("AMGN US Equity","IS_MERGER_ACQUISITION_EXPENSE","FQ2 2023","FQ2 2023","Currency=USD","Period=FQ","BEST_FPERIOD_OVERRIDE=FQ","FILING_STATUS=MR","SCALING_FORMAT=MLN","Sort=A","Dates=H","DateFormat=P","Fill=—","Direction=H","UseDPDF=Y")</f>
        <v>—</v>
      </c>
      <c r="V35" s="13">
        <f>_xll.BDH("AMGN US Equity","IS_MERGER_ACQUISITION_EXPENSE","FQ3 2023","FQ3 2023","Currency=USD","Period=FQ","BEST_FPERIOD_OVERRIDE=FQ","FILING_STATUS=MR","SCALING_FORMAT=MLN","Sort=A","Dates=H","DateFormat=P","Fill=—","Direction=H","UseDPDF=Y")</f>
        <v>19</v>
      </c>
      <c r="W35" s="13">
        <f>_xll.BDH("AMGN US Equity","IS_MERGER_ACQUISITION_EXPENSE","FQ4 2023","FQ4 2023","Currency=USD","Period=FQ","BEST_FPERIOD_OVERRIDE=FQ","FILING_STATUS=MR","SCALING_FORMAT=MLN","Sort=A","Dates=H","DateFormat=P","Fill=—","Direction=H","UseDPDF=Y")</f>
        <v>510</v>
      </c>
      <c r="X35" s="13" t="str">
        <f>_xll.BDH("AMGN US Equity","IS_MERGER_ACQUISITION_EXPENSE","FQ1 2024","FQ1 2024","Currency=USD","Period=FQ","BEST_FPERIOD_OVERRIDE=FQ","FILING_STATUS=MR","SCALING_FORMAT=MLN","Sort=A","Dates=H","DateFormat=P","Fill=—","Direction=H","UseDPDF=Y")</f>
        <v>—</v>
      </c>
      <c r="Y35" s="13">
        <f>_xll.BDH("AMGN US Equity","IS_MERGER_ACQUISITION_EXPENSE","FQ2 2024","FQ2 2024","Currency=USD","Period=FQ","BEST_FPERIOD_OVERRIDE=FQ","FILING_STATUS=MR","SCALING_FORMAT=MLN","Sort=A","Dates=H","DateFormat=P","Fill=—","Direction=H","UseDPDF=Y")</f>
        <v>137</v>
      </c>
      <c r="Z35" s="13">
        <f>_xll.BDH("AMGN US Equity","IS_MERGER_ACQUISITION_EXPENSE","FQ3 2024","FQ3 2024","Currency=USD","Period=FQ","BEST_FPERIOD_OVERRIDE=FQ","FILING_STATUS=MR","SCALING_FORMAT=MLN","Sort=A","Dates=H","DateFormat=P","Fill=—","Direction=H","UseDPDF=Y")</f>
        <v>141</v>
      </c>
      <c r="AA35" s="13">
        <f>_xll.BDH("AMGN US Equity","IS_MERGER_ACQUISITION_EXPENSE","FQ4 2024","FQ4 2024","Currency=USD","Period=FQ","BEST_FPERIOD_OVERRIDE=FQ","FILING_STATUS=MR","SCALING_FORMAT=MLN","Sort=A","Dates=H","DateFormat=P","Fill=—","Direction=H","UseDPDF=Y")</f>
        <v>85</v>
      </c>
    </row>
    <row r="36" spans="1:27" x14ac:dyDescent="0.25">
      <c r="A36" s="10" t="s">
        <v>620</v>
      </c>
      <c r="B36" s="10" t="s">
        <v>345</v>
      </c>
      <c r="C36" s="13" t="str">
        <f>_xll.BDH("AMGN US Equity","IS_IMPAIRMENT_ASSETS","FQ4 2018","FQ4 2018","Currency=USD","Period=FQ","BEST_FPERIOD_OVERRIDE=FQ","FILING_STATUS=MR","SCALING_FORMAT=MLN","Sort=A","Dates=H","DateFormat=P","Fill=—","Direction=H","UseDPDF=Y")</f>
        <v>—</v>
      </c>
      <c r="D36" s="13" t="str">
        <f>_xll.BDH("AMGN US Equity","IS_IMPAIRMENT_ASSETS","FQ1 2019","FQ1 2019","Currency=USD","Period=FQ","BEST_FPERIOD_OVERRIDE=FQ","FILING_STATUS=MR","SCALING_FORMAT=MLN","Sort=A","Dates=H","DateFormat=P","Fill=—","Direction=H","UseDPDF=Y")</f>
        <v>—</v>
      </c>
      <c r="E36" s="13" t="str">
        <f>_xll.BDH("AMGN US Equity","IS_IMPAIRMENT_ASSETS","FQ2 2019","FQ2 2019","Currency=USD","Period=FQ","BEST_FPERIOD_OVERRIDE=FQ","FILING_STATUS=MR","SCALING_FORMAT=MLN","Sort=A","Dates=H","DateFormat=P","Fill=—","Direction=H","UseDPDF=Y")</f>
        <v>—</v>
      </c>
      <c r="F36" s="13" t="str">
        <f>_xll.BDH("AMGN US Equity","IS_IMPAIRMENT_ASSETS","FQ3 2019","FQ3 2019","Currency=USD","Period=FQ","BEST_FPERIOD_OVERRIDE=FQ","FILING_STATUS=MR","SCALING_FORMAT=MLN","Sort=A","Dates=H","DateFormat=P","Fill=—","Direction=H","UseDPDF=Y")</f>
        <v>—</v>
      </c>
      <c r="G36" s="13" t="str">
        <f>_xll.BDH("AMGN US Equity","IS_IMPAIRMENT_ASSETS","FQ4 2019","FQ4 2019","Currency=USD","Period=FQ","BEST_FPERIOD_OVERRIDE=FQ","FILING_STATUS=MR","SCALING_FORMAT=MLN","Sort=A","Dates=H","DateFormat=P","Fill=—","Direction=H","UseDPDF=Y")</f>
        <v>—</v>
      </c>
      <c r="H36" s="13" t="str">
        <f>_xll.BDH("AMGN US Equity","IS_IMPAIRMENT_ASSETS","FQ1 2020","FQ1 2020","Currency=USD","Period=FQ","BEST_FPERIOD_OVERRIDE=FQ","FILING_STATUS=MR","SCALING_FORMAT=MLN","Sort=A","Dates=H","DateFormat=P","Fill=—","Direction=H","UseDPDF=Y")</f>
        <v>—</v>
      </c>
      <c r="I36" s="13" t="str">
        <f>_xll.BDH("AMGN US Equity","IS_IMPAIRMENT_ASSETS","FQ2 2020","FQ2 2020","Currency=USD","Period=FQ","BEST_FPERIOD_OVERRIDE=FQ","FILING_STATUS=MR","SCALING_FORMAT=MLN","Sort=A","Dates=H","DateFormat=P","Fill=—","Direction=H","UseDPDF=Y")</f>
        <v>—</v>
      </c>
      <c r="J36" s="13" t="str">
        <f>_xll.BDH("AMGN US Equity","IS_IMPAIRMENT_ASSETS","FQ3 2020","FQ3 2020","Currency=USD","Period=FQ","BEST_FPERIOD_OVERRIDE=FQ","FILING_STATUS=MR","SCALING_FORMAT=MLN","Sort=A","Dates=H","DateFormat=P","Fill=—","Direction=H","UseDPDF=Y")</f>
        <v>—</v>
      </c>
      <c r="K36" s="13" t="str">
        <f>_xll.BDH("AMGN US Equity","IS_IMPAIRMENT_ASSETS","FQ4 2020","FQ4 2020","Currency=USD","Period=FQ","BEST_FPERIOD_OVERRIDE=FQ","FILING_STATUS=MR","SCALING_FORMAT=MLN","Sort=A","Dates=H","DateFormat=P","Fill=—","Direction=H","UseDPDF=Y")</f>
        <v>—</v>
      </c>
      <c r="L36" s="13">
        <f>_xll.BDH("AMGN US Equity","IS_IMPAIRMENT_ASSETS","FQ1 2021","FQ1 2021","Currency=USD","Period=FQ","BEST_FPERIOD_OVERRIDE=FQ","FILING_STATUS=MR","SCALING_FORMAT=MLN","Sort=A","Dates=H","DateFormat=P","Fill=—","Direction=H","UseDPDF=Y")</f>
        <v>9</v>
      </c>
      <c r="M36" s="13" t="str">
        <f>_xll.BDH("AMGN US Equity","IS_IMPAIRMENT_ASSETS","FQ2 2021","FQ2 2021","Currency=USD","Period=FQ","BEST_FPERIOD_OVERRIDE=FQ","FILING_STATUS=MR","SCALING_FORMAT=MLN","Sort=A","Dates=H","DateFormat=P","Fill=—","Direction=H","UseDPDF=Y")</f>
        <v>—</v>
      </c>
      <c r="N36" s="13" t="str">
        <f>_xll.BDH("AMGN US Equity","IS_IMPAIRMENT_ASSETS","FQ3 2021","FQ3 2021","Currency=USD","Period=FQ","BEST_FPERIOD_OVERRIDE=FQ","FILING_STATUS=MR","SCALING_FORMAT=MLN","Sort=A","Dates=H","DateFormat=P","Fill=—","Direction=H","UseDPDF=Y")</f>
        <v>—</v>
      </c>
      <c r="O36" s="13" t="str">
        <f>_xll.BDH("AMGN US Equity","IS_IMPAIRMENT_ASSETS","FQ4 2021","FQ4 2021","Currency=USD","Period=FQ","BEST_FPERIOD_OVERRIDE=FQ","FILING_STATUS=MR","SCALING_FORMAT=MLN","Sort=A","Dates=H","DateFormat=P","Fill=—","Direction=H","UseDPDF=Y")</f>
        <v>—</v>
      </c>
      <c r="P36" s="13">
        <f>_xll.BDH("AMGN US Equity","IS_IMPAIRMENT_ASSETS","FQ1 2022","FQ1 2022","Currency=USD","Period=FQ","BEST_FPERIOD_OVERRIDE=FQ","FILING_STATUS=MR","SCALING_FORMAT=MLN","Sort=A","Dates=H","DateFormat=P","Fill=—","Direction=H","UseDPDF=Y")</f>
        <v>-12</v>
      </c>
      <c r="Q36" s="13" t="str">
        <f>_xll.BDH("AMGN US Equity","IS_IMPAIRMENT_ASSETS","FQ2 2022","FQ2 2022","Currency=USD","Period=FQ","BEST_FPERIOD_OVERRIDE=FQ","FILING_STATUS=MR","SCALING_FORMAT=MLN","Sort=A","Dates=H","DateFormat=P","Fill=—","Direction=H","UseDPDF=Y")</f>
        <v>—</v>
      </c>
      <c r="R36" s="13" t="str">
        <f>_xll.BDH("AMGN US Equity","IS_IMPAIRMENT_ASSETS","FQ3 2022","FQ3 2022","Currency=USD","Period=FQ","BEST_FPERIOD_OVERRIDE=FQ","FILING_STATUS=MR","SCALING_FORMAT=MLN","Sort=A","Dates=H","DateFormat=P","Fill=—","Direction=H","UseDPDF=Y")</f>
        <v>—</v>
      </c>
      <c r="S36" s="13" t="str">
        <f>_xll.BDH("AMGN US Equity","IS_IMPAIRMENT_ASSETS","FQ4 2022","FQ4 2022","Currency=USD","Period=FQ","BEST_FPERIOD_OVERRIDE=FQ","FILING_STATUS=MR","SCALING_FORMAT=MLN","Sort=A","Dates=H","DateFormat=P","Fill=—","Direction=H","UseDPDF=Y")</f>
        <v>—</v>
      </c>
      <c r="T36" s="13">
        <f>_xll.BDH("AMGN US Equity","IS_IMPAIRMENT_ASSETS","FQ1 2023","FQ1 2023","Currency=USD","Period=FQ","BEST_FPERIOD_OVERRIDE=FQ","FILING_STATUS=MR","SCALING_FORMAT=MLN","Sort=A","Dates=H","DateFormat=P","Fill=—","Direction=H","UseDPDF=Y")</f>
        <v>7</v>
      </c>
      <c r="U36" s="13" t="str">
        <f>_xll.BDH("AMGN US Equity","IS_IMPAIRMENT_ASSETS","FQ2 2023","FQ2 2023","Currency=USD","Period=FQ","BEST_FPERIOD_OVERRIDE=FQ","FILING_STATUS=MR","SCALING_FORMAT=MLN","Sort=A","Dates=H","DateFormat=P","Fill=—","Direction=H","UseDPDF=Y")</f>
        <v>—</v>
      </c>
      <c r="V36" s="13" t="str">
        <f>_xll.BDH("AMGN US Equity","IS_IMPAIRMENT_ASSETS","FQ3 2023","FQ3 2023","Currency=USD","Period=FQ","BEST_FPERIOD_OVERRIDE=FQ","FILING_STATUS=MR","SCALING_FORMAT=MLN","Sort=A","Dates=H","DateFormat=P","Fill=—","Direction=H","UseDPDF=Y")</f>
        <v>—</v>
      </c>
      <c r="W36" s="13">
        <f>_xll.BDH("AMGN US Equity","IS_IMPAIRMENT_ASSETS","FQ4 2023","FQ4 2023","Currency=USD","Period=FQ","BEST_FPERIOD_OVERRIDE=FQ","FILING_STATUS=MR","SCALING_FORMAT=MLN","Sort=A","Dates=H","DateFormat=P","Fill=—","Direction=H","UseDPDF=Y")</f>
        <v>3</v>
      </c>
      <c r="X36" s="13">
        <f>_xll.BDH("AMGN US Equity","IS_IMPAIRMENT_ASSETS","FQ1 2024","FQ1 2024","Currency=USD","Period=FQ","BEST_FPERIOD_OVERRIDE=FQ","FILING_STATUS=MR","SCALING_FORMAT=MLN","Sort=A","Dates=H","DateFormat=P","Fill=—","Direction=H","UseDPDF=Y")</f>
        <v>106</v>
      </c>
      <c r="Y36" s="13" t="str">
        <f>_xll.BDH("AMGN US Equity","IS_IMPAIRMENT_ASSETS","FQ2 2024","FQ2 2024","Currency=USD","Period=FQ","BEST_FPERIOD_OVERRIDE=FQ","FILING_STATUS=MR","SCALING_FORMAT=MLN","Sort=A","Dates=H","DateFormat=P","Fill=—","Direction=H","UseDPDF=Y")</f>
        <v>—</v>
      </c>
      <c r="Z36" s="13" t="str">
        <f>_xll.BDH("AMGN US Equity","IS_IMPAIRMENT_ASSETS","FQ3 2024","FQ3 2024","Currency=USD","Period=FQ","BEST_FPERIOD_OVERRIDE=FQ","FILING_STATUS=MR","SCALING_FORMAT=MLN","Sort=A","Dates=H","DateFormat=P","Fill=—","Direction=H","UseDPDF=Y")</f>
        <v>—</v>
      </c>
      <c r="AA36" s="13">
        <f>_xll.BDH("AMGN US Equity","IS_IMPAIRMENT_ASSETS","FQ4 2024","FQ4 2024","Currency=USD","Period=FQ","BEST_FPERIOD_OVERRIDE=FQ","FILING_STATUS=MR","SCALING_FORMAT=MLN","Sort=A","Dates=H","DateFormat=P","Fill=—","Direction=H","UseDPDF=Y")</f>
        <v>21</v>
      </c>
    </row>
    <row r="37" spans="1:27" x14ac:dyDescent="0.25">
      <c r="A37" s="10" t="s">
        <v>622</v>
      </c>
      <c r="B37" s="10" t="s">
        <v>347</v>
      </c>
      <c r="C37" s="13" t="str">
        <f>_xll.BDH("AMGN US Equity","IS_LEGAL_LITIGATION_SETTLEMENT","FQ4 2018","FQ4 2018","Currency=USD","Period=FQ","BEST_FPERIOD_OVERRIDE=FQ","FILING_STATUS=MR","SCALING_FORMAT=MLN","Sort=A","Dates=H","DateFormat=P","Fill=—","Direction=H","UseDPDF=Y")</f>
        <v>—</v>
      </c>
      <c r="D37" s="13" t="str">
        <f>_xll.BDH("AMGN US Equity","IS_LEGAL_LITIGATION_SETTLEMENT","FQ1 2019","FQ1 2019","Currency=USD","Period=FQ","BEST_FPERIOD_OVERRIDE=FQ","FILING_STATUS=MR","SCALING_FORMAT=MLN","Sort=A","Dates=H","DateFormat=P","Fill=—","Direction=H","UseDPDF=Y")</f>
        <v>—</v>
      </c>
      <c r="E37" s="13" t="str">
        <f>_xll.BDH("AMGN US Equity","IS_LEGAL_LITIGATION_SETTLEMENT","FQ2 2019","FQ2 2019","Currency=USD","Period=FQ","BEST_FPERIOD_OVERRIDE=FQ","FILING_STATUS=MR","SCALING_FORMAT=MLN","Sort=A","Dates=H","DateFormat=P","Fill=—","Direction=H","UseDPDF=Y")</f>
        <v>—</v>
      </c>
      <c r="F37" s="13">
        <f>_xll.BDH("AMGN US Equity","IS_LEGAL_LITIGATION_SETTLEMENT","FQ3 2019","FQ3 2019","Currency=USD","Period=FQ","BEST_FPERIOD_OVERRIDE=FQ","FILING_STATUS=MR","SCALING_FORMAT=MLN","Sort=A","Dates=H","DateFormat=P","Fill=—","Direction=H","UseDPDF=Y")</f>
        <v>1</v>
      </c>
      <c r="G37" s="13" t="str">
        <f>_xll.BDH("AMGN US Equity","IS_LEGAL_LITIGATION_SETTLEMENT","FQ4 2019","FQ4 2019","Currency=USD","Period=FQ","BEST_FPERIOD_OVERRIDE=FQ","FILING_STATUS=MR","SCALING_FORMAT=MLN","Sort=A","Dates=H","DateFormat=P","Fill=—","Direction=H","UseDPDF=Y")</f>
        <v>—</v>
      </c>
      <c r="H37" s="13" t="str">
        <f>_xll.BDH("AMGN US Equity","IS_LEGAL_LITIGATION_SETTLEMENT","FQ1 2020","FQ1 2020","Currency=USD","Period=FQ","BEST_FPERIOD_OVERRIDE=FQ","FILING_STATUS=MR","SCALING_FORMAT=MLN","Sort=A","Dates=H","DateFormat=P","Fill=—","Direction=H","UseDPDF=Y")</f>
        <v>—</v>
      </c>
      <c r="I37" s="13">
        <f>_xll.BDH("AMGN US Equity","IS_LEGAL_LITIGATION_SETTLEMENT","FQ2 2020","FQ2 2020","Currency=USD","Period=FQ","BEST_FPERIOD_OVERRIDE=FQ","FILING_STATUS=MR","SCALING_FORMAT=MLN","Sort=A","Dates=H","DateFormat=P","Fill=—","Direction=H","UseDPDF=Y")</f>
        <v>102</v>
      </c>
      <c r="J37" s="13" t="str">
        <f>_xll.BDH("AMGN US Equity","IS_LEGAL_LITIGATION_SETTLEMENT","FQ3 2020","FQ3 2020","Currency=USD","Period=FQ","BEST_FPERIOD_OVERRIDE=FQ","FILING_STATUS=MR","SCALING_FORMAT=MLN","Sort=A","Dates=H","DateFormat=P","Fill=—","Direction=H","UseDPDF=Y")</f>
        <v>—</v>
      </c>
      <c r="K37" s="13">
        <f>_xll.BDH("AMGN US Equity","IS_LEGAL_LITIGATION_SETTLEMENT","FQ4 2020","FQ4 2020","Currency=USD","Period=FQ","BEST_FPERIOD_OVERRIDE=FQ","FILING_STATUS=MR","SCALING_FORMAT=MLN","Sort=A","Dates=H","DateFormat=P","Fill=—","Direction=H","UseDPDF=Y")</f>
        <v>65</v>
      </c>
      <c r="L37" s="13" t="str">
        <f>_xll.BDH("AMGN US Equity","IS_LEGAL_LITIGATION_SETTLEMENT","FQ1 2021","FQ1 2021","Currency=USD","Period=FQ","BEST_FPERIOD_OVERRIDE=FQ","FILING_STATUS=MR","SCALING_FORMAT=MLN","Sort=A","Dates=H","DateFormat=P","Fill=—","Direction=H","UseDPDF=Y")</f>
        <v>—</v>
      </c>
      <c r="M37" s="13" t="str">
        <f>_xll.BDH("AMGN US Equity","IS_LEGAL_LITIGATION_SETTLEMENT","FQ2 2021","FQ2 2021","Currency=USD","Period=FQ","BEST_FPERIOD_OVERRIDE=FQ","FILING_STATUS=MR","SCALING_FORMAT=MLN","Sort=A","Dates=H","DateFormat=P","Fill=—","Direction=H","UseDPDF=Y")</f>
        <v>—</v>
      </c>
      <c r="N37" s="13" t="str">
        <f>_xll.BDH("AMGN US Equity","IS_LEGAL_LITIGATION_SETTLEMENT","FQ3 2021","FQ3 2021","Currency=USD","Period=FQ","BEST_FPERIOD_OVERRIDE=FQ","FILING_STATUS=MR","SCALING_FORMAT=MLN","Sort=A","Dates=H","DateFormat=P","Fill=—","Direction=H","UseDPDF=Y")</f>
        <v>—</v>
      </c>
      <c r="O37" s="13">
        <f>_xll.BDH("AMGN US Equity","IS_LEGAL_LITIGATION_SETTLEMENT","FQ4 2021","FQ4 2021","Currency=USD","Period=FQ","BEST_FPERIOD_OVERRIDE=FQ","FILING_STATUS=MR","SCALING_FORMAT=MLN","Sort=A","Dates=H","DateFormat=P","Fill=—","Direction=H","UseDPDF=Y")</f>
        <v>50</v>
      </c>
      <c r="P37" s="13" t="str">
        <f>_xll.BDH("AMGN US Equity","IS_LEGAL_LITIGATION_SETTLEMENT","FQ1 2022","FQ1 2022","Currency=USD","Period=FQ","BEST_FPERIOD_OVERRIDE=FQ","FILING_STATUS=MR","SCALING_FORMAT=MLN","Sort=A","Dates=H","DateFormat=P","Fill=—","Direction=H","UseDPDF=Y")</f>
        <v>—</v>
      </c>
      <c r="Q37" s="13" t="str">
        <f>_xll.BDH("AMGN US Equity","IS_LEGAL_LITIGATION_SETTLEMENT","FQ2 2022","FQ2 2022","Currency=USD","Period=FQ","BEST_FPERIOD_OVERRIDE=FQ","FILING_STATUS=MR","SCALING_FORMAT=MLN","Sort=A","Dates=H","DateFormat=P","Fill=—","Direction=H","UseDPDF=Y")</f>
        <v>—</v>
      </c>
      <c r="R37" s="13" t="str">
        <f>_xll.BDH("AMGN US Equity","IS_LEGAL_LITIGATION_SETTLEMENT","FQ3 2022","FQ3 2022","Currency=USD","Period=FQ","BEST_FPERIOD_OVERRIDE=FQ","FILING_STATUS=MR","SCALING_FORMAT=MLN","Sort=A","Dates=H","DateFormat=P","Fill=—","Direction=H","UseDPDF=Y")</f>
        <v>—</v>
      </c>
      <c r="S37" s="13" t="str">
        <f>_xll.BDH("AMGN US Equity","IS_LEGAL_LITIGATION_SETTLEMENT","FQ4 2022","FQ4 2022","Currency=USD","Period=FQ","BEST_FPERIOD_OVERRIDE=FQ","FILING_STATUS=MR","SCALING_FORMAT=MLN","Sort=A","Dates=H","DateFormat=P","Fill=—","Direction=H","UseDPDF=Y")</f>
        <v>—</v>
      </c>
      <c r="T37" s="13" t="str">
        <f>_xll.BDH("AMGN US Equity","IS_LEGAL_LITIGATION_SETTLEMENT","FQ1 2023","FQ1 2023","Currency=USD","Period=FQ","BEST_FPERIOD_OVERRIDE=FQ","FILING_STATUS=MR","SCALING_FORMAT=MLN","Sort=A","Dates=H","DateFormat=P","Fill=—","Direction=H","UseDPDF=Y")</f>
        <v>—</v>
      </c>
      <c r="U37" s="13" t="str">
        <f>_xll.BDH("AMGN US Equity","IS_LEGAL_LITIGATION_SETTLEMENT","FQ2 2023","FQ2 2023","Currency=USD","Period=FQ","BEST_FPERIOD_OVERRIDE=FQ","FILING_STATUS=MR","SCALING_FORMAT=MLN","Sort=A","Dates=H","DateFormat=P","Fill=—","Direction=H","UseDPDF=Y")</f>
        <v>—</v>
      </c>
      <c r="V37" s="13" t="str">
        <f>_xll.BDH("AMGN US Equity","IS_LEGAL_LITIGATION_SETTLEMENT","FQ3 2023","FQ3 2023","Currency=USD","Period=FQ","BEST_FPERIOD_OVERRIDE=FQ","FILING_STATUS=MR","SCALING_FORMAT=MLN","Sort=A","Dates=H","DateFormat=P","Fill=—","Direction=H","UseDPDF=Y")</f>
        <v>—</v>
      </c>
      <c r="W37" s="13" t="str">
        <f>_xll.BDH("AMGN US Equity","IS_LEGAL_LITIGATION_SETTLEMENT","FQ4 2023","FQ4 2023","Currency=USD","Period=FQ","BEST_FPERIOD_OVERRIDE=FQ","FILING_STATUS=MR","SCALING_FORMAT=MLN","Sort=A","Dates=H","DateFormat=P","Fill=—","Direction=H","UseDPDF=Y")</f>
        <v>—</v>
      </c>
      <c r="X37" s="13" t="str">
        <f>_xll.BDH("AMGN US Equity","IS_LEGAL_LITIGATION_SETTLEMENT","FQ1 2024","FQ1 2024","Currency=USD","Period=FQ","BEST_FPERIOD_OVERRIDE=FQ","FILING_STATUS=MR","SCALING_FORMAT=MLN","Sort=A","Dates=H","DateFormat=P","Fill=—","Direction=H","UseDPDF=Y")</f>
        <v>—</v>
      </c>
      <c r="Y37" s="13" t="str">
        <f>_xll.BDH("AMGN US Equity","IS_LEGAL_LITIGATION_SETTLEMENT","FQ2 2024","FQ2 2024","Currency=USD","Period=FQ","BEST_FPERIOD_OVERRIDE=FQ","FILING_STATUS=MR","SCALING_FORMAT=MLN","Sort=A","Dates=H","DateFormat=P","Fill=—","Direction=H","UseDPDF=Y")</f>
        <v>—</v>
      </c>
      <c r="Z37" s="13" t="str">
        <f>_xll.BDH("AMGN US Equity","IS_LEGAL_LITIGATION_SETTLEMENT","FQ3 2024","FQ3 2024","Currency=USD","Period=FQ","BEST_FPERIOD_OVERRIDE=FQ","FILING_STATUS=MR","SCALING_FORMAT=MLN","Sort=A","Dates=H","DateFormat=P","Fill=—","Direction=H","UseDPDF=Y")</f>
        <v>—</v>
      </c>
      <c r="AA37" s="13" t="str">
        <f>_xll.BDH("AMGN US Equity","IS_LEGAL_LITIGATION_SETTLEMENT","FQ4 2024","FQ4 2024","Currency=USD","Period=FQ","BEST_FPERIOD_OVERRIDE=FQ","FILING_STATUS=MR","SCALING_FORMAT=MLN","Sort=A","Dates=H","DateFormat=P","Fill=—","Direction=H","UseDPDF=Y")</f>
        <v>—</v>
      </c>
    </row>
    <row r="38" spans="1:27" x14ac:dyDescent="0.25">
      <c r="A38" s="10" t="s">
        <v>624</v>
      </c>
      <c r="B38" s="10" t="s">
        <v>349</v>
      </c>
      <c r="C38" s="13">
        <f>_xll.BDH("AMGN US Equity","IS_RESTRUCTURING_EXPENSES","FQ4 2018","FQ4 2018","Currency=USD","Period=FQ","BEST_FPERIOD_OVERRIDE=FQ","FILING_STATUS=MR","SCALING_FORMAT=MLN","Sort=A","Dates=H","DateFormat=P","Fill=—","Direction=H","UseDPDF=Y")</f>
        <v>11</v>
      </c>
      <c r="D38" s="13" t="str">
        <f>_xll.BDH("AMGN US Equity","IS_RESTRUCTURING_EXPENSES","FQ1 2019","FQ1 2019","Currency=USD","Period=FQ","BEST_FPERIOD_OVERRIDE=FQ","FILING_STATUS=MR","SCALING_FORMAT=MLN","Sort=A","Dates=H","DateFormat=P","Fill=—","Direction=H","UseDPDF=Y")</f>
        <v>—</v>
      </c>
      <c r="E38" s="13">
        <f>_xll.BDH("AMGN US Equity","IS_RESTRUCTURING_EXPENSES","FQ2 2019","FQ2 2019","Currency=USD","Period=FQ","BEST_FPERIOD_OVERRIDE=FQ","FILING_STATUS=MR","SCALING_FORMAT=MLN","Sort=A","Dates=H","DateFormat=P","Fill=—","Direction=H","UseDPDF=Y")</f>
        <v>-1</v>
      </c>
      <c r="F38" s="13">
        <f>_xll.BDH("AMGN US Equity","IS_RESTRUCTURING_EXPENSES","FQ3 2019","FQ3 2019","Currency=USD","Period=FQ","BEST_FPERIOD_OVERRIDE=FQ","FILING_STATUS=MR","SCALING_FORMAT=MLN","Sort=A","Dates=H","DateFormat=P","Fill=—","Direction=H","UseDPDF=Y")</f>
        <v>-1</v>
      </c>
      <c r="G38" s="13">
        <f>_xll.BDH("AMGN US Equity","IS_RESTRUCTURING_EXPENSES","FQ4 2019","FQ4 2019","Currency=USD","Period=FQ","BEST_FPERIOD_OVERRIDE=FQ","FILING_STATUS=MR","SCALING_FORMAT=MLN","Sort=A","Dates=H","DateFormat=P","Fill=—","Direction=H","UseDPDF=Y")</f>
        <v>48</v>
      </c>
      <c r="H38" s="13">
        <f>_xll.BDH("AMGN US Equity","IS_RESTRUCTURING_EXPENSES","FQ1 2020","FQ1 2020","Currency=USD","Period=FQ","BEST_FPERIOD_OVERRIDE=FQ","FILING_STATUS=MR","SCALING_FORMAT=MLN","Sort=A","Dates=H","DateFormat=P","Fill=—","Direction=H","UseDPDF=Y")</f>
        <v>-2</v>
      </c>
      <c r="I38" s="13">
        <f>_xll.BDH("AMGN US Equity","IS_RESTRUCTURING_EXPENSES","FQ2 2020","FQ2 2020","Currency=USD","Period=FQ","BEST_FPERIOD_OVERRIDE=FQ","FILING_STATUS=MR","SCALING_FORMAT=MLN","Sort=A","Dates=H","DateFormat=P","Fill=—","Direction=H","UseDPDF=Y")</f>
        <v>-2</v>
      </c>
      <c r="J38" s="13">
        <f>_xll.BDH("AMGN US Equity","IS_RESTRUCTURING_EXPENSES","FQ3 2020","FQ3 2020","Currency=USD","Period=FQ","BEST_FPERIOD_OVERRIDE=FQ","FILING_STATUS=MR","SCALING_FORMAT=MLN","Sort=A","Dates=H","DateFormat=P","Fill=—","Direction=H","UseDPDF=Y")</f>
        <v>1</v>
      </c>
      <c r="K38" s="13" t="str">
        <f>_xll.BDH("AMGN US Equity","IS_RESTRUCTURING_EXPENSES","FQ4 2020","FQ4 2020","Currency=USD","Period=FQ","BEST_FPERIOD_OVERRIDE=FQ","FILING_STATUS=MR","SCALING_FORMAT=MLN","Sort=A","Dates=H","DateFormat=P","Fill=—","Direction=H","UseDPDF=Y")</f>
        <v>—</v>
      </c>
      <c r="L38" s="13" t="str">
        <f>_xll.BDH("AMGN US Equity","IS_RESTRUCTURING_EXPENSES","FQ1 2021","FQ1 2021","Currency=USD","Period=FQ","BEST_FPERIOD_OVERRIDE=FQ","FILING_STATUS=MR","SCALING_FORMAT=MLN","Sort=A","Dates=H","DateFormat=P","Fill=—","Direction=H","UseDPDF=Y")</f>
        <v>—</v>
      </c>
      <c r="M38" s="13">
        <f>_xll.BDH("AMGN US Equity","IS_RESTRUCTURING_EXPENSES","FQ2 2021","FQ2 2021","Currency=USD","Period=FQ","BEST_FPERIOD_OVERRIDE=FQ","FILING_STATUS=MR","SCALING_FORMAT=MLN","Sort=A","Dates=H","DateFormat=P","Fill=—","Direction=H","UseDPDF=Y")</f>
        <v>76</v>
      </c>
      <c r="N38" s="13" t="str">
        <f>_xll.BDH("AMGN US Equity","IS_RESTRUCTURING_EXPENSES","FQ3 2021","FQ3 2021","Currency=USD","Period=FQ","BEST_FPERIOD_OVERRIDE=FQ","FILING_STATUS=MR","SCALING_FORMAT=MLN","Sort=A","Dates=H","DateFormat=P","Fill=—","Direction=H","UseDPDF=Y")</f>
        <v>—</v>
      </c>
      <c r="O38" s="13">
        <f>_xll.BDH("AMGN US Equity","IS_RESTRUCTURING_EXPENSES","FQ4 2021","FQ4 2021","Currency=USD","Period=FQ","BEST_FPERIOD_OVERRIDE=FQ","FILING_STATUS=MR","SCALING_FORMAT=MLN","Sort=A","Dates=H","DateFormat=P","Fill=—","Direction=H","UseDPDF=Y")</f>
        <v>1</v>
      </c>
      <c r="P38" s="13" t="str">
        <f>_xll.BDH("AMGN US Equity","IS_RESTRUCTURING_EXPENSES","FQ1 2022","FQ1 2022","Currency=USD","Period=FQ","BEST_FPERIOD_OVERRIDE=FQ","FILING_STATUS=MR","SCALING_FORMAT=MLN","Sort=A","Dates=H","DateFormat=P","Fill=—","Direction=H","UseDPDF=Y")</f>
        <v>—</v>
      </c>
      <c r="Q38" s="13">
        <f>_xll.BDH("AMGN US Equity","IS_RESTRUCTURING_EXPENSES","FQ2 2022","FQ2 2022","Currency=USD","Period=FQ","BEST_FPERIOD_OVERRIDE=FQ","FILING_STATUS=MR","SCALING_FORMAT=MLN","Sort=A","Dates=H","DateFormat=P","Fill=—","Direction=H","UseDPDF=Y")</f>
        <v>-1</v>
      </c>
      <c r="R38" s="13" t="str">
        <f>_xll.BDH("AMGN US Equity","IS_RESTRUCTURING_EXPENSES","FQ3 2022","FQ3 2022","Currency=USD","Period=FQ","BEST_FPERIOD_OVERRIDE=FQ","FILING_STATUS=MR","SCALING_FORMAT=MLN","Sort=A","Dates=H","DateFormat=P","Fill=—","Direction=H","UseDPDF=Y")</f>
        <v>—</v>
      </c>
      <c r="S38" s="13" t="str">
        <f>_xll.BDH("AMGN US Equity","IS_RESTRUCTURING_EXPENSES","FQ4 2022","FQ4 2022","Currency=USD","Period=FQ","BEST_FPERIOD_OVERRIDE=FQ","FILING_STATUS=MR","SCALING_FORMAT=MLN","Sort=A","Dates=H","DateFormat=P","Fill=—","Direction=H","UseDPDF=Y")</f>
        <v>—</v>
      </c>
      <c r="T38" s="13" t="str">
        <f>_xll.BDH("AMGN US Equity","IS_RESTRUCTURING_EXPENSES","FQ1 2023","FQ1 2023","Currency=USD","Period=FQ","BEST_FPERIOD_OVERRIDE=FQ","FILING_STATUS=MR","SCALING_FORMAT=MLN","Sort=A","Dates=H","DateFormat=P","Fill=—","Direction=H","UseDPDF=Y")</f>
        <v>—</v>
      </c>
      <c r="U38" s="13">
        <f>_xll.BDH("AMGN US Equity","IS_RESTRUCTURING_EXPENSES","FQ2 2023","FQ2 2023","Currency=USD","Period=FQ","BEST_FPERIOD_OVERRIDE=FQ","FILING_STATUS=MR","SCALING_FORMAT=MLN","Sort=A","Dates=H","DateFormat=P","Fill=—","Direction=H","UseDPDF=Y")</f>
        <v>25</v>
      </c>
      <c r="V38" s="13">
        <f>_xll.BDH("AMGN US Equity","IS_RESTRUCTURING_EXPENSES","FQ3 2023","FQ3 2023","Currency=USD","Period=FQ","BEST_FPERIOD_OVERRIDE=FQ","FILING_STATUS=MR","SCALING_FORMAT=MLN","Sort=A","Dates=H","DateFormat=P","Fill=—","Direction=H","UseDPDF=Y")</f>
        <v>16</v>
      </c>
      <c r="W38" s="13">
        <f>_xll.BDH("AMGN US Equity","IS_RESTRUCTURING_EXPENSES","FQ4 2023","FQ4 2023","Currency=USD","Period=FQ","BEST_FPERIOD_OVERRIDE=FQ","FILING_STATUS=MR","SCALING_FORMAT=MLN","Sort=A","Dates=H","DateFormat=P","Fill=—","Direction=H","UseDPDF=Y")</f>
        <v>14</v>
      </c>
      <c r="X38" s="13" t="str">
        <f>_xll.BDH("AMGN US Equity","IS_RESTRUCTURING_EXPENSES","FQ1 2024","FQ1 2024","Currency=USD","Period=FQ","BEST_FPERIOD_OVERRIDE=FQ","FILING_STATUS=MR","SCALING_FORMAT=MLN","Sort=A","Dates=H","DateFormat=P","Fill=—","Direction=H","UseDPDF=Y")</f>
        <v>—</v>
      </c>
      <c r="Y38" s="13">
        <f>_xll.BDH("AMGN US Equity","IS_RESTRUCTURING_EXPENSES","FQ2 2024","FQ2 2024","Currency=USD","Period=FQ","BEST_FPERIOD_OVERRIDE=FQ","FILING_STATUS=MR","SCALING_FORMAT=MLN","Sort=A","Dates=H","DateFormat=P","Fill=—","Direction=H","UseDPDF=Y")</f>
        <v>-3</v>
      </c>
      <c r="Z38" s="13" t="str">
        <f>_xll.BDH("AMGN US Equity","IS_RESTRUCTURING_EXPENSES","FQ3 2024","FQ3 2024","Currency=USD","Period=FQ","BEST_FPERIOD_OVERRIDE=FQ","FILING_STATUS=MR","SCALING_FORMAT=MLN","Sort=A","Dates=H","DateFormat=P","Fill=—","Direction=H","UseDPDF=Y")</f>
        <v>—</v>
      </c>
      <c r="AA38" s="13" t="str">
        <f>_xll.BDH("AMGN US Equity","IS_RESTRUCTURING_EXPENSES","FQ4 2024","FQ4 2024","Currency=USD","Period=FQ","BEST_FPERIOD_OVERRIDE=FQ","FILING_STATUS=MR","SCALING_FORMAT=MLN","Sort=A","Dates=H","DateFormat=P","Fill=—","Direction=H","UseDPDF=Y")</f>
        <v>—</v>
      </c>
    </row>
    <row r="39" spans="1:27" x14ac:dyDescent="0.25">
      <c r="A39" s="10" t="s">
        <v>626</v>
      </c>
      <c r="B39" s="10" t="s">
        <v>351</v>
      </c>
      <c r="C39" s="13" t="str">
        <f>_xll.BDH("AMGN US Equity","IS_GAIN_LOSS_ON_INVESTMENTS","FQ4 2018","FQ4 2018","Currency=USD","Period=FQ","BEST_FPERIOD_OVERRIDE=FQ","FILING_STATUS=MR","SCALING_FORMAT=MLN","Sort=A","Dates=H","DateFormat=P","Fill=—","Direction=H","UseDPDF=Y")</f>
        <v>—</v>
      </c>
      <c r="D39" s="13" t="str">
        <f>_xll.BDH("AMGN US Equity","IS_GAIN_LOSS_ON_INVESTMENTS","FQ1 2019","FQ1 2019","Currency=USD","Period=FQ","BEST_FPERIOD_OVERRIDE=FQ","FILING_STATUS=MR","SCALING_FORMAT=MLN","Sort=A","Dates=H","DateFormat=P","Fill=—","Direction=H","UseDPDF=Y")</f>
        <v>—</v>
      </c>
      <c r="E39" s="13" t="str">
        <f>_xll.BDH("AMGN US Equity","IS_GAIN_LOSS_ON_INVESTMENTS","FQ2 2019","FQ2 2019","Currency=USD","Period=FQ","BEST_FPERIOD_OVERRIDE=FQ","FILING_STATUS=MR","SCALING_FORMAT=MLN","Sort=A","Dates=H","DateFormat=P","Fill=—","Direction=H","UseDPDF=Y")</f>
        <v>—</v>
      </c>
      <c r="F39" s="13" t="str">
        <f>_xll.BDH("AMGN US Equity","IS_GAIN_LOSS_ON_INVESTMENTS","FQ3 2019","FQ3 2019","Currency=USD","Period=FQ","BEST_FPERIOD_OVERRIDE=FQ","FILING_STATUS=MR","SCALING_FORMAT=MLN","Sort=A","Dates=H","DateFormat=P","Fill=—","Direction=H","UseDPDF=Y")</f>
        <v>—</v>
      </c>
      <c r="G39" s="13" t="str">
        <f>_xll.BDH("AMGN US Equity","IS_GAIN_LOSS_ON_INVESTMENTS","FQ4 2019","FQ4 2019","Currency=USD","Period=FQ","BEST_FPERIOD_OVERRIDE=FQ","FILING_STATUS=MR","SCALING_FORMAT=MLN","Sort=A","Dates=H","DateFormat=P","Fill=—","Direction=H","UseDPDF=Y")</f>
        <v>—</v>
      </c>
      <c r="H39" s="13" t="str">
        <f>_xll.BDH("AMGN US Equity","IS_GAIN_LOSS_ON_INVESTMENTS","FQ1 2020","FQ1 2020","Currency=USD","Period=FQ","BEST_FPERIOD_OVERRIDE=FQ","FILING_STATUS=MR","SCALING_FORMAT=MLN","Sort=A","Dates=H","DateFormat=P","Fill=—","Direction=H","UseDPDF=Y")</f>
        <v>—</v>
      </c>
      <c r="I39" s="13" t="str">
        <f>_xll.BDH("AMGN US Equity","IS_GAIN_LOSS_ON_INVESTMENTS","FQ2 2020","FQ2 2020","Currency=USD","Period=FQ","BEST_FPERIOD_OVERRIDE=FQ","FILING_STATUS=MR","SCALING_FORMAT=MLN","Sort=A","Dates=H","DateFormat=P","Fill=—","Direction=H","UseDPDF=Y")</f>
        <v>—</v>
      </c>
      <c r="J39" s="13" t="str">
        <f>_xll.BDH("AMGN US Equity","IS_GAIN_LOSS_ON_INVESTMENTS","FQ3 2020","FQ3 2020","Currency=USD","Period=FQ","BEST_FPERIOD_OVERRIDE=FQ","FILING_STATUS=MR","SCALING_FORMAT=MLN","Sort=A","Dates=H","DateFormat=P","Fill=—","Direction=H","UseDPDF=Y")</f>
        <v>—</v>
      </c>
      <c r="K39" s="13" t="str">
        <f>_xll.BDH("AMGN US Equity","IS_GAIN_LOSS_ON_INVESTMENTS","FQ4 2020","FQ4 2020","Currency=USD","Period=FQ","BEST_FPERIOD_OVERRIDE=FQ","FILING_STATUS=MR","SCALING_FORMAT=MLN","Sort=A","Dates=H","DateFormat=P","Fill=—","Direction=H","UseDPDF=Y")</f>
        <v>—</v>
      </c>
      <c r="L39" s="13">
        <f>_xll.BDH("AMGN US Equity","IS_GAIN_LOSS_ON_INVESTMENTS","FQ1 2021","FQ1 2021","Currency=USD","Period=FQ","BEST_FPERIOD_OVERRIDE=FQ","FILING_STATUS=MR","SCALING_FORMAT=MLN","Sort=A","Dates=H","DateFormat=P","Fill=—","Direction=H","UseDPDF=Y")</f>
        <v>-145</v>
      </c>
      <c r="M39" s="13">
        <f>_xll.BDH("AMGN US Equity","IS_GAIN_LOSS_ON_INVESTMENTS","FQ2 2021","FQ2 2021","Currency=USD","Period=FQ","BEST_FPERIOD_OVERRIDE=FQ","FILING_STATUS=MR","SCALING_FORMAT=MLN","Sort=A","Dates=H","DateFormat=P","Fill=—","Direction=H","UseDPDF=Y")</f>
        <v>1</v>
      </c>
      <c r="N39" s="13">
        <f>_xll.BDH("AMGN US Equity","IS_GAIN_LOSS_ON_INVESTMENTS","FQ3 2021","FQ3 2021","Currency=USD","Period=FQ","BEST_FPERIOD_OVERRIDE=FQ","FILING_STATUS=MR","SCALING_FORMAT=MLN","Sort=A","Dates=H","DateFormat=P","Fill=—","Direction=H","UseDPDF=Y")</f>
        <v>-191</v>
      </c>
      <c r="O39" s="13">
        <f>_xll.BDH("AMGN US Equity","IS_GAIN_LOSS_ON_INVESTMENTS","FQ4 2021","FQ4 2021","Currency=USD","Period=FQ","BEST_FPERIOD_OVERRIDE=FQ","FILING_STATUS=MR","SCALING_FORMAT=MLN","Sort=A","Dates=H","DateFormat=P","Fill=—","Direction=H","UseDPDF=Y")</f>
        <v>-86</v>
      </c>
      <c r="P39" s="13">
        <f>_xll.BDH("AMGN US Equity","IS_GAIN_LOSS_ON_INVESTMENTS","FQ1 2022","FQ1 2022","Currency=USD","Period=FQ","BEST_FPERIOD_OVERRIDE=FQ","FILING_STATUS=MR","SCALING_FORMAT=MLN","Sort=A","Dates=H","DateFormat=P","Fill=—","Direction=H","UseDPDF=Y")</f>
        <v>365</v>
      </c>
      <c r="Q39" s="13">
        <f>_xll.BDH("AMGN US Equity","IS_GAIN_LOSS_ON_INVESTMENTS","FQ2 2022","FQ2 2022","Currency=USD","Period=FQ","BEST_FPERIOD_OVERRIDE=FQ","FILING_STATUS=MR","SCALING_FORMAT=MLN","Sort=A","Dates=H","DateFormat=P","Fill=—","Direction=H","UseDPDF=Y")</f>
        <v>186</v>
      </c>
      <c r="R39" s="13">
        <f>_xll.BDH("AMGN US Equity","IS_GAIN_LOSS_ON_INVESTMENTS","FQ3 2022","FQ3 2022","Currency=USD","Period=FQ","BEST_FPERIOD_OVERRIDE=FQ","FILING_STATUS=MR","SCALING_FORMAT=MLN","Sort=A","Dates=H","DateFormat=P","Fill=—","Direction=H","UseDPDF=Y")</f>
        <v>-150</v>
      </c>
      <c r="S39" s="13">
        <f>_xll.BDH("AMGN US Equity","IS_GAIN_LOSS_ON_INVESTMENTS","FQ4 2022","FQ4 2022","Currency=USD","Period=FQ","BEST_FPERIOD_OVERRIDE=FQ","FILING_STATUS=MR","SCALING_FORMAT=MLN","Sort=A","Dates=H","DateFormat=P","Fill=—","Direction=H","UseDPDF=Y")</f>
        <v>-39</v>
      </c>
      <c r="T39" s="13">
        <f>_xll.BDH("AMGN US Equity","IS_GAIN_LOSS_ON_INVESTMENTS","FQ1 2023","FQ1 2023","Currency=USD","Period=FQ","BEST_FPERIOD_OVERRIDE=FQ","FILING_STATUS=MR","SCALING_FORMAT=MLN","Sort=A","Dates=H","DateFormat=P","Fill=—","Direction=H","UseDPDF=Y")</f>
        <v>-1853</v>
      </c>
      <c r="U39" s="13" t="str">
        <f>_xll.BDH("AMGN US Equity","IS_GAIN_LOSS_ON_INVESTMENTS","FQ2 2023","FQ2 2023","Currency=USD","Period=FQ","BEST_FPERIOD_OVERRIDE=FQ","FILING_STATUS=MR","SCALING_FORMAT=MLN","Sort=A","Dates=H","DateFormat=P","Fill=—","Direction=H","UseDPDF=Y")</f>
        <v>—</v>
      </c>
      <c r="V39" s="13">
        <f>_xll.BDH("AMGN US Equity","IS_GAIN_LOSS_ON_INVESTMENTS","FQ3 2023","FQ3 2023","Currency=USD","Period=FQ","BEST_FPERIOD_OVERRIDE=FQ","FILING_STATUS=MR","SCALING_FORMAT=MLN","Sort=A","Dates=H","DateFormat=P","Fill=—","Direction=H","UseDPDF=Y")</f>
        <v>-170</v>
      </c>
      <c r="W39" s="13">
        <f>_xll.BDH("AMGN US Equity","IS_GAIN_LOSS_ON_INVESTMENTS","FQ4 2023","FQ4 2023","Currency=USD","Period=FQ","BEST_FPERIOD_OVERRIDE=FQ","FILING_STATUS=MR","SCALING_FORMAT=MLN","Sort=A","Dates=H","DateFormat=P","Fill=—","Direction=H","UseDPDF=Y")</f>
        <v>-217</v>
      </c>
      <c r="X39" s="13">
        <f>_xll.BDH("AMGN US Equity","IS_GAIN_LOSS_ON_INVESTMENTS","FQ1 2024","FQ1 2024","Currency=USD","Period=FQ","BEST_FPERIOD_OVERRIDE=FQ","FILING_STATUS=MR","SCALING_FORMAT=MLN","Sort=A","Dates=H","DateFormat=P","Fill=—","Direction=H","UseDPDF=Y")</f>
        <v>510</v>
      </c>
      <c r="Y39" s="13" t="str">
        <f>_xll.BDH("AMGN US Equity","IS_GAIN_LOSS_ON_INVESTMENTS","FQ2 2024","FQ2 2024","Currency=USD","Period=FQ","BEST_FPERIOD_OVERRIDE=FQ","FILING_STATUS=MR","SCALING_FORMAT=MLN","Sort=A","Dates=H","DateFormat=P","Fill=—","Direction=H","UseDPDF=Y")</f>
        <v>—</v>
      </c>
      <c r="Z39" s="13" t="str">
        <f>_xll.BDH("AMGN US Equity","IS_GAIN_LOSS_ON_INVESTMENTS","FQ3 2024","FQ3 2024","Currency=USD","Period=FQ","BEST_FPERIOD_OVERRIDE=FQ","FILING_STATUS=MR","SCALING_FORMAT=MLN","Sort=A","Dates=H","DateFormat=P","Fill=—","Direction=H","UseDPDF=Y")</f>
        <v>—</v>
      </c>
      <c r="AA39" s="13">
        <f>_xll.BDH("AMGN US Equity","IS_GAIN_LOSS_ON_INVESTMENTS","FQ4 2024","FQ4 2024","Currency=USD","Period=FQ","BEST_FPERIOD_OVERRIDE=FQ","FILING_STATUS=MR","SCALING_FORMAT=MLN","Sort=A","Dates=H","DateFormat=P","Fill=—","Direction=H","UseDPDF=Y")</f>
        <v>875</v>
      </c>
    </row>
    <row r="40" spans="1:27" x14ac:dyDescent="0.25">
      <c r="A40" s="10" t="s">
        <v>631</v>
      </c>
      <c r="B40" s="10" t="s">
        <v>353</v>
      </c>
      <c r="C40" s="13" t="str">
        <f>_xll.BDH("AMGN US Equity","IS_UNREALIZED_INVESTMENTS","FQ4 2018","FQ4 2018","Currency=USD","Period=FQ","BEST_FPERIOD_OVERRIDE=FQ","FILING_STATUS=MR","SCALING_FORMAT=MLN","Sort=A","Dates=H","DateFormat=P","Fill=—","Direction=H","UseDPDF=Y")</f>
        <v>—</v>
      </c>
      <c r="D40" s="13" t="str">
        <f>_xll.BDH("AMGN US Equity","IS_UNREALIZED_INVESTMENTS","FQ1 2019","FQ1 2019","Currency=USD","Period=FQ","BEST_FPERIOD_OVERRIDE=FQ","FILING_STATUS=MR","SCALING_FORMAT=MLN","Sort=A","Dates=H","DateFormat=P","Fill=—","Direction=H","UseDPDF=Y")</f>
        <v>—</v>
      </c>
      <c r="E40" s="13" t="str">
        <f>_xll.BDH("AMGN US Equity","IS_UNREALIZED_INVESTMENTS","FQ2 2019","FQ2 2019","Currency=USD","Period=FQ","BEST_FPERIOD_OVERRIDE=FQ","FILING_STATUS=MR","SCALING_FORMAT=MLN","Sort=A","Dates=H","DateFormat=P","Fill=—","Direction=H","UseDPDF=Y")</f>
        <v>—</v>
      </c>
      <c r="F40" s="13" t="str">
        <f>_xll.BDH("AMGN US Equity","IS_UNREALIZED_INVESTMENTS","FQ3 2019","FQ3 2019","Currency=USD","Period=FQ","BEST_FPERIOD_OVERRIDE=FQ","FILING_STATUS=MR","SCALING_FORMAT=MLN","Sort=A","Dates=H","DateFormat=P","Fill=—","Direction=H","UseDPDF=Y")</f>
        <v>—</v>
      </c>
      <c r="G40" s="13" t="str">
        <f>_xll.BDH("AMGN US Equity","IS_UNREALIZED_INVESTMENTS","FQ4 2019","FQ4 2019","Currency=USD","Period=FQ","BEST_FPERIOD_OVERRIDE=FQ","FILING_STATUS=MR","SCALING_FORMAT=MLN","Sort=A","Dates=H","DateFormat=P","Fill=—","Direction=H","UseDPDF=Y")</f>
        <v>—</v>
      </c>
      <c r="H40" s="13" t="str">
        <f>_xll.BDH("AMGN US Equity","IS_UNREALIZED_INVESTMENTS","FQ1 2020","FQ1 2020","Currency=USD","Period=FQ","BEST_FPERIOD_OVERRIDE=FQ","FILING_STATUS=MR","SCALING_FORMAT=MLN","Sort=A","Dates=H","DateFormat=P","Fill=—","Direction=H","UseDPDF=Y")</f>
        <v>—</v>
      </c>
      <c r="I40" s="13" t="str">
        <f>_xll.BDH("AMGN US Equity","IS_UNREALIZED_INVESTMENTS","FQ2 2020","FQ2 2020","Currency=USD","Period=FQ","BEST_FPERIOD_OVERRIDE=FQ","FILING_STATUS=MR","SCALING_FORMAT=MLN","Sort=A","Dates=H","DateFormat=P","Fill=—","Direction=H","UseDPDF=Y")</f>
        <v>—</v>
      </c>
      <c r="J40" s="13" t="str">
        <f>_xll.BDH("AMGN US Equity","IS_UNREALIZED_INVESTMENTS","FQ3 2020","FQ3 2020","Currency=USD","Period=FQ","BEST_FPERIOD_OVERRIDE=FQ","FILING_STATUS=MR","SCALING_FORMAT=MLN","Sort=A","Dates=H","DateFormat=P","Fill=—","Direction=H","UseDPDF=Y")</f>
        <v>—</v>
      </c>
      <c r="K40" s="13" t="str">
        <f>_xll.BDH("AMGN US Equity","IS_UNREALIZED_INVESTMENTS","FQ4 2020","FQ4 2020","Currency=USD","Period=FQ","BEST_FPERIOD_OVERRIDE=FQ","FILING_STATUS=MR","SCALING_FORMAT=MLN","Sort=A","Dates=H","DateFormat=P","Fill=—","Direction=H","UseDPDF=Y")</f>
        <v>—</v>
      </c>
      <c r="L40" s="13" t="str">
        <f>_xll.BDH("AMGN US Equity","IS_UNREALIZED_INVESTMENTS","FQ1 2021","FQ1 2021","Currency=USD","Period=FQ","BEST_FPERIOD_OVERRIDE=FQ","FILING_STATUS=MR","SCALING_FORMAT=MLN","Sort=A","Dates=H","DateFormat=P","Fill=—","Direction=H","UseDPDF=Y")</f>
        <v>—</v>
      </c>
      <c r="M40" s="13" t="str">
        <f>_xll.BDH("AMGN US Equity","IS_UNREALIZED_INVESTMENTS","FQ2 2021","FQ2 2021","Currency=USD","Period=FQ","BEST_FPERIOD_OVERRIDE=FQ","FILING_STATUS=MR","SCALING_FORMAT=MLN","Sort=A","Dates=H","DateFormat=P","Fill=—","Direction=H","UseDPDF=Y")</f>
        <v>—</v>
      </c>
      <c r="N40" s="13" t="str">
        <f>_xll.BDH("AMGN US Equity","IS_UNREALIZED_INVESTMENTS","FQ3 2021","FQ3 2021","Currency=USD","Period=FQ","BEST_FPERIOD_OVERRIDE=FQ","FILING_STATUS=MR","SCALING_FORMAT=MLN","Sort=A","Dates=H","DateFormat=P","Fill=—","Direction=H","UseDPDF=Y")</f>
        <v>—</v>
      </c>
      <c r="O40" s="13" t="str">
        <f>_xll.BDH("AMGN US Equity","IS_UNREALIZED_INVESTMENTS","FQ4 2021","FQ4 2021","Currency=USD","Period=FQ","BEST_FPERIOD_OVERRIDE=FQ","FILING_STATUS=MR","SCALING_FORMAT=MLN","Sort=A","Dates=H","DateFormat=P","Fill=—","Direction=H","UseDPDF=Y")</f>
        <v>—</v>
      </c>
      <c r="P40" s="13" t="str">
        <f>_xll.BDH("AMGN US Equity","IS_UNREALIZED_INVESTMENTS","FQ1 2022","FQ1 2022","Currency=USD","Period=FQ","BEST_FPERIOD_OVERRIDE=FQ","FILING_STATUS=MR","SCALING_FORMAT=MLN","Sort=A","Dates=H","DateFormat=P","Fill=—","Direction=H","UseDPDF=Y")</f>
        <v>—</v>
      </c>
      <c r="Q40" s="13" t="str">
        <f>_xll.BDH("AMGN US Equity","IS_UNREALIZED_INVESTMENTS","FQ2 2022","FQ2 2022","Currency=USD","Period=FQ","BEST_FPERIOD_OVERRIDE=FQ","FILING_STATUS=MR","SCALING_FORMAT=MLN","Sort=A","Dates=H","DateFormat=P","Fill=—","Direction=H","UseDPDF=Y")</f>
        <v>—</v>
      </c>
      <c r="R40" s="13" t="str">
        <f>_xll.BDH("AMGN US Equity","IS_UNREALIZED_INVESTMENTS","FQ3 2022","FQ3 2022","Currency=USD","Period=FQ","BEST_FPERIOD_OVERRIDE=FQ","FILING_STATUS=MR","SCALING_FORMAT=MLN","Sort=A","Dates=H","DateFormat=P","Fill=—","Direction=H","UseDPDF=Y")</f>
        <v>—</v>
      </c>
      <c r="S40" s="13" t="str">
        <f>_xll.BDH("AMGN US Equity","IS_UNREALIZED_INVESTMENTS","FQ4 2022","FQ4 2022","Currency=USD","Period=FQ","BEST_FPERIOD_OVERRIDE=FQ","FILING_STATUS=MR","SCALING_FORMAT=MLN","Sort=A","Dates=H","DateFormat=P","Fill=—","Direction=H","UseDPDF=Y")</f>
        <v>—</v>
      </c>
      <c r="T40" s="13" t="str">
        <f>_xll.BDH("AMGN US Equity","IS_UNREALIZED_INVESTMENTS","FQ1 2023","FQ1 2023","Currency=USD","Period=FQ","BEST_FPERIOD_OVERRIDE=FQ","FILING_STATUS=MR","SCALING_FORMAT=MLN","Sort=A","Dates=H","DateFormat=P","Fill=—","Direction=H","UseDPDF=Y")</f>
        <v>—</v>
      </c>
      <c r="U40" s="13">
        <f>_xll.BDH("AMGN US Equity","IS_UNREALIZED_INVESTMENTS","FQ2 2023","FQ2 2023","Currency=USD","Period=FQ","BEST_FPERIOD_OVERRIDE=FQ","FILING_STATUS=MR","SCALING_FORMAT=MLN","Sort=A","Dates=H","DateFormat=P","Fill=—","Direction=H","UseDPDF=Y")</f>
        <v>718</v>
      </c>
      <c r="V40" s="13" t="str">
        <f>_xll.BDH("AMGN US Equity","IS_UNREALIZED_INVESTMENTS","FQ3 2023","FQ3 2023","Currency=USD","Period=FQ","BEST_FPERIOD_OVERRIDE=FQ","FILING_STATUS=MR","SCALING_FORMAT=MLN","Sort=A","Dates=H","DateFormat=P","Fill=—","Direction=H","UseDPDF=Y")</f>
        <v>—</v>
      </c>
      <c r="W40" s="13" t="str">
        <f>_xll.BDH("AMGN US Equity","IS_UNREALIZED_INVESTMENTS","FQ4 2023","FQ4 2023","Currency=USD","Period=FQ","BEST_FPERIOD_OVERRIDE=FQ","FILING_STATUS=MR","SCALING_FORMAT=MLN","Sort=A","Dates=H","DateFormat=P","Fill=—","Direction=H","UseDPDF=Y")</f>
        <v>—</v>
      </c>
      <c r="X40" s="13" t="str">
        <f>_xll.BDH("AMGN US Equity","IS_UNREALIZED_INVESTMENTS","FQ1 2024","FQ1 2024","Currency=USD","Period=FQ","BEST_FPERIOD_OVERRIDE=FQ","FILING_STATUS=MR","SCALING_FORMAT=MLN","Sort=A","Dates=H","DateFormat=P","Fill=—","Direction=H","UseDPDF=Y")</f>
        <v>—</v>
      </c>
      <c r="Y40" s="13">
        <f>_xll.BDH("AMGN US Equity","IS_UNREALIZED_INVESTMENTS","FQ2 2024","FQ2 2024","Currency=USD","Period=FQ","BEST_FPERIOD_OVERRIDE=FQ","FILING_STATUS=MR","SCALING_FORMAT=MLN","Sort=A","Dates=H","DateFormat=P","Fill=—","Direction=H","UseDPDF=Y")</f>
        <v>405</v>
      </c>
      <c r="Z40" s="13">
        <f>_xll.BDH("AMGN US Equity","IS_UNREALIZED_INVESTMENTS","FQ3 2024","FQ3 2024","Currency=USD","Period=FQ","BEST_FPERIOD_OVERRIDE=FQ","FILING_STATUS=MR","SCALING_FORMAT=MLN","Sort=A","Dates=H","DateFormat=P","Fill=—","Direction=H","UseDPDF=Y")</f>
        <v>-1608</v>
      </c>
      <c r="AA40" s="13" t="str">
        <f>_xll.BDH("AMGN US Equity","IS_UNREALIZED_INVESTMENTS","FQ4 2024","FQ4 2024","Currency=USD","Period=FQ","BEST_FPERIOD_OVERRIDE=FQ","FILING_STATUS=MR","SCALING_FORMAT=MLN","Sort=A","Dates=H","DateFormat=P","Fill=—","Direction=H","UseDPDF=Y")</f>
        <v>—</v>
      </c>
    </row>
    <row r="41" spans="1:27" x14ac:dyDescent="0.25">
      <c r="A41" s="10" t="s">
        <v>628</v>
      </c>
      <c r="B41" s="10" t="s">
        <v>355</v>
      </c>
      <c r="C41" s="13" t="str">
        <f>_xll.BDH("AMGN US Equity","IS_OTHER_ONE_TIME_ITEMS","FQ4 2018","FQ4 2018","Currency=USD","Period=FQ","BEST_FPERIOD_OVERRIDE=FQ","FILING_STATUS=MR","SCALING_FORMAT=MLN","Sort=A","Dates=H","DateFormat=P","Fill=—","Direction=H","UseDPDF=Y")</f>
        <v>—</v>
      </c>
      <c r="D41" s="13" t="str">
        <f>_xll.BDH("AMGN US Equity","IS_OTHER_ONE_TIME_ITEMS","FQ1 2019","FQ1 2019","Currency=USD","Period=FQ","BEST_FPERIOD_OVERRIDE=FQ","FILING_STATUS=MR","SCALING_FORMAT=MLN","Sort=A","Dates=H","DateFormat=P","Fill=—","Direction=H","UseDPDF=Y")</f>
        <v>—</v>
      </c>
      <c r="E41" s="13" t="str">
        <f>_xll.BDH("AMGN US Equity","IS_OTHER_ONE_TIME_ITEMS","FQ2 2019","FQ2 2019","Currency=USD","Period=FQ","BEST_FPERIOD_OVERRIDE=FQ","FILING_STATUS=MR","SCALING_FORMAT=MLN","Sort=A","Dates=H","DateFormat=P","Fill=—","Direction=H","UseDPDF=Y")</f>
        <v>—</v>
      </c>
      <c r="F41" s="13" t="str">
        <f>_xll.BDH("AMGN US Equity","IS_OTHER_ONE_TIME_ITEMS","FQ3 2019","FQ3 2019","Currency=USD","Period=FQ","BEST_FPERIOD_OVERRIDE=FQ","FILING_STATUS=MR","SCALING_FORMAT=MLN","Sort=A","Dates=H","DateFormat=P","Fill=—","Direction=H","UseDPDF=Y")</f>
        <v>—</v>
      </c>
      <c r="G41" s="13" t="str">
        <f>_xll.BDH("AMGN US Equity","IS_OTHER_ONE_TIME_ITEMS","FQ4 2019","FQ4 2019","Currency=USD","Period=FQ","BEST_FPERIOD_OVERRIDE=FQ","FILING_STATUS=MR","SCALING_FORMAT=MLN","Sort=A","Dates=H","DateFormat=P","Fill=—","Direction=H","UseDPDF=Y")</f>
        <v>—</v>
      </c>
      <c r="H41" s="13" t="str">
        <f>_xll.BDH("AMGN US Equity","IS_OTHER_ONE_TIME_ITEMS","FQ1 2020","FQ1 2020","Currency=USD","Period=FQ","BEST_FPERIOD_OVERRIDE=FQ","FILING_STATUS=MR","SCALING_FORMAT=MLN","Sort=A","Dates=H","DateFormat=P","Fill=—","Direction=H","UseDPDF=Y")</f>
        <v>—</v>
      </c>
      <c r="I41" s="13" t="str">
        <f>_xll.BDH("AMGN US Equity","IS_OTHER_ONE_TIME_ITEMS","FQ2 2020","FQ2 2020","Currency=USD","Period=FQ","BEST_FPERIOD_OVERRIDE=FQ","FILING_STATUS=MR","SCALING_FORMAT=MLN","Sort=A","Dates=H","DateFormat=P","Fill=—","Direction=H","UseDPDF=Y")</f>
        <v>—</v>
      </c>
      <c r="J41" s="13">
        <f>_xll.BDH("AMGN US Equity","IS_OTHER_ONE_TIME_ITEMS","FQ3 2020","FQ3 2020","Currency=USD","Period=FQ","BEST_FPERIOD_OVERRIDE=FQ","FILING_STATUS=MR","SCALING_FORMAT=MLN","Sort=A","Dates=H","DateFormat=P","Fill=—","Direction=H","UseDPDF=Y")</f>
        <v>1</v>
      </c>
      <c r="K41" s="13" t="str">
        <f>_xll.BDH("AMGN US Equity","IS_OTHER_ONE_TIME_ITEMS","FQ4 2020","FQ4 2020","Currency=USD","Period=FQ","BEST_FPERIOD_OVERRIDE=FQ","FILING_STATUS=MR","SCALING_FORMAT=MLN","Sort=A","Dates=H","DateFormat=P","Fill=—","Direction=H","UseDPDF=Y")</f>
        <v>—</v>
      </c>
      <c r="L41" s="13">
        <f>_xll.BDH("AMGN US Equity","IS_OTHER_ONE_TIME_ITEMS","FQ1 2021","FQ1 2021","Currency=USD","Period=FQ","BEST_FPERIOD_OVERRIDE=FQ","FILING_STATUS=MR","SCALING_FORMAT=MLN","Sort=A","Dates=H","DateFormat=P","Fill=—","Direction=H","UseDPDF=Y")</f>
        <v>68</v>
      </c>
      <c r="M41" s="13">
        <f>_xll.BDH("AMGN US Equity","IS_OTHER_ONE_TIME_ITEMS","FQ2 2021","FQ2 2021","Currency=USD","Period=FQ","BEST_FPERIOD_OVERRIDE=FQ","FILING_STATUS=MR","SCALING_FORMAT=MLN","Sort=A","Dates=H","DateFormat=P","Fill=—","Direction=H","UseDPDF=Y")</f>
        <v>5</v>
      </c>
      <c r="N41" s="13">
        <f>_xll.BDH("AMGN US Equity","IS_OTHER_ONE_TIME_ITEMS","FQ3 2021","FQ3 2021","Currency=USD","Period=FQ","BEST_FPERIOD_OVERRIDE=FQ","FILING_STATUS=MR","SCALING_FORMAT=MLN","Sort=A","Dates=H","DateFormat=P","Fill=—","Direction=H","UseDPDF=Y")</f>
        <v>27</v>
      </c>
      <c r="O41" s="13">
        <f>_xll.BDH("AMGN US Equity","IS_OTHER_ONE_TIME_ITEMS","FQ4 2021","FQ4 2021","Currency=USD","Period=FQ","BEST_FPERIOD_OVERRIDE=FQ","FILING_STATUS=MR","SCALING_FORMAT=MLN","Sort=A","Dates=H","DateFormat=P","Fill=—","Direction=H","UseDPDF=Y")</f>
        <v>-23</v>
      </c>
      <c r="P41" s="13">
        <f>_xll.BDH("AMGN US Equity","IS_OTHER_ONE_TIME_ITEMS","FQ1 2022","FQ1 2022","Currency=USD","Period=FQ","BEST_FPERIOD_OVERRIDE=FQ","FILING_STATUS=MR","SCALING_FORMAT=MLN","Sort=A","Dates=H","DateFormat=P","Fill=—","Direction=H","UseDPDF=Y")</f>
        <v>2</v>
      </c>
      <c r="Q41" s="13" t="str">
        <f>_xll.BDH("AMGN US Equity","IS_OTHER_ONE_TIME_ITEMS","FQ2 2022","FQ2 2022","Currency=USD","Period=FQ","BEST_FPERIOD_OVERRIDE=FQ","FILING_STATUS=MR","SCALING_FORMAT=MLN","Sort=A","Dates=H","DateFormat=P","Fill=—","Direction=H","UseDPDF=Y")</f>
        <v>—</v>
      </c>
      <c r="R41" s="13">
        <f>_xll.BDH("AMGN US Equity","IS_OTHER_ONE_TIME_ITEMS","FQ3 2022","FQ3 2022","Currency=USD","Period=FQ","BEST_FPERIOD_OVERRIDE=FQ","FILING_STATUS=MR","SCALING_FORMAT=MLN","Sort=A","Dates=H","DateFormat=P","Fill=—","Direction=H","UseDPDF=Y")</f>
        <v>5</v>
      </c>
      <c r="S41" s="13">
        <f>_xll.BDH("AMGN US Equity","IS_OTHER_ONE_TIME_ITEMS","FQ4 2022","FQ4 2022","Currency=USD","Period=FQ","BEST_FPERIOD_OVERRIDE=FQ","FILING_STATUS=MR","SCALING_FORMAT=MLN","Sort=A","Dates=H","DateFormat=P","Fill=—","Direction=H","UseDPDF=Y")</f>
        <v>-1</v>
      </c>
      <c r="T41" s="13">
        <f>_xll.BDH("AMGN US Equity","IS_OTHER_ONE_TIME_ITEMS","FQ1 2023","FQ1 2023","Currency=USD","Period=FQ","BEST_FPERIOD_OVERRIDE=FQ","FILING_STATUS=MR","SCALING_FORMAT=MLN","Sort=A","Dates=H","DateFormat=P","Fill=—","Direction=H","UseDPDF=Y")</f>
        <v>141</v>
      </c>
      <c r="U41" s="13">
        <f>_xll.BDH("AMGN US Equity","IS_OTHER_ONE_TIME_ITEMS","FQ2 2023","FQ2 2023","Currency=USD","Period=FQ","BEST_FPERIOD_OVERRIDE=FQ","FILING_STATUS=MR","SCALING_FORMAT=MLN","Sort=A","Dates=H","DateFormat=P","Fill=—","Direction=H","UseDPDF=Y")</f>
        <v>17</v>
      </c>
      <c r="V41" s="13">
        <f>_xll.BDH("AMGN US Equity","IS_OTHER_ONE_TIME_ITEMS","FQ3 2023","FQ3 2023","Currency=USD","Period=FQ","BEST_FPERIOD_OVERRIDE=FQ","FILING_STATUS=MR","SCALING_FORMAT=MLN","Sort=A","Dates=H","DateFormat=P","Fill=—","Direction=H","UseDPDF=Y")</f>
        <v>628</v>
      </c>
      <c r="W41" s="13" t="str">
        <f>_xll.BDH("AMGN US Equity","IS_OTHER_ONE_TIME_ITEMS","FQ4 2023","FQ4 2023","Currency=USD","Period=FQ","BEST_FPERIOD_OVERRIDE=FQ","FILING_STATUS=MR","SCALING_FORMAT=MLN","Sort=A","Dates=H","DateFormat=P","Fill=—","Direction=H","UseDPDF=Y")</f>
        <v>—</v>
      </c>
      <c r="X41" s="13">
        <f>_xll.BDH("AMGN US Equity","IS_OTHER_ONE_TIME_ITEMS","FQ1 2024","FQ1 2024","Currency=USD","Period=FQ","BEST_FPERIOD_OVERRIDE=FQ","FILING_STATUS=MR","SCALING_FORMAT=MLN","Sort=A","Dates=H","DateFormat=P","Fill=—","Direction=H","UseDPDF=Y")</f>
        <v>-1</v>
      </c>
      <c r="Y41" s="13" t="str">
        <f>_xll.BDH("AMGN US Equity","IS_OTHER_ONE_TIME_ITEMS","FQ2 2024","FQ2 2024","Currency=USD","Period=FQ","BEST_FPERIOD_OVERRIDE=FQ","FILING_STATUS=MR","SCALING_FORMAT=MLN","Sort=A","Dates=H","DateFormat=P","Fill=—","Direction=H","UseDPDF=Y")</f>
        <v>—</v>
      </c>
      <c r="Z41" s="13" t="str">
        <f>_xll.BDH("AMGN US Equity","IS_OTHER_ONE_TIME_ITEMS","FQ3 2024","FQ3 2024","Currency=USD","Period=FQ","BEST_FPERIOD_OVERRIDE=FQ","FILING_STATUS=MR","SCALING_FORMAT=MLN","Sort=A","Dates=H","DateFormat=P","Fill=—","Direction=H","UseDPDF=Y")</f>
        <v>—</v>
      </c>
      <c r="AA41" s="13">
        <f>_xll.BDH("AMGN US Equity","IS_OTHER_ONE_TIME_ITEMS","FQ4 2024","FQ4 2024","Currency=USD","Period=FQ","BEST_FPERIOD_OVERRIDE=FQ","FILING_STATUS=MR","SCALING_FORMAT=MLN","Sort=A","Dates=H","DateFormat=P","Fill=—","Direction=H","UseDPDF=Y")</f>
        <v>40</v>
      </c>
    </row>
    <row r="42" spans="1:27" x14ac:dyDescent="0.25">
      <c r="A42" s="6" t="s">
        <v>337</v>
      </c>
      <c r="B42" s="6" t="s">
        <v>158</v>
      </c>
      <c r="C42" s="19">
        <f>_xll.BDH("AMGN US Equity","PRETAX_INC","FQ4 2018","FQ4 2018","Currency=USD","Period=FQ","BEST_FPERIOD_OVERRIDE=FQ","FILING_STATUS=MR","SCALING_FORMAT=MLN","FA_ADJUSTED=Adjusted","Sort=A","Dates=H","DateFormat=P","Fill=—","Direction=H","UseDPDF=Y")</f>
        <v>2206</v>
      </c>
      <c r="D42" s="19">
        <f>_xll.BDH("AMGN US Equity","PRETAX_INC","FQ1 2019","FQ1 2019","Currency=USD","Period=FQ","BEST_FPERIOD_OVERRIDE=FQ","FILING_STATUS=MR","SCALING_FORMAT=MLN","FA_ADJUSTED=Adjusted","Sort=A","Dates=H","DateFormat=P","Fill=—","Direction=H","UseDPDF=Y")</f>
        <v>2312</v>
      </c>
      <c r="E42" s="19">
        <f>_xll.BDH("AMGN US Equity","PRETAX_INC","FQ2 2019","FQ2 2019","Currency=USD","Period=FQ","BEST_FPERIOD_OVERRIDE=FQ","FILING_STATUS=MR","SCALING_FORMAT=MLN","FA_ADJUSTED=Adjusted","Sort=A","Dates=H","DateFormat=P","Fill=—","Direction=H","UseDPDF=Y")</f>
        <v>2561</v>
      </c>
      <c r="F42" s="19">
        <f>_xll.BDH("AMGN US Equity","PRETAX_INC","FQ3 2019","FQ3 2019","Currency=USD","Period=FQ","BEST_FPERIOD_OVERRIDE=FQ","FILING_STATUS=MR","SCALING_FORMAT=MLN","FA_ADJUSTED=Adjusted","Sort=A","Dates=H","DateFormat=P","Fill=—","Direction=H","UseDPDF=Y")</f>
        <v>2277</v>
      </c>
      <c r="G42" s="19">
        <f>_xll.BDH("AMGN US Equity","PRETAX_INC","FQ4 2019","FQ4 2019","Currency=USD","Period=FQ","BEST_FPERIOD_OVERRIDE=FQ","FILING_STATUS=MR","SCALING_FORMAT=MLN","FA_ADJUSTED=Adjusted","Sort=A","Dates=H","DateFormat=P","Fill=—","Direction=H","UseDPDF=Y")</f>
        <v>2056</v>
      </c>
      <c r="H42" s="19">
        <f>_xll.BDH("AMGN US Equity","PRETAX_INC","FQ1 2020","FQ1 2020","Currency=USD","Period=FQ","BEST_FPERIOD_OVERRIDE=FQ","FILING_STATUS=MR","SCALING_FORMAT=MLN","FA_ADJUSTED=Adjusted","Sort=A","Dates=H","DateFormat=P","Fill=—","Direction=H","UseDPDF=Y")</f>
        <v>2045</v>
      </c>
      <c r="I42" s="19">
        <f>_xll.BDH("AMGN US Equity","PRETAX_INC","FQ2 2020","FQ2 2020","Currency=USD","Period=FQ","BEST_FPERIOD_OVERRIDE=FQ","FILING_STATUS=MR","SCALING_FORMAT=MLN","FA_ADJUSTED=Adjusted","Sort=A","Dates=H","DateFormat=P","Fill=—","Direction=H","UseDPDF=Y")</f>
        <v>2130</v>
      </c>
      <c r="J42" s="19">
        <f>_xll.BDH("AMGN US Equity","PRETAX_INC","FQ3 2020","FQ3 2020","Currency=USD","Period=FQ","BEST_FPERIOD_OVERRIDE=FQ","FILING_STATUS=MR","SCALING_FORMAT=MLN","FA_ADJUSTED=Adjusted","Sort=A","Dates=H","DateFormat=P","Fill=—","Direction=H","UseDPDF=Y")</f>
        <v>2935</v>
      </c>
      <c r="K42" s="19">
        <f>_xll.BDH("AMGN US Equity","PRETAX_INC","FQ4 2020","FQ4 2020","Currency=USD","Period=FQ","BEST_FPERIOD_OVERRIDE=FQ","FILING_STATUS=MR","SCALING_FORMAT=MLN","FA_ADJUSTED=Adjusted","Sort=A","Dates=H","DateFormat=P","Fill=—","Direction=H","UseDPDF=Y")</f>
        <v>1942</v>
      </c>
      <c r="L42" s="19">
        <f>_xll.BDH("AMGN US Equity","PRETAX_INC","FQ1 2021","FQ1 2021","Currency=USD","Period=FQ","BEST_FPERIOD_OVERRIDE=FQ","FILING_STATUS=MR","SCALING_FORMAT=MLN","FA_ADJUSTED=Adjusted","Sort=A","Dates=H","DateFormat=P","Fill=—","Direction=H","UseDPDF=Y")</f>
        <v>2447</v>
      </c>
      <c r="M42" s="19">
        <f>_xll.BDH("AMGN US Equity","PRETAX_INC","FQ2 2021","FQ2 2021","Currency=USD","Period=FQ","BEST_FPERIOD_OVERRIDE=FQ","FILING_STATUS=MR","SCALING_FORMAT=MLN","FA_ADJUSTED=Adjusted","Sort=A","Dates=H","DateFormat=P","Fill=—","Direction=H","UseDPDF=Y")</f>
        <v>2842</v>
      </c>
      <c r="N42" s="19">
        <f>_xll.BDH("AMGN US Equity","PRETAX_INC","FQ3 2021","FQ3 2021","Currency=USD","Period=FQ","BEST_FPERIOD_OVERRIDE=FQ","FILING_STATUS=MR","SCALING_FORMAT=MLN","FA_ADJUSTED=Adjusted","Sort=A","Dates=H","DateFormat=P","Fill=—","Direction=H","UseDPDF=Y")</f>
        <v>1991</v>
      </c>
      <c r="O42" s="19">
        <f>_xll.BDH("AMGN US Equity","PRETAX_INC","FQ4 2021","FQ4 2021","Currency=USD","Period=FQ","BEST_FPERIOD_OVERRIDE=FQ","FILING_STATUS=MR","SCALING_FORMAT=MLN","FA_ADJUSTED=Adjusted","Sort=A","Dates=H","DateFormat=P","Fill=—","Direction=H","UseDPDF=Y")</f>
        <v>2073</v>
      </c>
      <c r="P42" s="19">
        <f>_xll.BDH("AMGN US Equity","PRETAX_INC","FQ1 2022","FQ1 2022","Currency=USD","Period=FQ","BEST_FPERIOD_OVERRIDE=FQ","FILING_STATUS=MR","SCALING_FORMAT=MLN","FA_ADJUSTED=Adjusted","Sort=A","Dates=H","DateFormat=P","Fill=—","Direction=H","UseDPDF=Y")</f>
        <v>2680</v>
      </c>
      <c r="Q42" s="19">
        <f>_xll.BDH("AMGN US Equity","PRETAX_INC","FQ2 2022","FQ2 2022","Currency=USD","Period=FQ","BEST_FPERIOD_OVERRIDE=FQ","FILING_STATUS=MR","SCALING_FORMAT=MLN","FA_ADJUSTED=Adjusted","Sort=A","Dates=H","DateFormat=P","Fill=—","Direction=H","UseDPDF=Y")</f>
        <v>2876</v>
      </c>
      <c r="R42" s="19">
        <f>_xll.BDH("AMGN US Equity","PRETAX_INC","FQ3 2022","FQ3 2022","Currency=USD","Period=FQ","BEST_FPERIOD_OVERRIDE=FQ","FILING_STATUS=MR","SCALING_FORMAT=MLN","FA_ADJUSTED=Adjusted","Sort=A","Dates=H","DateFormat=P","Fill=—","Direction=H","UseDPDF=Y")</f>
        <v>2247</v>
      </c>
      <c r="S42" s="19">
        <f>_xll.BDH("AMGN US Equity","PRETAX_INC","FQ4 2022","FQ4 2022","Currency=USD","Period=FQ","BEST_FPERIOD_OVERRIDE=FQ","FILING_STATUS=MR","SCALING_FORMAT=MLN","FA_ADJUSTED=Adjusted","Sort=A","Dates=H","DateFormat=P","Fill=—","Direction=H","UseDPDF=Y")</f>
        <v>1675</v>
      </c>
      <c r="T42" s="19">
        <f>_xll.BDH("AMGN US Equity","PRETAX_INC","FQ1 2023","FQ1 2023","Currency=USD","Period=FQ","BEST_FPERIOD_OVERRIDE=FQ","FILING_STATUS=MR","SCALING_FORMAT=MLN","FA_ADJUSTED=Adjusted","Sort=A","Dates=H","DateFormat=P","Fill=—","Direction=H","UseDPDF=Y")</f>
        <v>2489</v>
      </c>
      <c r="U42" s="19">
        <f>_xll.BDH("AMGN US Equity","PRETAX_INC","FQ2 2023","FQ2 2023","Currency=USD","Period=FQ","BEST_FPERIOD_OVERRIDE=FQ","FILING_STATUS=MR","SCALING_FORMAT=MLN","FA_ADJUSTED=Adjusted","Sort=A","Dates=H","DateFormat=P","Fill=—","Direction=H","UseDPDF=Y")</f>
        <v>2374</v>
      </c>
      <c r="V42" s="19">
        <f>_xll.BDH("AMGN US Equity","PRETAX_INC","FQ3 2023","FQ3 2023","Currency=USD","Period=FQ","BEST_FPERIOD_OVERRIDE=FQ","FILING_STATUS=MR","SCALING_FORMAT=MLN","FA_ADJUSTED=Adjusted","Sort=A","Dates=H","DateFormat=P","Fill=—","Direction=H","UseDPDF=Y")</f>
        <v>2440</v>
      </c>
      <c r="W42" s="19">
        <f>_xll.BDH("AMGN US Equity","PRETAX_INC","FQ4 2023","FQ4 2023","Currency=USD","Period=FQ","BEST_FPERIOD_OVERRIDE=FQ","FILING_STATUS=MR","SCALING_FORMAT=MLN","FA_ADJUSTED=Adjusted","Sort=A","Dates=H","DateFormat=P","Fill=—","Direction=H","UseDPDF=Y")</f>
        <v>1162</v>
      </c>
      <c r="X42" s="19">
        <f>_xll.BDH("AMGN US Equity","PRETAX_INC","FQ1 2024","FQ1 2024","Currency=USD","Period=FQ","BEST_FPERIOD_OVERRIDE=FQ","FILING_STATUS=MR","SCALING_FORMAT=MLN","FA_ADJUSTED=Adjusted","Sort=A","Dates=H","DateFormat=P","Fill=—","Direction=H","UseDPDF=Y")</f>
        <v>547</v>
      </c>
      <c r="Y42" s="19">
        <f>_xll.BDH("AMGN US Equity","PRETAX_INC","FQ2 2024","FQ2 2024","Currency=USD","Period=FQ","BEST_FPERIOD_OVERRIDE=FQ","FILING_STATUS=MR","SCALING_FORMAT=MLN","FA_ADJUSTED=Adjusted","Sort=A","Dates=H","DateFormat=P","Fill=—","Direction=H","UseDPDF=Y")</f>
        <v>1333</v>
      </c>
      <c r="Z42" s="19">
        <f>_xll.BDH("AMGN US Equity","PRETAX_INC","FQ3 2024","FQ3 2024","Currency=USD","Period=FQ","BEST_FPERIOD_OVERRIDE=FQ","FILING_STATUS=MR","SCALING_FORMAT=MLN","FA_ADJUSTED=Adjusted","Sort=A","Dates=H","DateFormat=P","Fill=—","Direction=H","UseDPDF=Y")</f>
        <v>1634</v>
      </c>
      <c r="AA42" s="19">
        <f>_xll.BDH("AMGN US Equity","PRETAX_INC","FQ4 2024","FQ4 2024","Currency=USD","Period=FQ","BEST_FPERIOD_OVERRIDE=FQ","FILING_STATUS=MR","SCALING_FORMAT=MLN","FA_ADJUSTED=Adjusted","Sort=A","Dates=H","DateFormat=P","Fill=—","Direction=H","UseDPDF=Y")</f>
        <v>1803</v>
      </c>
    </row>
    <row r="43" spans="1:27" x14ac:dyDescent="0.25">
      <c r="A43" s="6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 x14ac:dyDescent="0.25">
      <c r="A44" s="6" t="s">
        <v>632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 x14ac:dyDescent="0.25">
      <c r="A45" s="6" t="s">
        <v>633</v>
      </c>
      <c r="B45" s="6" t="s">
        <v>80</v>
      </c>
      <c r="C45" s="19">
        <f>_xll.BDH("AMGN US Equity","EARN_FOR_COMMON","FQ4 2018","FQ4 2018","Currency=USD","Period=FQ","BEST_FPERIOD_OVERRIDE=FQ","FILING_STATUS=MR","SCALING_FORMAT=MLN","FA_ADJUSTED=GAAP","Sort=A","Dates=H","DateFormat=P","Fill=—","Direction=H","UseDPDF=Y")</f>
        <v>1928</v>
      </c>
      <c r="D45" s="19">
        <f>_xll.BDH("AMGN US Equity","EARN_FOR_COMMON","FQ1 2019","FQ1 2019","Currency=USD","Period=FQ","BEST_FPERIOD_OVERRIDE=FQ","FILING_STATUS=MR","SCALING_FORMAT=MLN","FA_ADJUSTED=GAAP","Sort=A","Dates=H","DateFormat=P","Fill=—","Direction=H","UseDPDF=Y")</f>
        <v>1992</v>
      </c>
      <c r="E45" s="19">
        <f>_xll.BDH("AMGN US Equity","EARN_FOR_COMMON","FQ2 2019","FQ2 2019","Currency=USD","Period=FQ","BEST_FPERIOD_OVERRIDE=FQ","FILING_STATUS=MR","SCALING_FORMAT=MLN","FA_ADJUSTED=GAAP","Sort=A","Dates=H","DateFormat=P","Fill=—","Direction=H","UseDPDF=Y")</f>
        <v>2179</v>
      </c>
      <c r="F45" s="19">
        <f>_xll.BDH("AMGN US Equity","EARN_FOR_COMMON","FQ3 2019","FQ3 2019","Currency=USD","Period=FQ","BEST_FPERIOD_OVERRIDE=FQ","FILING_STATUS=MR","SCALING_FORMAT=MLN","FA_ADJUSTED=GAAP","Sort=A","Dates=H","DateFormat=P","Fill=—","Direction=H","UseDPDF=Y")</f>
        <v>1968</v>
      </c>
      <c r="G45" s="19">
        <f>_xll.BDH("AMGN US Equity","EARN_FOR_COMMON","FQ4 2019","FQ4 2019","Currency=USD","Period=FQ","BEST_FPERIOD_OVERRIDE=FQ","FILING_STATUS=MR","SCALING_FORMAT=MLN","FA_ADJUSTED=GAAP","Sort=A","Dates=H","DateFormat=P","Fill=—","Direction=H","UseDPDF=Y")</f>
        <v>1703</v>
      </c>
      <c r="H45" s="19">
        <f>_xll.BDH("AMGN US Equity","EARN_FOR_COMMON","FQ1 2020","FQ1 2020","Currency=USD","Period=FQ","BEST_FPERIOD_OVERRIDE=FQ","FILING_STATUS=MR","SCALING_FORMAT=MLN","FA_ADJUSTED=GAAP","Sort=A","Dates=H","DateFormat=P","Fill=—","Direction=H","UseDPDF=Y")</f>
        <v>1825</v>
      </c>
      <c r="I45" s="19">
        <f>_xll.BDH("AMGN US Equity","EARN_FOR_COMMON","FQ2 2020","FQ2 2020","Currency=USD","Period=FQ","BEST_FPERIOD_OVERRIDE=FQ","FILING_STATUS=MR","SCALING_FORMAT=MLN","FA_ADJUSTED=GAAP","Sort=A","Dates=H","DateFormat=P","Fill=—","Direction=H","UseDPDF=Y")</f>
        <v>1803</v>
      </c>
      <c r="J45" s="19">
        <f>_xll.BDH("AMGN US Equity","EARN_FOR_COMMON","FQ3 2020","FQ3 2020","Currency=USD","Period=FQ","BEST_FPERIOD_OVERRIDE=FQ","FILING_STATUS=MR","SCALING_FORMAT=MLN","FA_ADJUSTED=GAAP","Sort=A","Dates=H","DateFormat=P","Fill=—","Direction=H","UseDPDF=Y")</f>
        <v>2021</v>
      </c>
      <c r="K45" s="19">
        <f>_xll.BDH("AMGN US Equity","EARN_FOR_COMMON","FQ4 2020","FQ4 2020","Currency=USD","Period=FQ","BEST_FPERIOD_OVERRIDE=FQ","FILING_STATUS=MR","SCALING_FORMAT=MLN","FA_ADJUSTED=GAAP","Sort=A","Dates=H","DateFormat=P","Fill=—","Direction=H","UseDPDF=Y")</f>
        <v>1615</v>
      </c>
      <c r="L45" s="19">
        <f>_xll.BDH("AMGN US Equity","EARN_FOR_COMMON","FQ1 2021","FQ1 2021","Currency=USD","Period=FQ","BEST_FPERIOD_OVERRIDE=FQ","FILING_STATUS=MR","SCALING_FORMAT=MLN","FA_ADJUSTED=GAAP","Sort=A","Dates=H","DateFormat=P","Fill=—","Direction=H","UseDPDF=Y")</f>
        <v>1646</v>
      </c>
      <c r="M45" s="19">
        <f>_xll.BDH("AMGN US Equity","EARN_FOR_COMMON","FQ2 2021","FQ2 2021","Currency=USD","Period=FQ","BEST_FPERIOD_OVERRIDE=FQ","FILING_STATUS=MR","SCALING_FORMAT=MLN","FA_ADJUSTED=GAAP","Sort=A","Dates=H","DateFormat=P","Fill=—","Direction=H","UseDPDF=Y")</f>
        <v>464</v>
      </c>
      <c r="N45" s="19">
        <f>_xll.BDH("AMGN US Equity","EARN_FOR_COMMON","FQ3 2021","FQ3 2021","Currency=USD","Period=FQ","BEST_FPERIOD_OVERRIDE=FQ","FILING_STATUS=MR","SCALING_FORMAT=MLN","FA_ADJUSTED=GAAP","Sort=A","Dates=H","DateFormat=P","Fill=—","Direction=H","UseDPDF=Y")</f>
        <v>1884</v>
      </c>
      <c r="O45" s="19">
        <f>_xll.BDH("AMGN US Equity","EARN_FOR_COMMON","FQ4 2021","FQ4 2021","Currency=USD","Period=FQ","BEST_FPERIOD_OVERRIDE=FQ","FILING_STATUS=MR","SCALING_FORMAT=MLN","FA_ADJUSTED=GAAP","Sort=A","Dates=H","DateFormat=P","Fill=—","Direction=H","UseDPDF=Y")</f>
        <v>1899</v>
      </c>
      <c r="P45" s="19">
        <f>_xll.BDH("AMGN US Equity","EARN_FOR_COMMON","FQ1 2022","FQ1 2022","Currency=USD","Period=FQ","BEST_FPERIOD_OVERRIDE=FQ","FILING_STATUS=MR","SCALING_FORMAT=MLN","FA_ADJUSTED=GAAP","Sort=A","Dates=H","DateFormat=P","Fill=—","Direction=H","UseDPDF=Y")</f>
        <v>1476</v>
      </c>
      <c r="Q45" s="19">
        <f>_xll.BDH("AMGN US Equity","EARN_FOR_COMMON","FQ2 2022","FQ2 2022","Currency=USD","Period=FQ","BEST_FPERIOD_OVERRIDE=FQ","FILING_STATUS=MR","SCALING_FORMAT=MLN","FA_ADJUSTED=GAAP","Sort=A","Dates=H","DateFormat=P","Fill=—","Direction=H","UseDPDF=Y")</f>
        <v>1317</v>
      </c>
      <c r="R45" s="19">
        <f>_xll.BDH("AMGN US Equity","EARN_FOR_COMMON","FQ3 2022","FQ3 2022","Currency=USD","Period=FQ","BEST_FPERIOD_OVERRIDE=FQ","FILING_STATUS=MR","SCALING_FORMAT=MLN","FA_ADJUSTED=GAAP","Sort=A","Dates=H","DateFormat=P","Fill=—","Direction=H","UseDPDF=Y")</f>
        <v>2143</v>
      </c>
      <c r="S45" s="19">
        <f>_xll.BDH("AMGN US Equity","EARN_FOR_COMMON","FQ4 2022","FQ4 2022","Currency=USD","Period=FQ","BEST_FPERIOD_OVERRIDE=FQ","FILING_STATUS=MR","SCALING_FORMAT=MLN","FA_ADJUSTED=GAAP","Sort=A","Dates=H","DateFormat=P","Fill=—","Direction=H","UseDPDF=Y")</f>
        <v>1616</v>
      </c>
      <c r="T45" s="19">
        <f>_xll.BDH("AMGN US Equity","EARN_FOR_COMMON","FQ1 2023","FQ1 2023","Currency=USD","Period=FQ","BEST_FPERIOD_OVERRIDE=FQ","FILING_STATUS=MR","SCALING_FORMAT=MLN","FA_ADJUSTED=GAAP","Sort=A","Dates=H","DateFormat=P","Fill=—","Direction=H","UseDPDF=Y")</f>
        <v>2841</v>
      </c>
      <c r="U45" s="19">
        <f>_xll.BDH("AMGN US Equity","EARN_FOR_COMMON","FQ2 2023","FQ2 2023","Currency=USD","Period=FQ","BEST_FPERIOD_OVERRIDE=FQ","FILING_STATUS=MR","SCALING_FORMAT=MLN","FA_ADJUSTED=GAAP","Sort=A","Dates=H","DateFormat=P","Fill=—","Direction=H","UseDPDF=Y")</f>
        <v>1379</v>
      </c>
      <c r="V45" s="19">
        <f>_xll.BDH("AMGN US Equity","EARN_FOR_COMMON","FQ3 2023","FQ3 2023","Currency=USD","Period=FQ","BEST_FPERIOD_OVERRIDE=FQ","FILING_STATUS=MR","SCALING_FORMAT=MLN","FA_ADJUSTED=GAAP","Sort=A","Dates=H","DateFormat=P","Fill=—","Direction=H","UseDPDF=Y")</f>
        <v>1730</v>
      </c>
      <c r="W45" s="19">
        <f>_xll.BDH("AMGN US Equity","EARN_FOR_COMMON","FQ4 2023","FQ4 2023","Currency=USD","Period=FQ","BEST_FPERIOD_OVERRIDE=FQ","FILING_STATUS=MR","SCALING_FORMAT=MLN","FA_ADJUSTED=GAAP","Sort=A","Dates=H","DateFormat=P","Fill=—","Direction=H","UseDPDF=Y")</f>
        <v>767</v>
      </c>
      <c r="X45" s="19">
        <f>_xll.BDH("AMGN US Equity","EARN_FOR_COMMON","FQ1 2024","FQ1 2024","Currency=USD","Period=FQ","BEST_FPERIOD_OVERRIDE=FQ","FILING_STATUS=MR","SCALING_FORMAT=MLN","FA_ADJUSTED=GAAP","Sort=A","Dates=H","DateFormat=P","Fill=—","Direction=H","UseDPDF=Y")</f>
        <v>-113</v>
      </c>
      <c r="Y45" s="19">
        <f>_xll.BDH("AMGN US Equity","EARN_FOR_COMMON","FQ2 2024","FQ2 2024","Currency=USD","Period=FQ","BEST_FPERIOD_OVERRIDE=FQ","FILING_STATUS=MR","SCALING_FORMAT=MLN","FA_ADJUSTED=GAAP","Sort=A","Dates=H","DateFormat=P","Fill=—","Direction=H","UseDPDF=Y")</f>
        <v>746</v>
      </c>
      <c r="Z45" s="19">
        <f>_xll.BDH("AMGN US Equity","EARN_FOR_COMMON","FQ3 2024","FQ3 2024","Currency=USD","Period=FQ","BEST_FPERIOD_OVERRIDE=FQ","FILING_STATUS=MR","SCALING_FORMAT=MLN","FA_ADJUSTED=GAAP","Sort=A","Dates=H","DateFormat=P","Fill=—","Direction=H","UseDPDF=Y")</f>
        <v>2830</v>
      </c>
      <c r="AA45" s="19">
        <f>_xll.BDH("AMGN US Equity","EARN_FOR_COMMON","FQ4 2024","FQ4 2024","Currency=USD","Period=FQ","BEST_FPERIOD_OVERRIDE=FQ","FILING_STATUS=MR","SCALING_FORMAT=MLN","FA_ADJUSTED=GAAP","Sort=A","Dates=H","DateFormat=P","Fill=—","Direction=H","UseDPDF=Y")</f>
        <v>627</v>
      </c>
    </row>
    <row r="46" spans="1:27" x14ac:dyDescent="0.25">
      <c r="A46" s="10" t="s">
        <v>634</v>
      </c>
      <c r="B46" s="10" t="s">
        <v>364</v>
      </c>
      <c r="C46" s="13">
        <f>_xll.BDH("AMGN US Equity","IS_DISCONTINUED_OPERATIONS","FQ4 2018","FQ4 2018","Currency=USD","Period=FQ","BEST_FPERIOD_OVERRIDE=FQ","FILING_STATUS=MR","SCALING_FORMAT=MLN","Sort=A","Dates=H","DateFormat=P","Fill=—","Direction=H","UseDPDF=Y")</f>
        <v>0</v>
      </c>
      <c r="D46" s="13">
        <f>_xll.BDH("AMGN US Equity","IS_DISCONTINUED_OPERATIONS","FQ1 2019","FQ1 2019","Currency=USD","Period=FQ","BEST_FPERIOD_OVERRIDE=FQ","FILING_STATUS=MR","SCALING_FORMAT=MLN","Sort=A","Dates=H","DateFormat=P","Fill=—","Direction=H","UseDPDF=Y")</f>
        <v>0</v>
      </c>
      <c r="E46" s="13">
        <f>_xll.BDH("AMGN US Equity","IS_DISCONTINUED_OPERATIONS","FQ2 2019","FQ2 2019","Currency=USD","Period=FQ","BEST_FPERIOD_OVERRIDE=FQ","FILING_STATUS=MR","SCALING_FORMAT=MLN","Sort=A","Dates=H","DateFormat=P","Fill=—","Direction=H","UseDPDF=Y")</f>
        <v>0</v>
      </c>
      <c r="F46" s="13">
        <f>_xll.BDH("AMGN US Equity","IS_DISCONTINUED_OPERATIONS","FQ3 2019","FQ3 2019","Currency=USD","Period=FQ","BEST_FPERIOD_OVERRIDE=FQ","FILING_STATUS=MR","SCALING_FORMAT=MLN","Sort=A","Dates=H","DateFormat=P","Fill=—","Direction=H","UseDPDF=Y")</f>
        <v>0</v>
      </c>
      <c r="G46" s="13">
        <f>_xll.BDH("AMGN US Equity","IS_DISCONTINUED_OPERATIONS","FQ4 2019","FQ4 2019","Currency=USD","Period=FQ","BEST_FPERIOD_OVERRIDE=FQ","FILING_STATUS=MR","SCALING_FORMAT=MLN","Sort=A","Dates=H","DateFormat=P","Fill=—","Direction=H","UseDPDF=Y")</f>
        <v>0</v>
      </c>
      <c r="H46" s="13">
        <f>_xll.BDH("AMGN US Equity","IS_DISCONTINUED_OPERATIONS","FQ1 2020","FQ1 2020","Currency=USD","Period=FQ","BEST_FPERIOD_OVERRIDE=FQ","FILING_STATUS=MR","SCALING_FORMAT=MLN","Sort=A","Dates=H","DateFormat=P","Fill=—","Direction=H","UseDPDF=Y")</f>
        <v>0</v>
      </c>
      <c r="I46" s="13">
        <f>_xll.BDH("AMGN US Equity","IS_DISCONTINUED_OPERATIONS","FQ2 2020","FQ2 2020","Currency=USD","Period=FQ","BEST_FPERIOD_OVERRIDE=FQ","FILING_STATUS=MR","SCALING_FORMAT=MLN","Sort=A","Dates=H","DateFormat=P","Fill=—","Direction=H","UseDPDF=Y")</f>
        <v>0</v>
      </c>
      <c r="J46" s="13">
        <f>_xll.BDH("AMGN US Equity","IS_DISCONTINUED_OPERATIONS","FQ3 2020","FQ3 2020","Currency=USD","Period=FQ","BEST_FPERIOD_OVERRIDE=FQ","FILING_STATUS=MR","SCALING_FORMAT=MLN","Sort=A","Dates=H","DateFormat=P","Fill=—","Direction=H","UseDPDF=Y")</f>
        <v>0</v>
      </c>
      <c r="K46" s="13">
        <f>_xll.BDH("AMGN US Equity","IS_DISCONTINUED_OPERATIONS","FQ4 2020","FQ4 2020","Currency=USD","Period=FQ","BEST_FPERIOD_OVERRIDE=FQ","FILING_STATUS=MR","SCALING_FORMAT=MLN","Sort=A","Dates=H","DateFormat=P","Fill=—","Direction=H","UseDPDF=Y")</f>
        <v>0</v>
      </c>
      <c r="L46" s="13">
        <f>_xll.BDH("AMGN US Equity","IS_DISCONTINUED_OPERATIONS","FQ1 2021","FQ1 2021","Currency=USD","Period=FQ","BEST_FPERIOD_OVERRIDE=FQ","FILING_STATUS=MR","SCALING_FORMAT=MLN","Sort=A","Dates=H","DateFormat=P","Fill=—","Direction=H","UseDPDF=Y")</f>
        <v>0</v>
      </c>
      <c r="M46" s="13">
        <f>_xll.BDH("AMGN US Equity","IS_DISCONTINUED_OPERATIONS","FQ2 2021","FQ2 2021","Currency=USD","Period=FQ","BEST_FPERIOD_OVERRIDE=FQ","FILING_STATUS=MR","SCALING_FORMAT=MLN","Sort=A","Dates=H","DateFormat=P","Fill=—","Direction=H","UseDPDF=Y")</f>
        <v>0</v>
      </c>
      <c r="N46" s="13">
        <f>_xll.BDH("AMGN US Equity","IS_DISCONTINUED_OPERATIONS","FQ3 2021","FQ3 2021","Currency=USD","Period=FQ","BEST_FPERIOD_OVERRIDE=FQ","FILING_STATUS=MR","SCALING_FORMAT=MLN","Sort=A","Dates=H","DateFormat=P","Fill=—","Direction=H","UseDPDF=Y")</f>
        <v>0</v>
      </c>
      <c r="O46" s="13">
        <f>_xll.BDH("AMGN US Equity","IS_DISCONTINUED_OPERATIONS","FQ4 2021","FQ4 2021","Currency=USD","Period=FQ","BEST_FPERIOD_OVERRIDE=FQ","FILING_STATUS=MR","SCALING_FORMAT=MLN","Sort=A","Dates=H","DateFormat=P","Fill=—","Direction=H","UseDPDF=Y")</f>
        <v>0</v>
      </c>
      <c r="P46" s="13">
        <f>_xll.BDH("AMGN US Equity","IS_DISCONTINUED_OPERATIONS","FQ1 2022","FQ1 2022","Currency=USD","Period=FQ","BEST_FPERIOD_OVERRIDE=FQ","FILING_STATUS=MR","SCALING_FORMAT=MLN","Sort=A","Dates=H","DateFormat=P","Fill=—","Direction=H","UseDPDF=Y")</f>
        <v>0</v>
      </c>
      <c r="Q46" s="13">
        <f>_xll.BDH("AMGN US Equity","IS_DISCONTINUED_OPERATIONS","FQ2 2022","FQ2 2022","Currency=USD","Period=FQ","BEST_FPERIOD_OVERRIDE=FQ","FILING_STATUS=MR","SCALING_FORMAT=MLN","Sort=A","Dates=H","DateFormat=P","Fill=—","Direction=H","UseDPDF=Y")</f>
        <v>0</v>
      </c>
      <c r="R46" s="13">
        <f>_xll.BDH("AMGN US Equity","IS_DISCONTINUED_OPERATIONS","FQ3 2022","FQ3 2022","Currency=USD","Period=FQ","BEST_FPERIOD_OVERRIDE=FQ","FILING_STATUS=MR","SCALING_FORMAT=MLN","Sort=A","Dates=H","DateFormat=P","Fill=—","Direction=H","UseDPDF=Y")</f>
        <v>0</v>
      </c>
      <c r="S46" s="13">
        <f>_xll.BDH("AMGN US Equity","IS_DISCONTINUED_OPERATIONS","FQ4 2022","FQ4 2022","Currency=USD","Period=FQ","BEST_FPERIOD_OVERRIDE=FQ","FILING_STATUS=MR","SCALING_FORMAT=MLN","Sort=A","Dates=H","DateFormat=P","Fill=—","Direction=H","UseDPDF=Y")</f>
        <v>0</v>
      </c>
      <c r="T46" s="13">
        <f>_xll.BDH("AMGN US Equity","IS_DISCONTINUED_OPERATIONS","FQ1 2023","FQ1 2023","Currency=USD","Period=FQ","BEST_FPERIOD_OVERRIDE=FQ","FILING_STATUS=MR","SCALING_FORMAT=MLN","Sort=A","Dates=H","DateFormat=P","Fill=—","Direction=H","UseDPDF=Y")</f>
        <v>0</v>
      </c>
      <c r="U46" s="13">
        <f>_xll.BDH("AMGN US Equity","IS_DISCONTINUED_OPERATIONS","FQ2 2023","FQ2 2023","Currency=USD","Period=FQ","BEST_FPERIOD_OVERRIDE=FQ","FILING_STATUS=MR","SCALING_FORMAT=MLN","Sort=A","Dates=H","DateFormat=P","Fill=—","Direction=H","UseDPDF=Y")</f>
        <v>0</v>
      </c>
      <c r="V46" s="13">
        <f>_xll.BDH("AMGN US Equity","IS_DISCONTINUED_OPERATIONS","FQ3 2023","FQ3 2023","Currency=USD","Period=FQ","BEST_FPERIOD_OVERRIDE=FQ","FILING_STATUS=MR","SCALING_FORMAT=MLN","Sort=A","Dates=H","DateFormat=P","Fill=—","Direction=H","UseDPDF=Y")</f>
        <v>0</v>
      </c>
      <c r="W46" s="13">
        <f>_xll.BDH("AMGN US Equity","IS_DISCONTINUED_OPERATIONS","FQ4 2023","FQ4 2023","Currency=USD","Period=FQ","BEST_FPERIOD_OVERRIDE=FQ","FILING_STATUS=MR","SCALING_FORMAT=MLN","Sort=A","Dates=H","DateFormat=P","Fill=—","Direction=H","UseDPDF=Y")</f>
        <v>0</v>
      </c>
      <c r="X46" s="13">
        <f>_xll.BDH("AMGN US Equity","IS_DISCONTINUED_OPERATIONS","FQ1 2024","FQ1 2024","Currency=USD","Period=FQ","BEST_FPERIOD_OVERRIDE=FQ","FILING_STATUS=MR","SCALING_FORMAT=MLN","Sort=A","Dates=H","DateFormat=P","Fill=—","Direction=H","UseDPDF=Y")</f>
        <v>0</v>
      </c>
      <c r="Y46" s="13">
        <f>_xll.BDH("AMGN US Equity","IS_DISCONTINUED_OPERATIONS","FQ2 2024","FQ2 2024","Currency=USD","Period=FQ","BEST_FPERIOD_OVERRIDE=FQ","FILING_STATUS=MR","SCALING_FORMAT=MLN","Sort=A","Dates=H","DateFormat=P","Fill=—","Direction=H","UseDPDF=Y")</f>
        <v>0</v>
      </c>
      <c r="Z46" s="13">
        <f>_xll.BDH("AMGN US Equity","IS_DISCONTINUED_OPERATIONS","FQ3 2024","FQ3 2024","Currency=USD","Period=FQ","BEST_FPERIOD_OVERRIDE=FQ","FILING_STATUS=MR","SCALING_FORMAT=MLN","Sort=A","Dates=H","DateFormat=P","Fill=—","Direction=H","UseDPDF=Y")</f>
        <v>0</v>
      </c>
      <c r="AA46" s="13">
        <f>_xll.BDH("AMGN US Equity","IS_DISCONTINUED_OPERATIONS","FQ4 2024","FQ4 2024","Currency=USD","Period=FQ","BEST_FPERIOD_OVERRIDE=FQ","FILING_STATUS=MR","SCALING_FORMAT=MLN","Sort=A","Dates=H","DateFormat=P","Fill=—","Direction=H","UseDPDF=Y")</f>
        <v>0</v>
      </c>
    </row>
    <row r="47" spans="1:27" x14ac:dyDescent="0.25">
      <c r="A47" s="10" t="s">
        <v>635</v>
      </c>
      <c r="B47" s="10" t="s">
        <v>366</v>
      </c>
      <c r="C47" s="13">
        <f>_xll.BDH("AMGN US Equity","EXTRAORD_ITEMS_ACCOUNTING_CHANGS","FQ4 2018","FQ4 2018","Currency=USD","Period=FQ","BEST_FPERIOD_OVERRIDE=FQ","FILING_STATUS=MR","SCALING_FORMAT=MLN","Sort=A","Dates=H","DateFormat=P","Fill=—","Direction=H","UseDPDF=Y")</f>
        <v>0</v>
      </c>
      <c r="D47" s="13">
        <f>_xll.BDH("AMGN US Equity","EXTRAORD_ITEMS_ACCOUNTING_CHANGS","FQ1 2019","FQ1 2019","Currency=USD","Period=FQ","BEST_FPERIOD_OVERRIDE=FQ","FILING_STATUS=MR","SCALING_FORMAT=MLN","Sort=A","Dates=H","DateFormat=P","Fill=—","Direction=H","UseDPDF=Y")</f>
        <v>0</v>
      </c>
      <c r="E47" s="13">
        <f>_xll.BDH("AMGN US Equity","EXTRAORD_ITEMS_ACCOUNTING_CHANGS","FQ2 2019","FQ2 2019","Currency=USD","Period=FQ","BEST_FPERIOD_OVERRIDE=FQ","FILING_STATUS=MR","SCALING_FORMAT=MLN","Sort=A","Dates=H","DateFormat=P","Fill=—","Direction=H","UseDPDF=Y")</f>
        <v>0</v>
      </c>
      <c r="F47" s="13">
        <f>_xll.BDH("AMGN US Equity","EXTRAORD_ITEMS_ACCOUNTING_CHANGS","FQ3 2019","FQ3 2019","Currency=USD","Period=FQ","BEST_FPERIOD_OVERRIDE=FQ","FILING_STATUS=MR","SCALING_FORMAT=MLN","Sort=A","Dates=H","DateFormat=P","Fill=—","Direction=H","UseDPDF=Y")</f>
        <v>0</v>
      </c>
      <c r="G47" s="13">
        <f>_xll.BDH("AMGN US Equity","EXTRAORD_ITEMS_ACCOUNTING_CHANGS","FQ4 2019","FQ4 2019","Currency=USD","Period=FQ","BEST_FPERIOD_OVERRIDE=FQ","FILING_STATUS=MR","SCALING_FORMAT=MLN","Sort=A","Dates=H","DateFormat=P","Fill=—","Direction=H","UseDPDF=Y")</f>
        <v>0</v>
      </c>
      <c r="H47" s="13">
        <f>_xll.BDH("AMGN US Equity","EXTRAORD_ITEMS_ACCOUNTING_CHANGS","FQ1 2020","FQ1 2020","Currency=USD","Period=FQ","BEST_FPERIOD_OVERRIDE=FQ","FILING_STATUS=MR","SCALING_FORMAT=MLN","Sort=A","Dates=H","DateFormat=P","Fill=—","Direction=H","UseDPDF=Y")</f>
        <v>0</v>
      </c>
      <c r="I47" s="13">
        <f>_xll.BDH("AMGN US Equity","EXTRAORD_ITEMS_ACCOUNTING_CHANGS","FQ2 2020","FQ2 2020","Currency=USD","Period=FQ","BEST_FPERIOD_OVERRIDE=FQ","FILING_STATUS=MR","SCALING_FORMAT=MLN","Sort=A","Dates=H","DateFormat=P","Fill=—","Direction=H","UseDPDF=Y")</f>
        <v>0</v>
      </c>
      <c r="J47" s="13">
        <f>_xll.BDH("AMGN US Equity","EXTRAORD_ITEMS_ACCOUNTING_CHANGS","FQ3 2020","FQ3 2020","Currency=USD","Period=FQ","BEST_FPERIOD_OVERRIDE=FQ","FILING_STATUS=MR","SCALING_FORMAT=MLN","Sort=A","Dates=H","DateFormat=P","Fill=—","Direction=H","UseDPDF=Y")</f>
        <v>0</v>
      </c>
      <c r="K47" s="13">
        <f>_xll.BDH("AMGN US Equity","EXTRAORD_ITEMS_ACCOUNTING_CHANGS","FQ4 2020","FQ4 2020","Currency=USD","Period=FQ","BEST_FPERIOD_OVERRIDE=FQ","FILING_STATUS=MR","SCALING_FORMAT=MLN","Sort=A","Dates=H","DateFormat=P","Fill=—","Direction=H","UseDPDF=Y")</f>
        <v>0</v>
      </c>
      <c r="L47" s="13">
        <f>_xll.BDH("AMGN US Equity","EXTRAORD_ITEMS_ACCOUNTING_CHANGS","FQ1 2021","FQ1 2021","Currency=USD","Period=FQ","BEST_FPERIOD_OVERRIDE=FQ","FILING_STATUS=MR","SCALING_FORMAT=MLN","Sort=A","Dates=H","DateFormat=P","Fill=—","Direction=H","UseDPDF=Y")</f>
        <v>0</v>
      </c>
      <c r="M47" s="13">
        <f>_xll.BDH("AMGN US Equity","EXTRAORD_ITEMS_ACCOUNTING_CHANGS","FQ2 2021","FQ2 2021","Currency=USD","Period=FQ","BEST_FPERIOD_OVERRIDE=FQ","FILING_STATUS=MR","SCALING_FORMAT=MLN","Sort=A","Dates=H","DateFormat=P","Fill=—","Direction=H","UseDPDF=Y")</f>
        <v>0</v>
      </c>
      <c r="N47" s="13">
        <f>_xll.BDH("AMGN US Equity","EXTRAORD_ITEMS_ACCOUNTING_CHANGS","FQ3 2021","FQ3 2021","Currency=USD","Period=FQ","BEST_FPERIOD_OVERRIDE=FQ","FILING_STATUS=MR","SCALING_FORMAT=MLN","Sort=A","Dates=H","DateFormat=P","Fill=—","Direction=H","UseDPDF=Y")</f>
        <v>0</v>
      </c>
      <c r="O47" s="13">
        <f>_xll.BDH("AMGN US Equity","EXTRAORD_ITEMS_ACCOUNTING_CHANGS","FQ4 2021","FQ4 2021","Currency=USD","Period=FQ","BEST_FPERIOD_OVERRIDE=FQ","FILING_STATUS=MR","SCALING_FORMAT=MLN","Sort=A","Dates=H","DateFormat=P","Fill=—","Direction=H","UseDPDF=Y")</f>
        <v>0</v>
      </c>
      <c r="P47" s="13">
        <f>_xll.BDH("AMGN US Equity","EXTRAORD_ITEMS_ACCOUNTING_CHANGS","FQ1 2022","FQ1 2022","Currency=USD","Period=FQ","BEST_FPERIOD_OVERRIDE=FQ","FILING_STATUS=MR","SCALING_FORMAT=MLN","Sort=A","Dates=H","DateFormat=P","Fill=—","Direction=H","UseDPDF=Y")</f>
        <v>0</v>
      </c>
      <c r="Q47" s="13">
        <f>_xll.BDH("AMGN US Equity","EXTRAORD_ITEMS_ACCOUNTING_CHANGS","FQ2 2022","FQ2 2022","Currency=USD","Period=FQ","BEST_FPERIOD_OVERRIDE=FQ","FILING_STATUS=MR","SCALING_FORMAT=MLN","Sort=A","Dates=H","DateFormat=P","Fill=—","Direction=H","UseDPDF=Y")</f>
        <v>0</v>
      </c>
      <c r="R47" s="13">
        <f>_xll.BDH("AMGN US Equity","EXTRAORD_ITEMS_ACCOUNTING_CHANGS","FQ3 2022","FQ3 2022","Currency=USD","Period=FQ","BEST_FPERIOD_OVERRIDE=FQ","FILING_STATUS=MR","SCALING_FORMAT=MLN","Sort=A","Dates=H","DateFormat=P","Fill=—","Direction=H","UseDPDF=Y")</f>
        <v>0</v>
      </c>
      <c r="S47" s="13">
        <f>_xll.BDH("AMGN US Equity","EXTRAORD_ITEMS_ACCOUNTING_CHANGS","FQ4 2022","FQ4 2022","Currency=USD","Period=FQ","BEST_FPERIOD_OVERRIDE=FQ","FILING_STATUS=MR","SCALING_FORMAT=MLN","Sort=A","Dates=H","DateFormat=P","Fill=—","Direction=H","UseDPDF=Y")</f>
        <v>0</v>
      </c>
      <c r="T47" s="13">
        <f>_xll.BDH("AMGN US Equity","EXTRAORD_ITEMS_ACCOUNTING_CHANGS","FQ1 2023","FQ1 2023","Currency=USD","Period=FQ","BEST_FPERIOD_OVERRIDE=FQ","FILING_STATUS=MR","SCALING_FORMAT=MLN","Sort=A","Dates=H","DateFormat=P","Fill=—","Direction=H","UseDPDF=Y")</f>
        <v>0</v>
      </c>
      <c r="U47" s="13">
        <f>_xll.BDH("AMGN US Equity","EXTRAORD_ITEMS_ACCOUNTING_CHANGS","FQ2 2023","FQ2 2023","Currency=USD","Period=FQ","BEST_FPERIOD_OVERRIDE=FQ","FILING_STATUS=MR","SCALING_FORMAT=MLN","Sort=A","Dates=H","DateFormat=P","Fill=—","Direction=H","UseDPDF=Y")</f>
        <v>0</v>
      </c>
      <c r="V47" s="13">
        <f>_xll.BDH("AMGN US Equity","EXTRAORD_ITEMS_ACCOUNTING_CHANGS","FQ3 2023","FQ3 2023","Currency=USD","Period=FQ","BEST_FPERIOD_OVERRIDE=FQ","FILING_STATUS=MR","SCALING_FORMAT=MLN","Sort=A","Dates=H","DateFormat=P","Fill=—","Direction=H","UseDPDF=Y")</f>
        <v>0</v>
      </c>
      <c r="W47" s="13">
        <f>_xll.BDH("AMGN US Equity","EXTRAORD_ITEMS_ACCOUNTING_CHANGS","FQ4 2023","FQ4 2023","Currency=USD","Period=FQ","BEST_FPERIOD_OVERRIDE=FQ","FILING_STATUS=MR","SCALING_FORMAT=MLN","Sort=A","Dates=H","DateFormat=P","Fill=—","Direction=H","UseDPDF=Y")</f>
        <v>0</v>
      </c>
      <c r="X47" s="13">
        <f>_xll.BDH("AMGN US Equity","EXTRAORD_ITEMS_ACCOUNTING_CHANGS","FQ1 2024","FQ1 2024","Currency=USD","Period=FQ","BEST_FPERIOD_OVERRIDE=FQ","FILING_STATUS=MR","SCALING_FORMAT=MLN","Sort=A","Dates=H","DateFormat=P","Fill=—","Direction=H","UseDPDF=Y")</f>
        <v>0</v>
      </c>
      <c r="Y47" s="13">
        <f>_xll.BDH("AMGN US Equity","EXTRAORD_ITEMS_ACCOUNTING_CHANGS","FQ2 2024","FQ2 2024","Currency=USD","Period=FQ","BEST_FPERIOD_OVERRIDE=FQ","FILING_STATUS=MR","SCALING_FORMAT=MLN","Sort=A","Dates=H","DateFormat=P","Fill=—","Direction=H","UseDPDF=Y")</f>
        <v>0</v>
      </c>
      <c r="Z47" s="13">
        <f>_xll.BDH("AMGN US Equity","EXTRAORD_ITEMS_ACCOUNTING_CHANGS","FQ3 2024","FQ3 2024","Currency=USD","Period=FQ","BEST_FPERIOD_OVERRIDE=FQ","FILING_STATUS=MR","SCALING_FORMAT=MLN","Sort=A","Dates=H","DateFormat=P","Fill=—","Direction=H","UseDPDF=Y")</f>
        <v>0</v>
      </c>
      <c r="AA47" s="13">
        <f>_xll.BDH("AMGN US Equity","EXTRAORD_ITEMS_ACCOUNTING_CHANGS","FQ4 2024","FQ4 2024","Currency=USD","Period=FQ","BEST_FPERIOD_OVERRIDE=FQ","FILING_STATUS=MR","SCALING_FORMAT=MLN","Sort=A","Dates=H","DateFormat=P","Fill=—","Direction=H","UseDPDF=Y")</f>
        <v>0</v>
      </c>
    </row>
    <row r="48" spans="1:27" x14ac:dyDescent="0.25">
      <c r="A48" s="6" t="s">
        <v>636</v>
      </c>
      <c r="B48" s="6" t="s">
        <v>637</v>
      </c>
      <c r="C48" s="19">
        <f>_xll.BDH("AMGN US Equity","INC_BEF_XO_LESS_MIN_INT_PREF_DVD","FQ4 2018","FQ4 2018","Currency=USD","Period=FQ","BEST_FPERIOD_OVERRIDE=FQ","FILING_STATUS=MR","SCALING_FORMAT=MLN","FA_ADJUSTED=GAAP","Sort=A","Dates=H","DateFormat=P","Fill=—","Direction=H","UseDPDF=Y")</f>
        <v>1928</v>
      </c>
      <c r="D48" s="19">
        <f>_xll.BDH("AMGN US Equity","INC_BEF_XO_LESS_MIN_INT_PREF_DVD","FQ1 2019","FQ1 2019","Currency=USD","Period=FQ","BEST_FPERIOD_OVERRIDE=FQ","FILING_STATUS=MR","SCALING_FORMAT=MLN","FA_ADJUSTED=GAAP","Sort=A","Dates=H","DateFormat=P","Fill=—","Direction=H","UseDPDF=Y")</f>
        <v>1992</v>
      </c>
      <c r="E48" s="19">
        <f>_xll.BDH("AMGN US Equity","INC_BEF_XO_LESS_MIN_INT_PREF_DVD","FQ2 2019","FQ2 2019","Currency=USD","Period=FQ","BEST_FPERIOD_OVERRIDE=FQ","FILING_STATUS=MR","SCALING_FORMAT=MLN","FA_ADJUSTED=GAAP","Sort=A","Dates=H","DateFormat=P","Fill=—","Direction=H","UseDPDF=Y")</f>
        <v>2179</v>
      </c>
      <c r="F48" s="19">
        <f>_xll.BDH("AMGN US Equity","INC_BEF_XO_LESS_MIN_INT_PREF_DVD","FQ3 2019","FQ3 2019","Currency=USD","Period=FQ","BEST_FPERIOD_OVERRIDE=FQ","FILING_STATUS=MR","SCALING_FORMAT=MLN","FA_ADJUSTED=GAAP","Sort=A","Dates=H","DateFormat=P","Fill=—","Direction=H","UseDPDF=Y")</f>
        <v>1968</v>
      </c>
      <c r="G48" s="19">
        <f>_xll.BDH("AMGN US Equity","INC_BEF_XO_LESS_MIN_INT_PREF_DVD","FQ4 2019","FQ4 2019","Currency=USD","Period=FQ","BEST_FPERIOD_OVERRIDE=FQ","FILING_STATUS=MR","SCALING_FORMAT=MLN","FA_ADJUSTED=GAAP","Sort=A","Dates=H","DateFormat=P","Fill=—","Direction=H","UseDPDF=Y")</f>
        <v>1703</v>
      </c>
      <c r="H48" s="19">
        <f>_xll.BDH("AMGN US Equity","INC_BEF_XO_LESS_MIN_INT_PREF_DVD","FQ1 2020","FQ1 2020","Currency=USD","Period=FQ","BEST_FPERIOD_OVERRIDE=FQ","FILING_STATUS=MR","SCALING_FORMAT=MLN","FA_ADJUSTED=GAAP","Sort=A","Dates=H","DateFormat=P","Fill=—","Direction=H","UseDPDF=Y")</f>
        <v>1825</v>
      </c>
      <c r="I48" s="19">
        <f>_xll.BDH("AMGN US Equity","INC_BEF_XO_LESS_MIN_INT_PREF_DVD","FQ2 2020","FQ2 2020","Currency=USD","Period=FQ","BEST_FPERIOD_OVERRIDE=FQ","FILING_STATUS=MR","SCALING_FORMAT=MLN","FA_ADJUSTED=GAAP","Sort=A","Dates=H","DateFormat=P","Fill=—","Direction=H","UseDPDF=Y")</f>
        <v>1803</v>
      </c>
      <c r="J48" s="19">
        <f>_xll.BDH("AMGN US Equity","INC_BEF_XO_LESS_MIN_INT_PREF_DVD","FQ3 2020","FQ3 2020","Currency=USD","Period=FQ","BEST_FPERIOD_OVERRIDE=FQ","FILING_STATUS=MR","SCALING_FORMAT=MLN","FA_ADJUSTED=GAAP","Sort=A","Dates=H","DateFormat=P","Fill=—","Direction=H","UseDPDF=Y")</f>
        <v>2021</v>
      </c>
      <c r="K48" s="19">
        <f>_xll.BDH("AMGN US Equity","INC_BEF_XO_LESS_MIN_INT_PREF_DVD","FQ4 2020","FQ4 2020","Currency=USD","Period=FQ","BEST_FPERIOD_OVERRIDE=FQ","FILING_STATUS=MR","SCALING_FORMAT=MLN","FA_ADJUSTED=GAAP","Sort=A","Dates=H","DateFormat=P","Fill=—","Direction=H","UseDPDF=Y")</f>
        <v>1615</v>
      </c>
      <c r="L48" s="19">
        <f>_xll.BDH("AMGN US Equity","INC_BEF_XO_LESS_MIN_INT_PREF_DVD","FQ1 2021","FQ1 2021","Currency=USD","Period=FQ","BEST_FPERIOD_OVERRIDE=FQ","FILING_STATUS=MR","SCALING_FORMAT=MLN","FA_ADJUSTED=GAAP","Sort=A","Dates=H","DateFormat=P","Fill=—","Direction=H","UseDPDF=Y")</f>
        <v>1646</v>
      </c>
      <c r="M48" s="19">
        <f>_xll.BDH("AMGN US Equity","INC_BEF_XO_LESS_MIN_INT_PREF_DVD","FQ2 2021","FQ2 2021","Currency=USD","Period=FQ","BEST_FPERIOD_OVERRIDE=FQ","FILING_STATUS=MR","SCALING_FORMAT=MLN","FA_ADJUSTED=GAAP","Sort=A","Dates=H","DateFormat=P","Fill=—","Direction=H","UseDPDF=Y")</f>
        <v>464</v>
      </c>
      <c r="N48" s="19">
        <f>_xll.BDH("AMGN US Equity","INC_BEF_XO_LESS_MIN_INT_PREF_DVD","FQ3 2021","FQ3 2021","Currency=USD","Period=FQ","BEST_FPERIOD_OVERRIDE=FQ","FILING_STATUS=MR","SCALING_FORMAT=MLN","FA_ADJUSTED=GAAP","Sort=A","Dates=H","DateFormat=P","Fill=—","Direction=H","UseDPDF=Y")</f>
        <v>1884</v>
      </c>
      <c r="O48" s="19">
        <f>_xll.BDH("AMGN US Equity","INC_BEF_XO_LESS_MIN_INT_PREF_DVD","FQ4 2021","FQ4 2021","Currency=USD","Period=FQ","BEST_FPERIOD_OVERRIDE=FQ","FILING_STATUS=MR","SCALING_FORMAT=MLN","FA_ADJUSTED=GAAP","Sort=A","Dates=H","DateFormat=P","Fill=—","Direction=H","UseDPDF=Y")</f>
        <v>1899</v>
      </c>
      <c r="P48" s="19">
        <f>_xll.BDH("AMGN US Equity","INC_BEF_XO_LESS_MIN_INT_PREF_DVD","FQ1 2022","FQ1 2022","Currency=USD","Period=FQ","BEST_FPERIOD_OVERRIDE=FQ","FILING_STATUS=MR","SCALING_FORMAT=MLN","FA_ADJUSTED=GAAP","Sort=A","Dates=H","DateFormat=P","Fill=—","Direction=H","UseDPDF=Y")</f>
        <v>1476</v>
      </c>
      <c r="Q48" s="19">
        <f>_xll.BDH("AMGN US Equity","INC_BEF_XO_LESS_MIN_INT_PREF_DVD","FQ2 2022","FQ2 2022","Currency=USD","Period=FQ","BEST_FPERIOD_OVERRIDE=FQ","FILING_STATUS=MR","SCALING_FORMAT=MLN","FA_ADJUSTED=GAAP","Sort=A","Dates=H","DateFormat=P","Fill=—","Direction=H","UseDPDF=Y")</f>
        <v>1317</v>
      </c>
      <c r="R48" s="19">
        <f>_xll.BDH("AMGN US Equity","INC_BEF_XO_LESS_MIN_INT_PREF_DVD","FQ3 2022","FQ3 2022","Currency=USD","Period=FQ","BEST_FPERIOD_OVERRIDE=FQ","FILING_STATUS=MR","SCALING_FORMAT=MLN","FA_ADJUSTED=GAAP","Sort=A","Dates=H","DateFormat=P","Fill=—","Direction=H","UseDPDF=Y")</f>
        <v>2143</v>
      </c>
      <c r="S48" s="19">
        <f>_xll.BDH("AMGN US Equity","INC_BEF_XO_LESS_MIN_INT_PREF_DVD","FQ4 2022","FQ4 2022","Currency=USD","Period=FQ","BEST_FPERIOD_OVERRIDE=FQ","FILING_STATUS=MR","SCALING_FORMAT=MLN","FA_ADJUSTED=GAAP","Sort=A","Dates=H","DateFormat=P","Fill=—","Direction=H","UseDPDF=Y")</f>
        <v>1616</v>
      </c>
      <c r="T48" s="19">
        <f>_xll.BDH("AMGN US Equity","INC_BEF_XO_LESS_MIN_INT_PREF_DVD","FQ1 2023","FQ1 2023","Currency=USD","Period=FQ","BEST_FPERIOD_OVERRIDE=FQ","FILING_STATUS=MR","SCALING_FORMAT=MLN","FA_ADJUSTED=GAAP","Sort=A","Dates=H","DateFormat=P","Fill=—","Direction=H","UseDPDF=Y")</f>
        <v>2841</v>
      </c>
      <c r="U48" s="19">
        <f>_xll.BDH("AMGN US Equity","INC_BEF_XO_LESS_MIN_INT_PREF_DVD","FQ2 2023","FQ2 2023","Currency=USD","Period=FQ","BEST_FPERIOD_OVERRIDE=FQ","FILING_STATUS=MR","SCALING_FORMAT=MLN","FA_ADJUSTED=GAAP","Sort=A","Dates=H","DateFormat=P","Fill=—","Direction=H","UseDPDF=Y")</f>
        <v>1379</v>
      </c>
      <c r="V48" s="19">
        <f>_xll.BDH("AMGN US Equity","INC_BEF_XO_LESS_MIN_INT_PREF_DVD","FQ3 2023","FQ3 2023","Currency=USD","Period=FQ","BEST_FPERIOD_OVERRIDE=FQ","FILING_STATUS=MR","SCALING_FORMAT=MLN","FA_ADJUSTED=GAAP","Sort=A","Dates=H","DateFormat=P","Fill=—","Direction=H","UseDPDF=Y")</f>
        <v>1730</v>
      </c>
      <c r="W48" s="19">
        <f>_xll.BDH("AMGN US Equity","INC_BEF_XO_LESS_MIN_INT_PREF_DVD","FQ4 2023","FQ4 2023","Currency=USD","Period=FQ","BEST_FPERIOD_OVERRIDE=FQ","FILING_STATUS=MR","SCALING_FORMAT=MLN","FA_ADJUSTED=GAAP","Sort=A","Dates=H","DateFormat=P","Fill=—","Direction=H","UseDPDF=Y")</f>
        <v>767</v>
      </c>
      <c r="X48" s="19">
        <f>_xll.BDH("AMGN US Equity","INC_BEF_XO_LESS_MIN_INT_PREF_DVD","FQ1 2024","FQ1 2024","Currency=USD","Period=FQ","BEST_FPERIOD_OVERRIDE=FQ","FILING_STATUS=MR","SCALING_FORMAT=MLN","FA_ADJUSTED=GAAP","Sort=A","Dates=H","DateFormat=P","Fill=—","Direction=H","UseDPDF=Y")</f>
        <v>-113</v>
      </c>
      <c r="Y48" s="19">
        <f>_xll.BDH("AMGN US Equity","INC_BEF_XO_LESS_MIN_INT_PREF_DVD","FQ2 2024","FQ2 2024","Currency=USD","Period=FQ","BEST_FPERIOD_OVERRIDE=FQ","FILING_STATUS=MR","SCALING_FORMAT=MLN","FA_ADJUSTED=GAAP","Sort=A","Dates=H","DateFormat=P","Fill=—","Direction=H","UseDPDF=Y")</f>
        <v>746</v>
      </c>
      <c r="Z48" s="19">
        <f>_xll.BDH("AMGN US Equity","INC_BEF_XO_LESS_MIN_INT_PREF_DVD","FQ3 2024","FQ3 2024","Currency=USD","Period=FQ","BEST_FPERIOD_OVERRIDE=FQ","FILING_STATUS=MR","SCALING_FORMAT=MLN","FA_ADJUSTED=GAAP","Sort=A","Dates=H","DateFormat=P","Fill=—","Direction=H","UseDPDF=Y")</f>
        <v>2830</v>
      </c>
      <c r="AA48" s="19">
        <f>_xll.BDH("AMGN US Equity","INC_BEF_XO_LESS_MIN_INT_PREF_DVD","FQ4 2024","FQ4 2024","Currency=USD","Period=FQ","BEST_FPERIOD_OVERRIDE=FQ","FILING_STATUS=MR","SCALING_FORMAT=MLN","FA_ADJUSTED=GAAP","Sort=A","Dates=H","DateFormat=P","Fill=—","Direction=H","UseDPDF=Y")</f>
        <v>627</v>
      </c>
    </row>
    <row r="49" spans="1:27" x14ac:dyDescent="0.25">
      <c r="A49" s="10" t="s">
        <v>616</v>
      </c>
      <c r="B49" s="10" t="s">
        <v>638</v>
      </c>
      <c r="C49" s="13" t="str">
        <f>_xll.BDH("AMGN US Equity","IS_AIP_RD_AFTER_TAX","FQ4 2018","FQ4 2018","Currency=USD","Period=FQ","BEST_FPERIOD_OVERRIDE=FQ","FILING_STATUS=MR","SCALING_FORMAT=MLN","Sort=A","Dates=H","DateFormat=P","Fill=—","Direction=H","UseDPDF=Y")</f>
        <v>—</v>
      </c>
      <c r="D49" s="13" t="str">
        <f>_xll.BDH("AMGN US Equity","IS_AIP_RD_AFTER_TAX","FQ1 2019","FQ1 2019","Currency=USD","Period=FQ","BEST_FPERIOD_OVERRIDE=FQ","FILING_STATUS=MR","SCALING_FORMAT=MLN","Sort=A","Dates=H","DateFormat=P","Fill=—","Direction=H","UseDPDF=Y")</f>
        <v>—</v>
      </c>
      <c r="E49" s="13" t="str">
        <f>_xll.BDH("AMGN US Equity","IS_AIP_RD_AFTER_TAX","FQ2 2019","FQ2 2019","Currency=USD","Period=FQ","BEST_FPERIOD_OVERRIDE=FQ","FILING_STATUS=MR","SCALING_FORMAT=MLN","Sort=A","Dates=H","DateFormat=P","Fill=—","Direction=H","UseDPDF=Y")</f>
        <v>—</v>
      </c>
      <c r="F49" s="13" t="str">
        <f>_xll.BDH("AMGN US Equity","IS_AIP_RD_AFTER_TAX","FQ3 2019","FQ3 2019","Currency=USD","Period=FQ","BEST_FPERIOD_OVERRIDE=FQ","FILING_STATUS=MR","SCALING_FORMAT=MLN","Sort=A","Dates=H","DateFormat=P","Fill=—","Direction=H","UseDPDF=Y")</f>
        <v>—</v>
      </c>
      <c r="G49" s="13" t="str">
        <f>_xll.BDH("AMGN US Equity","IS_AIP_RD_AFTER_TAX","FQ4 2019","FQ4 2019","Currency=USD","Period=FQ","BEST_FPERIOD_OVERRIDE=FQ","FILING_STATUS=MR","SCALING_FORMAT=MLN","Sort=A","Dates=H","DateFormat=P","Fill=—","Direction=H","UseDPDF=Y")</f>
        <v>—</v>
      </c>
      <c r="H49" s="13" t="str">
        <f>_xll.BDH("AMGN US Equity","IS_AIP_RD_AFTER_TAX","FQ1 2020","FQ1 2020","Currency=USD","Period=FQ","BEST_FPERIOD_OVERRIDE=FQ","FILING_STATUS=MR","SCALING_FORMAT=MLN","Sort=A","Dates=H","DateFormat=P","Fill=—","Direction=H","UseDPDF=Y")</f>
        <v>—</v>
      </c>
      <c r="I49" s="13" t="str">
        <f>_xll.BDH("AMGN US Equity","IS_AIP_RD_AFTER_TAX","FQ2 2020","FQ2 2020","Currency=USD","Period=FQ","BEST_FPERIOD_OVERRIDE=FQ","FILING_STATUS=MR","SCALING_FORMAT=MLN","Sort=A","Dates=H","DateFormat=P","Fill=—","Direction=H","UseDPDF=Y")</f>
        <v>—</v>
      </c>
      <c r="J49" s="13" t="str">
        <f>_xll.BDH("AMGN US Equity","IS_AIP_RD_AFTER_TAX","FQ3 2020","FQ3 2020","Currency=USD","Period=FQ","BEST_FPERIOD_OVERRIDE=FQ","FILING_STATUS=MR","SCALING_FORMAT=MLN","Sort=A","Dates=H","DateFormat=P","Fill=—","Direction=H","UseDPDF=Y")</f>
        <v>—</v>
      </c>
      <c r="K49" s="13" t="str">
        <f>_xll.BDH("AMGN US Equity","IS_AIP_RD_AFTER_TAX","FQ4 2020","FQ4 2020","Currency=USD","Period=FQ","BEST_FPERIOD_OVERRIDE=FQ","FILING_STATUS=MR","SCALING_FORMAT=MLN","Sort=A","Dates=H","DateFormat=P","Fill=—","Direction=H","UseDPDF=Y")</f>
        <v>—</v>
      </c>
      <c r="L49" s="13" t="str">
        <f>_xll.BDH("AMGN US Equity","IS_AIP_RD_AFTER_TAX","FQ1 2021","FQ1 2021","Currency=USD","Period=FQ","BEST_FPERIOD_OVERRIDE=FQ","FILING_STATUS=MR","SCALING_FORMAT=MLN","Sort=A","Dates=H","DateFormat=P","Fill=—","Direction=H","UseDPDF=Y")</f>
        <v>—</v>
      </c>
      <c r="M49" s="13">
        <f>_xll.BDH("AMGN US Equity","IS_AIP_RD_AFTER_TAX","FQ2 2021","FQ2 2021","Currency=USD","Period=FQ","BEST_FPERIOD_OVERRIDE=FQ","FILING_STATUS=MR","SCALING_FORMAT=MLN","Sort=A","Dates=H","DateFormat=P","Fill=—","Direction=H","UseDPDF=Y")</f>
        <v>1325.7717</v>
      </c>
      <c r="N49" s="13" t="str">
        <f>_xll.BDH("AMGN US Equity","IS_AIP_RD_AFTER_TAX","FQ3 2021","FQ3 2021","Currency=USD","Period=FQ","BEST_FPERIOD_OVERRIDE=FQ","FILING_STATUS=MR","SCALING_FORMAT=MLN","Sort=A","Dates=H","DateFormat=P","Fill=—","Direction=H","UseDPDF=Y")</f>
        <v>—</v>
      </c>
      <c r="O49" s="13" t="str">
        <f>_xll.BDH("AMGN US Equity","IS_AIP_RD_AFTER_TAX","FQ4 2021","FQ4 2021","Currency=USD","Period=FQ","BEST_FPERIOD_OVERRIDE=FQ","FILING_STATUS=MR","SCALING_FORMAT=MLN","Sort=A","Dates=H","DateFormat=P","Fill=—","Direction=H","UseDPDF=Y")</f>
        <v>—</v>
      </c>
      <c r="P49" s="13" t="str">
        <f>_xll.BDH("AMGN US Equity","IS_AIP_RD_AFTER_TAX","FQ1 2022","FQ1 2022","Currency=USD","Period=FQ","BEST_FPERIOD_OVERRIDE=FQ","FILING_STATUS=MR","SCALING_FORMAT=MLN","Sort=A","Dates=H","DateFormat=P","Fill=—","Direction=H","UseDPDF=Y")</f>
        <v>—</v>
      </c>
      <c r="Q49" s="13" t="str">
        <f>_xll.BDH("AMGN US Equity","IS_AIP_RD_AFTER_TAX","FQ2 2022","FQ2 2022","Currency=USD","Period=FQ","BEST_FPERIOD_OVERRIDE=FQ","FILING_STATUS=MR","SCALING_FORMAT=MLN","Sort=A","Dates=H","DateFormat=P","Fill=—","Direction=H","UseDPDF=Y")</f>
        <v>—</v>
      </c>
      <c r="R49" s="13" t="str">
        <f>_xll.BDH("AMGN US Equity","IS_AIP_RD_AFTER_TAX","FQ3 2022","FQ3 2022","Currency=USD","Period=FQ","BEST_FPERIOD_OVERRIDE=FQ","FILING_STATUS=MR","SCALING_FORMAT=MLN","Sort=A","Dates=H","DateFormat=P","Fill=—","Direction=H","UseDPDF=Y")</f>
        <v>—</v>
      </c>
      <c r="S49" s="13" t="str">
        <f>_xll.BDH("AMGN US Equity","IS_AIP_RD_AFTER_TAX","FQ4 2022","FQ4 2022","Currency=USD","Period=FQ","BEST_FPERIOD_OVERRIDE=FQ","FILING_STATUS=MR","SCALING_FORMAT=MLN","Sort=A","Dates=H","DateFormat=P","Fill=—","Direction=H","UseDPDF=Y")</f>
        <v>—</v>
      </c>
      <c r="T49" s="13" t="str">
        <f>_xll.BDH("AMGN US Equity","IS_AIP_RD_AFTER_TAX","FQ1 2023","FQ1 2023","Currency=USD","Period=FQ","BEST_FPERIOD_OVERRIDE=FQ","FILING_STATUS=MR","SCALING_FORMAT=MLN","Sort=A","Dates=H","DateFormat=P","Fill=—","Direction=H","UseDPDF=Y")</f>
        <v>—</v>
      </c>
      <c r="U49" s="13" t="str">
        <f>_xll.BDH("AMGN US Equity","IS_AIP_RD_AFTER_TAX","FQ2 2023","FQ2 2023","Currency=USD","Period=FQ","BEST_FPERIOD_OVERRIDE=FQ","FILING_STATUS=MR","SCALING_FORMAT=MLN","Sort=A","Dates=H","DateFormat=P","Fill=—","Direction=H","UseDPDF=Y")</f>
        <v>—</v>
      </c>
      <c r="V49" s="13" t="str">
        <f>_xll.BDH("AMGN US Equity","IS_AIP_RD_AFTER_TAX","FQ3 2023","FQ3 2023","Currency=USD","Period=FQ","BEST_FPERIOD_OVERRIDE=FQ","FILING_STATUS=MR","SCALING_FORMAT=MLN","Sort=A","Dates=H","DateFormat=P","Fill=—","Direction=H","UseDPDF=Y")</f>
        <v>—</v>
      </c>
      <c r="W49" s="13" t="str">
        <f>_xll.BDH("AMGN US Equity","IS_AIP_RD_AFTER_TAX","FQ4 2023","FQ4 2023","Currency=USD","Period=FQ","BEST_FPERIOD_OVERRIDE=FQ","FILING_STATUS=MR","SCALING_FORMAT=MLN","Sort=A","Dates=H","DateFormat=P","Fill=—","Direction=H","UseDPDF=Y")</f>
        <v>—</v>
      </c>
      <c r="X49" s="13" t="str">
        <f>_xll.BDH("AMGN US Equity","IS_AIP_RD_AFTER_TAX","FQ1 2024","FQ1 2024","Currency=USD","Period=FQ","BEST_FPERIOD_OVERRIDE=FQ","FILING_STATUS=MR","SCALING_FORMAT=MLN","Sort=A","Dates=H","DateFormat=P","Fill=—","Direction=H","UseDPDF=Y")</f>
        <v>—</v>
      </c>
      <c r="Y49" s="13" t="str">
        <f>_xll.BDH("AMGN US Equity","IS_AIP_RD_AFTER_TAX","FQ2 2024","FQ2 2024","Currency=USD","Period=FQ","BEST_FPERIOD_OVERRIDE=FQ","FILING_STATUS=MR","SCALING_FORMAT=MLN","Sort=A","Dates=H","DateFormat=P","Fill=—","Direction=H","UseDPDF=Y")</f>
        <v>—</v>
      </c>
      <c r="Z49" s="13" t="str">
        <f>_xll.BDH("AMGN US Equity","IS_AIP_RD_AFTER_TAX","FQ3 2024","FQ3 2024","Currency=USD","Period=FQ","BEST_FPERIOD_OVERRIDE=FQ","FILING_STATUS=MR","SCALING_FORMAT=MLN","Sort=A","Dates=H","DateFormat=P","Fill=—","Direction=H","UseDPDF=Y")</f>
        <v>—</v>
      </c>
      <c r="AA49" s="13" t="str">
        <f>_xll.BDH("AMGN US Equity","IS_AIP_RD_AFTER_TAX","FQ4 2024","FQ4 2024","Currency=USD","Period=FQ","BEST_FPERIOD_OVERRIDE=FQ","FILING_STATUS=MR","SCALING_FORMAT=MLN","Sort=A","Dates=H","DateFormat=P","Fill=—","Direction=H","UseDPDF=Y")</f>
        <v>—</v>
      </c>
    </row>
    <row r="50" spans="1:27" x14ac:dyDescent="0.25">
      <c r="A50" s="10" t="s">
        <v>618</v>
      </c>
      <c r="B50" s="10" t="s">
        <v>639</v>
      </c>
      <c r="C50" s="13">
        <f>_xll.BDH("AMGN US Equity","IS_MA_EXPENSE_AFTER_TAX","FQ4 2018","FQ4 2018","Currency=USD","Period=FQ","BEST_FPERIOD_OVERRIDE=FQ","FILING_STATUS=MR","SCALING_FORMAT=MLN","Sort=A","Dates=H","DateFormat=P","Fill=—","Direction=H","UseDPDF=Y")</f>
        <v>7.7015000000000002</v>
      </c>
      <c r="D50" s="13">
        <f>_xll.BDH("AMGN US Equity","IS_MA_EXPENSE_AFTER_TAX","FQ1 2019","FQ1 2019","Currency=USD","Period=FQ","BEST_FPERIOD_OVERRIDE=FQ","FILING_STATUS=MR","SCALING_FORMAT=MLN","Sort=A","Dates=H","DateFormat=P","Fill=—","Direction=H","UseDPDF=Y")</f>
        <v>-1.5436000000000001</v>
      </c>
      <c r="E50" s="13">
        <f>_xll.BDH("AMGN US Equity","IS_MA_EXPENSE_AFTER_TAX","FQ2 2019","FQ2 2019","Currency=USD","Period=FQ","BEST_FPERIOD_OVERRIDE=FQ","FILING_STATUS=MR","SCALING_FORMAT=MLN","Sort=A","Dates=H","DateFormat=P","Fill=—","Direction=H","UseDPDF=Y")</f>
        <v>-1.5269999999999999</v>
      </c>
      <c r="F50" s="13">
        <f>_xll.BDH("AMGN US Equity","IS_MA_EXPENSE_AFTER_TAX","FQ3 2019","FQ3 2019","Currency=USD","Period=FQ","BEST_FPERIOD_OVERRIDE=FQ","FILING_STATUS=MR","SCALING_FORMAT=MLN","Sort=A","Dates=H","DateFormat=P","Fill=—","Direction=H","UseDPDF=Y")</f>
        <v>0.70979999999999999</v>
      </c>
      <c r="G50" s="13">
        <f>_xll.BDH("AMGN US Equity","IS_MA_EXPENSE_AFTER_TAX","FQ4 2019","FQ4 2019","Currency=USD","Period=FQ","BEST_FPERIOD_OVERRIDE=FQ","FILING_STATUS=MR","SCALING_FORMAT=MLN","Sort=A","Dates=H","DateFormat=P","Fill=—","Direction=H","UseDPDF=Y")</f>
        <v>20.680599999999998</v>
      </c>
      <c r="H50" s="13">
        <f>_xll.BDH("AMGN US Equity","IS_MA_EXPENSE_AFTER_TAX","FQ1 2020","FQ1 2020","Currency=USD","Period=FQ","BEST_FPERIOD_OVERRIDE=FQ","FILING_STATUS=MR","SCALING_FORMAT=MLN","Sort=A","Dates=H","DateFormat=P","Fill=—","Direction=H","UseDPDF=Y")</f>
        <v>21.380199999999999</v>
      </c>
      <c r="I50" s="13" t="str">
        <f>_xll.BDH("AMGN US Equity","IS_MA_EXPENSE_AFTER_TAX","FQ2 2020","FQ2 2020","Currency=USD","Period=FQ","BEST_FPERIOD_OVERRIDE=FQ","FILING_STATUS=MR","SCALING_FORMAT=MLN","Sort=A","Dates=H","DateFormat=P","Fill=—","Direction=H","UseDPDF=Y")</f>
        <v>—</v>
      </c>
      <c r="J50" s="13">
        <f>_xll.BDH("AMGN US Equity","IS_MA_EXPENSE_AFTER_TAX","FQ3 2020","FQ3 2020","Currency=USD","Period=FQ","BEST_FPERIOD_OVERRIDE=FQ","FILING_STATUS=MR","SCALING_FORMAT=MLN","Sort=A","Dates=H","DateFormat=P","Fill=—","Direction=H","UseDPDF=Y")</f>
        <v>602.3442</v>
      </c>
      <c r="K50" s="13" t="str">
        <f>_xll.BDH("AMGN US Equity","IS_MA_EXPENSE_AFTER_TAX","FQ4 2020","FQ4 2020","Currency=USD","Period=FQ","BEST_FPERIOD_OVERRIDE=FQ","FILING_STATUS=MR","SCALING_FORMAT=MLN","Sort=A","Dates=H","DateFormat=P","Fill=—","Direction=H","UseDPDF=Y")</f>
        <v>—</v>
      </c>
      <c r="L50" s="13">
        <f>_xll.BDH("AMGN US Equity","IS_MA_EXPENSE_AFTER_TAX","FQ1 2021","FQ1 2021","Currency=USD","Period=FQ","BEST_FPERIOD_OVERRIDE=FQ","FILING_STATUS=MR","SCALING_FORMAT=MLN","Sort=A","Dates=H","DateFormat=P","Fill=—","Direction=H","UseDPDF=Y")</f>
        <v>521.61080000000004</v>
      </c>
      <c r="M50" s="13">
        <f>_xll.BDH("AMGN US Equity","IS_MA_EXPENSE_AFTER_TAX","FQ2 2021","FQ2 2021","Currency=USD","Period=FQ","BEST_FPERIOD_OVERRIDE=FQ","FILING_STATUS=MR","SCALING_FORMAT=MLN","Sort=A","Dates=H","DateFormat=P","Fill=—","Direction=H","UseDPDF=Y")</f>
        <v>613.99530000000004</v>
      </c>
      <c r="N50" s="13" t="str">
        <f>_xll.BDH("AMGN US Equity","IS_MA_EXPENSE_AFTER_TAX","FQ3 2021","FQ3 2021","Currency=USD","Period=FQ","BEST_FPERIOD_OVERRIDE=FQ","FILING_STATUS=MR","SCALING_FORMAT=MLN","Sort=A","Dates=H","DateFormat=P","Fill=—","Direction=H","UseDPDF=Y")</f>
        <v>—</v>
      </c>
      <c r="O50" s="13" t="str">
        <f>_xll.BDH("AMGN US Equity","IS_MA_EXPENSE_AFTER_TAX","FQ4 2021","FQ4 2021","Currency=USD","Period=FQ","BEST_FPERIOD_OVERRIDE=FQ","FILING_STATUS=MR","SCALING_FORMAT=MLN","Sort=A","Dates=H","DateFormat=P","Fill=—","Direction=H","UseDPDF=Y")</f>
        <v>—</v>
      </c>
      <c r="P50" s="13">
        <f>_xll.BDH("AMGN US Equity","IS_MA_EXPENSE_AFTER_TAX","FQ1 2022","FQ1 2022","Currency=USD","Period=FQ","BEST_FPERIOD_OVERRIDE=FQ","FILING_STATUS=MR","SCALING_FORMAT=MLN","Sort=A","Dates=H","DateFormat=P","Fill=—","Direction=H","UseDPDF=Y")</f>
        <v>533.22239999999999</v>
      </c>
      <c r="Q50" s="13">
        <f>_xll.BDH("AMGN US Equity","IS_MA_EXPENSE_AFTER_TAX","FQ2 2022","FQ2 2022","Currency=USD","Period=FQ","BEST_FPERIOD_OVERRIDE=FQ","FILING_STATUS=MR","SCALING_FORMAT=MLN","Sort=A","Dates=H","DateFormat=P","Fill=—","Direction=H","UseDPDF=Y")</f>
        <v>980.25819999999999</v>
      </c>
      <c r="R50" s="13" t="str">
        <f>_xll.BDH("AMGN US Equity","IS_MA_EXPENSE_AFTER_TAX","FQ3 2022","FQ3 2022","Currency=USD","Period=FQ","BEST_FPERIOD_OVERRIDE=FQ","FILING_STATUS=MR","SCALING_FORMAT=MLN","Sort=A","Dates=H","DateFormat=P","Fill=—","Direction=H","UseDPDF=Y")</f>
        <v>—</v>
      </c>
      <c r="S50" s="13">
        <f>_xll.BDH("AMGN US Equity","IS_MA_EXPENSE_AFTER_TAX","FQ4 2022","FQ4 2022","Currency=USD","Period=FQ","BEST_FPERIOD_OVERRIDE=FQ","FILING_STATUS=MR","SCALING_FORMAT=MLN","Sort=A","Dates=H","DateFormat=P","Fill=—","Direction=H","UseDPDF=Y")</f>
        <v>-26.182500000000001</v>
      </c>
      <c r="T50" s="13">
        <f>_xll.BDH("AMGN US Equity","IS_MA_EXPENSE_AFTER_TAX","FQ1 2023","FQ1 2023","Currency=USD","Period=FQ","BEST_FPERIOD_OVERRIDE=FQ","FILING_STATUS=MR","SCALING_FORMAT=MLN","Sort=A","Dates=H","DateFormat=P","Fill=—","Direction=H","UseDPDF=Y")</f>
        <v>655.18970000000002</v>
      </c>
      <c r="U50" s="13" t="str">
        <f>_xll.BDH("AMGN US Equity","IS_MA_EXPENSE_AFTER_TAX","FQ2 2023","FQ2 2023","Currency=USD","Period=FQ","BEST_FPERIOD_OVERRIDE=FQ","FILING_STATUS=MR","SCALING_FORMAT=MLN","Sort=A","Dates=H","DateFormat=P","Fill=—","Direction=H","UseDPDF=Y")</f>
        <v>—</v>
      </c>
      <c r="V50" s="13">
        <f>_xll.BDH("AMGN US Equity","IS_MA_EXPENSE_AFTER_TAX","FQ3 2023","FQ3 2023","Currency=USD","Period=FQ","BEST_FPERIOD_OVERRIDE=FQ","FILING_STATUS=MR","SCALING_FORMAT=MLN","Sort=A","Dates=H","DateFormat=P","Fill=—","Direction=H","UseDPDF=Y")</f>
        <v>14.462199999999999</v>
      </c>
      <c r="W50" s="13">
        <f>_xll.BDH("AMGN US Equity","IS_MA_EXPENSE_AFTER_TAX","FQ4 2023","FQ4 2023","Currency=USD","Period=FQ","BEST_FPERIOD_OVERRIDE=FQ","FILING_STATUS=MR","SCALING_FORMAT=MLN","Sort=A","Dates=H","DateFormat=P","Fill=—","Direction=H","UseDPDF=Y")</f>
        <v>413.53890000000001</v>
      </c>
      <c r="X50" s="13" t="str">
        <f>_xll.BDH("AMGN US Equity","IS_MA_EXPENSE_AFTER_TAX","FQ1 2024","FQ1 2024","Currency=USD","Period=FQ","BEST_FPERIOD_OVERRIDE=FQ","FILING_STATUS=MR","SCALING_FORMAT=MLN","Sort=A","Dates=H","DateFormat=P","Fill=—","Direction=H","UseDPDF=Y")</f>
        <v>—</v>
      </c>
      <c r="Y50" s="13">
        <f>_xll.BDH("AMGN US Equity","IS_MA_EXPENSE_AFTER_TAX","FQ2 2024","FQ2 2024","Currency=USD","Period=FQ","BEST_FPERIOD_OVERRIDE=FQ","FILING_STATUS=MR","SCALING_FORMAT=MLN","Sort=A","Dates=H","DateFormat=P","Fill=—","Direction=H","UseDPDF=Y")</f>
        <v>134.52940000000001</v>
      </c>
      <c r="Z50" s="13">
        <f>_xll.BDH("AMGN US Equity","IS_MA_EXPENSE_AFTER_TAX","FQ3 2024","FQ3 2024","Currency=USD","Period=FQ","BEST_FPERIOD_OVERRIDE=FQ","FILING_STATUS=MR","SCALING_FORMAT=MLN","Sort=A","Dates=H","DateFormat=P","Fill=—","Direction=H","UseDPDF=Y")</f>
        <v>83.561499999999995</v>
      </c>
      <c r="AA50" s="13">
        <f>_xll.BDH("AMGN US Equity","IS_MA_EXPENSE_AFTER_TAX","FQ4 2024","FQ4 2024","Currency=USD","Period=FQ","BEST_FPERIOD_OVERRIDE=FQ","FILING_STATUS=MR","SCALING_FORMAT=MLN","Sort=A","Dates=H","DateFormat=P","Fill=—","Direction=H","UseDPDF=Y")</f>
        <v>40.644199999999998</v>
      </c>
    </row>
    <row r="51" spans="1:27" x14ac:dyDescent="0.25">
      <c r="A51" s="10" t="s">
        <v>620</v>
      </c>
      <c r="B51" s="10" t="s">
        <v>640</v>
      </c>
      <c r="C51" s="13" t="str">
        <f>_xll.BDH("AMGN US Equity","IS_WRTOFF_IMPAIR_ASSET_AFTER_TAX","FQ4 2018","FQ4 2018","Currency=USD","Period=FQ","BEST_FPERIOD_OVERRIDE=FQ","FILING_STATUS=MR","SCALING_FORMAT=MLN","Sort=A","Dates=H","DateFormat=P","Fill=—","Direction=H","UseDPDF=Y")</f>
        <v>—</v>
      </c>
      <c r="D51" s="13" t="str">
        <f>_xll.BDH("AMGN US Equity","IS_WRTOFF_IMPAIR_ASSET_AFTER_TAX","FQ1 2019","FQ1 2019","Currency=USD","Period=FQ","BEST_FPERIOD_OVERRIDE=FQ","FILING_STATUS=MR","SCALING_FORMAT=MLN","Sort=A","Dates=H","DateFormat=P","Fill=—","Direction=H","UseDPDF=Y")</f>
        <v>—</v>
      </c>
      <c r="E51" s="13" t="str">
        <f>_xll.BDH("AMGN US Equity","IS_WRTOFF_IMPAIR_ASSET_AFTER_TAX","FQ2 2019","FQ2 2019","Currency=USD","Period=FQ","BEST_FPERIOD_OVERRIDE=FQ","FILING_STATUS=MR","SCALING_FORMAT=MLN","Sort=A","Dates=H","DateFormat=P","Fill=—","Direction=H","UseDPDF=Y")</f>
        <v>—</v>
      </c>
      <c r="F51" s="13" t="str">
        <f>_xll.BDH("AMGN US Equity","IS_WRTOFF_IMPAIR_ASSET_AFTER_TAX","FQ3 2019","FQ3 2019","Currency=USD","Period=FQ","BEST_FPERIOD_OVERRIDE=FQ","FILING_STATUS=MR","SCALING_FORMAT=MLN","Sort=A","Dates=H","DateFormat=P","Fill=—","Direction=H","UseDPDF=Y")</f>
        <v>—</v>
      </c>
      <c r="G51" s="13" t="str">
        <f>_xll.BDH("AMGN US Equity","IS_WRTOFF_IMPAIR_ASSET_AFTER_TAX","FQ4 2019","FQ4 2019","Currency=USD","Period=FQ","BEST_FPERIOD_OVERRIDE=FQ","FILING_STATUS=MR","SCALING_FORMAT=MLN","Sort=A","Dates=H","DateFormat=P","Fill=—","Direction=H","UseDPDF=Y")</f>
        <v>—</v>
      </c>
      <c r="H51" s="13" t="str">
        <f>_xll.BDH("AMGN US Equity","IS_WRTOFF_IMPAIR_ASSET_AFTER_TAX","FQ1 2020","FQ1 2020","Currency=USD","Period=FQ","BEST_FPERIOD_OVERRIDE=FQ","FILING_STATUS=MR","SCALING_FORMAT=MLN","Sort=A","Dates=H","DateFormat=P","Fill=—","Direction=H","UseDPDF=Y")</f>
        <v>—</v>
      </c>
      <c r="I51" s="13" t="str">
        <f>_xll.BDH("AMGN US Equity","IS_WRTOFF_IMPAIR_ASSET_AFTER_TAX","FQ2 2020","FQ2 2020","Currency=USD","Period=FQ","BEST_FPERIOD_OVERRIDE=FQ","FILING_STATUS=MR","SCALING_FORMAT=MLN","Sort=A","Dates=H","DateFormat=P","Fill=—","Direction=H","UseDPDF=Y")</f>
        <v>—</v>
      </c>
      <c r="J51" s="13" t="str">
        <f>_xll.BDH("AMGN US Equity","IS_WRTOFF_IMPAIR_ASSET_AFTER_TAX","FQ3 2020","FQ3 2020","Currency=USD","Period=FQ","BEST_FPERIOD_OVERRIDE=FQ","FILING_STATUS=MR","SCALING_FORMAT=MLN","Sort=A","Dates=H","DateFormat=P","Fill=—","Direction=H","UseDPDF=Y")</f>
        <v>—</v>
      </c>
      <c r="K51" s="13" t="str">
        <f>_xll.BDH("AMGN US Equity","IS_WRTOFF_IMPAIR_ASSET_AFTER_TAX","FQ4 2020","FQ4 2020","Currency=USD","Period=FQ","BEST_FPERIOD_OVERRIDE=FQ","FILING_STATUS=MR","SCALING_FORMAT=MLN","Sort=A","Dates=H","DateFormat=P","Fill=—","Direction=H","UseDPDF=Y")</f>
        <v>—</v>
      </c>
      <c r="L51" s="13">
        <f>_xll.BDH("AMGN US Equity","IS_WRTOFF_IMPAIR_ASSET_AFTER_TAX","FQ1 2021","FQ1 2021","Currency=USD","Period=FQ","BEST_FPERIOD_OVERRIDE=FQ","FILING_STATUS=MR","SCALING_FORMAT=MLN","Sort=A","Dates=H","DateFormat=P","Fill=—","Direction=H","UseDPDF=Y")</f>
        <v>7.1345000000000001</v>
      </c>
      <c r="M51" s="13" t="str">
        <f>_xll.BDH("AMGN US Equity","IS_WRTOFF_IMPAIR_ASSET_AFTER_TAX","FQ2 2021","FQ2 2021","Currency=USD","Period=FQ","BEST_FPERIOD_OVERRIDE=FQ","FILING_STATUS=MR","SCALING_FORMAT=MLN","Sort=A","Dates=H","DateFormat=P","Fill=—","Direction=H","UseDPDF=Y")</f>
        <v>—</v>
      </c>
      <c r="N51" s="13" t="str">
        <f>_xll.BDH("AMGN US Equity","IS_WRTOFF_IMPAIR_ASSET_AFTER_TAX","FQ3 2021","FQ3 2021","Currency=USD","Period=FQ","BEST_FPERIOD_OVERRIDE=FQ","FILING_STATUS=MR","SCALING_FORMAT=MLN","Sort=A","Dates=H","DateFormat=P","Fill=—","Direction=H","UseDPDF=Y")</f>
        <v>—</v>
      </c>
      <c r="O51" s="13" t="str">
        <f>_xll.BDH("AMGN US Equity","IS_WRTOFF_IMPAIR_ASSET_AFTER_TAX","FQ4 2021","FQ4 2021","Currency=USD","Period=FQ","BEST_FPERIOD_OVERRIDE=FQ","FILING_STATUS=MR","SCALING_FORMAT=MLN","Sort=A","Dates=H","DateFormat=P","Fill=—","Direction=H","UseDPDF=Y")</f>
        <v>—</v>
      </c>
      <c r="P51" s="13">
        <f>_xll.BDH("AMGN US Equity","IS_WRTOFF_IMPAIR_ASSET_AFTER_TAX","FQ1 2022","FQ1 2022","Currency=USD","Period=FQ","BEST_FPERIOD_OVERRIDE=FQ","FILING_STATUS=MR","SCALING_FORMAT=MLN","Sort=A","Dates=H","DateFormat=P","Fill=—","Direction=H","UseDPDF=Y")</f>
        <v>-9.8440999999999992</v>
      </c>
      <c r="Q51" s="13" t="str">
        <f>_xll.BDH("AMGN US Equity","IS_WRTOFF_IMPAIR_ASSET_AFTER_TAX","FQ2 2022","FQ2 2022","Currency=USD","Period=FQ","BEST_FPERIOD_OVERRIDE=FQ","FILING_STATUS=MR","SCALING_FORMAT=MLN","Sort=A","Dates=H","DateFormat=P","Fill=—","Direction=H","UseDPDF=Y")</f>
        <v>—</v>
      </c>
      <c r="R51" s="13" t="str">
        <f>_xll.BDH("AMGN US Equity","IS_WRTOFF_IMPAIR_ASSET_AFTER_TAX","FQ3 2022","FQ3 2022","Currency=USD","Period=FQ","BEST_FPERIOD_OVERRIDE=FQ","FILING_STATUS=MR","SCALING_FORMAT=MLN","Sort=A","Dates=H","DateFormat=P","Fill=—","Direction=H","UseDPDF=Y")</f>
        <v>—</v>
      </c>
      <c r="S51" s="13" t="str">
        <f>_xll.BDH("AMGN US Equity","IS_WRTOFF_IMPAIR_ASSET_AFTER_TAX","FQ4 2022","FQ4 2022","Currency=USD","Period=FQ","BEST_FPERIOD_OVERRIDE=FQ","FILING_STATUS=MR","SCALING_FORMAT=MLN","Sort=A","Dates=H","DateFormat=P","Fill=—","Direction=H","UseDPDF=Y")</f>
        <v>—</v>
      </c>
      <c r="T51" s="13">
        <f>_xll.BDH("AMGN US Equity","IS_WRTOFF_IMPAIR_ASSET_AFTER_TAX","FQ1 2023","FQ1 2023","Currency=USD","Period=FQ","BEST_FPERIOD_OVERRIDE=FQ","FILING_STATUS=MR","SCALING_FORMAT=MLN","Sort=A","Dates=H","DateFormat=P","Fill=—","Direction=H","UseDPDF=Y")</f>
        <v>6.1222000000000003</v>
      </c>
      <c r="U51" s="13" t="str">
        <f>_xll.BDH("AMGN US Equity","IS_WRTOFF_IMPAIR_ASSET_AFTER_TAX","FQ2 2023","FQ2 2023","Currency=USD","Period=FQ","BEST_FPERIOD_OVERRIDE=FQ","FILING_STATUS=MR","SCALING_FORMAT=MLN","Sort=A","Dates=H","DateFormat=P","Fill=—","Direction=H","UseDPDF=Y")</f>
        <v>—</v>
      </c>
      <c r="V51" s="13" t="str">
        <f>_xll.BDH("AMGN US Equity","IS_WRTOFF_IMPAIR_ASSET_AFTER_TAX","FQ3 2023","FQ3 2023","Currency=USD","Period=FQ","BEST_FPERIOD_OVERRIDE=FQ","FILING_STATUS=MR","SCALING_FORMAT=MLN","Sort=A","Dates=H","DateFormat=P","Fill=—","Direction=H","UseDPDF=Y")</f>
        <v>—</v>
      </c>
      <c r="W51" s="13">
        <f>_xll.BDH("AMGN US Equity","IS_WRTOFF_IMPAIR_ASSET_AFTER_TAX","FQ4 2023","FQ4 2023","Currency=USD","Period=FQ","BEST_FPERIOD_OVERRIDE=FQ","FILING_STATUS=MR","SCALING_FORMAT=MLN","Sort=A","Dates=H","DateFormat=P","Fill=—","Direction=H","UseDPDF=Y")</f>
        <v>2.4325999999999999</v>
      </c>
      <c r="X51" s="13">
        <f>_xll.BDH("AMGN US Equity","IS_WRTOFF_IMPAIR_ASSET_AFTER_TAX","FQ1 2024","FQ1 2024","Currency=USD","Period=FQ","BEST_FPERIOD_OVERRIDE=FQ","FILING_STATUS=MR","SCALING_FORMAT=MLN","Sort=A","Dates=H","DateFormat=P","Fill=—","Direction=H","UseDPDF=Y")</f>
        <v>91.346900000000005</v>
      </c>
      <c r="Y51" s="13" t="str">
        <f>_xll.BDH("AMGN US Equity","IS_WRTOFF_IMPAIR_ASSET_AFTER_TAX","FQ2 2024","FQ2 2024","Currency=USD","Period=FQ","BEST_FPERIOD_OVERRIDE=FQ","FILING_STATUS=MR","SCALING_FORMAT=MLN","Sort=A","Dates=H","DateFormat=P","Fill=—","Direction=H","UseDPDF=Y")</f>
        <v>—</v>
      </c>
      <c r="Z51" s="13" t="str">
        <f>_xll.BDH("AMGN US Equity","IS_WRTOFF_IMPAIR_ASSET_AFTER_TAX","FQ3 2024","FQ3 2024","Currency=USD","Period=FQ","BEST_FPERIOD_OVERRIDE=FQ","FILING_STATUS=MR","SCALING_FORMAT=MLN","Sort=A","Dates=H","DateFormat=P","Fill=—","Direction=H","UseDPDF=Y")</f>
        <v>—</v>
      </c>
      <c r="AA51" s="13">
        <f>_xll.BDH("AMGN US Equity","IS_WRTOFF_IMPAIR_ASSET_AFTER_TAX","FQ4 2024","FQ4 2024","Currency=USD","Period=FQ","BEST_FPERIOD_OVERRIDE=FQ","FILING_STATUS=MR","SCALING_FORMAT=MLN","Sort=A","Dates=H","DateFormat=P","Fill=—","Direction=H","UseDPDF=Y")</f>
        <v>10.041499999999999</v>
      </c>
    </row>
    <row r="52" spans="1:27" x14ac:dyDescent="0.25">
      <c r="A52" s="10" t="s">
        <v>622</v>
      </c>
      <c r="B52" s="10" t="s">
        <v>641</v>
      </c>
      <c r="C52" s="13" t="str">
        <f>_xll.BDH("AMGN US Equity","IS_LEGAL_LITIG_SETTLE_AFTER_TAX","FQ4 2018","FQ4 2018","Currency=USD","Period=FQ","BEST_FPERIOD_OVERRIDE=FQ","FILING_STATUS=MR","SCALING_FORMAT=MLN","Sort=A","Dates=H","DateFormat=P","Fill=—","Direction=H","UseDPDF=Y")</f>
        <v>—</v>
      </c>
      <c r="D52" s="13" t="str">
        <f>_xll.BDH("AMGN US Equity","IS_LEGAL_LITIG_SETTLE_AFTER_TAX","FQ1 2019","FQ1 2019","Currency=USD","Period=FQ","BEST_FPERIOD_OVERRIDE=FQ","FILING_STATUS=MR","SCALING_FORMAT=MLN","Sort=A","Dates=H","DateFormat=P","Fill=—","Direction=H","UseDPDF=Y")</f>
        <v>—</v>
      </c>
      <c r="E52" s="13" t="str">
        <f>_xll.BDH("AMGN US Equity","IS_LEGAL_LITIG_SETTLE_AFTER_TAX","FQ2 2019","FQ2 2019","Currency=USD","Period=FQ","BEST_FPERIOD_OVERRIDE=FQ","FILING_STATUS=MR","SCALING_FORMAT=MLN","Sort=A","Dates=H","DateFormat=P","Fill=—","Direction=H","UseDPDF=Y")</f>
        <v>—</v>
      </c>
      <c r="F52" s="13">
        <f>_xll.BDH("AMGN US Equity","IS_LEGAL_LITIG_SETTLE_AFTER_TAX","FQ3 2019","FQ3 2019","Currency=USD","Period=FQ","BEST_FPERIOD_OVERRIDE=FQ","FILING_STATUS=MR","SCALING_FORMAT=MLN","Sort=A","Dates=H","DateFormat=P","Fill=—","Direction=H","UseDPDF=Y")</f>
        <v>0.70979999999999999</v>
      </c>
      <c r="G52" s="13" t="str">
        <f>_xll.BDH("AMGN US Equity","IS_LEGAL_LITIG_SETTLE_AFTER_TAX","FQ4 2019","FQ4 2019","Currency=USD","Period=FQ","BEST_FPERIOD_OVERRIDE=FQ","FILING_STATUS=MR","SCALING_FORMAT=MLN","Sort=A","Dates=H","DateFormat=P","Fill=—","Direction=H","UseDPDF=Y")</f>
        <v>—</v>
      </c>
      <c r="H52" s="13" t="str">
        <f>_xll.BDH("AMGN US Equity","IS_LEGAL_LITIG_SETTLE_AFTER_TAX","FQ1 2020","FQ1 2020","Currency=USD","Period=FQ","BEST_FPERIOD_OVERRIDE=FQ","FILING_STATUS=MR","SCALING_FORMAT=MLN","Sort=A","Dates=H","DateFormat=P","Fill=—","Direction=H","UseDPDF=Y")</f>
        <v>—</v>
      </c>
      <c r="I52" s="13">
        <f>_xll.BDH("AMGN US Equity","IS_LEGAL_LITIG_SETTLE_AFTER_TAX","FQ2 2020","FQ2 2020","Currency=USD","Period=FQ","BEST_FPERIOD_OVERRIDE=FQ","FILING_STATUS=MR","SCALING_FORMAT=MLN","Sort=A","Dates=H","DateFormat=P","Fill=—","Direction=H","UseDPDF=Y")</f>
        <v>83.162199999999999</v>
      </c>
      <c r="J52" s="13" t="str">
        <f>_xll.BDH("AMGN US Equity","IS_LEGAL_LITIG_SETTLE_AFTER_TAX","FQ3 2020","FQ3 2020","Currency=USD","Period=FQ","BEST_FPERIOD_OVERRIDE=FQ","FILING_STATUS=MR","SCALING_FORMAT=MLN","Sort=A","Dates=H","DateFormat=P","Fill=—","Direction=H","UseDPDF=Y")</f>
        <v>—</v>
      </c>
      <c r="K52" s="13">
        <f>_xll.BDH("AMGN US Equity","IS_LEGAL_LITIG_SETTLE_AFTER_TAX","FQ4 2020","FQ4 2020","Currency=USD","Period=FQ","BEST_FPERIOD_OVERRIDE=FQ","FILING_STATUS=MR","SCALING_FORMAT=MLN","Sort=A","Dates=H","DateFormat=P","Fill=—","Direction=H","UseDPDF=Y")</f>
        <v>53.064700000000002</v>
      </c>
      <c r="L52" s="13" t="str">
        <f>_xll.BDH("AMGN US Equity","IS_LEGAL_LITIG_SETTLE_AFTER_TAX","FQ1 2021","FQ1 2021","Currency=USD","Period=FQ","BEST_FPERIOD_OVERRIDE=FQ","FILING_STATUS=MR","SCALING_FORMAT=MLN","Sort=A","Dates=H","DateFormat=P","Fill=—","Direction=H","UseDPDF=Y")</f>
        <v>—</v>
      </c>
      <c r="M52" s="13" t="str">
        <f>_xll.BDH("AMGN US Equity","IS_LEGAL_LITIG_SETTLE_AFTER_TAX","FQ2 2021","FQ2 2021","Currency=USD","Period=FQ","BEST_FPERIOD_OVERRIDE=FQ","FILING_STATUS=MR","SCALING_FORMAT=MLN","Sort=A","Dates=H","DateFormat=P","Fill=—","Direction=H","UseDPDF=Y")</f>
        <v>—</v>
      </c>
      <c r="N52" s="13" t="str">
        <f>_xll.BDH("AMGN US Equity","IS_LEGAL_LITIG_SETTLE_AFTER_TAX","FQ3 2021","FQ3 2021","Currency=USD","Period=FQ","BEST_FPERIOD_OVERRIDE=FQ","FILING_STATUS=MR","SCALING_FORMAT=MLN","Sort=A","Dates=H","DateFormat=P","Fill=—","Direction=H","UseDPDF=Y")</f>
        <v>—</v>
      </c>
      <c r="O52" s="13">
        <f>_xll.BDH("AMGN US Equity","IS_LEGAL_LITIG_SETTLE_AFTER_TAX","FQ4 2021","FQ4 2021","Currency=USD","Period=FQ","BEST_FPERIOD_OVERRIDE=FQ","FILING_STATUS=MR","SCALING_FORMAT=MLN","Sort=A","Dates=H","DateFormat=P","Fill=—","Direction=H","UseDPDF=Y")</f>
        <v>42.024500000000003</v>
      </c>
      <c r="P52" s="13" t="str">
        <f>_xll.BDH("AMGN US Equity","IS_LEGAL_LITIG_SETTLE_AFTER_TAX","FQ1 2022","FQ1 2022","Currency=USD","Period=FQ","BEST_FPERIOD_OVERRIDE=FQ","FILING_STATUS=MR","SCALING_FORMAT=MLN","Sort=A","Dates=H","DateFormat=P","Fill=—","Direction=H","UseDPDF=Y")</f>
        <v>—</v>
      </c>
      <c r="Q52" s="13" t="str">
        <f>_xll.BDH("AMGN US Equity","IS_LEGAL_LITIG_SETTLE_AFTER_TAX","FQ2 2022","FQ2 2022","Currency=USD","Period=FQ","BEST_FPERIOD_OVERRIDE=FQ","FILING_STATUS=MR","SCALING_FORMAT=MLN","Sort=A","Dates=H","DateFormat=P","Fill=—","Direction=H","UseDPDF=Y")</f>
        <v>—</v>
      </c>
      <c r="R52" s="13" t="str">
        <f>_xll.BDH("AMGN US Equity","IS_LEGAL_LITIG_SETTLE_AFTER_TAX","FQ3 2022","FQ3 2022","Currency=USD","Period=FQ","BEST_FPERIOD_OVERRIDE=FQ","FILING_STATUS=MR","SCALING_FORMAT=MLN","Sort=A","Dates=H","DateFormat=P","Fill=—","Direction=H","UseDPDF=Y")</f>
        <v>—</v>
      </c>
      <c r="S52" s="13" t="str">
        <f>_xll.BDH("AMGN US Equity","IS_LEGAL_LITIG_SETTLE_AFTER_TAX","FQ4 2022","FQ4 2022","Currency=USD","Period=FQ","BEST_FPERIOD_OVERRIDE=FQ","FILING_STATUS=MR","SCALING_FORMAT=MLN","Sort=A","Dates=H","DateFormat=P","Fill=—","Direction=H","UseDPDF=Y")</f>
        <v>—</v>
      </c>
      <c r="T52" s="13" t="str">
        <f>_xll.BDH("AMGN US Equity","IS_LEGAL_LITIG_SETTLE_AFTER_TAX","FQ1 2023","FQ1 2023","Currency=USD","Period=FQ","BEST_FPERIOD_OVERRIDE=FQ","FILING_STATUS=MR","SCALING_FORMAT=MLN","Sort=A","Dates=H","DateFormat=P","Fill=—","Direction=H","UseDPDF=Y")</f>
        <v>—</v>
      </c>
      <c r="U52" s="13" t="str">
        <f>_xll.BDH("AMGN US Equity","IS_LEGAL_LITIG_SETTLE_AFTER_TAX","FQ2 2023","FQ2 2023","Currency=USD","Period=FQ","BEST_FPERIOD_OVERRIDE=FQ","FILING_STATUS=MR","SCALING_FORMAT=MLN","Sort=A","Dates=H","DateFormat=P","Fill=—","Direction=H","UseDPDF=Y")</f>
        <v>—</v>
      </c>
      <c r="V52" s="13" t="str">
        <f>_xll.BDH("AMGN US Equity","IS_LEGAL_LITIG_SETTLE_AFTER_TAX","FQ3 2023","FQ3 2023","Currency=USD","Period=FQ","BEST_FPERIOD_OVERRIDE=FQ","FILING_STATUS=MR","SCALING_FORMAT=MLN","Sort=A","Dates=H","DateFormat=P","Fill=—","Direction=H","UseDPDF=Y")</f>
        <v>—</v>
      </c>
      <c r="W52" s="13" t="str">
        <f>_xll.BDH("AMGN US Equity","IS_LEGAL_LITIG_SETTLE_AFTER_TAX","FQ4 2023","FQ4 2023","Currency=USD","Period=FQ","BEST_FPERIOD_OVERRIDE=FQ","FILING_STATUS=MR","SCALING_FORMAT=MLN","Sort=A","Dates=H","DateFormat=P","Fill=—","Direction=H","UseDPDF=Y")</f>
        <v>—</v>
      </c>
      <c r="X52" s="13" t="str">
        <f>_xll.BDH("AMGN US Equity","IS_LEGAL_LITIG_SETTLE_AFTER_TAX","FQ1 2024","FQ1 2024","Currency=USD","Period=FQ","BEST_FPERIOD_OVERRIDE=FQ","FILING_STATUS=MR","SCALING_FORMAT=MLN","Sort=A","Dates=H","DateFormat=P","Fill=—","Direction=H","UseDPDF=Y")</f>
        <v>—</v>
      </c>
      <c r="Y52" s="13" t="str">
        <f>_xll.BDH("AMGN US Equity","IS_LEGAL_LITIG_SETTLE_AFTER_TAX","FQ2 2024","FQ2 2024","Currency=USD","Period=FQ","BEST_FPERIOD_OVERRIDE=FQ","FILING_STATUS=MR","SCALING_FORMAT=MLN","Sort=A","Dates=H","DateFormat=P","Fill=—","Direction=H","UseDPDF=Y")</f>
        <v>—</v>
      </c>
      <c r="Z52" s="13" t="str">
        <f>_xll.BDH("AMGN US Equity","IS_LEGAL_LITIG_SETTLE_AFTER_TAX","FQ3 2024","FQ3 2024","Currency=USD","Period=FQ","BEST_FPERIOD_OVERRIDE=FQ","FILING_STATUS=MR","SCALING_FORMAT=MLN","Sort=A","Dates=H","DateFormat=P","Fill=—","Direction=H","UseDPDF=Y")</f>
        <v>—</v>
      </c>
      <c r="AA52" s="13" t="str">
        <f>_xll.BDH("AMGN US Equity","IS_LEGAL_LITIG_SETTLE_AFTER_TAX","FQ4 2024","FQ4 2024","Currency=USD","Period=FQ","BEST_FPERIOD_OVERRIDE=FQ","FILING_STATUS=MR","SCALING_FORMAT=MLN","Sort=A","Dates=H","DateFormat=P","Fill=—","Direction=H","UseDPDF=Y")</f>
        <v>—</v>
      </c>
    </row>
    <row r="53" spans="1:27" x14ac:dyDescent="0.25">
      <c r="A53" s="10" t="s">
        <v>624</v>
      </c>
      <c r="B53" s="10" t="s">
        <v>642</v>
      </c>
      <c r="C53" s="13">
        <f>_xll.BDH("AMGN US Equity","IS_RESTRUCTURING_CHRG_AFTER_TAX","FQ4 2018","FQ4 2018","Currency=USD","Period=FQ","BEST_FPERIOD_OVERRIDE=FQ","FILING_STATUS=MR","SCALING_FORMAT=MLN","Sort=A","Dates=H","DateFormat=P","Fill=—","Direction=H","UseDPDF=Y")</f>
        <v>8.4716000000000005</v>
      </c>
      <c r="D53" s="13" t="str">
        <f>_xll.BDH("AMGN US Equity","IS_RESTRUCTURING_CHRG_AFTER_TAX","FQ1 2019","FQ1 2019","Currency=USD","Period=FQ","BEST_FPERIOD_OVERRIDE=FQ","FILING_STATUS=MR","SCALING_FORMAT=MLN","Sort=A","Dates=H","DateFormat=P","Fill=—","Direction=H","UseDPDF=Y")</f>
        <v>—</v>
      </c>
      <c r="E53" s="13">
        <f>_xll.BDH("AMGN US Equity","IS_RESTRUCTURING_CHRG_AFTER_TAX","FQ2 2019","FQ2 2019","Currency=USD","Period=FQ","BEST_FPERIOD_OVERRIDE=FQ","FILING_STATUS=MR","SCALING_FORMAT=MLN","Sort=A","Dates=H","DateFormat=P","Fill=—","Direction=H","UseDPDF=Y")</f>
        <v>-0.76349999999999996</v>
      </c>
      <c r="F53" s="13">
        <f>_xll.BDH("AMGN US Equity","IS_RESTRUCTURING_CHRG_AFTER_TAX","FQ3 2019","FQ3 2019","Currency=USD","Period=FQ","BEST_FPERIOD_OVERRIDE=FQ","FILING_STATUS=MR","SCALING_FORMAT=MLN","Sort=A","Dates=H","DateFormat=P","Fill=—","Direction=H","UseDPDF=Y")</f>
        <v>-0.70979999999999999</v>
      </c>
      <c r="G53" s="13">
        <f>_xll.BDH("AMGN US Equity","IS_RESTRUCTURING_CHRG_AFTER_TAX","FQ4 2019","FQ4 2019","Currency=USD","Period=FQ","BEST_FPERIOD_OVERRIDE=FQ","FILING_STATUS=MR","SCALING_FORMAT=MLN","Sort=A","Dates=H","DateFormat=P","Fill=—","Direction=H","UseDPDF=Y")</f>
        <v>39.706800000000001</v>
      </c>
      <c r="H53" s="13">
        <f>_xll.BDH("AMGN US Equity","IS_RESTRUCTURING_CHRG_AFTER_TAX","FQ1 2020","FQ1 2020","Currency=USD","Period=FQ","BEST_FPERIOD_OVERRIDE=FQ","FILING_STATUS=MR","SCALING_FORMAT=MLN","Sort=A","Dates=H","DateFormat=P","Fill=—","Direction=H","UseDPDF=Y")</f>
        <v>-1.5837000000000001</v>
      </c>
      <c r="I53" s="13">
        <f>_xll.BDH("AMGN US Equity","IS_RESTRUCTURING_CHRG_AFTER_TAX","FQ2 2020","FQ2 2020","Currency=USD","Period=FQ","BEST_FPERIOD_OVERRIDE=FQ","FILING_STATUS=MR","SCALING_FORMAT=MLN","Sort=A","Dates=H","DateFormat=P","Fill=—","Direction=H","UseDPDF=Y")</f>
        <v>-1.6306</v>
      </c>
      <c r="J53" s="13">
        <f>_xll.BDH("AMGN US Equity","IS_RESTRUCTURING_CHRG_AFTER_TAX","FQ3 2020","FQ3 2020","Currency=USD","Period=FQ","BEST_FPERIOD_OVERRIDE=FQ","FILING_STATUS=MR","SCALING_FORMAT=MLN","Sort=A","Dates=H","DateFormat=P","Fill=—","Direction=H","UseDPDF=Y")</f>
        <v>0.79</v>
      </c>
      <c r="K53" s="13" t="str">
        <f>_xll.BDH("AMGN US Equity","IS_RESTRUCTURING_CHRG_AFTER_TAX","FQ4 2020","FQ4 2020","Currency=USD","Period=FQ","BEST_FPERIOD_OVERRIDE=FQ","FILING_STATUS=MR","SCALING_FORMAT=MLN","Sort=A","Dates=H","DateFormat=P","Fill=—","Direction=H","UseDPDF=Y")</f>
        <v>—</v>
      </c>
      <c r="L53" s="13" t="str">
        <f>_xll.BDH("AMGN US Equity","IS_RESTRUCTURING_CHRG_AFTER_TAX","FQ1 2021","FQ1 2021","Currency=USD","Period=FQ","BEST_FPERIOD_OVERRIDE=FQ","FILING_STATUS=MR","SCALING_FORMAT=MLN","Sort=A","Dates=H","DateFormat=P","Fill=—","Direction=H","UseDPDF=Y")</f>
        <v>—</v>
      </c>
      <c r="M53" s="13">
        <f>_xll.BDH("AMGN US Equity","IS_RESTRUCTURING_CHRG_AFTER_TAX","FQ2 2021","FQ2 2021","Currency=USD","Period=FQ","BEST_FPERIOD_OVERRIDE=FQ","FILING_STATUS=MR","SCALING_FORMAT=MLN","Sort=A","Dates=H","DateFormat=P","Fill=—","Direction=H","UseDPDF=Y")</f>
        <v>66.949299999999994</v>
      </c>
      <c r="N53" s="13" t="str">
        <f>_xll.BDH("AMGN US Equity","IS_RESTRUCTURING_CHRG_AFTER_TAX","FQ3 2021","FQ3 2021","Currency=USD","Period=FQ","BEST_FPERIOD_OVERRIDE=FQ","FILING_STATUS=MR","SCALING_FORMAT=MLN","Sort=A","Dates=H","DateFormat=P","Fill=—","Direction=H","UseDPDF=Y")</f>
        <v>—</v>
      </c>
      <c r="O53" s="13">
        <f>_xll.BDH("AMGN US Equity","IS_RESTRUCTURING_CHRG_AFTER_TAX","FQ4 2021","FQ4 2021","Currency=USD","Period=FQ","BEST_FPERIOD_OVERRIDE=FQ","FILING_STATUS=MR","SCALING_FORMAT=MLN","Sort=A","Dates=H","DateFormat=P","Fill=—","Direction=H","UseDPDF=Y")</f>
        <v>0.84050000000000002</v>
      </c>
      <c r="P53" s="13" t="str">
        <f>_xll.BDH("AMGN US Equity","IS_RESTRUCTURING_CHRG_AFTER_TAX","FQ1 2022","FQ1 2022","Currency=USD","Period=FQ","BEST_FPERIOD_OVERRIDE=FQ","FILING_STATUS=MR","SCALING_FORMAT=MLN","Sort=A","Dates=H","DateFormat=P","Fill=—","Direction=H","UseDPDF=Y")</f>
        <v>—</v>
      </c>
      <c r="Q53" s="13">
        <f>_xll.BDH("AMGN US Equity","IS_RESTRUCTURING_CHRG_AFTER_TAX","FQ2 2022","FQ2 2022","Currency=USD","Period=FQ","BEST_FPERIOD_OVERRIDE=FQ","FILING_STATUS=MR","SCALING_FORMAT=MLN","Sort=A","Dates=H","DateFormat=P","Fill=—","Direction=H","UseDPDF=Y")</f>
        <v>-0.84509999999999996</v>
      </c>
      <c r="R53" s="13" t="str">
        <f>_xll.BDH("AMGN US Equity","IS_RESTRUCTURING_CHRG_AFTER_TAX","FQ3 2022","FQ3 2022","Currency=USD","Period=FQ","BEST_FPERIOD_OVERRIDE=FQ","FILING_STATUS=MR","SCALING_FORMAT=MLN","Sort=A","Dates=H","DateFormat=P","Fill=—","Direction=H","UseDPDF=Y")</f>
        <v>—</v>
      </c>
      <c r="S53" s="13" t="str">
        <f>_xll.BDH("AMGN US Equity","IS_RESTRUCTURING_CHRG_AFTER_TAX","FQ4 2022","FQ4 2022","Currency=USD","Period=FQ","BEST_FPERIOD_OVERRIDE=FQ","FILING_STATUS=MR","SCALING_FORMAT=MLN","Sort=A","Dates=H","DateFormat=P","Fill=—","Direction=H","UseDPDF=Y")</f>
        <v>—</v>
      </c>
      <c r="T53" s="13" t="str">
        <f>_xll.BDH("AMGN US Equity","IS_RESTRUCTURING_CHRG_AFTER_TAX","FQ1 2023","FQ1 2023","Currency=USD","Period=FQ","BEST_FPERIOD_OVERRIDE=FQ","FILING_STATUS=MR","SCALING_FORMAT=MLN","Sort=A","Dates=H","DateFormat=P","Fill=—","Direction=H","UseDPDF=Y")</f>
        <v>—</v>
      </c>
      <c r="U53" s="13">
        <f>_xll.BDH("AMGN US Equity","IS_RESTRUCTURING_CHRG_AFTER_TAX","FQ2 2023","FQ2 2023","Currency=USD","Period=FQ","BEST_FPERIOD_OVERRIDE=FQ","FILING_STATUS=MR","SCALING_FORMAT=MLN","Sort=A","Dates=H","DateFormat=P","Fill=—","Direction=H","UseDPDF=Y")</f>
        <v>19.75</v>
      </c>
      <c r="V53" s="13">
        <f>_xll.BDH("AMGN US Equity","IS_RESTRUCTURING_CHRG_AFTER_TAX","FQ3 2023","FQ3 2023","Currency=USD","Period=FQ","BEST_FPERIOD_OVERRIDE=FQ","FILING_STATUS=MR","SCALING_FORMAT=MLN","Sort=A","Dates=H","DateFormat=P","Fill=—","Direction=H","UseDPDF=Y")</f>
        <v>8.8351000000000006</v>
      </c>
      <c r="W53" s="13">
        <f>_xll.BDH("AMGN US Equity","IS_RESTRUCTURING_CHRG_AFTER_TAX","FQ4 2023","FQ4 2023","Currency=USD","Period=FQ","BEST_FPERIOD_OVERRIDE=FQ","FILING_STATUS=MR","SCALING_FORMAT=MLN","Sort=A","Dates=H","DateFormat=P","Fill=—","Direction=H","UseDPDF=Y")</f>
        <v>11.352</v>
      </c>
      <c r="X53" s="13" t="str">
        <f>_xll.BDH("AMGN US Equity","IS_RESTRUCTURING_CHRG_AFTER_TAX","FQ1 2024","FQ1 2024","Currency=USD","Period=FQ","BEST_FPERIOD_OVERRIDE=FQ","FILING_STATUS=MR","SCALING_FORMAT=MLN","Sort=A","Dates=H","DateFormat=P","Fill=—","Direction=H","UseDPDF=Y")</f>
        <v>—</v>
      </c>
      <c r="Y53" s="13">
        <f>_xll.BDH("AMGN US Equity","IS_RESTRUCTURING_CHRG_AFTER_TAX","FQ2 2024","FQ2 2024","Currency=USD","Period=FQ","BEST_FPERIOD_OVERRIDE=FQ","FILING_STATUS=MR","SCALING_FORMAT=MLN","Sort=A","Dates=H","DateFormat=P","Fill=—","Direction=H","UseDPDF=Y")</f>
        <v>-2.4706000000000001</v>
      </c>
      <c r="Z53" s="13" t="str">
        <f>_xll.BDH("AMGN US Equity","IS_RESTRUCTURING_CHRG_AFTER_TAX","FQ3 2024","FQ3 2024","Currency=USD","Period=FQ","BEST_FPERIOD_OVERRIDE=FQ","FILING_STATUS=MR","SCALING_FORMAT=MLN","Sort=A","Dates=H","DateFormat=P","Fill=—","Direction=H","UseDPDF=Y")</f>
        <v>—</v>
      </c>
      <c r="AA53" s="13" t="str">
        <f>_xll.BDH("AMGN US Equity","IS_RESTRUCTURING_CHRG_AFTER_TAX","FQ4 2024","FQ4 2024","Currency=USD","Period=FQ","BEST_FPERIOD_OVERRIDE=FQ","FILING_STATUS=MR","SCALING_FORMAT=MLN","Sort=A","Dates=H","DateFormat=P","Fill=—","Direction=H","UseDPDF=Y")</f>
        <v>—</v>
      </c>
    </row>
    <row r="54" spans="1:27" x14ac:dyDescent="0.25">
      <c r="A54" s="10" t="s">
        <v>626</v>
      </c>
      <c r="B54" s="10" t="s">
        <v>643</v>
      </c>
      <c r="C54" s="13" t="str">
        <f>_xll.BDH("AMGN US Equity","IS_SALE_OF_INVESTMENTS_AFTER_TAX","FQ4 2018","FQ4 2018","Currency=USD","Period=FQ","BEST_FPERIOD_OVERRIDE=FQ","FILING_STATUS=MR","SCALING_FORMAT=MLN","Sort=A","Dates=H","DateFormat=P","Fill=—","Direction=H","UseDPDF=Y")</f>
        <v>—</v>
      </c>
      <c r="D54" s="13" t="str">
        <f>_xll.BDH("AMGN US Equity","IS_SALE_OF_INVESTMENTS_AFTER_TAX","FQ1 2019","FQ1 2019","Currency=USD","Period=FQ","BEST_FPERIOD_OVERRIDE=FQ","FILING_STATUS=MR","SCALING_FORMAT=MLN","Sort=A","Dates=H","DateFormat=P","Fill=—","Direction=H","UseDPDF=Y")</f>
        <v>—</v>
      </c>
      <c r="E54" s="13" t="str">
        <f>_xll.BDH("AMGN US Equity","IS_SALE_OF_INVESTMENTS_AFTER_TAX","FQ2 2019","FQ2 2019","Currency=USD","Period=FQ","BEST_FPERIOD_OVERRIDE=FQ","FILING_STATUS=MR","SCALING_FORMAT=MLN","Sort=A","Dates=H","DateFormat=P","Fill=—","Direction=H","UseDPDF=Y")</f>
        <v>—</v>
      </c>
      <c r="F54" s="13" t="str">
        <f>_xll.BDH("AMGN US Equity","IS_SALE_OF_INVESTMENTS_AFTER_TAX","FQ3 2019","FQ3 2019","Currency=USD","Period=FQ","BEST_FPERIOD_OVERRIDE=FQ","FILING_STATUS=MR","SCALING_FORMAT=MLN","Sort=A","Dates=H","DateFormat=P","Fill=—","Direction=H","UseDPDF=Y")</f>
        <v>—</v>
      </c>
      <c r="G54" s="13" t="str">
        <f>_xll.BDH("AMGN US Equity","IS_SALE_OF_INVESTMENTS_AFTER_TAX","FQ4 2019","FQ4 2019","Currency=USD","Period=FQ","BEST_FPERIOD_OVERRIDE=FQ","FILING_STATUS=MR","SCALING_FORMAT=MLN","Sort=A","Dates=H","DateFormat=P","Fill=—","Direction=H","UseDPDF=Y")</f>
        <v>—</v>
      </c>
      <c r="H54" s="13" t="str">
        <f>_xll.BDH("AMGN US Equity","IS_SALE_OF_INVESTMENTS_AFTER_TAX","FQ1 2020","FQ1 2020","Currency=USD","Period=FQ","BEST_FPERIOD_OVERRIDE=FQ","FILING_STATUS=MR","SCALING_FORMAT=MLN","Sort=A","Dates=H","DateFormat=P","Fill=—","Direction=H","UseDPDF=Y")</f>
        <v>—</v>
      </c>
      <c r="I54" s="13" t="str">
        <f>_xll.BDH("AMGN US Equity","IS_SALE_OF_INVESTMENTS_AFTER_TAX","FQ2 2020","FQ2 2020","Currency=USD","Period=FQ","BEST_FPERIOD_OVERRIDE=FQ","FILING_STATUS=MR","SCALING_FORMAT=MLN","Sort=A","Dates=H","DateFormat=P","Fill=—","Direction=H","UseDPDF=Y")</f>
        <v>—</v>
      </c>
      <c r="J54" s="13" t="str">
        <f>_xll.BDH("AMGN US Equity","IS_SALE_OF_INVESTMENTS_AFTER_TAX","FQ3 2020","FQ3 2020","Currency=USD","Period=FQ","BEST_FPERIOD_OVERRIDE=FQ","FILING_STATUS=MR","SCALING_FORMAT=MLN","Sort=A","Dates=H","DateFormat=P","Fill=—","Direction=H","UseDPDF=Y")</f>
        <v>—</v>
      </c>
      <c r="K54" s="13" t="str">
        <f>_xll.BDH("AMGN US Equity","IS_SALE_OF_INVESTMENTS_AFTER_TAX","FQ4 2020","FQ4 2020","Currency=USD","Period=FQ","BEST_FPERIOD_OVERRIDE=FQ","FILING_STATUS=MR","SCALING_FORMAT=MLN","Sort=A","Dates=H","DateFormat=P","Fill=—","Direction=H","UseDPDF=Y")</f>
        <v>—</v>
      </c>
      <c r="L54" s="13">
        <f>_xll.BDH("AMGN US Equity","IS_SALE_OF_INVESTMENTS_AFTER_TAX","FQ1 2021","FQ1 2021","Currency=USD","Period=FQ","BEST_FPERIOD_OVERRIDE=FQ","FILING_STATUS=MR","SCALING_FORMAT=MLN","Sort=A","Dates=H","DateFormat=P","Fill=—","Direction=H","UseDPDF=Y")</f>
        <v>-114.94459999999999</v>
      </c>
      <c r="M54" s="13">
        <f>_xll.BDH("AMGN US Equity","IS_SALE_OF_INVESTMENTS_AFTER_TAX","FQ2 2021","FQ2 2021","Currency=USD","Period=FQ","BEST_FPERIOD_OVERRIDE=FQ","FILING_STATUS=MR","SCALING_FORMAT=MLN","Sort=A","Dates=H","DateFormat=P","Fill=—","Direction=H","UseDPDF=Y")</f>
        <v>0.88090000000000002</v>
      </c>
      <c r="N54" s="13">
        <f>_xll.BDH("AMGN US Equity","IS_SALE_OF_INVESTMENTS_AFTER_TAX","FQ3 2021","FQ3 2021","Currency=USD","Period=FQ","BEST_FPERIOD_OVERRIDE=FQ","FILING_STATUS=MR","SCALING_FORMAT=MLN","Sort=A","Dates=H","DateFormat=P","Fill=—","Direction=H","UseDPDF=Y")</f>
        <v>-169.97909999999999</v>
      </c>
      <c r="O54" s="13">
        <f>_xll.BDH("AMGN US Equity","IS_SALE_OF_INVESTMENTS_AFTER_TAX","FQ4 2021","FQ4 2021","Currency=USD","Period=FQ","BEST_FPERIOD_OVERRIDE=FQ","FILING_STATUS=MR","SCALING_FORMAT=MLN","Sort=A","Dates=H","DateFormat=P","Fill=—","Direction=H","UseDPDF=Y")</f>
        <v>-72.282200000000003</v>
      </c>
      <c r="P54" s="13">
        <f>_xll.BDH("AMGN US Equity","IS_SALE_OF_INVESTMENTS_AFTER_TAX","FQ1 2022","FQ1 2022","Currency=USD","Period=FQ","BEST_FPERIOD_OVERRIDE=FQ","FILING_STATUS=MR","SCALING_FORMAT=MLN","Sort=A","Dates=H","DateFormat=P","Fill=—","Direction=H","UseDPDF=Y")</f>
        <v>299.42489999999998</v>
      </c>
      <c r="Q54" s="13">
        <f>_xll.BDH("AMGN US Equity","IS_SALE_OF_INVESTMENTS_AFTER_TAX","FQ2 2022","FQ2 2022","Currency=USD","Period=FQ","BEST_FPERIOD_OVERRIDE=FQ","FILING_STATUS=MR","SCALING_FORMAT=MLN","Sort=A","Dates=H","DateFormat=P","Fill=—","Direction=H","UseDPDF=Y")</f>
        <v>157.17930000000001</v>
      </c>
      <c r="R54" s="13">
        <f>_xll.BDH("AMGN US Equity","IS_SALE_OF_INVESTMENTS_AFTER_TAX","FQ3 2022","FQ3 2022","Currency=USD","Period=FQ","BEST_FPERIOD_OVERRIDE=FQ","FILING_STATUS=MR","SCALING_FORMAT=MLN","Sort=A","Dates=H","DateFormat=P","Fill=—","Direction=H","UseDPDF=Y")</f>
        <v>-114.3969</v>
      </c>
      <c r="S54" s="13">
        <f>_xll.BDH("AMGN US Equity","IS_SALE_OF_INVESTMENTS_AFTER_TAX","FQ4 2022","FQ4 2022","Currency=USD","Period=FQ","BEST_FPERIOD_OVERRIDE=FQ","FILING_STATUS=MR","SCALING_FORMAT=MLN","Sort=A","Dates=H","DateFormat=P","Fill=—","Direction=H","UseDPDF=Y")</f>
        <v>-30.943000000000001</v>
      </c>
      <c r="T54" s="13">
        <f>_xll.BDH("AMGN US Equity","IS_SALE_OF_INVESTMENTS_AFTER_TAX","FQ1 2023","FQ1 2023","Currency=USD","Period=FQ","BEST_FPERIOD_OVERRIDE=FQ","FILING_STATUS=MR","SCALING_FORMAT=MLN","Sort=A","Dates=H","DateFormat=P","Fill=—","Direction=H","UseDPDF=Y")</f>
        <v>-1620.6302000000001</v>
      </c>
      <c r="U54" s="13" t="str">
        <f>_xll.BDH("AMGN US Equity","IS_SALE_OF_INVESTMENTS_AFTER_TAX","FQ2 2023","FQ2 2023","Currency=USD","Period=FQ","BEST_FPERIOD_OVERRIDE=FQ","FILING_STATUS=MR","SCALING_FORMAT=MLN","Sort=A","Dates=H","DateFormat=P","Fill=—","Direction=H","UseDPDF=Y")</f>
        <v>—</v>
      </c>
      <c r="V54" s="13">
        <f>_xll.BDH("AMGN US Equity","IS_SALE_OF_INVESTMENTS_AFTER_TAX","FQ3 2023","FQ3 2023","Currency=USD","Period=FQ","BEST_FPERIOD_OVERRIDE=FQ","FILING_STATUS=MR","SCALING_FORMAT=MLN","Sort=A","Dates=H","DateFormat=P","Fill=—","Direction=H","UseDPDF=Y")</f>
        <v>-129.3989</v>
      </c>
      <c r="W54" s="13">
        <f>_xll.BDH("AMGN US Equity","IS_SALE_OF_INVESTMENTS_AFTER_TAX","FQ4 2023","FQ4 2023","Currency=USD","Period=FQ","BEST_FPERIOD_OVERRIDE=FQ","FILING_STATUS=MR","SCALING_FORMAT=MLN","Sort=A","Dates=H","DateFormat=P","Fill=—","Direction=H","UseDPDF=Y")</f>
        <v>-175.95670000000001</v>
      </c>
      <c r="X54" s="13">
        <f>_xll.BDH("AMGN US Equity","IS_SALE_OF_INVESTMENTS_AFTER_TAX","FQ1 2024","FQ1 2024","Currency=USD","Period=FQ","BEST_FPERIOD_OVERRIDE=FQ","FILING_STATUS=MR","SCALING_FORMAT=MLN","Sort=A","Dates=H","DateFormat=P","Fill=—","Direction=H","UseDPDF=Y")</f>
        <v>439.49939999999998</v>
      </c>
      <c r="Y54" s="13" t="str">
        <f>_xll.BDH("AMGN US Equity","IS_SALE_OF_INVESTMENTS_AFTER_TAX","FQ2 2024","FQ2 2024","Currency=USD","Period=FQ","BEST_FPERIOD_OVERRIDE=FQ","FILING_STATUS=MR","SCALING_FORMAT=MLN","Sort=A","Dates=H","DateFormat=P","Fill=—","Direction=H","UseDPDF=Y")</f>
        <v>—</v>
      </c>
      <c r="Z54" s="13" t="str">
        <f>_xll.BDH("AMGN US Equity","IS_SALE_OF_INVESTMENTS_AFTER_TAX","FQ3 2024","FQ3 2024","Currency=USD","Period=FQ","BEST_FPERIOD_OVERRIDE=FQ","FILING_STATUS=MR","SCALING_FORMAT=MLN","Sort=A","Dates=H","DateFormat=P","Fill=—","Direction=H","UseDPDF=Y")</f>
        <v>—</v>
      </c>
      <c r="AA54" s="13">
        <f>_xll.BDH("AMGN US Equity","IS_SALE_OF_INVESTMENTS_AFTER_TAX","FQ4 2024","FQ4 2024","Currency=USD","Period=FQ","BEST_FPERIOD_OVERRIDE=FQ","FILING_STATUS=MR","SCALING_FORMAT=MLN","Sort=A","Dates=H","DateFormat=P","Fill=—","Direction=H","UseDPDF=Y")</f>
        <v>418.39659999999998</v>
      </c>
    </row>
    <row r="55" spans="1:27" x14ac:dyDescent="0.25">
      <c r="A55" s="10" t="s">
        <v>631</v>
      </c>
      <c r="B55" s="10" t="s">
        <v>644</v>
      </c>
      <c r="C55" s="13" t="str">
        <f>_xll.BDH("AMGN US Equity","IS_UNREALIZED_INVEST_AFT_TAX","FQ4 2018","FQ4 2018","Currency=USD","Period=FQ","BEST_FPERIOD_OVERRIDE=FQ","FILING_STATUS=MR","SCALING_FORMAT=MLN","Sort=A","Dates=H","DateFormat=P","Fill=—","Direction=H","UseDPDF=Y")</f>
        <v>—</v>
      </c>
      <c r="D55" s="13" t="str">
        <f>_xll.BDH("AMGN US Equity","IS_UNREALIZED_INVEST_AFT_TAX","FQ1 2019","FQ1 2019","Currency=USD","Period=FQ","BEST_FPERIOD_OVERRIDE=FQ","FILING_STATUS=MR","SCALING_FORMAT=MLN","Sort=A","Dates=H","DateFormat=P","Fill=—","Direction=H","UseDPDF=Y")</f>
        <v>—</v>
      </c>
      <c r="E55" s="13" t="str">
        <f>_xll.BDH("AMGN US Equity","IS_UNREALIZED_INVEST_AFT_TAX","FQ2 2019","FQ2 2019","Currency=USD","Period=FQ","BEST_FPERIOD_OVERRIDE=FQ","FILING_STATUS=MR","SCALING_FORMAT=MLN","Sort=A","Dates=H","DateFormat=P","Fill=—","Direction=H","UseDPDF=Y")</f>
        <v>—</v>
      </c>
      <c r="F55" s="13" t="str">
        <f>_xll.BDH("AMGN US Equity","IS_UNREALIZED_INVEST_AFT_TAX","FQ3 2019","FQ3 2019","Currency=USD","Period=FQ","BEST_FPERIOD_OVERRIDE=FQ","FILING_STATUS=MR","SCALING_FORMAT=MLN","Sort=A","Dates=H","DateFormat=P","Fill=—","Direction=H","UseDPDF=Y")</f>
        <v>—</v>
      </c>
      <c r="G55" s="13" t="str">
        <f>_xll.BDH("AMGN US Equity","IS_UNREALIZED_INVEST_AFT_TAX","FQ4 2019","FQ4 2019","Currency=USD","Period=FQ","BEST_FPERIOD_OVERRIDE=FQ","FILING_STATUS=MR","SCALING_FORMAT=MLN","Sort=A","Dates=H","DateFormat=P","Fill=—","Direction=H","UseDPDF=Y")</f>
        <v>—</v>
      </c>
      <c r="H55" s="13" t="str">
        <f>_xll.BDH("AMGN US Equity","IS_UNREALIZED_INVEST_AFT_TAX","FQ1 2020","FQ1 2020","Currency=USD","Period=FQ","BEST_FPERIOD_OVERRIDE=FQ","FILING_STATUS=MR","SCALING_FORMAT=MLN","Sort=A","Dates=H","DateFormat=P","Fill=—","Direction=H","UseDPDF=Y")</f>
        <v>—</v>
      </c>
      <c r="I55" s="13" t="str">
        <f>_xll.BDH("AMGN US Equity","IS_UNREALIZED_INVEST_AFT_TAX","FQ2 2020","FQ2 2020","Currency=USD","Period=FQ","BEST_FPERIOD_OVERRIDE=FQ","FILING_STATUS=MR","SCALING_FORMAT=MLN","Sort=A","Dates=H","DateFormat=P","Fill=—","Direction=H","UseDPDF=Y")</f>
        <v>—</v>
      </c>
      <c r="J55" s="13" t="str">
        <f>_xll.BDH("AMGN US Equity","IS_UNREALIZED_INVEST_AFT_TAX","FQ3 2020","FQ3 2020","Currency=USD","Period=FQ","BEST_FPERIOD_OVERRIDE=FQ","FILING_STATUS=MR","SCALING_FORMAT=MLN","Sort=A","Dates=H","DateFormat=P","Fill=—","Direction=H","UseDPDF=Y")</f>
        <v>—</v>
      </c>
      <c r="K55" s="13" t="str">
        <f>_xll.BDH("AMGN US Equity","IS_UNREALIZED_INVEST_AFT_TAX","FQ4 2020","FQ4 2020","Currency=USD","Period=FQ","BEST_FPERIOD_OVERRIDE=FQ","FILING_STATUS=MR","SCALING_FORMAT=MLN","Sort=A","Dates=H","DateFormat=P","Fill=—","Direction=H","UseDPDF=Y")</f>
        <v>—</v>
      </c>
      <c r="L55" s="13" t="str">
        <f>_xll.BDH("AMGN US Equity","IS_UNREALIZED_INVEST_AFT_TAX","FQ1 2021","FQ1 2021","Currency=USD","Period=FQ","BEST_FPERIOD_OVERRIDE=FQ","FILING_STATUS=MR","SCALING_FORMAT=MLN","Sort=A","Dates=H","DateFormat=P","Fill=—","Direction=H","UseDPDF=Y")</f>
        <v>—</v>
      </c>
      <c r="M55" s="13" t="str">
        <f>_xll.BDH("AMGN US Equity","IS_UNREALIZED_INVEST_AFT_TAX","FQ2 2021","FQ2 2021","Currency=USD","Period=FQ","BEST_FPERIOD_OVERRIDE=FQ","FILING_STATUS=MR","SCALING_FORMAT=MLN","Sort=A","Dates=H","DateFormat=P","Fill=—","Direction=H","UseDPDF=Y")</f>
        <v>—</v>
      </c>
      <c r="N55" s="13" t="str">
        <f>_xll.BDH("AMGN US Equity","IS_UNREALIZED_INVEST_AFT_TAX","FQ3 2021","FQ3 2021","Currency=USD","Period=FQ","BEST_FPERIOD_OVERRIDE=FQ","FILING_STATUS=MR","SCALING_FORMAT=MLN","Sort=A","Dates=H","DateFormat=P","Fill=—","Direction=H","UseDPDF=Y")</f>
        <v>—</v>
      </c>
      <c r="O55" s="13" t="str">
        <f>_xll.BDH("AMGN US Equity","IS_UNREALIZED_INVEST_AFT_TAX","FQ4 2021","FQ4 2021","Currency=USD","Period=FQ","BEST_FPERIOD_OVERRIDE=FQ","FILING_STATUS=MR","SCALING_FORMAT=MLN","Sort=A","Dates=H","DateFormat=P","Fill=—","Direction=H","UseDPDF=Y")</f>
        <v>—</v>
      </c>
      <c r="P55" s="13" t="str">
        <f>_xll.BDH("AMGN US Equity","IS_UNREALIZED_INVEST_AFT_TAX","FQ1 2022","FQ1 2022","Currency=USD","Period=FQ","BEST_FPERIOD_OVERRIDE=FQ","FILING_STATUS=MR","SCALING_FORMAT=MLN","Sort=A","Dates=H","DateFormat=P","Fill=—","Direction=H","UseDPDF=Y")</f>
        <v>—</v>
      </c>
      <c r="Q55" s="13" t="str">
        <f>_xll.BDH("AMGN US Equity","IS_UNREALIZED_INVEST_AFT_TAX","FQ2 2022","FQ2 2022","Currency=USD","Period=FQ","BEST_FPERIOD_OVERRIDE=FQ","FILING_STATUS=MR","SCALING_FORMAT=MLN","Sort=A","Dates=H","DateFormat=P","Fill=—","Direction=H","UseDPDF=Y")</f>
        <v>—</v>
      </c>
      <c r="R55" s="13" t="str">
        <f>_xll.BDH("AMGN US Equity","IS_UNREALIZED_INVEST_AFT_TAX","FQ3 2022","FQ3 2022","Currency=USD","Period=FQ","BEST_FPERIOD_OVERRIDE=FQ","FILING_STATUS=MR","SCALING_FORMAT=MLN","Sort=A","Dates=H","DateFormat=P","Fill=—","Direction=H","UseDPDF=Y")</f>
        <v>—</v>
      </c>
      <c r="S55" s="13" t="str">
        <f>_xll.BDH("AMGN US Equity","IS_UNREALIZED_INVEST_AFT_TAX","FQ4 2022","FQ4 2022","Currency=USD","Period=FQ","BEST_FPERIOD_OVERRIDE=FQ","FILING_STATUS=MR","SCALING_FORMAT=MLN","Sort=A","Dates=H","DateFormat=P","Fill=—","Direction=H","UseDPDF=Y")</f>
        <v>—</v>
      </c>
      <c r="T55" s="13" t="str">
        <f>_xll.BDH("AMGN US Equity","IS_UNREALIZED_INVEST_AFT_TAX","FQ1 2023","FQ1 2023","Currency=USD","Period=FQ","BEST_FPERIOD_OVERRIDE=FQ","FILING_STATUS=MR","SCALING_FORMAT=MLN","Sort=A","Dates=H","DateFormat=P","Fill=—","Direction=H","UseDPDF=Y")</f>
        <v>—</v>
      </c>
      <c r="U55" s="13">
        <f>_xll.BDH("AMGN US Equity","IS_UNREALIZED_INVEST_AFT_TAX","FQ2 2023","FQ2 2023","Currency=USD","Period=FQ","BEST_FPERIOD_OVERRIDE=FQ","FILING_STATUS=MR","SCALING_FORMAT=MLN","Sort=A","Dates=H","DateFormat=P","Fill=—","Direction=H","UseDPDF=Y")</f>
        <v>450.8372</v>
      </c>
      <c r="V55" s="13" t="str">
        <f>_xll.BDH("AMGN US Equity","IS_UNREALIZED_INVEST_AFT_TAX","FQ3 2023","FQ3 2023","Currency=USD","Period=FQ","BEST_FPERIOD_OVERRIDE=FQ","FILING_STATUS=MR","SCALING_FORMAT=MLN","Sort=A","Dates=H","DateFormat=P","Fill=—","Direction=H","UseDPDF=Y")</f>
        <v>—</v>
      </c>
      <c r="W55" s="13" t="str">
        <f>_xll.BDH("AMGN US Equity","IS_UNREALIZED_INVEST_AFT_TAX","FQ4 2023","FQ4 2023","Currency=USD","Period=FQ","BEST_FPERIOD_OVERRIDE=FQ","FILING_STATUS=MR","SCALING_FORMAT=MLN","Sort=A","Dates=H","DateFormat=P","Fill=—","Direction=H","UseDPDF=Y")</f>
        <v>—</v>
      </c>
      <c r="X55" s="13" t="str">
        <f>_xll.BDH("AMGN US Equity","IS_UNREALIZED_INVEST_AFT_TAX","FQ1 2024","FQ1 2024","Currency=USD","Period=FQ","BEST_FPERIOD_OVERRIDE=FQ","FILING_STATUS=MR","SCALING_FORMAT=MLN","Sort=A","Dates=H","DateFormat=P","Fill=—","Direction=H","UseDPDF=Y")</f>
        <v>—</v>
      </c>
      <c r="Y55" s="13">
        <f>_xll.BDH("AMGN US Equity","IS_UNREALIZED_INVEST_AFT_TAX","FQ2 2024","FQ2 2024","Currency=USD","Period=FQ","BEST_FPERIOD_OVERRIDE=FQ","FILING_STATUS=MR","SCALING_FORMAT=MLN","Sort=A","Dates=H","DateFormat=P","Fill=—","Direction=H","UseDPDF=Y")</f>
        <v>333.52940000000001</v>
      </c>
      <c r="Z55" s="13">
        <f>_xll.BDH("AMGN US Equity","IS_UNREALIZED_INVEST_AFT_TAX","FQ3 2024","FQ3 2024","Currency=USD","Period=FQ","BEST_FPERIOD_OVERRIDE=FQ","FILING_STATUS=MR","SCALING_FORMAT=MLN","Sort=A","Dates=H","DateFormat=P","Fill=—","Direction=H","UseDPDF=Y")</f>
        <v>-902.9538</v>
      </c>
      <c r="AA55" s="13" t="str">
        <f>_xll.BDH("AMGN US Equity","IS_UNREALIZED_INVEST_AFT_TAX","FQ4 2024","FQ4 2024","Currency=USD","Period=FQ","BEST_FPERIOD_OVERRIDE=FQ","FILING_STATUS=MR","SCALING_FORMAT=MLN","Sort=A","Dates=H","DateFormat=P","Fill=—","Direction=H","UseDPDF=Y")</f>
        <v>—</v>
      </c>
    </row>
    <row r="56" spans="1:27" x14ac:dyDescent="0.25">
      <c r="A56" s="10" t="s">
        <v>628</v>
      </c>
      <c r="B56" s="10" t="s">
        <v>645</v>
      </c>
      <c r="C56" s="13" t="str">
        <f>_xll.BDH("AMGN US Equity","IS_OTH_ONE_TIME_ITEMS_AFTER_TAX","FQ4 2018","FQ4 2018","Currency=USD","Period=FQ","BEST_FPERIOD_OVERRIDE=FQ","FILING_STATUS=MR","SCALING_FORMAT=MLN","Sort=A","Dates=H","DateFormat=P","Fill=—","Direction=H","UseDPDF=Y")</f>
        <v>—</v>
      </c>
      <c r="D56" s="13" t="str">
        <f>_xll.BDH("AMGN US Equity","IS_OTH_ONE_TIME_ITEMS_AFTER_TAX","FQ1 2019","FQ1 2019","Currency=USD","Period=FQ","BEST_FPERIOD_OVERRIDE=FQ","FILING_STATUS=MR","SCALING_FORMAT=MLN","Sort=A","Dates=H","DateFormat=P","Fill=—","Direction=H","UseDPDF=Y")</f>
        <v>—</v>
      </c>
      <c r="E56" s="13" t="str">
        <f>_xll.BDH("AMGN US Equity","IS_OTH_ONE_TIME_ITEMS_AFTER_TAX","FQ2 2019","FQ2 2019","Currency=USD","Period=FQ","BEST_FPERIOD_OVERRIDE=FQ","FILING_STATUS=MR","SCALING_FORMAT=MLN","Sort=A","Dates=H","DateFormat=P","Fill=—","Direction=H","UseDPDF=Y")</f>
        <v>—</v>
      </c>
      <c r="F56" s="13" t="str">
        <f>_xll.BDH("AMGN US Equity","IS_OTH_ONE_TIME_ITEMS_AFTER_TAX","FQ3 2019","FQ3 2019","Currency=USD","Period=FQ","BEST_FPERIOD_OVERRIDE=FQ","FILING_STATUS=MR","SCALING_FORMAT=MLN","Sort=A","Dates=H","DateFormat=P","Fill=—","Direction=H","UseDPDF=Y")</f>
        <v>—</v>
      </c>
      <c r="G56" s="13" t="str">
        <f>_xll.BDH("AMGN US Equity","IS_OTH_ONE_TIME_ITEMS_AFTER_TAX","FQ4 2019","FQ4 2019","Currency=USD","Period=FQ","BEST_FPERIOD_OVERRIDE=FQ","FILING_STATUS=MR","SCALING_FORMAT=MLN","Sort=A","Dates=H","DateFormat=P","Fill=—","Direction=H","UseDPDF=Y")</f>
        <v>—</v>
      </c>
      <c r="H56" s="13" t="str">
        <f>_xll.BDH("AMGN US Equity","IS_OTH_ONE_TIME_ITEMS_AFTER_TAX","FQ1 2020","FQ1 2020","Currency=USD","Period=FQ","BEST_FPERIOD_OVERRIDE=FQ","FILING_STATUS=MR","SCALING_FORMAT=MLN","Sort=A","Dates=H","DateFormat=P","Fill=—","Direction=H","UseDPDF=Y")</f>
        <v>—</v>
      </c>
      <c r="I56" s="13" t="str">
        <f>_xll.BDH("AMGN US Equity","IS_OTH_ONE_TIME_ITEMS_AFTER_TAX","FQ2 2020","FQ2 2020","Currency=USD","Period=FQ","BEST_FPERIOD_OVERRIDE=FQ","FILING_STATUS=MR","SCALING_FORMAT=MLN","Sort=A","Dates=H","DateFormat=P","Fill=—","Direction=H","UseDPDF=Y")</f>
        <v>—</v>
      </c>
      <c r="J56" s="13">
        <f>_xll.BDH("AMGN US Equity","IS_OTH_ONE_TIME_ITEMS_AFTER_TAX","FQ3 2020","FQ3 2020","Currency=USD","Period=FQ","BEST_FPERIOD_OVERRIDE=FQ","FILING_STATUS=MR","SCALING_FORMAT=MLN","Sort=A","Dates=H","DateFormat=P","Fill=—","Direction=H","UseDPDF=Y")</f>
        <v>0.82850000000000001</v>
      </c>
      <c r="K56" s="13" t="str">
        <f>_xll.BDH("AMGN US Equity","IS_OTH_ONE_TIME_ITEMS_AFTER_TAX","FQ4 2020","FQ4 2020","Currency=USD","Period=FQ","BEST_FPERIOD_OVERRIDE=FQ","FILING_STATUS=MR","SCALING_FORMAT=MLN","Sort=A","Dates=H","DateFormat=P","Fill=—","Direction=H","UseDPDF=Y")</f>
        <v>—</v>
      </c>
      <c r="L56" s="13">
        <f>_xll.BDH("AMGN US Equity","IS_OTH_ONE_TIME_ITEMS_AFTER_TAX","FQ1 2021","FQ1 2021","Currency=USD","Period=FQ","BEST_FPERIOD_OVERRIDE=FQ","FILING_STATUS=MR","SCALING_FORMAT=MLN","Sort=A","Dates=H","DateFormat=P","Fill=—","Direction=H","UseDPDF=Y")</f>
        <v>53.905099999999997</v>
      </c>
      <c r="M56" s="13">
        <f>_xll.BDH("AMGN US Equity","IS_OTH_ONE_TIME_ITEMS_AFTER_TAX","FQ2 2021","FQ2 2021","Currency=USD","Period=FQ","BEST_FPERIOD_OVERRIDE=FQ","FILING_STATUS=MR","SCALING_FORMAT=MLN","Sort=A","Dates=H","DateFormat=P","Fill=—","Direction=H","UseDPDF=Y")</f>
        <v>4.4046000000000003</v>
      </c>
      <c r="N56" s="13">
        <f>_xll.BDH("AMGN US Equity","IS_OTH_ONE_TIME_ITEMS_AFTER_TAX","FQ3 2021","FQ3 2021","Currency=USD","Period=FQ","BEST_FPERIOD_OVERRIDE=FQ","FILING_STATUS=MR","SCALING_FORMAT=MLN","Sort=A","Dates=H","DateFormat=P","Fill=—","Direction=H","UseDPDF=Y")</f>
        <v>24.028500000000001</v>
      </c>
      <c r="O56" s="13">
        <f>_xll.BDH("AMGN US Equity","IS_OTH_ONE_TIME_ITEMS_AFTER_TAX","FQ4 2021","FQ4 2021","Currency=USD","Period=FQ","BEST_FPERIOD_OVERRIDE=FQ","FILING_STATUS=MR","SCALING_FORMAT=MLN","Sort=A","Dates=H","DateFormat=P","Fill=—","Direction=H","UseDPDF=Y")</f>
        <v>-19.331299999999999</v>
      </c>
      <c r="P56" s="13">
        <f>_xll.BDH("AMGN US Equity","IS_OTH_ONE_TIME_ITEMS_AFTER_TAX","FQ1 2022","FQ1 2022","Currency=USD","Period=FQ","BEST_FPERIOD_OVERRIDE=FQ","FILING_STATUS=MR","SCALING_FORMAT=MLN","Sort=A","Dates=H","DateFormat=P","Fill=—","Direction=H","UseDPDF=Y")</f>
        <v>1.6407</v>
      </c>
      <c r="Q56" s="13" t="str">
        <f>_xll.BDH("AMGN US Equity","IS_OTH_ONE_TIME_ITEMS_AFTER_TAX","FQ2 2022","FQ2 2022","Currency=USD","Period=FQ","BEST_FPERIOD_OVERRIDE=FQ","FILING_STATUS=MR","SCALING_FORMAT=MLN","Sort=A","Dates=H","DateFormat=P","Fill=—","Direction=H","UseDPDF=Y")</f>
        <v>—</v>
      </c>
      <c r="R56" s="13">
        <f>_xll.BDH("AMGN US Equity","IS_OTH_ONE_TIME_ITEMS_AFTER_TAX","FQ3 2022","FQ3 2022","Currency=USD","Period=FQ","BEST_FPERIOD_OVERRIDE=FQ","FILING_STATUS=MR","SCALING_FORMAT=MLN","Sort=A","Dates=H","DateFormat=P","Fill=—","Direction=H","UseDPDF=Y")</f>
        <v>3.8132000000000001</v>
      </c>
      <c r="S56" s="13">
        <f>_xll.BDH("AMGN US Equity","IS_OTH_ONE_TIME_ITEMS_AFTER_TAX","FQ4 2022","FQ4 2022","Currency=USD","Period=FQ","BEST_FPERIOD_OVERRIDE=FQ","FILING_STATUS=MR","SCALING_FORMAT=MLN","Sort=A","Dates=H","DateFormat=P","Fill=—","Direction=H","UseDPDF=Y")</f>
        <v>-0.79339999999999999</v>
      </c>
      <c r="T56" s="13">
        <f>_xll.BDH("AMGN US Equity","IS_OTH_ONE_TIME_ITEMS_AFTER_TAX","FQ1 2023","FQ1 2023","Currency=USD","Period=FQ","BEST_FPERIOD_OVERRIDE=FQ","FILING_STATUS=MR","SCALING_FORMAT=MLN","Sort=A","Dates=H","DateFormat=P","Fill=—","Direction=H","UseDPDF=Y")</f>
        <v>123.31829999999999</v>
      </c>
      <c r="U56" s="13">
        <f>_xll.BDH("AMGN US Equity","IS_OTH_ONE_TIME_ITEMS_AFTER_TAX","FQ2 2023","FQ2 2023","Currency=USD","Period=FQ","BEST_FPERIOD_OVERRIDE=FQ","FILING_STATUS=MR","SCALING_FORMAT=MLN","Sort=A","Dates=H","DateFormat=P","Fill=—","Direction=H","UseDPDF=Y")</f>
        <v>4.3528000000000002</v>
      </c>
      <c r="V56" s="13">
        <f>_xll.BDH("AMGN US Equity","IS_OTH_ONE_TIME_ITEMS_AFTER_TAX","FQ3 2023","FQ3 2023","Currency=USD","Period=FQ","BEST_FPERIOD_OVERRIDE=FQ","FILING_STATUS=MR","SCALING_FORMAT=MLN","Sort=A","Dates=H","DateFormat=P","Fill=—","Direction=H","UseDPDF=Y")</f>
        <v>478.01459999999997</v>
      </c>
      <c r="W56" s="13" t="str">
        <f>_xll.BDH("AMGN US Equity","IS_OTH_ONE_TIME_ITEMS_AFTER_TAX","FQ4 2023","FQ4 2023","Currency=USD","Period=FQ","BEST_FPERIOD_OVERRIDE=FQ","FILING_STATUS=MR","SCALING_FORMAT=MLN","Sort=A","Dates=H","DateFormat=P","Fill=—","Direction=H","UseDPDF=Y")</f>
        <v>—</v>
      </c>
      <c r="X56" s="13">
        <f>_xll.BDH("AMGN US Equity","IS_OTH_ONE_TIME_ITEMS_AFTER_TAX","FQ1 2024","FQ1 2024","Currency=USD","Period=FQ","BEST_FPERIOD_OVERRIDE=FQ","FILING_STATUS=MR","SCALING_FORMAT=MLN","Sort=A","Dates=H","DateFormat=P","Fill=—","Direction=H","UseDPDF=Y")</f>
        <v>-0.86180000000000001</v>
      </c>
      <c r="Y56" s="13" t="str">
        <f>_xll.BDH("AMGN US Equity","IS_OTH_ONE_TIME_ITEMS_AFTER_TAX","FQ2 2024","FQ2 2024","Currency=USD","Period=FQ","BEST_FPERIOD_OVERRIDE=FQ","FILING_STATUS=MR","SCALING_FORMAT=MLN","Sort=A","Dates=H","DateFormat=P","Fill=—","Direction=H","UseDPDF=Y")</f>
        <v>—</v>
      </c>
      <c r="Z56" s="13" t="str">
        <f>_xll.BDH("AMGN US Equity","IS_OTH_ONE_TIME_ITEMS_AFTER_TAX","FQ3 2024","FQ3 2024","Currency=USD","Period=FQ","BEST_FPERIOD_OVERRIDE=FQ","FILING_STATUS=MR","SCALING_FORMAT=MLN","Sort=A","Dates=H","DateFormat=P","Fill=—","Direction=H","UseDPDF=Y")</f>
        <v>—</v>
      </c>
      <c r="AA56" s="13">
        <f>_xll.BDH("AMGN US Equity","IS_OTH_ONE_TIME_ITEMS_AFTER_TAX","FQ4 2024","FQ4 2024","Currency=USD","Period=FQ","BEST_FPERIOD_OVERRIDE=FQ","FILING_STATUS=MR","SCALING_FORMAT=MLN","Sort=A","Dates=H","DateFormat=P","Fill=—","Direction=H","UseDPDF=Y")</f>
        <v>19.1267</v>
      </c>
    </row>
    <row r="57" spans="1:27" x14ac:dyDescent="0.25">
      <c r="A57" s="10" t="s">
        <v>646</v>
      </c>
      <c r="B57" s="10" t="s">
        <v>647</v>
      </c>
      <c r="C57" s="13" t="str">
        <f>_xll.BDH("AMGN US Equity","IS_ABNORMAL_TAX_PROV_BENEFIT","FQ4 2018","FQ4 2018","Currency=USD","Period=FQ","BEST_FPERIOD_OVERRIDE=FQ","FILING_STATUS=MR","SCALING_FORMAT=MLN","Sort=A","Dates=H","DateFormat=P","Fill=—","Direction=H","UseDPDF=Y")</f>
        <v>—</v>
      </c>
      <c r="D57" s="13">
        <f>_xll.BDH("AMGN US Equity","IS_ABNORMAL_TAX_PROV_BENEFIT","FQ1 2019","FQ1 2019","Currency=USD","Period=FQ","BEST_FPERIOD_OVERRIDE=FQ","FILING_STATUS=MR","SCALING_FORMAT=MLN","Sort=A","Dates=H","DateFormat=P","Fill=—","Direction=H","UseDPDF=Y")</f>
        <v>8</v>
      </c>
      <c r="E57" s="13">
        <f>_xll.BDH("AMGN US Equity","IS_ABNORMAL_TAX_PROV_BENEFIT","FQ2 2019","FQ2 2019","Currency=USD","Period=FQ","BEST_FPERIOD_OVERRIDE=FQ","FILING_STATUS=MR","SCALING_FORMAT=MLN","Sort=A","Dates=H","DateFormat=P","Fill=—","Direction=H","UseDPDF=Y")</f>
        <v>19</v>
      </c>
      <c r="F57" s="13">
        <f>_xll.BDH("AMGN US Equity","IS_ABNORMAL_TAX_PROV_BENEFIT","FQ3 2019","FQ3 2019","Currency=USD","Period=FQ","BEST_FPERIOD_OVERRIDE=FQ","FILING_STATUS=MR","SCALING_FORMAT=MLN","Sort=A","Dates=H","DateFormat=P","Fill=—","Direction=H","UseDPDF=Y")</f>
        <v>8</v>
      </c>
      <c r="G57" s="13">
        <f>_xll.BDH("AMGN US Equity","IS_ABNORMAL_TAX_PROV_BENEFIT","FQ4 2019","FQ4 2019","Currency=USD","Period=FQ","BEST_FPERIOD_OVERRIDE=FQ","FILING_STATUS=MR","SCALING_FORMAT=MLN","Sort=A","Dates=H","DateFormat=P","Fill=—","Direction=H","UseDPDF=Y")</f>
        <v>-3</v>
      </c>
      <c r="H57" s="13">
        <f>_xll.BDH("AMGN US Equity","IS_ABNORMAL_TAX_PROV_BENEFIT","FQ1 2020","FQ1 2020","Currency=USD","Period=FQ","BEST_FPERIOD_OVERRIDE=FQ","FILING_STATUS=MR","SCALING_FORMAT=MLN","Sort=A","Dates=H","DateFormat=P","Fill=—","Direction=H","UseDPDF=Y")</f>
        <v>1</v>
      </c>
      <c r="I57" s="13">
        <f>_xll.BDH("AMGN US Equity","IS_ABNORMAL_TAX_PROV_BENEFIT","FQ2 2020","FQ2 2020","Currency=USD","Period=FQ","BEST_FPERIOD_OVERRIDE=FQ","FILING_STATUS=MR","SCALING_FORMAT=MLN","Sort=A","Dates=H","DateFormat=P","Fill=—","Direction=H","UseDPDF=Y")</f>
        <v>-9</v>
      </c>
      <c r="J57" s="13">
        <f>_xll.BDH("AMGN US Equity","IS_ABNORMAL_TAX_PROV_BENEFIT","FQ3 2020","FQ3 2020","Currency=USD","Period=FQ","BEST_FPERIOD_OVERRIDE=FQ","FILING_STATUS=MR","SCALING_FORMAT=MLN","Sort=A","Dates=H","DateFormat=P","Fill=—","Direction=H","UseDPDF=Y")</f>
        <v>-55</v>
      </c>
      <c r="K57" s="13">
        <f>_xll.BDH("AMGN US Equity","IS_ABNORMAL_TAX_PROV_BENEFIT","FQ4 2020","FQ4 2020","Currency=USD","Period=FQ","BEST_FPERIOD_OVERRIDE=FQ","FILING_STATUS=MR","SCALING_FORMAT=MLN","Sort=A","Dates=H","DateFormat=P","Fill=—","Direction=H","UseDPDF=Y")</f>
        <v>-4</v>
      </c>
      <c r="L57" s="13">
        <f>_xll.BDH("AMGN US Equity","IS_ABNORMAL_TAX_PROV_BENEFIT","FQ1 2021","FQ1 2021","Currency=USD","Period=FQ","BEST_FPERIOD_OVERRIDE=FQ","FILING_STATUS=MR","SCALING_FORMAT=MLN","Sort=A","Dates=H","DateFormat=P","Fill=—","Direction=H","UseDPDF=Y")</f>
        <v>-3</v>
      </c>
      <c r="M57" s="13">
        <f>_xll.BDH("AMGN US Equity","IS_ABNORMAL_TAX_PROV_BENEFIT","FQ2 2021","FQ2 2021","Currency=USD","Period=FQ","BEST_FPERIOD_OVERRIDE=FQ","FILING_STATUS=MR","SCALING_FORMAT=MLN","Sort=A","Dates=H","DateFormat=P","Fill=—","Direction=H","UseDPDF=Y")</f>
        <v>9</v>
      </c>
      <c r="N57" s="13">
        <f>_xll.BDH("AMGN US Equity","IS_ABNORMAL_TAX_PROV_BENEFIT","FQ3 2021","FQ3 2021","Currency=USD","Period=FQ","BEST_FPERIOD_OVERRIDE=FQ","FILING_STATUS=MR","SCALING_FORMAT=MLN","Sort=A","Dates=H","DateFormat=P","Fill=—","Direction=H","UseDPDF=Y")</f>
        <v>-29</v>
      </c>
      <c r="O57" s="13">
        <f>_xll.BDH("AMGN US Equity","IS_ABNORMAL_TAX_PROV_BENEFIT","FQ4 2021","FQ4 2021","Currency=USD","Period=FQ","BEST_FPERIOD_OVERRIDE=FQ","FILING_STATUS=MR","SCALING_FORMAT=MLN","Sort=A","Dates=H","DateFormat=P","Fill=—","Direction=H","UseDPDF=Y")</f>
        <v>14</v>
      </c>
      <c r="P57" s="13">
        <f>_xll.BDH("AMGN US Equity","IS_ABNORMAL_TAX_PROV_BENEFIT","FQ1 2022","FQ1 2022","Currency=USD","Period=FQ","BEST_FPERIOD_OVERRIDE=FQ","FILING_STATUS=MR","SCALING_FORMAT=MLN","Sort=A","Dates=H","DateFormat=P","Fill=—","Direction=H","UseDPDF=Y")</f>
        <v>4</v>
      </c>
      <c r="Q57" s="13" t="str">
        <f>_xll.BDH("AMGN US Equity","IS_ABNORMAL_TAX_PROV_BENEFIT","FQ2 2022","FQ2 2022","Currency=USD","Period=FQ","BEST_FPERIOD_OVERRIDE=FQ","FILING_STATUS=MR","SCALING_FORMAT=MLN","Sort=A","Dates=H","DateFormat=P","Fill=—","Direction=H","UseDPDF=Y")</f>
        <v>—</v>
      </c>
      <c r="R57" s="13">
        <f>_xll.BDH("AMGN US Equity","IS_ABNORMAL_TAX_PROV_BENEFIT","FQ3 2022","FQ3 2022","Currency=USD","Period=FQ","BEST_FPERIOD_OVERRIDE=FQ","FILING_STATUS=MR","SCALING_FORMAT=MLN","Sort=A","Dates=H","DateFormat=P","Fill=—","Direction=H","UseDPDF=Y")</f>
        <v>-5</v>
      </c>
      <c r="S57" s="13">
        <f>_xll.BDH("AMGN US Equity","IS_ABNORMAL_TAX_PROV_BENEFIT","FQ4 2022","FQ4 2022","Currency=USD","Period=FQ","BEST_FPERIOD_OVERRIDE=FQ","FILING_STATUS=MR","SCALING_FORMAT=MLN","Sort=A","Dates=H","DateFormat=P","Fill=—","Direction=H","UseDPDF=Y")</f>
        <v>-45</v>
      </c>
      <c r="T57" s="13">
        <f>_xll.BDH("AMGN US Equity","IS_ABNORMAL_TAX_PROV_BENEFIT","FQ1 2023","FQ1 2023","Currency=USD","Period=FQ","BEST_FPERIOD_OVERRIDE=FQ","FILING_STATUS=MR","SCALING_FORMAT=MLN","Sort=A","Dates=H","DateFormat=P","Fill=—","Direction=H","UseDPDF=Y")</f>
        <v>19</v>
      </c>
      <c r="U57" s="13">
        <f>_xll.BDH("AMGN US Equity","IS_ABNORMAL_TAX_PROV_BENEFIT","FQ2 2023","FQ2 2023","Currency=USD","Period=FQ","BEST_FPERIOD_OVERRIDE=FQ","FILING_STATUS=MR","SCALING_FORMAT=MLN","Sort=A","Dates=H","DateFormat=P","Fill=—","Direction=H","UseDPDF=Y")</f>
        <v>-2</v>
      </c>
      <c r="V57" s="13">
        <f>_xll.BDH("AMGN US Equity","IS_ABNORMAL_TAX_PROV_BENEFIT","FQ3 2023","FQ3 2023","Currency=USD","Period=FQ","BEST_FPERIOD_OVERRIDE=FQ","FILING_STATUS=MR","SCALING_FORMAT=MLN","Sort=A","Dates=H","DateFormat=P","Fill=—","Direction=H","UseDPDF=Y")</f>
        <v>-23</v>
      </c>
      <c r="W57" s="13">
        <f>_xll.BDH("AMGN US Equity","IS_ABNORMAL_TAX_PROV_BENEFIT","FQ4 2023","FQ4 2023","Currency=USD","Period=FQ","BEST_FPERIOD_OVERRIDE=FQ","FILING_STATUS=MR","SCALING_FORMAT=MLN","Sort=A","Dates=H","DateFormat=P","Fill=—","Direction=H","UseDPDF=Y")</f>
        <v>-7</v>
      </c>
      <c r="X57" s="13">
        <f>_xll.BDH("AMGN US Equity","IS_ABNORMAL_TAX_PROV_BENEFIT","FQ1 2024","FQ1 2024","Currency=USD","Period=FQ","BEST_FPERIOD_OVERRIDE=FQ","FILING_STATUS=MR","SCALING_FORMAT=MLN","Sort=A","Dates=H","DateFormat=P","Fill=—","Direction=H","UseDPDF=Y")</f>
        <v>15</v>
      </c>
      <c r="Y57" s="13">
        <f>_xll.BDH("AMGN US Equity","IS_ABNORMAL_TAX_PROV_BENEFIT","FQ2 2024","FQ2 2024","Currency=USD","Period=FQ","BEST_FPERIOD_OVERRIDE=FQ","FILING_STATUS=MR","SCALING_FORMAT=MLN","Sort=A","Dates=H","DateFormat=P","Fill=—","Direction=H","UseDPDF=Y")</f>
        <v>-4</v>
      </c>
      <c r="Z57" s="13">
        <f>_xll.BDH("AMGN US Equity","IS_ABNORMAL_TAX_PROV_BENEFIT","FQ3 2024","FQ3 2024","Currency=USD","Period=FQ","BEST_FPERIOD_OVERRIDE=FQ","FILING_STATUS=MR","SCALING_FORMAT=MLN","Sort=A","Dates=H","DateFormat=P","Fill=—","Direction=H","UseDPDF=Y")</f>
        <v>33</v>
      </c>
      <c r="AA57" s="13">
        <f>_xll.BDH("AMGN US Equity","IS_ABNORMAL_TAX_PROV_BENEFIT","FQ4 2024","FQ4 2024","Currency=USD","Period=FQ","BEST_FPERIOD_OVERRIDE=FQ","FILING_STATUS=MR","SCALING_FORMAT=MLN","Sort=A","Dates=H","DateFormat=P","Fill=—","Direction=H","UseDPDF=Y")</f>
        <v>192</v>
      </c>
    </row>
    <row r="58" spans="1:27" x14ac:dyDescent="0.25">
      <c r="A58" s="6" t="s">
        <v>378</v>
      </c>
      <c r="B58" s="6" t="s">
        <v>80</v>
      </c>
      <c r="C58" s="19">
        <f>_xll.BDH("AMGN US Equity","EARN_FOR_COMMON","FQ4 2018","FQ4 2018","Currency=USD","Period=FQ","BEST_FPERIOD_OVERRIDE=FQ","FILING_STATUS=MR","SCALING_FORMAT=MLN","FA_ADJUSTED=Adjusted","Sort=A","Dates=H","DateFormat=P","Fill=—","Direction=H","UseDPDF=Y")</f>
        <v>1944.1731</v>
      </c>
      <c r="D58" s="19">
        <f>_xll.BDH("AMGN US Equity","EARN_FOR_COMMON","FQ1 2019","FQ1 2019","Currency=USD","Period=FQ","BEST_FPERIOD_OVERRIDE=FQ","FILING_STATUS=MR","SCALING_FORMAT=MLN","FA_ADJUSTED=Adjusted","Sort=A","Dates=H","DateFormat=P","Fill=—","Direction=H","UseDPDF=Y")</f>
        <v>1998.4564</v>
      </c>
      <c r="E58" s="19">
        <f>_xll.BDH("AMGN US Equity","EARN_FOR_COMMON","FQ2 2019","FQ2 2019","Currency=USD","Period=FQ","BEST_FPERIOD_OVERRIDE=FQ","FILING_STATUS=MR","SCALING_FORMAT=MLN","FA_ADJUSTED=Adjusted","Sort=A","Dates=H","DateFormat=P","Fill=—","Direction=H","UseDPDF=Y")</f>
        <v>2195.7094999999999</v>
      </c>
      <c r="F58" s="19">
        <f>_xll.BDH("AMGN US Equity","EARN_FOR_COMMON","FQ3 2019","FQ3 2019","Currency=USD","Period=FQ","BEST_FPERIOD_OVERRIDE=FQ","FILING_STATUS=MR","SCALING_FORMAT=MLN","FA_ADJUSTED=Adjusted","Sort=A","Dates=H","DateFormat=P","Fill=—","Direction=H","UseDPDF=Y")</f>
        <v>1976</v>
      </c>
      <c r="G58" s="19">
        <f>_xll.BDH("AMGN US Equity","EARN_FOR_COMMON","FQ4 2019","FQ4 2019","Currency=USD","Period=FQ","BEST_FPERIOD_OVERRIDE=FQ","FILING_STATUS=MR","SCALING_FORMAT=MLN","FA_ADJUSTED=Adjusted","Sort=A","Dates=H","DateFormat=P","Fill=—","Direction=H","UseDPDF=Y")</f>
        <v>1760.3874000000001</v>
      </c>
      <c r="H58" s="19">
        <f>_xll.BDH("AMGN US Equity","EARN_FOR_COMMON","FQ1 2020","FQ1 2020","Currency=USD","Period=FQ","BEST_FPERIOD_OVERRIDE=FQ","FILING_STATUS=MR","SCALING_FORMAT=MLN","FA_ADJUSTED=Adjusted","Sort=A","Dates=H","DateFormat=P","Fill=—","Direction=H","UseDPDF=Y")</f>
        <v>1845.7964999999999</v>
      </c>
      <c r="I58" s="19">
        <f>_xll.BDH("AMGN US Equity","EARN_FOR_COMMON","FQ2 2020","FQ2 2020","Currency=USD","Period=FQ","BEST_FPERIOD_OVERRIDE=FQ","FILING_STATUS=MR","SCALING_FORMAT=MLN","FA_ADJUSTED=Adjusted","Sort=A","Dates=H","DateFormat=P","Fill=—","Direction=H","UseDPDF=Y")</f>
        <v>1875.5315000000001</v>
      </c>
      <c r="J58" s="19">
        <f>_xll.BDH("AMGN US Equity","EARN_FOR_COMMON","FQ3 2020","FQ3 2020","Currency=USD","Period=FQ","BEST_FPERIOD_OVERRIDE=FQ","FILING_STATUS=MR","SCALING_FORMAT=MLN","FA_ADJUSTED=Adjusted","Sort=A","Dates=H","DateFormat=P","Fill=—","Direction=H","UseDPDF=Y")</f>
        <v>2569.9627999999998</v>
      </c>
      <c r="K58" s="19">
        <f>_xll.BDH("AMGN US Equity","EARN_FOR_COMMON","FQ4 2020","FQ4 2020","Currency=USD","Period=FQ","BEST_FPERIOD_OVERRIDE=FQ","FILING_STATUS=MR","SCALING_FORMAT=MLN","FA_ADJUSTED=Adjusted","Sort=A","Dates=H","DateFormat=P","Fill=—","Direction=H","UseDPDF=Y")</f>
        <v>1664.0646999999999</v>
      </c>
      <c r="L58" s="19">
        <f>_xll.BDH("AMGN US Equity","EARN_FOR_COMMON","FQ1 2021","FQ1 2021","Currency=USD","Period=FQ","BEST_FPERIOD_OVERRIDE=FQ","FILING_STATUS=MR","SCALING_FORMAT=MLN","FA_ADJUSTED=Adjusted","Sort=A","Dates=H","DateFormat=P","Fill=—","Direction=H","UseDPDF=Y")</f>
        <v>2110.7057</v>
      </c>
      <c r="M58" s="19">
        <f>_xll.BDH("AMGN US Equity","EARN_FOR_COMMON","FQ2 2021","FQ2 2021","Currency=USD","Period=FQ","BEST_FPERIOD_OVERRIDE=FQ","FILING_STATUS=MR","SCALING_FORMAT=MLN","FA_ADJUSTED=Adjusted","Sort=A","Dates=H","DateFormat=P","Fill=—","Direction=H","UseDPDF=Y")</f>
        <v>2485.0016999999998</v>
      </c>
      <c r="N58" s="19">
        <f>_xll.BDH("AMGN US Equity","EARN_FOR_COMMON","FQ3 2021","FQ3 2021","Currency=USD","Period=FQ","BEST_FPERIOD_OVERRIDE=FQ","FILING_STATUS=MR","SCALING_FORMAT=MLN","FA_ADJUSTED=Adjusted","Sort=A","Dates=H","DateFormat=P","Fill=—","Direction=H","UseDPDF=Y")</f>
        <v>1709.0492999999999</v>
      </c>
      <c r="O58" s="19">
        <f>_xll.BDH("AMGN US Equity","EARN_FOR_COMMON","FQ4 2021","FQ4 2021","Currency=USD","Period=FQ","BEST_FPERIOD_OVERRIDE=FQ","FILING_STATUS=MR","SCALING_FORMAT=MLN","FA_ADJUSTED=Adjusted","Sort=A","Dates=H","DateFormat=P","Fill=—","Direction=H","UseDPDF=Y")</f>
        <v>1864.2515000000001</v>
      </c>
      <c r="P58" s="19">
        <f>_xll.BDH("AMGN US Equity","EARN_FOR_COMMON","FQ1 2022","FQ1 2022","Currency=USD","Period=FQ","BEST_FPERIOD_OVERRIDE=FQ","FILING_STATUS=MR","SCALING_FORMAT=MLN","FA_ADJUSTED=Adjusted","Sort=A","Dates=H","DateFormat=P","Fill=—","Direction=H","UseDPDF=Y")</f>
        <v>2304.4439000000002</v>
      </c>
      <c r="Q58" s="19">
        <f>_xll.BDH("AMGN US Equity","EARN_FOR_COMMON","FQ2 2022","FQ2 2022","Currency=USD","Period=FQ","BEST_FPERIOD_OVERRIDE=FQ","FILING_STATUS=MR","SCALING_FORMAT=MLN","FA_ADJUSTED=Adjusted","Sort=A","Dates=H","DateFormat=P","Fill=—","Direction=H","UseDPDF=Y")</f>
        <v>2453.5925000000002</v>
      </c>
      <c r="R58" s="19">
        <f>_xll.BDH("AMGN US Equity","EARN_FOR_COMMON","FQ3 2022","FQ3 2022","Currency=USD","Period=FQ","BEST_FPERIOD_OVERRIDE=FQ","FILING_STATUS=MR","SCALING_FORMAT=MLN","FA_ADJUSTED=Adjusted","Sort=A","Dates=H","DateFormat=P","Fill=—","Direction=H","UseDPDF=Y")</f>
        <v>2027.4163000000001</v>
      </c>
      <c r="S58" s="19">
        <f>_xll.BDH("AMGN US Equity","EARN_FOR_COMMON","FQ4 2022","FQ4 2022","Currency=USD","Period=FQ","BEST_FPERIOD_OVERRIDE=FQ","FILING_STATUS=MR","SCALING_FORMAT=MLN","FA_ADJUSTED=Adjusted","Sort=A","Dates=H","DateFormat=P","Fill=—","Direction=H","UseDPDF=Y")</f>
        <v>1513.0811000000001</v>
      </c>
      <c r="T58" s="19">
        <f>_xll.BDH("AMGN US Equity","EARN_FOR_COMMON","FQ1 2023","FQ1 2023","Currency=USD","Period=FQ","BEST_FPERIOD_OVERRIDE=FQ","FILING_STATUS=MR","SCALING_FORMAT=MLN","FA_ADJUSTED=Adjusted","Sort=A","Dates=H","DateFormat=P","Fill=—","Direction=H","UseDPDF=Y")</f>
        <v>2024</v>
      </c>
      <c r="U58" s="19">
        <f>_xll.BDH("AMGN US Equity","EARN_FOR_COMMON","FQ2 2023","FQ2 2023","Currency=USD","Period=FQ","BEST_FPERIOD_OVERRIDE=FQ","FILING_STATUS=MR","SCALING_FORMAT=MLN","FA_ADJUSTED=Adjusted","Sort=A","Dates=H","DateFormat=P","Fill=—","Direction=H","UseDPDF=Y")</f>
        <v>1851.94</v>
      </c>
      <c r="V58" s="19">
        <f>_xll.BDH("AMGN US Equity","EARN_FOR_COMMON","FQ3 2023","FQ3 2023","Currency=USD","Period=FQ","BEST_FPERIOD_OVERRIDE=FQ","FILING_STATUS=MR","SCALING_FORMAT=MLN","FA_ADJUSTED=Adjusted","Sort=A","Dates=H","DateFormat=P","Fill=—","Direction=H","UseDPDF=Y")</f>
        <v>2078.9131000000002</v>
      </c>
      <c r="W58" s="19">
        <f>_xll.BDH("AMGN US Equity","EARN_FOR_COMMON","FQ4 2023","FQ4 2023","Currency=USD","Period=FQ","BEST_FPERIOD_OVERRIDE=FQ","FILING_STATUS=MR","SCALING_FORMAT=MLN","FA_ADJUSTED=Adjusted","Sort=A","Dates=H","DateFormat=P","Fill=—","Direction=H","UseDPDF=Y")</f>
        <v>1011.3668</v>
      </c>
      <c r="X58" s="19">
        <f>_xll.BDH("AMGN US Equity","EARN_FOR_COMMON","FQ1 2024","FQ1 2024","Currency=USD","Period=FQ","BEST_FPERIOD_OVERRIDE=FQ","FILING_STATUS=MR","SCALING_FORMAT=MLN","FA_ADJUSTED=Adjusted","Sort=A","Dates=H","DateFormat=P","Fill=—","Direction=H","UseDPDF=Y")</f>
        <v>431.9846</v>
      </c>
      <c r="Y58" s="19">
        <f>_xll.BDH("AMGN US Equity","EARN_FOR_COMMON","FQ2 2024","FQ2 2024","Currency=USD","Period=FQ","BEST_FPERIOD_OVERRIDE=FQ","FILING_STATUS=MR","SCALING_FORMAT=MLN","FA_ADJUSTED=Adjusted","Sort=A","Dates=H","DateFormat=P","Fill=—","Direction=H","UseDPDF=Y")</f>
        <v>1207.5881999999999</v>
      </c>
      <c r="Z58" s="19">
        <f>_xll.BDH("AMGN US Equity","EARN_FOR_COMMON","FQ3 2024","FQ3 2024","Currency=USD","Period=FQ","BEST_FPERIOD_OVERRIDE=FQ","FILING_STATUS=MR","SCALING_FORMAT=MLN","FA_ADJUSTED=Adjusted","Sort=A","Dates=H","DateFormat=P","Fill=—","Direction=H","UseDPDF=Y")</f>
        <v>2043.6077</v>
      </c>
      <c r="AA58" s="19">
        <f>_xll.BDH("AMGN US Equity","EARN_FOR_COMMON","FQ4 2024","FQ4 2024","Currency=USD","Period=FQ","BEST_FPERIOD_OVERRIDE=FQ","FILING_STATUS=MR","SCALING_FORMAT=MLN","FA_ADJUSTED=Adjusted","Sort=A","Dates=H","DateFormat=P","Fill=—","Direction=H","UseDPDF=Y")</f>
        <v>1307.2090000000001</v>
      </c>
    </row>
    <row r="59" spans="1:27" x14ac:dyDescent="0.25">
      <c r="A59" s="6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 x14ac:dyDescent="0.25">
      <c r="A60" s="6" t="s">
        <v>648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 x14ac:dyDescent="0.25">
      <c r="A61" s="6" t="s">
        <v>103</v>
      </c>
      <c r="B61" s="6" t="s">
        <v>104</v>
      </c>
      <c r="C61" s="20">
        <f>_xll.BDH("AMGN US Equity","IS_DILUTED_EPS","FQ4 2018","FQ4 2018","Currency=USD","Period=FQ","BEST_FPERIOD_OVERRIDE=FQ","FILING_STATUS=MR","FA_ADJUSTED=GAAP","Sort=A","Dates=H","DateFormat=P","Fill=—","Direction=H","UseDPDF=Y")</f>
        <v>3.01</v>
      </c>
      <c r="D61" s="20">
        <f>_xll.BDH("AMGN US Equity","IS_DILUTED_EPS","FQ1 2019","FQ1 2019","Currency=USD","Period=FQ","BEST_FPERIOD_OVERRIDE=FQ","FILING_STATUS=MR","FA_ADJUSTED=GAAP","Sort=A","Dates=H","DateFormat=P","Fill=—","Direction=H","UseDPDF=Y")</f>
        <v>3.18</v>
      </c>
      <c r="E61" s="20">
        <f>_xll.BDH("AMGN US Equity","IS_DILUTED_EPS","FQ2 2019","FQ2 2019","Currency=USD","Period=FQ","BEST_FPERIOD_OVERRIDE=FQ","FILING_STATUS=MR","FA_ADJUSTED=GAAP","Sort=A","Dates=H","DateFormat=P","Fill=—","Direction=H","UseDPDF=Y")</f>
        <v>3.57</v>
      </c>
      <c r="F61" s="20">
        <f>_xll.BDH("AMGN US Equity","IS_DILUTED_EPS","FQ3 2019","FQ3 2019","Currency=USD","Period=FQ","BEST_FPERIOD_OVERRIDE=FQ","FILING_STATUS=MR","FA_ADJUSTED=GAAP","Sort=A","Dates=H","DateFormat=P","Fill=—","Direction=H","UseDPDF=Y")</f>
        <v>3.27</v>
      </c>
      <c r="G61" s="20">
        <f>_xll.BDH("AMGN US Equity","IS_DILUTED_EPS","FQ4 2019","FQ4 2019","Currency=USD","Period=FQ","BEST_FPERIOD_OVERRIDE=FQ","FILING_STATUS=MR","FA_ADJUSTED=GAAP","Sort=A","Dates=H","DateFormat=P","Fill=—","Direction=H","UseDPDF=Y")</f>
        <v>2.85</v>
      </c>
      <c r="H61" s="20">
        <f>_xll.BDH("AMGN US Equity","IS_DILUTED_EPS","FQ1 2020","FQ1 2020","Currency=USD","Period=FQ","BEST_FPERIOD_OVERRIDE=FQ","FILING_STATUS=MR","FA_ADJUSTED=GAAP","Sort=A","Dates=H","DateFormat=P","Fill=—","Direction=H","UseDPDF=Y")</f>
        <v>3.07</v>
      </c>
      <c r="I61" s="20">
        <f>_xll.BDH("AMGN US Equity","IS_DILUTED_EPS","FQ2 2020","FQ2 2020","Currency=USD","Period=FQ","BEST_FPERIOD_OVERRIDE=FQ","FILING_STATUS=MR","FA_ADJUSTED=GAAP","Sort=A","Dates=H","DateFormat=P","Fill=—","Direction=H","UseDPDF=Y")</f>
        <v>3.05</v>
      </c>
      <c r="J61" s="20">
        <f>_xll.BDH("AMGN US Equity","IS_DILUTED_EPS","FQ3 2020","FQ3 2020","Currency=USD","Period=FQ","BEST_FPERIOD_OVERRIDE=FQ","FILING_STATUS=MR","FA_ADJUSTED=GAAP","Sort=A","Dates=H","DateFormat=P","Fill=—","Direction=H","UseDPDF=Y")</f>
        <v>3.43</v>
      </c>
      <c r="K61" s="20">
        <f>_xll.BDH("AMGN US Equity","IS_DILUTED_EPS","FQ4 2020","FQ4 2020","Currency=USD","Period=FQ","BEST_FPERIOD_OVERRIDE=FQ","FILING_STATUS=MR","FA_ADJUSTED=GAAP","Sort=A","Dates=H","DateFormat=P","Fill=—","Direction=H","UseDPDF=Y")</f>
        <v>2.76</v>
      </c>
      <c r="L61" s="20">
        <f>_xll.BDH("AMGN US Equity","IS_DILUTED_EPS","FQ1 2021","FQ1 2021","Currency=USD","Period=FQ","BEST_FPERIOD_OVERRIDE=FQ","FILING_STATUS=MR","FA_ADJUSTED=GAAP","Sort=A","Dates=H","DateFormat=P","Fill=—","Direction=H","UseDPDF=Y")</f>
        <v>2.83</v>
      </c>
      <c r="M61" s="20">
        <f>_xll.BDH("AMGN US Equity","IS_DILUTED_EPS","FQ2 2021","FQ2 2021","Currency=USD","Period=FQ","BEST_FPERIOD_OVERRIDE=FQ","FILING_STATUS=MR","FA_ADJUSTED=GAAP","Sort=A","Dates=H","DateFormat=P","Fill=—","Direction=H","UseDPDF=Y")</f>
        <v>0.81</v>
      </c>
      <c r="N61" s="20">
        <f>_xll.BDH("AMGN US Equity","IS_DILUTED_EPS","FQ3 2021","FQ3 2021","Currency=USD","Period=FQ","BEST_FPERIOD_OVERRIDE=FQ","FILING_STATUS=MR","FA_ADJUSTED=GAAP","Sort=A","Dates=H","DateFormat=P","Fill=—","Direction=H","UseDPDF=Y")</f>
        <v>3.31</v>
      </c>
      <c r="O61" s="20">
        <f>_xll.BDH("AMGN US Equity","IS_DILUTED_EPS","FQ4 2021","FQ4 2021","Currency=USD","Period=FQ","BEST_FPERIOD_OVERRIDE=FQ","FILING_STATUS=MR","FA_ADJUSTED=GAAP","Sort=A","Dates=H","DateFormat=P","Fill=—","Direction=H","UseDPDF=Y")</f>
        <v>3.36</v>
      </c>
      <c r="P61" s="20">
        <f>_xll.BDH("AMGN US Equity","IS_DILUTED_EPS","FQ1 2022","FQ1 2022","Currency=USD","Period=FQ","BEST_FPERIOD_OVERRIDE=FQ","FILING_STATUS=MR","FA_ADJUSTED=GAAP","Sort=A","Dates=H","DateFormat=P","Fill=—","Direction=H","UseDPDF=Y")</f>
        <v>2.68</v>
      </c>
      <c r="Q61" s="20">
        <f>_xll.BDH("AMGN US Equity","IS_DILUTED_EPS","FQ2 2022","FQ2 2022","Currency=USD","Period=FQ","BEST_FPERIOD_OVERRIDE=FQ","FILING_STATUS=MR","FA_ADJUSTED=GAAP","Sort=A","Dates=H","DateFormat=P","Fill=—","Direction=H","UseDPDF=Y")</f>
        <v>2.4500000000000002</v>
      </c>
      <c r="R61" s="20">
        <f>_xll.BDH("AMGN US Equity","IS_DILUTED_EPS","FQ3 2022","FQ3 2022","Currency=USD","Period=FQ","BEST_FPERIOD_OVERRIDE=FQ","FILING_STATUS=MR","FA_ADJUSTED=GAAP","Sort=A","Dates=H","DateFormat=P","Fill=—","Direction=H","UseDPDF=Y")</f>
        <v>3.98</v>
      </c>
      <c r="S61" s="20">
        <f>_xll.BDH("AMGN US Equity","IS_DILUTED_EPS","FQ4 2022","FQ4 2022","Currency=USD","Period=FQ","BEST_FPERIOD_OVERRIDE=FQ","FILING_STATUS=MR","FA_ADJUSTED=GAAP","Sort=A","Dates=H","DateFormat=P","Fill=—","Direction=H","UseDPDF=Y")</f>
        <v>3</v>
      </c>
      <c r="T61" s="20">
        <f>_xll.BDH("AMGN US Equity","IS_DILUTED_EPS","FQ1 2023","FQ1 2023","Currency=USD","Period=FQ","BEST_FPERIOD_OVERRIDE=FQ","FILING_STATUS=MR","FA_ADJUSTED=GAAP","Sort=A","Dates=H","DateFormat=P","Fill=—","Direction=H","UseDPDF=Y")</f>
        <v>5.28</v>
      </c>
      <c r="U61" s="20">
        <f>_xll.BDH("AMGN US Equity","IS_DILUTED_EPS","FQ2 2023","FQ2 2023","Currency=USD","Period=FQ","BEST_FPERIOD_OVERRIDE=FQ","FILING_STATUS=MR","FA_ADJUSTED=GAAP","Sort=A","Dates=H","DateFormat=P","Fill=—","Direction=H","UseDPDF=Y")</f>
        <v>2.57</v>
      </c>
      <c r="V61" s="20">
        <f>_xll.BDH("AMGN US Equity","IS_DILUTED_EPS","FQ3 2023","FQ3 2023","Currency=USD","Period=FQ","BEST_FPERIOD_OVERRIDE=FQ","FILING_STATUS=MR","FA_ADJUSTED=GAAP","Sort=A","Dates=H","DateFormat=P","Fill=—","Direction=H","UseDPDF=Y")</f>
        <v>3.22</v>
      </c>
      <c r="W61" s="20">
        <f>_xll.BDH("AMGN US Equity","IS_DILUTED_EPS","FQ4 2023","FQ4 2023","Currency=USD","Period=FQ","BEST_FPERIOD_OVERRIDE=FQ","FILING_STATUS=MR","FA_ADJUSTED=GAAP","Sort=A","Dates=H","DateFormat=P","Fill=—","Direction=H","UseDPDF=Y")</f>
        <v>1.42</v>
      </c>
      <c r="X61" s="20">
        <f>_xll.BDH("AMGN US Equity","IS_DILUTED_EPS","FQ1 2024","FQ1 2024","Currency=USD","Period=FQ","BEST_FPERIOD_OVERRIDE=FQ","FILING_STATUS=MR","FA_ADJUSTED=GAAP","Sort=A","Dates=H","DateFormat=P","Fill=—","Direction=H","UseDPDF=Y")</f>
        <v>-0.21</v>
      </c>
      <c r="Y61" s="20">
        <f>_xll.BDH("AMGN US Equity","IS_DILUTED_EPS","FQ2 2024","FQ2 2024","Currency=USD","Period=FQ","BEST_FPERIOD_OVERRIDE=FQ","FILING_STATUS=MR","FA_ADJUSTED=GAAP","Sort=A","Dates=H","DateFormat=P","Fill=—","Direction=H","UseDPDF=Y")</f>
        <v>1.38</v>
      </c>
      <c r="Z61" s="20">
        <f>_xll.BDH("AMGN US Equity","IS_DILUTED_EPS","FQ3 2024","FQ3 2024","Currency=USD","Period=FQ","BEST_FPERIOD_OVERRIDE=FQ","FILING_STATUS=MR","FA_ADJUSTED=GAAP","Sort=A","Dates=H","DateFormat=P","Fill=—","Direction=H","UseDPDF=Y")</f>
        <v>5.22</v>
      </c>
      <c r="AA61" s="20">
        <f>_xll.BDH("AMGN US Equity","IS_DILUTED_EPS","FQ4 2024","FQ4 2024","Currency=USD","Period=FQ","BEST_FPERIOD_OVERRIDE=FQ","FILING_STATUS=MR","FA_ADJUSTED=GAAP","Sort=A","Dates=H","DateFormat=P","Fill=—","Direction=H","UseDPDF=Y")</f>
        <v>1.1599999999999999</v>
      </c>
    </row>
    <row r="62" spans="1:27" x14ac:dyDescent="0.25">
      <c r="A62" s="10" t="s">
        <v>634</v>
      </c>
      <c r="B62" s="10" t="s">
        <v>649</v>
      </c>
      <c r="C62" s="14">
        <f>_xll.BDH("AMGN US Equity","IS_DISC_OPS_DILUTED_SH","FQ4 2018","FQ4 2018","Currency=USD","Period=FQ","BEST_FPERIOD_OVERRIDE=FQ","FILING_STATUS=MR","Sort=A","Dates=H","DateFormat=P","Fill=—","Direction=H","UseDPDF=Y")</f>
        <v>0</v>
      </c>
      <c r="D62" s="14">
        <f>_xll.BDH("AMGN US Equity","IS_DISC_OPS_DILUTED_SH","FQ1 2019","FQ1 2019","Currency=USD","Period=FQ","BEST_FPERIOD_OVERRIDE=FQ","FILING_STATUS=MR","Sort=A","Dates=H","DateFormat=P","Fill=—","Direction=H","UseDPDF=Y")</f>
        <v>0</v>
      </c>
      <c r="E62" s="14">
        <f>_xll.BDH("AMGN US Equity","IS_DISC_OPS_DILUTED_SH","FQ2 2019","FQ2 2019","Currency=USD","Period=FQ","BEST_FPERIOD_OVERRIDE=FQ","FILING_STATUS=MR","Sort=A","Dates=H","DateFormat=P","Fill=—","Direction=H","UseDPDF=Y")</f>
        <v>0</v>
      </c>
      <c r="F62" s="14" t="str">
        <f>_xll.BDH("AMGN US Equity","IS_DISC_OPS_DILUTED_SH","FQ3 2019","FQ3 2019","Currency=USD","Period=FQ","BEST_FPERIOD_OVERRIDE=FQ","FILING_STATUS=MR","Sort=A","Dates=H","DateFormat=P","Fill=—","Direction=H","UseDPDF=Y")</f>
        <v>—</v>
      </c>
      <c r="G62" s="14">
        <f>_xll.BDH("AMGN US Equity","IS_DISC_OPS_DILUTED_SH","FQ4 2019","FQ4 2019","Currency=USD","Period=FQ","BEST_FPERIOD_OVERRIDE=FQ","FILING_STATUS=MR","Sort=A","Dates=H","DateFormat=P","Fill=—","Direction=H","UseDPDF=Y")</f>
        <v>0</v>
      </c>
      <c r="H62" s="14" t="str">
        <f>_xll.BDH("AMGN US Equity","IS_DISC_OPS_DILUTED_SH","FQ1 2020","FQ1 2020","Currency=USD","Period=FQ","BEST_FPERIOD_OVERRIDE=FQ","FILING_STATUS=MR","Sort=A","Dates=H","DateFormat=P","Fill=—","Direction=H","UseDPDF=Y")</f>
        <v>—</v>
      </c>
      <c r="I62" s="14" t="str">
        <f>_xll.BDH("AMGN US Equity","IS_DISC_OPS_DILUTED_SH","FQ2 2020","FQ2 2020","Currency=USD","Period=FQ","BEST_FPERIOD_OVERRIDE=FQ","FILING_STATUS=MR","Sort=A","Dates=H","DateFormat=P","Fill=—","Direction=H","UseDPDF=Y")</f>
        <v>—</v>
      </c>
      <c r="J62" s="14" t="str">
        <f>_xll.BDH("AMGN US Equity","IS_DISC_OPS_DILUTED_SH","FQ3 2020","FQ3 2020","Currency=USD","Period=FQ","BEST_FPERIOD_OVERRIDE=FQ","FILING_STATUS=MR","Sort=A","Dates=H","DateFormat=P","Fill=—","Direction=H","UseDPDF=Y")</f>
        <v>—</v>
      </c>
      <c r="K62" s="14">
        <f>_xll.BDH("AMGN US Equity","IS_DISC_OPS_DILUTED_SH","FQ4 2020","FQ4 2020","Currency=USD","Period=FQ","BEST_FPERIOD_OVERRIDE=FQ","FILING_STATUS=MR","Sort=A","Dates=H","DateFormat=P","Fill=—","Direction=H","UseDPDF=Y")</f>
        <v>0</v>
      </c>
      <c r="L62" s="14" t="str">
        <f>_xll.BDH("AMGN US Equity","IS_DISC_OPS_DILUTED_SH","FQ1 2021","FQ1 2021","Currency=USD","Period=FQ","BEST_FPERIOD_OVERRIDE=FQ","FILING_STATUS=MR","Sort=A","Dates=H","DateFormat=P","Fill=—","Direction=H","UseDPDF=Y")</f>
        <v>—</v>
      </c>
      <c r="M62" s="14">
        <f>_xll.BDH("AMGN US Equity","IS_DISC_OPS_DILUTED_SH","FQ2 2021","FQ2 2021","Currency=USD","Period=FQ","BEST_FPERIOD_OVERRIDE=FQ","FILING_STATUS=MR","Sort=A","Dates=H","DateFormat=P","Fill=—","Direction=H","UseDPDF=Y")</f>
        <v>0</v>
      </c>
      <c r="N62" s="14">
        <f>_xll.BDH("AMGN US Equity","IS_DISC_OPS_DILUTED_SH","FQ3 2021","FQ3 2021","Currency=USD","Period=FQ","BEST_FPERIOD_OVERRIDE=FQ","FILING_STATUS=MR","Sort=A","Dates=H","DateFormat=P","Fill=—","Direction=H","UseDPDF=Y")</f>
        <v>0</v>
      </c>
      <c r="O62" s="14">
        <f>_xll.BDH("AMGN US Equity","IS_DISC_OPS_DILUTED_SH","FQ4 2021","FQ4 2021","Currency=USD","Period=FQ","BEST_FPERIOD_OVERRIDE=FQ","FILING_STATUS=MR","Sort=A","Dates=H","DateFormat=P","Fill=—","Direction=H","UseDPDF=Y")</f>
        <v>0</v>
      </c>
      <c r="P62" s="14">
        <f>_xll.BDH("AMGN US Equity","IS_DISC_OPS_DILUTED_SH","FQ1 2022","FQ1 2022","Currency=USD","Period=FQ","BEST_FPERIOD_OVERRIDE=FQ","FILING_STATUS=MR","Sort=A","Dates=H","DateFormat=P","Fill=—","Direction=H","UseDPDF=Y")</f>
        <v>0</v>
      </c>
      <c r="Q62" s="14">
        <f>_xll.BDH("AMGN US Equity","IS_DISC_OPS_DILUTED_SH","FQ2 2022","FQ2 2022","Currency=USD","Period=FQ","BEST_FPERIOD_OVERRIDE=FQ","FILING_STATUS=MR","Sort=A","Dates=H","DateFormat=P","Fill=—","Direction=H","UseDPDF=Y")</f>
        <v>0</v>
      </c>
      <c r="R62" s="14">
        <f>_xll.BDH("AMGN US Equity","IS_DISC_OPS_DILUTED_SH","FQ3 2022","FQ3 2022","Currency=USD","Period=FQ","BEST_FPERIOD_OVERRIDE=FQ","FILING_STATUS=MR","Sort=A","Dates=H","DateFormat=P","Fill=—","Direction=H","UseDPDF=Y")</f>
        <v>0</v>
      </c>
      <c r="S62" s="14">
        <f>_xll.BDH("AMGN US Equity","IS_DISC_OPS_DILUTED_SH","FQ4 2022","FQ4 2022","Currency=USD","Period=FQ","BEST_FPERIOD_OVERRIDE=FQ","FILING_STATUS=MR","Sort=A","Dates=H","DateFormat=P","Fill=—","Direction=H","UseDPDF=Y")</f>
        <v>0</v>
      </c>
      <c r="T62" s="14">
        <f>_xll.BDH("AMGN US Equity","IS_DISC_OPS_DILUTED_SH","FQ1 2023","FQ1 2023","Currency=USD","Period=FQ","BEST_FPERIOD_OVERRIDE=FQ","FILING_STATUS=MR","Sort=A","Dates=H","DateFormat=P","Fill=—","Direction=H","UseDPDF=Y")</f>
        <v>0</v>
      </c>
      <c r="U62" s="14">
        <f>_xll.BDH("AMGN US Equity","IS_DISC_OPS_DILUTED_SH","FQ2 2023","FQ2 2023","Currency=USD","Period=FQ","BEST_FPERIOD_OVERRIDE=FQ","FILING_STATUS=MR","Sort=A","Dates=H","DateFormat=P","Fill=—","Direction=H","UseDPDF=Y")</f>
        <v>0</v>
      </c>
      <c r="V62" s="14" t="str">
        <f>_xll.BDH("AMGN US Equity","IS_DISC_OPS_DILUTED_SH","FQ3 2023","FQ3 2023","Currency=USD","Period=FQ","BEST_FPERIOD_OVERRIDE=FQ","FILING_STATUS=MR","Sort=A","Dates=H","DateFormat=P","Fill=—","Direction=H","UseDPDF=Y")</f>
        <v>—</v>
      </c>
      <c r="W62" s="14">
        <f>_xll.BDH("AMGN US Equity","IS_DISC_OPS_DILUTED_SH","FQ4 2023","FQ4 2023","Currency=USD","Period=FQ","BEST_FPERIOD_OVERRIDE=FQ","FILING_STATUS=MR","Sort=A","Dates=H","DateFormat=P","Fill=—","Direction=H","UseDPDF=Y")</f>
        <v>0</v>
      </c>
      <c r="X62" s="14">
        <f>_xll.BDH("AMGN US Equity","IS_DISC_OPS_DILUTED_SH","FQ1 2024","FQ1 2024","Currency=USD","Period=FQ","BEST_FPERIOD_OVERRIDE=FQ","FILING_STATUS=MR","Sort=A","Dates=H","DateFormat=P","Fill=—","Direction=H","UseDPDF=Y")</f>
        <v>0</v>
      </c>
      <c r="Y62" s="14">
        <f>_xll.BDH("AMGN US Equity","IS_DISC_OPS_DILUTED_SH","FQ2 2024","FQ2 2024","Currency=USD","Period=FQ","BEST_FPERIOD_OVERRIDE=FQ","FILING_STATUS=MR","Sort=A","Dates=H","DateFormat=P","Fill=—","Direction=H","UseDPDF=Y")</f>
        <v>0</v>
      </c>
      <c r="Z62" s="14">
        <f>_xll.BDH("AMGN US Equity","IS_DISC_OPS_DILUTED_SH","FQ3 2024","FQ3 2024","Currency=USD","Period=FQ","BEST_FPERIOD_OVERRIDE=FQ","FILING_STATUS=MR","Sort=A","Dates=H","DateFormat=P","Fill=—","Direction=H","UseDPDF=Y")</f>
        <v>0</v>
      </c>
      <c r="AA62" s="14">
        <f>_xll.BDH("AMGN US Equity","IS_DISC_OPS_DILUTED_SH","FQ4 2024","FQ4 2024","Currency=USD","Period=FQ","BEST_FPERIOD_OVERRIDE=FQ","FILING_STATUS=MR","Sort=A","Dates=H","DateFormat=P","Fill=—","Direction=H","UseDPDF=Y")</f>
        <v>0</v>
      </c>
    </row>
    <row r="63" spans="1:27" x14ac:dyDescent="0.25">
      <c r="A63" s="10" t="s">
        <v>635</v>
      </c>
      <c r="B63" s="10" t="s">
        <v>650</v>
      </c>
      <c r="C63" s="14">
        <f>_xll.BDH("AMGN US Equity","IS_XO_ITEMS_ACCT_CHG_DIL_SH","FQ4 2018","FQ4 2018","Currency=USD","Period=FQ","BEST_FPERIOD_OVERRIDE=FQ","FILING_STATUS=MR","Sort=A","Dates=H","DateFormat=P","Fill=—","Direction=H","UseDPDF=Y")</f>
        <v>0</v>
      </c>
      <c r="D63" s="14">
        <f>_xll.BDH("AMGN US Equity","IS_XO_ITEMS_ACCT_CHG_DIL_SH","FQ1 2019","FQ1 2019","Currency=USD","Period=FQ","BEST_FPERIOD_OVERRIDE=FQ","FILING_STATUS=MR","Sort=A","Dates=H","DateFormat=P","Fill=—","Direction=H","UseDPDF=Y")</f>
        <v>0</v>
      </c>
      <c r="E63" s="14">
        <f>_xll.BDH("AMGN US Equity","IS_XO_ITEMS_ACCT_CHG_DIL_SH","FQ2 2019","FQ2 2019","Currency=USD","Period=FQ","BEST_FPERIOD_OVERRIDE=FQ","FILING_STATUS=MR","Sort=A","Dates=H","DateFormat=P","Fill=—","Direction=H","UseDPDF=Y")</f>
        <v>0</v>
      </c>
      <c r="F63" s="14">
        <f>_xll.BDH("AMGN US Equity","IS_XO_ITEMS_ACCT_CHG_DIL_SH","FQ3 2019","FQ3 2019","Currency=USD","Period=FQ","BEST_FPERIOD_OVERRIDE=FQ","FILING_STATUS=MR","Sort=A","Dates=H","DateFormat=P","Fill=—","Direction=H","UseDPDF=Y")</f>
        <v>0</v>
      </c>
      <c r="G63" s="14">
        <f>_xll.BDH("AMGN US Equity","IS_XO_ITEMS_ACCT_CHG_DIL_SH","FQ4 2019","FQ4 2019","Currency=USD","Period=FQ","BEST_FPERIOD_OVERRIDE=FQ","FILING_STATUS=MR","Sort=A","Dates=H","DateFormat=P","Fill=—","Direction=H","UseDPDF=Y")</f>
        <v>0</v>
      </c>
      <c r="H63" s="14">
        <f>_xll.BDH("AMGN US Equity","IS_XO_ITEMS_ACCT_CHG_DIL_SH","FQ1 2020","FQ1 2020","Currency=USD","Period=FQ","BEST_FPERIOD_OVERRIDE=FQ","FILING_STATUS=MR","Sort=A","Dates=H","DateFormat=P","Fill=—","Direction=H","UseDPDF=Y")</f>
        <v>0</v>
      </c>
      <c r="I63" s="14">
        <f>_xll.BDH("AMGN US Equity","IS_XO_ITEMS_ACCT_CHG_DIL_SH","FQ2 2020","FQ2 2020","Currency=USD","Period=FQ","BEST_FPERIOD_OVERRIDE=FQ","FILING_STATUS=MR","Sort=A","Dates=H","DateFormat=P","Fill=—","Direction=H","UseDPDF=Y")</f>
        <v>0</v>
      </c>
      <c r="J63" s="14">
        <f>_xll.BDH("AMGN US Equity","IS_XO_ITEMS_ACCT_CHG_DIL_SH","FQ3 2020","FQ3 2020","Currency=USD","Period=FQ","BEST_FPERIOD_OVERRIDE=FQ","FILING_STATUS=MR","Sort=A","Dates=H","DateFormat=P","Fill=—","Direction=H","UseDPDF=Y")</f>
        <v>0</v>
      </c>
      <c r="K63" s="14">
        <f>_xll.BDH("AMGN US Equity","IS_XO_ITEMS_ACCT_CHG_DIL_SH","FQ4 2020","FQ4 2020","Currency=USD","Period=FQ","BEST_FPERIOD_OVERRIDE=FQ","FILING_STATUS=MR","Sort=A","Dates=H","DateFormat=P","Fill=—","Direction=H","UseDPDF=Y")</f>
        <v>0</v>
      </c>
      <c r="L63" s="14">
        <f>_xll.BDH("AMGN US Equity","IS_XO_ITEMS_ACCT_CHG_DIL_SH","FQ1 2021","FQ1 2021","Currency=USD","Period=FQ","BEST_FPERIOD_OVERRIDE=FQ","FILING_STATUS=MR","Sort=A","Dates=H","DateFormat=P","Fill=—","Direction=H","UseDPDF=Y")</f>
        <v>0</v>
      </c>
      <c r="M63" s="14">
        <f>_xll.BDH("AMGN US Equity","IS_XO_ITEMS_ACCT_CHG_DIL_SH","FQ2 2021","FQ2 2021","Currency=USD","Period=FQ","BEST_FPERIOD_OVERRIDE=FQ","FILING_STATUS=MR","Sort=A","Dates=H","DateFormat=P","Fill=—","Direction=H","UseDPDF=Y")</f>
        <v>0</v>
      </c>
      <c r="N63" s="14">
        <f>_xll.BDH("AMGN US Equity","IS_XO_ITEMS_ACCT_CHG_DIL_SH","FQ3 2021","FQ3 2021","Currency=USD","Period=FQ","BEST_FPERIOD_OVERRIDE=FQ","FILING_STATUS=MR","Sort=A","Dates=H","DateFormat=P","Fill=—","Direction=H","UseDPDF=Y")</f>
        <v>0</v>
      </c>
      <c r="O63" s="14">
        <f>_xll.BDH("AMGN US Equity","IS_XO_ITEMS_ACCT_CHG_DIL_SH","FQ4 2021","FQ4 2021","Currency=USD","Period=FQ","BEST_FPERIOD_OVERRIDE=FQ","FILING_STATUS=MR","Sort=A","Dates=H","DateFormat=P","Fill=—","Direction=H","UseDPDF=Y")</f>
        <v>0</v>
      </c>
      <c r="P63" s="14">
        <f>_xll.BDH("AMGN US Equity","IS_XO_ITEMS_ACCT_CHG_DIL_SH","FQ1 2022","FQ1 2022","Currency=USD","Period=FQ","BEST_FPERIOD_OVERRIDE=FQ","FILING_STATUS=MR","Sort=A","Dates=H","DateFormat=P","Fill=—","Direction=H","UseDPDF=Y")</f>
        <v>0</v>
      </c>
      <c r="Q63" s="14">
        <f>_xll.BDH("AMGN US Equity","IS_XO_ITEMS_ACCT_CHG_DIL_SH","FQ2 2022","FQ2 2022","Currency=USD","Period=FQ","BEST_FPERIOD_OVERRIDE=FQ","FILING_STATUS=MR","Sort=A","Dates=H","DateFormat=P","Fill=—","Direction=H","UseDPDF=Y")</f>
        <v>0</v>
      </c>
      <c r="R63" s="14">
        <f>_xll.BDH("AMGN US Equity","IS_XO_ITEMS_ACCT_CHG_DIL_SH","FQ3 2022","FQ3 2022","Currency=USD","Period=FQ","BEST_FPERIOD_OVERRIDE=FQ","FILING_STATUS=MR","Sort=A","Dates=H","DateFormat=P","Fill=—","Direction=H","UseDPDF=Y")</f>
        <v>0</v>
      </c>
      <c r="S63" s="14">
        <f>_xll.BDH("AMGN US Equity","IS_XO_ITEMS_ACCT_CHG_DIL_SH","FQ4 2022","FQ4 2022","Currency=USD","Period=FQ","BEST_FPERIOD_OVERRIDE=FQ","FILING_STATUS=MR","Sort=A","Dates=H","DateFormat=P","Fill=—","Direction=H","UseDPDF=Y")</f>
        <v>0</v>
      </c>
      <c r="T63" s="14">
        <f>_xll.BDH("AMGN US Equity","IS_XO_ITEMS_ACCT_CHG_DIL_SH","FQ1 2023","FQ1 2023","Currency=USD","Period=FQ","BEST_FPERIOD_OVERRIDE=FQ","FILING_STATUS=MR","Sort=A","Dates=H","DateFormat=P","Fill=—","Direction=H","UseDPDF=Y")</f>
        <v>0</v>
      </c>
      <c r="U63" s="14">
        <f>_xll.BDH("AMGN US Equity","IS_XO_ITEMS_ACCT_CHG_DIL_SH","FQ2 2023","FQ2 2023","Currency=USD","Period=FQ","BEST_FPERIOD_OVERRIDE=FQ","FILING_STATUS=MR","Sort=A","Dates=H","DateFormat=P","Fill=—","Direction=H","UseDPDF=Y")</f>
        <v>0</v>
      </c>
      <c r="V63" s="14">
        <f>_xll.BDH("AMGN US Equity","IS_XO_ITEMS_ACCT_CHG_DIL_SH","FQ3 2023","FQ3 2023","Currency=USD","Period=FQ","BEST_FPERIOD_OVERRIDE=FQ","FILING_STATUS=MR","Sort=A","Dates=H","DateFormat=P","Fill=—","Direction=H","UseDPDF=Y")</f>
        <v>0</v>
      </c>
      <c r="W63" s="14">
        <f>_xll.BDH("AMGN US Equity","IS_XO_ITEMS_ACCT_CHG_DIL_SH","FQ4 2023","FQ4 2023","Currency=USD","Period=FQ","BEST_FPERIOD_OVERRIDE=FQ","FILING_STATUS=MR","Sort=A","Dates=H","DateFormat=P","Fill=—","Direction=H","UseDPDF=Y")</f>
        <v>0</v>
      </c>
      <c r="X63" s="14">
        <f>_xll.BDH("AMGN US Equity","IS_XO_ITEMS_ACCT_CHG_DIL_SH","FQ1 2024","FQ1 2024","Currency=USD","Period=FQ","BEST_FPERIOD_OVERRIDE=FQ","FILING_STATUS=MR","Sort=A","Dates=H","DateFormat=P","Fill=—","Direction=H","UseDPDF=Y")</f>
        <v>0</v>
      </c>
      <c r="Y63" s="14">
        <f>_xll.BDH("AMGN US Equity","IS_XO_ITEMS_ACCT_CHG_DIL_SH","FQ2 2024","FQ2 2024","Currency=USD","Period=FQ","BEST_FPERIOD_OVERRIDE=FQ","FILING_STATUS=MR","Sort=A","Dates=H","DateFormat=P","Fill=—","Direction=H","UseDPDF=Y")</f>
        <v>0</v>
      </c>
      <c r="Z63" s="14">
        <f>_xll.BDH("AMGN US Equity","IS_XO_ITEMS_ACCT_CHG_DIL_SH","FQ3 2024","FQ3 2024","Currency=USD","Period=FQ","BEST_FPERIOD_OVERRIDE=FQ","FILING_STATUS=MR","Sort=A","Dates=H","DateFormat=P","Fill=—","Direction=H","UseDPDF=Y")</f>
        <v>0</v>
      </c>
      <c r="AA63" s="14">
        <f>_xll.BDH("AMGN US Equity","IS_XO_ITEMS_ACCT_CHG_DIL_SH","FQ4 2024","FQ4 2024","Currency=USD","Period=FQ","BEST_FPERIOD_OVERRIDE=FQ","FILING_STATUS=MR","Sort=A","Dates=H","DateFormat=P","Fill=—","Direction=H","UseDPDF=Y")</f>
        <v>0</v>
      </c>
    </row>
    <row r="64" spans="1:27" x14ac:dyDescent="0.25">
      <c r="A64" s="6" t="s">
        <v>384</v>
      </c>
      <c r="B64" s="6" t="s">
        <v>266</v>
      </c>
      <c r="C64" s="20">
        <f>_xll.BDH("AMGN US Equity","IS_DIL_EPS_BEF_XO","FQ4 2018","FQ4 2018","Currency=USD","Period=FQ","BEST_FPERIOD_OVERRIDE=FQ","FILING_STATUS=MR","Sort=A","Dates=H","DateFormat=P","Fill=—","Direction=H","UseDPDF=Y")</f>
        <v>3.01</v>
      </c>
      <c r="D64" s="20">
        <f>_xll.BDH("AMGN US Equity","IS_DIL_EPS_BEF_XO","FQ1 2019","FQ1 2019","Currency=USD","Period=FQ","BEST_FPERIOD_OVERRIDE=FQ","FILING_STATUS=MR","Sort=A","Dates=H","DateFormat=P","Fill=—","Direction=H","UseDPDF=Y")</f>
        <v>3.18</v>
      </c>
      <c r="E64" s="20">
        <f>_xll.BDH("AMGN US Equity","IS_DIL_EPS_BEF_XO","FQ2 2019","FQ2 2019","Currency=USD","Period=FQ","BEST_FPERIOD_OVERRIDE=FQ","FILING_STATUS=MR","Sort=A","Dates=H","DateFormat=P","Fill=—","Direction=H","UseDPDF=Y")</f>
        <v>3.57</v>
      </c>
      <c r="F64" s="20">
        <f>_xll.BDH("AMGN US Equity","IS_DIL_EPS_BEF_XO","FQ3 2019","FQ3 2019","Currency=USD","Period=FQ","BEST_FPERIOD_OVERRIDE=FQ","FILING_STATUS=MR","Sort=A","Dates=H","DateFormat=P","Fill=—","Direction=H","UseDPDF=Y")</f>
        <v>3.27</v>
      </c>
      <c r="G64" s="20">
        <f>_xll.BDH("AMGN US Equity","IS_DIL_EPS_BEF_XO","FQ4 2019","FQ4 2019","Currency=USD","Period=FQ","BEST_FPERIOD_OVERRIDE=FQ","FILING_STATUS=MR","Sort=A","Dates=H","DateFormat=P","Fill=—","Direction=H","UseDPDF=Y")</f>
        <v>2.85</v>
      </c>
      <c r="H64" s="20">
        <f>_xll.BDH("AMGN US Equity","IS_DIL_EPS_BEF_XO","FQ1 2020","FQ1 2020","Currency=USD","Period=FQ","BEST_FPERIOD_OVERRIDE=FQ","FILING_STATUS=MR","Sort=A","Dates=H","DateFormat=P","Fill=—","Direction=H","UseDPDF=Y")</f>
        <v>3.07</v>
      </c>
      <c r="I64" s="20">
        <f>_xll.BDH("AMGN US Equity","IS_DIL_EPS_BEF_XO","FQ2 2020","FQ2 2020","Currency=USD","Period=FQ","BEST_FPERIOD_OVERRIDE=FQ","FILING_STATUS=MR","Sort=A","Dates=H","DateFormat=P","Fill=—","Direction=H","UseDPDF=Y")</f>
        <v>3.05</v>
      </c>
      <c r="J64" s="20">
        <f>_xll.BDH("AMGN US Equity","IS_DIL_EPS_BEF_XO","FQ3 2020","FQ3 2020","Currency=USD","Period=FQ","BEST_FPERIOD_OVERRIDE=FQ","FILING_STATUS=MR","Sort=A","Dates=H","DateFormat=P","Fill=—","Direction=H","UseDPDF=Y")</f>
        <v>3.43</v>
      </c>
      <c r="K64" s="20">
        <f>_xll.BDH("AMGN US Equity","IS_DIL_EPS_BEF_XO","FQ4 2020","FQ4 2020","Currency=USD","Period=FQ","BEST_FPERIOD_OVERRIDE=FQ","FILING_STATUS=MR","Sort=A","Dates=H","DateFormat=P","Fill=—","Direction=H","UseDPDF=Y")</f>
        <v>2.76</v>
      </c>
      <c r="L64" s="20">
        <f>_xll.BDH("AMGN US Equity","IS_DIL_EPS_BEF_XO","FQ1 2021","FQ1 2021","Currency=USD","Period=FQ","BEST_FPERIOD_OVERRIDE=FQ","FILING_STATUS=MR","Sort=A","Dates=H","DateFormat=P","Fill=—","Direction=H","UseDPDF=Y")</f>
        <v>2.83</v>
      </c>
      <c r="M64" s="20">
        <f>_xll.BDH("AMGN US Equity","IS_DIL_EPS_BEF_XO","FQ2 2021","FQ2 2021","Currency=USD","Period=FQ","BEST_FPERIOD_OVERRIDE=FQ","FILING_STATUS=MR","Sort=A","Dates=H","DateFormat=P","Fill=—","Direction=H","UseDPDF=Y")</f>
        <v>0.81</v>
      </c>
      <c r="N64" s="20">
        <f>_xll.BDH("AMGN US Equity","IS_DIL_EPS_BEF_XO","FQ3 2021","FQ3 2021","Currency=USD","Period=FQ","BEST_FPERIOD_OVERRIDE=FQ","FILING_STATUS=MR","Sort=A","Dates=H","DateFormat=P","Fill=—","Direction=H","UseDPDF=Y")</f>
        <v>3.31</v>
      </c>
      <c r="O64" s="20">
        <f>_xll.BDH("AMGN US Equity","IS_DIL_EPS_BEF_XO","FQ4 2021","FQ4 2021","Currency=USD","Period=FQ","BEST_FPERIOD_OVERRIDE=FQ","FILING_STATUS=MR","Sort=A","Dates=H","DateFormat=P","Fill=—","Direction=H","UseDPDF=Y")</f>
        <v>3.36</v>
      </c>
      <c r="P64" s="20">
        <f>_xll.BDH("AMGN US Equity","IS_DIL_EPS_BEF_XO","FQ1 2022","FQ1 2022","Currency=USD","Period=FQ","BEST_FPERIOD_OVERRIDE=FQ","FILING_STATUS=MR","Sort=A","Dates=H","DateFormat=P","Fill=—","Direction=H","UseDPDF=Y")</f>
        <v>2.68</v>
      </c>
      <c r="Q64" s="20">
        <f>_xll.BDH("AMGN US Equity","IS_DIL_EPS_BEF_XO","FQ2 2022","FQ2 2022","Currency=USD","Period=FQ","BEST_FPERIOD_OVERRIDE=FQ","FILING_STATUS=MR","Sort=A","Dates=H","DateFormat=P","Fill=—","Direction=H","UseDPDF=Y")</f>
        <v>2.4500000000000002</v>
      </c>
      <c r="R64" s="20">
        <f>_xll.BDH("AMGN US Equity","IS_DIL_EPS_BEF_XO","FQ3 2022","FQ3 2022","Currency=USD","Period=FQ","BEST_FPERIOD_OVERRIDE=FQ","FILING_STATUS=MR","Sort=A","Dates=H","DateFormat=P","Fill=—","Direction=H","UseDPDF=Y")</f>
        <v>3.98</v>
      </c>
      <c r="S64" s="20">
        <f>_xll.BDH("AMGN US Equity","IS_DIL_EPS_BEF_XO","FQ4 2022","FQ4 2022","Currency=USD","Period=FQ","BEST_FPERIOD_OVERRIDE=FQ","FILING_STATUS=MR","Sort=A","Dates=H","DateFormat=P","Fill=—","Direction=H","UseDPDF=Y")</f>
        <v>3</v>
      </c>
      <c r="T64" s="20">
        <f>_xll.BDH("AMGN US Equity","IS_DIL_EPS_BEF_XO","FQ1 2023","FQ1 2023","Currency=USD","Period=FQ","BEST_FPERIOD_OVERRIDE=FQ","FILING_STATUS=MR","Sort=A","Dates=H","DateFormat=P","Fill=—","Direction=H","UseDPDF=Y")</f>
        <v>5.28</v>
      </c>
      <c r="U64" s="20">
        <f>_xll.BDH("AMGN US Equity","IS_DIL_EPS_BEF_XO","FQ2 2023","FQ2 2023","Currency=USD","Period=FQ","BEST_FPERIOD_OVERRIDE=FQ","FILING_STATUS=MR","Sort=A","Dates=H","DateFormat=P","Fill=—","Direction=H","UseDPDF=Y")</f>
        <v>2.57</v>
      </c>
      <c r="V64" s="20">
        <f>_xll.BDH("AMGN US Equity","IS_DIL_EPS_BEF_XO","FQ3 2023","FQ3 2023","Currency=USD","Period=FQ","BEST_FPERIOD_OVERRIDE=FQ","FILING_STATUS=MR","Sort=A","Dates=H","DateFormat=P","Fill=—","Direction=H","UseDPDF=Y")</f>
        <v>3.22</v>
      </c>
      <c r="W64" s="20">
        <f>_xll.BDH("AMGN US Equity","IS_DIL_EPS_BEF_XO","FQ4 2023","FQ4 2023","Currency=USD","Period=FQ","BEST_FPERIOD_OVERRIDE=FQ","FILING_STATUS=MR","Sort=A","Dates=H","DateFormat=P","Fill=—","Direction=H","UseDPDF=Y")</f>
        <v>1.42</v>
      </c>
      <c r="X64" s="20">
        <f>_xll.BDH("AMGN US Equity","IS_DIL_EPS_BEF_XO","FQ1 2024","FQ1 2024","Currency=USD","Period=FQ","BEST_FPERIOD_OVERRIDE=FQ","FILING_STATUS=MR","Sort=A","Dates=H","DateFormat=P","Fill=—","Direction=H","UseDPDF=Y")</f>
        <v>-0.21</v>
      </c>
      <c r="Y64" s="20">
        <f>_xll.BDH("AMGN US Equity","IS_DIL_EPS_BEF_XO","FQ2 2024","FQ2 2024","Currency=USD","Period=FQ","BEST_FPERIOD_OVERRIDE=FQ","FILING_STATUS=MR","Sort=A","Dates=H","DateFormat=P","Fill=—","Direction=H","UseDPDF=Y")</f>
        <v>1.38</v>
      </c>
      <c r="Z64" s="20">
        <f>_xll.BDH("AMGN US Equity","IS_DIL_EPS_BEF_XO","FQ3 2024","FQ3 2024","Currency=USD","Period=FQ","BEST_FPERIOD_OVERRIDE=FQ","FILING_STATUS=MR","Sort=A","Dates=H","DateFormat=P","Fill=—","Direction=H","UseDPDF=Y")</f>
        <v>5.22</v>
      </c>
      <c r="AA64" s="20">
        <f>_xll.BDH("AMGN US Equity","IS_DIL_EPS_BEF_XO","FQ4 2024","FQ4 2024","Currency=USD","Period=FQ","BEST_FPERIOD_OVERRIDE=FQ","FILING_STATUS=MR","Sort=A","Dates=H","DateFormat=P","Fill=—","Direction=H","UseDPDF=Y")</f>
        <v>1.1599999999999999</v>
      </c>
    </row>
    <row r="65" spans="1:27" x14ac:dyDescent="0.25">
      <c r="A65" s="10" t="s">
        <v>616</v>
      </c>
      <c r="B65" s="10" t="s">
        <v>651</v>
      </c>
      <c r="C65" s="14" t="str">
        <f>_xll.BDH("AMGN US Equity","IS_AIP_RD_PER_DILUTED_SHARE","FQ4 2018","FQ4 2018","Currency=USD","Period=FQ","BEST_FPERIOD_OVERRIDE=FQ","FILING_STATUS=MR","Sort=A","Dates=H","DateFormat=P","Fill=—","Direction=H","UseDPDF=Y")</f>
        <v>—</v>
      </c>
      <c r="D65" s="14" t="str">
        <f>_xll.BDH("AMGN US Equity","IS_AIP_RD_PER_DILUTED_SHARE","FQ1 2019","FQ1 2019","Currency=USD","Period=FQ","BEST_FPERIOD_OVERRIDE=FQ","FILING_STATUS=MR","Sort=A","Dates=H","DateFormat=P","Fill=—","Direction=H","UseDPDF=Y")</f>
        <v>—</v>
      </c>
      <c r="E65" s="14" t="str">
        <f>_xll.BDH("AMGN US Equity","IS_AIP_RD_PER_DILUTED_SHARE","FQ2 2019","FQ2 2019","Currency=USD","Period=FQ","BEST_FPERIOD_OVERRIDE=FQ","FILING_STATUS=MR","Sort=A","Dates=H","DateFormat=P","Fill=—","Direction=H","UseDPDF=Y")</f>
        <v>—</v>
      </c>
      <c r="F65" s="14" t="str">
        <f>_xll.BDH("AMGN US Equity","IS_AIP_RD_PER_DILUTED_SHARE","FQ3 2019","FQ3 2019","Currency=USD","Period=FQ","BEST_FPERIOD_OVERRIDE=FQ","FILING_STATUS=MR","Sort=A","Dates=H","DateFormat=P","Fill=—","Direction=H","UseDPDF=Y")</f>
        <v>—</v>
      </c>
      <c r="G65" s="14" t="str">
        <f>_xll.BDH("AMGN US Equity","IS_AIP_RD_PER_DILUTED_SHARE","FQ4 2019","FQ4 2019","Currency=USD","Period=FQ","BEST_FPERIOD_OVERRIDE=FQ","FILING_STATUS=MR","Sort=A","Dates=H","DateFormat=P","Fill=—","Direction=H","UseDPDF=Y")</f>
        <v>—</v>
      </c>
      <c r="H65" s="14" t="str">
        <f>_xll.BDH("AMGN US Equity","IS_AIP_RD_PER_DILUTED_SHARE","FQ1 2020","FQ1 2020","Currency=USD","Period=FQ","BEST_FPERIOD_OVERRIDE=FQ","FILING_STATUS=MR","Sort=A","Dates=H","DateFormat=P","Fill=—","Direction=H","UseDPDF=Y")</f>
        <v>—</v>
      </c>
      <c r="I65" s="14" t="str">
        <f>_xll.BDH("AMGN US Equity","IS_AIP_RD_PER_DILUTED_SHARE","FQ2 2020","FQ2 2020","Currency=USD","Period=FQ","BEST_FPERIOD_OVERRIDE=FQ","FILING_STATUS=MR","Sort=A","Dates=H","DateFormat=P","Fill=—","Direction=H","UseDPDF=Y")</f>
        <v>—</v>
      </c>
      <c r="J65" s="14" t="str">
        <f>_xll.BDH("AMGN US Equity","IS_AIP_RD_PER_DILUTED_SHARE","FQ3 2020","FQ3 2020","Currency=USD","Period=FQ","BEST_FPERIOD_OVERRIDE=FQ","FILING_STATUS=MR","Sort=A","Dates=H","DateFormat=P","Fill=—","Direction=H","UseDPDF=Y")</f>
        <v>—</v>
      </c>
      <c r="K65" s="14" t="str">
        <f>_xll.BDH("AMGN US Equity","IS_AIP_RD_PER_DILUTED_SHARE","FQ4 2020","FQ4 2020","Currency=USD","Period=FQ","BEST_FPERIOD_OVERRIDE=FQ","FILING_STATUS=MR","Sort=A","Dates=H","DateFormat=P","Fill=—","Direction=H","UseDPDF=Y")</f>
        <v>—</v>
      </c>
      <c r="L65" s="14" t="str">
        <f>_xll.BDH("AMGN US Equity","IS_AIP_RD_PER_DILUTED_SHARE","FQ1 2021","FQ1 2021","Currency=USD","Period=FQ","BEST_FPERIOD_OVERRIDE=FQ","FILING_STATUS=MR","Sort=A","Dates=H","DateFormat=P","Fill=—","Direction=H","UseDPDF=Y")</f>
        <v>—</v>
      </c>
      <c r="M65" s="14">
        <f>_xll.BDH("AMGN US Equity","IS_AIP_RD_PER_DILUTED_SHARE","FQ2 2021","FQ2 2021","Currency=USD","Period=FQ","BEST_FPERIOD_OVERRIDE=FQ","FILING_STATUS=MR","Sort=A","Dates=H","DateFormat=P","Fill=—","Direction=H","UseDPDF=Y")</f>
        <v>2.3016999999999999</v>
      </c>
      <c r="N65" s="14" t="str">
        <f>_xll.BDH("AMGN US Equity","IS_AIP_RD_PER_DILUTED_SHARE","FQ3 2021","FQ3 2021","Currency=USD","Period=FQ","BEST_FPERIOD_OVERRIDE=FQ","FILING_STATUS=MR","Sort=A","Dates=H","DateFormat=P","Fill=—","Direction=H","UseDPDF=Y")</f>
        <v>—</v>
      </c>
      <c r="O65" s="14" t="str">
        <f>_xll.BDH("AMGN US Equity","IS_AIP_RD_PER_DILUTED_SHARE","FQ4 2021","FQ4 2021","Currency=USD","Period=FQ","BEST_FPERIOD_OVERRIDE=FQ","FILING_STATUS=MR","Sort=A","Dates=H","DateFormat=P","Fill=—","Direction=H","UseDPDF=Y")</f>
        <v>—</v>
      </c>
      <c r="P65" s="14" t="str">
        <f>_xll.BDH("AMGN US Equity","IS_AIP_RD_PER_DILUTED_SHARE","FQ1 2022","FQ1 2022","Currency=USD","Period=FQ","BEST_FPERIOD_OVERRIDE=FQ","FILING_STATUS=MR","Sort=A","Dates=H","DateFormat=P","Fill=—","Direction=H","UseDPDF=Y")</f>
        <v>—</v>
      </c>
      <c r="Q65" s="14" t="str">
        <f>_xll.BDH("AMGN US Equity","IS_AIP_RD_PER_DILUTED_SHARE","FQ2 2022","FQ2 2022","Currency=USD","Period=FQ","BEST_FPERIOD_OVERRIDE=FQ","FILING_STATUS=MR","Sort=A","Dates=H","DateFormat=P","Fill=—","Direction=H","UseDPDF=Y")</f>
        <v>—</v>
      </c>
      <c r="R65" s="14" t="str">
        <f>_xll.BDH("AMGN US Equity","IS_AIP_RD_PER_DILUTED_SHARE","FQ3 2022","FQ3 2022","Currency=USD","Period=FQ","BEST_FPERIOD_OVERRIDE=FQ","FILING_STATUS=MR","Sort=A","Dates=H","DateFormat=P","Fill=—","Direction=H","UseDPDF=Y")</f>
        <v>—</v>
      </c>
      <c r="S65" s="14" t="str">
        <f>_xll.BDH("AMGN US Equity","IS_AIP_RD_PER_DILUTED_SHARE","FQ4 2022","FQ4 2022","Currency=USD","Period=FQ","BEST_FPERIOD_OVERRIDE=FQ","FILING_STATUS=MR","Sort=A","Dates=H","DateFormat=P","Fill=—","Direction=H","UseDPDF=Y")</f>
        <v>—</v>
      </c>
      <c r="T65" s="14" t="str">
        <f>_xll.BDH("AMGN US Equity","IS_AIP_RD_PER_DILUTED_SHARE","FQ1 2023","FQ1 2023","Currency=USD","Period=FQ","BEST_FPERIOD_OVERRIDE=FQ","FILING_STATUS=MR","Sort=A","Dates=H","DateFormat=P","Fill=—","Direction=H","UseDPDF=Y")</f>
        <v>—</v>
      </c>
      <c r="U65" s="14" t="str">
        <f>_xll.BDH("AMGN US Equity","IS_AIP_RD_PER_DILUTED_SHARE","FQ2 2023","FQ2 2023","Currency=USD","Period=FQ","BEST_FPERIOD_OVERRIDE=FQ","FILING_STATUS=MR","Sort=A","Dates=H","DateFormat=P","Fill=—","Direction=H","UseDPDF=Y")</f>
        <v>—</v>
      </c>
      <c r="V65" s="14" t="str">
        <f>_xll.BDH("AMGN US Equity","IS_AIP_RD_PER_DILUTED_SHARE","FQ3 2023","FQ3 2023","Currency=USD","Period=FQ","BEST_FPERIOD_OVERRIDE=FQ","FILING_STATUS=MR","Sort=A","Dates=H","DateFormat=P","Fill=—","Direction=H","UseDPDF=Y")</f>
        <v>—</v>
      </c>
      <c r="W65" s="14" t="str">
        <f>_xll.BDH("AMGN US Equity","IS_AIP_RD_PER_DILUTED_SHARE","FQ4 2023","FQ4 2023","Currency=USD","Period=FQ","BEST_FPERIOD_OVERRIDE=FQ","FILING_STATUS=MR","Sort=A","Dates=H","DateFormat=P","Fill=—","Direction=H","UseDPDF=Y")</f>
        <v>—</v>
      </c>
      <c r="X65" s="14" t="str">
        <f>_xll.BDH("AMGN US Equity","IS_AIP_RD_PER_DILUTED_SHARE","FQ1 2024","FQ1 2024","Currency=USD","Period=FQ","BEST_FPERIOD_OVERRIDE=FQ","FILING_STATUS=MR","Sort=A","Dates=H","DateFormat=P","Fill=—","Direction=H","UseDPDF=Y")</f>
        <v>—</v>
      </c>
      <c r="Y65" s="14" t="str">
        <f>_xll.BDH("AMGN US Equity","IS_AIP_RD_PER_DILUTED_SHARE","FQ2 2024","FQ2 2024","Currency=USD","Period=FQ","BEST_FPERIOD_OVERRIDE=FQ","FILING_STATUS=MR","Sort=A","Dates=H","DateFormat=P","Fill=—","Direction=H","UseDPDF=Y")</f>
        <v>—</v>
      </c>
      <c r="Z65" s="14" t="str">
        <f>_xll.BDH("AMGN US Equity","IS_AIP_RD_PER_DILUTED_SHARE","FQ3 2024","FQ3 2024","Currency=USD","Period=FQ","BEST_FPERIOD_OVERRIDE=FQ","FILING_STATUS=MR","Sort=A","Dates=H","DateFormat=P","Fill=—","Direction=H","UseDPDF=Y")</f>
        <v>—</v>
      </c>
      <c r="AA65" s="14" t="str">
        <f>_xll.BDH("AMGN US Equity","IS_AIP_RD_PER_DILUTED_SHARE","FQ4 2024","FQ4 2024","Currency=USD","Period=FQ","BEST_FPERIOD_OVERRIDE=FQ","FILING_STATUS=MR","Sort=A","Dates=H","DateFormat=P","Fill=—","Direction=H","UseDPDF=Y")</f>
        <v>—</v>
      </c>
    </row>
    <row r="66" spans="1:27" x14ac:dyDescent="0.25">
      <c r="A66" s="10" t="s">
        <v>618</v>
      </c>
      <c r="B66" s="10" t="s">
        <v>652</v>
      </c>
      <c r="C66" s="14">
        <f>_xll.BDH("AMGN US Equity","IS_MERGER_ACQUIS_EXPN_DILUTED_SH","FQ4 2018","FQ4 2018","Currency=USD","Period=FQ","BEST_FPERIOD_OVERRIDE=FQ","FILING_STATUS=MR","Sort=A","Dates=H","DateFormat=P","Fill=—","Direction=H","UseDPDF=Y")</f>
        <v>1.2E-2</v>
      </c>
      <c r="D66" s="14">
        <f>_xll.BDH("AMGN US Equity","IS_MERGER_ACQUIS_EXPN_DILUTED_SH","FQ1 2019","FQ1 2019","Currency=USD","Period=FQ","BEST_FPERIOD_OVERRIDE=FQ","FILING_STATUS=MR","Sort=A","Dates=H","DateFormat=P","Fill=—","Direction=H","UseDPDF=Y")</f>
        <v>-2.5000000000000001E-3</v>
      </c>
      <c r="E66" s="14">
        <f>_xll.BDH("AMGN US Equity","IS_MERGER_ACQUIS_EXPN_DILUTED_SH","FQ2 2019","FQ2 2019","Currency=USD","Period=FQ","BEST_FPERIOD_OVERRIDE=FQ","FILING_STATUS=MR","Sort=A","Dates=H","DateFormat=P","Fill=—","Direction=H","UseDPDF=Y")</f>
        <v>-2.5000000000000001E-3</v>
      </c>
      <c r="F66" s="14">
        <f>_xll.BDH("AMGN US Equity","IS_MERGER_ACQUIS_EXPN_DILUTED_SH","FQ3 2019","FQ3 2019","Currency=USD","Period=FQ","BEST_FPERIOD_OVERRIDE=FQ","FILING_STATUS=MR","Sort=A","Dates=H","DateFormat=P","Fill=—","Direction=H","UseDPDF=Y")</f>
        <v>1.1999999999999999E-3</v>
      </c>
      <c r="G66" s="14">
        <f>_xll.BDH("AMGN US Equity","IS_MERGER_ACQUIS_EXPN_DILUTED_SH","FQ4 2019","FQ4 2019","Currency=USD","Period=FQ","BEST_FPERIOD_OVERRIDE=FQ","FILING_STATUS=MR","Sort=A","Dates=H","DateFormat=P","Fill=—","Direction=H","UseDPDF=Y")</f>
        <v>3.4599999999999999E-2</v>
      </c>
      <c r="H66" s="14">
        <f>_xll.BDH("AMGN US Equity","IS_MERGER_ACQUIS_EXPN_DILUTED_SH","FQ1 2020","FQ1 2020","Currency=USD","Period=FQ","BEST_FPERIOD_OVERRIDE=FQ","FILING_STATUS=MR","Sort=A","Dates=H","DateFormat=P","Fill=—","Direction=H","UseDPDF=Y")</f>
        <v>3.5999999999999997E-2</v>
      </c>
      <c r="I66" s="14" t="str">
        <f>_xll.BDH("AMGN US Equity","IS_MERGER_ACQUIS_EXPN_DILUTED_SH","FQ2 2020","FQ2 2020","Currency=USD","Period=FQ","BEST_FPERIOD_OVERRIDE=FQ","FILING_STATUS=MR","Sort=A","Dates=H","DateFormat=P","Fill=—","Direction=H","UseDPDF=Y")</f>
        <v>—</v>
      </c>
      <c r="J66" s="14">
        <f>_xll.BDH("AMGN US Equity","IS_MERGER_ACQUIS_EXPN_DILUTED_SH","FQ3 2020","FQ3 2020","Currency=USD","Period=FQ","BEST_FPERIOD_OVERRIDE=FQ","FILING_STATUS=MR","Sort=A","Dates=H","DateFormat=P","Fill=—","Direction=H","UseDPDF=Y")</f>
        <v>1.0226999999999999</v>
      </c>
      <c r="K66" s="14" t="str">
        <f>_xll.BDH("AMGN US Equity","IS_MERGER_ACQUIS_EXPN_DILUTED_SH","FQ4 2020","FQ4 2020","Currency=USD","Period=FQ","BEST_FPERIOD_OVERRIDE=FQ","FILING_STATUS=MR","Sort=A","Dates=H","DateFormat=P","Fill=—","Direction=H","UseDPDF=Y")</f>
        <v>—</v>
      </c>
      <c r="L66" s="14">
        <f>_xll.BDH("AMGN US Equity","IS_MERGER_ACQUIS_EXPN_DILUTED_SH","FQ1 2021","FQ1 2021","Currency=USD","Period=FQ","BEST_FPERIOD_OVERRIDE=FQ","FILING_STATUS=MR","Sort=A","Dates=H","DateFormat=P","Fill=—","Direction=H","UseDPDF=Y")</f>
        <v>0.89780000000000004</v>
      </c>
      <c r="M66" s="14">
        <f>_xll.BDH("AMGN US Equity","IS_MERGER_ACQUIS_EXPN_DILUTED_SH","FQ2 2021","FQ2 2021","Currency=USD","Period=FQ","BEST_FPERIOD_OVERRIDE=FQ","FILING_STATUS=MR","Sort=A","Dates=H","DateFormat=P","Fill=—","Direction=H","UseDPDF=Y")</f>
        <v>1.0660000000000001</v>
      </c>
      <c r="N66" s="14" t="str">
        <f>_xll.BDH("AMGN US Equity","IS_MERGER_ACQUIS_EXPN_DILUTED_SH","FQ3 2021","FQ3 2021","Currency=USD","Period=FQ","BEST_FPERIOD_OVERRIDE=FQ","FILING_STATUS=MR","Sort=A","Dates=H","DateFormat=P","Fill=—","Direction=H","UseDPDF=Y")</f>
        <v>—</v>
      </c>
      <c r="O66" s="14" t="str">
        <f>_xll.BDH("AMGN US Equity","IS_MERGER_ACQUIS_EXPN_DILUTED_SH","FQ4 2021","FQ4 2021","Currency=USD","Period=FQ","BEST_FPERIOD_OVERRIDE=FQ","FILING_STATUS=MR","Sort=A","Dates=H","DateFormat=P","Fill=—","Direction=H","UseDPDF=Y")</f>
        <v>—</v>
      </c>
      <c r="P66" s="14">
        <f>_xll.BDH("AMGN US Equity","IS_MERGER_ACQUIS_EXPN_DILUTED_SH","FQ1 2022","FQ1 2022","Currency=USD","Period=FQ","BEST_FPERIOD_OVERRIDE=FQ","FILING_STATUS=MR","Sort=A","Dates=H","DateFormat=P","Fill=—","Direction=H","UseDPDF=Y")</f>
        <v>0.9677</v>
      </c>
      <c r="Q66" s="14">
        <f>_xll.BDH("AMGN US Equity","IS_MERGER_ACQUIS_EXPN_DILUTED_SH","FQ2 2022","FQ2 2022","Currency=USD","Period=FQ","BEST_FPERIOD_OVERRIDE=FQ","FILING_STATUS=MR","Sort=A","Dates=H","DateFormat=P","Fill=—","Direction=H","UseDPDF=Y")</f>
        <v>1.8253999999999999</v>
      </c>
      <c r="R66" s="14" t="str">
        <f>_xll.BDH("AMGN US Equity","IS_MERGER_ACQUIS_EXPN_DILUTED_SH","FQ3 2022","FQ3 2022","Currency=USD","Period=FQ","BEST_FPERIOD_OVERRIDE=FQ","FILING_STATUS=MR","Sort=A","Dates=H","DateFormat=P","Fill=—","Direction=H","UseDPDF=Y")</f>
        <v>—</v>
      </c>
      <c r="S66" s="14">
        <f>_xll.BDH("AMGN US Equity","IS_MERGER_ACQUIS_EXPN_DILUTED_SH","FQ4 2022","FQ4 2022","Currency=USD","Period=FQ","BEST_FPERIOD_OVERRIDE=FQ","FILING_STATUS=MR","Sort=A","Dates=H","DateFormat=P","Fill=—","Direction=H","UseDPDF=Y")</f>
        <v>-4.8599999999999997E-2</v>
      </c>
      <c r="T66" s="14">
        <f>_xll.BDH("AMGN US Equity","IS_MERGER_ACQUIS_EXPN_DILUTED_SH","FQ1 2023","FQ1 2023","Currency=USD","Period=FQ","BEST_FPERIOD_OVERRIDE=FQ","FILING_STATUS=MR","Sort=A","Dates=H","DateFormat=P","Fill=—","Direction=H","UseDPDF=Y")</f>
        <v>1.2178</v>
      </c>
      <c r="U66" s="14" t="str">
        <f>_xll.BDH("AMGN US Equity","IS_MERGER_ACQUIS_EXPN_DILUTED_SH","FQ2 2023","FQ2 2023","Currency=USD","Period=FQ","BEST_FPERIOD_OVERRIDE=FQ","FILING_STATUS=MR","Sort=A","Dates=H","DateFormat=P","Fill=—","Direction=H","UseDPDF=Y")</f>
        <v>—</v>
      </c>
      <c r="V66" s="14">
        <f>_xll.BDH("AMGN US Equity","IS_MERGER_ACQUIS_EXPN_DILUTED_SH","FQ3 2023","FQ3 2023","Currency=USD","Period=FQ","BEST_FPERIOD_OVERRIDE=FQ","FILING_STATUS=MR","Sort=A","Dates=H","DateFormat=P","Fill=—","Direction=H","UseDPDF=Y")</f>
        <v>2.69E-2</v>
      </c>
      <c r="W66" s="14">
        <f>_xll.BDH("AMGN US Equity","IS_MERGER_ACQUIS_EXPN_DILUTED_SH","FQ4 2023","FQ4 2023","Currency=USD","Period=FQ","BEST_FPERIOD_OVERRIDE=FQ","FILING_STATUS=MR","Sort=A","Dates=H","DateFormat=P","Fill=—","Direction=H","UseDPDF=Y")</f>
        <v>0.76580000000000004</v>
      </c>
      <c r="X66" s="14" t="str">
        <f>_xll.BDH("AMGN US Equity","IS_MERGER_ACQUIS_EXPN_DILUTED_SH","FQ1 2024","FQ1 2024","Currency=USD","Period=FQ","BEST_FPERIOD_OVERRIDE=FQ","FILING_STATUS=MR","Sort=A","Dates=H","DateFormat=P","Fill=—","Direction=H","UseDPDF=Y")</f>
        <v>—</v>
      </c>
      <c r="Y66" s="14">
        <f>_xll.BDH("AMGN US Equity","IS_MERGER_ACQUIS_EXPN_DILUTED_SH","FQ2 2024","FQ2 2024","Currency=USD","Period=FQ","BEST_FPERIOD_OVERRIDE=FQ","FILING_STATUS=MR","Sort=A","Dates=H","DateFormat=P","Fill=—","Direction=H","UseDPDF=Y")</f>
        <v>0.2487</v>
      </c>
      <c r="Z66" s="14">
        <f>_xll.BDH("AMGN US Equity","IS_MERGER_ACQUIS_EXPN_DILUTED_SH","FQ3 2024","FQ3 2024","Currency=USD","Period=FQ","BEST_FPERIOD_OVERRIDE=FQ","FILING_STATUS=MR","Sort=A","Dates=H","DateFormat=P","Fill=—","Direction=H","UseDPDF=Y")</f>
        <v>0.1542</v>
      </c>
      <c r="AA66" s="14">
        <f>_xll.BDH("AMGN US Equity","IS_MERGER_ACQUIS_EXPN_DILUTED_SH","FQ4 2024","FQ4 2024","Currency=USD","Period=FQ","BEST_FPERIOD_OVERRIDE=FQ","FILING_STATUS=MR","Sort=A","Dates=H","DateFormat=P","Fill=—","Direction=H","UseDPDF=Y")</f>
        <v>7.4999999999999997E-2</v>
      </c>
    </row>
    <row r="67" spans="1:27" x14ac:dyDescent="0.25">
      <c r="A67" s="10" t="s">
        <v>620</v>
      </c>
      <c r="B67" s="10" t="s">
        <v>653</v>
      </c>
      <c r="C67" s="14" t="str">
        <f>_xll.BDH("AMGN US Equity","IS_WRTOFF_IMPAIR_AST_DILUTED_SH","FQ4 2018","FQ4 2018","Currency=USD","Period=FQ","BEST_FPERIOD_OVERRIDE=FQ","FILING_STATUS=MR","Sort=A","Dates=H","DateFormat=P","Fill=—","Direction=H","UseDPDF=Y")</f>
        <v>—</v>
      </c>
      <c r="D67" s="14" t="str">
        <f>_xll.BDH("AMGN US Equity","IS_WRTOFF_IMPAIR_AST_DILUTED_SH","FQ1 2019","FQ1 2019","Currency=USD","Period=FQ","BEST_FPERIOD_OVERRIDE=FQ","FILING_STATUS=MR","Sort=A","Dates=H","DateFormat=P","Fill=—","Direction=H","UseDPDF=Y")</f>
        <v>—</v>
      </c>
      <c r="E67" s="14" t="str">
        <f>_xll.BDH("AMGN US Equity","IS_WRTOFF_IMPAIR_AST_DILUTED_SH","FQ2 2019","FQ2 2019","Currency=USD","Period=FQ","BEST_FPERIOD_OVERRIDE=FQ","FILING_STATUS=MR","Sort=A","Dates=H","DateFormat=P","Fill=—","Direction=H","UseDPDF=Y")</f>
        <v>—</v>
      </c>
      <c r="F67" s="14" t="str">
        <f>_xll.BDH("AMGN US Equity","IS_WRTOFF_IMPAIR_AST_DILUTED_SH","FQ3 2019","FQ3 2019","Currency=USD","Period=FQ","BEST_FPERIOD_OVERRIDE=FQ","FILING_STATUS=MR","Sort=A","Dates=H","DateFormat=P","Fill=—","Direction=H","UseDPDF=Y")</f>
        <v>—</v>
      </c>
      <c r="G67" s="14" t="str">
        <f>_xll.BDH("AMGN US Equity","IS_WRTOFF_IMPAIR_AST_DILUTED_SH","FQ4 2019","FQ4 2019","Currency=USD","Period=FQ","BEST_FPERIOD_OVERRIDE=FQ","FILING_STATUS=MR","Sort=A","Dates=H","DateFormat=P","Fill=—","Direction=H","UseDPDF=Y")</f>
        <v>—</v>
      </c>
      <c r="H67" s="14" t="str">
        <f>_xll.BDH("AMGN US Equity","IS_WRTOFF_IMPAIR_AST_DILUTED_SH","FQ1 2020","FQ1 2020","Currency=USD","Period=FQ","BEST_FPERIOD_OVERRIDE=FQ","FILING_STATUS=MR","Sort=A","Dates=H","DateFormat=P","Fill=—","Direction=H","UseDPDF=Y")</f>
        <v>—</v>
      </c>
      <c r="I67" s="14" t="str">
        <f>_xll.BDH("AMGN US Equity","IS_WRTOFF_IMPAIR_AST_DILUTED_SH","FQ2 2020","FQ2 2020","Currency=USD","Period=FQ","BEST_FPERIOD_OVERRIDE=FQ","FILING_STATUS=MR","Sort=A","Dates=H","DateFormat=P","Fill=—","Direction=H","UseDPDF=Y")</f>
        <v>—</v>
      </c>
      <c r="J67" s="14" t="str">
        <f>_xll.BDH("AMGN US Equity","IS_WRTOFF_IMPAIR_AST_DILUTED_SH","FQ3 2020","FQ3 2020","Currency=USD","Period=FQ","BEST_FPERIOD_OVERRIDE=FQ","FILING_STATUS=MR","Sort=A","Dates=H","DateFormat=P","Fill=—","Direction=H","UseDPDF=Y")</f>
        <v>—</v>
      </c>
      <c r="K67" s="14" t="str">
        <f>_xll.BDH("AMGN US Equity","IS_WRTOFF_IMPAIR_AST_DILUTED_SH","FQ4 2020","FQ4 2020","Currency=USD","Period=FQ","BEST_FPERIOD_OVERRIDE=FQ","FILING_STATUS=MR","Sort=A","Dates=H","DateFormat=P","Fill=—","Direction=H","UseDPDF=Y")</f>
        <v>—</v>
      </c>
      <c r="L67" s="14">
        <f>_xll.BDH("AMGN US Equity","IS_WRTOFF_IMPAIR_AST_DILUTED_SH","FQ1 2021","FQ1 2021","Currency=USD","Period=FQ","BEST_FPERIOD_OVERRIDE=FQ","FILING_STATUS=MR","Sort=A","Dates=H","DateFormat=P","Fill=—","Direction=H","UseDPDF=Y")</f>
        <v>1.23E-2</v>
      </c>
      <c r="M67" s="14" t="str">
        <f>_xll.BDH("AMGN US Equity","IS_WRTOFF_IMPAIR_AST_DILUTED_SH","FQ2 2021","FQ2 2021","Currency=USD","Period=FQ","BEST_FPERIOD_OVERRIDE=FQ","FILING_STATUS=MR","Sort=A","Dates=H","DateFormat=P","Fill=—","Direction=H","UseDPDF=Y")</f>
        <v>—</v>
      </c>
      <c r="N67" s="14" t="str">
        <f>_xll.BDH("AMGN US Equity","IS_WRTOFF_IMPAIR_AST_DILUTED_SH","FQ3 2021","FQ3 2021","Currency=USD","Period=FQ","BEST_FPERIOD_OVERRIDE=FQ","FILING_STATUS=MR","Sort=A","Dates=H","DateFormat=P","Fill=—","Direction=H","UseDPDF=Y")</f>
        <v>—</v>
      </c>
      <c r="O67" s="14" t="str">
        <f>_xll.BDH("AMGN US Equity","IS_WRTOFF_IMPAIR_AST_DILUTED_SH","FQ4 2021","FQ4 2021","Currency=USD","Period=FQ","BEST_FPERIOD_OVERRIDE=FQ","FILING_STATUS=MR","Sort=A","Dates=H","DateFormat=P","Fill=—","Direction=H","UseDPDF=Y")</f>
        <v>—</v>
      </c>
      <c r="P67" s="14">
        <f>_xll.BDH("AMGN US Equity","IS_WRTOFF_IMPAIR_AST_DILUTED_SH","FQ1 2022","FQ1 2022","Currency=USD","Period=FQ","BEST_FPERIOD_OVERRIDE=FQ","FILING_STATUS=MR","Sort=A","Dates=H","DateFormat=P","Fill=—","Direction=H","UseDPDF=Y")</f>
        <v>-1.7899999999999999E-2</v>
      </c>
      <c r="Q67" s="14" t="str">
        <f>_xll.BDH("AMGN US Equity","IS_WRTOFF_IMPAIR_AST_DILUTED_SH","FQ2 2022","FQ2 2022","Currency=USD","Period=FQ","BEST_FPERIOD_OVERRIDE=FQ","FILING_STATUS=MR","Sort=A","Dates=H","DateFormat=P","Fill=—","Direction=H","UseDPDF=Y")</f>
        <v>—</v>
      </c>
      <c r="R67" s="14" t="str">
        <f>_xll.BDH("AMGN US Equity","IS_WRTOFF_IMPAIR_AST_DILUTED_SH","FQ3 2022","FQ3 2022","Currency=USD","Period=FQ","BEST_FPERIOD_OVERRIDE=FQ","FILING_STATUS=MR","Sort=A","Dates=H","DateFormat=P","Fill=—","Direction=H","UseDPDF=Y")</f>
        <v>—</v>
      </c>
      <c r="S67" s="14" t="str">
        <f>_xll.BDH("AMGN US Equity","IS_WRTOFF_IMPAIR_AST_DILUTED_SH","FQ4 2022","FQ4 2022","Currency=USD","Period=FQ","BEST_FPERIOD_OVERRIDE=FQ","FILING_STATUS=MR","Sort=A","Dates=H","DateFormat=P","Fill=—","Direction=H","UseDPDF=Y")</f>
        <v>—</v>
      </c>
      <c r="T67" s="14">
        <f>_xll.BDH("AMGN US Equity","IS_WRTOFF_IMPAIR_AST_DILUTED_SH","FQ1 2023","FQ1 2023","Currency=USD","Period=FQ","BEST_FPERIOD_OVERRIDE=FQ","FILING_STATUS=MR","Sort=A","Dates=H","DateFormat=P","Fill=—","Direction=H","UseDPDF=Y")</f>
        <v>1.14E-2</v>
      </c>
      <c r="U67" s="14" t="str">
        <f>_xll.BDH("AMGN US Equity","IS_WRTOFF_IMPAIR_AST_DILUTED_SH","FQ2 2023","FQ2 2023","Currency=USD","Period=FQ","BEST_FPERIOD_OVERRIDE=FQ","FILING_STATUS=MR","Sort=A","Dates=H","DateFormat=P","Fill=—","Direction=H","UseDPDF=Y")</f>
        <v>—</v>
      </c>
      <c r="V67" s="14" t="str">
        <f>_xll.BDH("AMGN US Equity","IS_WRTOFF_IMPAIR_AST_DILUTED_SH","FQ3 2023","FQ3 2023","Currency=USD","Period=FQ","BEST_FPERIOD_OVERRIDE=FQ","FILING_STATUS=MR","Sort=A","Dates=H","DateFormat=P","Fill=—","Direction=H","UseDPDF=Y")</f>
        <v>—</v>
      </c>
      <c r="W67" s="14">
        <f>_xll.BDH("AMGN US Equity","IS_WRTOFF_IMPAIR_AST_DILUTED_SH","FQ4 2023","FQ4 2023","Currency=USD","Period=FQ","BEST_FPERIOD_OVERRIDE=FQ","FILING_STATUS=MR","Sort=A","Dates=H","DateFormat=P","Fill=—","Direction=H","UseDPDF=Y")</f>
        <v>4.4999999999999997E-3</v>
      </c>
      <c r="X67" s="14">
        <f>_xll.BDH("AMGN US Equity","IS_WRTOFF_IMPAIR_AST_DILUTED_SH","FQ1 2024","FQ1 2024","Currency=USD","Period=FQ","BEST_FPERIOD_OVERRIDE=FQ","FILING_STATUS=MR","Sort=A","Dates=H","DateFormat=P","Fill=—","Direction=H","UseDPDF=Y")</f>
        <v>0.1704</v>
      </c>
      <c r="Y67" s="14" t="str">
        <f>_xll.BDH("AMGN US Equity","IS_WRTOFF_IMPAIR_AST_DILUTED_SH","FQ2 2024","FQ2 2024","Currency=USD","Period=FQ","BEST_FPERIOD_OVERRIDE=FQ","FILING_STATUS=MR","Sort=A","Dates=H","DateFormat=P","Fill=—","Direction=H","UseDPDF=Y")</f>
        <v>—</v>
      </c>
      <c r="Z67" s="14" t="str">
        <f>_xll.BDH("AMGN US Equity","IS_WRTOFF_IMPAIR_AST_DILUTED_SH","FQ3 2024","FQ3 2024","Currency=USD","Period=FQ","BEST_FPERIOD_OVERRIDE=FQ","FILING_STATUS=MR","Sort=A","Dates=H","DateFormat=P","Fill=—","Direction=H","UseDPDF=Y")</f>
        <v>—</v>
      </c>
      <c r="AA67" s="14">
        <f>_xll.BDH("AMGN US Equity","IS_WRTOFF_IMPAIR_AST_DILUTED_SH","FQ4 2024","FQ4 2024","Currency=USD","Period=FQ","BEST_FPERIOD_OVERRIDE=FQ","FILING_STATUS=MR","Sort=A","Dates=H","DateFormat=P","Fill=—","Direction=H","UseDPDF=Y")</f>
        <v>1.8499999999999999E-2</v>
      </c>
    </row>
    <row r="68" spans="1:27" x14ac:dyDescent="0.25">
      <c r="A68" s="10" t="s">
        <v>622</v>
      </c>
      <c r="B68" s="10" t="s">
        <v>654</v>
      </c>
      <c r="C68" s="14" t="str">
        <f>_xll.BDH("AMGN US Equity","IS_LEGAL_LITIG_SETTLE_DILUTED_SH","FQ4 2018","FQ4 2018","Currency=USD","Period=FQ","BEST_FPERIOD_OVERRIDE=FQ","FILING_STATUS=MR","Sort=A","Dates=H","DateFormat=P","Fill=—","Direction=H","UseDPDF=Y")</f>
        <v>—</v>
      </c>
      <c r="D68" s="14" t="str">
        <f>_xll.BDH("AMGN US Equity","IS_LEGAL_LITIG_SETTLE_DILUTED_SH","FQ1 2019","FQ1 2019","Currency=USD","Period=FQ","BEST_FPERIOD_OVERRIDE=FQ","FILING_STATUS=MR","Sort=A","Dates=H","DateFormat=P","Fill=—","Direction=H","UseDPDF=Y")</f>
        <v>—</v>
      </c>
      <c r="E68" s="14" t="str">
        <f>_xll.BDH("AMGN US Equity","IS_LEGAL_LITIG_SETTLE_DILUTED_SH","FQ2 2019","FQ2 2019","Currency=USD","Period=FQ","BEST_FPERIOD_OVERRIDE=FQ","FILING_STATUS=MR","Sort=A","Dates=H","DateFormat=P","Fill=—","Direction=H","UseDPDF=Y")</f>
        <v>—</v>
      </c>
      <c r="F68" s="14">
        <f>_xll.BDH("AMGN US Equity","IS_LEGAL_LITIG_SETTLE_DILUTED_SH","FQ3 2019","FQ3 2019","Currency=USD","Period=FQ","BEST_FPERIOD_OVERRIDE=FQ","FILING_STATUS=MR","Sort=A","Dates=H","DateFormat=P","Fill=—","Direction=H","UseDPDF=Y")</f>
        <v>1.1999999999999999E-3</v>
      </c>
      <c r="G68" s="14" t="str">
        <f>_xll.BDH("AMGN US Equity","IS_LEGAL_LITIG_SETTLE_DILUTED_SH","FQ4 2019","FQ4 2019","Currency=USD","Period=FQ","BEST_FPERIOD_OVERRIDE=FQ","FILING_STATUS=MR","Sort=A","Dates=H","DateFormat=P","Fill=—","Direction=H","UseDPDF=Y")</f>
        <v>—</v>
      </c>
      <c r="H68" s="14" t="str">
        <f>_xll.BDH("AMGN US Equity","IS_LEGAL_LITIG_SETTLE_DILUTED_SH","FQ1 2020","FQ1 2020","Currency=USD","Period=FQ","BEST_FPERIOD_OVERRIDE=FQ","FILING_STATUS=MR","Sort=A","Dates=H","DateFormat=P","Fill=—","Direction=H","UseDPDF=Y")</f>
        <v>—</v>
      </c>
      <c r="I68" s="14">
        <f>_xll.BDH("AMGN US Equity","IS_LEGAL_LITIG_SETTLE_DILUTED_SH","FQ2 2020","FQ2 2020","Currency=USD","Period=FQ","BEST_FPERIOD_OVERRIDE=FQ","FILING_STATUS=MR","Sort=A","Dates=H","DateFormat=P","Fill=—","Direction=H","UseDPDF=Y")</f>
        <v>0.14050000000000001</v>
      </c>
      <c r="J68" s="14" t="str">
        <f>_xll.BDH("AMGN US Equity","IS_LEGAL_LITIG_SETTLE_DILUTED_SH","FQ3 2020","FQ3 2020","Currency=USD","Period=FQ","BEST_FPERIOD_OVERRIDE=FQ","FILING_STATUS=MR","Sort=A","Dates=H","DateFormat=P","Fill=—","Direction=H","UseDPDF=Y")</f>
        <v>—</v>
      </c>
      <c r="K68" s="14">
        <f>_xll.BDH("AMGN US Equity","IS_LEGAL_LITIG_SETTLE_DILUTED_SH","FQ4 2020","FQ4 2020","Currency=USD","Period=FQ","BEST_FPERIOD_OVERRIDE=FQ","FILING_STATUS=MR","Sort=A","Dates=H","DateFormat=P","Fill=—","Direction=H","UseDPDF=Y")</f>
        <v>9.0700000000000003E-2</v>
      </c>
      <c r="L68" s="14" t="str">
        <f>_xll.BDH("AMGN US Equity","IS_LEGAL_LITIG_SETTLE_DILUTED_SH","FQ1 2021","FQ1 2021","Currency=USD","Period=FQ","BEST_FPERIOD_OVERRIDE=FQ","FILING_STATUS=MR","Sort=A","Dates=H","DateFormat=P","Fill=—","Direction=H","UseDPDF=Y")</f>
        <v>—</v>
      </c>
      <c r="M68" s="14" t="str">
        <f>_xll.BDH("AMGN US Equity","IS_LEGAL_LITIG_SETTLE_DILUTED_SH","FQ2 2021","FQ2 2021","Currency=USD","Period=FQ","BEST_FPERIOD_OVERRIDE=FQ","FILING_STATUS=MR","Sort=A","Dates=H","DateFormat=P","Fill=—","Direction=H","UseDPDF=Y")</f>
        <v>—</v>
      </c>
      <c r="N68" s="14" t="str">
        <f>_xll.BDH("AMGN US Equity","IS_LEGAL_LITIG_SETTLE_DILUTED_SH","FQ3 2021","FQ3 2021","Currency=USD","Period=FQ","BEST_FPERIOD_OVERRIDE=FQ","FILING_STATUS=MR","Sort=A","Dates=H","DateFormat=P","Fill=—","Direction=H","UseDPDF=Y")</f>
        <v>—</v>
      </c>
      <c r="O68" s="14">
        <f>_xll.BDH("AMGN US Equity","IS_LEGAL_LITIG_SETTLE_DILUTED_SH","FQ4 2021","FQ4 2021","Currency=USD","Period=FQ","BEST_FPERIOD_OVERRIDE=FQ","FILING_STATUS=MR","Sort=A","Dates=H","DateFormat=P","Fill=—","Direction=H","UseDPDF=Y")</f>
        <v>7.4399999999999994E-2</v>
      </c>
      <c r="P68" s="14" t="str">
        <f>_xll.BDH("AMGN US Equity","IS_LEGAL_LITIG_SETTLE_DILUTED_SH","FQ1 2022","FQ1 2022","Currency=USD","Period=FQ","BEST_FPERIOD_OVERRIDE=FQ","FILING_STATUS=MR","Sort=A","Dates=H","DateFormat=P","Fill=—","Direction=H","UseDPDF=Y")</f>
        <v>—</v>
      </c>
      <c r="Q68" s="14" t="str">
        <f>_xll.BDH("AMGN US Equity","IS_LEGAL_LITIG_SETTLE_DILUTED_SH","FQ2 2022","FQ2 2022","Currency=USD","Period=FQ","BEST_FPERIOD_OVERRIDE=FQ","FILING_STATUS=MR","Sort=A","Dates=H","DateFormat=P","Fill=—","Direction=H","UseDPDF=Y")</f>
        <v>—</v>
      </c>
      <c r="R68" s="14" t="str">
        <f>_xll.BDH("AMGN US Equity","IS_LEGAL_LITIG_SETTLE_DILUTED_SH","FQ3 2022","FQ3 2022","Currency=USD","Period=FQ","BEST_FPERIOD_OVERRIDE=FQ","FILING_STATUS=MR","Sort=A","Dates=H","DateFormat=P","Fill=—","Direction=H","UseDPDF=Y")</f>
        <v>—</v>
      </c>
      <c r="S68" s="14" t="str">
        <f>_xll.BDH("AMGN US Equity","IS_LEGAL_LITIG_SETTLE_DILUTED_SH","FQ4 2022","FQ4 2022","Currency=USD","Period=FQ","BEST_FPERIOD_OVERRIDE=FQ","FILING_STATUS=MR","Sort=A","Dates=H","DateFormat=P","Fill=—","Direction=H","UseDPDF=Y")</f>
        <v>—</v>
      </c>
      <c r="T68" s="14" t="str">
        <f>_xll.BDH("AMGN US Equity","IS_LEGAL_LITIG_SETTLE_DILUTED_SH","FQ1 2023","FQ1 2023","Currency=USD","Period=FQ","BEST_FPERIOD_OVERRIDE=FQ","FILING_STATUS=MR","Sort=A","Dates=H","DateFormat=P","Fill=—","Direction=H","UseDPDF=Y")</f>
        <v>—</v>
      </c>
      <c r="U68" s="14" t="str">
        <f>_xll.BDH("AMGN US Equity","IS_LEGAL_LITIG_SETTLE_DILUTED_SH","FQ2 2023","FQ2 2023","Currency=USD","Period=FQ","BEST_FPERIOD_OVERRIDE=FQ","FILING_STATUS=MR","Sort=A","Dates=H","DateFormat=P","Fill=—","Direction=H","UseDPDF=Y")</f>
        <v>—</v>
      </c>
      <c r="V68" s="14" t="str">
        <f>_xll.BDH("AMGN US Equity","IS_LEGAL_LITIG_SETTLE_DILUTED_SH","FQ3 2023","FQ3 2023","Currency=USD","Period=FQ","BEST_FPERIOD_OVERRIDE=FQ","FILING_STATUS=MR","Sort=A","Dates=H","DateFormat=P","Fill=—","Direction=H","UseDPDF=Y")</f>
        <v>—</v>
      </c>
      <c r="W68" s="14" t="str">
        <f>_xll.BDH("AMGN US Equity","IS_LEGAL_LITIG_SETTLE_DILUTED_SH","FQ4 2023","FQ4 2023","Currency=USD","Period=FQ","BEST_FPERIOD_OVERRIDE=FQ","FILING_STATUS=MR","Sort=A","Dates=H","DateFormat=P","Fill=—","Direction=H","UseDPDF=Y")</f>
        <v>—</v>
      </c>
      <c r="X68" s="14" t="str">
        <f>_xll.BDH("AMGN US Equity","IS_LEGAL_LITIG_SETTLE_DILUTED_SH","FQ1 2024","FQ1 2024","Currency=USD","Period=FQ","BEST_FPERIOD_OVERRIDE=FQ","FILING_STATUS=MR","Sort=A","Dates=H","DateFormat=P","Fill=—","Direction=H","UseDPDF=Y")</f>
        <v>—</v>
      </c>
      <c r="Y68" s="14" t="str">
        <f>_xll.BDH("AMGN US Equity","IS_LEGAL_LITIG_SETTLE_DILUTED_SH","FQ2 2024","FQ2 2024","Currency=USD","Period=FQ","BEST_FPERIOD_OVERRIDE=FQ","FILING_STATUS=MR","Sort=A","Dates=H","DateFormat=P","Fill=—","Direction=H","UseDPDF=Y")</f>
        <v>—</v>
      </c>
      <c r="Z68" s="14" t="str">
        <f>_xll.BDH("AMGN US Equity","IS_LEGAL_LITIG_SETTLE_DILUTED_SH","FQ3 2024","FQ3 2024","Currency=USD","Period=FQ","BEST_FPERIOD_OVERRIDE=FQ","FILING_STATUS=MR","Sort=A","Dates=H","DateFormat=P","Fill=—","Direction=H","UseDPDF=Y")</f>
        <v>—</v>
      </c>
      <c r="AA68" s="14" t="str">
        <f>_xll.BDH("AMGN US Equity","IS_LEGAL_LITIG_SETTLE_DILUTED_SH","FQ4 2024","FQ4 2024","Currency=USD","Period=FQ","BEST_FPERIOD_OVERRIDE=FQ","FILING_STATUS=MR","Sort=A","Dates=H","DateFormat=P","Fill=—","Direction=H","UseDPDF=Y")</f>
        <v>—</v>
      </c>
    </row>
    <row r="69" spans="1:27" x14ac:dyDescent="0.25">
      <c r="A69" s="10" t="s">
        <v>624</v>
      </c>
      <c r="B69" s="10" t="s">
        <v>655</v>
      </c>
      <c r="C69" s="14">
        <f>_xll.BDH("AMGN US Equity","IS_RESTRUCTURING_CHRG_DILUTED_SH","FQ4 2018","FQ4 2018","Currency=USD","Period=FQ","BEST_FPERIOD_OVERRIDE=FQ","FILING_STATUS=MR","Sort=A","Dates=H","DateFormat=P","Fill=—","Direction=H","UseDPDF=Y")</f>
        <v>1.32E-2</v>
      </c>
      <c r="D69" s="14" t="str">
        <f>_xll.BDH("AMGN US Equity","IS_RESTRUCTURING_CHRG_DILUTED_SH","FQ1 2019","FQ1 2019","Currency=USD","Period=FQ","BEST_FPERIOD_OVERRIDE=FQ","FILING_STATUS=MR","Sort=A","Dates=H","DateFormat=P","Fill=—","Direction=H","UseDPDF=Y")</f>
        <v>—</v>
      </c>
      <c r="E69" s="14">
        <f>_xll.BDH("AMGN US Equity","IS_RESTRUCTURING_CHRG_DILUTED_SH","FQ2 2019","FQ2 2019","Currency=USD","Period=FQ","BEST_FPERIOD_OVERRIDE=FQ","FILING_STATUS=MR","Sort=A","Dates=H","DateFormat=P","Fill=—","Direction=H","UseDPDF=Y")</f>
        <v>-1.2999999999999999E-3</v>
      </c>
      <c r="F69" s="14">
        <f>_xll.BDH("AMGN US Equity","IS_RESTRUCTURING_CHRG_DILUTED_SH","FQ3 2019","FQ3 2019","Currency=USD","Period=FQ","BEST_FPERIOD_OVERRIDE=FQ","FILING_STATUS=MR","Sort=A","Dates=H","DateFormat=P","Fill=—","Direction=H","UseDPDF=Y")</f>
        <v>-1.1999999999999999E-3</v>
      </c>
      <c r="G69" s="14">
        <f>_xll.BDH("AMGN US Equity","IS_RESTRUCTURING_CHRG_DILUTED_SH","FQ4 2019","FQ4 2019","Currency=USD","Period=FQ","BEST_FPERIOD_OVERRIDE=FQ","FILING_STATUS=MR","Sort=A","Dates=H","DateFormat=P","Fill=—","Direction=H","UseDPDF=Y")</f>
        <v>6.6400000000000001E-2</v>
      </c>
      <c r="H69" s="14">
        <f>_xll.BDH("AMGN US Equity","IS_RESTRUCTURING_CHRG_DILUTED_SH","FQ1 2020","FQ1 2020","Currency=USD","Period=FQ","BEST_FPERIOD_OVERRIDE=FQ","FILING_STATUS=MR","Sort=A","Dates=H","DateFormat=P","Fill=—","Direction=H","UseDPDF=Y")</f>
        <v>-2.7000000000000001E-3</v>
      </c>
      <c r="I69" s="14">
        <f>_xll.BDH("AMGN US Equity","IS_RESTRUCTURING_CHRG_DILUTED_SH","FQ2 2020","FQ2 2020","Currency=USD","Period=FQ","BEST_FPERIOD_OVERRIDE=FQ","FILING_STATUS=MR","Sort=A","Dates=H","DateFormat=P","Fill=—","Direction=H","UseDPDF=Y")</f>
        <v>-2.8E-3</v>
      </c>
      <c r="J69" s="14">
        <f>_xll.BDH("AMGN US Equity","IS_RESTRUCTURING_CHRG_DILUTED_SH","FQ3 2020","FQ3 2020","Currency=USD","Period=FQ","BEST_FPERIOD_OVERRIDE=FQ","FILING_STATUS=MR","Sort=A","Dates=H","DateFormat=P","Fill=—","Direction=H","UseDPDF=Y")</f>
        <v>1.2999999999999999E-3</v>
      </c>
      <c r="K69" s="14" t="str">
        <f>_xll.BDH("AMGN US Equity","IS_RESTRUCTURING_CHRG_DILUTED_SH","FQ4 2020","FQ4 2020","Currency=USD","Period=FQ","BEST_FPERIOD_OVERRIDE=FQ","FILING_STATUS=MR","Sort=A","Dates=H","DateFormat=P","Fill=—","Direction=H","UseDPDF=Y")</f>
        <v>—</v>
      </c>
      <c r="L69" s="14" t="str">
        <f>_xll.BDH("AMGN US Equity","IS_RESTRUCTURING_CHRG_DILUTED_SH","FQ1 2021","FQ1 2021","Currency=USD","Period=FQ","BEST_FPERIOD_OVERRIDE=FQ","FILING_STATUS=MR","Sort=A","Dates=H","DateFormat=P","Fill=—","Direction=H","UseDPDF=Y")</f>
        <v>—</v>
      </c>
      <c r="M69" s="14">
        <f>_xll.BDH("AMGN US Equity","IS_RESTRUCTURING_CHRG_DILUTED_SH","FQ2 2021","FQ2 2021","Currency=USD","Period=FQ","BEST_FPERIOD_OVERRIDE=FQ","FILING_STATUS=MR","Sort=A","Dates=H","DateFormat=P","Fill=—","Direction=H","UseDPDF=Y")</f>
        <v>0.1162</v>
      </c>
      <c r="N69" s="14" t="str">
        <f>_xll.BDH("AMGN US Equity","IS_RESTRUCTURING_CHRG_DILUTED_SH","FQ3 2021","FQ3 2021","Currency=USD","Period=FQ","BEST_FPERIOD_OVERRIDE=FQ","FILING_STATUS=MR","Sort=A","Dates=H","DateFormat=P","Fill=—","Direction=H","UseDPDF=Y")</f>
        <v>—</v>
      </c>
      <c r="O69" s="14">
        <f>_xll.BDH("AMGN US Equity","IS_RESTRUCTURING_CHRG_DILUTED_SH","FQ4 2021","FQ4 2021","Currency=USD","Period=FQ","BEST_FPERIOD_OVERRIDE=FQ","FILING_STATUS=MR","Sort=A","Dates=H","DateFormat=P","Fill=—","Direction=H","UseDPDF=Y")</f>
        <v>1.5E-3</v>
      </c>
      <c r="P69" s="14" t="str">
        <f>_xll.BDH("AMGN US Equity","IS_RESTRUCTURING_CHRG_DILUTED_SH","FQ1 2022","FQ1 2022","Currency=USD","Period=FQ","BEST_FPERIOD_OVERRIDE=FQ","FILING_STATUS=MR","Sort=A","Dates=H","DateFormat=P","Fill=—","Direction=H","UseDPDF=Y")</f>
        <v>—</v>
      </c>
      <c r="Q69" s="14">
        <f>_xll.BDH("AMGN US Equity","IS_RESTRUCTURING_CHRG_DILUTED_SH","FQ2 2022","FQ2 2022","Currency=USD","Period=FQ","BEST_FPERIOD_OVERRIDE=FQ","FILING_STATUS=MR","Sort=A","Dates=H","DateFormat=P","Fill=—","Direction=H","UseDPDF=Y")</f>
        <v>-1.6000000000000001E-3</v>
      </c>
      <c r="R69" s="14" t="str">
        <f>_xll.BDH("AMGN US Equity","IS_RESTRUCTURING_CHRG_DILUTED_SH","FQ3 2022","FQ3 2022","Currency=USD","Period=FQ","BEST_FPERIOD_OVERRIDE=FQ","FILING_STATUS=MR","Sort=A","Dates=H","DateFormat=P","Fill=—","Direction=H","UseDPDF=Y")</f>
        <v>—</v>
      </c>
      <c r="S69" s="14" t="str">
        <f>_xll.BDH("AMGN US Equity","IS_RESTRUCTURING_CHRG_DILUTED_SH","FQ4 2022","FQ4 2022","Currency=USD","Period=FQ","BEST_FPERIOD_OVERRIDE=FQ","FILING_STATUS=MR","Sort=A","Dates=H","DateFormat=P","Fill=—","Direction=H","UseDPDF=Y")</f>
        <v>—</v>
      </c>
      <c r="T69" s="14" t="str">
        <f>_xll.BDH("AMGN US Equity","IS_RESTRUCTURING_CHRG_DILUTED_SH","FQ1 2023","FQ1 2023","Currency=USD","Period=FQ","BEST_FPERIOD_OVERRIDE=FQ","FILING_STATUS=MR","Sort=A","Dates=H","DateFormat=P","Fill=—","Direction=H","UseDPDF=Y")</f>
        <v>—</v>
      </c>
      <c r="U69" s="14">
        <f>_xll.BDH("AMGN US Equity","IS_RESTRUCTURING_CHRG_DILUTED_SH","FQ2 2023","FQ2 2023","Currency=USD","Period=FQ","BEST_FPERIOD_OVERRIDE=FQ","FILING_STATUS=MR","Sort=A","Dates=H","DateFormat=P","Fill=—","Direction=H","UseDPDF=Y")</f>
        <v>3.6799999999999999E-2</v>
      </c>
      <c r="V69" s="14">
        <f>_xll.BDH("AMGN US Equity","IS_RESTRUCTURING_CHRG_DILUTED_SH","FQ3 2023","FQ3 2023","Currency=USD","Period=FQ","BEST_FPERIOD_OVERRIDE=FQ","FILING_STATUS=MR","Sort=A","Dates=H","DateFormat=P","Fill=—","Direction=H","UseDPDF=Y")</f>
        <v>1.6400000000000001E-2</v>
      </c>
      <c r="W69" s="14">
        <f>_xll.BDH("AMGN US Equity","IS_RESTRUCTURING_CHRG_DILUTED_SH","FQ4 2023","FQ4 2023","Currency=USD","Period=FQ","BEST_FPERIOD_OVERRIDE=FQ","FILING_STATUS=MR","Sort=A","Dates=H","DateFormat=P","Fill=—","Direction=H","UseDPDF=Y")</f>
        <v>2.1000000000000001E-2</v>
      </c>
      <c r="X69" s="14" t="str">
        <f>_xll.BDH("AMGN US Equity","IS_RESTRUCTURING_CHRG_DILUTED_SH","FQ1 2024","FQ1 2024","Currency=USD","Period=FQ","BEST_FPERIOD_OVERRIDE=FQ","FILING_STATUS=MR","Sort=A","Dates=H","DateFormat=P","Fill=—","Direction=H","UseDPDF=Y")</f>
        <v>—</v>
      </c>
      <c r="Y69" s="14">
        <f>_xll.BDH("AMGN US Equity","IS_RESTRUCTURING_CHRG_DILUTED_SH","FQ2 2024","FQ2 2024","Currency=USD","Period=FQ","BEST_FPERIOD_OVERRIDE=FQ","FILING_STATUS=MR","Sort=A","Dates=H","DateFormat=P","Fill=—","Direction=H","UseDPDF=Y")</f>
        <v>-4.5999999999999999E-3</v>
      </c>
      <c r="Z69" s="14" t="str">
        <f>_xll.BDH("AMGN US Equity","IS_RESTRUCTURING_CHRG_DILUTED_SH","FQ3 2024","FQ3 2024","Currency=USD","Period=FQ","BEST_FPERIOD_OVERRIDE=FQ","FILING_STATUS=MR","Sort=A","Dates=H","DateFormat=P","Fill=—","Direction=H","UseDPDF=Y")</f>
        <v>—</v>
      </c>
      <c r="AA69" s="14" t="str">
        <f>_xll.BDH("AMGN US Equity","IS_RESTRUCTURING_CHRG_DILUTED_SH","FQ4 2024","FQ4 2024","Currency=USD","Period=FQ","BEST_FPERIOD_OVERRIDE=FQ","FILING_STATUS=MR","Sort=A","Dates=H","DateFormat=P","Fill=—","Direction=H","UseDPDF=Y")</f>
        <v>—</v>
      </c>
    </row>
    <row r="70" spans="1:27" x14ac:dyDescent="0.25">
      <c r="A70" s="10" t="s">
        <v>626</v>
      </c>
      <c r="B70" s="10" t="s">
        <v>656</v>
      </c>
      <c r="C70" s="14" t="str">
        <f>_xll.BDH("AMGN US Equity","IS_SALE_INVESTMENTS_DILUTED_SH","FQ4 2018","FQ4 2018","Currency=USD","Period=FQ","BEST_FPERIOD_OVERRIDE=FQ","FILING_STATUS=MR","Sort=A","Dates=H","DateFormat=P","Fill=—","Direction=H","UseDPDF=Y")</f>
        <v>—</v>
      </c>
      <c r="D70" s="14" t="str">
        <f>_xll.BDH("AMGN US Equity","IS_SALE_INVESTMENTS_DILUTED_SH","FQ1 2019","FQ1 2019","Currency=USD","Period=FQ","BEST_FPERIOD_OVERRIDE=FQ","FILING_STATUS=MR","Sort=A","Dates=H","DateFormat=P","Fill=—","Direction=H","UseDPDF=Y")</f>
        <v>—</v>
      </c>
      <c r="E70" s="14" t="str">
        <f>_xll.BDH("AMGN US Equity","IS_SALE_INVESTMENTS_DILUTED_SH","FQ2 2019","FQ2 2019","Currency=USD","Period=FQ","BEST_FPERIOD_OVERRIDE=FQ","FILING_STATUS=MR","Sort=A","Dates=H","DateFormat=P","Fill=—","Direction=H","UseDPDF=Y")</f>
        <v>—</v>
      </c>
      <c r="F70" s="14" t="str">
        <f>_xll.BDH("AMGN US Equity","IS_SALE_INVESTMENTS_DILUTED_SH","FQ3 2019","FQ3 2019","Currency=USD","Period=FQ","BEST_FPERIOD_OVERRIDE=FQ","FILING_STATUS=MR","Sort=A","Dates=H","DateFormat=P","Fill=—","Direction=H","UseDPDF=Y")</f>
        <v>—</v>
      </c>
      <c r="G70" s="14" t="str">
        <f>_xll.BDH("AMGN US Equity","IS_SALE_INVESTMENTS_DILUTED_SH","FQ4 2019","FQ4 2019","Currency=USD","Period=FQ","BEST_FPERIOD_OVERRIDE=FQ","FILING_STATUS=MR","Sort=A","Dates=H","DateFormat=P","Fill=—","Direction=H","UseDPDF=Y")</f>
        <v>—</v>
      </c>
      <c r="H70" s="14" t="str">
        <f>_xll.BDH("AMGN US Equity","IS_SALE_INVESTMENTS_DILUTED_SH","FQ1 2020","FQ1 2020","Currency=USD","Period=FQ","BEST_FPERIOD_OVERRIDE=FQ","FILING_STATUS=MR","Sort=A","Dates=H","DateFormat=P","Fill=—","Direction=H","UseDPDF=Y")</f>
        <v>—</v>
      </c>
      <c r="I70" s="14" t="str">
        <f>_xll.BDH("AMGN US Equity","IS_SALE_INVESTMENTS_DILUTED_SH","FQ2 2020","FQ2 2020","Currency=USD","Period=FQ","BEST_FPERIOD_OVERRIDE=FQ","FILING_STATUS=MR","Sort=A","Dates=H","DateFormat=P","Fill=—","Direction=H","UseDPDF=Y")</f>
        <v>—</v>
      </c>
      <c r="J70" s="14" t="str">
        <f>_xll.BDH("AMGN US Equity","IS_SALE_INVESTMENTS_DILUTED_SH","FQ3 2020","FQ3 2020","Currency=USD","Period=FQ","BEST_FPERIOD_OVERRIDE=FQ","FILING_STATUS=MR","Sort=A","Dates=H","DateFormat=P","Fill=—","Direction=H","UseDPDF=Y")</f>
        <v>—</v>
      </c>
      <c r="K70" s="14" t="str">
        <f>_xll.BDH("AMGN US Equity","IS_SALE_INVESTMENTS_DILUTED_SH","FQ4 2020","FQ4 2020","Currency=USD","Period=FQ","BEST_FPERIOD_OVERRIDE=FQ","FILING_STATUS=MR","Sort=A","Dates=H","DateFormat=P","Fill=—","Direction=H","UseDPDF=Y")</f>
        <v>—</v>
      </c>
      <c r="L70" s="14">
        <f>_xll.BDH("AMGN US Equity","IS_SALE_INVESTMENTS_DILUTED_SH","FQ1 2021","FQ1 2021","Currency=USD","Period=FQ","BEST_FPERIOD_OVERRIDE=FQ","FILING_STATUS=MR","Sort=A","Dates=H","DateFormat=P","Fill=—","Direction=H","UseDPDF=Y")</f>
        <v>-0.1978</v>
      </c>
      <c r="M70" s="14">
        <f>_xll.BDH("AMGN US Equity","IS_SALE_INVESTMENTS_DILUTED_SH","FQ2 2021","FQ2 2021","Currency=USD","Period=FQ","BEST_FPERIOD_OVERRIDE=FQ","FILING_STATUS=MR","Sort=A","Dates=H","DateFormat=P","Fill=—","Direction=H","UseDPDF=Y")</f>
        <v>1.5E-3</v>
      </c>
      <c r="N70" s="14">
        <f>_xll.BDH("AMGN US Equity","IS_SALE_INVESTMENTS_DILUTED_SH","FQ3 2021","FQ3 2021","Currency=USD","Period=FQ","BEST_FPERIOD_OVERRIDE=FQ","FILING_STATUS=MR","Sort=A","Dates=H","DateFormat=P","Fill=—","Direction=H","UseDPDF=Y")</f>
        <v>-0.29820000000000002</v>
      </c>
      <c r="O70" s="14">
        <f>_xll.BDH("AMGN US Equity","IS_SALE_INVESTMENTS_DILUTED_SH","FQ4 2021","FQ4 2021","Currency=USD","Period=FQ","BEST_FPERIOD_OVERRIDE=FQ","FILING_STATUS=MR","Sort=A","Dates=H","DateFormat=P","Fill=—","Direction=H","UseDPDF=Y")</f>
        <v>-0.12790000000000001</v>
      </c>
      <c r="P70" s="14">
        <f>_xll.BDH("AMGN US Equity","IS_SALE_INVESTMENTS_DILUTED_SH","FQ1 2022","FQ1 2022","Currency=USD","Period=FQ","BEST_FPERIOD_OVERRIDE=FQ","FILING_STATUS=MR","Sort=A","Dates=H","DateFormat=P","Fill=—","Direction=H","UseDPDF=Y")</f>
        <v>0.54339999999999999</v>
      </c>
      <c r="Q70" s="14">
        <f>_xll.BDH("AMGN US Equity","IS_SALE_INVESTMENTS_DILUTED_SH","FQ2 2022","FQ2 2022","Currency=USD","Period=FQ","BEST_FPERIOD_OVERRIDE=FQ","FILING_STATUS=MR","Sort=A","Dates=H","DateFormat=P","Fill=—","Direction=H","UseDPDF=Y")</f>
        <v>0.29270000000000002</v>
      </c>
      <c r="R70" s="14">
        <f>_xll.BDH("AMGN US Equity","IS_SALE_INVESTMENTS_DILUTED_SH","FQ3 2022","FQ3 2022","Currency=USD","Period=FQ","BEST_FPERIOD_OVERRIDE=FQ","FILING_STATUS=MR","Sort=A","Dates=H","DateFormat=P","Fill=—","Direction=H","UseDPDF=Y")</f>
        <v>-0.21260000000000001</v>
      </c>
      <c r="S70" s="14">
        <f>_xll.BDH("AMGN US Equity","IS_SALE_INVESTMENTS_DILUTED_SH","FQ4 2022","FQ4 2022","Currency=USD","Period=FQ","BEST_FPERIOD_OVERRIDE=FQ","FILING_STATUS=MR","Sort=A","Dates=H","DateFormat=P","Fill=—","Direction=H","UseDPDF=Y")</f>
        <v>-5.74E-2</v>
      </c>
      <c r="T70" s="14">
        <f>_xll.BDH("AMGN US Equity","IS_SALE_INVESTMENTS_DILUTED_SH","FQ1 2023","FQ1 2023","Currency=USD","Period=FQ","BEST_FPERIOD_OVERRIDE=FQ","FILING_STATUS=MR","Sort=A","Dates=H","DateFormat=P","Fill=—","Direction=H","UseDPDF=Y")</f>
        <v>-3.0123000000000002</v>
      </c>
      <c r="U70" s="14" t="str">
        <f>_xll.BDH("AMGN US Equity","IS_SALE_INVESTMENTS_DILUTED_SH","FQ2 2023","FQ2 2023","Currency=USD","Period=FQ","BEST_FPERIOD_OVERRIDE=FQ","FILING_STATUS=MR","Sort=A","Dates=H","DateFormat=P","Fill=—","Direction=H","UseDPDF=Y")</f>
        <v>—</v>
      </c>
      <c r="V70" s="14">
        <f>_xll.BDH("AMGN US Equity","IS_SALE_INVESTMENTS_DILUTED_SH","FQ3 2023","FQ3 2023","Currency=USD","Period=FQ","BEST_FPERIOD_OVERRIDE=FQ","FILING_STATUS=MR","Sort=A","Dates=H","DateFormat=P","Fill=—","Direction=H","UseDPDF=Y")</f>
        <v>-0.24049999999999999</v>
      </c>
      <c r="W70" s="14">
        <f>_xll.BDH("AMGN US Equity","IS_SALE_INVESTMENTS_DILUTED_SH","FQ4 2023","FQ4 2023","Currency=USD","Period=FQ","BEST_FPERIOD_OVERRIDE=FQ","FILING_STATUS=MR","Sort=A","Dates=H","DateFormat=P","Fill=—","Direction=H","UseDPDF=Y")</f>
        <v>-0.32579999999999998</v>
      </c>
      <c r="X70" s="14">
        <f>_xll.BDH("AMGN US Equity","IS_SALE_INVESTMENTS_DILUTED_SH","FQ1 2024","FQ1 2024","Currency=USD","Period=FQ","BEST_FPERIOD_OVERRIDE=FQ","FILING_STATUS=MR","Sort=A","Dates=H","DateFormat=P","Fill=—","Direction=H","UseDPDF=Y")</f>
        <v>0.82</v>
      </c>
      <c r="Y70" s="14" t="str">
        <f>_xll.BDH("AMGN US Equity","IS_SALE_INVESTMENTS_DILUTED_SH","FQ2 2024","FQ2 2024","Currency=USD","Period=FQ","BEST_FPERIOD_OVERRIDE=FQ","FILING_STATUS=MR","Sort=A","Dates=H","DateFormat=P","Fill=—","Direction=H","UseDPDF=Y")</f>
        <v>—</v>
      </c>
      <c r="Z70" s="14" t="str">
        <f>_xll.BDH("AMGN US Equity","IS_SALE_INVESTMENTS_DILUTED_SH","FQ3 2024","FQ3 2024","Currency=USD","Period=FQ","BEST_FPERIOD_OVERRIDE=FQ","FILING_STATUS=MR","Sort=A","Dates=H","DateFormat=P","Fill=—","Direction=H","UseDPDF=Y")</f>
        <v>—</v>
      </c>
      <c r="AA70" s="14">
        <f>_xll.BDH("AMGN US Equity","IS_SALE_INVESTMENTS_DILUTED_SH","FQ4 2024","FQ4 2024","Currency=USD","Period=FQ","BEST_FPERIOD_OVERRIDE=FQ","FILING_STATUS=MR","Sort=A","Dates=H","DateFormat=P","Fill=—","Direction=H","UseDPDF=Y")</f>
        <v>0.77190000000000003</v>
      </c>
    </row>
    <row r="71" spans="1:27" x14ac:dyDescent="0.25">
      <c r="A71" s="10" t="s">
        <v>631</v>
      </c>
      <c r="B71" s="10" t="s">
        <v>657</v>
      </c>
      <c r="C71" s="14" t="str">
        <f>_xll.BDH("AMGN US Equity","IS_UNREALIZED_INVEST_DILUTED_SH","FQ4 2018","FQ4 2018","Currency=USD","Period=FQ","BEST_FPERIOD_OVERRIDE=FQ","FILING_STATUS=MR","Sort=A","Dates=H","DateFormat=P","Fill=—","Direction=H","UseDPDF=Y")</f>
        <v>—</v>
      </c>
      <c r="D71" s="14" t="str">
        <f>_xll.BDH("AMGN US Equity","IS_UNREALIZED_INVEST_DILUTED_SH","FQ1 2019","FQ1 2019","Currency=USD","Period=FQ","BEST_FPERIOD_OVERRIDE=FQ","FILING_STATUS=MR","Sort=A","Dates=H","DateFormat=P","Fill=—","Direction=H","UseDPDF=Y")</f>
        <v>—</v>
      </c>
      <c r="E71" s="14" t="str">
        <f>_xll.BDH("AMGN US Equity","IS_UNREALIZED_INVEST_DILUTED_SH","FQ2 2019","FQ2 2019","Currency=USD","Period=FQ","BEST_FPERIOD_OVERRIDE=FQ","FILING_STATUS=MR","Sort=A","Dates=H","DateFormat=P","Fill=—","Direction=H","UseDPDF=Y")</f>
        <v>—</v>
      </c>
      <c r="F71" s="14" t="str">
        <f>_xll.BDH("AMGN US Equity","IS_UNREALIZED_INVEST_DILUTED_SH","FQ3 2019","FQ3 2019","Currency=USD","Period=FQ","BEST_FPERIOD_OVERRIDE=FQ","FILING_STATUS=MR","Sort=A","Dates=H","DateFormat=P","Fill=—","Direction=H","UseDPDF=Y")</f>
        <v>—</v>
      </c>
      <c r="G71" s="14" t="str">
        <f>_xll.BDH("AMGN US Equity","IS_UNREALIZED_INVEST_DILUTED_SH","FQ4 2019","FQ4 2019","Currency=USD","Period=FQ","BEST_FPERIOD_OVERRIDE=FQ","FILING_STATUS=MR","Sort=A","Dates=H","DateFormat=P","Fill=—","Direction=H","UseDPDF=Y")</f>
        <v>—</v>
      </c>
      <c r="H71" s="14" t="str">
        <f>_xll.BDH("AMGN US Equity","IS_UNREALIZED_INVEST_DILUTED_SH","FQ1 2020","FQ1 2020","Currency=USD","Period=FQ","BEST_FPERIOD_OVERRIDE=FQ","FILING_STATUS=MR","Sort=A","Dates=H","DateFormat=P","Fill=—","Direction=H","UseDPDF=Y")</f>
        <v>—</v>
      </c>
      <c r="I71" s="14" t="str">
        <f>_xll.BDH("AMGN US Equity","IS_UNREALIZED_INVEST_DILUTED_SH","FQ2 2020","FQ2 2020","Currency=USD","Period=FQ","BEST_FPERIOD_OVERRIDE=FQ","FILING_STATUS=MR","Sort=A","Dates=H","DateFormat=P","Fill=—","Direction=H","UseDPDF=Y")</f>
        <v>—</v>
      </c>
      <c r="J71" s="14" t="str">
        <f>_xll.BDH("AMGN US Equity","IS_UNREALIZED_INVEST_DILUTED_SH","FQ3 2020","FQ3 2020","Currency=USD","Period=FQ","BEST_FPERIOD_OVERRIDE=FQ","FILING_STATUS=MR","Sort=A","Dates=H","DateFormat=P","Fill=—","Direction=H","UseDPDF=Y")</f>
        <v>—</v>
      </c>
      <c r="K71" s="14" t="str">
        <f>_xll.BDH("AMGN US Equity","IS_UNREALIZED_INVEST_DILUTED_SH","FQ4 2020","FQ4 2020","Currency=USD","Period=FQ","BEST_FPERIOD_OVERRIDE=FQ","FILING_STATUS=MR","Sort=A","Dates=H","DateFormat=P","Fill=—","Direction=H","UseDPDF=Y")</f>
        <v>—</v>
      </c>
      <c r="L71" s="14" t="str">
        <f>_xll.BDH("AMGN US Equity","IS_UNREALIZED_INVEST_DILUTED_SH","FQ1 2021","FQ1 2021","Currency=USD","Period=FQ","BEST_FPERIOD_OVERRIDE=FQ","FILING_STATUS=MR","Sort=A","Dates=H","DateFormat=P","Fill=—","Direction=H","UseDPDF=Y")</f>
        <v>—</v>
      </c>
      <c r="M71" s="14" t="str">
        <f>_xll.BDH("AMGN US Equity","IS_UNREALIZED_INVEST_DILUTED_SH","FQ2 2021","FQ2 2021","Currency=USD","Period=FQ","BEST_FPERIOD_OVERRIDE=FQ","FILING_STATUS=MR","Sort=A","Dates=H","DateFormat=P","Fill=—","Direction=H","UseDPDF=Y")</f>
        <v>—</v>
      </c>
      <c r="N71" s="14" t="str">
        <f>_xll.BDH("AMGN US Equity","IS_UNREALIZED_INVEST_DILUTED_SH","FQ3 2021","FQ3 2021","Currency=USD","Period=FQ","BEST_FPERIOD_OVERRIDE=FQ","FILING_STATUS=MR","Sort=A","Dates=H","DateFormat=P","Fill=—","Direction=H","UseDPDF=Y")</f>
        <v>—</v>
      </c>
      <c r="O71" s="14" t="str">
        <f>_xll.BDH("AMGN US Equity","IS_UNREALIZED_INVEST_DILUTED_SH","FQ4 2021","FQ4 2021","Currency=USD","Period=FQ","BEST_FPERIOD_OVERRIDE=FQ","FILING_STATUS=MR","Sort=A","Dates=H","DateFormat=P","Fill=—","Direction=H","UseDPDF=Y")</f>
        <v>—</v>
      </c>
      <c r="P71" s="14" t="str">
        <f>_xll.BDH("AMGN US Equity","IS_UNREALIZED_INVEST_DILUTED_SH","FQ1 2022","FQ1 2022","Currency=USD","Period=FQ","BEST_FPERIOD_OVERRIDE=FQ","FILING_STATUS=MR","Sort=A","Dates=H","DateFormat=P","Fill=—","Direction=H","UseDPDF=Y")</f>
        <v>—</v>
      </c>
      <c r="Q71" s="14" t="str">
        <f>_xll.BDH("AMGN US Equity","IS_UNREALIZED_INVEST_DILUTED_SH","FQ2 2022","FQ2 2022","Currency=USD","Period=FQ","BEST_FPERIOD_OVERRIDE=FQ","FILING_STATUS=MR","Sort=A","Dates=H","DateFormat=P","Fill=—","Direction=H","UseDPDF=Y")</f>
        <v>—</v>
      </c>
      <c r="R71" s="14" t="str">
        <f>_xll.BDH("AMGN US Equity","IS_UNREALIZED_INVEST_DILUTED_SH","FQ3 2022","FQ3 2022","Currency=USD","Period=FQ","BEST_FPERIOD_OVERRIDE=FQ","FILING_STATUS=MR","Sort=A","Dates=H","DateFormat=P","Fill=—","Direction=H","UseDPDF=Y")</f>
        <v>—</v>
      </c>
      <c r="S71" s="14" t="str">
        <f>_xll.BDH("AMGN US Equity","IS_UNREALIZED_INVEST_DILUTED_SH","FQ4 2022","FQ4 2022","Currency=USD","Period=FQ","BEST_FPERIOD_OVERRIDE=FQ","FILING_STATUS=MR","Sort=A","Dates=H","DateFormat=P","Fill=—","Direction=H","UseDPDF=Y")</f>
        <v>—</v>
      </c>
      <c r="T71" s="14" t="str">
        <f>_xll.BDH("AMGN US Equity","IS_UNREALIZED_INVEST_DILUTED_SH","FQ1 2023","FQ1 2023","Currency=USD","Period=FQ","BEST_FPERIOD_OVERRIDE=FQ","FILING_STATUS=MR","Sort=A","Dates=H","DateFormat=P","Fill=—","Direction=H","UseDPDF=Y")</f>
        <v>—</v>
      </c>
      <c r="U71" s="14">
        <f>_xll.BDH("AMGN US Equity","IS_UNREALIZED_INVEST_DILUTED_SH","FQ2 2023","FQ2 2023","Currency=USD","Period=FQ","BEST_FPERIOD_OVERRIDE=FQ","FILING_STATUS=MR","Sort=A","Dates=H","DateFormat=P","Fill=—","Direction=H","UseDPDF=Y")</f>
        <v>0.83950000000000002</v>
      </c>
      <c r="V71" s="14" t="str">
        <f>_xll.BDH("AMGN US Equity","IS_UNREALIZED_INVEST_DILUTED_SH","FQ3 2023","FQ3 2023","Currency=USD","Period=FQ","BEST_FPERIOD_OVERRIDE=FQ","FILING_STATUS=MR","Sort=A","Dates=H","DateFormat=P","Fill=—","Direction=H","UseDPDF=Y")</f>
        <v>—</v>
      </c>
      <c r="W71" s="14" t="str">
        <f>_xll.BDH("AMGN US Equity","IS_UNREALIZED_INVEST_DILUTED_SH","FQ4 2023","FQ4 2023","Currency=USD","Period=FQ","BEST_FPERIOD_OVERRIDE=FQ","FILING_STATUS=MR","Sort=A","Dates=H","DateFormat=P","Fill=—","Direction=H","UseDPDF=Y")</f>
        <v>—</v>
      </c>
      <c r="X71" s="14" t="str">
        <f>_xll.BDH("AMGN US Equity","IS_UNREALIZED_INVEST_DILUTED_SH","FQ1 2024","FQ1 2024","Currency=USD","Period=FQ","BEST_FPERIOD_OVERRIDE=FQ","FILING_STATUS=MR","Sort=A","Dates=H","DateFormat=P","Fill=—","Direction=H","UseDPDF=Y")</f>
        <v>—</v>
      </c>
      <c r="Y71" s="14">
        <f>_xll.BDH("AMGN US Equity","IS_UNREALIZED_INVEST_DILUTED_SH","FQ2 2024","FQ2 2024","Currency=USD","Period=FQ","BEST_FPERIOD_OVERRIDE=FQ","FILING_STATUS=MR","Sort=A","Dates=H","DateFormat=P","Fill=—","Direction=H","UseDPDF=Y")</f>
        <v>0.61650000000000005</v>
      </c>
      <c r="Z71" s="14">
        <f>_xll.BDH("AMGN US Equity","IS_UNREALIZED_INVEST_DILUTED_SH","FQ3 2024","FQ3 2024","Currency=USD","Period=FQ","BEST_FPERIOD_OVERRIDE=FQ","FILING_STATUS=MR","Sort=A","Dates=H","DateFormat=P","Fill=—","Direction=H","UseDPDF=Y")</f>
        <v>-1.6659999999999999</v>
      </c>
      <c r="AA71" s="14" t="str">
        <f>_xll.BDH("AMGN US Equity","IS_UNREALIZED_INVEST_DILUTED_SH","FQ4 2024","FQ4 2024","Currency=USD","Period=FQ","BEST_FPERIOD_OVERRIDE=FQ","FILING_STATUS=MR","Sort=A","Dates=H","DateFormat=P","Fill=—","Direction=H","UseDPDF=Y")</f>
        <v>—</v>
      </c>
    </row>
    <row r="72" spans="1:27" x14ac:dyDescent="0.25">
      <c r="A72" s="10" t="s">
        <v>628</v>
      </c>
      <c r="B72" s="10" t="s">
        <v>658</v>
      </c>
      <c r="C72" s="14" t="str">
        <f>_xll.BDH("AMGN US Equity","IS_OTH_ONE_TIME_ITEMS_DILUTED_SH","FQ4 2018","FQ4 2018","Currency=USD","Period=FQ","BEST_FPERIOD_OVERRIDE=FQ","FILING_STATUS=MR","Sort=A","Dates=H","DateFormat=P","Fill=—","Direction=H","UseDPDF=Y")</f>
        <v>—</v>
      </c>
      <c r="D72" s="14" t="str">
        <f>_xll.BDH("AMGN US Equity","IS_OTH_ONE_TIME_ITEMS_DILUTED_SH","FQ1 2019","FQ1 2019","Currency=USD","Period=FQ","BEST_FPERIOD_OVERRIDE=FQ","FILING_STATUS=MR","Sort=A","Dates=H","DateFormat=P","Fill=—","Direction=H","UseDPDF=Y")</f>
        <v>—</v>
      </c>
      <c r="E72" s="14" t="str">
        <f>_xll.BDH("AMGN US Equity","IS_OTH_ONE_TIME_ITEMS_DILUTED_SH","FQ2 2019","FQ2 2019","Currency=USD","Period=FQ","BEST_FPERIOD_OVERRIDE=FQ","FILING_STATUS=MR","Sort=A","Dates=H","DateFormat=P","Fill=—","Direction=H","UseDPDF=Y")</f>
        <v>—</v>
      </c>
      <c r="F72" s="14" t="str">
        <f>_xll.BDH("AMGN US Equity","IS_OTH_ONE_TIME_ITEMS_DILUTED_SH","FQ3 2019","FQ3 2019","Currency=USD","Period=FQ","BEST_FPERIOD_OVERRIDE=FQ","FILING_STATUS=MR","Sort=A","Dates=H","DateFormat=P","Fill=—","Direction=H","UseDPDF=Y")</f>
        <v>—</v>
      </c>
      <c r="G72" s="14" t="str">
        <f>_xll.BDH("AMGN US Equity","IS_OTH_ONE_TIME_ITEMS_DILUTED_SH","FQ4 2019","FQ4 2019","Currency=USD","Period=FQ","BEST_FPERIOD_OVERRIDE=FQ","FILING_STATUS=MR","Sort=A","Dates=H","DateFormat=P","Fill=—","Direction=H","UseDPDF=Y")</f>
        <v>—</v>
      </c>
      <c r="H72" s="14" t="str">
        <f>_xll.BDH("AMGN US Equity","IS_OTH_ONE_TIME_ITEMS_DILUTED_SH","FQ1 2020","FQ1 2020","Currency=USD","Period=FQ","BEST_FPERIOD_OVERRIDE=FQ","FILING_STATUS=MR","Sort=A","Dates=H","DateFormat=P","Fill=—","Direction=H","UseDPDF=Y")</f>
        <v>—</v>
      </c>
      <c r="I72" s="14" t="str">
        <f>_xll.BDH("AMGN US Equity","IS_OTH_ONE_TIME_ITEMS_DILUTED_SH","FQ2 2020","FQ2 2020","Currency=USD","Period=FQ","BEST_FPERIOD_OVERRIDE=FQ","FILING_STATUS=MR","Sort=A","Dates=H","DateFormat=P","Fill=—","Direction=H","UseDPDF=Y")</f>
        <v>—</v>
      </c>
      <c r="J72" s="14">
        <f>_xll.BDH("AMGN US Equity","IS_OTH_ONE_TIME_ITEMS_DILUTED_SH","FQ3 2020","FQ3 2020","Currency=USD","Period=FQ","BEST_FPERIOD_OVERRIDE=FQ","FILING_STATUS=MR","Sort=A","Dates=H","DateFormat=P","Fill=—","Direction=H","UseDPDF=Y")</f>
        <v>1.4E-3</v>
      </c>
      <c r="K72" s="14" t="str">
        <f>_xll.BDH("AMGN US Equity","IS_OTH_ONE_TIME_ITEMS_DILUTED_SH","FQ4 2020","FQ4 2020","Currency=USD","Period=FQ","BEST_FPERIOD_OVERRIDE=FQ","FILING_STATUS=MR","Sort=A","Dates=H","DateFormat=P","Fill=—","Direction=H","UseDPDF=Y")</f>
        <v>—</v>
      </c>
      <c r="L72" s="14">
        <f>_xll.BDH("AMGN US Equity","IS_OTH_ONE_TIME_ITEMS_DILUTED_SH","FQ1 2021","FQ1 2021","Currency=USD","Period=FQ","BEST_FPERIOD_OVERRIDE=FQ","FILING_STATUS=MR","Sort=A","Dates=H","DateFormat=P","Fill=—","Direction=H","UseDPDF=Y")</f>
        <v>9.2799999999999994E-2</v>
      </c>
      <c r="M72" s="14">
        <f>_xll.BDH("AMGN US Equity","IS_OTH_ONE_TIME_ITEMS_DILUTED_SH","FQ2 2021","FQ2 2021","Currency=USD","Period=FQ","BEST_FPERIOD_OVERRIDE=FQ","FILING_STATUS=MR","Sort=A","Dates=H","DateFormat=P","Fill=—","Direction=H","UseDPDF=Y")</f>
        <v>7.6E-3</v>
      </c>
      <c r="N72" s="14">
        <f>_xll.BDH("AMGN US Equity","IS_OTH_ONE_TIME_ITEMS_DILUTED_SH","FQ3 2021","FQ3 2021","Currency=USD","Period=FQ","BEST_FPERIOD_OVERRIDE=FQ","FILING_STATUS=MR","Sort=A","Dates=H","DateFormat=P","Fill=—","Direction=H","UseDPDF=Y")</f>
        <v>4.2200000000000001E-2</v>
      </c>
      <c r="O72" s="14">
        <f>_xll.BDH("AMGN US Equity","IS_OTH_ONE_TIME_ITEMS_DILUTED_SH","FQ4 2021","FQ4 2021","Currency=USD","Period=FQ","BEST_FPERIOD_OVERRIDE=FQ","FILING_STATUS=MR","Sort=A","Dates=H","DateFormat=P","Fill=—","Direction=H","UseDPDF=Y")</f>
        <v>-3.4200000000000001E-2</v>
      </c>
      <c r="P72" s="14">
        <f>_xll.BDH("AMGN US Equity","IS_OTH_ONE_TIME_ITEMS_DILUTED_SH","FQ1 2022","FQ1 2022","Currency=USD","Period=FQ","BEST_FPERIOD_OVERRIDE=FQ","FILING_STATUS=MR","Sort=A","Dates=H","DateFormat=P","Fill=—","Direction=H","UseDPDF=Y")</f>
        <v>3.0000000000000001E-3</v>
      </c>
      <c r="Q72" s="14" t="str">
        <f>_xll.BDH("AMGN US Equity","IS_OTH_ONE_TIME_ITEMS_DILUTED_SH","FQ2 2022","FQ2 2022","Currency=USD","Period=FQ","BEST_FPERIOD_OVERRIDE=FQ","FILING_STATUS=MR","Sort=A","Dates=H","DateFormat=P","Fill=—","Direction=H","UseDPDF=Y")</f>
        <v>—</v>
      </c>
      <c r="R72" s="14">
        <f>_xll.BDH("AMGN US Equity","IS_OTH_ONE_TIME_ITEMS_DILUTED_SH","FQ3 2022","FQ3 2022","Currency=USD","Period=FQ","BEST_FPERIOD_OVERRIDE=FQ","FILING_STATUS=MR","Sort=A","Dates=H","DateFormat=P","Fill=—","Direction=H","UseDPDF=Y")</f>
        <v>7.1000000000000004E-3</v>
      </c>
      <c r="S72" s="14">
        <f>_xll.BDH("AMGN US Equity","IS_OTH_ONE_TIME_ITEMS_DILUTED_SH","FQ4 2022","FQ4 2022","Currency=USD","Period=FQ","BEST_FPERIOD_OVERRIDE=FQ","FILING_STATUS=MR","Sort=A","Dates=H","DateFormat=P","Fill=—","Direction=H","UseDPDF=Y")</f>
        <v>-1.5E-3</v>
      </c>
      <c r="T72" s="14">
        <f>_xll.BDH("AMGN US Equity","IS_OTH_ONE_TIME_ITEMS_DILUTED_SH","FQ1 2023","FQ1 2023","Currency=USD","Period=FQ","BEST_FPERIOD_OVERRIDE=FQ","FILING_STATUS=MR","Sort=A","Dates=H","DateFormat=P","Fill=—","Direction=H","UseDPDF=Y")</f>
        <v>0.22919999999999999</v>
      </c>
      <c r="U72" s="14">
        <f>_xll.BDH("AMGN US Equity","IS_OTH_ONE_TIME_ITEMS_DILUTED_SH","FQ2 2023","FQ2 2023","Currency=USD","Period=FQ","BEST_FPERIOD_OVERRIDE=FQ","FILING_STATUS=MR","Sort=A","Dates=H","DateFormat=P","Fill=—","Direction=H","UseDPDF=Y")</f>
        <v>8.0999999999999996E-3</v>
      </c>
      <c r="V72" s="14">
        <f>_xll.BDH("AMGN US Equity","IS_OTH_ONE_TIME_ITEMS_DILUTED_SH","FQ3 2023","FQ3 2023","Currency=USD","Period=FQ","BEST_FPERIOD_OVERRIDE=FQ","FILING_STATUS=MR","Sort=A","Dates=H","DateFormat=P","Fill=—","Direction=H","UseDPDF=Y")</f>
        <v>0.88849999999999996</v>
      </c>
      <c r="W72" s="14" t="str">
        <f>_xll.BDH("AMGN US Equity","IS_OTH_ONE_TIME_ITEMS_DILUTED_SH","FQ4 2023","FQ4 2023","Currency=USD","Period=FQ","BEST_FPERIOD_OVERRIDE=FQ","FILING_STATUS=MR","Sort=A","Dates=H","DateFormat=P","Fill=—","Direction=H","UseDPDF=Y")</f>
        <v>—</v>
      </c>
      <c r="X72" s="14">
        <f>_xll.BDH("AMGN US Equity","IS_OTH_ONE_TIME_ITEMS_DILUTED_SH","FQ1 2024","FQ1 2024","Currency=USD","Period=FQ","BEST_FPERIOD_OVERRIDE=FQ","FILING_STATUS=MR","Sort=A","Dates=H","DateFormat=P","Fill=—","Direction=H","UseDPDF=Y")</f>
        <v>-1.6000000000000001E-3</v>
      </c>
      <c r="Y72" s="14" t="str">
        <f>_xll.BDH("AMGN US Equity","IS_OTH_ONE_TIME_ITEMS_DILUTED_SH","FQ2 2024","FQ2 2024","Currency=USD","Period=FQ","BEST_FPERIOD_OVERRIDE=FQ","FILING_STATUS=MR","Sort=A","Dates=H","DateFormat=P","Fill=—","Direction=H","UseDPDF=Y")</f>
        <v>—</v>
      </c>
      <c r="Z72" s="14" t="str">
        <f>_xll.BDH("AMGN US Equity","IS_OTH_ONE_TIME_ITEMS_DILUTED_SH","FQ3 2024","FQ3 2024","Currency=USD","Period=FQ","BEST_FPERIOD_OVERRIDE=FQ","FILING_STATUS=MR","Sort=A","Dates=H","DateFormat=P","Fill=—","Direction=H","UseDPDF=Y")</f>
        <v>—</v>
      </c>
      <c r="AA72" s="14">
        <f>_xll.BDH("AMGN US Equity","IS_OTH_ONE_TIME_ITEMS_DILUTED_SH","FQ4 2024","FQ4 2024","Currency=USD","Period=FQ","BEST_FPERIOD_OVERRIDE=FQ","FILING_STATUS=MR","Sort=A","Dates=H","DateFormat=P","Fill=—","Direction=H","UseDPDF=Y")</f>
        <v>3.5299999999999998E-2</v>
      </c>
    </row>
    <row r="73" spans="1:27" x14ac:dyDescent="0.25">
      <c r="A73" s="10" t="s">
        <v>646</v>
      </c>
      <c r="B73" s="10" t="s">
        <v>659</v>
      </c>
      <c r="C73" s="14" t="str">
        <f>_xll.BDH("AMGN US Equity","IS_TAX_PROV_BENEFIT_DILUTED_SH","FQ4 2018","FQ4 2018","Currency=USD","Period=FQ","BEST_FPERIOD_OVERRIDE=FQ","FILING_STATUS=MR","Sort=A","Dates=H","DateFormat=P","Fill=—","Direction=H","UseDPDF=Y")</f>
        <v>—</v>
      </c>
      <c r="D73" s="14">
        <f>_xll.BDH("AMGN US Equity","IS_TAX_PROV_BENEFIT_DILUTED_SH","FQ1 2019","FQ1 2019","Currency=USD","Period=FQ","BEST_FPERIOD_OVERRIDE=FQ","FILING_STATUS=MR","Sort=A","Dates=H","DateFormat=P","Fill=—","Direction=H","UseDPDF=Y")</f>
        <v>1.2800000000000001E-2</v>
      </c>
      <c r="E73" s="14">
        <f>_xll.BDH("AMGN US Equity","IS_TAX_PROV_BENEFIT_DILUTED_SH","FQ2 2019","FQ2 2019","Currency=USD","Period=FQ","BEST_FPERIOD_OVERRIDE=FQ","FILING_STATUS=MR","Sort=A","Dates=H","DateFormat=P","Fill=—","Direction=H","UseDPDF=Y")</f>
        <v>3.1099999999999999E-2</v>
      </c>
      <c r="F73" s="14">
        <f>_xll.BDH("AMGN US Equity","IS_TAX_PROV_BENEFIT_DILUTED_SH","FQ3 2019","FQ3 2019","Currency=USD","Period=FQ","BEST_FPERIOD_OVERRIDE=FQ","FILING_STATUS=MR","Sort=A","Dates=H","DateFormat=P","Fill=—","Direction=H","UseDPDF=Y")</f>
        <v>1.3299999999999999E-2</v>
      </c>
      <c r="G73" s="14">
        <f>_xll.BDH("AMGN US Equity","IS_TAX_PROV_BENEFIT_DILUTED_SH","FQ4 2019","FQ4 2019","Currency=USD","Period=FQ","BEST_FPERIOD_OVERRIDE=FQ","FILING_STATUS=MR","Sort=A","Dates=H","DateFormat=P","Fill=—","Direction=H","UseDPDF=Y")</f>
        <v>-5.0000000000000001E-3</v>
      </c>
      <c r="H73" s="14">
        <f>_xll.BDH("AMGN US Equity","IS_TAX_PROV_BENEFIT_DILUTED_SH","FQ1 2020","FQ1 2020","Currency=USD","Period=FQ","BEST_FPERIOD_OVERRIDE=FQ","FILING_STATUS=MR","Sort=A","Dates=H","DateFormat=P","Fill=—","Direction=H","UseDPDF=Y")</f>
        <v>1.6999999999999999E-3</v>
      </c>
      <c r="I73" s="14">
        <f>_xll.BDH("AMGN US Equity","IS_TAX_PROV_BENEFIT_DILUTED_SH","FQ2 2020","FQ2 2020","Currency=USD","Period=FQ","BEST_FPERIOD_OVERRIDE=FQ","FILING_STATUS=MR","Sort=A","Dates=H","DateFormat=P","Fill=—","Direction=H","UseDPDF=Y")</f>
        <v>-1.52E-2</v>
      </c>
      <c r="J73" s="14">
        <f>_xll.BDH("AMGN US Equity","IS_TAX_PROV_BENEFIT_DILUTED_SH","FQ3 2020","FQ3 2020","Currency=USD","Period=FQ","BEST_FPERIOD_OVERRIDE=FQ","FILING_STATUS=MR","Sort=A","Dates=H","DateFormat=P","Fill=—","Direction=H","UseDPDF=Y")</f>
        <v>-9.3399999999999997E-2</v>
      </c>
      <c r="K73" s="14">
        <f>_xll.BDH("AMGN US Equity","IS_TAX_PROV_BENEFIT_DILUTED_SH","FQ4 2020","FQ4 2020","Currency=USD","Period=FQ","BEST_FPERIOD_OVERRIDE=FQ","FILING_STATUS=MR","Sort=A","Dates=H","DateFormat=P","Fill=—","Direction=H","UseDPDF=Y")</f>
        <v>-6.7999999999999996E-3</v>
      </c>
      <c r="L73" s="14">
        <f>_xll.BDH("AMGN US Equity","IS_TAX_PROV_BENEFIT_DILUTED_SH","FQ1 2021","FQ1 2021","Currency=USD","Period=FQ","BEST_FPERIOD_OVERRIDE=FQ","FILING_STATUS=MR","Sort=A","Dates=H","DateFormat=P","Fill=—","Direction=H","UseDPDF=Y")</f>
        <v>-5.1999999999999998E-3</v>
      </c>
      <c r="M73" s="14">
        <f>_xll.BDH("AMGN US Equity","IS_TAX_PROV_BENEFIT_DILUTED_SH","FQ2 2021","FQ2 2021","Currency=USD","Period=FQ","BEST_FPERIOD_OVERRIDE=FQ","FILING_STATUS=MR","Sort=A","Dates=H","DateFormat=P","Fill=—","Direction=H","UseDPDF=Y")</f>
        <v>1.5599999999999999E-2</v>
      </c>
      <c r="N73" s="14">
        <f>_xll.BDH("AMGN US Equity","IS_TAX_PROV_BENEFIT_DILUTED_SH","FQ3 2021","FQ3 2021","Currency=USD","Period=FQ","BEST_FPERIOD_OVERRIDE=FQ","FILING_STATUS=MR","Sort=A","Dates=H","DateFormat=P","Fill=—","Direction=H","UseDPDF=Y")</f>
        <v>-5.0900000000000001E-2</v>
      </c>
      <c r="O73" s="14">
        <f>_xll.BDH("AMGN US Equity","IS_TAX_PROV_BENEFIT_DILUTED_SH","FQ4 2021","FQ4 2021","Currency=USD","Period=FQ","BEST_FPERIOD_OVERRIDE=FQ","FILING_STATUS=MR","Sort=A","Dates=H","DateFormat=P","Fill=—","Direction=H","UseDPDF=Y")</f>
        <v>2.4799999999999999E-2</v>
      </c>
      <c r="P73" s="14">
        <f>_xll.BDH("AMGN US Equity","IS_TAX_PROV_BENEFIT_DILUTED_SH","FQ1 2022","FQ1 2022","Currency=USD","Period=FQ","BEST_FPERIOD_OVERRIDE=FQ","FILING_STATUS=MR","Sort=A","Dates=H","DateFormat=P","Fill=—","Direction=H","UseDPDF=Y")</f>
        <v>7.3000000000000001E-3</v>
      </c>
      <c r="Q73" s="14" t="str">
        <f>_xll.BDH("AMGN US Equity","IS_TAX_PROV_BENEFIT_DILUTED_SH","FQ2 2022","FQ2 2022","Currency=USD","Period=FQ","BEST_FPERIOD_OVERRIDE=FQ","FILING_STATUS=MR","Sort=A","Dates=H","DateFormat=P","Fill=—","Direction=H","UseDPDF=Y")</f>
        <v>—</v>
      </c>
      <c r="R73" s="14">
        <f>_xll.BDH("AMGN US Equity","IS_TAX_PROV_BENEFIT_DILUTED_SH","FQ3 2022","FQ3 2022","Currency=USD","Period=FQ","BEST_FPERIOD_OVERRIDE=FQ","FILING_STATUS=MR","Sort=A","Dates=H","DateFormat=P","Fill=—","Direction=H","UseDPDF=Y")</f>
        <v>-9.2999999999999992E-3</v>
      </c>
      <c r="S73" s="14">
        <f>_xll.BDH("AMGN US Equity","IS_TAX_PROV_BENEFIT_DILUTED_SH","FQ4 2022","FQ4 2022","Currency=USD","Period=FQ","BEST_FPERIOD_OVERRIDE=FQ","FILING_STATUS=MR","Sort=A","Dates=H","DateFormat=P","Fill=—","Direction=H","UseDPDF=Y")</f>
        <v>-8.3500000000000005E-2</v>
      </c>
      <c r="T73" s="14">
        <f>_xll.BDH("AMGN US Equity","IS_TAX_PROV_BENEFIT_DILUTED_SH","FQ1 2023","FQ1 2023","Currency=USD","Period=FQ","BEST_FPERIOD_OVERRIDE=FQ","FILING_STATUS=MR","Sort=A","Dates=H","DateFormat=P","Fill=—","Direction=H","UseDPDF=Y")</f>
        <v>3.5299999999999998E-2</v>
      </c>
      <c r="U73" s="14">
        <f>_xll.BDH("AMGN US Equity","IS_TAX_PROV_BENEFIT_DILUTED_SH","FQ2 2023","FQ2 2023","Currency=USD","Period=FQ","BEST_FPERIOD_OVERRIDE=FQ","FILING_STATUS=MR","Sort=A","Dates=H","DateFormat=P","Fill=—","Direction=H","UseDPDF=Y")</f>
        <v>-3.7000000000000002E-3</v>
      </c>
      <c r="V73" s="14">
        <f>_xll.BDH("AMGN US Equity","IS_TAX_PROV_BENEFIT_DILUTED_SH","FQ3 2023","FQ3 2023","Currency=USD","Period=FQ","BEST_FPERIOD_OVERRIDE=FQ","FILING_STATUS=MR","Sort=A","Dates=H","DateFormat=P","Fill=—","Direction=H","UseDPDF=Y")</f>
        <v>-4.2799999999999998E-2</v>
      </c>
      <c r="W73" s="14">
        <f>_xll.BDH("AMGN US Equity","IS_TAX_PROV_BENEFIT_DILUTED_SH","FQ4 2023","FQ4 2023","Currency=USD","Period=FQ","BEST_FPERIOD_OVERRIDE=FQ","FILING_STATUS=MR","Sort=A","Dates=H","DateFormat=P","Fill=—","Direction=H","UseDPDF=Y")</f>
        <v>-1.2999999999999999E-2</v>
      </c>
      <c r="X73" s="14">
        <f>_xll.BDH("AMGN US Equity","IS_TAX_PROV_BENEFIT_DILUTED_SH","FQ1 2024","FQ1 2024","Currency=USD","Period=FQ","BEST_FPERIOD_OVERRIDE=FQ","FILING_STATUS=MR","Sort=A","Dates=H","DateFormat=P","Fill=—","Direction=H","UseDPDF=Y")</f>
        <v>2.8000000000000001E-2</v>
      </c>
      <c r="Y73" s="14">
        <f>_xll.BDH("AMGN US Equity","IS_TAX_PROV_BENEFIT_DILUTED_SH","FQ2 2024","FQ2 2024","Currency=USD","Period=FQ","BEST_FPERIOD_OVERRIDE=FQ","FILING_STATUS=MR","Sort=A","Dates=H","DateFormat=P","Fill=—","Direction=H","UseDPDF=Y")</f>
        <v>-7.4000000000000003E-3</v>
      </c>
      <c r="Z73" s="14">
        <f>_xll.BDH("AMGN US Equity","IS_TAX_PROV_BENEFIT_DILUTED_SH","FQ3 2024","FQ3 2024","Currency=USD","Period=FQ","BEST_FPERIOD_OVERRIDE=FQ","FILING_STATUS=MR","Sort=A","Dates=H","DateFormat=P","Fill=—","Direction=H","UseDPDF=Y")</f>
        <v>6.0900000000000003E-2</v>
      </c>
      <c r="AA73" s="14">
        <f>_xll.BDH("AMGN US Equity","IS_TAX_PROV_BENEFIT_DILUTED_SH","FQ4 2024","FQ4 2024","Currency=USD","Period=FQ","BEST_FPERIOD_OVERRIDE=FQ","FILING_STATUS=MR","Sort=A","Dates=H","DateFormat=P","Fill=—","Direction=H","UseDPDF=Y")</f>
        <v>0.35420000000000001</v>
      </c>
    </row>
    <row r="74" spans="1:27" x14ac:dyDescent="0.25">
      <c r="A74" s="6" t="s">
        <v>660</v>
      </c>
      <c r="B74" s="6" t="s">
        <v>82</v>
      </c>
      <c r="C74" s="20">
        <f>_xll.BDH("AMGN US Equity","IS_DIL_EPS_CONT_OPS","FQ4 2018","FQ4 2018","Currency=USD","Period=FQ","BEST_FPERIOD_OVERRIDE=FQ","FILING_STATUS=MR","Sort=A","Dates=H","DateFormat=P","Fill=—","Direction=H","UseDPDF=Y")</f>
        <v>3.0352999999999999</v>
      </c>
      <c r="D74" s="20">
        <f>_xll.BDH("AMGN US Equity","IS_DIL_EPS_CONT_OPS","FQ1 2019","FQ1 2019","Currency=USD","Period=FQ","BEST_FPERIOD_OVERRIDE=FQ","FILING_STATUS=MR","Sort=A","Dates=H","DateFormat=P","Fill=—","Direction=H","UseDPDF=Y")</f>
        <v>3.1903000000000001</v>
      </c>
      <c r="E74" s="20">
        <f>_xll.BDH("AMGN US Equity","IS_DIL_EPS_CONT_OPS","FQ2 2019","FQ2 2019","Currency=USD","Period=FQ","BEST_FPERIOD_OVERRIDE=FQ","FILING_STATUS=MR","Sort=A","Dates=H","DateFormat=P","Fill=—","Direction=H","UseDPDF=Y")</f>
        <v>3.5973999999999999</v>
      </c>
      <c r="F74" s="20">
        <f>_xll.BDH("AMGN US Equity","IS_DIL_EPS_CONT_OPS","FQ3 2019","FQ3 2019","Currency=USD","Period=FQ","BEST_FPERIOD_OVERRIDE=FQ","FILING_STATUS=MR","Sort=A","Dates=H","DateFormat=P","Fill=—","Direction=H","UseDPDF=Y")</f>
        <v>3.2833000000000001</v>
      </c>
      <c r="G74" s="20">
        <f>_xll.BDH("AMGN US Equity","IS_DIL_EPS_CONT_OPS","FQ4 2019","FQ4 2019","Currency=USD","Period=FQ","BEST_FPERIOD_OVERRIDE=FQ","FILING_STATUS=MR","Sort=A","Dates=H","DateFormat=P","Fill=—","Direction=H","UseDPDF=Y")</f>
        <v>2.9460000000000002</v>
      </c>
      <c r="H74" s="20">
        <f>_xll.BDH("AMGN US Equity","IS_DIL_EPS_CONT_OPS","FQ1 2020","FQ1 2020","Currency=USD","Period=FQ","BEST_FPERIOD_OVERRIDE=FQ","FILING_STATUS=MR","Sort=A","Dates=H","DateFormat=P","Fill=—","Direction=H","UseDPDF=Y")</f>
        <v>3.105</v>
      </c>
      <c r="I74" s="20">
        <f>_xll.BDH("AMGN US Equity","IS_DIL_EPS_CONT_OPS","FQ2 2020","FQ2 2020","Currency=USD","Period=FQ","BEST_FPERIOD_OVERRIDE=FQ","FILING_STATUS=MR","Sort=A","Dates=H","DateFormat=P","Fill=—","Direction=H","UseDPDF=Y")</f>
        <v>3.1724999999999999</v>
      </c>
      <c r="J74" s="20">
        <f>_xll.BDH("AMGN US Equity","IS_DIL_EPS_CONT_OPS","FQ3 2020","FQ3 2020","Currency=USD","Period=FQ","BEST_FPERIOD_OVERRIDE=FQ","FILING_STATUS=MR","Sort=A","Dates=H","DateFormat=P","Fill=—","Direction=H","UseDPDF=Y")</f>
        <v>4.3620000000000001</v>
      </c>
      <c r="K74" s="20">
        <f>_xll.BDH("AMGN US Equity","IS_DIL_EPS_CONT_OPS","FQ4 2020","FQ4 2020","Currency=USD","Period=FQ","BEST_FPERIOD_OVERRIDE=FQ","FILING_STATUS=MR","Sort=A","Dates=H","DateFormat=P","Fill=—","Direction=H","UseDPDF=Y")</f>
        <v>2.8439000000000001</v>
      </c>
      <c r="L74" s="20">
        <f>_xll.BDH("AMGN US Equity","IS_DIL_EPS_CONT_OPS","FQ1 2021","FQ1 2021","Currency=USD","Period=FQ","BEST_FPERIOD_OVERRIDE=FQ","FILING_STATUS=MR","Sort=A","Dates=H","DateFormat=P","Fill=—","Direction=H","UseDPDF=Y")</f>
        <v>3.6297999999999999</v>
      </c>
      <c r="M74" s="20">
        <f>_xll.BDH("AMGN US Equity","IS_DIL_EPS_CONT_OPS","FQ2 2021","FQ2 2021","Currency=USD","Period=FQ","BEST_FPERIOD_OVERRIDE=FQ","FILING_STATUS=MR","Sort=A","Dates=H","DateFormat=P","Fill=—","Direction=H","UseDPDF=Y")</f>
        <v>4.3186999999999998</v>
      </c>
      <c r="N74" s="20">
        <f>_xll.BDH("AMGN US Equity","IS_DIL_EPS_CONT_OPS","FQ3 2021","FQ3 2021","Currency=USD","Period=FQ","BEST_FPERIOD_OVERRIDE=FQ","FILING_STATUS=MR","Sort=A","Dates=H","DateFormat=P","Fill=—","Direction=H","UseDPDF=Y")</f>
        <v>3.0030999999999999</v>
      </c>
      <c r="O74" s="20">
        <f>_xll.BDH("AMGN US Equity","IS_DIL_EPS_CONT_OPS","FQ4 2021","FQ4 2021","Currency=USD","Period=FQ","BEST_FPERIOD_OVERRIDE=FQ","FILING_STATUS=MR","Sort=A","Dates=H","DateFormat=P","Fill=—","Direction=H","UseDPDF=Y")</f>
        <v>3.2985000000000002</v>
      </c>
      <c r="P74" s="20">
        <f>_xll.BDH("AMGN US Equity","IS_DIL_EPS_CONT_OPS","FQ1 2022","FQ1 2022","Currency=USD","Period=FQ","BEST_FPERIOD_OVERRIDE=FQ","FILING_STATUS=MR","Sort=A","Dates=H","DateFormat=P","Fill=—","Direction=H","UseDPDF=Y")</f>
        <v>4.1835000000000004</v>
      </c>
      <c r="Q74" s="20">
        <f>_xll.BDH("AMGN US Equity","IS_DIL_EPS_CONT_OPS","FQ2 2022","FQ2 2022","Currency=USD","Period=FQ","BEST_FPERIOD_OVERRIDE=FQ","FILING_STATUS=MR","Sort=A","Dates=H","DateFormat=P","Fill=—","Direction=H","UseDPDF=Y")</f>
        <v>4.5666000000000002</v>
      </c>
      <c r="R74" s="20">
        <f>_xll.BDH("AMGN US Equity","IS_DIL_EPS_CONT_OPS","FQ3 2022","FQ3 2022","Currency=USD","Period=FQ","BEST_FPERIOD_OVERRIDE=FQ","FILING_STATUS=MR","Sort=A","Dates=H","DateFormat=P","Fill=—","Direction=H","UseDPDF=Y")</f>
        <v>3.7652000000000001</v>
      </c>
      <c r="S74" s="20">
        <f>_xll.BDH("AMGN US Equity","IS_DIL_EPS_CONT_OPS","FQ4 2022","FQ4 2022","Currency=USD","Period=FQ","BEST_FPERIOD_OVERRIDE=FQ","FILING_STATUS=MR","Sort=A","Dates=H","DateFormat=P","Fill=—","Direction=H","UseDPDF=Y")</f>
        <v>2.8090999999999999</v>
      </c>
      <c r="T74" s="20">
        <f>_xll.BDH("AMGN US Equity","IS_DIL_EPS_CONT_OPS","FQ1 2023","FQ1 2023","Currency=USD","Period=FQ","BEST_FPERIOD_OVERRIDE=FQ","FILING_STATUS=MR","Sort=A","Dates=H","DateFormat=P","Fill=—","Direction=H","UseDPDF=Y")</f>
        <v>3.7614000000000001</v>
      </c>
      <c r="U74" s="20">
        <f>_xll.BDH("AMGN US Equity","IS_DIL_EPS_CONT_OPS","FQ2 2023","FQ2 2023","Currency=USD","Period=FQ","BEST_FPERIOD_OVERRIDE=FQ","FILING_STATUS=MR","Sort=A","Dates=H","DateFormat=P","Fill=—","Direction=H","UseDPDF=Y")</f>
        <v>3.4506999999999999</v>
      </c>
      <c r="V74" s="20">
        <f>_xll.BDH("AMGN US Equity","IS_DIL_EPS_CONT_OPS","FQ3 2023","FQ3 2023","Currency=USD","Period=FQ","BEST_FPERIOD_OVERRIDE=FQ","FILING_STATUS=MR","Sort=A","Dates=H","DateFormat=P","Fill=—","Direction=H","UseDPDF=Y")</f>
        <v>3.8685</v>
      </c>
      <c r="W74" s="20">
        <f>_xll.BDH("AMGN US Equity","IS_DIL_EPS_CONT_OPS","FQ4 2023","FQ4 2023","Currency=USD","Period=FQ","BEST_FPERIOD_OVERRIDE=FQ","FILING_STATUS=MR","Sort=A","Dates=H","DateFormat=P","Fill=—","Direction=H","UseDPDF=Y")</f>
        <v>1.8725000000000001</v>
      </c>
      <c r="X74" s="20">
        <f>_xll.BDH("AMGN US Equity","IS_DIL_EPS_CONT_OPS","FQ1 2024","FQ1 2024","Currency=USD","Period=FQ","BEST_FPERIOD_OVERRIDE=FQ","FILING_STATUS=MR","Sort=A","Dates=H","DateFormat=P","Fill=—","Direction=H","UseDPDF=Y")</f>
        <v>0.80589999999999995</v>
      </c>
      <c r="Y74" s="20">
        <f>_xll.BDH("AMGN US Equity","IS_DIL_EPS_CONT_OPS","FQ2 2024","FQ2 2024","Currency=USD","Period=FQ","BEST_FPERIOD_OVERRIDE=FQ","FILING_STATUS=MR","Sort=A","Dates=H","DateFormat=P","Fill=—","Direction=H","UseDPDF=Y")</f>
        <v>2.2332000000000001</v>
      </c>
      <c r="Z74" s="20">
        <f>_xll.BDH("AMGN US Equity","IS_DIL_EPS_CONT_OPS","FQ3 2024","FQ3 2024","Currency=USD","Period=FQ","BEST_FPERIOD_OVERRIDE=FQ","FILING_STATUS=MR","Sort=A","Dates=H","DateFormat=P","Fill=—","Direction=H","UseDPDF=Y")</f>
        <v>3.7690999999999999</v>
      </c>
      <c r="AA74" s="20">
        <f>_xll.BDH("AMGN US Equity","IS_DIL_EPS_CONT_OPS","FQ4 2024","FQ4 2024","Currency=USD","Period=FQ","BEST_FPERIOD_OVERRIDE=FQ","FILING_STATUS=MR","Sort=A","Dates=H","DateFormat=P","Fill=—","Direction=H","UseDPDF=Y")</f>
        <v>2.415</v>
      </c>
    </row>
    <row r="75" spans="1:27" x14ac:dyDescent="0.25">
      <c r="A75" s="7" t="s">
        <v>90</v>
      </c>
      <c r="B75" s="7"/>
      <c r="C75" s="7" t="s">
        <v>5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36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661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10" t="s">
        <v>648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25">
      <c r="A7" s="10" t="s">
        <v>662</v>
      </c>
      <c r="B7" s="10" t="s">
        <v>663</v>
      </c>
      <c r="C7" s="14">
        <f>_xll.BDH("AMGN US Equity","BASIC_EPS_EX_STK_BASED_COMP","FQ4 2018","FQ4 2018","Currency=USD","Period=FQ","BEST_FPERIOD_OVERRIDE=FQ","FILING_STATUS=MR","Sort=A","Dates=H","DateFormat=P","Fill=—","Direction=H","UseDPDF=Y")</f>
        <v>3.1699000000000002</v>
      </c>
      <c r="D7" s="14" t="str">
        <f>_xll.BDH("AMGN US Equity","BASIC_EPS_EX_STK_BASED_COMP","FQ1 2019","FQ1 2019","Currency=USD","Period=FQ","BEST_FPERIOD_OVERRIDE=FQ","FILING_STATUS=MR","Sort=A","Dates=H","DateFormat=P","Fill=—","Direction=H","UseDPDF=Y")</f>
        <v>—</v>
      </c>
      <c r="E7" s="14" t="str">
        <f>_xll.BDH("AMGN US Equity","BASIC_EPS_EX_STK_BASED_COMP","FQ2 2019","FQ2 2019","Currency=USD","Period=FQ","BEST_FPERIOD_OVERRIDE=FQ","FILING_STATUS=MR","Sort=A","Dates=H","DateFormat=P","Fill=—","Direction=H","UseDPDF=Y")</f>
        <v>—</v>
      </c>
      <c r="F7" s="14" t="str">
        <f>_xll.BDH("AMGN US Equity","BASIC_EPS_EX_STK_BASED_COMP","FQ3 2019","FQ3 2019","Currency=USD","Period=FQ","BEST_FPERIOD_OVERRIDE=FQ","FILING_STATUS=MR","Sort=A","Dates=H","DateFormat=P","Fill=—","Direction=H","UseDPDF=Y")</f>
        <v>—</v>
      </c>
      <c r="G7" s="14" t="str">
        <f>_xll.BDH("AMGN US Equity","BASIC_EPS_EX_STK_BASED_COMP","FQ4 2019","FQ4 2019","Currency=USD","Period=FQ","BEST_FPERIOD_OVERRIDE=FQ","FILING_STATUS=MR","Sort=A","Dates=H","DateFormat=P","Fill=—","Direction=H","UseDPDF=Y")</f>
        <v>—</v>
      </c>
      <c r="H7" s="14" t="str">
        <f>_xll.BDH("AMGN US Equity","BASIC_EPS_EX_STK_BASED_COMP","FQ1 2020","FQ1 2020","Currency=USD","Period=FQ","BEST_FPERIOD_OVERRIDE=FQ","FILING_STATUS=MR","Sort=A","Dates=H","DateFormat=P","Fill=—","Direction=H","UseDPDF=Y")</f>
        <v>—</v>
      </c>
      <c r="I7" s="14" t="str">
        <f>_xll.BDH("AMGN US Equity","BASIC_EPS_EX_STK_BASED_COMP","FQ2 2020","FQ2 2020","Currency=USD","Period=FQ","BEST_FPERIOD_OVERRIDE=FQ","FILING_STATUS=MR","Sort=A","Dates=H","DateFormat=P","Fill=—","Direction=H","UseDPDF=Y")</f>
        <v>—</v>
      </c>
      <c r="J7" s="14" t="str">
        <f>_xll.BDH("AMGN US Equity","BASIC_EPS_EX_STK_BASED_COMP","FQ3 2020","FQ3 2020","Currency=USD","Period=FQ","BEST_FPERIOD_OVERRIDE=FQ","FILING_STATUS=MR","Sort=A","Dates=H","DateFormat=P","Fill=—","Direction=H","UseDPDF=Y")</f>
        <v>—</v>
      </c>
      <c r="K7" s="14" t="str">
        <f>_xll.BDH("AMGN US Equity","BASIC_EPS_EX_STK_BASED_COMP","FQ4 2020","FQ4 2020","Currency=USD","Period=FQ","BEST_FPERIOD_OVERRIDE=FQ","FILING_STATUS=MR","Sort=A","Dates=H","DateFormat=P","Fill=—","Direction=H","UseDPDF=Y")</f>
        <v>—</v>
      </c>
      <c r="L7" s="14" t="str">
        <f>_xll.BDH("AMGN US Equity","BASIC_EPS_EX_STK_BASED_COMP","FQ1 2021","FQ1 2021","Currency=USD","Period=FQ","BEST_FPERIOD_OVERRIDE=FQ","FILING_STATUS=MR","Sort=A","Dates=H","DateFormat=P","Fill=—","Direction=H","UseDPDF=Y")</f>
        <v>—</v>
      </c>
      <c r="M7" s="14" t="str">
        <f>_xll.BDH("AMGN US Equity","BASIC_EPS_EX_STK_BASED_COMP","FQ2 2021","FQ2 2021","Currency=USD","Period=FQ","BEST_FPERIOD_OVERRIDE=FQ","FILING_STATUS=MR","Sort=A","Dates=H","DateFormat=P","Fill=—","Direction=H","UseDPDF=Y")</f>
        <v>—</v>
      </c>
      <c r="N7" s="14" t="str">
        <f>_xll.BDH("AMGN US Equity","BASIC_EPS_EX_STK_BASED_COMP","FQ3 2021","FQ3 2021","Currency=USD","Period=FQ","BEST_FPERIOD_OVERRIDE=FQ","FILING_STATUS=MR","Sort=A","Dates=H","DateFormat=P","Fill=—","Direction=H","UseDPDF=Y")</f>
        <v>—</v>
      </c>
      <c r="O7" s="14" t="str">
        <f>_xll.BDH("AMGN US Equity","BASIC_EPS_EX_STK_BASED_COMP","FQ4 2021","FQ4 2021","Currency=USD","Period=FQ","BEST_FPERIOD_OVERRIDE=FQ","FILING_STATUS=MR","Sort=A","Dates=H","DateFormat=P","Fill=—","Direction=H","UseDPDF=Y")</f>
        <v>—</v>
      </c>
      <c r="P7" s="14" t="str">
        <f>_xll.BDH("AMGN US Equity","BASIC_EPS_EX_STK_BASED_COMP","FQ1 2022","FQ1 2022","Currency=USD","Period=FQ","BEST_FPERIOD_OVERRIDE=FQ","FILING_STATUS=MR","Sort=A","Dates=H","DateFormat=P","Fill=—","Direction=H","UseDPDF=Y")</f>
        <v>—</v>
      </c>
      <c r="Q7" s="14" t="str">
        <f>_xll.BDH("AMGN US Equity","BASIC_EPS_EX_STK_BASED_COMP","FQ2 2022","FQ2 2022","Currency=USD","Period=FQ","BEST_FPERIOD_OVERRIDE=FQ","FILING_STATUS=MR","Sort=A","Dates=H","DateFormat=P","Fill=—","Direction=H","UseDPDF=Y")</f>
        <v>—</v>
      </c>
      <c r="R7" s="14" t="str">
        <f>_xll.BDH("AMGN US Equity","BASIC_EPS_EX_STK_BASED_COMP","FQ3 2022","FQ3 2022","Currency=USD","Period=FQ","BEST_FPERIOD_OVERRIDE=FQ","FILING_STATUS=MR","Sort=A","Dates=H","DateFormat=P","Fill=—","Direction=H","UseDPDF=Y")</f>
        <v>—</v>
      </c>
      <c r="S7" s="14">
        <f>_xll.BDH("AMGN US Equity","BASIC_EPS_EX_STK_BASED_COMP","FQ4 2022","FQ4 2022","Currency=USD","Period=FQ","BEST_FPERIOD_OVERRIDE=FQ","FILING_STATUS=MR","Sort=A","Dates=H","DateFormat=P","Fill=—","Direction=H","UseDPDF=Y")</f>
        <v>2.9493</v>
      </c>
      <c r="T7" s="14" t="str">
        <f>_xll.BDH("AMGN US Equity","BASIC_EPS_EX_STK_BASED_COMP","FQ1 2023","FQ1 2023","Currency=USD","Period=FQ","BEST_FPERIOD_OVERRIDE=FQ","FILING_STATUS=MR","Sort=A","Dates=H","DateFormat=P","Fill=—","Direction=H","UseDPDF=Y")</f>
        <v>—</v>
      </c>
      <c r="U7" s="14" t="str">
        <f>_xll.BDH("AMGN US Equity","BASIC_EPS_EX_STK_BASED_COMP","FQ2 2023","FQ2 2023","Currency=USD","Period=FQ","BEST_FPERIOD_OVERRIDE=FQ","FILING_STATUS=MR","Sort=A","Dates=H","DateFormat=P","Fill=—","Direction=H","UseDPDF=Y")</f>
        <v>—</v>
      </c>
      <c r="V7" s="14" t="str">
        <f>_xll.BDH("AMGN US Equity","BASIC_EPS_EX_STK_BASED_COMP","FQ3 2023","FQ3 2023","Currency=USD","Period=FQ","BEST_FPERIOD_OVERRIDE=FQ","FILING_STATUS=MR","Sort=A","Dates=H","DateFormat=P","Fill=—","Direction=H","UseDPDF=Y")</f>
        <v>—</v>
      </c>
      <c r="W7" s="14" t="str">
        <f>_xll.BDH("AMGN US Equity","BASIC_EPS_EX_STK_BASED_COMP","FQ4 2023","FQ4 2023","Currency=USD","Period=FQ","BEST_FPERIOD_OVERRIDE=FQ","FILING_STATUS=MR","Sort=A","Dates=H","DateFormat=P","Fill=—","Direction=H","UseDPDF=Y")</f>
        <v>—</v>
      </c>
      <c r="X7" s="14">
        <f>_xll.BDH("AMGN US Equity","BASIC_EPS_EX_STK_BASED_COMP","FQ1 2024","FQ1 2024","Currency=USD","Period=FQ","BEST_FPERIOD_OVERRIDE=FQ","FILING_STATUS=MR","Sort=A","Dates=H","DateFormat=P","Fill=—","Direction=H","UseDPDF=Y")</f>
        <v>0.95779999999999998</v>
      </c>
      <c r="Y7" s="14">
        <f>_xll.BDH("AMGN US Equity","BASIC_EPS_EX_STK_BASED_COMP","FQ2 2024","FQ2 2024","Currency=USD","Period=FQ","BEST_FPERIOD_OVERRIDE=FQ","FILING_STATUS=MR","Sort=A","Dates=H","DateFormat=P","Fill=—","Direction=H","UseDPDF=Y")</f>
        <v>2.6313</v>
      </c>
      <c r="Z7" s="14">
        <f>_xll.BDH("AMGN US Equity","BASIC_EPS_EX_STK_BASED_COMP","FQ3 2024","FQ3 2024","Currency=USD","Period=FQ","BEST_FPERIOD_OVERRIDE=FQ","FILING_STATUS=MR","Sort=A","Dates=H","DateFormat=P","Fill=—","Direction=H","UseDPDF=Y")</f>
        <v>4.0057</v>
      </c>
      <c r="AA7" s="14">
        <f>_xll.BDH("AMGN US Equity","BASIC_EPS_EX_STK_BASED_COMP","FQ4 2024","FQ4 2024","Currency=USD","Period=FQ","BEST_FPERIOD_OVERRIDE=FQ","FILING_STATUS=MR","Sort=A","Dates=H","DateFormat=P","Fill=—","Direction=H","UseDPDF=Y")</f>
        <v>2.6314000000000002</v>
      </c>
    </row>
    <row r="8" spans="1:27" x14ac:dyDescent="0.25">
      <c r="A8" s="10" t="s">
        <v>664</v>
      </c>
      <c r="B8" s="10" t="s">
        <v>665</v>
      </c>
      <c r="C8" s="14">
        <f>_xll.BDH("AMGN US Equity","DILUTED_EPS_EX_STK_BASED_COMP","FQ4 2018","FQ4 2018","Currency=USD","Period=FQ","BEST_FPERIOD_OVERRIDE=FQ","FILING_STATUS=MR","Sort=A","Dates=H","DateFormat=P","Fill=—","Direction=H","UseDPDF=Y")</f>
        <v>3.1427</v>
      </c>
      <c r="D8" s="14" t="str">
        <f>_xll.BDH("AMGN US Equity","DILUTED_EPS_EX_STK_BASED_COMP","FQ1 2019","FQ1 2019","Currency=USD","Period=FQ","BEST_FPERIOD_OVERRIDE=FQ","FILING_STATUS=MR","Sort=A","Dates=H","DateFormat=P","Fill=—","Direction=H","UseDPDF=Y")</f>
        <v>—</v>
      </c>
      <c r="E8" s="14" t="str">
        <f>_xll.BDH("AMGN US Equity","DILUTED_EPS_EX_STK_BASED_COMP","FQ2 2019","FQ2 2019","Currency=USD","Period=FQ","BEST_FPERIOD_OVERRIDE=FQ","FILING_STATUS=MR","Sort=A","Dates=H","DateFormat=P","Fill=—","Direction=H","UseDPDF=Y")</f>
        <v>—</v>
      </c>
      <c r="F8" s="14" t="str">
        <f>_xll.BDH("AMGN US Equity","DILUTED_EPS_EX_STK_BASED_COMP","FQ3 2019","FQ3 2019","Currency=USD","Period=FQ","BEST_FPERIOD_OVERRIDE=FQ","FILING_STATUS=MR","Sort=A","Dates=H","DateFormat=P","Fill=—","Direction=H","UseDPDF=Y")</f>
        <v>—</v>
      </c>
      <c r="G8" s="14" t="str">
        <f>_xll.BDH("AMGN US Equity","DILUTED_EPS_EX_STK_BASED_COMP","FQ4 2019","FQ4 2019","Currency=USD","Period=FQ","BEST_FPERIOD_OVERRIDE=FQ","FILING_STATUS=MR","Sort=A","Dates=H","DateFormat=P","Fill=—","Direction=H","UseDPDF=Y")</f>
        <v>—</v>
      </c>
      <c r="H8" s="14" t="str">
        <f>_xll.BDH("AMGN US Equity","DILUTED_EPS_EX_STK_BASED_COMP","FQ1 2020","FQ1 2020","Currency=USD","Period=FQ","BEST_FPERIOD_OVERRIDE=FQ","FILING_STATUS=MR","Sort=A","Dates=H","DateFormat=P","Fill=—","Direction=H","UseDPDF=Y")</f>
        <v>—</v>
      </c>
      <c r="I8" s="14" t="str">
        <f>_xll.BDH("AMGN US Equity","DILUTED_EPS_EX_STK_BASED_COMP","FQ2 2020","FQ2 2020","Currency=USD","Period=FQ","BEST_FPERIOD_OVERRIDE=FQ","FILING_STATUS=MR","Sort=A","Dates=H","DateFormat=P","Fill=—","Direction=H","UseDPDF=Y")</f>
        <v>—</v>
      </c>
      <c r="J8" s="14" t="str">
        <f>_xll.BDH("AMGN US Equity","DILUTED_EPS_EX_STK_BASED_COMP","FQ3 2020","FQ3 2020","Currency=USD","Period=FQ","BEST_FPERIOD_OVERRIDE=FQ","FILING_STATUS=MR","Sort=A","Dates=H","DateFormat=P","Fill=—","Direction=H","UseDPDF=Y")</f>
        <v>—</v>
      </c>
      <c r="K8" s="14" t="str">
        <f>_xll.BDH("AMGN US Equity","DILUTED_EPS_EX_STK_BASED_COMP","FQ4 2020","FQ4 2020","Currency=USD","Period=FQ","BEST_FPERIOD_OVERRIDE=FQ","FILING_STATUS=MR","Sort=A","Dates=H","DateFormat=P","Fill=—","Direction=H","UseDPDF=Y")</f>
        <v>—</v>
      </c>
      <c r="L8" s="14" t="str">
        <f>_xll.BDH("AMGN US Equity","DILUTED_EPS_EX_STK_BASED_COMP","FQ1 2021","FQ1 2021","Currency=USD","Period=FQ","BEST_FPERIOD_OVERRIDE=FQ","FILING_STATUS=MR","Sort=A","Dates=H","DateFormat=P","Fill=—","Direction=H","UseDPDF=Y")</f>
        <v>—</v>
      </c>
      <c r="M8" s="14" t="str">
        <f>_xll.BDH("AMGN US Equity","DILUTED_EPS_EX_STK_BASED_COMP","FQ2 2021","FQ2 2021","Currency=USD","Period=FQ","BEST_FPERIOD_OVERRIDE=FQ","FILING_STATUS=MR","Sort=A","Dates=H","DateFormat=P","Fill=—","Direction=H","UseDPDF=Y")</f>
        <v>—</v>
      </c>
      <c r="N8" s="14" t="str">
        <f>_xll.BDH("AMGN US Equity","DILUTED_EPS_EX_STK_BASED_COMP","FQ3 2021","FQ3 2021","Currency=USD","Period=FQ","BEST_FPERIOD_OVERRIDE=FQ","FILING_STATUS=MR","Sort=A","Dates=H","DateFormat=P","Fill=—","Direction=H","UseDPDF=Y")</f>
        <v>—</v>
      </c>
      <c r="O8" s="14" t="str">
        <f>_xll.BDH("AMGN US Equity","DILUTED_EPS_EX_STK_BASED_COMP","FQ4 2021","FQ4 2021","Currency=USD","Period=FQ","BEST_FPERIOD_OVERRIDE=FQ","FILING_STATUS=MR","Sort=A","Dates=H","DateFormat=P","Fill=—","Direction=H","UseDPDF=Y")</f>
        <v>—</v>
      </c>
      <c r="P8" s="14" t="str">
        <f>_xll.BDH("AMGN US Equity","DILUTED_EPS_EX_STK_BASED_COMP","FQ1 2022","FQ1 2022","Currency=USD","Period=FQ","BEST_FPERIOD_OVERRIDE=FQ","FILING_STATUS=MR","Sort=A","Dates=H","DateFormat=P","Fill=—","Direction=H","UseDPDF=Y")</f>
        <v>—</v>
      </c>
      <c r="Q8" s="14" t="str">
        <f>_xll.BDH("AMGN US Equity","DILUTED_EPS_EX_STK_BASED_COMP","FQ2 2022","FQ2 2022","Currency=USD","Period=FQ","BEST_FPERIOD_OVERRIDE=FQ","FILING_STATUS=MR","Sort=A","Dates=H","DateFormat=P","Fill=—","Direction=H","UseDPDF=Y")</f>
        <v>—</v>
      </c>
      <c r="R8" s="14" t="str">
        <f>_xll.BDH("AMGN US Equity","DILUTED_EPS_EX_STK_BASED_COMP","FQ3 2022","FQ3 2022","Currency=USD","Period=FQ","BEST_FPERIOD_OVERRIDE=FQ","FILING_STATUS=MR","Sort=A","Dates=H","DateFormat=P","Fill=—","Direction=H","UseDPDF=Y")</f>
        <v>—</v>
      </c>
      <c r="S8" s="14">
        <f>_xll.BDH("AMGN US Equity","DILUTED_EPS_EX_STK_BASED_COMP","FQ4 2022","FQ4 2022","Currency=USD","Period=FQ","BEST_FPERIOD_OVERRIDE=FQ","FILING_STATUS=MR","Sort=A","Dates=H","DateFormat=P","Fill=—","Direction=H","UseDPDF=Y")</f>
        <v>2.9291999999999998</v>
      </c>
      <c r="T8" s="14" t="str">
        <f>_xll.BDH("AMGN US Equity","DILUTED_EPS_EX_STK_BASED_COMP","FQ1 2023","FQ1 2023","Currency=USD","Period=FQ","BEST_FPERIOD_OVERRIDE=FQ","FILING_STATUS=MR","Sort=A","Dates=H","DateFormat=P","Fill=—","Direction=H","UseDPDF=Y")</f>
        <v>—</v>
      </c>
      <c r="U8" s="14" t="str">
        <f>_xll.BDH("AMGN US Equity","DILUTED_EPS_EX_STK_BASED_COMP","FQ2 2023","FQ2 2023","Currency=USD","Period=FQ","BEST_FPERIOD_OVERRIDE=FQ","FILING_STATUS=MR","Sort=A","Dates=H","DateFormat=P","Fill=—","Direction=H","UseDPDF=Y")</f>
        <v>—</v>
      </c>
      <c r="V8" s="14" t="str">
        <f>_xll.BDH("AMGN US Equity","DILUTED_EPS_EX_STK_BASED_COMP","FQ3 2023","FQ3 2023","Currency=USD","Period=FQ","BEST_FPERIOD_OVERRIDE=FQ","FILING_STATUS=MR","Sort=A","Dates=H","DateFormat=P","Fill=—","Direction=H","UseDPDF=Y")</f>
        <v>—</v>
      </c>
      <c r="W8" s="14" t="str">
        <f>_xll.BDH("AMGN US Equity","DILUTED_EPS_EX_STK_BASED_COMP","FQ4 2023","FQ4 2023","Currency=USD","Period=FQ","BEST_FPERIOD_OVERRIDE=FQ","FILING_STATUS=MR","Sort=A","Dates=H","DateFormat=P","Fill=—","Direction=H","UseDPDF=Y")</f>
        <v>—</v>
      </c>
      <c r="X8" s="14">
        <f>_xll.BDH("AMGN US Equity","DILUTED_EPS_EX_STK_BASED_COMP","FQ1 2024","FQ1 2024","Currency=USD","Period=FQ","BEST_FPERIOD_OVERRIDE=FQ","FILING_STATUS=MR","Sort=A","Dates=H","DateFormat=P","Fill=—","Direction=H","UseDPDF=Y")</f>
        <v>0.95779999999999998</v>
      </c>
      <c r="Y8" s="14">
        <f>_xll.BDH("AMGN US Equity","DILUTED_EPS_EX_STK_BASED_COMP","FQ2 2024","FQ2 2024","Currency=USD","Period=FQ","BEST_FPERIOD_OVERRIDE=FQ","FILING_STATUS=MR","Sort=A","Dates=H","DateFormat=P","Fill=—","Direction=H","UseDPDF=Y")</f>
        <v>2.6128999999999998</v>
      </c>
      <c r="Z8" s="14">
        <f>_xll.BDH("AMGN US Equity","DILUTED_EPS_EX_STK_BASED_COMP","FQ3 2024","FQ3 2024","Currency=USD","Period=FQ","BEST_FPERIOD_OVERRIDE=FQ","FILING_STATUS=MR","Sort=A","Dates=H","DateFormat=P","Fill=—","Direction=H","UseDPDF=Y")</f>
        <v>3.9672999999999998</v>
      </c>
      <c r="AA8" s="14">
        <f>_xll.BDH("AMGN US Equity","DILUTED_EPS_EX_STK_BASED_COMP","FQ4 2024","FQ4 2024","Currency=USD","Period=FQ","BEST_FPERIOD_OVERRIDE=FQ","FILING_STATUS=MR","Sort=A","Dates=H","DateFormat=P","Fill=—","Direction=H","UseDPDF=Y")</f>
        <v>2.6103000000000001</v>
      </c>
    </row>
    <row r="9" spans="1:27" x14ac:dyDescent="0.25">
      <c r="A9" s="10" t="s">
        <v>666</v>
      </c>
      <c r="B9" s="10" t="s">
        <v>667</v>
      </c>
      <c r="C9" s="14">
        <f>_xll.BDH("AMGN US Equity","ADJ_EPS_EX_AMORT_TOT_INTANG_BAS","FQ4 2018","FQ4 2018","Currency=USD","Period=FQ","BEST_FPERIOD_OVERRIDE=FQ","FILING_STATUS=MR","Sort=A","Dates=H","DateFormat=P","Fill=—","Direction=H","UseDPDF=Y")</f>
        <v>3.4424999999999999</v>
      </c>
      <c r="D9" s="14">
        <f>_xll.BDH("AMGN US Equity","ADJ_EPS_EX_AMORT_TOT_INTANG_BAS","FQ1 2019","FQ1 2019","Currency=USD","Period=FQ","BEST_FPERIOD_OVERRIDE=FQ","FILING_STATUS=MR","Sort=A","Dates=H","DateFormat=P","Fill=—","Direction=H","UseDPDF=Y")</f>
        <v>3.5851999999999999</v>
      </c>
      <c r="E9" s="14">
        <f>_xll.BDH("AMGN US Equity","ADJ_EPS_EX_AMORT_TOT_INTANG_BAS","FQ2 2019","FQ2 2019","Currency=USD","Period=FQ","BEST_FPERIOD_OVERRIDE=FQ","FILING_STATUS=MR","Sort=A","Dates=H","DateFormat=P","Fill=—","Direction=H","UseDPDF=Y")</f>
        <v>3.9933999999999998</v>
      </c>
      <c r="F9" s="14">
        <f>_xll.BDH("AMGN US Equity","ADJ_EPS_EX_AMORT_TOT_INTANG_BAS","FQ3 2019","FQ3 2019","Currency=USD","Period=FQ","BEST_FPERIOD_OVERRIDE=FQ","FILING_STATUS=MR","Sort=A","Dates=H","DateFormat=P","Fill=—","Direction=H","UseDPDF=Y")</f>
        <v>3.6745000000000001</v>
      </c>
      <c r="G9" s="14">
        <f>_xll.BDH("AMGN US Equity","ADJ_EPS_EX_AMORT_TOT_INTANG_BAS","FQ4 2019","FQ4 2019","Currency=USD","Period=FQ","BEST_FPERIOD_OVERRIDE=FQ","FILING_STATUS=MR","Sort=A","Dates=H","DateFormat=P","Fill=—","Direction=H","UseDPDF=Y")</f>
        <v>3.6661000000000001</v>
      </c>
      <c r="H9" s="14">
        <f>_xll.BDH("AMGN US Equity","ADJ_EPS_EX_AMORT_TOT_INTANG_BAS","FQ1 2020","FQ1 2020","Currency=USD","Period=FQ","BEST_FPERIOD_OVERRIDE=FQ","FILING_STATUS=MR","Sort=A","Dates=H","DateFormat=P","Fill=—","Direction=H","UseDPDF=Y")</f>
        <v>4.1967999999999996</v>
      </c>
      <c r="I9" s="14">
        <f>_xll.BDH("AMGN US Equity","ADJ_EPS_EX_AMORT_TOT_INTANG_BAS","FQ2 2020","FQ2 2020","Currency=USD","Period=FQ","BEST_FPERIOD_OVERRIDE=FQ","FILING_STATUS=MR","Sort=A","Dates=H","DateFormat=P","Fill=—","Direction=H","UseDPDF=Y")</f>
        <v>4.2823000000000002</v>
      </c>
      <c r="J9" s="14">
        <f>_xll.BDH("AMGN US Equity","ADJ_EPS_EX_AMORT_TOT_INTANG_BAS","FQ3 2020","FQ3 2020","Currency=USD","Period=FQ","BEST_FPERIOD_OVERRIDE=FQ","FILING_STATUS=MR","Sort=A","Dates=H","DateFormat=P","Fill=—","Direction=H","UseDPDF=Y")</f>
        <v>5.3734999999999999</v>
      </c>
      <c r="K9" s="14">
        <f>_xll.BDH("AMGN US Equity","ADJ_EPS_EX_AMORT_TOT_INTANG_BAS","FQ4 2020","FQ4 2020","Currency=USD","Period=FQ","BEST_FPERIOD_OVERRIDE=FQ","FILING_STATUS=MR","Sort=A","Dates=H","DateFormat=P","Fill=—","Direction=H","UseDPDF=Y")</f>
        <v>3.8365</v>
      </c>
      <c r="L9" s="14">
        <f>_xll.BDH("AMGN US Equity","ADJ_EPS_EX_AMORT_TOT_INTANG_BAS","FQ1 2021","FQ1 2021","Currency=USD","Period=FQ","BEST_FPERIOD_OVERRIDE=FQ","FILING_STATUS=MR","Sort=A","Dates=H","DateFormat=P","Fill=—","Direction=H","UseDPDF=Y")</f>
        <v>4.5808999999999997</v>
      </c>
      <c r="M9" s="14">
        <f>_xll.BDH("AMGN US Equity","ADJ_EPS_EX_AMORT_TOT_INTANG_BAS","FQ2 2021","FQ2 2021","Currency=USD","Period=FQ","BEST_FPERIOD_OVERRIDE=FQ","FILING_STATUS=MR","Sort=A","Dates=H","DateFormat=P","Fill=—","Direction=H","UseDPDF=Y")</f>
        <v>5.2854000000000001</v>
      </c>
      <c r="N9" s="14">
        <f>_xll.BDH("AMGN US Equity","ADJ_EPS_EX_AMORT_TOT_INTANG_BAS","FQ3 2021","FQ3 2021","Currency=USD","Period=FQ","BEST_FPERIOD_OVERRIDE=FQ","FILING_STATUS=MR","Sort=A","Dates=H","DateFormat=P","Fill=—","Direction=H","UseDPDF=Y")</f>
        <v>4.0297000000000001</v>
      </c>
      <c r="O9" s="14">
        <f>_xll.BDH("AMGN US Equity","ADJ_EPS_EX_AMORT_TOT_INTANG_BAS","FQ4 2021","FQ4 2021","Currency=USD","Period=FQ","BEST_FPERIOD_OVERRIDE=FQ","FILING_STATUS=MR","Sort=A","Dates=H","DateFormat=P","Fill=—","Direction=H","UseDPDF=Y")</f>
        <v>4.3117000000000001</v>
      </c>
      <c r="P9" s="14">
        <f>_xll.BDH("AMGN US Equity","ADJ_EPS_EX_AMORT_TOT_INTANG_BAS","FQ1 2022","FQ1 2022","Currency=USD","Period=FQ","BEST_FPERIOD_OVERRIDE=FQ","FILING_STATUS=MR","Sort=A","Dates=H","DateFormat=P","Fill=—","Direction=H","UseDPDF=Y")</f>
        <v>5.1421999999999999</v>
      </c>
      <c r="Q9" s="14">
        <f>_xll.BDH("AMGN US Equity","ADJ_EPS_EX_AMORT_TOT_INTANG_BAS","FQ2 2022","FQ2 2022","Currency=USD","Period=FQ","BEST_FPERIOD_OVERRIDE=FQ","FILING_STATUS=MR","Sort=A","Dates=H","DateFormat=P","Fill=—","Direction=H","UseDPDF=Y")</f>
        <v>5.4972000000000003</v>
      </c>
      <c r="R9" s="14">
        <f>_xll.BDH("AMGN US Equity","ADJ_EPS_EX_AMORT_TOT_INTANG_BAS","FQ3 2022","FQ3 2022","Currency=USD","Period=FQ","BEST_FPERIOD_OVERRIDE=FQ","FILING_STATUS=MR","Sort=A","Dates=H","DateFormat=P","Fill=—","Direction=H","UseDPDF=Y")</f>
        <v>4.6619999999999999</v>
      </c>
      <c r="S9" s="14">
        <f>_xll.BDH("AMGN US Equity","ADJ_EPS_EX_AMORT_TOT_INTANG_BAS","FQ4 2022","FQ4 2022","Currency=USD","Period=FQ","BEST_FPERIOD_OVERRIDE=FQ","FILING_STATUS=MR","Sort=A","Dates=H","DateFormat=P","Fill=—","Direction=H","UseDPDF=Y")</f>
        <v>4.0339</v>
      </c>
      <c r="T9" s="14">
        <f>_xll.BDH("AMGN US Equity","ADJ_EPS_EX_AMORT_TOT_INTANG_BAS","FQ1 2023","FQ1 2023","Currency=USD","Period=FQ","BEST_FPERIOD_OVERRIDE=FQ","FILING_STATUS=MR","Sort=A","Dates=H","DateFormat=P","Fill=—","Direction=H","UseDPDF=Y")</f>
        <v>4.9028</v>
      </c>
      <c r="U9" s="14">
        <f>_xll.BDH("AMGN US Equity","ADJ_EPS_EX_AMORT_TOT_INTANG_BAS","FQ2 2023","FQ2 2023","Currency=USD","Period=FQ","BEST_FPERIOD_OVERRIDE=FQ","FILING_STATUS=MR","Sort=A","Dates=H","DateFormat=P","Fill=—","Direction=H","UseDPDF=Y")</f>
        <v>4.5425000000000004</v>
      </c>
      <c r="V9" s="14">
        <f>_xll.BDH("AMGN US Equity","ADJ_EPS_EX_AMORT_TOT_INTANG_BAS","FQ3 2023","FQ3 2023","Currency=USD","Period=FQ","BEST_FPERIOD_OVERRIDE=FQ","FILING_STATUS=MR","Sort=A","Dates=H","DateFormat=P","Fill=—","Direction=H","UseDPDF=Y")</f>
        <v>4.8280000000000003</v>
      </c>
      <c r="W9" s="14">
        <f>_xll.BDH("AMGN US Equity","ADJ_EPS_EX_AMORT_TOT_INTANG_BAS","FQ4 2023","FQ4 2023","Currency=USD","Period=FQ","BEST_FPERIOD_OVERRIDE=FQ","FILING_STATUS=MR","Sort=A","Dates=H","DateFormat=P","Fill=—","Direction=H","UseDPDF=Y")</f>
        <v>4.7125000000000004</v>
      </c>
      <c r="X9" s="14">
        <f>_xll.BDH("AMGN US Equity","ADJ_EPS_EX_AMORT_TOT_INTANG_BAS","FQ1 2024","FQ1 2024","Currency=USD","Period=FQ","BEST_FPERIOD_OVERRIDE=FQ","FILING_STATUS=MR","Sort=A","Dates=H","DateFormat=P","Fill=—","Direction=H","UseDPDF=Y")</f>
        <v>3.7271999999999998</v>
      </c>
      <c r="Y9" s="14">
        <f>_xll.BDH("AMGN US Equity","ADJ_EPS_EX_AMORT_TOT_INTANG_BAS","FQ2 2024","FQ2 2024","Currency=USD","Period=FQ","BEST_FPERIOD_OVERRIDE=FQ","FILING_STATUS=MR","Sort=A","Dates=H","DateFormat=P","Fill=—","Direction=H","UseDPDF=Y")</f>
        <v>5.1219000000000001</v>
      </c>
      <c r="Z9" s="14">
        <f>_xll.BDH("AMGN US Equity","ADJ_EPS_EX_AMORT_TOT_INTANG_BAS","FQ3 2024","FQ3 2024","Currency=USD","Period=FQ","BEST_FPERIOD_OVERRIDE=FQ","FILING_STATUS=MR","Sort=A","Dates=H","DateFormat=P","Fill=—","Direction=H","UseDPDF=Y")</f>
        <v>6.6390000000000002</v>
      </c>
      <c r="AA9" s="14">
        <f>_xll.BDH("AMGN US Equity","ADJ_EPS_EX_AMORT_TOT_INTANG_BAS","FQ4 2024","FQ4 2024","Currency=USD","Period=FQ","BEST_FPERIOD_OVERRIDE=FQ","FILING_STATUS=MR","Sort=A","Dates=H","DateFormat=P","Fill=—","Direction=H","UseDPDF=Y")</f>
        <v>2.8174999999999999</v>
      </c>
    </row>
    <row r="10" spans="1:27" x14ac:dyDescent="0.25">
      <c r="A10" s="10" t="s">
        <v>668</v>
      </c>
      <c r="B10" s="10" t="s">
        <v>669</v>
      </c>
      <c r="C10" s="14">
        <f>_xll.BDH("AMGN US Equity","ADJ_EPS_EX_AMORT_TOT_INTANG_DIL","FQ4 2018","FQ4 2018","Currency=USD","Period=FQ","BEST_FPERIOD_OVERRIDE=FQ","FILING_STATUS=MR","Sort=A","Dates=H","DateFormat=P","Fill=—","Direction=H","UseDPDF=Y")</f>
        <v>3.4131</v>
      </c>
      <c r="D10" s="14">
        <f>_xll.BDH("AMGN US Equity","ADJ_EPS_EX_AMORT_TOT_INTANG_DIL","FQ1 2019","FQ1 2019","Currency=USD","Period=FQ","BEST_FPERIOD_OVERRIDE=FQ","FILING_STATUS=MR","Sort=A","Dates=H","DateFormat=P","Fill=—","Direction=H","UseDPDF=Y")</f>
        <v>3.5602</v>
      </c>
      <c r="E10" s="14">
        <f>_xll.BDH("AMGN US Equity","ADJ_EPS_EX_AMORT_TOT_INTANG_DIL","FQ2 2019","FQ2 2019","Currency=USD","Period=FQ","BEST_FPERIOD_OVERRIDE=FQ","FILING_STATUS=MR","Sort=A","Dates=H","DateFormat=P","Fill=—","Direction=H","UseDPDF=Y")</f>
        <v>3.9716</v>
      </c>
      <c r="F10" s="14">
        <f>_xll.BDH("AMGN US Equity","ADJ_EPS_EX_AMORT_TOT_INTANG_DIL","FQ3 2019","FQ3 2019","Currency=USD","Period=FQ","BEST_FPERIOD_OVERRIDE=FQ","FILING_STATUS=MR","Sort=A","Dates=H","DateFormat=P","Fill=—","Direction=H","UseDPDF=Y")</f>
        <v>3.657</v>
      </c>
      <c r="G10" s="14">
        <f>_xll.BDH("AMGN US Equity","ADJ_EPS_EX_AMORT_TOT_INTANG_DIL","FQ4 2019","FQ4 2019","Currency=USD","Period=FQ","BEST_FPERIOD_OVERRIDE=FQ","FILING_STATUS=MR","Sort=A","Dates=H","DateFormat=P","Fill=—","Direction=H","UseDPDF=Y")</f>
        <v>3.6375999999999999</v>
      </c>
      <c r="H10" s="14">
        <f>_xll.BDH("AMGN US Equity","ADJ_EPS_EX_AMORT_TOT_INTANG_DIL","FQ1 2020","FQ1 2020","Currency=USD","Period=FQ","BEST_FPERIOD_OVERRIDE=FQ","FILING_STATUS=MR","Sort=A","Dates=H","DateFormat=P","Fill=—","Direction=H","UseDPDF=Y")</f>
        <v>4.1661999999999999</v>
      </c>
      <c r="I10" s="14">
        <f>_xll.BDH("AMGN US Equity","ADJ_EPS_EX_AMORT_TOT_INTANG_DIL","FQ2 2020","FQ2 2020","Currency=USD","Period=FQ","BEST_FPERIOD_OVERRIDE=FQ","FILING_STATUS=MR","Sort=A","Dates=H","DateFormat=P","Fill=—","Direction=H","UseDPDF=Y")</f>
        <v>4.2577999999999996</v>
      </c>
      <c r="J10" s="14">
        <f>_xll.BDH("AMGN US Equity","ADJ_EPS_EX_AMORT_TOT_INTANG_DIL","FQ3 2020","FQ3 2020","Currency=USD","Period=FQ","BEST_FPERIOD_OVERRIDE=FQ","FILING_STATUS=MR","Sort=A","Dates=H","DateFormat=P","Fill=—","Direction=H","UseDPDF=Y")</f>
        <v>5.3357999999999999</v>
      </c>
      <c r="K10" s="14">
        <f>_xll.BDH("AMGN US Equity","ADJ_EPS_EX_AMORT_TOT_INTANG_DIL","FQ4 2020","FQ4 2020","Currency=USD","Period=FQ","BEST_FPERIOD_OVERRIDE=FQ","FILING_STATUS=MR","Sort=A","Dates=H","DateFormat=P","Fill=—","Direction=H","UseDPDF=Y")</f>
        <v>3.8096000000000001</v>
      </c>
      <c r="L10" s="14">
        <f>_xll.BDH("AMGN US Equity","ADJ_EPS_EX_AMORT_TOT_INTANG_DIL","FQ1 2021","FQ1 2021","Currency=USD","Period=FQ","BEST_FPERIOD_OVERRIDE=FQ","FILING_STATUS=MR","Sort=A","Dates=H","DateFormat=P","Fill=—","Direction=H","UseDPDF=Y")</f>
        <v>4.5462999999999996</v>
      </c>
      <c r="M10" s="14">
        <f>_xll.BDH("AMGN US Equity","ADJ_EPS_EX_AMORT_TOT_INTANG_DIL","FQ2 2021","FQ2 2021","Currency=USD","Period=FQ","BEST_FPERIOD_OVERRIDE=FQ","FILING_STATUS=MR","Sort=A","Dates=H","DateFormat=P","Fill=—","Direction=H","UseDPDF=Y")</f>
        <v>5.2622999999999998</v>
      </c>
      <c r="N10" s="14">
        <f>_xll.BDH("AMGN US Equity","ADJ_EPS_EX_AMORT_TOT_INTANG_DIL","FQ3 2021","FQ3 2021","Currency=USD","Period=FQ","BEST_FPERIOD_OVERRIDE=FQ","FILING_STATUS=MR","Sort=A","Dates=H","DateFormat=P","Fill=—","Direction=H","UseDPDF=Y")</f>
        <v>4.0132000000000003</v>
      </c>
      <c r="O10" s="14">
        <f>_xll.BDH("AMGN US Equity","ADJ_EPS_EX_AMORT_TOT_INTANG_DIL","FQ4 2021","FQ4 2021","Currency=USD","Period=FQ","BEST_FPERIOD_OVERRIDE=FQ","FILING_STATUS=MR","Sort=A","Dates=H","DateFormat=P","Fill=—","Direction=H","UseDPDF=Y")</f>
        <v>4.2877000000000001</v>
      </c>
      <c r="P10" s="14">
        <f>_xll.BDH("AMGN US Equity","ADJ_EPS_EX_AMORT_TOT_INTANG_DIL","FQ1 2022","FQ1 2022","Currency=USD","Period=FQ","BEST_FPERIOD_OVERRIDE=FQ","FILING_STATUS=MR","Sort=A","Dates=H","DateFormat=P","Fill=—","Direction=H","UseDPDF=Y")</f>
        <v>5.1154999999999999</v>
      </c>
      <c r="Q10" s="14">
        <f>_xll.BDH("AMGN US Equity","ADJ_EPS_EX_AMORT_TOT_INTANG_DIL","FQ2 2022","FQ2 2022","Currency=USD","Period=FQ","BEST_FPERIOD_OVERRIDE=FQ","FILING_STATUS=MR","Sort=A","Dates=H","DateFormat=P","Fill=—","Direction=H","UseDPDF=Y")</f>
        <v>5.4743000000000004</v>
      </c>
      <c r="R10" s="14">
        <f>_xll.BDH("AMGN US Equity","ADJ_EPS_EX_AMORT_TOT_INTANG_DIL","FQ3 2022","FQ3 2022","Currency=USD","Period=FQ","BEST_FPERIOD_OVERRIDE=FQ","FILING_STATUS=MR","Sort=A","Dates=H","DateFormat=P","Fill=—","Direction=H","UseDPDF=Y")</f>
        <v>4.6326999999999998</v>
      </c>
      <c r="S10" s="14">
        <f>_xll.BDH("AMGN US Equity","ADJ_EPS_EX_AMORT_TOT_INTANG_DIL","FQ4 2022","FQ4 2022","Currency=USD","Period=FQ","BEST_FPERIOD_OVERRIDE=FQ","FILING_STATUS=MR","Sort=A","Dates=H","DateFormat=P","Fill=—","Direction=H","UseDPDF=Y")</f>
        <v>4.0057999999999998</v>
      </c>
      <c r="T10" s="14">
        <f>_xll.BDH("AMGN US Equity","ADJ_EPS_EX_AMORT_TOT_INTANG_DIL","FQ1 2023","FQ1 2023","Currency=USD","Period=FQ","BEST_FPERIOD_OVERRIDE=FQ","FILING_STATUS=MR","Sort=A","Dates=H","DateFormat=P","Fill=—","Direction=H","UseDPDF=Y")</f>
        <v>4.8657000000000004</v>
      </c>
      <c r="U10" s="14">
        <f>_xll.BDH("AMGN US Equity","ADJ_EPS_EX_AMORT_TOT_INTANG_DIL","FQ2 2023","FQ2 2023","Currency=USD","Period=FQ","BEST_FPERIOD_OVERRIDE=FQ","FILING_STATUS=MR","Sort=A","Dates=H","DateFormat=P","Fill=—","Direction=H","UseDPDF=Y")</f>
        <v>4.5275999999999996</v>
      </c>
      <c r="V10" s="14">
        <f>_xll.BDH("AMGN US Equity","ADJ_EPS_EX_AMORT_TOT_INTANG_DIL","FQ3 2023","FQ3 2023","Currency=USD","Period=FQ","BEST_FPERIOD_OVERRIDE=FQ","FILING_STATUS=MR","Sort=A","Dates=H","DateFormat=P","Fill=—","Direction=H","UseDPDF=Y")</f>
        <v>4.8055000000000003</v>
      </c>
      <c r="W10" s="14">
        <f>_xll.BDH("AMGN US Equity","ADJ_EPS_EX_AMORT_TOT_INTANG_DIL","FQ4 2023","FQ4 2023","Currency=USD","Period=FQ","BEST_FPERIOD_OVERRIDE=FQ","FILING_STATUS=MR","Sort=A","Dates=H","DateFormat=P","Fill=—","Direction=H","UseDPDF=Y")</f>
        <v>4.6684999999999999</v>
      </c>
      <c r="X10" s="14">
        <f>_xll.BDH("AMGN US Equity","ADJ_EPS_EX_AMORT_TOT_INTANG_DIL","FQ1 2024","FQ1 2024","Currency=USD","Period=FQ","BEST_FPERIOD_OVERRIDE=FQ","FILING_STATUS=MR","Sort=A","Dates=H","DateFormat=P","Fill=—","Direction=H","UseDPDF=Y")</f>
        <v>3.7271999999999998</v>
      </c>
      <c r="Y10" s="14">
        <f>_xll.BDH("AMGN US Equity","ADJ_EPS_EX_AMORT_TOT_INTANG_DIL","FQ2 2024","FQ2 2024","Currency=USD","Period=FQ","BEST_FPERIOD_OVERRIDE=FQ","FILING_STATUS=MR","Sort=A","Dates=H","DateFormat=P","Fill=—","Direction=H","UseDPDF=Y")</f>
        <v>5.0850999999999997</v>
      </c>
      <c r="Z10" s="14">
        <f>_xll.BDH("AMGN US Equity","ADJ_EPS_EX_AMORT_TOT_INTANG_DIL","FQ3 2024","FQ3 2024","Currency=USD","Period=FQ","BEST_FPERIOD_OVERRIDE=FQ","FILING_STATUS=MR","Sort=A","Dates=H","DateFormat=P","Fill=—","Direction=H","UseDPDF=Y")</f>
        <v>6.5763999999999996</v>
      </c>
      <c r="AA10" s="14">
        <f>_xll.BDH("AMGN US Equity","ADJ_EPS_EX_AMORT_TOT_INTANG_DIL","FQ4 2024","FQ4 2024","Currency=USD","Period=FQ","BEST_FPERIOD_OVERRIDE=FQ","FILING_STATUS=MR","Sort=A","Dates=H","DateFormat=P","Fill=—","Direction=H","UseDPDF=Y")</f>
        <v>2.7947000000000002</v>
      </c>
    </row>
    <row r="11" spans="1:27" x14ac:dyDescent="0.25">
      <c r="A11" s="10" t="s">
        <v>670</v>
      </c>
      <c r="B11" s="10" t="s">
        <v>671</v>
      </c>
      <c r="C11" s="14">
        <f>_xll.BDH("AMGN US Equity","ADJ_EPS_EX_SBC_AMORT_TOT_INT_BAS","FQ4 2018","FQ4 2018","Currency=USD","Period=FQ","BEST_FPERIOD_OVERRIDE=FQ","FILING_STATUS=MR","Sort=A","Dates=H","DateFormat=P","Fill=—","Direction=H","UseDPDF=Y")</f>
        <v>3.5508000000000002</v>
      </c>
      <c r="D11" s="14">
        <f>_xll.BDH("AMGN US Equity","ADJ_EPS_EX_SBC_AMORT_TOT_INT_BAS","FQ1 2019","FQ1 2019","Currency=USD","Period=FQ","BEST_FPERIOD_OVERRIDE=FQ","FILING_STATUS=MR","Sort=A","Dates=H","DateFormat=P","Fill=—","Direction=H","UseDPDF=Y")</f>
        <v>3.5851999999999999</v>
      </c>
      <c r="E11" s="14">
        <f>_xll.BDH("AMGN US Equity","ADJ_EPS_EX_SBC_AMORT_TOT_INT_BAS","FQ2 2019","FQ2 2019","Currency=USD","Period=FQ","BEST_FPERIOD_OVERRIDE=FQ","FILING_STATUS=MR","Sort=A","Dates=H","DateFormat=P","Fill=—","Direction=H","UseDPDF=Y")</f>
        <v>3.9933999999999998</v>
      </c>
      <c r="F11" s="14">
        <f>_xll.BDH("AMGN US Equity","ADJ_EPS_EX_SBC_AMORT_TOT_INT_BAS","FQ3 2019","FQ3 2019","Currency=USD","Period=FQ","BEST_FPERIOD_OVERRIDE=FQ","FILING_STATUS=MR","Sort=A","Dates=H","DateFormat=P","Fill=—","Direction=H","UseDPDF=Y")</f>
        <v>3.6745000000000001</v>
      </c>
      <c r="G11" s="14">
        <f>_xll.BDH("AMGN US Equity","ADJ_EPS_EX_SBC_AMORT_TOT_INT_BAS","FQ4 2019","FQ4 2019","Currency=USD","Period=FQ","BEST_FPERIOD_OVERRIDE=FQ","FILING_STATUS=MR","Sort=A","Dates=H","DateFormat=P","Fill=—","Direction=H","UseDPDF=Y")</f>
        <v>3.6661000000000001</v>
      </c>
      <c r="H11" s="14">
        <f>_xll.BDH("AMGN US Equity","ADJ_EPS_EX_SBC_AMORT_TOT_INT_BAS","FQ1 2020","FQ1 2020","Currency=USD","Period=FQ","BEST_FPERIOD_OVERRIDE=FQ","FILING_STATUS=MR","Sort=A","Dates=H","DateFormat=P","Fill=—","Direction=H","UseDPDF=Y")</f>
        <v>4.1967999999999996</v>
      </c>
      <c r="I11" s="14">
        <f>_xll.BDH("AMGN US Equity","ADJ_EPS_EX_SBC_AMORT_TOT_INT_BAS","FQ2 2020","FQ2 2020","Currency=USD","Period=FQ","BEST_FPERIOD_OVERRIDE=FQ","FILING_STATUS=MR","Sort=A","Dates=H","DateFormat=P","Fill=—","Direction=H","UseDPDF=Y")</f>
        <v>4.2823000000000002</v>
      </c>
      <c r="J11" s="14">
        <f>_xll.BDH("AMGN US Equity","ADJ_EPS_EX_SBC_AMORT_TOT_INT_BAS","FQ3 2020","FQ3 2020","Currency=USD","Period=FQ","BEST_FPERIOD_OVERRIDE=FQ","FILING_STATUS=MR","Sort=A","Dates=H","DateFormat=P","Fill=—","Direction=H","UseDPDF=Y")</f>
        <v>5.3734999999999999</v>
      </c>
      <c r="K11" s="14">
        <f>_xll.BDH("AMGN US Equity","ADJ_EPS_EX_SBC_AMORT_TOT_INT_BAS","FQ4 2020","FQ4 2020","Currency=USD","Period=FQ","BEST_FPERIOD_OVERRIDE=FQ","FILING_STATUS=MR","Sort=A","Dates=H","DateFormat=P","Fill=—","Direction=H","UseDPDF=Y")</f>
        <v>3.8365</v>
      </c>
      <c r="L11" s="14">
        <f>_xll.BDH("AMGN US Equity","ADJ_EPS_EX_SBC_AMORT_TOT_INT_BAS","FQ1 2021","FQ1 2021","Currency=USD","Period=FQ","BEST_FPERIOD_OVERRIDE=FQ","FILING_STATUS=MR","Sort=A","Dates=H","DateFormat=P","Fill=—","Direction=H","UseDPDF=Y")</f>
        <v>4.5808999999999997</v>
      </c>
      <c r="M11" s="14">
        <f>_xll.BDH("AMGN US Equity","ADJ_EPS_EX_SBC_AMORT_TOT_INT_BAS","FQ2 2021","FQ2 2021","Currency=USD","Period=FQ","BEST_FPERIOD_OVERRIDE=FQ","FILING_STATUS=MR","Sort=A","Dates=H","DateFormat=P","Fill=—","Direction=H","UseDPDF=Y")</f>
        <v>5.2854000000000001</v>
      </c>
      <c r="N11" s="14">
        <f>_xll.BDH("AMGN US Equity","ADJ_EPS_EX_SBC_AMORT_TOT_INT_BAS","FQ3 2021","FQ3 2021","Currency=USD","Period=FQ","BEST_FPERIOD_OVERRIDE=FQ","FILING_STATUS=MR","Sort=A","Dates=H","DateFormat=P","Fill=—","Direction=H","UseDPDF=Y")</f>
        <v>4.0297000000000001</v>
      </c>
      <c r="O11" s="14">
        <f>_xll.BDH("AMGN US Equity","ADJ_EPS_EX_SBC_AMORT_TOT_INT_BAS","FQ4 2021","FQ4 2021","Currency=USD","Period=FQ","BEST_FPERIOD_OVERRIDE=FQ","FILING_STATUS=MR","Sort=A","Dates=H","DateFormat=P","Fill=—","Direction=H","UseDPDF=Y")</f>
        <v>4.3117000000000001</v>
      </c>
      <c r="P11" s="14">
        <f>_xll.BDH("AMGN US Equity","ADJ_EPS_EX_SBC_AMORT_TOT_INT_BAS","FQ1 2022","FQ1 2022","Currency=USD","Period=FQ","BEST_FPERIOD_OVERRIDE=FQ","FILING_STATUS=MR","Sort=A","Dates=H","DateFormat=P","Fill=—","Direction=H","UseDPDF=Y")</f>
        <v>5.1421999999999999</v>
      </c>
      <c r="Q11" s="14">
        <f>_xll.BDH("AMGN US Equity","ADJ_EPS_EX_SBC_AMORT_TOT_INT_BAS","FQ2 2022","FQ2 2022","Currency=USD","Period=FQ","BEST_FPERIOD_OVERRIDE=FQ","FILING_STATUS=MR","Sort=A","Dates=H","DateFormat=P","Fill=—","Direction=H","UseDPDF=Y")</f>
        <v>5.4972000000000003</v>
      </c>
      <c r="R11" s="14">
        <f>_xll.BDH("AMGN US Equity","ADJ_EPS_EX_SBC_AMORT_TOT_INT_BAS","FQ3 2022","FQ3 2022","Currency=USD","Period=FQ","BEST_FPERIOD_OVERRIDE=FQ","FILING_STATUS=MR","Sort=A","Dates=H","DateFormat=P","Fill=—","Direction=H","UseDPDF=Y")</f>
        <v>4.6619999999999999</v>
      </c>
      <c r="S11" s="14">
        <f>_xll.BDH("AMGN US Equity","ADJ_EPS_EX_SBC_AMORT_TOT_INT_BAS","FQ4 2022","FQ4 2022","Currency=USD","Period=FQ","BEST_FPERIOD_OVERRIDE=FQ","FILING_STATUS=MR","Sort=A","Dates=H","DateFormat=P","Fill=—","Direction=H","UseDPDF=Y")</f>
        <v>4.1550000000000002</v>
      </c>
      <c r="T11" s="14">
        <f>_xll.BDH("AMGN US Equity","ADJ_EPS_EX_SBC_AMORT_TOT_INT_BAS","FQ1 2023","FQ1 2023","Currency=USD","Period=FQ","BEST_FPERIOD_OVERRIDE=FQ","FILING_STATUS=MR","Sort=A","Dates=H","DateFormat=P","Fill=—","Direction=H","UseDPDF=Y")</f>
        <v>4.9028</v>
      </c>
      <c r="U11" s="14">
        <f>_xll.BDH("AMGN US Equity","ADJ_EPS_EX_SBC_AMORT_TOT_INT_BAS","FQ2 2023","FQ2 2023","Currency=USD","Period=FQ","BEST_FPERIOD_OVERRIDE=FQ","FILING_STATUS=MR","Sort=A","Dates=H","DateFormat=P","Fill=—","Direction=H","UseDPDF=Y")</f>
        <v>4.5425000000000004</v>
      </c>
      <c r="V11" s="14">
        <f>_xll.BDH("AMGN US Equity","ADJ_EPS_EX_SBC_AMORT_TOT_INT_BAS","FQ3 2023","FQ3 2023","Currency=USD","Period=FQ","BEST_FPERIOD_OVERRIDE=FQ","FILING_STATUS=MR","Sort=A","Dates=H","DateFormat=P","Fill=—","Direction=H","UseDPDF=Y")</f>
        <v>4.8280000000000003</v>
      </c>
      <c r="W11" s="14">
        <f>_xll.BDH("AMGN US Equity","ADJ_EPS_EX_SBC_AMORT_TOT_INT_BAS","FQ4 2023","FQ4 2023","Currency=USD","Period=FQ","BEST_FPERIOD_OVERRIDE=FQ","FILING_STATUS=MR","Sort=A","Dates=H","DateFormat=P","Fill=—","Direction=H","UseDPDF=Y")</f>
        <v>4.7125000000000004</v>
      </c>
      <c r="X11" s="14">
        <f>_xll.BDH("AMGN US Equity","ADJ_EPS_EX_SBC_AMORT_TOT_INT_BAS","FQ1 2024","FQ1 2024","Currency=USD","Period=FQ","BEST_FPERIOD_OVERRIDE=FQ","FILING_STATUS=MR","Sort=A","Dates=H","DateFormat=P","Fill=—","Direction=H","UseDPDF=Y")</f>
        <v>3.879</v>
      </c>
      <c r="Y11" s="14">
        <f>_xll.BDH("AMGN US Equity","ADJ_EPS_EX_SBC_AMORT_TOT_INT_BAS","FQ2 2024","FQ2 2024","Currency=USD","Period=FQ","BEST_FPERIOD_OVERRIDE=FQ","FILING_STATUS=MR","Sort=A","Dates=H","DateFormat=P","Fill=—","Direction=H","UseDPDF=Y")</f>
        <v>5.5044000000000004</v>
      </c>
      <c r="Z11" s="14">
        <f>_xll.BDH("AMGN US Equity","ADJ_EPS_EX_SBC_AMORT_TOT_INT_BAS","FQ3 2024","FQ3 2024","Currency=USD","Period=FQ","BEST_FPERIOD_OVERRIDE=FQ","FILING_STATUS=MR","Sort=A","Dates=H","DateFormat=P","Fill=—","Direction=H","UseDPDF=Y")</f>
        <v>6.8391000000000002</v>
      </c>
      <c r="AA11" s="14">
        <f>_xll.BDH("AMGN US Equity","ADJ_EPS_EX_SBC_AMORT_TOT_INT_BAS","FQ4 2024","FQ4 2024","Currency=USD","Period=FQ","BEST_FPERIOD_OVERRIDE=FQ","FILING_STATUS=MR","Sort=A","Dates=H","DateFormat=P","Fill=—","Direction=H","UseDPDF=Y")</f>
        <v>3.0146000000000002</v>
      </c>
    </row>
    <row r="12" spans="1:27" x14ac:dyDescent="0.25">
      <c r="A12" s="10" t="s">
        <v>672</v>
      </c>
      <c r="B12" s="10" t="s">
        <v>673</v>
      </c>
      <c r="C12" s="14">
        <f>_xll.BDH("AMGN US Equity","ADJ_EPS_EX_SBC_AMORT_TOT_INT_DIL","FQ4 2018","FQ4 2018","Currency=USD","Period=FQ","BEST_FPERIOD_OVERRIDE=FQ","FILING_STATUS=MR","Sort=A","Dates=H","DateFormat=P","Fill=—","Direction=H","UseDPDF=Y")</f>
        <v>3.5205000000000002</v>
      </c>
      <c r="D12" s="14">
        <f>_xll.BDH("AMGN US Equity","ADJ_EPS_EX_SBC_AMORT_TOT_INT_DIL","FQ1 2019","FQ1 2019","Currency=USD","Period=FQ","BEST_FPERIOD_OVERRIDE=FQ","FILING_STATUS=MR","Sort=A","Dates=H","DateFormat=P","Fill=—","Direction=H","UseDPDF=Y")</f>
        <v>3.5602</v>
      </c>
      <c r="E12" s="14">
        <f>_xll.BDH("AMGN US Equity","ADJ_EPS_EX_SBC_AMORT_TOT_INT_DIL","FQ2 2019","FQ2 2019","Currency=USD","Period=FQ","BEST_FPERIOD_OVERRIDE=FQ","FILING_STATUS=MR","Sort=A","Dates=H","DateFormat=P","Fill=—","Direction=H","UseDPDF=Y")</f>
        <v>3.9716</v>
      </c>
      <c r="F12" s="14">
        <f>_xll.BDH("AMGN US Equity","ADJ_EPS_EX_SBC_AMORT_TOT_INT_DIL","FQ3 2019","FQ3 2019","Currency=USD","Period=FQ","BEST_FPERIOD_OVERRIDE=FQ","FILING_STATUS=MR","Sort=A","Dates=H","DateFormat=P","Fill=—","Direction=H","UseDPDF=Y")</f>
        <v>3.657</v>
      </c>
      <c r="G12" s="14">
        <f>_xll.BDH("AMGN US Equity","ADJ_EPS_EX_SBC_AMORT_TOT_INT_DIL","FQ4 2019","FQ4 2019","Currency=USD","Period=FQ","BEST_FPERIOD_OVERRIDE=FQ","FILING_STATUS=MR","Sort=A","Dates=H","DateFormat=P","Fill=—","Direction=H","UseDPDF=Y")</f>
        <v>3.6375999999999999</v>
      </c>
      <c r="H12" s="14">
        <f>_xll.BDH("AMGN US Equity","ADJ_EPS_EX_SBC_AMORT_TOT_INT_DIL","FQ1 2020","FQ1 2020","Currency=USD","Period=FQ","BEST_FPERIOD_OVERRIDE=FQ","FILING_STATUS=MR","Sort=A","Dates=H","DateFormat=P","Fill=—","Direction=H","UseDPDF=Y")</f>
        <v>4.1661999999999999</v>
      </c>
      <c r="I12" s="14">
        <f>_xll.BDH("AMGN US Equity","ADJ_EPS_EX_SBC_AMORT_TOT_INT_DIL","FQ2 2020","FQ2 2020","Currency=USD","Period=FQ","BEST_FPERIOD_OVERRIDE=FQ","FILING_STATUS=MR","Sort=A","Dates=H","DateFormat=P","Fill=—","Direction=H","UseDPDF=Y")</f>
        <v>4.2577999999999996</v>
      </c>
      <c r="J12" s="14">
        <f>_xll.BDH("AMGN US Equity","ADJ_EPS_EX_SBC_AMORT_TOT_INT_DIL","FQ3 2020","FQ3 2020","Currency=USD","Period=FQ","BEST_FPERIOD_OVERRIDE=FQ","FILING_STATUS=MR","Sort=A","Dates=H","DateFormat=P","Fill=—","Direction=H","UseDPDF=Y")</f>
        <v>5.3357999999999999</v>
      </c>
      <c r="K12" s="14">
        <f>_xll.BDH("AMGN US Equity","ADJ_EPS_EX_SBC_AMORT_TOT_INT_DIL","FQ4 2020","FQ4 2020","Currency=USD","Period=FQ","BEST_FPERIOD_OVERRIDE=FQ","FILING_STATUS=MR","Sort=A","Dates=H","DateFormat=P","Fill=—","Direction=H","UseDPDF=Y")</f>
        <v>3.8096000000000001</v>
      </c>
      <c r="L12" s="14">
        <f>_xll.BDH("AMGN US Equity","ADJ_EPS_EX_SBC_AMORT_TOT_INT_DIL","FQ1 2021","FQ1 2021","Currency=USD","Period=FQ","BEST_FPERIOD_OVERRIDE=FQ","FILING_STATUS=MR","Sort=A","Dates=H","DateFormat=P","Fill=—","Direction=H","UseDPDF=Y")</f>
        <v>4.5462999999999996</v>
      </c>
      <c r="M12" s="14">
        <f>_xll.BDH("AMGN US Equity","ADJ_EPS_EX_SBC_AMORT_TOT_INT_DIL","FQ2 2021","FQ2 2021","Currency=USD","Period=FQ","BEST_FPERIOD_OVERRIDE=FQ","FILING_STATUS=MR","Sort=A","Dates=H","DateFormat=P","Fill=—","Direction=H","UseDPDF=Y")</f>
        <v>5.2622999999999998</v>
      </c>
      <c r="N12" s="14">
        <f>_xll.BDH("AMGN US Equity","ADJ_EPS_EX_SBC_AMORT_TOT_INT_DIL","FQ3 2021","FQ3 2021","Currency=USD","Period=FQ","BEST_FPERIOD_OVERRIDE=FQ","FILING_STATUS=MR","Sort=A","Dates=H","DateFormat=P","Fill=—","Direction=H","UseDPDF=Y")</f>
        <v>4.0132000000000003</v>
      </c>
      <c r="O12" s="14">
        <f>_xll.BDH("AMGN US Equity","ADJ_EPS_EX_SBC_AMORT_TOT_INT_DIL","FQ4 2021","FQ4 2021","Currency=USD","Period=FQ","BEST_FPERIOD_OVERRIDE=FQ","FILING_STATUS=MR","Sort=A","Dates=H","DateFormat=P","Fill=—","Direction=H","UseDPDF=Y")</f>
        <v>4.2877000000000001</v>
      </c>
      <c r="P12" s="14">
        <f>_xll.BDH("AMGN US Equity","ADJ_EPS_EX_SBC_AMORT_TOT_INT_DIL","FQ1 2022","FQ1 2022","Currency=USD","Period=FQ","BEST_FPERIOD_OVERRIDE=FQ","FILING_STATUS=MR","Sort=A","Dates=H","DateFormat=P","Fill=—","Direction=H","UseDPDF=Y")</f>
        <v>5.1154999999999999</v>
      </c>
      <c r="Q12" s="14">
        <f>_xll.BDH("AMGN US Equity","ADJ_EPS_EX_SBC_AMORT_TOT_INT_DIL","FQ2 2022","FQ2 2022","Currency=USD","Period=FQ","BEST_FPERIOD_OVERRIDE=FQ","FILING_STATUS=MR","Sort=A","Dates=H","DateFormat=P","Fill=—","Direction=H","UseDPDF=Y")</f>
        <v>5.4743000000000004</v>
      </c>
      <c r="R12" s="14">
        <f>_xll.BDH("AMGN US Equity","ADJ_EPS_EX_SBC_AMORT_TOT_INT_DIL","FQ3 2022","FQ3 2022","Currency=USD","Period=FQ","BEST_FPERIOD_OVERRIDE=FQ","FILING_STATUS=MR","Sort=A","Dates=H","DateFormat=P","Fill=—","Direction=H","UseDPDF=Y")</f>
        <v>4.6326999999999998</v>
      </c>
      <c r="S12" s="14">
        <f>_xll.BDH("AMGN US Equity","ADJ_EPS_EX_SBC_AMORT_TOT_INT_DIL","FQ4 2022","FQ4 2022","Currency=USD","Period=FQ","BEST_FPERIOD_OVERRIDE=FQ","FILING_STATUS=MR","Sort=A","Dates=H","DateFormat=P","Fill=—","Direction=H","UseDPDF=Y")</f>
        <v>4.1260000000000003</v>
      </c>
      <c r="T12" s="14">
        <f>_xll.BDH("AMGN US Equity","ADJ_EPS_EX_SBC_AMORT_TOT_INT_DIL","FQ1 2023","FQ1 2023","Currency=USD","Period=FQ","BEST_FPERIOD_OVERRIDE=FQ","FILING_STATUS=MR","Sort=A","Dates=H","DateFormat=P","Fill=—","Direction=H","UseDPDF=Y")</f>
        <v>4.8657000000000004</v>
      </c>
      <c r="U12" s="14">
        <f>_xll.BDH("AMGN US Equity","ADJ_EPS_EX_SBC_AMORT_TOT_INT_DIL","FQ2 2023","FQ2 2023","Currency=USD","Period=FQ","BEST_FPERIOD_OVERRIDE=FQ","FILING_STATUS=MR","Sort=A","Dates=H","DateFormat=P","Fill=—","Direction=H","UseDPDF=Y")</f>
        <v>4.5275999999999996</v>
      </c>
      <c r="V12" s="14">
        <f>_xll.BDH("AMGN US Equity","ADJ_EPS_EX_SBC_AMORT_TOT_INT_DIL","FQ3 2023","FQ3 2023","Currency=USD","Period=FQ","BEST_FPERIOD_OVERRIDE=FQ","FILING_STATUS=MR","Sort=A","Dates=H","DateFormat=P","Fill=—","Direction=H","UseDPDF=Y")</f>
        <v>4.8055000000000003</v>
      </c>
      <c r="W12" s="14">
        <f>_xll.BDH("AMGN US Equity","ADJ_EPS_EX_SBC_AMORT_TOT_INT_DIL","FQ4 2023","FQ4 2023","Currency=USD","Period=FQ","BEST_FPERIOD_OVERRIDE=FQ","FILING_STATUS=MR","Sort=A","Dates=H","DateFormat=P","Fill=—","Direction=H","UseDPDF=Y")</f>
        <v>4.6684999999999999</v>
      </c>
      <c r="X12" s="14">
        <f>_xll.BDH("AMGN US Equity","ADJ_EPS_EX_SBC_AMORT_TOT_INT_DIL","FQ1 2024","FQ1 2024","Currency=USD","Period=FQ","BEST_FPERIOD_OVERRIDE=FQ","FILING_STATUS=MR","Sort=A","Dates=H","DateFormat=P","Fill=—","Direction=H","UseDPDF=Y")</f>
        <v>3.879</v>
      </c>
      <c r="Y12" s="14">
        <f>_xll.BDH("AMGN US Equity","ADJ_EPS_EX_SBC_AMORT_TOT_INT_DIL","FQ2 2024","FQ2 2024","Currency=USD","Period=FQ","BEST_FPERIOD_OVERRIDE=FQ","FILING_STATUS=MR","Sort=A","Dates=H","DateFormat=P","Fill=—","Direction=H","UseDPDF=Y")</f>
        <v>5.4648000000000003</v>
      </c>
      <c r="Z12" s="14">
        <f>_xll.BDH("AMGN US Equity","ADJ_EPS_EX_SBC_AMORT_TOT_INT_DIL","FQ3 2024","FQ3 2024","Currency=USD","Period=FQ","BEST_FPERIOD_OVERRIDE=FQ","FILING_STATUS=MR","Sort=A","Dates=H","DateFormat=P","Fill=—","Direction=H","UseDPDF=Y")</f>
        <v>6.7746000000000004</v>
      </c>
      <c r="AA12" s="14">
        <f>_xll.BDH("AMGN US Equity","ADJ_EPS_EX_SBC_AMORT_TOT_INT_DIL","FQ4 2024","FQ4 2024","Currency=USD","Period=FQ","BEST_FPERIOD_OVERRIDE=FQ","FILING_STATUS=MR","Sort=A","Dates=H","DateFormat=P","Fill=—","Direction=H","UseDPDF=Y")</f>
        <v>2.99</v>
      </c>
    </row>
    <row r="13" spans="1:27" x14ac:dyDescent="0.25">
      <c r="A13" s="10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5">
      <c r="A14" s="10" t="s">
        <v>674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5">
      <c r="A15" s="10" t="s">
        <v>675</v>
      </c>
      <c r="B15" s="10" t="s">
        <v>676</v>
      </c>
      <c r="C15" s="13">
        <f>_xll.BDH("AMGN US Equity","IS_EXPENSE_STOCK_BASED_COMP","FQ4 2018","FQ4 2018","Currency=USD","Period=FQ","BEST_FPERIOD_OVERRIDE=FQ","FILING_STATUS=MR","SCALING_FORMAT=MLN","Sort=A","Dates=H","DateFormat=P","Fill=—","Direction=H","UseDPDF=Y")</f>
        <v>87</v>
      </c>
      <c r="D15" s="13" t="str">
        <f>_xll.BDH("AMGN US Equity","IS_EXPENSE_STOCK_BASED_COMP","FQ1 2019","FQ1 2019","Currency=USD","Period=FQ","BEST_FPERIOD_OVERRIDE=FQ","FILING_STATUS=MR","SCALING_FORMAT=MLN","Sort=A","Dates=H","DateFormat=P","Fill=—","Direction=H","UseDPDF=Y")</f>
        <v>—</v>
      </c>
      <c r="E15" s="13" t="str">
        <f>_xll.BDH("AMGN US Equity","IS_EXPENSE_STOCK_BASED_COMP","FQ2 2019","FQ2 2019","Currency=USD","Period=FQ","BEST_FPERIOD_OVERRIDE=FQ","FILING_STATUS=MR","SCALING_FORMAT=MLN","Sort=A","Dates=H","DateFormat=P","Fill=—","Direction=H","UseDPDF=Y")</f>
        <v>—</v>
      </c>
      <c r="F15" s="13" t="str">
        <f>_xll.BDH("AMGN US Equity","IS_EXPENSE_STOCK_BASED_COMP","FQ3 2019","FQ3 2019","Currency=USD","Period=FQ","BEST_FPERIOD_OVERRIDE=FQ","FILING_STATUS=MR","SCALING_FORMAT=MLN","Sort=A","Dates=H","DateFormat=P","Fill=—","Direction=H","UseDPDF=Y")</f>
        <v>—</v>
      </c>
      <c r="G15" s="13" t="str">
        <f>_xll.BDH("AMGN US Equity","IS_EXPENSE_STOCK_BASED_COMP","FQ4 2019","FQ4 2019","Currency=USD","Period=FQ","BEST_FPERIOD_OVERRIDE=FQ","FILING_STATUS=MR","SCALING_FORMAT=MLN","Sort=A","Dates=H","DateFormat=P","Fill=—","Direction=H","UseDPDF=Y")</f>
        <v>—</v>
      </c>
      <c r="H15" s="13" t="str">
        <f>_xll.BDH("AMGN US Equity","IS_EXPENSE_STOCK_BASED_COMP","FQ1 2020","FQ1 2020","Currency=USD","Period=FQ","BEST_FPERIOD_OVERRIDE=FQ","FILING_STATUS=MR","SCALING_FORMAT=MLN","Sort=A","Dates=H","DateFormat=P","Fill=—","Direction=H","UseDPDF=Y")</f>
        <v>—</v>
      </c>
      <c r="I15" s="13" t="str">
        <f>_xll.BDH("AMGN US Equity","IS_EXPENSE_STOCK_BASED_COMP","FQ2 2020","FQ2 2020","Currency=USD","Period=FQ","BEST_FPERIOD_OVERRIDE=FQ","FILING_STATUS=MR","SCALING_FORMAT=MLN","Sort=A","Dates=H","DateFormat=P","Fill=—","Direction=H","UseDPDF=Y")</f>
        <v>—</v>
      </c>
      <c r="J15" s="13" t="str">
        <f>_xll.BDH("AMGN US Equity","IS_EXPENSE_STOCK_BASED_COMP","FQ3 2020","FQ3 2020","Currency=USD","Period=FQ","BEST_FPERIOD_OVERRIDE=FQ","FILING_STATUS=MR","SCALING_FORMAT=MLN","Sort=A","Dates=H","DateFormat=P","Fill=—","Direction=H","UseDPDF=Y")</f>
        <v>—</v>
      </c>
      <c r="K15" s="13" t="str">
        <f>_xll.BDH("AMGN US Equity","IS_EXPENSE_STOCK_BASED_COMP","FQ4 2020","FQ4 2020","Currency=USD","Period=FQ","BEST_FPERIOD_OVERRIDE=FQ","FILING_STATUS=MR","SCALING_FORMAT=MLN","Sort=A","Dates=H","DateFormat=P","Fill=—","Direction=H","UseDPDF=Y")</f>
        <v>—</v>
      </c>
      <c r="L15" s="13" t="str">
        <f>_xll.BDH("AMGN US Equity","IS_EXPENSE_STOCK_BASED_COMP","FQ1 2021","FQ1 2021","Currency=USD","Period=FQ","BEST_FPERIOD_OVERRIDE=FQ","FILING_STATUS=MR","SCALING_FORMAT=MLN","Sort=A","Dates=H","DateFormat=P","Fill=—","Direction=H","UseDPDF=Y")</f>
        <v>—</v>
      </c>
      <c r="M15" s="13" t="str">
        <f>_xll.BDH("AMGN US Equity","IS_EXPENSE_STOCK_BASED_COMP","FQ2 2021","FQ2 2021","Currency=USD","Period=FQ","BEST_FPERIOD_OVERRIDE=FQ","FILING_STATUS=MR","SCALING_FORMAT=MLN","Sort=A","Dates=H","DateFormat=P","Fill=—","Direction=H","UseDPDF=Y")</f>
        <v>—</v>
      </c>
      <c r="N15" s="13" t="str">
        <f>_xll.BDH("AMGN US Equity","IS_EXPENSE_STOCK_BASED_COMP","FQ3 2021","FQ3 2021","Currency=USD","Period=FQ","BEST_FPERIOD_OVERRIDE=FQ","FILING_STATUS=MR","SCALING_FORMAT=MLN","Sort=A","Dates=H","DateFormat=P","Fill=—","Direction=H","UseDPDF=Y")</f>
        <v>—</v>
      </c>
      <c r="O15" s="13" t="str">
        <f>_xll.BDH("AMGN US Equity","IS_EXPENSE_STOCK_BASED_COMP","FQ4 2021","FQ4 2021","Currency=USD","Period=FQ","BEST_FPERIOD_OVERRIDE=FQ","FILING_STATUS=MR","SCALING_FORMAT=MLN","Sort=A","Dates=H","DateFormat=P","Fill=—","Direction=H","UseDPDF=Y")</f>
        <v>—</v>
      </c>
      <c r="P15" s="13" t="str">
        <f>_xll.BDH("AMGN US Equity","IS_EXPENSE_STOCK_BASED_COMP","FQ1 2022","FQ1 2022","Currency=USD","Period=FQ","BEST_FPERIOD_OVERRIDE=FQ","FILING_STATUS=MR","SCALING_FORMAT=MLN","Sort=A","Dates=H","DateFormat=P","Fill=—","Direction=H","UseDPDF=Y")</f>
        <v>—</v>
      </c>
      <c r="Q15" s="13" t="str">
        <f>_xll.BDH("AMGN US Equity","IS_EXPENSE_STOCK_BASED_COMP","FQ2 2022","FQ2 2022","Currency=USD","Period=FQ","BEST_FPERIOD_OVERRIDE=FQ","FILING_STATUS=MR","SCALING_FORMAT=MLN","Sort=A","Dates=H","DateFormat=P","Fill=—","Direction=H","UseDPDF=Y")</f>
        <v>—</v>
      </c>
      <c r="R15" s="13" t="str">
        <f>_xll.BDH("AMGN US Equity","IS_EXPENSE_STOCK_BASED_COMP","FQ3 2022","FQ3 2022","Currency=USD","Period=FQ","BEST_FPERIOD_OVERRIDE=FQ","FILING_STATUS=MR","SCALING_FORMAT=MLN","Sort=A","Dates=H","DateFormat=P","Fill=—","Direction=H","UseDPDF=Y")</f>
        <v>—</v>
      </c>
      <c r="S15" s="13">
        <f>_xll.BDH("AMGN US Equity","IS_EXPENSE_STOCK_BASED_COMP","FQ4 2022","FQ4 2022","Currency=USD","Period=FQ","BEST_FPERIOD_OVERRIDE=FQ","FILING_STATUS=MR","SCALING_FORMAT=MLN","Sort=A","Dates=H","DateFormat=P","Fill=—","Direction=H","UseDPDF=Y")</f>
        <v>82</v>
      </c>
      <c r="T15" s="13" t="str">
        <f>_xll.BDH("AMGN US Equity","IS_EXPENSE_STOCK_BASED_COMP","FQ1 2023","FQ1 2023","Currency=USD","Period=FQ","BEST_FPERIOD_OVERRIDE=FQ","FILING_STATUS=MR","SCALING_FORMAT=MLN","Sort=A","Dates=H","DateFormat=P","Fill=—","Direction=H","UseDPDF=Y")</f>
        <v>—</v>
      </c>
      <c r="U15" s="13" t="str">
        <f>_xll.BDH("AMGN US Equity","IS_EXPENSE_STOCK_BASED_COMP","FQ2 2023","FQ2 2023","Currency=USD","Period=FQ","BEST_FPERIOD_OVERRIDE=FQ","FILING_STATUS=MR","SCALING_FORMAT=MLN","Sort=A","Dates=H","DateFormat=P","Fill=—","Direction=H","UseDPDF=Y")</f>
        <v>—</v>
      </c>
      <c r="V15" s="13" t="str">
        <f>_xll.BDH("AMGN US Equity","IS_EXPENSE_STOCK_BASED_COMP","FQ3 2023","FQ3 2023","Currency=USD","Period=FQ","BEST_FPERIOD_OVERRIDE=FQ","FILING_STATUS=MR","SCALING_FORMAT=MLN","Sort=A","Dates=H","DateFormat=P","Fill=—","Direction=H","UseDPDF=Y")</f>
        <v>—</v>
      </c>
      <c r="W15" s="13" t="str">
        <f>_xll.BDH("AMGN US Equity","IS_EXPENSE_STOCK_BASED_COMP","FQ4 2023","FQ4 2023","Currency=USD","Period=FQ","BEST_FPERIOD_OVERRIDE=FQ","FILING_STATUS=MR","SCALING_FORMAT=MLN","Sort=A","Dates=H","DateFormat=P","Fill=—","Direction=H","UseDPDF=Y")</f>
        <v>—</v>
      </c>
      <c r="X15" s="13">
        <f>_xll.BDH("AMGN US Equity","IS_EXPENSE_STOCK_BASED_COMP","FQ1 2024","FQ1 2024","Currency=USD","Period=FQ","BEST_FPERIOD_OVERRIDE=FQ","FILING_STATUS=MR","SCALING_FORMAT=MLN","Sort=A","Dates=H","DateFormat=P","Fill=—","Direction=H","UseDPDF=Y")</f>
        <v>103</v>
      </c>
      <c r="Y15" s="13">
        <f>_xll.BDH("AMGN US Equity","IS_EXPENSE_STOCK_BASED_COMP","FQ2 2024","FQ2 2024","Currency=USD","Period=FQ","BEST_FPERIOD_OVERRIDE=FQ","FILING_STATUS=MR","SCALING_FORMAT=MLN","Sort=A","Dates=H","DateFormat=P","Fill=—","Direction=H","UseDPDF=Y")</f>
        <v>260</v>
      </c>
      <c r="Z15" s="13">
        <f>_xll.BDH("AMGN US Equity","IS_EXPENSE_STOCK_BASED_COMP","FQ3 2024","FQ3 2024","Currency=USD","Period=FQ","BEST_FPERIOD_OVERRIDE=FQ","FILING_STATUS=MR","SCALING_FORMAT=MLN","Sort=A","Dates=H","DateFormat=P","Fill=—","Direction=H","UseDPDF=Y")</f>
        <v>136</v>
      </c>
      <c r="AA15" s="13">
        <f>_xll.BDH("AMGN US Equity","IS_EXPENSE_STOCK_BASED_COMP","FQ4 2024","FQ4 2024","Currency=USD","Period=FQ","BEST_FPERIOD_OVERRIDE=FQ","FILING_STATUS=MR","SCALING_FORMAT=MLN","Sort=A","Dates=H","DateFormat=P","Fill=—","Direction=H","UseDPDF=Y")</f>
        <v>134</v>
      </c>
    </row>
    <row r="16" spans="1:27" x14ac:dyDescent="0.25">
      <c r="A16" s="10" t="s">
        <v>677</v>
      </c>
      <c r="B16" s="10" t="s">
        <v>678</v>
      </c>
      <c r="C16" s="13">
        <f>_xll.BDH("AMGN US Equity","IS_STK_BASED_COMP_AFT_TAX","FQ4 2018","FQ4 2018","Currency=USD","Period=FQ","BEST_FPERIOD_OVERRIDE=FQ","FILING_STATUS=MR","SCALING_FORMAT=MLN","Sort=A","Dates=H","DateFormat=P","Fill=—","Direction=H","UseDPDF=Y")</f>
        <v>68.73</v>
      </c>
      <c r="D16" s="13" t="str">
        <f>_xll.BDH("AMGN US Equity","IS_STK_BASED_COMP_AFT_TAX","FQ1 2019","FQ1 2019","Currency=USD","Period=FQ","BEST_FPERIOD_OVERRIDE=FQ","FILING_STATUS=MR","SCALING_FORMAT=MLN","Sort=A","Dates=H","DateFormat=P","Fill=—","Direction=H","UseDPDF=Y")</f>
        <v>—</v>
      </c>
      <c r="E16" s="13" t="str">
        <f>_xll.BDH("AMGN US Equity","IS_STK_BASED_COMP_AFT_TAX","FQ2 2019","FQ2 2019","Currency=USD","Period=FQ","BEST_FPERIOD_OVERRIDE=FQ","FILING_STATUS=MR","SCALING_FORMAT=MLN","Sort=A","Dates=H","DateFormat=P","Fill=—","Direction=H","UseDPDF=Y")</f>
        <v>—</v>
      </c>
      <c r="F16" s="13" t="str">
        <f>_xll.BDH("AMGN US Equity","IS_STK_BASED_COMP_AFT_TAX","FQ3 2019","FQ3 2019","Currency=USD","Period=FQ","BEST_FPERIOD_OVERRIDE=FQ","FILING_STATUS=MR","SCALING_FORMAT=MLN","Sort=A","Dates=H","DateFormat=P","Fill=—","Direction=H","UseDPDF=Y")</f>
        <v>—</v>
      </c>
      <c r="G16" s="13" t="str">
        <f>_xll.BDH("AMGN US Equity","IS_STK_BASED_COMP_AFT_TAX","FQ4 2019","FQ4 2019","Currency=USD","Period=FQ","BEST_FPERIOD_OVERRIDE=FQ","FILING_STATUS=MR","SCALING_FORMAT=MLN","Sort=A","Dates=H","DateFormat=P","Fill=—","Direction=H","UseDPDF=Y")</f>
        <v>—</v>
      </c>
      <c r="H16" s="13" t="str">
        <f>_xll.BDH("AMGN US Equity","IS_STK_BASED_COMP_AFT_TAX","FQ1 2020","FQ1 2020","Currency=USD","Period=FQ","BEST_FPERIOD_OVERRIDE=FQ","FILING_STATUS=MR","SCALING_FORMAT=MLN","Sort=A","Dates=H","DateFormat=P","Fill=—","Direction=H","UseDPDF=Y")</f>
        <v>—</v>
      </c>
      <c r="I16" s="13" t="str">
        <f>_xll.BDH("AMGN US Equity","IS_STK_BASED_COMP_AFT_TAX","FQ2 2020","FQ2 2020","Currency=USD","Period=FQ","BEST_FPERIOD_OVERRIDE=FQ","FILING_STATUS=MR","SCALING_FORMAT=MLN","Sort=A","Dates=H","DateFormat=P","Fill=—","Direction=H","UseDPDF=Y")</f>
        <v>—</v>
      </c>
      <c r="J16" s="13" t="str">
        <f>_xll.BDH("AMGN US Equity","IS_STK_BASED_COMP_AFT_TAX","FQ3 2020","FQ3 2020","Currency=USD","Period=FQ","BEST_FPERIOD_OVERRIDE=FQ","FILING_STATUS=MR","SCALING_FORMAT=MLN","Sort=A","Dates=H","DateFormat=P","Fill=—","Direction=H","UseDPDF=Y")</f>
        <v>—</v>
      </c>
      <c r="K16" s="13" t="str">
        <f>_xll.BDH("AMGN US Equity","IS_STK_BASED_COMP_AFT_TAX","FQ4 2020","FQ4 2020","Currency=USD","Period=FQ","BEST_FPERIOD_OVERRIDE=FQ","FILING_STATUS=MR","SCALING_FORMAT=MLN","Sort=A","Dates=H","DateFormat=P","Fill=—","Direction=H","UseDPDF=Y")</f>
        <v>—</v>
      </c>
      <c r="L16" s="13" t="str">
        <f>_xll.BDH("AMGN US Equity","IS_STK_BASED_COMP_AFT_TAX","FQ1 2021","FQ1 2021","Currency=USD","Period=FQ","BEST_FPERIOD_OVERRIDE=FQ","FILING_STATUS=MR","SCALING_FORMAT=MLN","Sort=A","Dates=H","DateFormat=P","Fill=—","Direction=H","UseDPDF=Y")</f>
        <v>—</v>
      </c>
      <c r="M16" s="13" t="str">
        <f>_xll.BDH("AMGN US Equity","IS_STK_BASED_COMP_AFT_TAX","FQ2 2021","FQ2 2021","Currency=USD","Period=FQ","BEST_FPERIOD_OVERRIDE=FQ","FILING_STATUS=MR","SCALING_FORMAT=MLN","Sort=A","Dates=H","DateFormat=P","Fill=—","Direction=H","UseDPDF=Y")</f>
        <v>—</v>
      </c>
      <c r="N16" s="13" t="str">
        <f>_xll.BDH("AMGN US Equity","IS_STK_BASED_COMP_AFT_TAX","FQ3 2021","FQ3 2021","Currency=USD","Period=FQ","BEST_FPERIOD_OVERRIDE=FQ","FILING_STATUS=MR","SCALING_FORMAT=MLN","Sort=A","Dates=H","DateFormat=P","Fill=—","Direction=H","UseDPDF=Y")</f>
        <v>—</v>
      </c>
      <c r="O16" s="13" t="str">
        <f>_xll.BDH("AMGN US Equity","IS_STK_BASED_COMP_AFT_TAX","FQ4 2021","FQ4 2021","Currency=USD","Period=FQ","BEST_FPERIOD_OVERRIDE=FQ","FILING_STATUS=MR","SCALING_FORMAT=MLN","Sort=A","Dates=H","DateFormat=P","Fill=—","Direction=H","UseDPDF=Y")</f>
        <v>—</v>
      </c>
      <c r="P16" s="13" t="str">
        <f>_xll.BDH("AMGN US Equity","IS_STK_BASED_COMP_AFT_TAX","FQ1 2022","FQ1 2022","Currency=USD","Period=FQ","BEST_FPERIOD_OVERRIDE=FQ","FILING_STATUS=MR","SCALING_FORMAT=MLN","Sort=A","Dates=H","DateFormat=P","Fill=—","Direction=H","UseDPDF=Y")</f>
        <v>—</v>
      </c>
      <c r="Q16" s="13" t="str">
        <f>_xll.BDH("AMGN US Equity","IS_STK_BASED_COMP_AFT_TAX","FQ2 2022","FQ2 2022","Currency=USD","Period=FQ","BEST_FPERIOD_OVERRIDE=FQ","FILING_STATUS=MR","SCALING_FORMAT=MLN","Sort=A","Dates=H","DateFormat=P","Fill=—","Direction=H","UseDPDF=Y")</f>
        <v>—</v>
      </c>
      <c r="R16" s="13" t="str">
        <f>_xll.BDH("AMGN US Equity","IS_STK_BASED_COMP_AFT_TAX","FQ3 2022","FQ3 2022","Currency=USD","Period=FQ","BEST_FPERIOD_OVERRIDE=FQ","FILING_STATUS=MR","SCALING_FORMAT=MLN","Sort=A","Dates=H","DateFormat=P","Fill=—","Direction=H","UseDPDF=Y")</f>
        <v>—</v>
      </c>
      <c r="S16" s="13">
        <f>_xll.BDH("AMGN US Equity","IS_STK_BASED_COMP_AFT_TAX","FQ4 2022","FQ4 2022","Currency=USD","Period=FQ","BEST_FPERIOD_OVERRIDE=FQ","FILING_STATUS=MR","SCALING_FORMAT=MLN","Sort=A","Dates=H","DateFormat=P","Fill=—","Direction=H","UseDPDF=Y")</f>
        <v>64.78</v>
      </c>
      <c r="T16" s="13" t="str">
        <f>_xll.BDH("AMGN US Equity","IS_STK_BASED_COMP_AFT_TAX","FQ1 2023","FQ1 2023","Currency=USD","Period=FQ","BEST_FPERIOD_OVERRIDE=FQ","FILING_STATUS=MR","SCALING_FORMAT=MLN","Sort=A","Dates=H","DateFormat=P","Fill=—","Direction=H","UseDPDF=Y")</f>
        <v>—</v>
      </c>
      <c r="U16" s="13" t="str">
        <f>_xll.BDH("AMGN US Equity","IS_STK_BASED_COMP_AFT_TAX","FQ2 2023","FQ2 2023","Currency=USD","Period=FQ","BEST_FPERIOD_OVERRIDE=FQ","FILING_STATUS=MR","SCALING_FORMAT=MLN","Sort=A","Dates=H","DateFormat=P","Fill=—","Direction=H","UseDPDF=Y")</f>
        <v>—</v>
      </c>
      <c r="V16" s="13" t="str">
        <f>_xll.BDH("AMGN US Equity","IS_STK_BASED_COMP_AFT_TAX","FQ3 2023","FQ3 2023","Currency=USD","Period=FQ","BEST_FPERIOD_OVERRIDE=FQ","FILING_STATUS=MR","SCALING_FORMAT=MLN","Sort=A","Dates=H","DateFormat=P","Fill=—","Direction=H","UseDPDF=Y")</f>
        <v>—</v>
      </c>
      <c r="W16" s="13" t="str">
        <f>_xll.BDH("AMGN US Equity","IS_STK_BASED_COMP_AFT_TAX","FQ4 2023","FQ4 2023","Currency=USD","Period=FQ","BEST_FPERIOD_OVERRIDE=FQ","FILING_STATUS=MR","SCALING_FORMAT=MLN","Sort=A","Dates=H","DateFormat=P","Fill=—","Direction=H","UseDPDF=Y")</f>
        <v>—</v>
      </c>
      <c r="X16" s="13">
        <f>_xll.BDH("AMGN US Equity","IS_STK_BASED_COMP_AFT_TAX","FQ1 2024","FQ1 2024","Currency=USD","Period=FQ","BEST_FPERIOD_OVERRIDE=FQ","FILING_STATUS=MR","SCALING_FORMAT=MLN","Sort=A","Dates=H","DateFormat=P","Fill=—","Direction=H","UseDPDF=Y")</f>
        <v>81.37</v>
      </c>
      <c r="Y16" s="13">
        <f>_xll.BDH("AMGN US Equity","IS_STK_BASED_COMP_AFT_TAX","FQ2 2024","FQ2 2024","Currency=USD","Period=FQ","BEST_FPERIOD_OVERRIDE=FQ","FILING_STATUS=MR","SCALING_FORMAT=MLN","Sort=A","Dates=H","DateFormat=P","Fill=—","Direction=H","UseDPDF=Y")</f>
        <v>205.4</v>
      </c>
      <c r="Z16" s="13">
        <f>_xll.BDH("AMGN US Equity","IS_STK_BASED_COMP_AFT_TAX","FQ3 2024","FQ3 2024","Currency=USD","Period=FQ","BEST_FPERIOD_OVERRIDE=FQ","FILING_STATUS=MR","SCALING_FORMAT=MLN","Sort=A","Dates=H","DateFormat=P","Fill=—","Direction=H","UseDPDF=Y")</f>
        <v>107.44</v>
      </c>
      <c r="AA16" s="13">
        <f>_xll.BDH("AMGN US Equity","IS_STK_BASED_COMP_AFT_TAX","FQ4 2024","FQ4 2024","Currency=USD","Period=FQ","BEST_FPERIOD_OVERRIDE=FQ","FILING_STATUS=MR","SCALING_FORMAT=MLN","Sort=A","Dates=H","DateFormat=P","Fill=—","Direction=H","UseDPDF=Y")</f>
        <v>105.86</v>
      </c>
    </row>
    <row r="17" spans="1:27" x14ac:dyDescent="0.25">
      <c r="A17" s="10" t="s">
        <v>679</v>
      </c>
      <c r="B17" s="10" t="s">
        <v>680</v>
      </c>
      <c r="C17" s="14">
        <f>_xll.BDH("AMGN US Equity","IS_STK_BASED_COMP_PER_BAS_SH","FQ4 2018","FQ4 2018","Currency=USD","Period=FQ","BEST_FPERIOD_OVERRIDE=FQ","FILING_STATUS=MR","Sort=A","Dates=H","DateFormat=P","Fill=—","Direction=H","UseDPDF=Y")</f>
        <v>0.1082</v>
      </c>
      <c r="D17" s="14" t="str">
        <f>_xll.BDH("AMGN US Equity","IS_STK_BASED_COMP_PER_BAS_SH","FQ1 2019","FQ1 2019","Currency=USD","Period=FQ","BEST_FPERIOD_OVERRIDE=FQ","FILING_STATUS=MR","Sort=A","Dates=H","DateFormat=P","Fill=—","Direction=H","UseDPDF=Y")</f>
        <v>—</v>
      </c>
      <c r="E17" s="14" t="str">
        <f>_xll.BDH("AMGN US Equity","IS_STK_BASED_COMP_PER_BAS_SH","FQ2 2019","FQ2 2019","Currency=USD","Period=FQ","BEST_FPERIOD_OVERRIDE=FQ","FILING_STATUS=MR","Sort=A","Dates=H","DateFormat=P","Fill=—","Direction=H","UseDPDF=Y")</f>
        <v>—</v>
      </c>
      <c r="F17" s="14" t="str">
        <f>_xll.BDH("AMGN US Equity","IS_STK_BASED_COMP_PER_BAS_SH","FQ3 2019","FQ3 2019","Currency=USD","Period=FQ","BEST_FPERIOD_OVERRIDE=FQ","FILING_STATUS=MR","Sort=A","Dates=H","DateFormat=P","Fill=—","Direction=H","UseDPDF=Y")</f>
        <v>—</v>
      </c>
      <c r="G17" s="14" t="str">
        <f>_xll.BDH("AMGN US Equity","IS_STK_BASED_COMP_PER_BAS_SH","FQ4 2019","FQ4 2019","Currency=USD","Period=FQ","BEST_FPERIOD_OVERRIDE=FQ","FILING_STATUS=MR","Sort=A","Dates=H","DateFormat=P","Fill=—","Direction=H","UseDPDF=Y")</f>
        <v>—</v>
      </c>
      <c r="H17" s="14" t="str">
        <f>_xll.BDH("AMGN US Equity","IS_STK_BASED_COMP_PER_BAS_SH","FQ1 2020","FQ1 2020","Currency=USD","Period=FQ","BEST_FPERIOD_OVERRIDE=FQ","FILING_STATUS=MR","Sort=A","Dates=H","DateFormat=P","Fill=—","Direction=H","UseDPDF=Y")</f>
        <v>—</v>
      </c>
      <c r="I17" s="14" t="str">
        <f>_xll.BDH("AMGN US Equity","IS_STK_BASED_COMP_PER_BAS_SH","FQ2 2020","FQ2 2020","Currency=USD","Period=FQ","BEST_FPERIOD_OVERRIDE=FQ","FILING_STATUS=MR","Sort=A","Dates=H","DateFormat=P","Fill=—","Direction=H","UseDPDF=Y")</f>
        <v>—</v>
      </c>
      <c r="J17" s="14" t="str">
        <f>_xll.BDH("AMGN US Equity","IS_STK_BASED_COMP_PER_BAS_SH","FQ3 2020","FQ3 2020","Currency=USD","Period=FQ","BEST_FPERIOD_OVERRIDE=FQ","FILING_STATUS=MR","Sort=A","Dates=H","DateFormat=P","Fill=—","Direction=H","UseDPDF=Y")</f>
        <v>—</v>
      </c>
      <c r="K17" s="14" t="str">
        <f>_xll.BDH("AMGN US Equity","IS_STK_BASED_COMP_PER_BAS_SH","FQ4 2020","FQ4 2020","Currency=USD","Period=FQ","BEST_FPERIOD_OVERRIDE=FQ","FILING_STATUS=MR","Sort=A","Dates=H","DateFormat=P","Fill=—","Direction=H","UseDPDF=Y")</f>
        <v>—</v>
      </c>
      <c r="L17" s="14" t="str">
        <f>_xll.BDH("AMGN US Equity","IS_STK_BASED_COMP_PER_BAS_SH","FQ1 2021","FQ1 2021","Currency=USD","Period=FQ","BEST_FPERIOD_OVERRIDE=FQ","FILING_STATUS=MR","Sort=A","Dates=H","DateFormat=P","Fill=—","Direction=H","UseDPDF=Y")</f>
        <v>—</v>
      </c>
      <c r="M17" s="14" t="str">
        <f>_xll.BDH("AMGN US Equity","IS_STK_BASED_COMP_PER_BAS_SH","FQ2 2021","FQ2 2021","Currency=USD","Period=FQ","BEST_FPERIOD_OVERRIDE=FQ","FILING_STATUS=MR","Sort=A","Dates=H","DateFormat=P","Fill=—","Direction=H","UseDPDF=Y")</f>
        <v>—</v>
      </c>
      <c r="N17" s="14" t="str">
        <f>_xll.BDH("AMGN US Equity","IS_STK_BASED_COMP_PER_BAS_SH","FQ3 2021","FQ3 2021","Currency=USD","Period=FQ","BEST_FPERIOD_OVERRIDE=FQ","FILING_STATUS=MR","Sort=A","Dates=H","DateFormat=P","Fill=—","Direction=H","UseDPDF=Y")</f>
        <v>—</v>
      </c>
      <c r="O17" s="14" t="str">
        <f>_xll.BDH("AMGN US Equity","IS_STK_BASED_COMP_PER_BAS_SH","FQ4 2021","FQ4 2021","Currency=USD","Period=FQ","BEST_FPERIOD_OVERRIDE=FQ","FILING_STATUS=MR","Sort=A","Dates=H","DateFormat=P","Fill=—","Direction=H","UseDPDF=Y")</f>
        <v>—</v>
      </c>
      <c r="P17" s="14" t="str">
        <f>_xll.BDH("AMGN US Equity","IS_STK_BASED_COMP_PER_BAS_SH","FQ1 2022","FQ1 2022","Currency=USD","Period=FQ","BEST_FPERIOD_OVERRIDE=FQ","FILING_STATUS=MR","Sort=A","Dates=H","DateFormat=P","Fill=—","Direction=H","UseDPDF=Y")</f>
        <v>—</v>
      </c>
      <c r="Q17" s="14" t="str">
        <f>_xll.BDH("AMGN US Equity","IS_STK_BASED_COMP_PER_BAS_SH","FQ2 2022","FQ2 2022","Currency=USD","Period=FQ","BEST_FPERIOD_OVERRIDE=FQ","FILING_STATUS=MR","Sort=A","Dates=H","DateFormat=P","Fill=—","Direction=H","UseDPDF=Y")</f>
        <v>—</v>
      </c>
      <c r="R17" s="14" t="str">
        <f>_xll.BDH("AMGN US Equity","IS_STK_BASED_COMP_PER_BAS_SH","FQ3 2022","FQ3 2022","Currency=USD","Period=FQ","BEST_FPERIOD_OVERRIDE=FQ","FILING_STATUS=MR","Sort=A","Dates=H","DateFormat=P","Fill=—","Direction=H","UseDPDF=Y")</f>
        <v>—</v>
      </c>
      <c r="S17" s="14">
        <f>_xll.BDH("AMGN US Equity","IS_STK_BASED_COMP_PER_BAS_SH","FQ4 2022","FQ4 2022","Currency=USD","Period=FQ","BEST_FPERIOD_OVERRIDE=FQ","FILING_STATUS=MR","Sort=A","Dates=H","DateFormat=P","Fill=—","Direction=H","UseDPDF=Y")</f>
        <v>0.1211</v>
      </c>
      <c r="T17" s="14" t="str">
        <f>_xll.BDH("AMGN US Equity","IS_STK_BASED_COMP_PER_BAS_SH","FQ1 2023","FQ1 2023","Currency=USD","Period=FQ","BEST_FPERIOD_OVERRIDE=FQ","FILING_STATUS=MR","Sort=A","Dates=H","DateFormat=P","Fill=—","Direction=H","UseDPDF=Y")</f>
        <v>—</v>
      </c>
      <c r="U17" s="14" t="str">
        <f>_xll.BDH("AMGN US Equity","IS_STK_BASED_COMP_PER_BAS_SH","FQ2 2023","FQ2 2023","Currency=USD","Period=FQ","BEST_FPERIOD_OVERRIDE=FQ","FILING_STATUS=MR","Sort=A","Dates=H","DateFormat=P","Fill=—","Direction=H","UseDPDF=Y")</f>
        <v>—</v>
      </c>
      <c r="V17" s="14" t="str">
        <f>_xll.BDH("AMGN US Equity","IS_STK_BASED_COMP_PER_BAS_SH","FQ3 2023","FQ3 2023","Currency=USD","Period=FQ","BEST_FPERIOD_OVERRIDE=FQ","FILING_STATUS=MR","Sort=A","Dates=H","DateFormat=P","Fill=—","Direction=H","UseDPDF=Y")</f>
        <v>—</v>
      </c>
      <c r="W17" s="14" t="str">
        <f>_xll.BDH("AMGN US Equity","IS_STK_BASED_COMP_PER_BAS_SH","FQ4 2023","FQ4 2023","Currency=USD","Period=FQ","BEST_FPERIOD_OVERRIDE=FQ","FILING_STATUS=MR","Sort=A","Dates=H","DateFormat=P","Fill=—","Direction=H","UseDPDF=Y")</f>
        <v>—</v>
      </c>
      <c r="X17" s="14">
        <f>_xll.BDH("AMGN US Equity","IS_STK_BASED_COMP_PER_BAS_SH","FQ1 2024","FQ1 2024","Currency=USD","Period=FQ","BEST_FPERIOD_OVERRIDE=FQ","FILING_STATUS=MR","Sort=A","Dates=H","DateFormat=P","Fill=—","Direction=H","UseDPDF=Y")</f>
        <v>0.15179999999999999</v>
      </c>
      <c r="Y17" s="14">
        <f>_xll.BDH("AMGN US Equity","IS_STK_BASED_COMP_PER_BAS_SH","FQ2 2024","FQ2 2024","Currency=USD","Period=FQ","BEST_FPERIOD_OVERRIDE=FQ","FILING_STATUS=MR","Sort=A","Dates=H","DateFormat=P","Fill=—","Direction=H","UseDPDF=Y")</f>
        <v>0.38250000000000001</v>
      </c>
      <c r="Z17" s="14">
        <f>_xll.BDH("AMGN US Equity","IS_STK_BASED_COMP_PER_BAS_SH","FQ3 2024","FQ3 2024","Currency=USD","Period=FQ","BEST_FPERIOD_OVERRIDE=FQ","FILING_STATUS=MR","Sort=A","Dates=H","DateFormat=P","Fill=—","Direction=H","UseDPDF=Y")</f>
        <v>0.2001</v>
      </c>
      <c r="AA17" s="14">
        <f>_xll.BDH("AMGN US Equity","IS_STK_BASED_COMP_PER_BAS_SH","FQ4 2024","FQ4 2024","Currency=USD","Period=FQ","BEST_FPERIOD_OVERRIDE=FQ","FILING_STATUS=MR","Sort=A","Dates=H","DateFormat=P","Fill=—","Direction=H","UseDPDF=Y")</f>
        <v>0.1971</v>
      </c>
    </row>
    <row r="18" spans="1:27" x14ac:dyDescent="0.25">
      <c r="A18" s="10" t="s">
        <v>681</v>
      </c>
      <c r="B18" s="10" t="s">
        <v>682</v>
      </c>
      <c r="C18" s="14">
        <f>_xll.BDH("AMGN US Equity","IS_STK_BASED_COMP_PER_DIL_SH","FQ4 2018","FQ4 2018","Currency=USD","Period=FQ","BEST_FPERIOD_OVERRIDE=FQ","FILING_STATUS=MR","Sort=A","Dates=H","DateFormat=P","Fill=—","Direction=H","UseDPDF=Y")</f>
        <v>0.1074</v>
      </c>
      <c r="D18" s="14" t="str">
        <f>_xll.BDH("AMGN US Equity","IS_STK_BASED_COMP_PER_DIL_SH","FQ1 2019","FQ1 2019","Currency=USD","Period=FQ","BEST_FPERIOD_OVERRIDE=FQ","FILING_STATUS=MR","Sort=A","Dates=H","DateFormat=P","Fill=—","Direction=H","UseDPDF=Y")</f>
        <v>—</v>
      </c>
      <c r="E18" s="14" t="str">
        <f>_xll.BDH("AMGN US Equity","IS_STK_BASED_COMP_PER_DIL_SH","FQ2 2019","FQ2 2019","Currency=USD","Period=FQ","BEST_FPERIOD_OVERRIDE=FQ","FILING_STATUS=MR","Sort=A","Dates=H","DateFormat=P","Fill=—","Direction=H","UseDPDF=Y")</f>
        <v>—</v>
      </c>
      <c r="F18" s="14" t="str">
        <f>_xll.BDH("AMGN US Equity","IS_STK_BASED_COMP_PER_DIL_SH","FQ3 2019","FQ3 2019","Currency=USD","Period=FQ","BEST_FPERIOD_OVERRIDE=FQ","FILING_STATUS=MR","Sort=A","Dates=H","DateFormat=P","Fill=—","Direction=H","UseDPDF=Y")</f>
        <v>—</v>
      </c>
      <c r="G18" s="14" t="str">
        <f>_xll.BDH("AMGN US Equity","IS_STK_BASED_COMP_PER_DIL_SH","FQ4 2019","FQ4 2019","Currency=USD","Period=FQ","BEST_FPERIOD_OVERRIDE=FQ","FILING_STATUS=MR","Sort=A","Dates=H","DateFormat=P","Fill=—","Direction=H","UseDPDF=Y")</f>
        <v>—</v>
      </c>
      <c r="H18" s="14" t="str">
        <f>_xll.BDH("AMGN US Equity","IS_STK_BASED_COMP_PER_DIL_SH","FQ1 2020","FQ1 2020","Currency=USD","Period=FQ","BEST_FPERIOD_OVERRIDE=FQ","FILING_STATUS=MR","Sort=A","Dates=H","DateFormat=P","Fill=—","Direction=H","UseDPDF=Y")</f>
        <v>—</v>
      </c>
      <c r="I18" s="14" t="str">
        <f>_xll.BDH("AMGN US Equity","IS_STK_BASED_COMP_PER_DIL_SH","FQ2 2020","FQ2 2020","Currency=USD","Period=FQ","BEST_FPERIOD_OVERRIDE=FQ","FILING_STATUS=MR","Sort=A","Dates=H","DateFormat=P","Fill=—","Direction=H","UseDPDF=Y")</f>
        <v>—</v>
      </c>
      <c r="J18" s="14" t="str">
        <f>_xll.BDH("AMGN US Equity","IS_STK_BASED_COMP_PER_DIL_SH","FQ3 2020","FQ3 2020","Currency=USD","Period=FQ","BEST_FPERIOD_OVERRIDE=FQ","FILING_STATUS=MR","Sort=A","Dates=H","DateFormat=P","Fill=—","Direction=H","UseDPDF=Y")</f>
        <v>—</v>
      </c>
      <c r="K18" s="14" t="str">
        <f>_xll.BDH("AMGN US Equity","IS_STK_BASED_COMP_PER_DIL_SH","FQ4 2020","FQ4 2020","Currency=USD","Period=FQ","BEST_FPERIOD_OVERRIDE=FQ","FILING_STATUS=MR","Sort=A","Dates=H","DateFormat=P","Fill=—","Direction=H","UseDPDF=Y")</f>
        <v>—</v>
      </c>
      <c r="L18" s="14" t="str">
        <f>_xll.BDH("AMGN US Equity","IS_STK_BASED_COMP_PER_DIL_SH","FQ1 2021","FQ1 2021","Currency=USD","Period=FQ","BEST_FPERIOD_OVERRIDE=FQ","FILING_STATUS=MR","Sort=A","Dates=H","DateFormat=P","Fill=—","Direction=H","UseDPDF=Y")</f>
        <v>—</v>
      </c>
      <c r="M18" s="14" t="str">
        <f>_xll.BDH("AMGN US Equity","IS_STK_BASED_COMP_PER_DIL_SH","FQ2 2021","FQ2 2021","Currency=USD","Period=FQ","BEST_FPERIOD_OVERRIDE=FQ","FILING_STATUS=MR","Sort=A","Dates=H","DateFormat=P","Fill=—","Direction=H","UseDPDF=Y")</f>
        <v>—</v>
      </c>
      <c r="N18" s="14" t="str">
        <f>_xll.BDH("AMGN US Equity","IS_STK_BASED_COMP_PER_DIL_SH","FQ3 2021","FQ3 2021","Currency=USD","Period=FQ","BEST_FPERIOD_OVERRIDE=FQ","FILING_STATUS=MR","Sort=A","Dates=H","DateFormat=P","Fill=—","Direction=H","UseDPDF=Y")</f>
        <v>—</v>
      </c>
      <c r="O18" s="14" t="str">
        <f>_xll.BDH("AMGN US Equity","IS_STK_BASED_COMP_PER_DIL_SH","FQ4 2021","FQ4 2021","Currency=USD","Period=FQ","BEST_FPERIOD_OVERRIDE=FQ","FILING_STATUS=MR","Sort=A","Dates=H","DateFormat=P","Fill=—","Direction=H","UseDPDF=Y")</f>
        <v>—</v>
      </c>
      <c r="P18" s="14" t="str">
        <f>_xll.BDH("AMGN US Equity","IS_STK_BASED_COMP_PER_DIL_SH","FQ1 2022","FQ1 2022","Currency=USD","Period=FQ","BEST_FPERIOD_OVERRIDE=FQ","FILING_STATUS=MR","Sort=A","Dates=H","DateFormat=P","Fill=—","Direction=H","UseDPDF=Y")</f>
        <v>—</v>
      </c>
      <c r="Q18" s="14" t="str">
        <f>_xll.BDH("AMGN US Equity","IS_STK_BASED_COMP_PER_DIL_SH","FQ2 2022","FQ2 2022","Currency=USD","Period=FQ","BEST_FPERIOD_OVERRIDE=FQ","FILING_STATUS=MR","Sort=A","Dates=H","DateFormat=P","Fill=—","Direction=H","UseDPDF=Y")</f>
        <v>—</v>
      </c>
      <c r="R18" s="14" t="str">
        <f>_xll.BDH("AMGN US Equity","IS_STK_BASED_COMP_PER_DIL_SH","FQ3 2022","FQ3 2022","Currency=USD","Period=FQ","BEST_FPERIOD_OVERRIDE=FQ","FILING_STATUS=MR","Sort=A","Dates=H","DateFormat=P","Fill=—","Direction=H","UseDPDF=Y")</f>
        <v>—</v>
      </c>
      <c r="S18" s="14">
        <f>_xll.BDH("AMGN US Equity","IS_STK_BASED_COMP_PER_DIL_SH","FQ4 2022","FQ4 2022","Currency=USD","Period=FQ","BEST_FPERIOD_OVERRIDE=FQ","FILING_STATUS=MR","Sort=A","Dates=H","DateFormat=P","Fill=—","Direction=H","UseDPDF=Y")</f>
        <v>0.1202</v>
      </c>
      <c r="T18" s="14" t="str">
        <f>_xll.BDH("AMGN US Equity","IS_STK_BASED_COMP_PER_DIL_SH","FQ1 2023","FQ1 2023","Currency=USD","Period=FQ","BEST_FPERIOD_OVERRIDE=FQ","FILING_STATUS=MR","Sort=A","Dates=H","DateFormat=P","Fill=—","Direction=H","UseDPDF=Y")</f>
        <v>—</v>
      </c>
      <c r="U18" s="14" t="str">
        <f>_xll.BDH("AMGN US Equity","IS_STK_BASED_COMP_PER_DIL_SH","FQ2 2023","FQ2 2023","Currency=USD","Period=FQ","BEST_FPERIOD_OVERRIDE=FQ","FILING_STATUS=MR","Sort=A","Dates=H","DateFormat=P","Fill=—","Direction=H","UseDPDF=Y")</f>
        <v>—</v>
      </c>
      <c r="V18" s="14" t="str">
        <f>_xll.BDH("AMGN US Equity","IS_STK_BASED_COMP_PER_DIL_SH","FQ3 2023","FQ3 2023","Currency=USD","Period=FQ","BEST_FPERIOD_OVERRIDE=FQ","FILING_STATUS=MR","Sort=A","Dates=H","DateFormat=P","Fill=—","Direction=H","UseDPDF=Y")</f>
        <v>—</v>
      </c>
      <c r="W18" s="14" t="str">
        <f>_xll.BDH("AMGN US Equity","IS_STK_BASED_COMP_PER_DIL_SH","FQ4 2023","FQ4 2023","Currency=USD","Period=FQ","BEST_FPERIOD_OVERRIDE=FQ","FILING_STATUS=MR","Sort=A","Dates=H","DateFormat=P","Fill=—","Direction=H","UseDPDF=Y")</f>
        <v>—</v>
      </c>
      <c r="X18" s="14">
        <f>_xll.BDH("AMGN US Equity","IS_STK_BASED_COMP_PER_DIL_SH","FQ1 2024","FQ1 2024","Currency=USD","Period=FQ","BEST_FPERIOD_OVERRIDE=FQ","FILING_STATUS=MR","Sort=A","Dates=H","DateFormat=P","Fill=—","Direction=H","UseDPDF=Y")</f>
        <v>0.15179999999999999</v>
      </c>
      <c r="Y18" s="14">
        <f>_xll.BDH("AMGN US Equity","IS_STK_BASED_COMP_PER_DIL_SH","FQ2 2024","FQ2 2024","Currency=USD","Period=FQ","BEST_FPERIOD_OVERRIDE=FQ","FILING_STATUS=MR","Sort=A","Dates=H","DateFormat=P","Fill=—","Direction=H","UseDPDF=Y")</f>
        <v>0.37969999999999998</v>
      </c>
      <c r="Z18" s="14">
        <f>_xll.BDH("AMGN US Equity","IS_STK_BASED_COMP_PER_DIL_SH","FQ3 2024","FQ3 2024","Currency=USD","Period=FQ","BEST_FPERIOD_OVERRIDE=FQ","FILING_STATUS=MR","Sort=A","Dates=H","DateFormat=P","Fill=—","Direction=H","UseDPDF=Y")</f>
        <v>0.19819999999999999</v>
      </c>
      <c r="AA18" s="14">
        <f>_xll.BDH("AMGN US Equity","IS_STK_BASED_COMP_PER_DIL_SH","FQ4 2024","FQ4 2024","Currency=USD","Period=FQ","BEST_FPERIOD_OVERRIDE=FQ","FILING_STATUS=MR","Sort=A","Dates=H","DateFormat=P","Fill=—","Direction=H","UseDPDF=Y")</f>
        <v>0.1953</v>
      </c>
    </row>
    <row r="19" spans="1:27" x14ac:dyDescent="0.25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5">
      <c r="A20" s="1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25">
      <c r="A21" s="10" t="s">
        <v>683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10" t="s">
        <v>675</v>
      </c>
      <c r="B22" s="10" t="s">
        <v>684</v>
      </c>
      <c r="C22" s="13">
        <f>_xll.BDH("AMGN US Equity","IS_AMORT_OF_INTANG_ACQUIS_REL","FQ4 2018","FQ4 2018","Currency=USD","Period=FQ","BEST_FPERIOD_OVERRIDE=FQ","FILING_STATUS=MR","SCALING_FORMAT=MLN","Sort=A","Dates=H","DateFormat=P","Fill=—","Direction=H","UseDPDF=Y")</f>
        <v>314</v>
      </c>
      <c r="D22" s="13">
        <f>_xll.BDH("AMGN US Equity","IS_AMORT_OF_INTANG_ACQUIS_REL","FQ1 2019","FQ1 2019","Currency=USD","Period=FQ","BEST_FPERIOD_OVERRIDE=FQ","FILING_STATUS=MR","SCALING_FORMAT=MLN","Sort=A","Dates=H","DateFormat=P","Fill=—","Direction=H","UseDPDF=Y")</f>
        <v>300</v>
      </c>
      <c r="E22" s="13">
        <f>_xll.BDH("AMGN US Equity","IS_AMORT_OF_INTANG_ACQUIS_REL","FQ2 2019","FQ2 2019","Currency=USD","Period=FQ","BEST_FPERIOD_OVERRIDE=FQ","FILING_STATUS=MR","SCALING_FORMAT=MLN","Sort=A","Dates=H","DateFormat=P","Fill=—","Direction=H","UseDPDF=Y")</f>
        <v>299</v>
      </c>
      <c r="F22" s="13">
        <f>_xll.BDH("AMGN US Equity","IS_AMORT_OF_INTANG_ACQUIS_REL","FQ3 2019","FQ3 2019","Currency=USD","Period=FQ","BEST_FPERIOD_OVERRIDE=FQ","FILING_STATUS=MR","SCALING_FORMAT=MLN","Sort=A","Dates=H","DateFormat=P","Fill=—","Direction=H","UseDPDF=Y")</f>
        <v>317</v>
      </c>
      <c r="G22" s="13">
        <f>_xll.BDH("AMGN US Equity","IS_AMORT_OF_INTANG_ACQUIS_REL","FQ4 2019","FQ4 2019","Currency=USD","Period=FQ","BEST_FPERIOD_OVERRIDE=FQ","FILING_STATUS=MR","SCALING_FORMAT=MLN","Sort=A","Dates=H","DateFormat=P","Fill=—","Direction=H","UseDPDF=Y")</f>
        <v>500</v>
      </c>
      <c r="H22" s="13">
        <f>_xll.BDH("AMGN US Equity","IS_AMORT_OF_INTANG_ACQUIS_REL","FQ1 2020","FQ1 2020","Currency=USD","Period=FQ","BEST_FPERIOD_OVERRIDE=FQ","FILING_STATUS=MR","SCALING_FORMAT=MLN","Sort=A","Dates=H","DateFormat=P","Fill=—","Direction=H","UseDPDF=Y")</f>
        <v>796</v>
      </c>
      <c r="I22" s="13">
        <f>_xll.BDH("AMGN US Equity","IS_AMORT_OF_INTANG_ACQUIS_REL","FQ2 2020","FQ2 2020","Currency=USD","Period=FQ","BEST_FPERIOD_OVERRIDE=FQ","FILING_STATUS=MR","SCALING_FORMAT=MLN","Sort=A","Dates=H","DateFormat=P","Fill=—","Direction=H","UseDPDF=Y")</f>
        <v>788</v>
      </c>
      <c r="J22" s="13">
        <f>_xll.BDH("AMGN US Equity","IS_AMORT_OF_INTANG_ACQUIS_REL","FQ3 2020","FQ3 2020","Currency=USD","Period=FQ","BEST_FPERIOD_OVERRIDE=FQ","FILING_STATUS=MR","SCALING_FORMAT=MLN","Sort=A","Dates=H","DateFormat=P","Fill=—","Direction=H","UseDPDF=Y")</f>
        <v>726</v>
      </c>
      <c r="K22" s="13">
        <f>_xll.BDH("AMGN US Equity","IS_AMORT_OF_INTANG_ACQUIS_REL","FQ4 2020","FQ4 2020","Currency=USD","Period=FQ","BEST_FPERIOD_OVERRIDE=FQ","FILING_STATUS=MR","SCALING_FORMAT=MLN","Sort=A","Dates=H","DateFormat=P","Fill=—","Direction=H","UseDPDF=Y")</f>
        <v>692</v>
      </c>
      <c r="L22" s="13">
        <f>_xll.BDH("AMGN US Equity","IS_AMORT_OF_INTANG_ACQUIS_REL","FQ1 2021","FQ1 2021","Currency=USD","Period=FQ","BEST_FPERIOD_OVERRIDE=FQ","FILING_STATUS=MR","SCALING_FORMAT=MLN","Sort=A","Dates=H","DateFormat=P","Fill=—","Direction=H","UseDPDF=Y")</f>
        <v>658</v>
      </c>
      <c r="M22" s="13">
        <f>_xll.BDH("AMGN US Equity","IS_AMORT_OF_INTANG_ACQUIS_REL","FQ2 2021","FQ2 2021","Currency=USD","Period=FQ","BEST_FPERIOD_OVERRIDE=FQ","FILING_STATUS=MR","SCALING_FORMAT=MLN","Sort=A","Dates=H","DateFormat=P","Fill=—","Direction=H","UseDPDF=Y")</f>
        <v>688</v>
      </c>
      <c r="N22" s="13">
        <f>_xll.BDH("AMGN US Equity","IS_AMORT_OF_INTANG_ACQUIS_REL","FQ3 2021","FQ3 2021","Currency=USD","Period=FQ","BEST_FPERIOD_OVERRIDE=FQ","FILING_STATUS=MR","SCALING_FORMAT=MLN","Sort=A","Dates=H","DateFormat=P","Fill=—","Direction=H","UseDPDF=Y")</f>
        <v>647</v>
      </c>
      <c r="O22" s="13">
        <f>_xll.BDH("AMGN US Equity","IS_AMORT_OF_INTANG_ACQUIS_REL","FQ4 2021","FQ4 2021","Currency=USD","Period=FQ","BEST_FPERIOD_OVERRIDE=FQ","FILING_STATUS=MR","SCALING_FORMAT=MLN","Sort=A","Dates=H","DateFormat=P","Fill=—","Direction=H","UseDPDF=Y")</f>
        <v>665</v>
      </c>
      <c r="P22" s="13">
        <f>_xll.BDH("AMGN US Equity","IS_AMORT_OF_INTANG_ACQUIS_REL","FQ1 2022","FQ1 2022","Currency=USD","Period=FQ","BEST_FPERIOD_OVERRIDE=FQ","FILING_STATUS=MR","SCALING_FORMAT=MLN","Sort=A","Dates=H","DateFormat=P","Fill=—","Direction=H","UseDPDF=Y")</f>
        <v>650</v>
      </c>
      <c r="Q22" s="13">
        <f>_xll.BDH("AMGN US Equity","IS_AMORT_OF_INTANG_ACQUIS_REL","FQ2 2022","FQ2 2022","Currency=USD","Period=FQ","BEST_FPERIOD_OVERRIDE=FQ","FILING_STATUS=MR","SCALING_FORMAT=MLN","Sort=A","Dates=H","DateFormat=P","Fill=—","Direction=H","UseDPDF=Y")</f>
        <v>617</v>
      </c>
      <c r="R22" s="13">
        <f>_xll.BDH("AMGN US Equity","IS_AMORT_OF_INTANG_ACQUIS_REL","FQ3 2022","FQ3 2022","Currency=USD","Period=FQ","BEST_FPERIOD_OVERRIDE=FQ","FILING_STATUS=MR","SCALING_FORMAT=MLN","Sort=A","Dates=H","DateFormat=P","Fill=—","Direction=H","UseDPDF=Y")</f>
        <v>612</v>
      </c>
      <c r="S22" s="13">
        <f>_xll.BDH("AMGN US Equity","IS_AMORT_OF_INTANG_ACQUIS_REL","FQ4 2022","FQ4 2022","Currency=USD","Period=FQ","BEST_FPERIOD_OVERRIDE=FQ","FILING_STATUS=MR","SCALING_FORMAT=MLN","Sort=A","Dates=H","DateFormat=P","Fill=—","Direction=H","UseDPDF=Y")</f>
        <v>813</v>
      </c>
      <c r="T22" s="13">
        <f>_xll.BDH("AMGN US Equity","IS_AMORT_OF_INTANG_ACQUIS_REL","FQ1 2023","FQ1 2023","Currency=USD","Period=FQ","BEST_FPERIOD_OVERRIDE=FQ","FILING_STATUS=MR","SCALING_FORMAT=MLN","Sort=A","Dates=H","DateFormat=P","Fill=—","Direction=H","UseDPDF=Y")</f>
        <v>752</v>
      </c>
      <c r="U22" s="13">
        <f>_xll.BDH("AMGN US Equity","IS_AMORT_OF_INTANG_ACQUIS_REL","FQ2 2023","FQ2 2023","Currency=USD","Period=FQ","BEST_FPERIOD_OVERRIDE=FQ","FILING_STATUS=MR","SCALING_FORMAT=MLN","Sort=A","Dates=H","DateFormat=P","Fill=—","Direction=H","UseDPDF=Y")</f>
        <v>732</v>
      </c>
      <c r="V22" s="13">
        <f>_xll.BDH("AMGN US Equity","IS_AMORT_OF_INTANG_ACQUIS_REL","FQ3 2023","FQ3 2023","Currency=USD","Period=FQ","BEST_FPERIOD_OVERRIDE=FQ","FILING_STATUS=MR","SCALING_FORMAT=MLN","Sort=A","Dates=H","DateFormat=P","Fill=—","Direction=H","UseDPDF=Y")</f>
        <v>677</v>
      </c>
      <c r="W22" s="13">
        <f>_xll.BDH("AMGN US Equity","IS_AMORT_OF_INTANG_ACQUIS_REL","FQ4 2023","FQ4 2023","Currency=USD","Period=FQ","BEST_FPERIOD_OVERRIDE=FQ","FILING_STATUS=MR","SCALING_FORMAT=MLN","Sort=A","Dates=H","DateFormat=P","Fill=—","Direction=H","UseDPDF=Y")</f>
        <v>1862</v>
      </c>
      <c r="X22" s="13">
        <f>_xll.BDH("AMGN US Equity","IS_AMORT_OF_INTANG_ACQUIS_REL","FQ1 2024","FQ1 2024","Currency=USD","Period=FQ","BEST_FPERIOD_OVERRIDE=FQ","FILING_STATUS=MR","SCALING_FORMAT=MLN","Sort=A","Dates=H","DateFormat=P","Fill=—","Direction=H","UseDPDF=Y")</f>
        <v>1982</v>
      </c>
      <c r="Y22" s="13">
        <f>_xll.BDH("AMGN US Equity","IS_AMORT_OF_INTANG_ACQUIS_REL","FQ2 2024","FQ2 2024","Currency=USD","Period=FQ","BEST_FPERIOD_OVERRIDE=FQ","FILING_STATUS=MR","SCALING_FORMAT=MLN","Sort=A","Dates=H","DateFormat=P","Fill=—","Direction=H","UseDPDF=Y")</f>
        <v>1953</v>
      </c>
      <c r="Z22" s="13">
        <f>_xll.BDH("AMGN US Equity","IS_AMORT_OF_INTANG_ACQUIS_REL","FQ3 2024","FQ3 2024","Currency=USD","Period=FQ","BEST_FPERIOD_OVERRIDE=FQ","FILING_STATUS=MR","SCALING_FORMAT=MLN","Sort=A","Dates=H","DateFormat=P","Fill=—","Direction=H","UseDPDF=Y")</f>
        <v>1926</v>
      </c>
      <c r="AA22" s="13">
        <f>_xll.BDH("AMGN US Equity","IS_AMORT_OF_INTANG_ACQUIS_REL","FQ4 2024","FQ4 2024","Currency=USD","Period=FQ","BEST_FPERIOD_OVERRIDE=FQ","FILING_STATUS=MR","SCALING_FORMAT=MLN","Sort=A","Dates=H","DateFormat=P","Fill=—","Direction=H","UseDPDF=Y")</f>
        <v>402</v>
      </c>
    </row>
    <row r="23" spans="1:27" x14ac:dyDescent="0.25">
      <c r="A23" s="10" t="s">
        <v>677</v>
      </c>
      <c r="B23" s="10" t="s">
        <v>685</v>
      </c>
      <c r="C23" s="13">
        <f>_xll.BDH("AMGN US Equity","IS_AMORT_INTANG_ACQ_REL_AT","FQ4 2018","FQ4 2018","Currency=USD","Period=FQ","BEST_FPERIOD_OVERRIDE=FQ","FILING_STATUS=MR","SCALING_FORMAT=MLN","Sort=A","Dates=H","DateFormat=P","Fill=—","Direction=H","UseDPDF=Y")</f>
        <v>248.06</v>
      </c>
      <c r="D23" s="13">
        <f>_xll.BDH("AMGN US Equity","IS_AMORT_INTANG_ACQ_REL_AT","FQ1 2019","FQ1 2019","Currency=USD","Period=FQ","BEST_FPERIOD_OVERRIDE=FQ","FILING_STATUS=MR","SCALING_FORMAT=MLN","Sort=A","Dates=H","DateFormat=P","Fill=—","Direction=H","UseDPDF=Y")</f>
        <v>237</v>
      </c>
      <c r="E23" s="13">
        <f>_xll.BDH("AMGN US Equity","IS_AMORT_INTANG_ACQ_REL_AT","FQ2 2019","FQ2 2019","Currency=USD","Period=FQ","BEST_FPERIOD_OVERRIDE=FQ","FILING_STATUS=MR","SCALING_FORMAT=MLN","Sort=A","Dates=H","DateFormat=P","Fill=—","Direction=H","UseDPDF=Y")</f>
        <v>236.21</v>
      </c>
      <c r="F23" s="13">
        <f>_xll.BDH("AMGN US Equity","IS_AMORT_INTANG_ACQ_REL_AT","FQ3 2019","FQ3 2019","Currency=USD","Period=FQ","BEST_FPERIOD_OVERRIDE=FQ","FILING_STATUS=MR","SCALING_FORMAT=MLN","Sort=A","Dates=H","DateFormat=P","Fill=—","Direction=H","UseDPDF=Y")</f>
        <v>250.43</v>
      </c>
      <c r="G23" s="13">
        <f>_xll.BDH("AMGN US Equity","IS_AMORT_INTANG_ACQ_REL_AT","FQ4 2019","FQ4 2019","Currency=USD","Period=FQ","BEST_FPERIOD_OVERRIDE=FQ","FILING_STATUS=MR","SCALING_FORMAT=MLN","Sort=A","Dates=H","DateFormat=P","Fill=—","Direction=H","UseDPDF=Y")</f>
        <v>395</v>
      </c>
      <c r="H23" s="13">
        <f>_xll.BDH("AMGN US Equity","IS_AMORT_INTANG_ACQ_REL_AT","FQ1 2020","FQ1 2020","Currency=USD","Period=FQ","BEST_FPERIOD_OVERRIDE=FQ","FILING_STATUS=MR","SCALING_FORMAT=MLN","Sort=A","Dates=H","DateFormat=P","Fill=—","Direction=H","UseDPDF=Y")</f>
        <v>628.84</v>
      </c>
      <c r="I23" s="13">
        <f>_xll.BDH("AMGN US Equity","IS_AMORT_INTANG_ACQ_REL_AT","FQ2 2020","FQ2 2020","Currency=USD","Period=FQ","BEST_FPERIOD_OVERRIDE=FQ","FILING_STATUS=MR","SCALING_FORMAT=MLN","Sort=A","Dates=H","DateFormat=P","Fill=—","Direction=H","UseDPDF=Y")</f>
        <v>622.52</v>
      </c>
      <c r="J23" s="13">
        <f>_xll.BDH("AMGN US Equity","IS_AMORT_INTANG_ACQ_REL_AT","FQ3 2020","FQ3 2020","Currency=USD","Period=FQ","BEST_FPERIOD_OVERRIDE=FQ","FILING_STATUS=MR","SCALING_FORMAT=MLN","Sort=A","Dates=H","DateFormat=P","Fill=—","Direction=H","UseDPDF=Y")</f>
        <v>573.54</v>
      </c>
      <c r="K23" s="13">
        <f>_xll.BDH("AMGN US Equity","IS_AMORT_INTANG_ACQ_REL_AT","FQ4 2020","FQ4 2020","Currency=USD","Period=FQ","BEST_FPERIOD_OVERRIDE=FQ","FILING_STATUS=MR","SCALING_FORMAT=MLN","Sort=A","Dates=H","DateFormat=P","Fill=—","Direction=H","UseDPDF=Y")</f>
        <v>564.93529999999998</v>
      </c>
      <c r="L23" s="13">
        <f>_xll.BDH("AMGN US Equity","IS_AMORT_INTANG_ACQ_REL_AT","FQ1 2021","FQ1 2021","Currency=USD","Period=FQ","BEST_FPERIOD_OVERRIDE=FQ","FILING_STATUS=MR","SCALING_FORMAT=MLN","Sort=A","Dates=H","DateFormat=P","Fill=—","Direction=H","UseDPDF=Y")</f>
        <v>519.82000000000005</v>
      </c>
      <c r="M23" s="13">
        <f>_xll.BDH("AMGN US Equity","IS_AMORT_INTANG_ACQ_REL_AT","FQ2 2021","FQ2 2021","Currency=USD","Period=FQ","BEST_FPERIOD_OVERRIDE=FQ","FILING_STATUS=MR","SCALING_FORMAT=MLN","Sort=A","Dates=H","DateFormat=P","Fill=—","Direction=H","UseDPDF=Y")</f>
        <v>543.52</v>
      </c>
      <c r="N23" s="13">
        <f>_xll.BDH("AMGN US Equity","IS_AMORT_INTANG_ACQ_REL_AT","FQ3 2021","FQ3 2021","Currency=USD","Period=FQ","BEST_FPERIOD_OVERRIDE=FQ","FILING_STATUS=MR","SCALING_FORMAT=MLN","Sort=A","Dates=H","DateFormat=P","Fill=—","Direction=H","UseDPDF=Y")</f>
        <v>511.13</v>
      </c>
      <c r="O23" s="13">
        <f>_xll.BDH("AMGN US Equity","IS_AMORT_INTANG_ACQ_REL_AT","FQ4 2021","FQ4 2021","Currency=USD","Period=FQ","BEST_FPERIOD_OVERRIDE=FQ","FILING_STATUS=MR","SCALING_FORMAT=MLN","Sort=A","Dates=H","DateFormat=P","Fill=—","Direction=H","UseDPDF=Y")</f>
        <v>558.92639999999994</v>
      </c>
      <c r="P23" s="13">
        <f>_xll.BDH("AMGN US Equity","IS_AMORT_INTANG_ACQ_REL_AT","FQ1 2022","FQ1 2022","Currency=USD","Period=FQ","BEST_FPERIOD_OVERRIDE=FQ","FILING_STATUS=MR","SCALING_FORMAT=MLN","Sort=A","Dates=H","DateFormat=P","Fill=—","Direction=H","UseDPDF=Y")</f>
        <v>513.5</v>
      </c>
      <c r="Q23" s="13">
        <f>_xll.BDH("AMGN US Equity","IS_AMORT_INTANG_ACQ_REL_AT","FQ2 2022","FQ2 2022","Currency=USD","Period=FQ","BEST_FPERIOD_OVERRIDE=FQ","FILING_STATUS=MR","SCALING_FORMAT=MLN","Sort=A","Dates=H","DateFormat=P","Fill=—","Direction=H","UseDPDF=Y")</f>
        <v>487.43</v>
      </c>
      <c r="R23" s="13">
        <f>_xll.BDH("AMGN US Equity","IS_AMORT_INTANG_ACQ_REL_AT","FQ3 2022","FQ3 2022","Currency=USD","Period=FQ","BEST_FPERIOD_OVERRIDE=FQ","FILING_STATUS=MR","SCALING_FORMAT=MLN","Sort=A","Dates=H","DateFormat=P","Fill=—","Direction=H","UseDPDF=Y")</f>
        <v>483.48</v>
      </c>
      <c r="S23" s="13">
        <f>_xll.BDH("AMGN US Equity","IS_AMORT_INTANG_ACQ_REL_AT","FQ4 2022","FQ4 2022","Currency=USD","Period=FQ","BEST_FPERIOD_OVERRIDE=FQ","FILING_STATUS=MR","SCALING_FORMAT=MLN","Sort=A","Dates=H","DateFormat=P","Fill=—","Direction=H","UseDPDF=Y")</f>
        <v>642.27</v>
      </c>
      <c r="T23" s="13">
        <f>_xll.BDH("AMGN US Equity","IS_AMORT_INTANG_ACQ_REL_AT","FQ1 2023","FQ1 2023","Currency=USD","Period=FQ","BEST_FPERIOD_OVERRIDE=FQ","FILING_STATUS=MR","SCALING_FORMAT=MLN","Sort=A","Dates=H","DateFormat=P","Fill=—","Direction=H","UseDPDF=Y")</f>
        <v>594.08000000000004</v>
      </c>
      <c r="U23" s="13">
        <f>_xll.BDH("AMGN US Equity","IS_AMORT_INTANG_ACQ_REL_AT","FQ2 2023","FQ2 2023","Currency=USD","Period=FQ","BEST_FPERIOD_OVERRIDE=FQ","FILING_STATUS=MR","SCALING_FORMAT=MLN","Sort=A","Dates=H","DateFormat=P","Fill=—","Direction=H","UseDPDF=Y")</f>
        <v>578.28</v>
      </c>
      <c r="V23" s="13">
        <f>_xll.BDH("AMGN US Equity","IS_AMORT_INTANG_ACQ_REL_AT","FQ3 2023","FQ3 2023","Currency=USD","Period=FQ","BEST_FPERIOD_OVERRIDE=FQ","FILING_STATUS=MR","SCALING_FORMAT=MLN","Sort=A","Dates=H","DateFormat=P","Fill=—","Direction=H","UseDPDF=Y")</f>
        <v>534.83000000000004</v>
      </c>
      <c r="W23" s="13">
        <f>_xll.BDH("AMGN US Equity","IS_AMORT_INTANG_ACQ_REL_AT","FQ4 2023","FQ4 2023","Currency=USD","Period=FQ","BEST_FPERIOD_OVERRIDE=FQ","FILING_STATUS=MR","SCALING_FORMAT=MLN","Sort=A","Dates=H","DateFormat=P","Fill=—","Direction=H","UseDPDF=Y")</f>
        <v>1470.98</v>
      </c>
      <c r="X23" s="13">
        <f>_xll.BDH("AMGN US Equity","IS_AMORT_INTANG_ACQ_REL_AT","FQ1 2024","FQ1 2024","Currency=USD","Period=FQ","BEST_FPERIOD_OVERRIDE=FQ","FILING_STATUS=MR","SCALING_FORMAT=MLN","Sort=A","Dates=H","DateFormat=P","Fill=—","Direction=H","UseDPDF=Y")</f>
        <v>1565.78</v>
      </c>
      <c r="Y23" s="13">
        <f>_xll.BDH("AMGN US Equity","IS_AMORT_INTANG_ACQ_REL_AT","FQ2 2024","FQ2 2024","Currency=USD","Period=FQ","BEST_FPERIOD_OVERRIDE=FQ","FILING_STATUS=MR","SCALING_FORMAT=MLN","Sort=A","Dates=H","DateFormat=P","Fill=—","Direction=H","UseDPDF=Y")</f>
        <v>1542.87</v>
      </c>
      <c r="Z23" s="13">
        <f>_xll.BDH("AMGN US Equity","IS_AMORT_INTANG_ACQ_REL_AT","FQ3 2024","FQ3 2024","Currency=USD","Period=FQ","BEST_FPERIOD_OVERRIDE=FQ","FILING_STATUS=MR","SCALING_FORMAT=MLN","Sort=A","Dates=H","DateFormat=P","Fill=—","Direction=H","UseDPDF=Y")</f>
        <v>1521.54</v>
      </c>
      <c r="AA23" s="13">
        <f>_xll.BDH("AMGN US Equity","IS_AMORT_INTANG_ACQ_REL_AT","FQ4 2024","FQ4 2024","Currency=USD","Period=FQ","BEST_FPERIOD_OVERRIDE=FQ","FILING_STATUS=MR","SCALING_FORMAT=MLN","Sort=A","Dates=H","DateFormat=P","Fill=—","Direction=H","UseDPDF=Y")</f>
        <v>205.791</v>
      </c>
    </row>
    <row r="24" spans="1:27" x14ac:dyDescent="0.25">
      <c r="A24" s="10" t="s">
        <v>679</v>
      </c>
      <c r="B24" s="10" t="s">
        <v>686</v>
      </c>
      <c r="C24" s="14">
        <f>_xll.BDH("AMGN US Equity","IS_AMORT_INTANG_ACQ_REL_BASIC_PS","FQ4 2018","FQ4 2018","Currency=USD","Period=FQ","BEST_FPERIOD_OVERRIDE=FQ","FILING_STATUS=MR","Sort=A","Dates=H","DateFormat=P","Fill=—","Direction=H","UseDPDF=Y")</f>
        <v>0.3906</v>
      </c>
      <c r="D24" s="14">
        <f>_xll.BDH("AMGN US Equity","IS_AMORT_INTANG_ACQ_REL_BASIC_PS","FQ1 2019","FQ1 2019","Currency=USD","Period=FQ","BEST_FPERIOD_OVERRIDE=FQ","FILING_STATUS=MR","Sort=A","Dates=H","DateFormat=P","Fill=—","Direction=H","UseDPDF=Y")</f>
        <v>0.38100000000000001</v>
      </c>
      <c r="E24" s="14">
        <f>_xll.BDH("AMGN US Equity","IS_AMORT_INTANG_ACQ_REL_BASIC_PS","FQ2 2019","FQ2 2019","Currency=USD","Period=FQ","BEST_FPERIOD_OVERRIDE=FQ","FILING_STATUS=MR","Sort=A","Dates=H","DateFormat=P","Fill=—","Direction=H","UseDPDF=Y")</f>
        <v>0.3891</v>
      </c>
      <c r="F24" s="14">
        <f>_xll.BDH("AMGN US Equity","IS_AMORT_INTANG_ACQ_REL_BASIC_PS","FQ3 2019","FQ3 2019","Currency=USD","Period=FQ","BEST_FPERIOD_OVERRIDE=FQ","FILING_STATUS=MR","Sort=A","Dates=H","DateFormat=P","Fill=—","Direction=H","UseDPDF=Y")</f>
        <v>0.41810000000000003</v>
      </c>
      <c r="G24" s="14">
        <f>_xll.BDH("AMGN US Equity","IS_AMORT_INTANG_ACQ_REL_BASIC_PS","FQ4 2019","FQ4 2019","Currency=USD","Period=FQ","BEST_FPERIOD_OVERRIDE=FQ","FILING_STATUS=MR","Sort=A","Dates=H","DateFormat=P","Fill=—","Direction=H","UseDPDF=Y")</f>
        <v>0.66610000000000003</v>
      </c>
      <c r="H24" s="14">
        <f>_xll.BDH("AMGN US Equity","IS_AMORT_INTANG_ACQ_REL_BASIC_PS","FQ1 2020","FQ1 2020","Currency=USD","Period=FQ","BEST_FPERIOD_OVERRIDE=FQ","FILING_STATUS=MR","Sort=A","Dates=H","DateFormat=P","Fill=—","Direction=H","UseDPDF=Y")</f>
        <v>1.0658000000000001</v>
      </c>
      <c r="I24" s="14">
        <f>_xll.BDH("AMGN US Equity","IS_AMORT_INTANG_ACQ_REL_BASIC_PS","FQ2 2020","FQ2 2020","Currency=USD","Period=FQ","BEST_FPERIOD_OVERRIDE=FQ","FILING_STATUS=MR","Sort=A","Dates=H","DateFormat=P","Fill=—","Direction=H","UseDPDF=Y")</f>
        <v>1.0587</v>
      </c>
      <c r="J24" s="14">
        <f>_xll.BDH("AMGN US Equity","IS_AMORT_INTANG_ACQ_REL_BASIC_PS","FQ3 2020","FQ3 2020","Currency=USD","Period=FQ","BEST_FPERIOD_OVERRIDE=FQ","FILING_STATUS=MR","Sort=A","Dates=H","DateFormat=P","Fill=—","Direction=H","UseDPDF=Y")</f>
        <v>0.98040000000000005</v>
      </c>
      <c r="K24" s="14">
        <f>_xll.BDH("AMGN US Equity","IS_AMORT_INTANG_ACQ_REL_BASIC_PS","FQ4 2020","FQ4 2020","Currency=USD","Period=FQ","BEST_FPERIOD_OVERRIDE=FQ","FILING_STATUS=MR","Sort=A","Dates=H","DateFormat=P","Fill=—","Direction=H","UseDPDF=Y")</f>
        <v>0.94089999999999996</v>
      </c>
      <c r="L24" s="14">
        <f>_xll.BDH("AMGN US Equity","IS_AMORT_INTANG_ACQ_REL_BASIC_PS","FQ1 2021","FQ1 2021","Currency=USD","Period=FQ","BEST_FPERIOD_OVERRIDE=FQ","FILING_STATUS=MR","Sort=A","Dates=H","DateFormat=P","Fill=—","Direction=H","UseDPDF=Y")</f>
        <v>0.90090000000000003</v>
      </c>
      <c r="M24" s="14">
        <f>_xll.BDH("AMGN US Equity","IS_AMORT_INTANG_ACQ_REL_BASIC_PS","FQ2 2021","FQ2 2021","Currency=USD","Period=FQ","BEST_FPERIOD_OVERRIDE=FQ","FILING_STATUS=MR","Sort=A","Dates=H","DateFormat=P","Fill=—","Direction=H","UseDPDF=Y")</f>
        <v>0.9486</v>
      </c>
      <c r="N24" s="14">
        <f>_xll.BDH("AMGN US Equity","IS_AMORT_INTANG_ACQ_REL_BASIC_PS","FQ3 2021","FQ3 2021","Currency=USD","Period=FQ","BEST_FPERIOD_OVERRIDE=FQ","FILING_STATUS=MR","Sort=A","Dates=H","DateFormat=P","Fill=—","Direction=H","UseDPDF=Y")</f>
        <v>0.90149999999999997</v>
      </c>
      <c r="O24" s="14">
        <f>_xll.BDH("AMGN US Equity","IS_AMORT_INTANG_ACQ_REL_BASIC_PS","FQ4 2021","FQ4 2021","Currency=USD","Period=FQ","BEST_FPERIOD_OVERRIDE=FQ","FILING_STATUS=MR","Sort=A","Dates=H","DateFormat=P","Fill=—","Direction=H","UseDPDF=Y")</f>
        <v>0.93479999999999996</v>
      </c>
      <c r="P24" s="14">
        <f>_xll.BDH("AMGN US Equity","IS_AMORT_INTANG_ACQ_REL_BASIC_PS","FQ1 2022","FQ1 2022","Currency=USD","Period=FQ","BEST_FPERIOD_OVERRIDE=FQ","FILING_STATUS=MR","Sort=A","Dates=H","DateFormat=P","Fill=—","Direction=H","UseDPDF=Y")</f>
        <v>0.93700000000000006</v>
      </c>
      <c r="Q24" s="14">
        <f>_xll.BDH("AMGN US Equity","IS_AMORT_INTANG_ACQ_REL_BASIC_PS","FQ2 2022","FQ2 2022","Currency=USD","Period=FQ","BEST_FPERIOD_OVERRIDE=FQ","FILING_STATUS=MR","Sort=A","Dates=H","DateFormat=P","Fill=—","Direction=H","UseDPDF=Y")</f>
        <v>0.91110000000000002</v>
      </c>
      <c r="R24" s="14">
        <f>_xll.BDH("AMGN US Equity","IS_AMORT_INTANG_ACQ_REL_BASIC_PS","FQ3 2022","FQ3 2022","Currency=USD","Period=FQ","BEST_FPERIOD_OVERRIDE=FQ","FILING_STATUS=MR","Sort=A","Dates=H","DateFormat=P","Fill=—","Direction=H","UseDPDF=Y")</f>
        <v>0.90369999999999995</v>
      </c>
      <c r="S24" s="14">
        <f>_xll.BDH("AMGN US Equity","IS_AMORT_INTANG_ACQ_REL_BASIC_PS","FQ4 2022","FQ4 2022","Currency=USD","Period=FQ","BEST_FPERIOD_OVERRIDE=FQ","FILING_STATUS=MR","Sort=A","Dates=H","DateFormat=P","Fill=—","Direction=H","UseDPDF=Y")</f>
        <v>1.2004999999999999</v>
      </c>
      <c r="T24" s="14">
        <f>_xll.BDH("AMGN US Equity","IS_AMORT_INTANG_ACQ_REL_BASIC_PS","FQ1 2023","FQ1 2023","Currency=USD","Period=FQ","BEST_FPERIOD_OVERRIDE=FQ","FILING_STATUS=MR","Sort=A","Dates=H","DateFormat=P","Fill=—","Direction=H","UseDPDF=Y")</f>
        <v>1.1125</v>
      </c>
      <c r="U24" s="14">
        <f>_xll.BDH("AMGN US Equity","IS_AMORT_INTANG_ACQ_REL_BASIC_PS","FQ2 2023","FQ2 2023","Currency=USD","Period=FQ","BEST_FPERIOD_OVERRIDE=FQ","FILING_STATUS=MR","Sort=A","Dates=H","DateFormat=P","Fill=—","Direction=H","UseDPDF=Y")</f>
        <v>1.0809</v>
      </c>
      <c r="V24" s="14">
        <f>_xll.BDH("AMGN US Equity","IS_AMORT_INTANG_ACQ_REL_BASIC_PS","FQ3 2023","FQ3 2023","Currency=USD","Period=FQ","BEST_FPERIOD_OVERRIDE=FQ","FILING_STATUS=MR","Sort=A","Dates=H","DateFormat=P","Fill=—","Direction=H","UseDPDF=Y")</f>
        <v>0.99970000000000003</v>
      </c>
      <c r="W24" s="14">
        <f>_xll.BDH("AMGN US Equity","IS_AMORT_INTANG_ACQ_REL_BASIC_PS","FQ4 2023","FQ4 2023","Currency=USD","Period=FQ","BEST_FPERIOD_OVERRIDE=FQ","FILING_STATUS=MR","Sort=A","Dates=H","DateFormat=P","Fill=—","Direction=H","UseDPDF=Y")</f>
        <v>2.7494999999999998</v>
      </c>
      <c r="X24" s="14">
        <f>_xll.BDH("AMGN US Equity","IS_AMORT_INTANG_ACQ_REL_BASIC_PS","FQ1 2024","FQ1 2024","Currency=USD","Period=FQ","BEST_FPERIOD_OVERRIDE=FQ","FILING_STATUS=MR","Sort=A","Dates=H","DateFormat=P","Fill=—","Direction=H","UseDPDF=Y")</f>
        <v>2.9211999999999998</v>
      </c>
      <c r="Y24" s="14">
        <f>_xll.BDH("AMGN US Equity","IS_AMORT_INTANG_ACQ_REL_BASIC_PS","FQ2 2024","FQ2 2024","Currency=USD","Period=FQ","BEST_FPERIOD_OVERRIDE=FQ","FILING_STATUS=MR","Sort=A","Dates=H","DateFormat=P","Fill=—","Direction=H","UseDPDF=Y")</f>
        <v>2.8731</v>
      </c>
      <c r="Z24" s="14">
        <f>_xll.BDH("AMGN US Equity","IS_AMORT_INTANG_ACQ_REL_BASIC_PS","FQ3 2024","FQ3 2024","Currency=USD","Period=FQ","BEST_FPERIOD_OVERRIDE=FQ","FILING_STATUS=MR","Sort=A","Dates=H","DateFormat=P","Fill=—","Direction=H","UseDPDF=Y")</f>
        <v>2.8334000000000001</v>
      </c>
      <c r="AA24" s="14">
        <f>_xll.BDH("AMGN US Equity","IS_AMORT_INTANG_ACQ_REL_BASIC_PS","FQ4 2024","FQ4 2024","Currency=USD","Period=FQ","BEST_FPERIOD_OVERRIDE=FQ","FILING_STATUS=MR","Sort=A","Dates=H","DateFormat=P","Fill=—","Direction=H","UseDPDF=Y")</f>
        <v>0.59140000000000004</v>
      </c>
    </row>
    <row r="25" spans="1:27" x14ac:dyDescent="0.25">
      <c r="A25" s="10" t="s">
        <v>681</v>
      </c>
      <c r="B25" s="10" t="s">
        <v>687</v>
      </c>
      <c r="C25" s="14">
        <f>_xll.BDH("AMGN US Equity","IS_AMORT_INTANG_ACQ_REL_DIL_PS","FQ4 2018","FQ4 2018","Currency=USD","Period=FQ","BEST_FPERIOD_OVERRIDE=FQ","FILING_STATUS=MR","Sort=A","Dates=H","DateFormat=P","Fill=—","Direction=H","UseDPDF=Y")</f>
        <v>0.3876</v>
      </c>
      <c r="D25" s="14">
        <f>_xll.BDH("AMGN US Equity","IS_AMORT_INTANG_ACQ_REL_DIL_PS","FQ1 2019","FQ1 2019","Currency=USD","Period=FQ","BEST_FPERIOD_OVERRIDE=FQ","FILING_STATUS=MR","Sort=A","Dates=H","DateFormat=P","Fill=—","Direction=H","UseDPDF=Y")</f>
        <v>0.37859999999999999</v>
      </c>
      <c r="E25" s="14">
        <f>_xll.BDH("AMGN US Equity","IS_AMORT_INTANG_ACQ_REL_DIL_PS","FQ2 2019","FQ2 2019","Currency=USD","Period=FQ","BEST_FPERIOD_OVERRIDE=FQ","FILING_STATUS=MR","Sort=A","Dates=H","DateFormat=P","Fill=—","Direction=H","UseDPDF=Y")</f>
        <v>0.38719999999999999</v>
      </c>
      <c r="F25" s="14">
        <f>_xll.BDH("AMGN US Equity","IS_AMORT_INTANG_ACQ_REL_DIL_PS","FQ3 2019","FQ3 2019","Currency=USD","Period=FQ","BEST_FPERIOD_OVERRIDE=FQ","FILING_STATUS=MR","Sort=A","Dates=H","DateFormat=P","Fill=—","Direction=H","UseDPDF=Y")</f>
        <v>0.41599999999999998</v>
      </c>
      <c r="G25" s="14">
        <f>_xll.BDH("AMGN US Equity","IS_AMORT_INTANG_ACQ_REL_DIL_PS","FQ4 2019","FQ4 2019","Currency=USD","Period=FQ","BEST_FPERIOD_OVERRIDE=FQ","FILING_STATUS=MR","Sort=A","Dates=H","DateFormat=P","Fill=—","Direction=H","UseDPDF=Y")</f>
        <v>0.66049999999999998</v>
      </c>
      <c r="H25" s="14">
        <f>_xll.BDH("AMGN US Equity","IS_AMORT_INTANG_ACQ_REL_DIL_PS","FQ1 2020","FQ1 2020","Currency=USD","Period=FQ","BEST_FPERIOD_OVERRIDE=FQ","FILING_STATUS=MR","Sort=A","Dates=H","DateFormat=P","Fill=—","Direction=H","UseDPDF=Y")</f>
        <v>1.0587</v>
      </c>
      <c r="I25" s="14">
        <f>_xll.BDH("AMGN US Equity","IS_AMORT_INTANG_ACQ_REL_DIL_PS","FQ2 2020","FQ2 2020","Currency=USD","Period=FQ","BEST_FPERIOD_OVERRIDE=FQ","FILING_STATUS=MR","Sort=A","Dates=H","DateFormat=P","Fill=—","Direction=H","UseDPDF=Y")</f>
        <v>1.0516000000000001</v>
      </c>
      <c r="J25" s="14">
        <f>_xll.BDH("AMGN US Equity","IS_AMORT_INTANG_ACQ_REL_DIL_PS","FQ3 2020","FQ3 2020","Currency=USD","Period=FQ","BEST_FPERIOD_OVERRIDE=FQ","FILING_STATUS=MR","Sort=A","Dates=H","DateFormat=P","Fill=—","Direction=H","UseDPDF=Y")</f>
        <v>0.9738</v>
      </c>
      <c r="K25" s="14">
        <f>_xll.BDH("AMGN US Equity","IS_AMORT_INTANG_ACQ_REL_DIL_PS","FQ4 2020","FQ4 2020","Currency=USD","Period=FQ","BEST_FPERIOD_OVERRIDE=FQ","FILING_STATUS=MR","Sort=A","Dates=H","DateFormat=P","Fill=—","Direction=H","UseDPDF=Y")</f>
        <v>0.9345</v>
      </c>
      <c r="L25" s="14">
        <f>_xll.BDH("AMGN US Equity","IS_AMORT_INTANG_ACQ_REL_DIL_PS","FQ1 2021","FQ1 2021","Currency=USD","Period=FQ","BEST_FPERIOD_OVERRIDE=FQ","FILING_STATUS=MR","Sort=A","Dates=H","DateFormat=P","Fill=—","Direction=H","UseDPDF=Y")</f>
        <v>0.89470000000000005</v>
      </c>
      <c r="M25" s="14">
        <f>_xll.BDH("AMGN US Equity","IS_AMORT_INTANG_ACQ_REL_DIL_PS","FQ2 2021","FQ2 2021","Currency=USD","Period=FQ","BEST_FPERIOD_OVERRIDE=FQ","FILING_STATUS=MR","Sort=A","Dates=H","DateFormat=P","Fill=—","Direction=H","UseDPDF=Y")</f>
        <v>0.94359999999999999</v>
      </c>
      <c r="N25" s="14">
        <f>_xll.BDH("AMGN US Equity","IS_AMORT_INTANG_ACQ_REL_DIL_PS","FQ3 2021","FQ3 2021","Currency=USD","Period=FQ","BEST_FPERIOD_OVERRIDE=FQ","FILING_STATUS=MR","Sort=A","Dates=H","DateFormat=P","Fill=—","Direction=H","UseDPDF=Y")</f>
        <v>0.89670000000000005</v>
      </c>
      <c r="O25" s="14">
        <f>_xll.BDH("AMGN US Equity","IS_AMORT_INTANG_ACQ_REL_DIL_PS","FQ4 2021","FQ4 2021","Currency=USD","Period=FQ","BEST_FPERIOD_OVERRIDE=FQ","FILING_STATUS=MR","Sort=A","Dates=H","DateFormat=P","Fill=—","Direction=H","UseDPDF=Y")</f>
        <v>0.92979999999999996</v>
      </c>
      <c r="P25" s="14">
        <f>_xll.BDH("AMGN US Equity","IS_AMORT_INTANG_ACQ_REL_DIL_PS","FQ1 2022","FQ1 2022","Currency=USD","Period=FQ","BEST_FPERIOD_OVERRIDE=FQ","FILING_STATUS=MR","Sort=A","Dates=H","DateFormat=P","Fill=—","Direction=H","UseDPDF=Y")</f>
        <v>0.93189999999999995</v>
      </c>
      <c r="Q25" s="14">
        <f>_xll.BDH("AMGN US Equity","IS_AMORT_INTANG_ACQ_REL_DIL_PS","FQ2 2022","FQ2 2022","Currency=USD","Period=FQ","BEST_FPERIOD_OVERRIDE=FQ","FILING_STATUS=MR","Sort=A","Dates=H","DateFormat=P","Fill=—","Direction=H","UseDPDF=Y")</f>
        <v>0.90769999999999995</v>
      </c>
      <c r="R25" s="14">
        <f>_xll.BDH("AMGN US Equity","IS_AMORT_INTANG_ACQ_REL_DIL_PS","FQ3 2022","FQ3 2022","Currency=USD","Period=FQ","BEST_FPERIOD_OVERRIDE=FQ","FILING_STATUS=MR","Sort=A","Dates=H","DateFormat=P","Fill=—","Direction=H","UseDPDF=Y")</f>
        <v>0.89870000000000005</v>
      </c>
      <c r="S25" s="14">
        <f>_xll.BDH("AMGN US Equity","IS_AMORT_INTANG_ACQ_REL_DIL_PS","FQ4 2022","FQ4 2022","Currency=USD","Period=FQ","BEST_FPERIOD_OVERRIDE=FQ","FILING_STATUS=MR","Sort=A","Dates=H","DateFormat=P","Fill=—","Direction=H","UseDPDF=Y")</f>
        <v>1.1916</v>
      </c>
      <c r="T25" s="14">
        <f>_xll.BDH("AMGN US Equity","IS_AMORT_INTANG_ACQ_REL_DIL_PS","FQ1 2023","FQ1 2023","Currency=USD","Period=FQ","BEST_FPERIOD_OVERRIDE=FQ","FILING_STATUS=MR","Sort=A","Dates=H","DateFormat=P","Fill=—","Direction=H","UseDPDF=Y")</f>
        <v>1.1042000000000001</v>
      </c>
      <c r="U25" s="14">
        <f>_xll.BDH("AMGN US Equity","IS_AMORT_INTANG_ACQ_REL_DIL_PS","FQ2 2023","FQ2 2023","Currency=USD","Period=FQ","BEST_FPERIOD_OVERRIDE=FQ","FILING_STATUS=MR","Sort=A","Dates=H","DateFormat=P","Fill=—","Direction=H","UseDPDF=Y")</f>
        <v>1.0769</v>
      </c>
      <c r="V25" s="14">
        <f>_xll.BDH("AMGN US Equity","IS_AMORT_INTANG_ACQ_REL_DIL_PS","FQ3 2023","FQ3 2023","Currency=USD","Period=FQ","BEST_FPERIOD_OVERRIDE=FQ","FILING_STATUS=MR","Sort=A","Dates=H","DateFormat=P","Fill=—","Direction=H","UseDPDF=Y")</f>
        <v>0.99409999999999998</v>
      </c>
      <c r="W25" s="14">
        <f>_xll.BDH("AMGN US Equity","IS_AMORT_INTANG_ACQ_REL_DIL_PS","FQ4 2023","FQ4 2023","Currency=USD","Period=FQ","BEST_FPERIOD_OVERRIDE=FQ","FILING_STATUS=MR","Sort=A","Dates=H","DateFormat=P","Fill=—","Direction=H","UseDPDF=Y")</f>
        <v>2.7240000000000002</v>
      </c>
      <c r="X25" s="14">
        <f>_xll.BDH("AMGN US Equity","IS_AMORT_INTANG_ACQ_REL_DIL_PS","FQ1 2024","FQ1 2024","Currency=USD","Period=FQ","BEST_FPERIOD_OVERRIDE=FQ","FILING_STATUS=MR","Sort=A","Dates=H","DateFormat=P","Fill=—","Direction=H","UseDPDF=Y")</f>
        <v>2.9211999999999998</v>
      </c>
      <c r="Y25" s="14">
        <f>_xll.BDH("AMGN US Equity","IS_AMORT_INTANG_ACQ_REL_DIL_PS","FQ2 2024","FQ2 2024","Currency=USD","Period=FQ","BEST_FPERIOD_OVERRIDE=FQ","FILING_STATUS=MR","Sort=A","Dates=H","DateFormat=P","Fill=—","Direction=H","UseDPDF=Y")</f>
        <v>2.8519000000000001</v>
      </c>
      <c r="Z25" s="14">
        <f>_xll.BDH("AMGN US Equity","IS_AMORT_INTANG_ACQ_REL_DIL_PS","FQ3 2024","FQ3 2024","Currency=USD","Period=FQ","BEST_FPERIOD_OVERRIDE=FQ","FILING_STATUS=MR","Sort=A","Dates=H","DateFormat=P","Fill=—","Direction=H","UseDPDF=Y")</f>
        <v>2.8073000000000001</v>
      </c>
      <c r="AA25" s="14">
        <f>_xll.BDH("AMGN US Equity","IS_AMORT_INTANG_ACQ_REL_DIL_PS","FQ4 2024","FQ4 2024","Currency=USD","Period=FQ","BEST_FPERIOD_OVERRIDE=FQ","FILING_STATUS=MR","Sort=A","Dates=H","DateFormat=P","Fill=—","Direction=H","UseDPDF=Y")</f>
        <v>0.58589999999999998</v>
      </c>
    </row>
    <row r="26" spans="1:27" x14ac:dyDescent="0.25">
      <c r="A26" s="10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5">
      <c r="A27" s="10" t="s">
        <v>688</v>
      </c>
      <c r="B27" s="10" t="s">
        <v>689</v>
      </c>
      <c r="C27" s="13">
        <f>_xll.BDH("AMGN US Equity","IS_AMORT_ACQD_INTANGIBLES_COGS","FQ4 2018","FQ4 2018","Currency=USD","Period=FQ","BEST_FPERIOD_OVERRIDE=FQ","FILING_STATUS=MR","SCALING_FORMAT=MLN","Sort=A","Dates=H","DateFormat=P","Fill=—","Direction=H","UseDPDF=Y")</f>
        <v>276</v>
      </c>
      <c r="D27" s="13">
        <f>_xll.BDH("AMGN US Equity","IS_AMORT_ACQD_INTANGIBLES_COGS","FQ1 2019","FQ1 2019","Currency=USD","Period=FQ","BEST_FPERIOD_OVERRIDE=FQ","FILING_STATUS=MR","SCALING_FORMAT=MLN","Sort=A","Dates=H","DateFormat=P","Fill=—","Direction=H","UseDPDF=Y")</f>
        <v>276</v>
      </c>
      <c r="E27" s="13">
        <f>_xll.BDH("AMGN US Equity","IS_AMORT_ACQD_INTANGIBLES_COGS","FQ2 2019","FQ2 2019","Currency=USD","Period=FQ","BEST_FPERIOD_OVERRIDE=FQ","FILING_STATUS=MR","SCALING_FORMAT=MLN","Sort=A","Dates=H","DateFormat=P","Fill=—","Direction=H","UseDPDF=Y")</f>
        <v>276</v>
      </c>
      <c r="F27" s="13">
        <f>_xll.BDH("AMGN US Equity","IS_AMORT_ACQD_INTANGIBLES_COGS","FQ3 2019","FQ3 2019","Currency=USD","Period=FQ","BEST_FPERIOD_OVERRIDE=FQ","FILING_STATUS=MR","SCALING_FORMAT=MLN","Sort=A","Dates=H","DateFormat=P","Fill=—","Direction=H","UseDPDF=Y")</f>
        <v>276</v>
      </c>
      <c r="G27" s="13">
        <f>_xll.BDH("AMGN US Equity","IS_AMORT_ACQD_INTANGIBLES_COGS","FQ4 2019","FQ4 2019","Currency=USD","Period=FQ","BEST_FPERIOD_OVERRIDE=FQ","FILING_STATUS=MR","SCALING_FORMAT=MLN","Sort=A","Dates=H","DateFormat=P","Fill=—","Direction=H","UseDPDF=Y")</f>
        <v>463</v>
      </c>
      <c r="H27" s="13">
        <f>_xll.BDH("AMGN US Equity","IS_AMORT_ACQD_INTANGIBLES_COGS","FQ1 2020","FQ1 2020","Currency=USD","Period=FQ","BEST_FPERIOD_OVERRIDE=FQ","FILING_STATUS=MR","SCALING_FORMAT=MLN","Sort=A","Dates=H","DateFormat=P","Fill=—","Direction=H","UseDPDF=Y")</f>
        <v>742</v>
      </c>
      <c r="I27" s="13">
        <f>_xll.BDH("AMGN US Equity","IS_AMORT_ACQD_INTANGIBLES_COGS","FQ2 2020","FQ2 2020","Currency=USD","Period=FQ","BEST_FPERIOD_OVERRIDE=FQ","FILING_STATUS=MR","SCALING_FORMAT=MLN","Sort=A","Dates=H","DateFormat=P","Fill=—","Direction=H","UseDPDF=Y")</f>
        <v>730</v>
      </c>
      <c r="J27" s="13">
        <f>_xll.BDH("AMGN US Equity","IS_AMORT_ACQD_INTANGIBLES_COGS","FQ3 2020","FQ3 2020","Currency=USD","Period=FQ","BEST_FPERIOD_OVERRIDE=FQ","FILING_STATUS=MR","SCALING_FORMAT=MLN","Sort=A","Dates=H","DateFormat=P","Fill=—","Direction=H","UseDPDF=Y")</f>
        <v>687</v>
      </c>
      <c r="K27" s="13">
        <f>_xll.BDH("AMGN US Equity","IS_AMORT_ACQD_INTANGIBLES_COGS","FQ4 2020","FQ4 2020","Currency=USD","Period=FQ","BEST_FPERIOD_OVERRIDE=FQ","FILING_STATUS=MR","SCALING_FORMAT=MLN","Sort=A","Dates=H","DateFormat=P","Fill=—","Direction=H","UseDPDF=Y")</f>
        <v>638</v>
      </c>
      <c r="L27" s="13">
        <f>_xll.BDH("AMGN US Equity","IS_AMORT_ACQD_INTANGIBLES_COGS","FQ1 2021","FQ1 2021","Currency=USD","Period=FQ","BEST_FPERIOD_OVERRIDE=FQ","FILING_STATUS=MR","SCALING_FORMAT=MLN","Sort=A","Dates=H","DateFormat=P","Fill=—","Direction=H","UseDPDF=Y")</f>
        <v>623</v>
      </c>
      <c r="M27" s="13">
        <f>_xll.BDH("AMGN US Equity","IS_AMORT_ACQD_INTANGIBLES_COGS","FQ2 2021","FQ2 2021","Currency=USD","Period=FQ","BEST_FPERIOD_OVERRIDE=FQ","FILING_STATUS=MR","SCALING_FORMAT=MLN","Sort=A","Dates=H","DateFormat=P","Fill=—","Direction=H","UseDPDF=Y")</f>
        <v>603</v>
      </c>
      <c r="N27" s="13">
        <f>_xll.BDH("AMGN US Equity","IS_AMORT_ACQD_INTANGIBLES_COGS","FQ3 2021","FQ3 2021","Currency=USD","Period=FQ","BEST_FPERIOD_OVERRIDE=FQ","FILING_STATUS=MR","SCALING_FORMAT=MLN","Sort=A","Dates=H","DateFormat=P","Fill=—","Direction=H","UseDPDF=Y")</f>
        <v>612</v>
      </c>
      <c r="O27" s="13">
        <f>_xll.BDH("AMGN US Equity","IS_AMORT_ACQD_INTANGIBLES_COGS","FQ4 2021","FQ4 2021","Currency=USD","Period=FQ","BEST_FPERIOD_OVERRIDE=FQ","FILING_STATUS=MR","SCALING_FORMAT=MLN","Sort=A","Dates=H","DateFormat=P","Fill=—","Direction=H","UseDPDF=Y")</f>
        <v>616</v>
      </c>
      <c r="P27" s="13">
        <f>_xll.BDH("AMGN US Equity","IS_AMORT_ACQD_INTANGIBLES_COGS","FQ1 2022","FQ1 2022","Currency=USD","Period=FQ","BEST_FPERIOD_OVERRIDE=FQ","FILING_STATUS=MR","SCALING_FORMAT=MLN","Sort=A","Dates=H","DateFormat=P","Fill=—","Direction=H","UseDPDF=Y")</f>
        <v>610</v>
      </c>
      <c r="Q27" s="13">
        <f>_xll.BDH("AMGN US Equity","IS_AMORT_ACQD_INTANGIBLES_COGS","FQ2 2022","FQ2 2022","Currency=USD","Period=FQ","BEST_FPERIOD_OVERRIDE=FQ","FILING_STATUS=MR","SCALING_FORMAT=MLN","Sort=A","Dates=H","DateFormat=P","Fill=—","Direction=H","UseDPDF=Y")</f>
        <v>584</v>
      </c>
      <c r="R27" s="13">
        <f>_xll.BDH("AMGN US Equity","IS_AMORT_ACQD_INTANGIBLES_COGS","FQ3 2022","FQ3 2022","Currency=USD","Period=FQ","BEST_FPERIOD_OVERRIDE=FQ","FILING_STATUS=MR","SCALING_FORMAT=MLN","Sort=A","Dates=H","DateFormat=P","Fill=—","Direction=H","UseDPDF=Y")</f>
        <v>585</v>
      </c>
      <c r="S27" s="13">
        <f>_xll.BDH("AMGN US Equity","IS_AMORT_ACQD_INTANGIBLES_COGS","FQ4 2022","FQ4 2022","Currency=USD","Period=FQ","BEST_FPERIOD_OVERRIDE=FQ","FILING_STATUS=MR","SCALING_FORMAT=MLN","Sort=A","Dates=H","DateFormat=P","Fill=—","Direction=H","UseDPDF=Y")</f>
        <v>676</v>
      </c>
      <c r="T27" s="13">
        <f>_xll.BDH("AMGN US Equity","IS_AMORT_ACQD_INTANGIBLES_COGS","FQ1 2023","FQ1 2023","Currency=USD","Period=FQ","BEST_FPERIOD_OVERRIDE=FQ","FILING_STATUS=MR","SCALING_FORMAT=MLN","Sort=A","Dates=H","DateFormat=P","Fill=—","Direction=H","UseDPDF=Y")</f>
        <v>669</v>
      </c>
      <c r="U27" s="13">
        <f>_xll.BDH("AMGN US Equity","IS_AMORT_ACQD_INTANGIBLES_COGS","FQ2 2023","FQ2 2023","Currency=USD","Period=FQ","BEST_FPERIOD_OVERRIDE=FQ","FILING_STATUS=MR","SCALING_FORMAT=MLN","Sort=A","Dates=H","DateFormat=P","Fill=—","Direction=H","UseDPDF=Y")</f>
        <v>671</v>
      </c>
      <c r="V27" s="13">
        <f>_xll.BDH("AMGN US Equity","IS_AMORT_ACQD_INTANGIBLES_COGS","FQ3 2023","FQ3 2023","Currency=USD","Period=FQ","BEST_FPERIOD_OVERRIDE=FQ","FILING_STATUS=MR","SCALING_FORMAT=MLN","Sort=A","Dates=H","DateFormat=P","Fill=—","Direction=H","UseDPDF=Y")</f>
        <v>668</v>
      </c>
      <c r="W27" s="13">
        <f>_xll.BDH("AMGN US Equity","IS_AMORT_ACQD_INTANGIBLES_COGS","FQ4 2023","FQ4 2023","Currency=USD","Period=FQ","BEST_FPERIOD_OVERRIDE=FQ","FILING_STATUS=MR","SCALING_FORMAT=MLN","Sort=A","Dates=H","DateFormat=P","Fill=—","Direction=H","UseDPDF=Y")</f>
        <v>1834</v>
      </c>
      <c r="X27" s="13">
        <f>_xll.BDH("AMGN US Equity","IS_AMORT_ACQD_INTANGIBLES_COGS","FQ1 2024","FQ1 2024","Currency=USD","Period=FQ","BEST_FPERIOD_OVERRIDE=FQ","FILING_STATUS=MR","SCALING_FORMAT=MLN","Sort=A","Dates=H","DateFormat=P","Fill=—","Direction=H","UseDPDF=Y")</f>
        <v>1860</v>
      </c>
      <c r="Y27" s="13">
        <f>_xll.BDH("AMGN US Equity","IS_AMORT_ACQD_INTANGIBLES_COGS","FQ2 2024","FQ2 2024","Currency=USD","Period=FQ","BEST_FPERIOD_OVERRIDE=FQ","FILING_STATUS=MR","SCALING_FORMAT=MLN","Sort=A","Dates=H","DateFormat=P","Fill=—","Direction=H","UseDPDF=Y")</f>
        <v>1830</v>
      </c>
      <c r="Z27" s="13">
        <f>_xll.BDH("AMGN US Equity","IS_AMORT_ACQD_INTANGIBLES_COGS","FQ3 2024","FQ3 2024","Currency=USD","Period=FQ","BEST_FPERIOD_OVERRIDE=FQ","FILING_STATUS=MR","SCALING_FORMAT=MLN","Sort=A","Dates=H","DateFormat=P","Fill=—","Direction=H","UseDPDF=Y")</f>
        <v>1856</v>
      </c>
      <c r="AA27" s="13">
        <f>_xll.BDH("AMGN US Equity","IS_AMORT_ACQD_INTANGIBLES_COGS","FQ4 2024","FQ4 2024","Currency=USD","Period=FQ","BEST_FPERIOD_OVERRIDE=FQ","FILING_STATUS=MR","SCALING_FORMAT=MLN","Sort=A","Dates=H","DateFormat=P","Fill=—","Direction=H","UseDPDF=Y")</f>
        <v>376</v>
      </c>
    </row>
    <row r="28" spans="1:27" x14ac:dyDescent="0.25">
      <c r="A28" s="10" t="s">
        <v>690</v>
      </c>
      <c r="B28" s="10" t="s">
        <v>691</v>
      </c>
      <c r="C28" s="13">
        <f>_xll.BDH("AMGN US Equity","IS_AMORT_AQD_INTANG_SELLING","FQ4 2018","FQ4 2018","Currency=USD","Period=FQ","BEST_FPERIOD_OVERRIDE=FQ","FILING_STATUS=MR","SCALING_FORMAT=MLN","Sort=A","Dates=H","DateFormat=P","Fill=—","Direction=H","UseDPDF=Y")</f>
        <v>19</v>
      </c>
      <c r="D28" s="13">
        <f>_xll.BDH("AMGN US Equity","IS_AMORT_AQD_INTANG_SELLING","FQ1 2019","FQ1 2019","Currency=USD","Period=FQ","BEST_FPERIOD_OVERRIDE=FQ","FILING_STATUS=MR","SCALING_FORMAT=MLN","Sort=A","Dates=H","DateFormat=P","Fill=—","Direction=H","UseDPDF=Y")</f>
        <v>4</v>
      </c>
      <c r="E28" s="13">
        <f>_xll.BDH("AMGN US Equity","IS_AMORT_AQD_INTANG_SELLING","FQ2 2019","FQ2 2019","Currency=USD","Period=FQ","BEST_FPERIOD_OVERRIDE=FQ","FILING_STATUS=MR","SCALING_FORMAT=MLN","Sort=A","Dates=H","DateFormat=P","Fill=—","Direction=H","UseDPDF=Y")</f>
        <v>5</v>
      </c>
      <c r="F28" s="13">
        <f>_xll.BDH("AMGN US Equity","IS_AMORT_AQD_INTANG_SELLING","FQ3 2019","FQ3 2019","Currency=USD","Period=FQ","BEST_FPERIOD_OVERRIDE=FQ","FILING_STATUS=MR","SCALING_FORMAT=MLN","Sort=A","Dates=H","DateFormat=P","Fill=—","Direction=H","UseDPDF=Y")</f>
        <v>17</v>
      </c>
      <c r="G28" s="13">
        <f>_xll.BDH("AMGN US Equity","IS_AMORT_AQD_INTANG_SELLING","FQ4 2019","FQ4 2019","Currency=USD","Period=FQ","BEST_FPERIOD_OVERRIDE=FQ","FILING_STATUS=MR","SCALING_FORMAT=MLN","Sort=A","Dates=H","DateFormat=P","Fill=—","Direction=H","UseDPDF=Y")</f>
        <v>12</v>
      </c>
      <c r="H28" s="13">
        <f>_xll.BDH("AMGN US Equity","IS_AMORT_AQD_INTANG_SELLING","FQ1 2020","FQ1 2020","Currency=USD","Period=FQ","BEST_FPERIOD_OVERRIDE=FQ","FILING_STATUS=MR","SCALING_FORMAT=MLN","Sort=A","Dates=H","DateFormat=P","Fill=—","Direction=H","UseDPDF=Y")</f>
        <v>29</v>
      </c>
      <c r="I28" s="13">
        <f>_xll.BDH("AMGN US Equity","IS_AMORT_AQD_INTANG_SELLING","FQ2 2020","FQ2 2020","Currency=USD","Period=FQ","BEST_FPERIOD_OVERRIDE=FQ","FILING_STATUS=MR","SCALING_FORMAT=MLN","Sort=A","Dates=H","DateFormat=P","Fill=—","Direction=H","UseDPDF=Y")</f>
        <v>30</v>
      </c>
      <c r="J28" s="13">
        <f>_xll.BDH("AMGN US Equity","IS_AMORT_AQD_INTANG_SELLING","FQ3 2020","FQ3 2020","Currency=USD","Period=FQ","BEST_FPERIOD_OVERRIDE=FQ","FILING_STATUS=MR","SCALING_FORMAT=MLN","Sort=A","Dates=H","DateFormat=P","Fill=—","Direction=H","UseDPDF=Y")</f>
        <v>15</v>
      </c>
      <c r="K28" s="13">
        <f>_xll.BDH("AMGN US Equity","IS_AMORT_AQD_INTANG_SELLING","FQ4 2020","FQ4 2020","Currency=USD","Period=FQ","BEST_FPERIOD_OVERRIDE=FQ","FILING_STATUS=MR","SCALING_FORMAT=MLN","Sort=A","Dates=H","DateFormat=P","Fill=—","Direction=H","UseDPDF=Y")</f>
        <v>11</v>
      </c>
      <c r="L28" s="13">
        <f>_xll.BDH("AMGN US Equity","IS_AMORT_AQD_INTANG_SELLING","FQ1 2021","FQ1 2021","Currency=USD","Period=FQ","BEST_FPERIOD_OVERRIDE=FQ","FILING_STATUS=MR","SCALING_FORMAT=MLN","Sort=A","Dates=H","DateFormat=P","Fill=—","Direction=H","UseDPDF=Y")</f>
        <v>28</v>
      </c>
      <c r="M28" s="13">
        <f>_xll.BDH("AMGN US Equity","IS_AMORT_AQD_INTANG_SELLING","FQ2 2021","FQ2 2021","Currency=USD","Period=FQ","BEST_FPERIOD_OVERRIDE=FQ","FILING_STATUS=MR","SCALING_FORMAT=MLN","Sort=A","Dates=H","DateFormat=P","Fill=—","Direction=H","UseDPDF=Y")</f>
        <v>39</v>
      </c>
      <c r="N28" s="13">
        <f>_xll.BDH("AMGN US Equity","IS_AMORT_AQD_INTANG_SELLING","FQ3 2021","FQ3 2021","Currency=USD","Period=FQ","BEST_FPERIOD_OVERRIDE=FQ","FILING_STATUS=MR","SCALING_FORMAT=MLN","Sort=A","Dates=H","DateFormat=P","Fill=—","Direction=H","UseDPDF=Y")</f>
        <v>16</v>
      </c>
      <c r="O28" s="13">
        <f>_xll.BDH("AMGN US Equity","IS_AMORT_AQD_INTANG_SELLING","FQ4 2021","FQ4 2021","Currency=USD","Period=FQ","BEST_FPERIOD_OVERRIDE=FQ","FILING_STATUS=MR","SCALING_FORMAT=MLN","Sort=A","Dates=H","DateFormat=P","Fill=—","Direction=H","UseDPDF=Y")</f>
        <v>20</v>
      </c>
      <c r="P28" s="13">
        <f>_xll.BDH("AMGN US Equity","IS_AMORT_AQD_INTANG_SELLING","FQ1 2022","FQ1 2022","Currency=USD","Period=FQ","BEST_FPERIOD_OVERRIDE=FQ","FILING_STATUS=MR","SCALING_FORMAT=MLN","Sort=A","Dates=H","DateFormat=P","Fill=—","Direction=H","UseDPDF=Y")</f>
        <v>15</v>
      </c>
      <c r="Q28" s="13">
        <f>_xll.BDH("AMGN US Equity","IS_AMORT_AQD_INTANG_SELLING","FQ2 2022","FQ2 2022","Currency=USD","Period=FQ","BEST_FPERIOD_OVERRIDE=FQ","FILING_STATUS=MR","SCALING_FORMAT=MLN","Sort=A","Dates=H","DateFormat=P","Fill=—","Direction=H","UseDPDF=Y")</f>
        <v>14</v>
      </c>
      <c r="R28" s="13">
        <f>_xll.BDH("AMGN US Equity","IS_AMORT_AQD_INTANG_SELLING","FQ3 2022","FQ3 2022","Currency=USD","Period=FQ","BEST_FPERIOD_OVERRIDE=FQ","FILING_STATUS=MR","SCALING_FORMAT=MLN","Sort=A","Dates=H","DateFormat=P","Fill=—","Direction=H","UseDPDF=Y")</f>
        <v>11</v>
      </c>
      <c r="S28" s="13">
        <f>_xll.BDH("AMGN US Equity","IS_AMORT_AQD_INTANG_SELLING","FQ4 2022","FQ4 2022","Currency=USD","Period=FQ","BEST_FPERIOD_OVERRIDE=FQ","FILING_STATUS=MR","SCALING_FORMAT=MLN","Sort=A","Dates=H","DateFormat=P","Fill=—","Direction=H","UseDPDF=Y")</f>
        <v>104</v>
      </c>
      <c r="T28" s="13">
        <f>_xll.BDH("AMGN US Equity","IS_AMORT_AQD_INTANG_SELLING","FQ1 2023","FQ1 2023","Currency=USD","Period=FQ","BEST_FPERIOD_OVERRIDE=FQ","FILING_STATUS=MR","SCALING_FORMAT=MLN","Sort=A","Dates=H","DateFormat=P","Fill=—","Direction=H","UseDPDF=Y")</f>
        <v>34</v>
      </c>
      <c r="U28" s="13">
        <f>_xll.BDH("AMGN US Equity","IS_AMORT_AQD_INTANG_SELLING","FQ2 2023","FQ2 2023","Currency=USD","Period=FQ","BEST_FPERIOD_OVERRIDE=FQ","FILING_STATUS=MR","SCALING_FORMAT=MLN","Sort=A","Dates=H","DateFormat=P","Fill=—","Direction=H","UseDPDF=Y")</f>
        <v>57</v>
      </c>
      <c r="V28" s="13" t="str">
        <f>_xll.BDH("AMGN US Equity","IS_AMORT_AQD_INTANG_SELLING","FQ3 2023","FQ3 2023","Currency=USD","Period=FQ","BEST_FPERIOD_OVERRIDE=FQ","FILING_STATUS=MR","SCALING_FORMAT=MLN","Sort=A","Dates=H","DateFormat=P","Fill=—","Direction=H","UseDPDF=Y")</f>
        <v>—</v>
      </c>
      <c r="W28" s="13" t="str">
        <f>_xll.BDH("AMGN US Equity","IS_AMORT_AQD_INTANG_SELLING","FQ4 2023","FQ4 2023","Currency=USD","Period=FQ","BEST_FPERIOD_OVERRIDE=FQ","FILING_STATUS=MR","SCALING_FORMAT=MLN","Sort=A","Dates=H","DateFormat=P","Fill=—","Direction=H","UseDPDF=Y")</f>
        <v>—</v>
      </c>
      <c r="X28" s="13">
        <f>_xll.BDH("AMGN US Equity","IS_AMORT_AQD_INTANG_SELLING","FQ1 2024","FQ1 2024","Currency=USD","Period=FQ","BEST_FPERIOD_OVERRIDE=FQ","FILING_STATUS=MR","SCALING_FORMAT=MLN","Sort=A","Dates=H","DateFormat=P","Fill=—","Direction=H","UseDPDF=Y")</f>
        <v>96</v>
      </c>
      <c r="Y28" s="13">
        <f>_xll.BDH("AMGN US Equity","IS_AMORT_AQD_INTANG_SELLING","FQ2 2024","FQ2 2024","Currency=USD","Period=FQ","BEST_FPERIOD_OVERRIDE=FQ","FILING_STATUS=MR","SCALING_FORMAT=MLN","Sort=A","Dates=H","DateFormat=P","Fill=—","Direction=H","UseDPDF=Y")</f>
        <v>99</v>
      </c>
      <c r="Z28" s="13">
        <f>_xll.BDH("AMGN US Equity","IS_AMORT_AQD_INTANG_SELLING","FQ3 2024","FQ3 2024","Currency=USD","Period=FQ","BEST_FPERIOD_OVERRIDE=FQ","FILING_STATUS=MR","SCALING_FORMAT=MLN","Sort=A","Dates=H","DateFormat=P","Fill=—","Direction=H","UseDPDF=Y")</f>
        <v>60</v>
      </c>
      <c r="AA28" s="13" t="str">
        <f>_xll.BDH("AMGN US Equity","IS_AMORT_AQD_INTANG_SELLING","FQ4 2024","FQ4 2024","Currency=USD","Period=FQ","BEST_FPERIOD_OVERRIDE=FQ","FILING_STATUS=MR","SCALING_FORMAT=MLN","Sort=A","Dates=H","DateFormat=P","Fill=—","Direction=H","UseDPDF=Y")</f>
        <v>—</v>
      </c>
    </row>
    <row r="29" spans="1:27" x14ac:dyDescent="0.25">
      <c r="A29" s="10" t="s">
        <v>692</v>
      </c>
      <c r="B29" s="10" t="s">
        <v>693</v>
      </c>
      <c r="C29" s="13">
        <f>_xll.BDH("AMGN US Equity","IS_AMORT_AQD_INTANG_RD","FQ4 2018","FQ4 2018","Currency=USD","Period=FQ","BEST_FPERIOD_OVERRIDE=FQ","FILING_STATUS=MR","SCALING_FORMAT=MLN","Sort=A","Dates=H","DateFormat=P","Fill=—","Direction=H","UseDPDF=Y")</f>
        <v>19</v>
      </c>
      <c r="D29" s="13">
        <f>_xll.BDH("AMGN US Equity","IS_AMORT_AQD_INTANG_RD","FQ1 2019","FQ1 2019","Currency=USD","Period=FQ","BEST_FPERIOD_OVERRIDE=FQ","FILING_STATUS=MR","SCALING_FORMAT=MLN","Sort=A","Dates=H","DateFormat=P","Fill=—","Direction=H","UseDPDF=Y")</f>
        <v>20</v>
      </c>
      <c r="E29" s="13">
        <f>_xll.BDH("AMGN US Equity","IS_AMORT_AQD_INTANG_RD","FQ2 2019","FQ2 2019","Currency=USD","Period=FQ","BEST_FPERIOD_OVERRIDE=FQ","FILING_STATUS=MR","SCALING_FORMAT=MLN","Sort=A","Dates=H","DateFormat=P","Fill=—","Direction=H","UseDPDF=Y")</f>
        <v>18</v>
      </c>
      <c r="F29" s="13">
        <f>_xll.BDH("AMGN US Equity","IS_AMORT_AQD_INTANG_RD","FQ3 2019","FQ3 2019","Currency=USD","Period=FQ","BEST_FPERIOD_OVERRIDE=FQ","FILING_STATUS=MR","SCALING_FORMAT=MLN","Sort=A","Dates=H","DateFormat=P","Fill=—","Direction=H","UseDPDF=Y")</f>
        <v>24</v>
      </c>
      <c r="G29" s="13">
        <f>_xll.BDH("AMGN US Equity","IS_AMORT_AQD_INTANG_RD","FQ4 2019","FQ4 2019","Currency=USD","Period=FQ","BEST_FPERIOD_OVERRIDE=FQ","FILING_STATUS=MR","SCALING_FORMAT=MLN","Sort=A","Dates=H","DateFormat=P","Fill=—","Direction=H","UseDPDF=Y")</f>
        <v>25</v>
      </c>
      <c r="H29" s="13">
        <f>_xll.BDH("AMGN US Equity","IS_AMORT_AQD_INTANG_RD","FQ1 2020","FQ1 2020","Currency=USD","Period=FQ","BEST_FPERIOD_OVERRIDE=FQ","FILING_STATUS=MR","SCALING_FORMAT=MLN","Sort=A","Dates=H","DateFormat=P","Fill=—","Direction=H","UseDPDF=Y")</f>
        <v>25</v>
      </c>
      <c r="I29" s="13">
        <f>_xll.BDH("AMGN US Equity","IS_AMORT_AQD_INTANG_RD","FQ2 2020","FQ2 2020","Currency=USD","Period=FQ","BEST_FPERIOD_OVERRIDE=FQ","FILING_STATUS=MR","SCALING_FORMAT=MLN","Sort=A","Dates=H","DateFormat=P","Fill=—","Direction=H","UseDPDF=Y")</f>
        <v>28</v>
      </c>
      <c r="J29" s="13">
        <f>_xll.BDH("AMGN US Equity","IS_AMORT_AQD_INTANG_RD","FQ3 2020","FQ3 2020","Currency=USD","Period=FQ","BEST_FPERIOD_OVERRIDE=FQ","FILING_STATUS=MR","SCALING_FORMAT=MLN","Sort=A","Dates=H","DateFormat=P","Fill=—","Direction=H","UseDPDF=Y")</f>
        <v>24</v>
      </c>
      <c r="K29" s="13">
        <f>_xll.BDH("AMGN US Equity","IS_AMORT_AQD_INTANG_RD","FQ4 2020","FQ4 2020","Currency=USD","Period=FQ","BEST_FPERIOD_OVERRIDE=FQ","FILING_STATUS=MR","SCALING_FORMAT=MLN","Sort=A","Dates=H","DateFormat=P","Fill=—","Direction=H","UseDPDF=Y")</f>
        <v>43</v>
      </c>
      <c r="L29" s="13">
        <f>_xll.BDH("AMGN US Equity","IS_AMORT_AQD_INTANG_RD","FQ1 2021","FQ1 2021","Currency=USD","Period=FQ","BEST_FPERIOD_OVERRIDE=FQ","FILING_STATUS=MR","SCALING_FORMAT=MLN","Sort=A","Dates=H","DateFormat=P","Fill=—","Direction=H","UseDPDF=Y")</f>
        <v>23</v>
      </c>
      <c r="M29" s="13">
        <f>_xll.BDH("AMGN US Equity","IS_AMORT_AQD_INTANG_RD","FQ2 2021","FQ2 2021","Currency=USD","Period=FQ","BEST_FPERIOD_OVERRIDE=FQ","FILING_STATUS=MR","SCALING_FORMAT=MLN","Sort=A","Dates=H","DateFormat=P","Fill=—","Direction=H","UseDPDF=Y")</f>
        <v>46</v>
      </c>
      <c r="N29" s="13">
        <f>_xll.BDH("AMGN US Equity","IS_AMORT_AQD_INTANG_RD","FQ3 2021","FQ3 2021","Currency=USD","Period=FQ","BEST_FPERIOD_OVERRIDE=FQ","FILING_STATUS=MR","SCALING_FORMAT=MLN","Sort=A","Dates=H","DateFormat=P","Fill=—","Direction=H","UseDPDF=Y")</f>
        <v>25</v>
      </c>
      <c r="O29" s="13">
        <f>_xll.BDH("AMGN US Equity","IS_AMORT_AQD_INTANG_RD","FQ4 2021","FQ4 2021","Currency=USD","Period=FQ","BEST_FPERIOD_OVERRIDE=FQ","FILING_STATUS=MR","SCALING_FORMAT=MLN","Sort=A","Dates=H","DateFormat=P","Fill=—","Direction=H","UseDPDF=Y")</f>
        <v>29</v>
      </c>
      <c r="P29" s="13">
        <f>_xll.BDH("AMGN US Equity","IS_AMORT_AQD_INTANG_RD","FQ1 2022","FQ1 2022","Currency=USD","Period=FQ","BEST_FPERIOD_OVERRIDE=FQ","FILING_STATUS=MR","SCALING_FORMAT=MLN","Sort=A","Dates=H","DateFormat=P","Fill=—","Direction=H","UseDPDF=Y")</f>
        <v>25</v>
      </c>
      <c r="Q29" s="13">
        <f>_xll.BDH("AMGN US Equity","IS_AMORT_AQD_INTANG_RD","FQ2 2022","FQ2 2022","Currency=USD","Period=FQ","BEST_FPERIOD_OVERRIDE=FQ","FILING_STATUS=MR","SCALING_FORMAT=MLN","Sort=A","Dates=H","DateFormat=P","Fill=—","Direction=H","UseDPDF=Y")</f>
        <v>19</v>
      </c>
      <c r="R29" s="13">
        <f>_xll.BDH("AMGN US Equity","IS_AMORT_AQD_INTANG_RD","FQ3 2022","FQ3 2022","Currency=USD","Period=FQ","BEST_FPERIOD_OVERRIDE=FQ","FILING_STATUS=MR","SCALING_FORMAT=MLN","Sort=A","Dates=H","DateFormat=P","Fill=—","Direction=H","UseDPDF=Y")</f>
        <v>16</v>
      </c>
      <c r="S29" s="13">
        <f>_xll.BDH("AMGN US Equity","IS_AMORT_AQD_INTANG_RD","FQ4 2022","FQ4 2022","Currency=USD","Period=FQ","BEST_FPERIOD_OVERRIDE=FQ","FILING_STATUS=MR","SCALING_FORMAT=MLN","Sort=A","Dates=H","DateFormat=P","Fill=—","Direction=H","UseDPDF=Y")</f>
        <v>33</v>
      </c>
      <c r="T29" s="13">
        <f>_xll.BDH("AMGN US Equity","IS_AMORT_AQD_INTANG_RD","FQ1 2023","FQ1 2023","Currency=USD","Period=FQ","BEST_FPERIOD_OVERRIDE=FQ","FILING_STATUS=MR","SCALING_FORMAT=MLN","Sort=A","Dates=H","DateFormat=P","Fill=—","Direction=H","UseDPDF=Y")</f>
        <v>14</v>
      </c>
      <c r="U29" s="13">
        <f>_xll.BDH("AMGN US Equity","IS_AMORT_AQD_INTANG_RD","FQ2 2023","FQ2 2023","Currency=USD","Period=FQ","BEST_FPERIOD_OVERRIDE=FQ","FILING_STATUS=MR","SCALING_FORMAT=MLN","Sort=A","Dates=H","DateFormat=P","Fill=—","Direction=H","UseDPDF=Y")</f>
        <v>4</v>
      </c>
      <c r="V29" s="13">
        <f>_xll.BDH("AMGN US Equity","IS_AMORT_AQD_INTANG_RD","FQ3 2023","FQ3 2023","Currency=USD","Period=FQ","BEST_FPERIOD_OVERRIDE=FQ","FILING_STATUS=MR","SCALING_FORMAT=MLN","Sort=A","Dates=H","DateFormat=P","Fill=—","Direction=H","UseDPDF=Y")</f>
        <v>9</v>
      </c>
      <c r="W29" s="13">
        <f>_xll.BDH("AMGN US Equity","IS_AMORT_AQD_INTANG_RD","FQ4 2023","FQ4 2023","Currency=USD","Period=FQ","BEST_FPERIOD_OVERRIDE=FQ","FILING_STATUS=MR","SCALING_FORMAT=MLN","Sort=A","Dates=H","DateFormat=P","Fill=—","Direction=H","UseDPDF=Y")</f>
        <v>28</v>
      </c>
      <c r="X29" s="13">
        <f>_xll.BDH("AMGN US Equity","IS_AMORT_AQD_INTANG_RD","FQ1 2024","FQ1 2024","Currency=USD","Period=FQ","BEST_FPERIOD_OVERRIDE=FQ","FILING_STATUS=MR","SCALING_FORMAT=MLN","Sort=A","Dates=H","DateFormat=P","Fill=—","Direction=H","UseDPDF=Y")</f>
        <v>26</v>
      </c>
      <c r="Y29" s="13">
        <f>_xll.BDH("AMGN US Equity","IS_AMORT_AQD_INTANG_RD","FQ2 2024","FQ2 2024","Currency=USD","Period=FQ","BEST_FPERIOD_OVERRIDE=FQ","FILING_STATUS=MR","SCALING_FORMAT=MLN","Sort=A","Dates=H","DateFormat=P","Fill=—","Direction=H","UseDPDF=Y")</f>
        <v>24</v>
      </c>
      <c r="Z29" s="13">
        <f>_xll.BDH("AMGN US Equity","IS_AMORT_AQD_INTANG_RD","FQ3 2024","FQ3 2024","Currency=USD","Period=FQ","BEST_FPERIOD_OVERRIDE=FQ","FILING_STATUS=MR","SCALING_FORMAT=MLN","Sort=A","Dates=H","DateFormat=P","Fill=—","Direction=H","UseDPDF=Y")</f>
        <v>10</v>
      </c>
      <c r="AA29" s="13">
        <f>_xll.BDH("AMGN US Equity","IS_AMORT_AQD_INTANG_RD","FQ4 2024","FQ4 2024","Currency=USD","Period=FQ","BEST_FPERIOD_OVERRIDE=FQ","FILING_STATUS=MR","SCALING_FORMAT=MLN","Sort=A","Dates=H","DateFormat=P","Fill=—","Direction=H","UseDPDF=Y")</f>
        <v>26</v>
      </c>
    </row>
    <row r="30" spans="1:27" x14ac:dyDescent="0.25">
      <c r="A30" s="10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x14ac:dyDescent="0.25">
      <c r="A31" s="10" t="s">
        <v>694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25">
      <c r="A32" s="10" t="s">
        <v>675</v>
      </c>
      <c r="B32" s="10" t="s">
        <v>695</v>
      </c>
      <c r="C32" s="13">
        <f>_xll.BDH("AMGN US Equity","IS_AMORT_OF_TOT_INTANG_PRETX","FQ4 2018","FQ4 2018","Currency=USD","Period=FQ","BEST_FPERIOD_OVERRIDE=FQ","FILING_STATUS=MR","SCALING_FORMAT=MLN","Sort=A","Dates=H","DateFormat=P","Fill=—","Direction=H","UseDPDF=Y")</f>
        <v>314</v>
      </c>
      <c r="D32" s="13">
        <f>_xll.BDH("AMGN US Equity","IS_AMORT_OF_TOT_INTANG_PRETX","FQ1 2019","FQ1 2019","Currency=USD","Period=FQ","BEST_FPERIOD_OVERRIDE=FQ","FILING_STATUS=MR","SCALING_FORMAT=MLN","Sort=A","Dates=H","DateFormat=P","Fill=—","Direction=H","UseDPDF=Y")</f>
        <v>300</v>
      </c>
      <c r="E32" s="13">
        <f>_xll.BDH("AMGN US Equity","IS_AMORT_OF_TOT_INTANG_PRETX","FQ2 2019","FQ2 2019","Currency=USD","Period=FQ","BEST_FPERIOD_OVERRIDE=FQ","FILING_STATUS=MR","SCALING_FORMAT=MLN","Sort=A","Dates=H","DateFormat=P","Fill=—","Direction=H","UseDPDF=Y")</f>
        <v>299</v>
      </c>
      <c r="F32" s="13">
        <f>_xll.BDH("AMGN US Equity","IS_AMORT_OF_TOT_INTANG_PRETX","FQ3 2019","FQ3 2019","Currency=USD","Period=FQ","BEST_FPERIOD_OVERRIDE=FQ","FILING_STATUS=MR","SCALING_FORMAT=MLN","Sort=A","Dates=H","DateFormat=P","Fill=—","Direction=H","UseDPDF=Y")</f>
        <v>317</v>
      </c>
      <c r="G32" s="13">
        <f>_xll.BDH("AMGN US Equity","IS_AMORT_OF_TOT_INTANG_PRETX","FQ4 2019","FQ4 2019","Currency=USD","Period=FQ","BEST_FPERIOD_OVERRIDE=FQ","FILING_STATUS=MR","SCALING_FORMAT=MLN","Sort=A","Dates=H","DateFormat=P","Fill=—","Direction=H","UseDPDF=Y")</f>
        <v>500</v>
      </c>
      <c r="H32" s="13">
        <f>_xll.BDH("AMGN US Equity","IS_AMORT_OF_TOT_INTANG_PRETX","FQ1 2020","FQ1 2020","Currency=USD","Period=FQ","BEST_FPERIOD_OVERRIDE=FQ","FILING_STATUS=MR","SCALING_FORMAT=MLN","Sort=A","Dates=H","DateFormat=P","Fill=—","Direction=H","UseDPDF=Y")</f>
        <v>796</v>
      </c>
      <c r="I32" s="13">
        <f>_xll.BDH("AMGN US Equity","IS_AMORT_OF_TOT_INTANG_PRETX","FQ2 2020","FQ2 2020","Currency=USD","Period=FQ","BEST_FPERIOD_OVERRIDE=FQ","FILING_STATUS=MR","SCALING_FORMAT=MLN","Sort=A","Dates=H","DateFormat=P","Fill=—","Direction=H","UseDPDF=Y")</f>
        <v>788</v>
      </c>
      <c r="J32" s="13">
        <f>_xll.BDH("AMGN US Equity","IS_AMORT_OF_TOT_INTANG_PRETX","FQ3 2020","FQ3 2020","Currency=USD","Period=FQ","BEST_FPERIOD_OVERRIDE=FQ","FILING_STATUS=MR","SCALING_FORMAT=MLN","Sort=A","Dates=H","DateFormat=P","Fill=—","Direction=H","UseDPDF=Y")</f>
        <v>726</v>
      </c>
      <c r="K32" s="13">
        <f>_xll.BDH("AMGN US Equity","IS_AMORT_OF_TOT_INTANG_PRETX","FQ4 2020","FQ4 2020","Currency=USD","Period=FQ","BEST_FPERIOD_OVERRIDE=FQ","FILING_STATUS=MR","SCALING_FORMAT=MLN","Sort=A","Dates=H","DateFormat=P","Fill=—","Direction=H","UseDPDF=Y")</f>
        <v>692</v>
      </c>
      <c r="L32" s="13">
        <f>_xll.BDH("AMGN US Equity","IS_AMORT_OF_TOT_INTANG_PRETX","FQ1 2021","FQ1 2021","Currency=USD","Period=FQ","BEST_FPERIOD_OVERRIDE=FQ","FILING_STATUS=MR","SCALING_FORMAT=MLN","Sort=A","Dates=H","DateFormat=P","Fill=—","Direction=H","UseDPDF=Y")</f>
        <v>674</v>
      </c>
      <c r="M32" s="13">
        <f>_xll.BDH("AMGN US Equity","IS_AMORT_OF_TOT_INTANG_PRETX","FQ2 2021","FQ2 2021","Currency=USD","Period=FQ","BEST_FPERIOD_OVERRIDE=FQ","FILING_STATUS=MR","SCALING_FORMAT=MLN","Sort=A","Dates=H","DateFormat=P","Fill=—","Direction=H","UseDPDF=Y")</f>
        <v>688</v>
      </c>
      <c r="N32" s="13">
        <f>_xll.BDH("AMGN US Equity","IS_AMORT_OF_TOT_INTANG_PRETX","FQ3 2021","FQ3 2021","Currency=USD","Period=FQ","BEST_FPERIOD_OVERRIDE=FQ","FILING_STATUS=MR","SCALING_FORMAT=MLN","Sort=A","Dates=H","DateFormat=P","Fill=—","Direction=H","UseDPDF=Y")</f>
        <v>642</v>
      </c>
      <c r="O32" s="13">
        <f>_xll.BDH("AMGN US Equity","IS_AMORT_OF_TOT_INTANG_PRETX","FQ4 2021","FQ4 2021","Currency=USD","Period=FQ","BEST_FPERIOD_OVERRIDE=FQ","FILING_STATUS=MR","SCALING_FORMAT=MLN","Sort=A","Dates=H","DateFormat=P","Fill=—","Direction=H","UseDPDF=Y")</f>
        <v>665</v>
      </c>
      <c r="P32" s="13">
        <f>_xll.BDH("AMGN US Equity","IS_AMORT_OF_TOT_INTANG_PRETX","FQ1 2022","FQ1 2022","Currency=USD","Period=FQ","BEST_FPERIOD_OVERRIDE=FQ","FILING_STATUS=MR","SCALING_FORMAT=MLN","Sort=A","Dates=H","DateFormat=P","Fill=—","Direction=H","UseDPDF=Y")</f>
        <v>650</v>
      </c>
      <c r="Q32" s="13">
        <f>_xll.BDH("AMGN US Equity","IS_AMORT_OF_TOT_INTANG_PRETX","FQ2 2022","FQ2 2022","Currency=USD","Period=FQ","BEST_FPERIOD_OVERRIDE=FQ","FILING_STATUS=MR","SCALING_FORMAT=MLN","Sort=A","Dates=H","DateFormat=P","Fill=—","Direction=H","UseDPDF=Y")</f>
        <v>629</v>
      </c>
      <c r="R32" s="13">
        <f>_xll.BDH("AMGN US Equity","IS_AMORT_OF_TOT_INTANG_PRETX","FQ3 2022","FQ3 2022","Currency=USD","Period=FQ","BEST_FPERIOD_OVERRIDE=FQ","FILING_STATUS=MR","SCALING_FORMAT=MLN","Sort=A","Dates=H","DateFormat=P","Fill=—","Direction=H","UseDPDF=Y")</f>
        <v>628</v>
      </c>
      <c r="S32" s="13">
        <f>_xll.BDH("AMGN US Equity","IS_AMORT_OF_TOT_INTANG_PRETX","FQ4 2022","FQ4 2022","Currency=USD","Period=FQ","BEST_FPERIOD_OVERRIDE=FQ","FILING_STATUS=MR","SCALING_FORMAT=MLN","Sort=A","Dates=H","DateFormat=P","Fill=—","Direction=H","UseDPDF=Y")</f>
        <v>862</v>
      </c>
      <c r="T32" s="13">
        <f>_xll.BDH("AMGN US Equity","IS_AMORT_OF_TOT_INTANG_PRETX","FQ1 2023","FQ1 2023","Currency=USD","Period=FQ","BEST_FPERIOD_OVERRIDE=FQ","FILING_STATUS=MR","SCALING_FORMAT=MLN","Sort=A","Dates=H","DateFormat=P","Fill=—","Direction=H","UseDPDF=Y")</f>
        <v>752</v>
      </c>
      <c r="U32" s="13">
        <f>_xll.BDH("AMGN US Equity","IS_AMORT_OF_TOT_INTANG_PRETX","FQ2 2023","FQ2 2023","Currency=USD","Period=FQ","BEST_FPERIOD_OVERRIDE=FQ","FILING_STATUS=MR","SCALING_FORMAT=MLN","Sort=A","Dates=H","DateFormat=P","Fill=—","Direction=H","UseDPDF=Y")</f>
        <v>732</v>
      </c>
      <c r="V32" s="13">
        <f>_xll.BDH("AMGN US Equity","IS_AMORT_OF_TOT_INTANG_PRETX","FQ3 2023","FQ3 2023","Currency=USD","Period=FQ","BEST_FPERIOD_OVERRIDE=FQ","FILING_STATUS=MR","SCALING_FORMAT=MLN","Sort=A","Dates=H","DateFormat=P","Fill=—","Direction=H","UseDPDF=Y")</f>
        <v>693</v>
      </c>
      <c r="W32" s="13">
        <f>_xll.BDH("AMGN US Equity","IS_AMORT_OF_TOT_INTANG_PRETX","FQ4 2023","FQ4 2023","Currency=USD","Period=FQ","BEST_FPERIOD_OVERRIDE=FQ","FILING_STATUS=MR","SCALING_FORMAT=MLN","Sort=A","Dates=H","DateFormat=P","Fill=—","Direction=H","UseDPDF=Y")</f>
        <v>1862</v>
      </c>
      <c r="X32" s="13">
        <f>_xll.BDH("AMGN US Equity","IS_AMORT_OF_TOT_INTANG_PRETX","FQ1 2024","FQ1 2024","Currency=USD","Period=FQ","BEST_FPERIOD_OVERRIDE=FQ","FILING_STATUS=MR","SCALING_FORMAT=MLN","Sort=A","Dates=H","DateFormat=P","Fill=—","Direction=H","UseDPDF=Y")</f>
        <v>1982</v>
      </c>
      <c r="Y32" s="13">
        <f>_xll.BDH("AMGN US Equity","IS_AMORT_OF_TOT_INTANG_PRETX","FQ2 2024","FQ2 2024","Currency=USD","Period=FQ","BEST_FPERIOD_OVERRIDE=FQ","FILING_STATUS=MR","SCALING_FORMAT=MLN","Sort=A","Dates=H","DateFormat=P","Fill=—","Direction=H","UseDPDF=Y")</f>
        <v>1953</v>
      </c>
      <c r="Z32" s="13">
        <f>_xll.BDH("AMGN US Equity","IS_AMORT_OF_TOT_INTANG_PRETX","FQ3 2024","FQ3 2024","Currency=USD","Period=FQ","BEST_FPERIOD_OVERRIDE=FQ","FILING_STATUS=MR","SCALING_FORMAT=MLN","Sort=A","Dates=H","DateFormat=P","Fill=—","Direction=H","UseDPDF=Y")</f>
        <v>1200</v>
      </c>
      <c r="AA32" s="13">
        <f>_xll.BDH("AMGN US Equity","IS_AMORT_OF_TOT_INTANG_PRETX","FQ4 2024","FQ4 2024","Currency=USD","Period=FQ","BEST_FPERIOD_OVERRIDE=FQ","FILING_STATUS=MR","SCALING_FORMAT=MLN","Sort=A","Dates=H","DateFormat=P","Fill=—","Direction=H","UseDPDF=Y")</f>
        <v>1200</v>
      </c>
    </row>
    <row r="33" spans="1:27" x14ac:dyDescent="0.25">
      <c r="A33" s="10" t="s">
        <v>677</v>
      </c>
      <c r="B33" s="10" t="s">
        <v>696</v>
      </c>
      <c r="C33" s="13">
        <f>_xll.BDH("AMGN US Equity","IS_AMORT_OF_TOT_INTANG_AFT_TAX","FQ4 2018","FQ4 2018","Currency=USD","Period=FQ","BEST_FPERIOD_OVERRIDE=FQ","FILING_STATUS=MR","SCALING_FORMAT=MLN","Sort=A","Dates=H","DateFormat=P","Fill=—","Direction=H","UseDPDF=Y")</f>
        <v>241.82689999999999</v>
      </c>
      <c r="D33" s="13">
        <f>_xll.BDH("AMGN US Equity","IS_AMORT_OF_TOT_INTANG_AFT_TAX","FQ1 2019","FQ1 2019","Currency=USD","Period=FQ","BEST_FPERIOD_OVERRIDE=FQ","FILING_STATUS=MR","SCALING_FORMAT=MLN","Sort=A","Dates=H","DateFormat=P","Fill=—","Direction=H","UseDPDF=Y")</f>
        <v>231.5436</v>
      </c>
      <c r="E33" s="13">
        <f>_xll.BDH("AMGN US Equity","IS_AMORT_OF_TOT_INTANG_AFT_TAX","FQ2 2019","FQ2 2019","Currency=USD","Period=FQ","BEST_FPERIOD_OVERRIDE=FQ","FILING_STATUS=MR","SCALING_FORMAT=MLN","Sort=A","Dates=H","DateFormat=P","Fill=—","Direction=H","UseDPDF=Y")</f>
        <v>228.29050000000001</v>
      </c>
      <c r="F33" s="13">
        <f>_xll.BDH("AMGN US Equity","IS_AMORT_OF_TOT_INTANG_AFT_TAX","FQ3 2019","FQ3 2019","Currency=USD","Period=FQ","BEST_FPERIOD_OVERRIDE=FQ","FILING_STATUS=MR","SCALING_FORMAT=MLN","Sort=A","Dates=H","DateFormat=P","Fill=—","Direction=H","UseDPDF=Y")</f>
        <v>225</v>
      </c>
      <c r="G33" s="13">
        <f>_xll.BDH("AMGN US Equity","IS_AMORT_OF_TOT_INTANG_AFT_TAX","FQ4 2019","FQ4 2019","Currency=USD","Period=FQ","BEST_FPERIOD_OVERRIDE=FQ","FILING_STATUS=MR","SCALING_FORMAT=MLN","Sort=A","Dates=H","DateFormat=P","Fill=—","Direction=H","UseDPDF=Y")</f>
        <v>413.61259999999999</v>
      </c>
      <c r="H33" s="13">
        <f>_xll.BDH("AMGN US Equity","IS_AMORT_OF_TOT_INTANG_AFT_TAX","FQ1 2020","FQ1 2020","Currency=USD","Period=FQ","BEST_FPERIOD_OVERRIDE=FQ","FILING_STATUS=MR","SCALING_FORMAT=MLN","Sort=A","Dates=H","DateFormat=P","Fill=—","Direction=H","UseDPDF=Y")</f>
        <v>630.32090000000005</v>
      </c>
      <c r="I33" s="13">
        <f>_xll.BDH("AMGN US Equity","IS_AMORT_OF_TOT_INTANG_AFT_TAX","FQ2 2020","FQ2 2020","Currency=USD","Period=FQ","BEST_FPERIOD_OVERRIDE=FQ","FILING_STATUS=MR","SCALING_FORMAT=MLN","Sort=A","Dates=H","DateFormat=P","Fill=—","Direction=H","UseDPDF=Y")</f>
        <v>642.46849999999995</v>
      </c>
      <c r="J33" s="13">
        <f>_xll.BDH("AMGN US Equity","IS_AMORT_OF_TOT_INTANG_AFT_TAX","FQ3 2020","FQ3 2020","Currency=USD","Period=FQ","BEST_FPERIOD_OVERRIDE=FQ","FILING_STATUS=MR","SCALING_FORMAT=MLN","Sort=A","Dates=H","DateFormat=P","Fill=—","Direction=H","UseDPDF=Y")</f>
        <v>573.54</v>
      </c>
      <c r="K33" s="13">
        <f>_xll.BDH("AMGN US Equity","IS_AMORT_OF_TOT_INTANG_AFT_TAX","FQ4 2020","FQ4 2020","Currency=USD","Period=FQ","BEST_FPERIOD_OVERRIDE=FQ","FILING_STATUS=MR","SCALING_FORMAT=MLN","Sort=A","Dates=H","DateFormat=P","Fill=—","Direction=H","UseDPDF=Y")</f>
        <v>564.93529999999998</v>
      </c>
      <c r="L33" s="13">
        <f>_xll.BDH("AMGN US Equity","IS_AMORT_OF_TOT_INTANG_AFT_TAX","FQ1 2021","FQ1 2021","Currency=USD","Period=FQ","BEST_FPERIOD_OVERRIDE=FQ","FILING_STATUS=MR","SCALING_FORMAT=MLN","Sort=A","Dates=H","DateFormat=P","Fill=—","Direction=H","UseDPDF=Y")</f>
        <v>532.46</v>
      </c>
      <c r="M33" s="13">
        <f>_xll.BDH("AMGN US Equity","IS_AMORT_OF_TOT_INTANG_AFT_TAX","FQ2 2021","FQ2 2021","Currency=USD","Period=FQ","BEST_FPERIOD_OVERRIDE=FQ","FILING_STATUS=MR","SCALING_FORMAT=MLN","Sort=A","Dates=H","DateFormat=P","Fill=—","Direction=H","UseDPDF=Y")</f>
        <v>543.52</v>
      </c>
      <c r="N33" s="13">
        <f>_xll.BDH("AMGN US Equity","IS_AMORT_OF_TOT_INTANG_AFT_TAX","FQ3 2021","FQ3 2021","Currency=USD","Period=FQ","BEST_FPERIOD_OVERRIDE=FQ","FILING_STATUS=MR","SCALING_FORMAT=MLN","Sort=A","Dates=H","DateFormat=P","Fill=—","Direction=H","UseDPDF=Y")</f>
        <v>575.79319999999996</v>
      </c>
      <c r="O33" s="13">
        <f>_xll.BDH("AMGN US Equity","IS_AMORT_OF_TOT_INTANG_AFT_TAX","FQ4 2021","FQ4 2021","Currency=USD","Period=FQ","BEST_FPERIOD_OVERRIDE=FQ","FILING_STATUS=MR","SCALING_FORMAT=MLN","Sort=A","Dates=H","DateFormat=P","Fill=—","Direction=H","UseDPDF=Y")</f>
        <v>558.92639999999994</v>
      </c>
      <c r="P33" s="13">
        <f>_xll.BDH("AMGN US Equity","IS_AMORT_OF_TOT_INTANG_AFT_TAX","FQ1 2022","FQ1 2022","Currency=USD","Period=FQ","BEST_FPERIOD_OVERRIDE=FQ","FILING_STATUS=MR","SCALING_FORMAT=MLN","Sort=A","Dates=H","DateFormat=P","Fill=—","Direction=H","UseDPDF=Y")</f>
        <v>513.5</v>
      </c>
      <c r="Q33" s="13">
        <f>_xll.BDH("AMGN US Equity","IS_AMORT_OF_TOT_INTANG_AFT_TAX","FQ2 2022","FQ2 2022","Currency=USD","Period=FQ","BEST_FPERIOD_OVERRIDE=FQ","FILING_STATUS=MR","SCALING_FORMAT=MLN","Sort=A","Dates=H","DateFormat=P","Fill=—","Direction=H","UseDPDF=Y")</f>
        <v>487.43</v>
      </c>
      <c r="R33" s="13">
        <f>_xll.BDH("AMGN US Equity","IS_AMORT_OF_TOT_INTANG_AFT_TAX","FQ3 2022","FQ3 2022","Currency=USD","Period=FQ","BEST_FPERIOD_OVERRIDE=FQ","FILING_STATUS=MR","SCALING_FORMAT=MLN","Sort=A","Dates=H","DateFormat=P","Fill=—","Direction=H","UseDPDF=Y")</f>
        <v>466.73930000000001</v>
      </c>
      <c r="S33" s="13">
        <f>_xll.BDH("AMGN US Equity","IS_AMORT_OF_TOT_INTANG_AFT_TAX","FQ4 2022","FQ4 2022","Currency=USD","Period=FQ","BEST_FPERIOD_OVERRIDE=FQ","FILING_STATUS=MR","SCALING_FORMAT=MLN","Sort=A","Dates=H","DateFormat=P","Fill=—","Direction=H","UseDPDF=Y")</f>
        <v>645.04179999999997</v>
      </c>
      <c r="T33" s="13">
        <f>_xll.BDH("AMGN US Equity","IS_AMORT_OF_TOT_INTANG_AFT_TAX","FQ1 2023","FQ1 2023","Currency=USD","Period=FQ","BEST_FPERIOD_OVERRIDE=FQ","FILING_STATUS=MR","SCALING_FORMAT=MLN","Sort=A","Dates=H","DateFormat=P","Fill=—","Direction=H","UseDPDF=Y")</f>
        <v>594.08000000000004</v>
      </c>
      <c r="U33" s="13">
        <f>_xll.BDH("AMGN US Equity","IS_AMORT_OF_TOT_INTANG_AFT_TAX","FQ2 2023","FQ2 2023","Currency=USD","Period=FQ","BEST_FPERIOD_OVERRIDE=FQ","FILING_STATUS=MR","SCALING_FORMAT=MLN","Sort=A","Dates=H","DateFormat=P","Fill=—","Direction=H","UseDPDF=Y")</f>
        <v>578.28</v>
      </c>
      <c r="V33" s="13">
        <f>_xll.BDH("AMGN US Equity","IS_AMORT_OF_TOT_INTANG_AFT_TAX","FQ3 2023","FQ3 2023","Currency=USD","Period=FQ","BEST_FPERIOD_OVERRIDE=FQ","FILING_STATUS=MR","SCALING_FORMAT=MLN","Sort=A","Dates=H","DateFormat=P","Fill=—","Direction=H","UseDPDF=Y")</f>
        <v>504.08690000000001</v>
      </c>
      <c r="W33" s="13">
        <f>_xll.BDH("AMGN US Equity","IS_AMORT_OF_TOT_INTANG_AFT_TAX","FQ4 2023","FQ4 2023","Currency=USD","Period=FQ","BEST_FPERIOD_OVERRIDE=FQ","FILING_STATUS=MR","SCALING_FORMAT=MLN","Sort=A","Dates=H","DateFormat=P","Fill=—","Direction=H","UseDPDF=Y")</f>
        <v>1509.8224</v>
      </c>
      <c r="X33" s="13">
        <f>_xll.BDH("AMGN US Equity","IS_AMORT_OF_TOT_INTANG_AFT_TAX","FQ1 2024","FQ1 2024","Currency=USD","Period=FQ","BEST_FPERIOD_OVERRIDE=FQ","FILING_STATUS=MR","SCALING_FORMAT=MLN","Sort=A","Dates=H","DateFormat=P","Fill=—","Direction=H","UseDPDF=Y")</f>
        <v>1565.78</v>
      </c>
      <c r="Y33" s="13">
        <f>_xll.BDH("AMGN US Equity","IS_AMORT_OF_TOT_INTANG_AFT_TAX","FQ2 2024","FQ2 2024","Currency=USD","Period=FQ","BEST_FPERIOD_OVERRIDE=FQ","FILING_STATUS=MR","SCALING_FORMAT=MLN","Sort=A","Dates=H","DateFormat=P","Fill=—","Direction=H","UseDPDF=Y")</f>
        <v>1542.87</v>
      </c>
      <c r="Z33" s="13">
        <f>_xll.BDH("AMGN US Equity","IS_AMORT_OF_TOT_INTANG_AFT_TAX","FQ3 2024","FQ3 2024","Currency=USD","Period=FQ","BEST_FPERIOD_OVERRIDE=FQ","FILING_STATUS=MR","SCALING_FORMAT=MLN","Sort=A","Dates=H","DateFormat=P","Fill=—","Direction=H","UseDPDF=Y")</f>
        <v>1521.54</v>
      </c>
      <c r="AA33" s="13">
        <f>_xll.BDH("AMGN US Equity","IS_AMORT_OF_TOT_INTANG_AFT_TAX","FQ4 2024","FQ4 2024","Currency=USD","Period=FQ","BEST_FPERIOD_OVERRIDE=FQ","FILING_STATUS=MR","SCALING_FORMAT=MLN","Sort=A","Dates=H","DateFormat=P","Fill=—","Direction=H","UseDPDF=Y")</f>
        <v>205.791</v>
      </c>
    </row>
    <row r="34" spans="1:27" x14ac:dyDescent="0.25">
      <c r="A34" s="10" t="s">
        <v>679</v>
      </c>
      <c r="B34" s="10" t="s">
        <v>697</v>
      </c>
      <c r="C34" s="14">
        <f>_xll.BDH("AMGN US Equity","IS_AMORT_OF_TOT_INTANG_P_BAS_SH","FQ4 2018","FQ4 2018","Currency=USD","Period=FQ","BEST_FPERIOD_OVERRIDE=FQ","FILING_STATUS=MR","Sort=A","Dates=H","DateFormat=P","Fill=—","Direction=H","UseDPDF=Y")</f>
        <v>0.38080000000000003</v>
      </c>
      <c r="D34" s="14">
        <f>_xll.BDH("AMGN US Equity","IS_AMORT_OF_TOT_INTANG_P_BAS_SH","FQ1 2019","FQ1 2019","Currency=USD","Period=FQ","BEST_FPERIOD_OVERRIDE=FQ","FILING_STATUS=MR","Sort=A","Dates=H","DateFormat=P","Fill=—","Direction=H","UseDPDF=Y")</f>
        <v>0.37230000000000002</v>
      </c>
      <c r="E34" s="14">
        <f>_xll.BDH("AMGN US Equity","IS_AMORT_OF_TOT_INTANG_P_BAS_SH","FQ2 2019","FQ2 2019","Currency=USD","Period=FQ","BEST_FPERIOD_OVERRIDE=FQ","FILING_STATUS=MR","Sort=A","Dates=H","DateFormat=P","Fill=—","Direction=H","UseDPDF=Y")</f>
        <v>0.37609999999999999</v>
      </c>
      <c r="F34" s="14">
        <f>_xll.BDH("AMGN US Equity","IS_AMORT_OF_TOT_INTANG_P_BAS_SH","FQ3 2019","FQ3 2019","Currency=USD","Period=FQ","BEST_FPERIOD_OVERRIDE=FQ","FILING_STATUS=MR","Sort=A","Dates=H","DateFormat=P","Fill=—","Direction=H","UseDPDF=Y")</f>
        <v>0.37559999999999999</v>
      </c>
      <c r="G34" s="14">
        <f>_xll.BDH("AMGN US Equity","IS_AMORT_OF_TOT_INTANG_P_BAS_SH","FQ4 2019","FQ4 2019","Currency=USD","Period=FQ","BEST_FPERIOD_OVERRIDE=FQ","FILING_STATUS=MR","Sort=A","Dates=H","DateFormat=P","Fill=—","Direction=H","UseDPDF=Y")</f>
        <v>0.69750000000000001</v>
      </c>
      <c r="H34" s="14">
        <f>_xll.BDH("AMGN US Equity","IS_AMORT_OF_TOT_INTANG_P_BAS_SH","FQ1 2020","FQ1 2020","Currency=USD","Period=FQ","BEST_FPERIOD_OVERRIDE=FQ","FILING_STATUS=MR","Sort=A","Dates=H","DateFormat=P","Fill=—","Direction=H","UseDPDF=Y")</f>
        <v>1.0683</v>
      </c>
      <c r="I34" s="14">
        <f>_xll.BDH("AMGN US Equity","IS_AMORT_OF_TOT_INTANG_P_BAS_SH","FQ2 2020","FQ2 2020","Currency=USD","Period=FQ","BEST_FPERIOD_OVERRIDE=FQ","FILING_STATUS=MR","Sort=A","Dates=H","DateFormat=P","Fill=—","Direction=H","UseDPDF=Y")</f>
        <v>1.0926</v>
      </c>
      <c r="J34" s="14">
        <f>_xll.BDH("AMGN US Equity","IS_AMORT_OF_TOT_INTANG_P_BAS_SH","FQ3 2020","FQ3 2020","Currency=USD","Period=FQ","BEST_FPERIOD_OVERRIDE=FQ","FILING_STATUS=MR","Sort=A","Dates=H","DateFormat=P","Fill=—","Direction=H","UseDPDF=Y")</f>
        <v>0.98040000000000005</v>
      </c>
      <c r="K34" s="14">
        <f>_xll.BDH("AMGN US Equity","IS_AMORT_OF_TOT_INTANG_P_BAS_SH","FQ4 2020","FQ4 2020","Currency=USD","Period=FQ","BEST_FPERIOD_OVERRIDE=FQ","FILING_STATUS=MR","Sort=A","Dates=H","DateFormat=P","Fill=—","Direction=H","UseDPDF=Y")</f>
        <v>0.97240000000000004</v>
      </c>
      <c r="L34" s="14">
        <f>_xll.BDH("AMGN US Equity","IS_AMORT_OF_TOT_INTANG_P_BAS_SH","FQ1 2021","FQ1 2021","Currency=USD","Period=FQ","BEST_FPERIOD_OVERRIDE=FQ","FILING_STATUS=MR","Sort=A","Dates=H","DateFormat=P","Fill=—","Direction=H","UseDPDF=Y")</f>
        <v>0.92279999999999995</v>
      </c>
      <c r="M34" s="14">
        <f>_xll.BDH("AMGN US Equity","IS_AMORT_OF_TOT_INTANG_P_BAS_SH","FQ2 2021","FQ2 2021","Currency=USD","Period=FQ","BEST_FPERIOD_OVERRIDE=FQ","FILING_STATUS=MR","Sort=A","Dates=H","DateFormat=P","Fill=—","Direction=H","UseDPDF=Y")</f>
        <v>0.9486</v>
      </c>
      <c r="N34" s="14">
        <f>_xll.BDH("AMGN US Equity","IS_AMORT_OF_TOT_INTANG_P_BAS_SH","FQ3 2021","FQ3 2021","Currency=USD","Period=FQ","BEST_FPERIOD_OVERRIDE=FQ","FILING_STATUS=MR","Sort=A","Dates=H","DateFormat=P","Fill=—","Direction=H","UseDPDF=Y")</f>
        <v>1.0155000000000001</v>
      </c>
      <c r="O34" s="14">
        <f>_xll.BDH("AMGN US Equity","IS_AMORT_OF_TOT_INTANG_P_BAS_SH","FQ4 2021","FQ4 2021","Currency=USD","Period=FQ","BEST_FPERIOD_OVERRIDE=FQ","FILING_STATUS=MR","Sort=A","Dates=H","DateFormat=P","Fill=—","Direction=H","UseDPDF=Y")</f>
        <v>0.99450000000000005</v>
      </c>
      <c r="P34" s="14">
        <f>_xll.BDH("AMGN US Equity","IS_AMORT_OF_TOT_INTANG_P_BAS_SH","FQ1 2022","FQ1 2022","Currency=USD","Period=FQ","BEST_FPERIOD_OVERRIDE=FQ","FILING_STATUS=MR","Sort=A","Dates=H","DateFormat=P","Fill=—","Direction=H","UseDPDF=Y")</f>
        <v>0.93700000000000006</v>
      </c>
      <c r="Q34" s="14">
        <f>_xll.BDH("AMGN US Equity","IS_AMORT_OF_TOT_INTANG_P_BAS_SH","FQ2 2022","FQ2 2022","Currency=USD","Period=FQ","BEST_FPERIOD_OVERRIDE=FQ","FILING_STATUS=MR","Sort=A","Dates=H","DateFormat=P","Fill=—","Direction=H","UseDPDF=Y")</f>
        <v>0.91110000000000002</v>
      </c>
      <c r="R34" s="14">
        <f>_xll.BDH("AMGN US Equity","IS_AMORT_OF_TOT_INTANG_P_BAS_SH","FQ3 2022","FQ3 2022","Currency=USD","Period=FQ","BEST_FPERIOD_OVERRIDE=FQ","FILING_STATUS=MR","Sort=A","Dates=H","DateFormat=P","Fill=—","Direction=H","UseDPDF=Y")</f>
        <v>0.87239999999999995</v>
      </c>
      <c r="S34" s="14">
        <f>_xll.BDH("AMGN US Equity","IS_AMORT_OF_TOT_INTANG_P_BAS_SH","FQ4 2022","FQ4 2022","Currency=USD","Period=FQ","BEST_FPERIOD_OVERRIDE=FQ","FILING_STATUS=MR","Sort=A","Dates=H","DateFormat=P","Fill=—","Direction=H","UseDPDF=Y")</f>
        <v>1.2057</v>
      </c>
      <c r="T34" s="14">
        <f>_xll.BDH("AMGN US Equity","IS_AMORT_OF_TOT_INTANG_P_BAS_SH","FQ1 2023","FQ1 2023","Currency=USD","Period=FQ","BEST_FPERIOD_OVERRIDE=FQ","FILING_STATUS=MR","Sort=A","Dates=H","DateFormat=P","Fill=—","Direction=H","UseDPDF=Y")</f>
        <v>1.1125</v>
      </c>
      <c r="U34" s="14">
        <f>_xll.BDH("AMGN US Equity","IS_AMORT_OF_TOT_INTANG_P_BAS_SH","FQ2 2023","FQ2 2023","Currency=USD","Period=FQ","BEST_FPERIOD_OVERRIDE=FQ","FILING_STATUS=MR","Sort=A","Dates=H","DateFormat=P","Fill=—","Direction=H","UseDPDF=Y")</f>
        <v>1.0809</v>
      </c>
      <c r="V34" s="14">
        <f>_xll.BDH("AMGN US Equity","IS_AMORT_OF_TOT_INTANG_P_BAS_SH","FQ3 2023","FQ3 2023","Currency=USD","Period=FQ","BEST_FPERIOD_OVERRIDE=FQ","FILING_STATUS=MR","Sort=A","Dates=H","DateFormat=P","Fill=—","Direction=H","UseDPDF=Y")</f>
        <v>0.94220000000000004</v>
      </c>
      <c r="W34" s="14">
        <f>_xll.BDH("AMGN US Equity","IS_AMORT_OF_TOT_INTANG_P_BAS_SH","FQ4 2023","FQ4 2023","Currency=USD","Period=FQ","BEST_FPERIOD_OVERRIDE=FQ","FILING_STATUS=MR","Sort=A","Dates=H","DateFormat=P","Fill=—","Direction=H","UseDPDF=Y")</f>
        <v>2.8220999999999998</v>
      </c>
      <c r="X34" s="14">
        <f>_xll.BDH("AMGN US Equity","IS_AMORT_OF_TOT_INTANG_P_BAS_SH","FQ1 2024","FQ1 2024","Currency=USD","Period=FQ","BEST_FPERIOD_OVERRIDE=FQ","FILING_STATUS=MR","Sort=A","Dates=H","DateFormat=P","Fill=—","Direction=H","UseDPDF=Y")</f>
        <v>2.9211999999999998</v>
      </c>
      <c r="Y34" s="14">
        <f>_xll.BDH("AMGN US Equity","IS_AMORT_OF_TOT_INTANG_P_BAS_SH","FQ2 2024","FQ2 2024","Currency=USD","Period=FQ","BEST_FPERIOD_OVERRIDE=FQ","FILING_STATUS=MR","Sort=A","Dates=H","DateFormat=P","Fill=—","Direction=H","UseDPDF=Y")</f>
        <v>2.8731</v>
      </c>
      <c r="Z34" s="14">
        <f>_xll.BDH("AMGN US Equity","IS_AMORT_OF_TOT_INTANG_P_BAS_SH","FQ3 2024","FQ3 2024","Currency=USD","Period=FQ","BEST_FPERIOD_OVERRIDE=FQ","FILING_STATUS=MR","Sort=A","Dates=H","DateFormat=P","Fill=—","Direction=H","UseDPDF=Y")</f>
        <v>2.8334000000000001</v>
      </c>
      <c r="AA34" s="14">
        <f>_xll.BDH("AMGN US Equity","IS_AMORT_OF_TOT_INTANG_P_BAS_SH","FQ4 2024","FQ4 2024","Currency=USD","Period=FQ","BEST_FPERIOD_OVERRIDE=FQ","FILING_STATUS=MR","Sort=A","Dates=H","DateFormat=P","Fill=—","Direction=H","UseDPDF=Y")</f>
        <v>0.38319999999999999</v>
      </c>
    </row>
    <row r="35" spans="1:27" x14ac:dyDescent="0.25">
      <c r="A35" s="10" t="s">
        <v>681</v>
      </c>
      <c r="B35" s="10" t="s">
        <v>698</v>
      </c>
      <c r="C35" s="14">
        <f>_xll.BDH("AMGN US Equity","IS_AMORT_OF_TOT_INTANG_P_DIL_SH","FQ4 2018","FQ4 2018","Currency=USD","Period=FQ","BEST_FPERIOD_OVERRIDE=FQ","FILING_STATUS=MR","Sort=A","Dates=H","DateFormat=P","Fill=—","Direction=H","UseDPDF=Y")</f>
        <v>0.37790000000000001</v>
      </c>
      <c r="D35" s="14">
        <f>_xll.BDH("AMGN US Equity","IS_AMORT_OF_TOT_INTANG_P_DIL_SH","FQ1 2019","FQ1 2019","Currency=USD","Period=FQ","BEST_FPERIOD_OVERRIDE=FQ","FILING_STATUS=MR","Sort=A","Dates=H","DateFormat=P","Fill=—","Direction=H","UseDPDF=Y")</f>
        <v>0.36990000000000001</v>
      </c>
      <c r="E35" s="14">
        <f>_xll.BDH("AMGN US Equity","IS_AMORT_OF_TOT_INTANG_P_DIL_SH","FQ2 2019","FQ2 2019","Currency=USD","Period=FQ","BEST_FPERIOD_OVERRIDE=FQ","FILING_STATUS=MR","Sort=A","Dates=H","DateFormat=P","Fill=—","Direction=H","UseDPDF=Y")</f>
        <v>0.37419999999999998</v>
      </c>
      <c r="F35" s="14">
        <f>_xll.BDH("AMGN US Equity","IS_AMORT_OF_TOT_INTANG_P_DIL_SH","FQ3 2019","FQ3 2019","Currency=USD","Period=FQ","BEST_FPERIOD_OVERRIDE=FQ","FILING_STATUS=MR","Sort=A","Dates=H","DateFormat=P","Fill=—","Direction=H","UseDPDF=Y")</f>
        <v>0.37380000000000002</v>
      </c>
      <c r="G35" s="14">
        <f>_xll.BDH("AMGN US Equity","IS_AMORT_OF_TOT_INTANG_P_DIL_SH","FQ4 2019","FQ4 2019","Currency=USD","Period=FQ","BEST_FPERIOD_OVERRIDE=FQ","FILING_STATUS=MR","Sort=A","Dates=H","DateFormat=P","Fill=—","Direction=H","UseDPDF=Y")</f>
        <v>0.69169999999999998</v>
      </c>
      <c r="H35" s="14">
        <f>_xll.BDH("AMGN US Equity","IS_AMORT_OF_TOT_INTANG_P_DIL_SH","FQ1 2020","FQ1 2020","Currency=USD","Period=FQ","BEST_FPERIOD_OVERRIDE=FQ","FILING_STATUS=MR","Sort=A","Dates=H","DateFormat=P","Fill=—","Direction=H","UseDPDF=Y")</f>
        <v>1.0610999999999999</v>
      </c>
      <c r="I35" s="14">
        <f>_xll.BDH("AMGN US Equity","IS_AMORT_OF_TOT_INTANG_P_DIL_SH","FQ2 2020","FQ2 2020","Currency=USD","Period=FQ","BEST_FPERIOD_OVERRIDE=FQ","FILING_STATUS=MR","Sort=A","Dates=H","DateFormat=P","Fill=—","Direction=H","UseDPDF=Y")</f>
        <v>1.0852999999999999</v>
      </c>
      <c r="J35" s="14">
        <f>_xll.BDH("AMGN US Equity","IS_AMORT_OF_TOT_INTANG_P_DIL_SH","FQ3 2020","FQ3 2020","Currency=USD","Period=FQ","BEST_FPERIOD_OVERRIDE=FQ","FILING_STATUS=MR","Sort=A","Dates=H","DateFormat=P","Fill=—","Direction=H","UseDPDF=Y")</f>
        <v>0.9738</v>
      </c>
      <c r="K35" s="14">
        <f>_xll.BDH("AMGN US Equity","IS_AMORT_OF_TOT_INTANG_P_DIL_SH","FQ4 2020","FQ4 2020","Currency=USD","Period=FQ","BEST_FPERIOD_OVERRIDE=FQ","FILING_STATUS=MR","Sort=A","Dates=H","DateFormat=P","Fill=—","Direction=H","UseDPDF=Y")</f>
        <v>0.9657</v>
      </c>
      <c r="L35" s="14">
        <f>_xll.BDH("AMGN US Equity","IS_AMORT_OF_TOT_INTANG_P_DIL_SH","FQ1 2021","FQ1 2021","Currency=USD","Period=FQ","BEST_FPERIOD_OVERRIDE=FQ","FILING_STATUS=MR","Sort=A","Dates=H","DateFormat=P","Fill=—","Direction=H","UseDPDF=Y")</f>
        <v>0.91649999999999998</v>
      </c>
      <c r="M35" s="14">
        <f>_xll.BDH("AMGN US Equity","IS_AMORT_OF_TOT_INTANG_P_DIL_SH","FQ2 2021","FQ2 2021","Currency=USD","Period=FQ","BEST_FPERIOD_OVERRIDE=FQ","FILING_STATUS=MR","Sort=A","Dates=H","DateFormat=P","Fill=—","Direction=H","UseDPDF=Y")</f>
        <v>0.94359999999999999</v>
      </c>
      <c r="N35" s="14">
        <f>_xll.BDH("AMGN US Equity","IS_AMORT_OF_TOT_INTANG_P_DIL_SH","FQ3 2021","FQ3 2021","Currency=USD","Period=FQ","BEST_FPERIOD_OVERRIDE=FQ","FILING_STATUS=MR","Sort=A","Dates=H","DateFormat=P","Fill=—","Direction=H","UseDPDF=Y")</f>
        <v>1.0102</v>
      </c>
      <c r="O35" s="14">
        <f>_xll.BDH("AMGN US Equity","IS_AMORT_OF_TOT_INTANG_P_DIL_SH","FQ4 2021","FQ4 2021","Currency=USD","Period=FQ","BEST_FPERIOD_OVERRIDE=FQ","FILING_STATUS=MR","Sort=A","Dates=H","DateFormat=P","Fill=—","Direction=H","UseDPDF=Y")</f>
        <v>0.98929999999999996</v>
      </c>
      <c r="P35" s="14">
        <f>_xll.BDH("AMGN US Equity","IS_AMORT_OF_TOT_INTANG_P_DIL_SH","FQ1 2022","FQ1 2022","Currency=USD","Period=FQ","BEST_FPERIOD_OVERRIDE=FQ","FILING_STATUS=MR","Sort=A","Dates=H","DateFormat=P","Fill=—","Direction=H","UseDPDF=Y")</f>
        <v>0.93189999999999995</v>
      </c>
      <c r="Q35" s="14">
        <f>_xll.BDH("AMGN US Equity","IS_AMORT_OF_TOT_INTANG_P_DIL_SH","FQ2 2022","FQ2 2022","Currency=USD","Period=FQ","BEST_FPERIOD_OVERRIDE=FQ","FILING_STATUS=MR","Sort=A","Dates=H","DateFormat=P","Fill=—","Direction=H","UseDPDF=Y")</f>
        <v>0.90769999999999995</v>
      </c>
      <c r="R35" s="14">
        <f>_xll.BDH("AMGN US Equity","IS_AMORT_OF_TOT_INTANG_P_DIL_SH","FQ3 2022","FQ3 2022","Currency=USD","Period=FQ","BEST_FPERIOD_OVERRIDE=FQ","FILING_STATUS=MR","Sort=A","Dates=H","DateFormat=P","Fill=—","Direction=H","UseDPDF=Y")</f>
        <v>0.86750000000000005</v>
      </c>
      <c r="S35" s="14">
        <f>_xll.BDH("AMGN US Equity","IS_AMORT_OF_TOT_INTANG_P_DIL_SH","FQ4 2022","FQ4 2022","Currency=USD","Period=FQ","BEST_FPERIOD_OVERRIDE=FQ","FILING_STATUS=MR","Sort=A","Dates=H","DateFormat=P","Fill=—","Direction=H","UseDPDF=Y")</f>
        <v>1.1967000000000001</v>
      </c>
      <c r="T35" s="14">
        <f>_xll.BDH("AMGN US Equity","IS_AMORT_OF_TOT_INTANG_P_DIL_SH","FQ1 2023","FQ1 2023","Currency=USD","Period=FQ","BEST_FPERIOD_OVERRIDE=FQ","FILING_STATUS=MR","Sort=A","Dates=H","DateFormat=P","Fill=—","Direction=H","UseDPDF=Y")</f>
        <v>1.1042000000000001</v>
      </c>
      <c r="U35" s="14">
        <f>_xll.BDH("AMGN US Equity","IS_AMORT_OF_TOT_INTANG_P_DIL_SH","FQ2 2023","FQ2 2023","Currency=USD","Period=FQ","BEST_FPERIOD_OVERRIDE=FQ","FILING_STATUS=MR","Sort=A","Dates=H","DateFormat=P","Fill=—","Direction=H","UseDPDF=Y")</f>
        <v>1.0769</v>
      </c>
      <c r="V35" s="14">
        <f>_xll.BDH("AMGN US Equity","IS_AMORT_OF_TOT_INTANG_P_DIL_SH","FQ3 2023","FQ3 2023","Currency=USD","Period=FQ","BEST_FPERIOD_OVERRIDE=FQ","FILING_STATUS=MR","Sort=A","Dates=H","DateFormat=P","Fill=—","Direction=H","UseDPDF=Y")</f>
        <v>0.93700000000000006</v>
      </c>
      <c r="W35" s="14">
        <f>_xll.BDH("AMGN US Equity","IS_AMORT_OF_TOT_INTANG_P_DIL_SH","FQ4 2023","FQ4 2023","Currency=USD","Period=FQ","BEST_FPERIOD_OVERRIDE=FQ","FILING_STATUS=MR","Sort=A","Dates=H","DateFormat=P","Fill=—","Direction=H","UseDPDF=Y")</f>
        <v>2.7959999999999998</v>
      </c>
      <c r="X35" s="14">
        <f>_xll.BDH("AMGN US Equity","IS_AMORT_OF_TOT_INTANG_P_DIL_SH","FQ1 2024","FQ1 2024","Currency=USD","Period=FQ","BEST_FPERIOD_OVERRIDE=FQ","FILING_STATUS=MR","Sort=A","Dates=H","DateFormat=P","Fill=—","Direction=H","UseDPDF=Y")</f>
        <v>2.9211999999999998</v>
      </c>
      <c r="Y35" s="14">
        <f>_xll.BDH("AMGN US Equity","IS_AMORT_OF_TOT_INTANG_P_DIL_SH","FQ2 2024","FQ2 2024","Currency=USD","Period=FQ","BEST_FPERIOD_OVERRIDE=FQ","FILING_STATUS=MR","Sort=A","Dates=H","DateFormat=P","Fill=—","Direction=H","UseDPDF=Y")</f>
        <v>2.8519000000000001</v>
      </c>
      <c r="Z35" s="14">
        <f>_xll.BDH("AMGN US Equity","IS_AMORT_OF_TOT_INTANG_P_DIL_SH","FQ3 2024","FQ3 2024","Currency=USD","Period=FQ","BEST_FPERIOD_OVERRIDE=FQ","FILING_STATUS=MR","Sort=A","Dates=H","DateFormat=P","Fill=—","Direction=H","UseDPDF=Y")</f>
        <v>2.8073000000000001</v>
      </c>
      <c r="AA35" s="14">
        <f>_xll.BDH("AMGN US Equity","IS_AMORT_OF_TOT_INTANG_P_DIL_SH","FQ4 2024","FQ4 2024","Currency=USD","Period=FQ","BEST_FPERIOD_OVERRIDE=FQ","FILING_STATUS=MR","Sort=A","Dates=H","DateFormat=P","Fill=—","Direction=H","UseDPDF=Y")</f>
        <v>0.37969999999999998</v>
      </c>
    </row>
    <row r="36" spans="1:27" x14ac:dyDescent="0.25">
      <c r="A36" s="7" t="s">
        <v>90</v>
      </c>
      <c r="B36" s="7"/>
      <c r="C36" s="7" t="s">
        <v>5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3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699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31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</row>
    <row r="6" spans="1:27" x14ac:dyDescent="0.25">
      <c r="A6" s="6" t="s">
        <v>0</v>
      </c>
      <c r="B6" s="6" t="s">
        <v>71</v>
      </c>
      <c r="C6" s="19">
        <f>_xll.BDH("AMGN US Equity","SALES_REV_TURN","FQ2 2019","FQ2 2019","Currency=USD","Period=FQ","BEST_FPERIOD_OVERRIDE=FQ","FILING_STATUS=MR","SCALING_FORMAT=MLN","FA_ADJUSTED=Adjusted","Sort=A","Dates=H","DateFormat=P","Fill=—","Direction=H","UseDPDF=Y")</f>
        <v>5871</v>
      </c>
      <c r="D6" s="19">
        <f>_xll.BDH("AMGN US Equity","SALES_REV_TURN","FQ3 2019","FQ3 2019","Currency=USD","Period=FQ","BEST_FPERIOD_OVERRIDE=FQ","FILING_STATUS=MR","SCALING_FORMAT=MLN","FA_ADJUSTED=Adjusted","Sort=A","Dates=H","DateFormat=P","Fill=—","Direction=H","UseDPDF=Y")</f>
        <v>5737</v>
      </c>
      <c r="E6" s="19">
        <f>_xll.BDH("AMGN US Equity","SALES_REV_TURN","FQ4 2019","FQ4 2019","Currency=USD","Period=FQ","BEST_FPERIOD_OVERRIDE=FQ","FILING_STATUS=MR","SCALING_FORMAT=MLN","FA_ADJUSTED=Adjusted","Sort=A","Dates=H","DateFormat=P","Fill=—","Direction=H","UseDPDF=Y")</f>
        <v>6197</v>
      </c>
      <c r="F6" s="19">
        <f>_xll.BDH("AMGN US Equity","SALES_REV_TURN","FQ1 2020","FQ1 2020","Currency=USD","Period=FQ","BEST_FPERIOD_OVERRIDE=FQ","FILING_STATUS=MR","SCALING_FORMAT=MLN","FA_ADJUSTED=Adjusted","Sort=A","Dates=H","DateFormat=P","Fill=—","Direction=H","UseDPDF=Y")</f>
        <v>6161</v>
      </c>
      <c r="G6" s="19">
        <f>_xll.BDH("AMGN US Equity","SALES_REV_TURN","FQ2 2020","FQ2 2020","Currency=USD","Period=FQ","BEST_FPERIOD_OVERRIDE=FQ","FILING_STATUS=MR","SCALING_FORMAT=MLN","FA_ADJUSTED=Adjusted","Sort=A","Dates=H","DateFormat=P","Fill=—","Direction=H","UseDPDF=Y")</f>
        <v>6206</v>
      </c>
      <c r="H6" s="19">
        <f>_xll.BDH("AMGN US Equity","SALES_REV_TURN","FQ3 2020","FQ3 2020","Currency=USD","Period=FQ","BEST_FPERIOD_OVERRIDE=FQ","FILING_STATUS=MR","SCALING_FORMAT=MLN","FA_ADJUSTED=Adjusted","Sort=A","Dates=H","DateFormat=P","Fill=—","Direction=H","UseDPDF=Y")</f>
        <v>6423</v>
      </c>
      <c r="I6" s="19">
        <f>_xll.BDH("AMGN US Equity","SALES_REV_TURN","FQ4 2020","FQ4 2020","Currency=USD","Period=FQ","BEST_FPERIOD_OVERRIDE=FQ","FILING_STATUS=MR","SCALING_FORMAT=MLN","FA_ADJUSTED=Adjusted","Sort=A","Dates=H","DateFormat=P","Fill=—","Direction=H","UseDPDF=Y")</f>
        <v>6634</v>
      </c>
      <c r="J6" s="19">
        <f>_xll.BDH("AMGN US Equity","SALES_REV_TURN","FQ1 2021","FQ1 2021","Currency=USD","Period=FQ","BEST_FPERIOD_OVERRIDE=FQ","FILING_STATUS=MR","SCALING_FORMAT=MLN","FA_ADJUSTED=Adjusted","Sort=A","Dates=H","DateFormat=P","Fill=—","Direction=H","UseDPDF=Y")</f>
        <v>5901</v>
      </c>
      <c r="K6" s="19">
        <f>_xll.BDH("AMGN US Equity","SALES_REV_TURN","FQ2 2021","FQ2 2021","Currency=USD","Period=FQ","BEST_FPERIOD_OVERRIDE=FQ","FILING_STATUS=MR","SCALING_FORMAT=MLN","FA_ADJUSTED=Adjusted","Sort=A","Dates=H","DateFormat=P","Fill=—","Direction=H","UseDPDF=Y")</f>
        <v>6526</v>
      </c>
      <c r="L6" s="19">
        <f>_xll.BDH("AMGN US Equity","SALES_REV_TURN","FQ3 2021","FQ3 2021","Currency=USD","Period=FQ","BEST_FPERIOD_OVERRIDE=FQ","FILING_STATUS=MR","SCALING_FORMAT=MLN","FA_ADJUSTED=Adjusted","Sort=A","Dates=H","DateFormat=P","Fill=—","Direction=H","UseDPDF=Y")</f>
        <v>6706</v>
      </c>
      <c r="M6" s="19">
        <f>_xll.BDH("AMGN US Equity","SALES_REV_TURN","FQ4 2021","FQ4 2021","Currency=USD","Period=FQ","BEST_FPERIOD_OVERRIDE=FQ","FILING_STATUS=MR","SCALING_FORMAT=MLN","FA_ADJUSTED=Adjusted","Sort=A","Dates=H","DateFormat=P","Fill=—","Direction=H","UseDPDF=Y")</f>
        <v>6846</v>
      </c>
      <c r="N6" s="19">
        <f>_xll.BDH("AMGN US Equity","SALES_REV_TURN","FQ1 2022","FQ1 2022","Currency=USD","Period=FQ","BEST_FPERIOD_OVERRIDE=FQ","FILING_STATUS=MR","SCALING_FORMAT=MLN","FA_ADJUSTED=Adjusted","Sort=A","Dates=H","DateFormat=P","Fill=—","Direction=H","UseDPDF=Y")</f>
        <v>6238</v>
      </c>
      <c r="O6" s="19">
        <f>_xll.BDH("AMGN US Equity","SALES_REV_TURN","FQ2 2022","FQ2 2022","Currency=USD","Period=FQ","BEST_FPERIOD_OVERRIDE=FQ","FILING_STATUS=MR","SCALING_FORMAT=MLN","FA_ADJUSTED=Adjusted","Sort=A","Dates=H","DateFormat=P","Fill=—","Direction=H","UseDPDF=Y")</f>
        <v>6594</v>
      </c>
      <c r="P6" s="19">
        <f>_xll.BDH("AMGN US Equity","SALES_REV_TURN","FQ3 2022","FQ3 2022","Currency=USD","Period=FQ","BEST_FPERIOD_OVERRIDE=FQ","FILING_STATUS=MR","SCALING_FORMAT=MLN","FA_ADJUSTED=Adjusted","Sort=A","Dates=H","DateFormat=P","Fill=—","Direction=H","UseDPDF=Y")</f>
        <v>6652</v>
      </c>
      <c r="Q6" s="19">
        <f>_xll.BDH("AMGN US Equity","SALES_REV_TURN","FQ4 2022","FQ4 2022","Currency=USD","Period=FQ","BEST_FPERIOD_OVERRIDE=FQ","FILING_STATUS=MR","SCALING_FORMAT=MLN","FA_ADJUSTED=Adjusted","Sort=A","Dates=H","DateFormat=P","Fill=—","Direction=H","UseDPDF=Y")</f>
        <v>6839</v>
      </c>
      <c r="R6" s="19">
        <f>_xll.BDH("AMGN US Equity","SALES_REV_TURN","FQ1 2023","FQ1 2023","Currency=USD","Period=FQ","BEST_FPERIOD_OVERRIDE=FQ","FILING_STATUS=MR","SCALING_FORMAT=MLN","FA_ADJUSTED=Adjusted","Sort=A","Dates=H","DateFormat=P","Fill=—","Direction=H","UseDPDF=Y")</f>
        <v>6105</v>
      </c>
      <c r="S6" s="19">
        <f>_xll.BDH("AMGN US Equity","SALES_REV_TURN","FQ2 2023","FQ2 2023","Currency=USD","Period=FQ","BEST_FPERIOD_OVERRIDE=FQ","FILING_STATUS=MR","SCALING_FORMAT=MLN","FA_ADJUSTED=Adjusted","Sort=A","Dates=H","DateFormat=P","Fill=—","Direction=H","UseDPDF=Y")</f>
        <v>6986</v>
      </c>
      <c r="T6" s="19">
        <f>_xll.BDH("AMGN US Equity","SALES_REV_TURN","FQ3 2023","FQ3 2023","Currency=USD","Period=FQ","BEST_FPERIOD_OVERRIDE=FQ","FILING_STATUS=MR","SCALING_FORMAT=MLN","FA_ADJUSTED=Adjusted","Sort=A","Dates=H","DateFormat=P","Fill=—","Direction=H","UseDPDF=Y")</f>
        <v>6903</v>
      </c>
      <c r="U6" s="19">
        <f>_xll.BDH("AMGN US Equity","SALES_REV_TURN","FQ4 2023","FQ4 2023","Currency=USD","Period=FQ","BEST_FPERIOD_OVERRIDE=FQ","FILING_STATUS=MR","SCALING_FORMAT=MLN","FA_ADJUSTED=Adjusted","Sort=A","Dates=H","DateFormat=P","Fill=—","Direction=H","UseDPDF=Y")</f>
        <v>8196</v>
      </c>
      <c r="V6" s="19">
        <f>_xll.BDH("AMGN US Equity","SALES_REV_TURN","FQ1 2024","FQ1 2024","Currency=USD","Period=FQ","BEST_FPERIOD_OVERRIDE=FQ","FILING_STATUS=MR","SCALING_FORMAT=MLN","FA_ADJUSTED=Adjusted","Sort=A","Dates=H","DateFormat=P","Fill=—","Direction=H","UseDPDF=Y")</f>
        <v>7447</v>
      </c>
      <c r="W6" s="19">
        <f>_xll.BDH("AMGN US Equity","SALES_REV_TURN","FQ2 2024","FQ2 2024","Currency=USD","Period=FQ","BEST_FPERIOD_OVERRIDE=FQ","FILING_STATUS=MR","SCALING_FORMAT=MLN","FA_ADJUSTED=Adjusted","Sort=A","Dates=H","DateFormat=P","Fill=—","Direction=H","UseDPDF=Y")</f>
        <v>8388</v>
      </c>
      <c r="X6" s="19">
        <f>_xll.BDH("AMGN US Equity","SALES_REV_TURN","FQ3 2024","FQ3 2024","Currency=USD","Period=FQ","BEST_FPERIOD_OVERRIDE=FQ","FILING_STATUS=MR","SCALING_FORMAT=MLN","FA_ADJUSTED=Adjusted","Sort=A","Dates=H","DateFormat=P","Fill=—","Direction=H","UseDPDF=Y")</f>
        <v>8503</v>
      </c>
      <c r="Y6" s="19">
        <f>_xll.BDH("AMGN US Equity","SALES_REV_TURN","FQ4 2024","FQ4 2024","Currency=USD","Period=FQ","BEST_FPERIOD_OVERRIDE=FQ","FILING_STATUS=MR","SCALING_FORMAT=MLN","FA_ADJUSTED=Adjusted","Sort=A","Dates=H","DateFormat=P","Fill=—","Direction=H","UseDPDF=Y")</f>
        <v>9086</v>
      </c>
      <c r="Z6" s="19">
        <v>8068.5829999999996</v>
      </c>
      <c r="AA6" s="19">
        <v>8866</v>
      </c>
    </row>
    <row r="7" spans="1:27" x14ac:dyDescent="0.25">
      <c r="A7" s="10" t="s">
        <v>308</v>
      </c>
      <c r="B7" s="10" t="s">
        <v>309</v>
      </c>
      <c r="C7" s="13">
        <v>94.941236586612206</v>
      </c>
      <c r="D7" s="13">
        <v>95.223984660972604</v>
      </c>
      <c r="E7" s="13">
        <v>94.900758431499099</v>
      </c>
      <c r="F7" s="13">
        <v>95.666287940269399</v>
      </c>
      <c r="G7" s="13">
        <v>95.198195294875902</v>
      </c>
      <c r="H7" s="13">
        <v>95.033473454771894</v>
      </c>
      <c r="I7" s="13">
        <v>95.477841422972602</v>
      </c>
      <c r="J7" s="13">
        <v>94.763599389933901</v>
      </c>
      <c r="K7" s="13">
        <v>93.686791296353107</v>
      </c>
      <c r="L7" s="13">
        <v>94.243960632269605</v>
      </c>
      <c r="M7" s="13">
        <v>91.600934852468598</v>
      </c>
      <c r="N7" s="13">
        <v>91.872394998396899</v>
      </c>
      <c r="O7" s="13">
        <v>95.253260539884707</v>
      </c>
      <c r="P7" s="13">
        <v>93.761274804569993</v>
      </c>
      <c r="Q7" s="13">
        <v>95.803480040941693</v>
      </c>
      <c r="R7" s="13">
        <v>95.757575757575793</v>
      </c>
      <c r="S7" s="13">
        <v>95.6627540795877</v>
      </c>
      <c r="T7" s="13">
        <v>94.857308416630403</v>
      </c>
      <c r="U7" s="13">
        <v>95.571010248901899</v>
      </c>
      <c r="V7" s="13">
        <v>95.5821136027931</v>
      </c>
      <c r="W7" s="13">
        <v>95.863137815927502</v>
      </c>
      <c r="X7" s="13">
        <v>95.860284605433407</v>
      </c>
      <c r="Y7" s="13">
        <v>95.927801012546794</v>
      </c>
      <c r="Z7" s="13"/>
      <c r="AA7" s="13"/>
    </row>
    <row r="8" spans="1:27" x14ac:dyDescent="0.25">
      <c r="A8" s="10" t="s">
        <v>310</v>
      </c>
      <c r="B8" s="10" t="s">
        <v>311</v>
      </c>
      <c r="C8" s="13">
        <v>5.0587634133878403</v>
      </c>
      <c r="D8" s="13">
        <v>4.7760153390273699</v>
      </c>
      <c r="E8" s="13">
        <v>5.0992415685008901</v>
      </c>
      <c r="F8" s="13">
        <v>4.3337120597305603</v>
      </c>
      <c r="G8" s="13">
        <v>4.80180470512407</v>
      </c>
      <c r="H8" s="13">
        <v>4.9665265452280902</v>
      </c>
      <c r="I8" s="13">
        <v>4.5221585770274304</v>
      </c>
      <c r="J8" s="13">
        <v>5.2364006100660898</v>
      </c>
      <c r="K8" s="13">
        <v>6.31320870364695</v>
      </c>
      <c r="L8" s="13">
        <v>5.7560393677303896</v>
      </c>
      <c r="M8" s="13">
        <v>8.3990651475314095</v>
      </c>
      <c r="N8" s="13">
        <v>8.1276050016030794</v>
      </c>
      <c r="O8" s="13">
        <v>4.7467394601152604</v>
      </c>
      <c r="P8" s="13">
        <v>6.2387251954299501</v>
      </c>
      <c r="Q8" s="13">
        <v>4.1965199590583397</v>
      </c>
      <c r="R8" s="13">
        <v>4.2424242424242404</v>
      </c>
      <c r="S8" s="13">
        <v>4.3372459204122498</v>
      </c>
      <c r="T8" s="13">
        <v>5.1426915833695501</v>
      </c>
      <c r="U8" s="13">
        <v>4.4289897510980998</v>
      </c>
      <c r="V8" s="13">
        <v>4.4178863972069298</v>
      </c>
      <c r="W8" s="13">
        <v>4.1368621840724797</v>
      </c>
      <c r="X8" s="13">
        <v>4.1397153945666201</v>
      </c>
      <c r="Y8" s="13">
        <v>4.0721989874532198</v>
      </c>
      <c r="Z8" s="13"/>
      <c r="AA8" s="13"/>
    </row>
    <row r="9" spans="1:27" x14ac:dyDescent="0.25">
      <c r="A9" s="10" t="s">
        <v>312</v>
      </c>
      <c r="B9" s="10" t="s">
        <v>313</v>
      </c>
      <c r="C9" s="13">
        <v>17.2372679270993</v>
      </c>
      <c r="D9" s="13">
        <v>18.05821858114</v>
      </c>
      <c r="E9" s="13">
        <v>20.2194610295304</v>
      </c>
      <c r="F9" s="13">
        <v>24.557701671806502</v>
      </c>
      <c r="G9" s="13">
        <v>23.9767966484048</v>
      </c>
      <c r="H9" s="13">
        <v>13.607348591001101</v>
      </c>
      <c r="I9" s="13">
        <v>24.072957491709399</v>
      </c>
      <c r="J9" s="13">
        <v>25.2499576342993</v>
      </c>
      <c r="K9" s="13">
        <v>15.844315047502301</v>
      </c>
      <c r="L9" s="13">
        <v>23.993438711601499</v>
      </c>
      <c r="M9" s="13">
        <v>25.0073035349109</v>
      </c>
      <c r="N9" s="13">
        <v>25.0240461686438</v>
      </c>
      <c r="O9" s="13">
        <v>14.043069457082201</v>
      </c>
      <c r="P9" s="13">
        <v>23.872519542994599</v>
      </c>
      <c r="Q9" s="13">
        <v>25.544670273431802</v>
      </c>
      <c r="R9" s="13">
        <v>17.2153972153972</v>
      </c>
      <c r="S9" s="13">
        <v>25.951903807615199</v>
      </c>
      <c r="T9" s="13">
        <v>26.162538026944802</v>
      </c>
      <c r="U9" s="13">
        <v>15.592972181552</v>
      </c>
      <c r="V9" s="13">
        <v>42.9703236202498</v>
      </c>
      <c r="W9" s="13">
        <v>38.578922269909398</v>
      </c>
      <c r="X9" s="13">
        <v>38.9274373750441</v>
      </c>
      <c r="Y9" s="13">
        <v>34.2504952674444</v>
      </c>
      <c r="Z9" s="13"/>
      <c r="AA9" s="13"/>
    </row>
    <row r="10" spans="1:27" x14ac:dyDescent="0.25">
      <c r="A10" s="10" t="s">
        <v>314</v>
      </c>
      <c r="B10" s="10" t="s">
        <v>315</v>
      </c>
      <c r="C10" s="13">
        <v>17.2372679270993</v>
      </c>
      <c r="D10" s="13">
        <v>18.05821858114</v>
      </c>
      <c r="E10" s="13">
        <v>20.2194610295304</v>
      </c>
      <c r="F10" s="13">
        <v>24.557701671806502</v>
      </c>
      <c r="G10" s="13">
        <v>23.9767966484048</v>
      </c>
      <c r="H10" s="13">
        <v>13.607348591001101</v>
      </c>
      <c r="I10" s="13">
        <v>24.072957491709399</v>
      </c>
      <c r="J10" s="13">
        <v>25.2499576342993</v>
      </c>
      <c r="K10" s="13">
        <v>15.844315047502301</v>
      </c>
      <c r="L10" s="13">
        <v>23.993438711601499</v>
      </c>
      <c r="M10" s="13">
        <v>25.0073035349109</v>
      </c>
      <c r="N10" s="13">
        <v>25.0240461686438</v>
      </c>
      <c r="O10" s="13">
        <v>14.043069457082201</v>
      </c>
      <c r="P10" s="13">
        <v>23.872519542994599</v>
      </c>
      <c r="Q10" s="13">
        <v>25.544670273431802</v>
      </c>
      <c r="R10" s="13">
        <v>17.2153972153972</v>
      </c>
      <c r="S10" s="13">
        <v>25.951903807615199</v>
      </c>
      <c r="T10" s="13">
        <v>26.162538026944802</v>
      </c>
      <c r="U10" s="13">
        <v>15.592972181552</v>
      </c>
      <c r="V10" s="13">
        <v>42.9703236202498</v>
      </c>
      <c r="W10" s="13">
        <v>38.578922269909398</v>
      </c>
      <c r="X10" s="13">
        <v>38.9274373750441</v>
      </c>
      <c r="Y10" s="13">
        <v>34.2504952674444</v>
      </c>
      <c r="Z10" s="13"/>
      <c r="AA10" s="13"/>
    </row>
    <row r="11" spans="1:27" x14ac:dyDescent="0.25">
      <c r="A11" s="6" t="s">
        <v>2</v>
      </c>
      <c r="B11" s="6" t="s">
        <v>75</v>
      </c>
      <c r="C11" s="19">
        <v>82.762732072900704</v>
      </c>
      <c r="D11" s="19">
        <v>81.941781418860003</v>
      </c>
      <c r="E11" s="19">
        <v>79.780538970469607</v>
      </c>
      <c r="F11" s="19">
        <v>75.442298328193502</v>
      </c>
      <c r="G11" s="19">
        <v>76.0232033515952</v>
      </c>
      <c r="H11" s="19">
        <v>86.392651408998901</v>
      </c>
      <c r="I11" s="19">
        <v>75.927042508290597</v>
      </c>
      <c r="J11" s="19">
        <v>74.750042365700693</v>
      </c>
      <c r="K11" s="19">
        <v>84.155684952497694</v>
      </c>
      <c r="L11" s="19">
        <v>76.006561288398402</v>
      </c>
      <c r="M11" s="19">
        <v>74.992696465089097</v>
      </c>
      <c r="N11" s="19">
        <v>74.975953831356193</v>
      </c>
      <c r="O11" s="19">
        <v>85.956930542917803</v>
      </c>
      <c r="P11" s="19">
        <v>76.127480457005404</v>
      </c>
      <c r="Q11" s="19">
        <v>74.455329726568195</v>
      </c>
      <c r="R11" s="19">
        <v>82.784602784602797</v>
      </c>
      <c r="S11" s="19">
        <v>74.048096192384804</v>
      </c>
      <c r="T11" s="19">
        <v>73.837461973055198</v>
      </c>
      <c r="U11" s="19">
        <v>84.407027818448</v>
      </c>
      <c r="V11" s="19">
        <v>57.0296763797502</v>
      </c>
      <c r="W11" s="19">
        <v>61.421077730090602</v>
      </c>
      <c r="X11" s="19">
        <v>61.0725626249559</v>
      </c>
      <c r="Y11" s="19">
        <v>65.749504732555593</v>
      </c>
      <c r="Z11" s="19">
        <v>81.783000000000001</v>
      </c>
      <c r="AA11" s="19">
        <v>82.64</v>
      </c>
    </row>
    <row r="12" spans="1:27" x14ac:dyDescent="0.25">
      <c r="A12" s="10" t="s">
        <v>316</v>
      </c>
      <c r="B12" s="10" t="s">
        <v>317</v>
      </c>
      <c r="C12" s="13">
        <v>5.1098620337250898E-2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/>
      <c r="AA12" s="13"/>
    </row>
    <row r="13" spans="1:27" x14ac:dyDescent="0.25">
      <c r="A13" s="10" t="s">
        <v>318</v>
      </c>
      <c r="B13" s="10" t="s">
        <v>319</v>
      </c>
      <c r="C13" s="13">
        <v>37.250894225855902</v>
      </c>
      <c r="D13" s="13">
        <v>38.7833362384522</v>
      </c>
      <c r="E13" s="13">
        <v>45.554300467968403</v>
      </c>
      <c r="F13" s="13">
        <v>36.812205810744999</v>
      </c>
      <c r="G13" s="13">
        <v>36.980341604898499</v>
      </c>
      <c r="H13" s="13">
        <v>36.851938346567003</v>
      </c>
      <c r="I13" s="13">
        <v>44.678926741030999</v>
      </c>
      <c r="J13" s="13">
        <v>26.2158956109134</v>
      </c>
      <c r="K13" s="13">
        <v>36.484829911124699</v>
      </c>
      <c r="L13" s="13">
        <v>40.143155383238899</v>
      </c>
      <c r="M13" s="13">
        <v>42.185217645340302</v>
      </c>
      <c r="N13" s="13">
        <v>24.639307470343098</v>
      </c>
      <c r="O13" s="13">
        <v>35.380649074916597</v>
      </c>
      <c r="P13" s="13">
        <v>36.064341551413101</v>
      </c>
      <c r="Q13" s="13">
        <v>42.345372130428402</v>
      </c>
      <c r="R13" s="13">
        <v>36.576576576576599</v>
      </c>
      <c r="S13" s="13">
        <v>35.0271972516462</v>
      </c>
      <c r="T13" s="13">
        <v>34.955816311748499</v>
      </c>
      <c r="U13" s="13">
        <v>62.469497315763803</v>
      </c>
      <c r="V13" s="13">
        <v>42.312340539814699</v>
      </c>
      <c r="W13" s="13">
        <v>37.064854554124899</v>
      </c>
      <c r="X13" s="13">
        <v>35.340468070092903</v>
      </c>
      <c r="Y13" s="13">
        <v>38.707902267224298</v>
      </c>
      <c r="Z13" s="13"/>
      <c r="AA13" s="13"/>
    </row>
    <row r="14" spans="1:27" x14ac:dyDescent="0.25">
      <c r="A14" s="10" t="s">
        <v>320</v>
      </c>
      <c r="B14" s="10" t="s">
        <v>321</v>
      </c>
      <c r="C14" s="13">
        <v>21.461420541645399</v>
      </c>
      <c r="D14" s="13">
        <v>21.3351926093777</v>
      </c>
      <c r="E14" s="13">
        <v>24.415039535259002</v>
      </c>
      <c r="F14" s="13">
        <v>21.3601688037656</v>
      </c>
      <c r="G14" s="13">
        <v>20.866902997099601</v>
      </c>
      <c r="H14" s="13">
        <v>20.6912657636618</v>
      </c>
      <c r="I14" s="13">
        <v>26.725957190232101</v>
      </c>
      <c r="J14" s="13">
        <v>21.250635485510902</v>
      </c>
      <c r="K14" s="13">
        <v>20.609868219429998</v>
      </c>
      <c r="L14" s="13">
        <v>19.460184909036698</v>
      </c>
      <c r="M14" s="13">
        <v>21.238679520888098</v>
      </c>
      <c r="N14" s="13">
        <v>19.685796729721101</v>
      </c>
      <c r="O14" s="13">
        <v>19.836214740673299</v>
      </c>
      <c r="P14" s="13">
        <v>19.347564642212902</v>
      </c>
      <c r="Q14" s="13">
        <v>22.9858166398596</v>
      </c>
      <c r="R14" s="13">
        <v>20.376740376740401</v>
      </c>
      <c r="S14" s="13">
        <v>18.522759805324899</v>
      </c>
      <c r="T14" s="13">
        <v>19.600173837461998</v>
      </c>
      <c r="U14" s="13">
        <v>21.522693997071698</v>
      </c>
      <c r="V14" s="13">
        <v>24.278232845441099</v>
      </c>
      <c r="W14" s="13">
        <v>21.280400572246101</v>
      </c>
      <c r="X14" s="13">
        <v>19.110902034576</v>
      </c>
      <c r="Y14" s="13">
        <v>20.6691613471274</v>
      </c>
      <c r="Z14" s="13"/>
      <c r="AA14" s="13"/>
    </row>
    <row r="15" spans="1:27" x14ac:dyDescent="0.25">
      <c r="A15" s="10" t="s">
        <v>322</v>
      </c>
      <c r="B15" s="10" t="s">
        <v>323</v>
      </c>
      <c r="C15" s="13">
        <v>15.738375063873301</v>
      </c>
      <c r="D15" s="13">
        <v>17.448143629074401</v>
      </c>
      <c r="E15" s="13">
        <v>21.139260932709401</v>
      </c>
      <c r="F15" s="13">
        <v>15.452037006979401</v>
      </c>
      <c r="G15" s="13">
        <v>15.5333548179181</v>
      </c>
      <c r="H15" s="13">
        <v>16.518760703721</v>
      </c>
      <c r="I15" s="13">
        <v>18.525776303889099</v>
      </c>
      <c r="J15" s="13">
        <v>16.3870530418573</v>
      </c>
      <c r="K15" s="13">
        <v>15.8749616916948</v>
      </c>
      <c r="L15" s="13">
        <v>21.204891142260699</v>
      </c>
      <c r="M15" s="13">
        <v>19.690330119778</v>
      </c>
      <c r="N15" s="13">
        <v>15.3735171529336</v>
      </c>
      <c r="O15" s="13">
        <v>15.5444343342433</v>
      </c>
      <c r="P15" s="13">
        <v>16.716776909200199</v>
      </c>
      <c r="Q15" s="13">
        <v>19.359555490568798</v>
      </c>
      <c r="R15" s="13">
        <v>16.773136773136802</v>
      </c>
      <c r="S15" s="13">
        <v>15.6885198969367</v>
      </c>
      <c r="T15" s="13">
        <v>15.630885122410501</v>
      </c>
      <c r="U15" s="13">
        <v>18.228404099560802</v>
      </c>
      <c r="V15" s="13">
        <v>18.034107694373599</v>
      </c>
      <c r="W15" s="13">
        <v>17.250834525512602</v>
      </c>
      <c r="X15" s="13">
        <v>17.052804892390899</v>
      </c>
      <c r="Y15" s="13">
        <v>18.974246092890201</v>
      </c>
      <c r="Z15" s="13"/>
      <c r="AA15" s="13"/>
    </row>
    <row r="16" spans="1:27" x14ac:dyDescent="0.25">
      <c r="A16" s="10" t="s">
        <v>324</v>
      </c>
      <c r="B16" s="10" t="s">
        <v>325</v>
      </c>
      <c r="C16" s="13">
        <v>5.1098620337250898E-2</v>
      </c>
      <c r="D16" s="13">
        <v>0</v>
      </c>
      <c r="E16" s="13">
        <v>0</v>
      </c>
      <c r="F16" s="13">
        <v>0</v>
      </c>
      <c r="G16" s="13">
        <v>0.58008378988076004</v>
      </c>
      <c r="H16" s="13">
        <v>-0.35808812081581798</v>
      </c>
      <c r="I16" s="13">
        <v>-0.57280675309014195</v>
      </c>
      <c r="J16" s="13">
        <v>-11.4217929164548</v>
      </c>
      <c r="K16" s="13">
        <v>0</v>
      </c>
      <c r="L16" s="13">
        <v>-0.52192066805845505</v>
      </c>
      <c r="M16" s="13">
        <v>1.2562080046742601</v>
      </c>
      <c r="N16" s="13">
        <v>-10.420006412311601</v>
      </c>
      <c r="O16" s="13">
        <v>0</v>
      </c>
      <c r="P16" s="13">
        <v>0</v>
      </c>
      <c r="Q16" s="13">
        <v>0</v>
      </c>
      <c r="R16" s="13">
        <v>-0.57330057330057305</v>
      </c>
      <c r="S16" s="13">
        <v>0.81591754938448302</v>
      </c>
      <c r="T16" s="13">
        <v>-0.27524264812400401</v>
      </c>
      <c r="U16" s="13">
        <v>22.7183992191313</v>
      </c>
      <c r="V16" s="13">
        <v>0</v>
      </c>
      <c r="W16" s="13">
        <v>-1.46638054363376</v>
      </c>
      <c r="X16" s="13">
        <v>-0.82323885687404397</v>
      </c>
      <c r="Y16" s="13">
        <v>-0.93550517279330803</v>
      </c>
      <c r="Z16" s="13"/>
      <c r="AA16" s="13"/>
    </row>
    <row r="17" spans="1:27" x14ac:dyDescent="0.25">
      <c r="A17" s="6" t="s">
        <v>326</v>
      </c>
      <c r="B17" s="6" t="s">
        <v>99</v>
      </c>
      <c r="C17" s="19">
        <v>45.562936467382002</v>
      </c>
      <c r="D17" s="19">
        <v>43.158445180407902</v>
      </c>
      <c r="E17" s="19">
        <v>34.226238502501197</v>
      </c>
      <c r="F17" s="19">
        <v>38.630092517448503</v>
      </c>
      <c r="G17" s="19">
        <v>39.042861746696701</v>
      </c>
      <c r="H17" s="19">
        <v>49.540713062431898</v>
      </c>
      <c r="I17" s="19">
        <v>31.248115767259598</v>
      </c>
      <c r="J17" s="19">
        <v>48.534146754787301</v>
      </c>
      <c r="K17" s="19">
        <v>47.670855041373002</v>
      </c>
      <c r="L17" s="19">
        <v>35.863405905159603</v>
      </c>
      <c r="M17" s="19">
        <v>32.807478819748802</v>
      </c>
      <c r="N17" s="19">
        <v>50.336646361013202</v>
      </c>
      <c r="O17" s="19">
        <v>50.576281468001199</v>
      </c>
      <c r="P17" s="19">
        <v>40.063138905592297</v>
      </c>
      <c r="Q17" s="19">
        <v>32.1099575961398</v>
      </c>
      <c r="R17" s="19">
        <v>46.208026208026197</v>
      </c>
      <c r="S17" s="19">
        <v>39.020898940738597</v>
      </c>
      <c r="T17" s="19">
        <v>38.881645661306699</v>
      </c>
      <c r="U17" s="19">
        <v>21.937530502684201</v>
      </c>
      <c r="V17" s="19">
        <v>14.717335839935499</v>
      </c>
      <c r="W17" s="19">
        <v>24.356223175965699</v>
      </c>
      <c r="X17" s="19">
        <v>25.732094554863</v>
      </c>
      <c r="Y17" s="19">
        <v>27.041602465331302</v>
      </c>
      <c r="Z17" s="19">
        <v>41.230238320656802</v>
      </c>
      <c r="AA17" s="19">
        <v>44.9401195578615</v>
      </c>
    </row>
    <row r="18" spans="1:27" x14ac:dyDescent="0.25">
      <c r="A18" s="10" t="s">
        <v>327</v>
      </c>
      <c r="B18" s="10" t="s">
        <v>328</v>
      </c>
      <c r="C18" s="13">
        <v>1.94174757281553</v>
      </c>
      <c r="D18" s="13">
        <v>3.4687118703155</v>
      </c>
      <c r="E18" s="13">
        <v>1.0488946264321399</v>
      </c>
      <c r="F18" s="13">
        <v>5.4374289888005203</v>
      </c>
      <c r="G18" s="13">
        <v>4.7212375120850796</v>
      </c>
      <c r="H18" s="13">
        <v>3.8455550365872599</v>
      </c>
      <c r="I18" s="13">
        <v>1.9746759119686501</v>
      </c>
      <c r="J18" s="13">
        <v>7.0665988815454996</v>
      </c>
      <c r="K18" s="13">
        <v>4.1219736438859904</v>
      </c>
      <c r="L18" s="13">
        <v>6.1735759021771504</v>
      </c>
      <c r="M18" s="13">
        <v>2.5270230791703199</v>
      </c>
      <c r="N18" s="13">
        <v>7.3741583840974698</v>
      </c>
      <c r="O18" s="13">
        <v>6.9608735213830704</v>
      </c>
      <c r="P18" s="13">
        <v>6.2838244137101604</v>
      </c>
      <c r="Q18" s="13">
        <v>7.6180728176633998</v>
      </c>
      <c r="R18" s="13">
        <v>5.4381654381654396</v>
      </c>
      <c r="S18" s="13">
        <v>5.0386487260234798</v>
      </c>
      <c r="T18" s="13">
        <v>3.5346950601187901</v>
      </c>
      <c r="U18" s="13">
        <v>7.7598828696925297</v>
      </c>
      <c r="V18" s="13">
        <v>7.3720961460990999</v>
      </c>
      <c r="W18" s="13">
        <v>8.4644730567477406</v>
      </c>
      <c r="X18" s="13">
        <v>6.5153475244031496</v>
      </c>
      <c r="Y18" s="13">
        <v>7.1978868589038099</v>
      </c>
      <c r="Z18" s="13"/>
      <c r="AA18" s="13"/>
    </row>
    <row r="19" spans="1:27" x14ac:dyDescent="0.25">
      <c r="A19" s="10" t="s">
        <v>329</v>
      </c>
      <c r="B19" s="10" t="s">
        <v>330</v>
      </c>
      <c r="C19" s="13">
        <v>5.6549139839890996</v>
      </c>
      <c r="D19" s="13">
        <v>5.45581314275754</v>
      </c>
      <c r="E19" s="13">
        <v>4.8571889624011604</v>
      </c>
      <c r="F19" s="13">
        <v>5.6159714332088901</v>
      </c>
      <c r="G19" s="13">
        <v>4.7695778279084804</v>
      </c>
      <c r="H19" s="13">
        <v>4.7018527167990003</v>
      </c>
      <c r="I19" s="13">
        <v>4.7934880916490803</v>
      </c>
      <c r="J19" s="13">
        <v>4.82968988307067</v>
      </c>
      <c r="K19" s="13">
        <v>4.3058535090407597</v>
      </c>
      <c r="L19" s="13">
        <v>4.4139576498657904</v>
      </c>
      <c r="M19" s="13">
        <v>4.8933683903009104</v>
      </c>
      <c r="N19" s="13">
        <v>4.7290798332798998</v>
      </c>
      <c r="O19" s="13">
        <v>4.9742189869578404</v>
      </c>
      <c r="P19" s="13">
        <v>5.5321707757065504</v>
      </c>
      <c r="Q19" s="13">
        <v>6.0681386167568396</v>
      </c>
      <c r="R19" s="13">
        <v>8.8943488943488909</v>
      </c>
      <c r="S19" s="13">
        <v>10.7643859146865</v>
      </c>
      <c r="T19" s="13">
        <v>10.9952194697957</v>
      </c>
      <c r="U19" s="13">
        <v>10.0170815031723</v>
      </c>
      <c r="V19" s="13">
        <v>11.0648583322143</v>
      </c>
      <c r="W19" s="13">
        <v>9.6328087744396793</v>
      </c>
      <c r="X19" s="13">
        <v>9.1261907562036892</v>
      </c>
      <c r="Y19" s="13">
        <v>8.2214395773717808</v>
      </c>
      <c r="Z19" s="13"/>
      <c r="AA19" s="13"/>
    </row>
    <row r="20" spans="1:27" x14ac:dyDescent="0.25">
      <c r="A20" s="11" t="s">
        <v>331</v>
      </c>
      <c r="B20" s="11" t="s">
        <v>332</v>
      </c>
      <c r="C20" s="25">
        <v>5.6549139839890996</v>
      </c>
      <c r="D20" s="25">
        <v>5.45581314275754</v>
      </c>
      <c r="E20" s="25">
        <v>4.8571889624011604</v>
      </c>
      <c r="F20" s="25">
        <v>5.6159714332088901</v>
      </c>
      <c r="G20" s="25">
        <v>4.7695778279084804</v>
      </c>
      <c r="H20" s="25">
        <v>4.7018527167990003</v>
      </c>
      <c r="I20" s="25">
        <v>4.7934880916490803</v>
      </c>
      <c r="J20" s="25">
        <v>4.82968988307067</v>
      </c>
      <c r="K20" s="25">
        <v>4.3058535090407597</v>
      </c>
      <c r="L20" s="25">
        <v>4.4139576498657904</v>
      </c>
      <c r="M20" s="25">
        <v>4.8933683903009104</v>
      </c>
      <c r="N20" s="25">
        <v>4.7290798332798998</v>
      </c>
      <c r="O20" s="25">
        <v>4.9742189869578404</v>
      </c>
      <c r="P20" s="25">
        <v>5.5321707757065504</v>
      </c>
      <c r="Q20" s="25">
        <v>6.0681386167568396</v>
      </c>
      <c r="R20" s="25">
        <v>8.8943488943488909</v>
      </c>
      <c r="S20" s="25">
        <v>10.7643859146865</v>
      </c>
      <c r="T20" s="25">
        <v>10.9952194697957</v>
      </c>
      <c r="U20" s="25">
        <v>10.0170815031723</v>
      </c>
      <c r="V20" s="25">
        <v>11.0648583322143</v>
      </c>
      <c r="W20" s="25">
        <v>9.6328087744396793</v>
      </c>
      <c r="X20" s="25">
        <v>9.1261907562036892</v>
      </c>
      <c r="Y20" s="25">
        <v>8.2214395773717808</v>
      </c>
      <c r="Z20" s="25"/>
      <c r="AA20" s="25"/>
    </row>
    <row r="21" spans="1:27" x14ac:dyDescent="0.25">
      <c r="A21" s="11" t="s">
        <v>333</v>
      </c>
      <c r="B21" s="11" t="s">
        <v>334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/>
      <c r="AA21" s="25"/>
    </row>
    <row r="22" spans="1:27" x14ac:dyDescent="0.25">
      <c r="A22" s="10" t="s">
        <v>335</v>
      </c>
      <c r="B22" s="10" t="s">
        <v>336</v>
      </c>
      <c r="C22" s="13">
        <v>-3.71316641117357</v>
      </c>
      <c r="D22" s="13">
        <v>-1.98710127244204</v>
      </c>
      <c r="E22" s="13">
        <v>-3.8082943359690198</v>
      </c>
      <c r="F22" s="13">
        <v>-0.178542444408375</v>
      </c>
      <c r="G22" s="13">
        <v>-4.83403158233967E-2</v>
      </c>
      <c r="H22" s="13">
        <v>-0.85629768021173902</v>
      </c>
      <c r="I22" s="13">
        <v>-2.81881217968043</v>
      </c>
      <c r="J22" s="13">
        <v>2.23690899847483</v>
      </c>
      <c r="K22" s="13">
        <v>-0.18387986515476601</v>
      </c>
      <c r="L22" s="13">
        <v>1.7596182523113599</v>
      </c>
      <c r="M22" s="13">
        <v>-2.3663453111305901</v>
      </c>
      <c r="N22" s="13">
        <v>2.64507855081757</v>
      </c>
      <c r="O22" s="13">
        <v>1.98665453442524</v>
      </c>
      <c r="P22" s="13">
        <v>0.75165363800360796</v>
      </c>
      <c r="Q22" s="13">
        <v>1.54993420090657</v>
      </c>
      <c r="R22" s="13">
        <v>-3.4561834561834601</v>
      </c>
      <c r="S22" s="13">
        <v>-5.7257371886630404</v>
      </c>
      <c r="T22" s="13">
        <v>-7.4605244096769496</v>
      </c>
      <c r="U22" s="13">
        <v>-2.2571986334797498</v>
      </c>
      <c r="V22" s="13">
        <v>-3.69276218611521</v>
      </c>
      <c r="W22" s="13">
        <v>-1.16833571769194</v>
      </c>
      <c r="X22" s="13">
        <v>-2.6108432318005401</v>
      </c>
      <c r="Y22" s="13">
        <v>-1.02355271846797</v>
      </c>
      <c r="Z22" s="13"/>
      <c r="AA22" s="13"/>
    </row>
    <row r="23" spans="1:27" x14ac:dyDescent="0.25">
      <c r="A23" s="6" t="s">
        <v>337</v>
      </c>
      <c r="B23" s="6" t="s">
        <v>158</v>
      </c>
      <c r="C23" s="19">
        <v>43.621188894566501</v>
      </c>
      <c r="D23" s="19">
        <v>39.6897333100924</v>
      </c>
      <c r="E23" s="19">
        <v>33.177343876069102</v>
      </c>
      <c r="F23" s="19">
        <v>33.192663528647898</v>
      </c>
      <c r="G23" s="19">
        <v>34.321624234611697</v>
      </c>
      <c r="H23" s="19">
        <v>45.695158025844599</v>
      </c>
      <c r="I23" s="19">
        <v>29.273439855290899</v>
      </c>
      <c r="J23" s="19">
        <v>41.467547873241799</v>
      </c>
      <c r="K23" s="19">
        <v>43.548881397487001</v>
      </c>
      <c r="L23" s="19">
        <v>29.689830002982401</v>
      </c>
      <c r="M23" s="19">
        <v>30.2804557405784</v>
      </c>
      <c r="N23" s="19">
        <v>42.962487976915703</v>
      </c>
      <c r="O23" s="19">
        <v>43.615407946618099</v>
      </c>
      <c r="P23" s="19">
        <v>33.779314491882097</v>
      </c>
      <c r="Q23" s="19">
        <v>24.4918847784764</v>
      </c>
      <c r="R23" s="19">
        <v>40.769860769860799</v>
      </c>
      <c r="S23" s="19">
        <v>33.982250214715101</v>
      </c>
      <c r="T23" s="19">
        <v>35.346950601187899</v>
      </c>
      <c r="U23" s="19">
        <v>14.1776476329917</v>
      </c>
      <c r="V23" s="19">
        <v>7.3452396938364402</v>
      </c>
      <c r="W23" s="19">
        <v>15.8917501192179</v>
      </c>
      <c r="X23" s="19">
        <v>19.2167470304598</v>
      </c>
      <c r="Y23" s="19">
        <v>19.843715606427502</v>
      </c>
      <c r="Z23" s="19">
        <v>33.771196255897699</v>
      </c>
      <c r="AA23" s="19">
        <v>38.168824723663398</v>
      </c>
    </row>
    <row r="24" spans="1:27" x14ac:dyDescent="0.25">
      <c r="A24" s="10" t="s">
        <v>338</v>
      </c>
      <c r="B24" s="10" t="s">
        <v>339</v>
      </c>
      <c r="C24" s="13">
        <v>-5.1098620337250898E-2</v>
      </c>
      <c r="D24" s="13">
        <v>0</v>
      </c>
      <c r="E24" s="13">
        <v>1.17798934968533</v>
      </c>
      <c r="F24" s="13">
        <v>0.40577828274630701</v>
      </c>
      <c r="G24" s="13">
        <v>1.61134386077989</v>
      </c>
      <c r="H24" s="13">
        <v>11.3498365249883</v>
      </c>
      <c r="I24" s="13">
        <v>0.97980102502261102</v>
      </c>
      <c r="J24" s="13">
        <v>9.9983053719708508</v>
      </c>
      <c r="K24" s="13">
        <v>34.998467667790401</v>
      </c>
      <c r="L24" s="13">
        <v>-2.4455711303310501</v>
      </c>
      <c r="M24" s="13">
        <v>-0.84721004966403701</v>
      </c>
      <c r="N24" s="13">
        <v>16.1109329913434</v>
      </c>
      <c r="O24" s="13">
        <v>20.397330906884999</v>
      </c>
      <c r="P24" s="13">
        <v>-2.1797955502104598</v>
      </c>
      <c r="Q24" s="13">
        <v>-1.06740751571867</v>
      </c>
      <c r="R24" s="13">
        <v>-15.6101556101556</v>
      </c>
      <c r="S24" s="13">
        <v>10.8789006584598</v>
      </c>
      <c r="T24" s="13">
        <v>7.1418223960596796</v>
      </c>
      <c r="U24" s="13">
        <v>3.7823328452903899</v>
      </c>
      <c r="V24" s="13">
        <v>8.2583590707667494</v>
      </c>
      <c r="W24" s="13">
        <v>6.4258464473056804</v>
      </c>
      <c r="X24" s="13">
        <v>-17.252734329060299</v>
      </c>
      <c r="Y24" s="13">
        <v>11.237068016728999</v>
      </c>
      <c r="Z24" s="13"/>
      <c r="AA24" s="13"/>
    </row>
    <row r="25" spans="1:27" x14ac:dyDescent="0.25">
      <c r="A25" s="10" t="s">
        <v>340</v>
      </c>
      <c r="B25" s="10" t="s">
        <v>341</v>
      </c>
      <c r="C25" s="13" t="s">
        <v>148</v>
      </c>
      <c r="D25" s="13" t="s">
        <v>148</v>
      </c>
      <c r="E25" s="13" t="s">
        <v>148</v>
      </c>
      <c r="F25" s="13" t="s">
        <v>148</v>
      </c>
      <c r="G25" s="13" t="s">
        <v>148</v>
      </c>
      <c r="H25" s="13" t="s">
        <v>148</v>
      </c>
      <c r="I25" s="13" t="s">
        <v>148</v>
      </c>
      <c r="J25" s="13" t="s">
        <v>148</v>
      </c>
      <c r="K25" s="13">
        <v>23.061599754826801</v>
      </c>
      <c r="L25" s="13" t="s">
        <v>148</v>
      </c>
      <c r="M25" s="13" t="s">
        <v>148</v>
      </c>
      <c r="N25" s="13" t="s">
        <v>148</v>
      </c>
      <c r="O25" s="13" t="s">
        <v>148</v>
      </c>
      <c r="P25" s="13" t="s">
        <v>148</v>
      </c>
      <c r="Q25" s="13" t="s">
        <v>148</v>
      </c>
      <c r="R25" s="13" t="s">
        <v>148</v>
      </c>
      <c r="S25" s="13" t="s">
        <v>148</v>
      </c>
      <c r="T25" s="13" t="s">
        <v>148</v>
      </c>
      <c r="U25" s="13" t="s">
        <v>148</v>
      </c>
      <c r="V25" s="13" t="s">
        <v>148</v>
      </c>
      <c r="W25" s="13" t="s">
        <v>148</v>
      </c>
      <c r="X25" s="13" t="s">
        <v>148</v>
      </c>
      <c r="Y25" s="13" t="s">
        <v>148</v>
      </c>
      <c r="Z25" s="13"/>
      <c r="AA25" s="13"/>
    </row>
    <row r="26" spans="1:27" x14ac:dyDescent="0.25">
      <c r="A26" s="10" t="s">
        <v>342</v>
      </c>
      <c r="B26" s="10" t="s">
        <v>343</v>
      </c>
      <c r="C26" s="13">
        <v>-3.4065746891500603E-2</v>
      </c>
      <c r="D26" s="13">
        <v>1.74307129161583E-2</v>
      </c>
      <c r="E26" s="13">
        <v>0.40342101016620902</v>
      </c>
      <c r="F26" s="13">
        <v>0.43824054536601198</v>
      </c>
      <c r="G26" s="13" t="s">
        <v>148</v>
      </c>
      <c r="H26" s="13">
        <v>11.318698427526099</v>
      </c>
      <c r="I26" s="13" t="s">
        <v>148</v>
      </c>
      <c r="J26" s="13">
        <v>11.150652431791199</v>
      </c>
      <c r="K26" s="13">
        <v>10.680355501072601</v>
      </c>
      <c r="L26" s="13" t="s">
        <v>148</v>
      </c>
      <c r="M26" s="13" t="s">
        <v>148</v>
      </c>
      <c r="N26" s="13">
        <v>10.420006412311601</v>
      </c>
      <c r="O26" s="13">
        <v>17.5917500758265</v>
      </c>
      <c r="P26" s="13" t="s">
        <v>148</v>
      </c>
      <c r="Q26" s="13">
        <v>-0.48252668518789299</v>
      </c>
      <c r="R26" s="13">
        <v>12.317772317772301</v>
      </c>
      <c r="S26" s="13" t="s">
        <v>148</v>
      </c>
      <c r="T26" s="13">
        <v>0.27524264812400401</v>
      </c>
      <c r="U26" s="13">
        <v>6.2225475841874101</v>
      </c>
      <c r="V26" s="13" t="s">
        <v>148</v>
      </c>
      <c r="W26" s="13">
        <v>1.63328564616118</v>
      </c>
      <c r="X26" s="13">
        <v>1.65823826884629</v>
      </c>
      <c r="Y26" s="13">
        <v>0.93550517279330803</v>
      </c>
      <c r="Z26" s="13"/>
      <c r="AA26" s="13"/>
    </row>
    <row r="27" spans="1:27" x14ac:dyDescent="0.25">
      <c r="A27" s="10" t="s">
        <v>344</v>
      </c>
      <c r="B27" s="10" t="s">
        <v>345</v>
      </c>
      <c r="C27" s="13" t="s">
        <v>148</v>
      </c>
      <c r="D27" s="13" t="s">
        <v>148</v>
      </c>
      <c r="E27" s="13" t="s">
        <v>148</v>
      </c>
      <c r="F27" s="13" t="s">
        <v>148</v>
      </c>
      <c r="G27" s="13" t="s">
        <v>148</v>
      </c>
      <c r="H27" s="13" t="s">
        <v>148</v>
      </c>
      <c r="I27" s="13" t="s">
        <v>148</v>
      </c>
      <c r="J27" s="13">
        <v>0.152516522623284</v>
      </c>
      <c r="K27" s="13" t="s">
        <v>148</v>
      </c>
      <c r="L27" s="13" t="s">
        <v>148</v>
      </c>
      <c r="M27" s="13" t="s">
        <v>148</v>
      </c>
      <c r="N27" s="13">
        <v>-0.19236934915036899</v>
      </c>
      <c r="O27" s="13" t="s">
        <v>148</v>
      </c>
      <c r="P27" s="13" t="s">
        <v>148</v>
      </c>
      <c r="Q27" s="13" t="s">
        <v>148</v>
      </c>
      <c r="R27" s="13">
        <v>0.114660114660115</v>
      </c>
      <c r="S27" s="13" t="s">
        <v>148</v>
      </c>
      <c r="T27" s="13" t="s">
        <v>148</v>
      </c>
      <c r="U27" s="13">
        <v>3.6603221083455303E-2</v>
      </c>
      <c r="V27" s="13">
        <v>1.42339196992077</v>
      </c>
      <c r="W27" s="13" t="s">
        <v>148</v>
      </c>
      <c r="X27" s="13" t="s">
        <v>148</v>
      </c>
      <c r="Y27" s="13">
        <v>0.231124807395994</v>
      </c>
      <c r="Z27" s="13"/>
      <c r="AA27" s="13"/>
    </row>
    <row r="28" spans="1:27" x14ac:dyDescent="0.25">
      <c r="A28" s="10" t="s">
        <v>346</v>
      </c>
      <c r="B28" s="10" t="s">
        <v>347</v>
      </c>
      <c r="C28" s="13" t="s">
        <v>148</v>
      </c>
      <c r="D28" s="13">
        <v>1.74307129161583E-2</v>
      </c>
      <c r="E28" s="13" t="s">
        <v>148</v>
      </c>
      <c r="F28" s="13" t="s">
        <v>148</v>
      </c>
      <c r="G28" s="13">
        <v>1.64357073799549</v>
      </c>
      <c r="H28" s="13" t="s">
        <v>148</v>
      </c>
      <c r="I28" s="13">
        <v>0.97980102502261102</v>
      </c>
      <c r="J28" s="13" t="s">
        <v>148</v>
      </c>
      <c r="K28" s="13" t="s">
        <v>148</v>
      </c>
      <c r="L28" s="13" t="s">
        <v>148</v>
      </c>
      <c r="M28" s="13">
        <v>0.73035349108968695</v>
      </c>
      <c r="N28" s="13" t="s">
        <v>148</v>
      </c>
      <c r="O28" s="13" t="s">
        <v>148</v>
      </c>
      <c r="P28" s="13" t="s">
        <v>148</v>
      </c>
      <c r="Q28" s="13" t="s">
        <v>148</v>
      </c>
      <c r="R28" s="13" t="s">
        <v>148</v>
      </c>
      <c r="S28" s="13" t="s">
        <v>148</v>
      </c>
      <c r="T28" s="13" t="s">
        <v>148</v>
      </c>
      <c r="U28" s="13" t="s">
        <v>148</v>
      </c>
      <c r="V28" s="13" t="s">
        <v>148</v>
      </c>
      <c r="W28" s="13" t="s">
        <v>148</v>
      </c>
      <c r="X28" s="13" t="s">
        <v>148</v>
      </c>
      <c r="Y28" s="13" t="s">
        <v>148</v>
      </c>
      <c r="Z28" s="13"/>
      <c r="AA28" s="13"/>
    </row>
    <row r="29" spans="1:27" x14ac:dyDescent="0.25">
      <c r="A29" s="10" t="s">
        <v>348</v>
      </c>
      <c r="B29" s="10" t="s">
        <v>349</v>
      </c>
      <c r="C29" s="13">
        <v>-1.7032873445750302E-2</v>
      </c>
      <c r="D29" s="13">
        <v>-1.74307129161583E-2</v>
      </c>
      <c r="E29" s="13">
        <v>0.77456833951912196</v>
      </c>
      <c r="F29" s="13">
        <v>-3.2462262619704599E-2</v>
      </c>
      <c r="G29" s="13">
        <v>-3.2226877215597798E-2</v>
      </c>
      <c r="H29" s="13">
        <v>1.55690487311225E-2</v>
      </c>
      <c r="I29" s="13" t="s">
        <v>148</v>
      </c>
      <c r="J29" s="13" t="s">
        <v>148</v>
      </c>
      <c r="K29" s="13">
        <v>1.1645724793135199</v>
      </c>
      <c r="L29" s="13" t="s">
        <v>148</v>
      </c>
      <c r="M29" s="13">
        <v>1.4607069821793699E-2</v>
      </c>
      <c r="N29" s="13" t="s">
        <v>148</v>
      </c>
      <c r="O29" s="13">
        <v>-1.5165301789505601E-2</v>
      </c>
      <c r="P29" s="13" t="s">
        <v>148</v>
      </c>
      <c r="Q29" s="13" t="s">
        <v>148</v>
      </c>
      <c r="R29" s="13" t="s">
        <v>148</v>
      </c>
      <c r="S29" s="13">
        <v>0.35785857429144002</v>
      </c>
      <c r="T29" s="13">
        <v>0.23178328263074</v>
      </c>
      <c r="U29" s="13">
        <v>0.170815031722792</v>
      </c>
      <c r="V29" s="13" t="s">
        <v>148</v>
      </c>
      <c r="W29" s="13">
        <v>-3.5765379113018601E-2</v>
      </c>
      <c r="X29" s="13" t="s">
        <v>148</v>
      </c>
      <c r="Y29" s="13" t="s">
        <v>148</v>
      </c>
      <c r="Z29" s="13"/>
      <c r="AA29" s="13"/>
    </row>
    <row r="30" spans="1:27" x14ac:dyDescent="0.25">
      <c r="A30" s="10" t="s">
        <v>350</v>
      </c>
      <c r="B30" s="10" t="s">
        <v>351</v>
      </c>
      <c r="C30" s="13" t="s">
        <v>148</v>
      </c>
      <c r="D30" s="13" t="s">
        <v>148</v>
      </c>
      <c r="E30" s="13" t="s">
        <v>148</v>
      </c>
      <c r="F30" s="13" t="s">
        <v>148</v>
      </c>
      <c r="G30" s="13" t="s">
        <v>148</v>
      </c>
      <c r="H30" s="13" t="s">
        <v>148</v>
      </c>
      <c r="I30" s="13" t="s">
        <v>148</v>
      </c>
      <c r="J30" s="13">
        <v>-2.4572106422640201</v>
      </c>
      <c r="K30" s="13">
        <v>1.53233220962305E-2</v>
      </c>
      <c r="L30" s="13">
        <v>-2.84819564569043</v>
      </c>
      <c r="M30" s="13">
        <v>-1.2562080046742601</v>
      </c>
      <c r="N30" s="13">
        <v>5.8512343699903804</v>
      </c>
      <c r="O30" s="13">
        <v>2.8207461328480399</v>
      </c>
      <c r="P30" s="13">
        <v>-2.25496091401082</v>
      </c>
      <c r="Q30" s="13">
        <v>-0.57025880976750998</v>
      </c>
      <c r="R30" s="13">
        <v>-30.3521703521704</v>
      </c>
      <c r="S30" s="13" t="s">
        <v>148</v>
      </c>
      <c r="T30" s="13">
        <v>-2.4626973779516201</v>
      </c>
      <c r="U30" s="13">
        <v>-2.6476329917032699</v>
      </c>
      <c r="V30" s="13">
        <v>6.8483953269773101</v>
      </c>
      <c r="W30" s="13" t="s">
        <v>148</v>
      </c>
      <c r="X30" s="13" t="s">
        <v>148</v>
      </c>
      <c r="Y30" s="13">
        <v>9.63020030816641</v>
      </c>
      <c r="Z30" s="13"/>
      <c r="AA30" s="13"/>
    </row>
    <row r="31" spans="1:27" x14ac:dyDescent="0.25">
      <c r="A31" s="10" t="s">
        <v>352</v>
      </c>
      <c r="B31" s="10" t="s">
        <v>353</v>
      </c>
      <c r="C31" s="13" t="s">
        <v>148</v>
      </c>
      <c r="D31" s="13" t="s">
        <v>148</v>
      </c>
      <c r="E31" s="13" t="s">
        <v>148</v>
      </c>
      <c r="F31" s="13" t="s">
        <v>148</v>
      </c>
      <c r="G31" s="13" t="s">
        <v>148</v>
      </c>
      <c r="H31" s="13" t="s">
        <v>148</v>
      </c>
      <c r="I31" s="13" t="s">
        <v>148</v>
      </c>
      <c r="J31" s="13" t="s">
        <v>148</v>
      </c>
      <c r="K31" s="13" t="s">
        <v>148</v>
      </c>
      <c r="L31" s="13" t="s">
        <v>148</v>
      </c>
      <c r="M31" s="13" t="s">
        <v>148</v>
      </c>
      <c r="N31" s="13" t="s">
        <v>148</v>
      </c>
      <c r="O31" s="13" t="s">
        <v>148</v>
      </c>
      <c r="P31" s="13" t="s">
        <v>148</v>
      </c>
      <c r="Q31" s="13" t="s">
        <v>148</v>
      </c>
      <c r="R31" s="13" t="s">
        <v>148</v>
      </c>
      <c r="S31" s="13">
        <v>10.2776982536502</v>
      </c>
      <c r="T31" s="13" t="s">
        <v>148</v>
      </c>
      <c r="U31" s="13" t="s">
        <v>148</v>
      </c>
      <c r="V31" s="13" t="s">
        <v>148</v>
      </c>
      <c r="W31" s="13">
        <v>4.8283261802575099</v>
      </c>
      <c r="X31" s="13">
        <v>-18.9109725979066</v>
      </c>
      <c r="Y31" s="13" t="s">
        <v>148</v>
      </c>
      <c r="Z31" s="13"/>
      <c r="AA31" s="13"/>
    </row>
    <row r="32" spans="1:27" x14ac:dyDescent="0.25">
      <c r="A32" s="10" t="s">
        <v>354</v>
      </c>
      <c r="B32" s="10" t="s">
        <v>355</v>
      </c>
      <c r="C32" s="13" t="s">
        <v>148</v>
      </c>
      <c r="D32" s="13" t="s">
        <v>148</v>
      </c>
      <c r="E32" s="13" t="s">
        <v>148</v>
      </c>
      <c r="F32" s="13" t="s">
        <v>148</v>
      </c>
      <c r="G32" s="13" t="s">
        <v>148</v>
      </c>
      <c r="H32" s="13">
        <v>1.55690487311225E-2</v>
      </c>
      <c r="I32" s="13" t="s">
        <v>148</v>
      </c>
      <c r="J32" s="13">
        <v>1.15234705982037</v>
      </c>
      <c r="K32" s="13">
        <v>7.66166104811523E-2</v>
      </c>
      <c r="L32" s="13">
        <v>0.40262451535937999</v>
      </c>
      <c r="M32" s="13">
        <v>-0.33596260590125598</v>
      </c>
      <c r="N32" s="13">
        <v>3.2061558191728103E-2</v>
      </c>
      <c r="O32" s="13" t="s">
        <v>148</v>
      </c>
      <c r="P32" s="13">
        <v>7.5165363800360804E-2</v>
      </c>
      <c r="Q32" s="13">
        <v>-1.4622020763269499E-2</v>
      </c>
      <c r="R32" s="13">
        <v>2.3095823095823098</v>
      </c>
      <c r="S32" s="13">
        <v>0.24334383051817901</v>
      </c>
      <c r="T32" s="13">
        <v>9.0974938432565597</v>
      </c>
      <c r="U32" s="13" t="s">
        <v>148</v>
      </c>
      <c r="V32" s="13">
        <v>-1.3428226131328099E-2</v>
      </c>
      <c r="W32" s="13" t="s">
        <v>148</v>
      </c>
      <c r="X32" s="13" t="s">
        <v>148</v>
      </c>
      <c r="Y32" s="13">
        <v>0.44023772837332198</v>
      </c>
      <c r="Z32" s="13"/>
      <c r="AA32" s="13"/>
    </row>
    <row r="33" spans="1:27" x14ac:dyDescent="0.25">
      <c r="A33" s="6" t="s">
        <v>356</v>
      </c>
      <c r="B33" s="6" t="s">
        <v>158</v>
      </c>
      <c r="C33" s="19">
        <v>43.6722875149038</v>
      </c>
      <c r="D33" s="19">
        <v>39.6897333100924</v>
      </c>
      <c r="E33" s="19">
        <v>31.999354526383701</v>
      </c>
      <c r="F33" s="19">
        <v>32.786885245901601</v>
      </c>
      <c r="G33" s="19">
        <v>32.7102803738318</v>
      </c>
      <c r="H33" s="19">
        <v>34.345321500856301</v>
      </c>
      <c r="I33" s="19">
        <v>28.2936388302683</v>
      </c>
      <c r="J33" s="19">
        <v>31.469242501271001</v>
      </c>
      <c r="K33" s="19">
        <v>8.5504137296966007</v>
      </c>
      <c r="L33" s="19">
        <v>32.135401133313501</v>
      </c>
      <c r="M33" s="19">
        <v>31.127665790242499</v>
      </c>
      <c r="N33" s="19">
        <v>26.851554985572299</v>
      </c>
      <c r="O33" s="19">
        <v>23.2180770397331</v>
      </c>
      <c r="P33" s="19">
        <v>35.959110042092597</v>
      </c>
      <c r="Q33" s="19">
        <v>25.5592922941951</v>
      </c>
      <c r="R33" s="19">
        <v>56.3800163800164</v>
      </c>
      <c r="S33" s="19">
        <v>23.103349556255399</v>
      </c>
      <c r="T33" s="19">
        <v>28.205128205128201</v>
      </c>
      <c r="U33" s="19">
        <v>10.395314787701301</v>
      </c>
      <c r="V33" s="19">
        <v>-0.91311937693030798</v>
      </c>
      <c r="W33" s="19">
        <v>9.4659036719122494</v>
      </c>
      <c r="X33" s="19">
        <v>36.469481359520202</v>
      </c>
      <c r="Y33" s="19">
        <v>8.60664758969844</v>
      </c>
      <c r="Z33" s="19">
        <v>33.771196255897699</v>
      </c>
      <c r="AA33" s="19">
        <v>38.168824723663398</v>
      </c>
    </row>
    <row r="34" spans="1:27" x14ac:dyDescent="0.25">
      <c r="A34" s="10" t="s">
        <v>357</v>
      </c>
      <c r="B34" s="10" t="s">
        <v>358</v>
      </c>
      <c r="C34" s="13">
        <v>6.5576562766138604</v>
      </c>
      <c r="D34" s="13">
        <v>5.38609029109291</v>
      </c>
      <c r="E34" s="13">
        <v>4.5183153138615504</v>
      </c>
      <c r="F34" s="13">
        <v>3.1650706054211999</v>
      </c>
      <c r="G34" s="13">
        <v>3.65775056397035</v>
      </c>
      <c r="H34" s="13">
        <v>2.8802740152576698</v>
      </c>
      <c r="I34" s="13">
        <v>3.94935182393729</v>
      </c>
      <c r="J34" s="13">
        <v>3.5756651415014402</v>
      </c>
      <c r="K34" s="13">
        <v>1.4403922770456601</v>
      </c>
      <c r="L34" s="13">
        <v>4.0411571726811797</v>
      </c>
      <c r="M34" s="13">
        <v>3.3888401986561498</v>
      </c>
      <c r="N34" s="13">
        <v>3.1901250400769499</v>
      </c>
      <c r="O34" s="13">
        <v>3.2453745829542</v>
      </c>
      <c r="P34" s="13">
        <v>3.7432351172579699</v>
      </c>
      <c r="Q34" s="13">
        <v>1.93010674075157</v>
      </c>
      <c r="R34" s="13">
        <v>9.8443898443898394</v>
      </c>
      <c r="S34" s="13">
        <v>3.3638705983395401</v>
      </c>
      <c r="T34" s="13">
        <v>3.14356077067941</v>
      </c>
      <c r="U34" s="13">
        <v>1.03709126403123</v>
      </c>
      <c r="V34" s="13">
        <v>0.60427017590976195</v>
      </c>
      <c r="W34" s="13">
        <v>0.57224606580829795</v>
      </c>
      <c r="X34" s="13">
        <v>3.18711043161237</v>
      </c>
      <c r="Y34" s="13">
        <v>1.70592119744662</v>
      </c>
      <c r="Z34" s="13"/>
      <c r="AA34" s="13"/>
    </row>
    <row r="35" spans="1:27" x14ac:dyDescent="0.25">
      <c r="A35" s="6" t="s">
        <v>359</v>
      </c>
      <c r="B35" s="6" t="s">
        <v>360</v>
      </c>
      <c r="C35" s="19">
        <v>37.114631238289903</v>
      </c>
      <c r="D35" s="19">
        <v>34.303643018999502</v>
      </c>
      <c r="E35" s="19">
        <v>27.481039212522202</v>
      </c>
      <c r="F35" s="19">
        <v>29.621814640480402</v>
      </c>
      <c r="G35" s="19">
        <v>29.052529809861401</v>
      </c>
      <c r="H35" s="19">
        <v>31.4650474855986</v>
      </c>
      <c r="I35" s="19">
        <v>24.344287006331001</v>
      </c>
      <c r="J35" s="19">
        <v>27.893577359769498</v>
      </c>
      <c r="K35" s="19">
        <v>7.1100214526509298</v>
      </c>
      <c r="L35" s="19">
        <v>28.094243960632301</v>
      </c>
      <c r="M35" s="19">
        <v>27.738825591586298</v>
      </c>
      <c r="N35" s="19">
        <v>23.661429945495399</v>
      </c>
      <c r="O35" s="19">
        <v>19.972702456778901</v>
      </c>
      <c r="P35" s="19">
        <v>32.215874924834601</v>
      </c>
      <c r="Q35" s="19">
        <v>23.629185553443499</v>
      </c>
      <c r="R35" s="19">
        <v>46.535626535626498</v>
      </c>
      <c r="S35" s="19">
        <v>19.7394789579158</v>
      </c>
      <c r="T35" s="19">
        <v>25.061567434448801</v>
      </c>
      <c r="U35" s="19">
        <v>9.3582235236700804</v>
      </c>
      <c r="V35" s="19">
        <v>-1.51738955284007</v>
      </c>
      <c r="W35" s="19">
        <v>8.8936576061039592</v>
      </c>
      <c r="X35" s="19">
        <v>33.282370927907799</v>
      </c>
      <c r="Y35" s="19">
        <v>6.9007263922518201</v>
      </c>
      <c r="Z35" s="19">
        <v>15.2832659712368</v>
      </c>
      <c r="AA35" s="19">
        <v>20.461797879539802</v>
      </c>
    </row>
    <row r="36" spans="1:27" x14ac:dyDescent="0.25">
      <c r="A36" s="10" t="s">
        <v>361</v>
      </c>
      <c r="B36" s="10" t="s">
        <v>362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/>
      <c r="AA36" s="13"/>
    </row>
    <row r="37" spans="1:27" x14ac:dyDescent="0.25">
      <c r="A37" s="10" t="s">
        <v>363</v>
      </c>
      <c r="B37" s="10" t="s">
        <v>364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/>
      <c r="AA37" s="13"/>
    </row>
    <row r="38" spans="1:27" x14ac:dyDescent="0.25">
      <c r="A38" s="10" t="s">
        <v>365</v>
      </c>
      <c r="B38" s="10" t="s">
        <v>366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/>
      <c r="AA38" s="13"/>
    </row>
    <row r="39" spans="1:27" x14ac:dyDescent="0.25">
      <c r="A39" s="6" t="s">
        <v>367</v>
      </c>
      <c r="B39" s="6" t="s">
        <v>368</v>
      </c>
      <c r="C39" s="19">
        <v>37.114631238289903</v>
      </c>
      <c r="D39" s="19">
        <v>34.303643018999502</v>
      </c>
      <c r="E39" s="19">
        <v>27.481039212522202</v>
      </c>
      <c r="F39" s="19">
        <v>29.621814640480402</v>
      </c>
      <c r="G39" s="19">
        <v>29.052529809861401</v>
      </c>
      <c r="H39" s="19">
        <v>31.4650474855986</v>
      </c>
      <c r="I39" s="19">
        <v>24.344287006331001</v>
      </c>
      <c r="J39" s="19">
        <v>27.893577359769498</v>
      </c>
      <c r="K39" s="19">
        <v>7.1100214526509298</v>
      </c>
      <c r="L39" s="19">
        <v>28.094243960632301</v>
      </c>
      <c r="M39" s="19">
        <v>27.738825591586298</v>
      </c>
      <c r="N39" s="19">
        <v>23.661429945495399</v>
      </c>
      <c r="O39" s="19">
        <v>19.972702456778901</v>
      </c>
      <c r="P39" s="19">
        <v>32.215874924834601</v>
      </c>
      <c r="Q39" s="19">
        <v>23.629185553443499</v>
      </c>
      <c r="R39" s="19">
        <v>46.535626535626498</v>
      </c>
      <c r="S39" s="19">
        <v>19.7394789579158</v>
      </c>
      <c r="T39" s="19">
        <v>25.061567434448801</v>
      </c>
      <c r="U39" s="19">
        <v>9.3582235236700804</v>
      </c>
      <c r="V39" s="19">
        <v>-1.51738955284007</v>
      </c>
      <c r="W39" s="19">
        <v>8.8936576061039592</v>
      </c>
      <c r="X39" s="19">
        <v>33.282370927907799</v>
      </c>
      <c r="Y39" s="19">
        <v>6.9007263922518201</v>
      </c>
      <c r="Z39" s="19"/>
      <c r="AA39" s="19"/>
    </row>
    <row r="40" spans="1:27" x14ac:dyDescent="0.25">
      <c r="A40" s="10" t="s">
        <v>369</v>
      </c>
      <c r="B40" s="10" t="s">
        <v>370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/>
      <c r="AA40" s="13"/>
    </row>
    <row r="41" spans="1:27" x14ac:dyDescent="0.25">
      <c r="A41" s="6" t="s">
        <v>371</v>
      </c>
      <c r="B41" s="6" t="s">
        <v>372</v>
      </c>
      <c r="C41" s="19">
        <v>37.114631238289903</v>
      </c>
      <c r="D41" s="19">
        <v>34.303643018999502</v>
      </c>
      <c r="E41" s="19">
        <v>27.481039212522202</v>
      </c>
      <c r="F41" s="19">
        <v>29.621814640480402</v>
      </c>
      <c r="G41" s="19">
        <v>29.052529809861401</v>
      </c>
      <c r="H41" s="19">
        <v>31.4650474855986</v>
      </c>
      <c r="I41" s="19">
        <v>24.344287006331001</v>
      </c>
      <c r="J41" s="19">
        <v>27.893577359769498</v>
      </c>
      <c r="K41" s="19">
        <v>7.1100214526509298</v>
      </c>
      <c r="L41" s="19">
        <v>28.094243960632301</v>
      </c>
      <c r="M41" s="19">
        <v>27.738825591586298</v>
      </c>
      <c r="N41" s="19">
        <v>23.661429945495399</v>
      </c>
      <c r="O41" s="19">
        <v>19.972702456778901</v>
      </c>
      <c r="P41" s="19">
        <v>32.215874924834601</v>
      </c>
      <c r="Q41" s="19">
        <v>23.629185553443499</v>
      </c>
      <c r="R41" s="19">
        <v>46.535626535626498</v>
      </c>
      <c r="S41" s="19">
        <v>19.7394789579158</v>
      </c>
      <c r="T41" s="19">
        <v>25.061567434448801</v>
      </c>
      <c r="U41" s="19">
        <v>9.3582235236700804</v>
      </c>
      <c r="V41" s="19">
        <v>-1.51738955284007</v>
      </c>
      <c r="W41" s="19">
        <v>8.8936576061039592</v>
      </c>
      <c r="X41" s="19">
        <v>33.282370927907799</v>
      </c>
      <c r="Y41" s="19">
        <v>6.9007263922518201</v>
      </c>
      <c r="Z41" s="19">
        <v>15.2832659712368</v>
      </c>
      <c r="AA41" s="19">
        <v>20.461797879539802</v>
      </c>
    </row>
    <row r="42" spans="1:27" x14ac:dyDescent="0.25">
      <c r="A42" s="10" t="s">
        <v>373</v>
      </c>
      <c r="B42" s="10" t="s">
        <v>374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/>
      <c r="AA42" s="13"/>
    </row>
    <row r="43" spans="1:27" x14ac:dyDescent="0.25">
      <c r="A43" s="10" t="s">
        <v>375</v>
      </c>
      <c r="B43" s="10" t="s">
        <v>376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/>
      <c r="AA43" s="13"/>
    </row>
    <row r="44" spans="1:27" x14ac:dyDescent="0.25">
      <c r="A44" s="6" t="s">
        <v>377</v>
      </c>
      <c r="B44" s="6" t="s">
        <v>80</v>
      </c>
      <c r="C44" s="19">
        <v>37.114631238289903</v>
      </c>
      <c r="D44" s="19">
        <v>34.303643018999502</v>
      </c>
      <c r="E44" s="19">
        <v>27.481039212522202</v>
      </c>
      <c r="F44" s="19">
        <v>29.621814640480402</v>
      </c>
      <c r="G44" s="19">
        <v>29.052529809861401</v>
      </c>
      <c r="H44" s="19">
        <v>31.4650474855986</v>
      </c>
      <c r="I44" s="19">
        <v>24.344287006331001</v>
      </c>
      <c r="J44" s="19">
        <v>27.893577359769498</v>
      </c>
      <c r="K44" s="19">
        <v>7.1100214526509298</v>
      </c>
      <c r="L44" s="19">
        <v>28.094243960632301</v>
      </c>
      <c r="M44" s="19">
        <v>27.738825591586298</v>
      </c>
      <c r="N44" s="19">
        <v>23.661429945495399</v>
      </c>
      <c r="O44" s="19">
        <v>19.972702456778901</v>
      </c>
      <c r="P44" s="19">
        <v>32.215874924834601</v>
      </c>
      <c r="Q44" s="19">
        <v>23.629185553443499</v>
      </c>
      <c r="R44" s="19">
        <v>46.535626535626498</v>
      </c>
      <c r="S44" s="19">
        <v>19.7394789579158</v>
      </c>
      <c r="T44" s="19">
        <v>25.061567434448801</v>
      </c>
      <c r="U44" s="19">
        <v>9.3582235236700804</v>
      </c>
      <c r="V44" s="19">
        <v>-1.51738955284007</v>
      </c>
      <c r="W44" s="19">
        <v>8.8936576061039592</v>
      </c>
      <c r="X44" s="19">
        <v>33.282370927907799</v>
      </c>
      <c r="Y44" s="19">
        <v>6.9007263922518201</v>
      </c>
      <c r="Z44" s="19">
        <v>15.2832659712368</v>
      </c>
      <c r="AA44" s="19">
        <v>20.461797879539802</v>
      </c>
    </row>
    <row r="45" spans="1:27" x14ac:dyDescent="0.25">
      <c r="A45" s="6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 x14ac:dyDescent="0.25">
      <c r="A46" s="10" t="s">
        <v>379</v>
      </c>
      <c r="B46" s="10" t="s">
        <v>380</v>
      </c>
      <c r="C46" s="13">
        <v>0.28461010049395302</v>
      </c>
      <c r="D46" s="13">
        <v>0.13944570332926601</v>
      </c>
      <c r="E46" s="13">
        <v>0.92605187994190796</v>
      </c>
      <c r="F46" s="13">
        <v>0.33755091705891899</v>
      </c>
      <c r="G46" s="13">
        <v>1.1687323880116001</v>
      </c>
      <c r="H46" s="13">
        <v>8.5468281955472492</v>
      </c>
      <c r="I46" s="13">
        <v>0.73959495025625599</v>
      </c>
      <c r="J46" s="13">
        <v>7.8750329774614496</v>
      </c>
      <c r="K46" s="13">
        <v>30.968460312595798</v>
      </c>
      <c r="L46" s="13">
        <v>-2.60886764091858</v>
      </c>
      <c r="M46" s="13">
        <v>-0.507573269062226</v>
      </c>
      <c r="N46" s="13">
        <v>13.2806014107086</v>
      </c>
      <c r="O46" s="13">
        <v>17.236768865635401</v>
      </c>
      <c r="P46" s="13">
        <v>-1.7375775405892999</v>
      </c>
      <c r="Q46" s="13">
        <v>-1.5048820734025401</v>
      </c>
      <c r="R46" s="13">
        <v>-13.3824733824734</v>
      </c>
      <c r="S46" s="13">
        <v>6.7698253650157501</v>
      </c>
      <c r="T46" s="13">
        <v>5.0545136752136699</v>
      </c>
      <c r="U46" s="13">
        <v>2.98153701805759</v>
      </c>
      <c r="V46" s="13">
        <v>7.3181764200349102</v>
      </c>
      <c r="W46" s="13">
        <v>5.5029594062947096</v>
      </c>
      <c r="X46" s="13">
        <v>-9.2484100670351594</v>
      </c>
      <c r="Y46" s="13">
        <v>7.4863418335901404</v>
      </c>
      <c r="Z46" s="13"/>
      <c r="AA46" s="13"/>
    </row>
    <row r="47" spans="1:27" x14ac:dyDescent="0.25">
      <c r="A47" s="10" t="s">
        <v>381</v>
      </c>
      <c r="B47" s="10" t="s">
        <v>362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/>
      <c r="AA47" s="13"/>
    </row>
    <row r="48" spans="1:27" x14ac:dyDescent="0.25">
      <c r="A48" s="6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x14ac:dyDescent="0.25">
      <c r="A49" s="10" t="s">
        <v>254</v>
      </c>
      <c r="B49" s="10" t="s">
        <v>106</v>
      </c>
      <c r="C49" s="13">
        <v>10.338954181570401</v>
      </c>
      <c r="D49" s="13">
        <v>10.4409970367788</v>
      </c>
      <c r="E49" s="13">
        <v>9.5691463611424901</v>
      </c>
      <c r="F49" s="13">
        <v>9.5763674728128496</v>
      </c>
      <c r="G49" s="13">
        <v>9.4747019013857496</v>
      </c>
      <c r="H49" s="13">
        <v>9.1078935077066792</v>
      </c>
      <c r="I49" s="13">
        <v>8.7579137775098008</v>
      </c>
      <c r="J49" s="13">
        <v>9.7780037281816607</v>
      </c>
      <c r="K49" s="13">
        <v>8.7802635611400603</v>
      </c>
      <c r="L49" s="13">
        <v>8.4551148225469692</v>
      </c>
      <c r="M49" s="13">
        <v>8.2091732398480897</v>
      </c>
      <c r="N49" s="13">
        <v>8.7848669445334995</v>
      </c>
      <c r="O49" s="13">
        <v>8.1134364573855002</v>
      </c>
      <c r="P49" s="13">
        <v>8.0426939266386093</v>
      </c>
      <c r="Q49" s="13">
        <v>7.8227811083491696</v>
      </c>
      <c r="R49" s="13">
        <v>8.7469287469287504</v>
      </c>
      <c r="S49" s="13">
        <v>7.6581734898368197</v>
      </c>
      <c r="T49" s="13">
        <v>7.7502535129653802</v>
      </c>
      <c r="U49" s="13">
        <v>6.5275744265495401</v>
      </c>
      <c r="V49" s="13">
        <v>7.1975292063918399</v>
      </c>
      <c r="W49" s="13">
        <v>6.4020028612303301</v>
      </c>
      <c r="X49" s="13">
        <v>6.3154180877337396</v>
      </c>
      <c r="Y49" s="13">
        <v>5.9101915034118404</v>
      </c>
      <c r="Z49" s="13"/>
      <c r="AA49" s="13"/>
    </row>
    <row r="50" spans="1:27" x14ac:dyDescent="0.25">
      <c r="A50" s="6" t="s">
        <v>101</v>
      </c>
      <c r="B50" s="6" t="s">
        <v>102</v>
      </c>
      <c r="C50" s="19">
        <v>6.1148015670243597E-2</v>
      </c>
      <c r="D50" s="19">
        <v>5.7347045494160698E-2</v>
      </c>
      <c r="E50" s="19">
        <v>4.63127319670808E-2</v>
      </c>
      <c r="F50" s="19">
        <v>5.0154195747443599E-2</v>
      </c>
      <c r="G50" s="19">
        <v>4.9468256525942597E-2</v>
      </c>
      <c r="H50" s="19">
        <v>5.3713218122372702E-2</v>
      </c>
      <c r="I50" s="19">
        <v>4.19053361471209E-2</v>
      </c>
      <c r="J50" s="19">
        <v>4.8296898830706703E-2</v>
      </c>
      <c r="K50" s="19">
        <v>1.24118908979467E-2</v>
      </c>
      <c r="L50" s="19">
        <v>4.9507903370116298E-2</v>
      </c>
      <c r="M50" s="19">
        <v>4.9371895997662903E-2</v>
      </c>
      <c r="N50" s="19">
        <v>4.3122795767874297E-2</v>
      </c>
      <c r="O50" s="19">
        <v>3.7306642402183801E-2</v>
      </c>
      <c r="P50" s="19">
        <v>6.0282621767889399E-2</v>
      </c>
      <c r="Q50" s="19">
        <v>4.41585027050738E-2</v>
      </c>
      <c r="R50" s="19">
        <v>8.7141687141687102E-2</v>
      </c>
      <c r="S50" s="19">
        <v>3.6931004866876602E-2</v>
      </c>
      <c r="T50" s="19">
        <v>4.6791250181080699E-2</v>
      </c>
      <c r="U50" s="19">
        <v>1.7447535383113701E-2</v>
      </c>
      <c r="V50" s="19">
        <v>-2.8199274875788899E-3</v>
      </c>
      <c r="W50" s="19">
        <v>1.6571292322365299E-2</v>
      </c>
      <c r="X50" s="19">
        <v>6.1978125367517303E-2</v>
      </c>
      <c r="Y50" s="19">
        <v>1.28769535549197E-2</v>
      </c>
      <c r="Z50" s="19">
        <v>2.4081056116049101E-2</v>
      </c>
      <c r="AA50" s="19">
        <v>3.6431310624858999E-2</v>
      </c>
    </row>
    <row r="51" spans="1:27" x14ac:dyDescent="0.25">
      <c r="A51" s="6" t="s">
        <v>382</v>
      </c>
      <c r="B51" s="6" t="s">
        <v>261</v>
      </c>
      <c r="C51" s="19">
        <v>6.1148015670243597E-2</v>
      </c>
      <c r="D51" s="19">
        <v>5.7347045494160698E-2</v>
      </c>
      <c r="E51" s="19">
        <v>4.63127319670808E-2</v>
      </c>
      <c r="F51" s="19">
        <v>5.0154195747443599E-2</v>
      </c>
      <c r="G51" s="19">
        <v>4.9468256525942597E-2</v>
      </c>
      <c r="H51" s="19">
        <v>5.3713218122372702E-2</v>
      </c>
      <c r="I51" s="19">
        <v>4.19053361471209E-2</v>
      </c>
      <c r="J51" s="19">
        <v>4.8296898830706703E-2</v>
      </c>
      <c r="K51" s="19">
        <v>1.24118908979467E-2</v>
      </c>
      <c r="L51" s="19">
        <v>4.9507903370116298E-2</v>
      </c>
      <c r="M51" s="19">
        <v>4.9371895997662903E-2</v>
      </c>
      <c r="N51" s="19">
        <v>4.3122795767874297E-2</v>
      </c>
      <c r="O51" s="19">
        <v>3.7306642402183801E-2</v>
      </c>
      <c r="P51" s="19">
        <v>6.0282621767889399E-2</v>
      </c>
      <c r="Q51" s="19">
        <v>4.41585027050738E-2</v>
      </c>
      <c r="R51" s="19">
        <v>8.7141687141687102E-2</v>
      </c>
      <c r="S51" s="19">
        <v>3.6931004866876602E-2</v>
      </c>
      <c r="T51" s="19">
        <v>4.6791250181080699E-2</v>
      </c>
      <c r="U51" s="19">
        <v>1.7447535383113701E-2</v>
      </c>
      <c r="V51" s="19">
        <v>-2.8199274875788899E-3</v>
      </c>
      <c r="W51" s="19">
        <v>1.6571292322365299E-2</v>
      </c>
      <c r="X51" s="19">
        <v>6.1978125367517303E-2</v>
      </c>
      <c r="Y51" s="19">
        <v>1.28769535549197E-2</v>
      </c>
      <c r="Z51" s="19">
        <v>2.4081056116049101E-2</v>
      </c>
      <c r="AA51" s="19">
        <v>3.6431310624858999E-2</v>
      </c>
    </row>
    <row r="52" spans="1:27" x14ac:dyDescent="0.25">
      <c r="A52" s="6" t="s">
        <v>383</v>
      </c>
      <c r="B52" s="6" t="s">
        <v>263</v>
      </c>
      <c r="C52" s="19">
        <v>6.1613251575540803E-2</v>
      </c>
      <c r="D52" s="19">
        <v>5.7500976119923303E-2</v>
      </c>
      <c r="E52" s="19">
        <v>4.7904034210101698E-2</v>
      </c>
      <c r="F52" s="19">
        <v>5.0778591137802302E-2</v>
      </c>
      <c r="G52" s="19">
        <v>5.1396696745085402E-2</v>
      </c>
      <c r="H52" s="19">
        <v>6.8396372411645701E-2</v>
      </c>
      <c r="I52" s="19">
        <v>4.3173635815495902E-2</v>
      </c>
      <c r="J52" s="19">
        <v>6.1990662599559397E-2</v>
      </c>
      <c r="K52" s="19">
        <v>6.6454596996628895E-2</v>
      </c>
      <c r="L52" s="19">
        <v>4.49477482851178E-2</v>
      </c>
      <c r="M52" s="19">
        <v>4.8454192229038899E-2</v>
      </c>
      <c r="N52" s="19">
        <v>6.7412471946136601E-2</v>
      </c>
      <c r="O52" s="19">
        <v>6.9550409463148305E-2</v>
      </c>
      <c r="P52" s="19">
        <v>5.6968776307877299E-2</v>
      </c>
      <c r="Q52" s="19">
        <v>4.1353838280450403E-2</v>
      </c>
      <c r="R52" s="19">
        <v>6.2084553644553599E-2</v>
      </c>
      <c r="S52" s="19">
        <v>4.95501002004008E-2</v>
      </c>
      <c r="T52" s="19">
        <v>5.6291742720556301E-2</v>
      </c>
      <c r="U52" s="19">
        <v>2.3064970717423101E-2</v>
      </c>
      <c r="V52" s="19">
        <v>1.08223579965087E-2</v>
      </c>
      <c r="W52" s="19">
        <v>2.68093466857415E-2</v>
      </c>
      <c r="X52" s="19">
        <v>4.4755980242267401E-2</v>
      </c>
      <c r="Y52" s="19">
        <v>2.6791558441558401E-2</v>
      </c>
      <c r="Z52" s="19">
        <v>5.2648649707141899E-2</v>
      </c>
      <c r="AA52" s="19">
        <v>5.9812767877283998E-2</v>
      </c>
    </row>
    <row r="53" spans="1:27" x14ac:dyDescent="0.25">
      <c r="A53" s="6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x14ac:dyDescent="0.25">
      <c r="A54" s="10" t="s">
        <v>253</v>
      </c>
      <c r="B54" s="10" t="s">
        <v>108</v>
      </c>
      <c r="C54" s="13">
        <v>10.3900528019077</v>
      </c>
      <c r="D54" s="13">
        <v>10.4932891755273</v>
      </c>
      <c r="E54" s="13">
        <v>9.6498305631757297</v>
      </c>
      <c r="F54" s="13">
        <v>9.6412919980522709</v>
      </c>
      <c r="G54" s="13">
        <v>9.5391556558169501</v>
      </c>
      <c r="H54" s="13">
        <v>9.1701697026311706</v>
      </c>
      <c r="I54" s="13">
        <v>8.8182092252034998</v>
      </c>
      <c r="J54" s="13">
        <v>9.8457888493475707</v>
      </c>
      <c r="K54" s="13">
        <v>8.8262335274287498</v>
      </c>
      <c r="L54" s="13">
        <v>8.4998508798091308</v>
      </c>
      <c r="M54" s="13">
        <v>8.2529944493134693</v>
      </c>
      <c r="N54" s="13">
        <v>8.8329592818211005</v>
      </c>
      <c r="O54" s="13">
        <v>8.1437670609645103</v>
      </c>
      <c r="P54" s="13">
        <v>8.0877931449188196</v>
      </c>
      <c r="Q54" s="13">
        <v>7.8812691914022501</v>
      </c>
      <c r="R54" s="13">
        <v>8.8124488124488103</v>
      </c>
      <c r="S54" s="13">
        <v>7.6868021757801301</v>
      </c>
      <c r="T54" s="13">
        <v>7.7937128784586402</v>
      </c>
      <c r="U54" s="13">
        <v>6.5885797950219596</v>
      </c>
      <c r="V54" s="13">
        <v>7.1975292063918399</v>
      </c>
      <c r="W54" s="13">
        <v>6.4496900333810201</v>
      </c>
      <c r="X54" s="13">
        <v>6.3742208632247399</v>
      </c>
      <c r="Y54" s="13">
        <v>5.9652212194585097</v>
      </c>
      <c r="Z54" s="13"/>
      <c r="AA54" s="13"/>
    </row>
    <row r="55" spans="1:27" x14ac:dyDescent="0.25">
      <c r="A55" s="6" t="s">
        <v>103</v>
      </c>
      <c r="B55" s="6" t="s">
        <v>104</v>
      </c>
      <c r="C55" s="19">
        <v>6.0807358201328598E-2</v>
      </c>
      <c r="D55" s="19">
        <v>5.6998431235837498E-2</v>
      </c>
      <c r="E55" s="19">
        <v>4.5989995158947902E-2</v>
      </c>
      <c r="F55" s="19">
        <v>4.9829573121246501E-2</v>
      </c>
      <c r="G55" s="19">
        <v>4.9145987753786702E-2</v>
      </c>
      <c r="H55" s="19">
        <v>5.3401837147750299E-2</v>
      </c>
      <c r="I55" s="19">
        <v>4.1603858908652397E-2</v>
      </c>
      <c r="J55" s="19">
        <v>4.7957973224877097E-2</v>
      </c>
      <c r="K55" s="19">
        <v>1.24118908979467E-2</v>
      </c>
      <c r="L55" s="19">
        <v>4.9358783179242499E-2</v>
      </c>
      <c r="M55" s="19">
        <v>4.9079754601227002E-2</v>
      </c>
      <c r="N55" s="19">
        <v>4.2962487976915702E-2</v>
      </c>
      <c r="O55" s="19">
        <v>3.7154989384288802E-2</v>
      </c>
      <c r="P55" s="19">
        <v>5.9831629585087198E-2</v>
      </c>
      <c r="Q55" s="19">
        <v>4.3866062289808501E-2</v>
      </c>
      <c r="R55" s="19">
        <v>8.6486486486486505E-2</v>
      </c>
      <c r="S55" s="19">
        <v>3.6787861437160001E-2</v>
      </c>
      <c r="T55" s="19">
        <v>4.6646385629436501E-2</v>
      </c>
      <c r="U55" s="19">
        <v>1.7325524646168902E-2</v>
      </c>
      <c r="V55" s="19">
        <v>-2.8199274875788899E-3</v>
      </c>
      <c r="W55" s="19">
        <v>1.6452074391988598E-2</v>
      </c>
      <c r="X55" s="19">
        <v>6.1390097612607303E-2</v>
      </c>
      <c r="Y55" s="19">
        <v>1.27668941228263E-2</v>
      </c>
      <c r="Z55" s="19">
        <v>2.4081056116049101E-2</v>
      </c>
      <c r="AA55" s="19">
        <v>3.6431310624858999E-2</v>
      </c>
    </row>
    <row r="56" spans="1:27" x14ac:dyDescent="0.25">
      <c r="A56" s="6" t="s">
        <v>384</v>
      </c>
      <c r="B56" s="6" t="s">
        <v>266</v>
      </c>
      <c r="C56" s="19">
        <v>6.0807358201328598E-2</v>
      </c>
      <c r="D56" s="19">
        <v>5.6998431235837498E-2</v>
      </c>
      <c r="E56" s="19">
        <v>4.5989995158947902E-2</v>
      </c>
      <c r="F56" s="19">
        <v>4.9829573121246501E-2</v>
      </c>
      <c r="G56" s="19">
        <v>4.9145987753786702E-2</v>
      </c>
      <c r="H56" s="19">
        <v>5.3401837147750299E-2</v>
      </c>
      <c r="I56" s="19">
        <v>4.1603858908652397E-2</v>
      </c>
      <c r="J56" s="19">
        <v>4.7957973224877097E-2</v>
      </c>
      <c r="K56" s="19">
        <v>1.24118908979467E-2</v>
      </c>
      <c r="L56" s="19">
        <v>4.9358783179242499E-2</v>
      </c>
      <c r="M56" s="19">
        <v>4.9079754601227002E-2</v>
      </c>
      <c r="N56" s="19">
        <v>4.2962487976915702E-2</v>
      </c>
      <c r="O56" s="19">
        <v>3.7154989384288802E-2</v>
      </c>
      <c r="P56" s="19">
        <v>5.9831629585087198E-2</v>
      </c>
      <c r="Q56" s="19">
        <v>4.3866062289808501E-2</v>
      </c>
      <c r="R56" s="19">
        <v>8.6486486486486505E-2</v>
      </c>
      <c r="S56" s="19">
        <v>3.6787861437160001E-2</v>
      </c>
      <c r="T56" s="19">
        <v>4.6646385629436501E-2</v>
      </c>
      <c r="U56" s="19">
        <v>1.7325524646168902E-2</v>
      </c>
      <c r="V56" s="19">
        <v>-2.8199274875788899E-3</v>
      </c>
      <c r="W56" s="19">
        <v>1.6452074391988598E-2</v>
      </c>
      <c r="X56" s="19">
        <v>6.1390097612607303E-2</v>
      </c>
      <c r="Y56" s="19">
        <v>1.27668941228263E-2</v>
      </c>
      <c r="Z56" s="19">
        <v>2.4081056116049101E-2</v>
      </c>
      <c r="AA56" s="19">
        <v>3.6431310624858999E-2</v>
      </c>
    </row>
    <row r="57" spans="1:27" x14ac:dyDescent="0.25">
      <c r="A57" s="6" t="s">
        <v>385</v>
      </c>
      <c r="B57" s="6" t="s">
        <v>82</v>
      </c>
      <c r="C57" s="19">
        <v>6.1273939703628003E-2</v>
      </c>
      <c r="D57" s="19">
        <v>5.7230067979780398E-2</v>
      </c>
      <c r="E57" s="19">
        <v>4.7538583185412299E-2</v>
      </c>
      <c r="F57" s="19">
        <v>5.0397841259535801E-2</v>
      </c>
      <c r="G57" s="19">
        <v>5.1120190138575598E-2</v>
      </c>
      <c r="H57" s="19">
        <v>6.7912579791374703E-2</v>
      </c>
      <c r="I57" s="19">
        <v>4.2868118782031998E-2</v>
      </c>
      <c r="J57" s="19">
        <v>6.1512252160650698E-2</v>
      </c>
      <c r="K57" s="19">
        <v>6.6176585963837006E-2</v>
      </c>
      <c r="L57" s="19">
        <v>4.4781822248732499E-2</v>
      </c>
      <c r="M57" s="19">
        <v>4.8181390593046998E-2</v>
      </c>
      <c r="N57" s="19">
        <v>6.7065213209361998E-2</v>
      </c>
      <c r="O57" s="19">
        <v>6.9253260539884703E-2</v>
      </c>
      <c r="P57" s="19">
        <v>5.6601924233313297E-2</v>
      </c>
      <c r="Q57" s="19">
        <v>4.1074075157186703E-2</v>
      </c>
      <c r="R57" s="19">
        <v>6.1612006552006597E-2</v>
      </c>
      <c r="S57" s="19">
        <v>4.9394617807042698E-2</v>
      </c>
      <c r="T57" s="19">
        <v>5.60413878024048E-2</v>
      </c>
      <c r="U57" s="19">
        <v>2.2846888726207899E-2</v>
      </c>
      <c r="V57" s="19">
        <v>1.08223579965087E-2</v>
      </c>
      <c r="W57" s="19">
        <v>2.6623903195040498E-2</v>
      </c>
      <c r="X57" s="19">
        <v>4.4326614136187201E-2</v>
      </c>
      <c r="Y57" s="19">
        <v>2.6579330838652899E-2</v>
      </c>
      <c r="Z57" s="19">
        <v>5.2648649707141899E-2</v>
      </c>
      <c r="AA57" s="19">
        <v>5.9812767877283998E-2</v>
      </c>
    </row>
    <row r="58" spans="1:27" x14ac:dyDescent="0.25">
      <c r="A58" s="6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x14ac:dyDescent="0.25">
      <c r="A59" s="6" t="s">
        <v>4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 x14ac:dyDescent="0.25">
      <c r="A60" s="10" t="s">
        <v>386</v>
      </c>
      <c r="B60" s="10" t="s">
        <v>387</v>
      </c>
      <c r="C60" s="12" t="s">
        <v>388</v>
      </c>
      <c r="D60" s="12" t="s">
        <v>388</v>
      </c>
      <c r="E60" s="12" t="s">
        <v>388</v>
      </c>
      <c r="F60" s="12" t="s">
        <v>388</v>
      </c>
      <c r="G60" s="12" t="s">
        <v>388</v>
      </c>
      <c r="H60" s="12" t="s">
        <v>388</v>
      </c>
      <c r="I60" s="12" t="s">
        <v>388</v>
      </c>
      <c r="J60" s="12" t="s">
        <v>388</v>
      </c>
      <c r="K60" s="12" t="s">
        <v>388</v>
      </c>
      <c r="L60" s="12" t="s">
        <v>388</v>
      </c>
      <c r="M60" s="12" t="s">
        <v>388</v>
      </c>
      <c r="N60" s="12" t="s">
        <v>388</v>
      </c>
      <c r="O60" s="12" t="s">
        <v>388</v>
      </c>
      <c r="P60" s="12" t="s">
        <v>388</v>
      </c>
      <c r="Q60" s="12" t="s">
        <v>388</v>
      </c>
      <c r="R60" s="12" t="s">
        <v>388</v>
      </c>
      <c r="S60" s="12" t="s">
        <v>388</v>
      </c>
      <c r="T60" s="12" t="s">
        <v>388</v>
      </c>
      <c r="U60" s="12" t="s">
        <v>388</v>
      </c>
      <c r="V60" s="12" t="s">
        <v>388</v>
      </c>
      <c r="W60" s="12" t="s">
        <v>388</v>
      </c>
      <c r="X60" s="12" t="s">
        <v>388</v>
      </c>
      <c r="Y60" s="12" t="s">
        <v>388</v>
      </c>
      <c r="Z60" s="12"/>
      <c r="AA60" s="12"/>
    </row>
    <row r="61" spans="1:27" x14ac:dyDescent="0.25">
      <c r="A61" s="10" t="s">
        <v>78</v>
      </c>
      <c r="B61" s="10" t="s">
        <v>78</v>
      </c>
      <c r="C61" s="13">
        <v>54.811786748424502</v>
      </c>
      <c r="D61" s="13">
        <v>52.745337284294898</v>
      </c>
      <c r="E61" s="13">
        <v>46.312731967080801</v>
      </c>
      <c r="F61" s="13">
        <v>53.189417302385998</v>
      </c>
      <c r="G61" s="13">
        <v>54.0283596519497</v>
      </c>
      <c r="H61" s="13">
        <v>63.568425969173298</v>
      </c>
      <c r="I61" s="13">
        <v>44.407597226409401</v>
      </c>
      <c r="J61" s="13">
        <v>62.785968479918701</v>
      </c>
      <c r="K61" s="13">
        <v>60.772295433650001</v>
      </c>
      <c r="L61" s="13">
        <v>48.538622129436298</v>
      </c>
      <c r="M61" s="13">
        <v>45.252702307916998</v>
      </c>
      <c r="N61" s="13">
        <v>63.818531580634797</v>
      </c>
      <c r="O61" s="13">
        <v>63.133151349711902</v>
      </c>
      <c r="P61" s="13">
        <v>52.645820805772701</v>
      </c>
      <c r="Q61" s="13">
        <v>45.430618511478301</v>
      </c>
      <c r="R61" s="13">
        <v>60.950040950041</v>
      </c>
      <c r="S61" s="13">
        <v>51.846550243343799</v>
      </c>
      <c r="T61" s="13">
        <v>51.847023033463699</v>
      </c>
      <c r="U61" s="13">
        <v>38.7750122010737</v>
      </c>
      <c r="V61" s="13">
        <v>33.503424197663499</v>
      </c>
      <c r="W61" s="13">
        <v>41.046733428707697</v>
      </c>
      <c r="X61" s="13">
        <v>42.149829471951101</v>
      </c>
      <c r="Y61" s="13">
        <v>42.4169051287695</v>
      </c>
      <c r="Z61" s="13">
        <v>48.451816136736802</v>
      </c>
      <c r="AA61" s="13">
        <v>54.0787841191067</v>
      </c>
    </row>
    <row r="62" spans="1:27" x14ac:dyDescent="0.25">
      <c r="A62" s="10" t="s">
        <v>389</v>
      </c>
      <c r="B62" s="10" t="s">
        <v>390</v>
      </c>
      <c r="C62" s="13">
        <v>0.887571606199966</v>
      </c>
      <c r="D62" s="13">
        <v>0.90465363430364298</v>
      </c>
      <c r="E62" s="13">
        <v>0.83709599806357904</v>
      </c>
      <c r="F62" s="13">
        <v>0.83918863820808298</v>
      </c>
      <c r="G62" s="13">
        <v>0.83057048018047097</v>
      </c>
      <c r="H62" s="13">
        <v>0.84633764595983196</v>
      </c>
      <c r="I62" s="13">
        <v>0.80984062405788304</v>
      </c>
      <c r="J62" s="13">
        <v>0.94866575156753097</v>
      </c>
      <c r="K62" s="13">
        <v>0.88389904995403001</v>
      </c>
      <c r="L62" s="13">
        <v>0.80280796301819302</v>
      </c>
      <c r="M62" s="13">
        <v>0.78851974875839903</v>
      </c>
      <c r="N62" s="13">
        <v>0.871105562680346</v>
      </c>
      <c r="O62" s="13">
        <v>0.83327540188049698</v>
      </c>
      <c r="P62" s="13">
        <v>0.84180640408899599</v>
      </c>
      <c r="Q62" s="13">
        <v>0.81950640444509404</v>
      </c>
      <c r="R62" s="13">
        <v>0.90643595413595401</v>
      </c>
      <c r="S62" s="13">
        <v>0.75131183796163803</v>
      </c>
      <c r="T62" s="13">
        <v>0.75739007677821202</v>
      </c>
      <c r="U62" s="13">
        <v>0.61027009516837505</v>
      </c>
      <c r="V62" s="13">
        <v>0.58538189875117497</v>
      </c>
      <c r="W62" s="13">
        <v>0.48925829756795403</v>
      </c>
      <c r="X62" s="13">
        <v>0.45908602846054303</v>
      </c>
      <c r="Y62" s="13">
        <v>0.44044847017389399</v>
      </c>
      <c r="Z62" s="13">
        <v>0.67498375309899905</v>
      </c>
      <c r="AA62" s="13">
        <v>0.62578245563308699</v>
      </c>
    </row>
    <row r="63" spans="1:27" x14ac:dyDescent="0.25">
      <c r="A63" s="10" t="s">
        <v>391</v>
      </c>
      <c r="B63" s="10" t="s">
        <v>391</v>
      </c>
      <c r="C63" s="13">
        <v>51.643672287514903</v>
      </c>
      <c r="D63" s="13">
        <v>49.416071117308697</v>
      </c>
      <c r="E63" s="13">
        <v>42.278521865418803</v>
      </c>
      <c r="F63" s="13">
        <v>50.137964616133701</v>
      </c>
      <c r="G63" s="13">
        <v>50.5317434740574</v>
      </c>
      <c r="H63" s="13">
        <v>60.843842441226798</v>
      </c>
      <c r="I63" s="13">
        <v>41.6792282182695</v>
      </c>
      <c r="J63" s="13">
        <v>59.617014065412597</v>
      </c>
      <c r="K63" s="13">
        <v>57.661661048115199</v>
      </c>
      <c r="L63" s="13">
        <v>45.436922159260398</v>
      </c>
      <c r="M63" s="13">
        <v>42.521180251241603</v>
      </c>
      <c r="N63" s="13">
        <v>60.548252645078499</v>
      </c>
      <c r="O63" s="13">
        <v>60.115256293600197</v>
      </c>
      <c r="P63" s="13">
        <v>49.503908598917597</v>
      </c>
      <c r="Q63" s="13">
        <v>44.714139494078097</v>
      </c>
      <c r="R63" s="13">
        <v>57.559377559377602</v>
      </c>
      <c r="S63" s="13">
        <v>49.498997995991999</v>
      </c>
      <c r="T63" s="13">
        <v>48.920759090250598</v>
      </c>
      <c r="U63" s="13">
        <v>37.628111273792101</v>
      </c>
      <c r="V63" s="13">
        <v>30.831207197529199</v>
      </c>
      <c r="W63" s="13">
        <v>38.662374821173103</v>
      </c>
      <c r="X63" s="13">
        <v>39.8447606727037</v>
      </c>
      <c r="Y63" s="13">
        <v>41.327316751045601</v>
      </c>
      <c r="Z63" s="13"/>
      <c r="AA63" s="13"/>
    </row>
    <row r="64" spans="1:27" x14ac:dyDescent="0.25">
      <c r="A64" s="10" t="s">
        <v>141</v>
      </c>
      <c r="B64" s="10" t="s">
        <v>141</v>
      </c>
      <c r="C64" s="13">
        <v>45.562936467382002</v>
      </c>
      <c r="D64" s="13">
        <v>43.158445180407902</v>
      </c>
      <c r="E64" s="13">
        <v>34.226238502501197</v>
      </c>
      <c r="F64" s="13">
        <v>38.630092517448503</v>
      </c>
      <c r="G64" s="13">
        <v>39.042861746696701</v>
      </c>
      <c r="H64" s="13">
        <v>49.540713062431898</v>
      </c>
      <c r="I64" s="13">
        <v>31.248115767259598</v>
      </c>
      <c r="J64" s="13">
        <v>48.534146754787301</v>
      </c>
      <c r="K64" s="13">
        <v>47.670855041373002</v>
      </c>
      <c r="L64" s="13">
        <v>35.863405905159603</v>
      </c>
      <c r="M64" s="13">
        <v>32.807478819748802</v>
      </c>
      <c r="N64" s="13">
        <v>50.336646361013202</v>
      </c>
      <c r="O64" s="13">
        <v>50.576281468001199</v>
      </c>
      <c r="P64" s="13">
        <v>40.063138905592297</v>
      </c>
      <c r="Q64" s="13">
        <v>32.1099575961398</v>
      </c>
      <c r="R64" s="13">
        <v>46.208026208026197</v>
      </c>
      <c r="S64" s="13">
        <v>39.020898940738597</v>
      </c>
      <c r="T64" s="13">
        <v>38.881645661306699</v>
      </c>
      <c r="U64" s="13">
        <v>21.937530502684201</v>
      </c>
      <c r="V64" s="13">
        <v>14.717335839935499</v>
      </c>
      <c r="W64" s="13">
        <v>24.356223175965699</v>
      </c>
      <c r="X64" s="13">
        <v>25.732094554863</v>
      </c>
      <c r="Y64" s="13">
        <v>27.041602465331302</v>
      </c>
      <c r="Z64" s="13">
        <v>41.230238320656802</v>
      </c>
      <c r="AA64" s="13">
        <v>44.9401195578615</v>
      </c>
    </row>
    <row r="65" spans="1:27" x14ac:dyDescent="0.25">
      <c r="A65" s="10" t="s">
        <v>392</v>
      </c>
      <c r="B65" s="10" t="s">
        <v>153</v>
      </c>
      <c r="C65" s="13">
        <v>1.40968714018055</v>
      </c>
      <c r="D65" s="13">
        <v>1.4283036604497099</v>
      </c>
      <c r="E65" s="13">
        <v>1.2874058253993901</v>
      </c>
      <c r="F65" s="13">
        <v>1.2245138451550099</v>
      </c>
      <c r="G65" s="13">
        <v>1.2249952143087299</v>
      </c>
      <c r="H65" s="13">
        <v>1.34505139342986</v>
      </c>
      <c r="I65" s="13">
        <v>1.1445137624359401</v>
      </c>
      <c r="J65" s="13">
        <v>1.2667351635316</v>
      </c>
      <c r="K65" s="13">
        <v>1.2895446674839099</v>
      </c>
      <c r="L65" s="13">
        <v>1.13341128839845</v>
      </c>
      <c r="M65" s="13">
        <v>1.0954235465965501</v>
      </c>
      <c r="N65" s="13">
        <v>1.2019229560756699</v>
      </c>
      <c r="O65" s="13">
        <v>1.3035627995147101</v>
      </c>
      <c r="P65" s="13">
        <v>1.1444299458809399</v>
      </c>
      <c r="Q65" s="13">
        <v>1.08868738119608</v>
      </c>
      <c r="R65" s="13">
        <v>1.3560131531531501</v>
      </c>
      <c r="S65" s="13">
        <v>1.05994984254223</v>
      </c>
      <c r="T65" s="13">
        <v>1.06964308271766</v>
      </c>
      <c r="U65" s="13">
        <v>1.0298563689604701</v>
      </c>
      <c r="V65" s="13">
        <v>0.765807385524372</v>
      </c>
      <c r="W65" s="13">
        <v>0.73224938006676199</v>
      </c>
      <c r="X65" s="13">
        <v>0.71824724214982905</v>
      </c>
      <c r="Y65" s="13">
        <v>0.72363531807175896</v>
      </c>
      <c r="Z65" s="13">
        <v>1.01359805061186</v>
      </c>
      <c r="AA65" s="13">
        <v>0.93210015790661005</v>
      </c>
    </row>
    <row r="66" spans="1:27" x14ac:dyDescent="0.25">
      <c r="A66" s="10" t="s">
        <v>393</v>
      </c>
      <c r="B66" s="10" t="s">
        <v>394</v>
      </c>
      <c r="C66" s="13">
        <v>0.77606772270482005</v>
      </c>
      <c r="D66" s="13">
        <v>0.75228246470280602</v>
      </c>
      <c r="E66" s="13">
        <v>0.55230335646280504</v>
      </c>
      <c r="F66" s="13">
        <v>0.62701011199480605</v>
      </c>
      <c r="G66" s="13">
        <v>0.62911475990976495</v>
      </c>
      <c r="H66" s="13">
        <v>0.77130177487155505</v>
      </c>
      <c r="I66" s="13">
        <v>0.47102978595116102</v>
      </c>
      <c r="J66" s="13">
        <v>0.82247325876970001</v>
      </c>
      <c r="K66" s="13">
        <v>0.73047586576769896</v>
      </c>
      <c r="L66" s="13">
        <v>0.53479579481061701</v>
      </c>
      <c r="M66" s="13">
        <v>0.479221136430032</v>
      </c>
      <c r="N66" s="13">
        <v>0.80693565245270904</v>
      </c>
      <c r="O66" s="13">
        <v>0.767004564755839</v>
      </c>
      <c r="P66" s="13">
        <v>0.60227208358388495</v>
      </c>
      <c r="Q66" s="13">
        <v>0.46951247258371098</v>
      </c>
      <c r="R66" s="13">
        <v>0.75688822276822298</v>
      </c>
      <c r="S66" s="13">
        <v>0.55855853134841105</v>
      </c>
      <c r="T66" s="13">
        <v>0.56325722149789903</v>
      </c>
      <c r="U66" s="13">
        <v>0.267661432406052</v>
      </c>
      <c r="V66" s="13">
        <v>0.19762771585873501</v>
      </c>
      <c r="W66" s="13">
        <v>0.29036984978540797</v>
      </c>
      <c r="X66" s="13">
        <v>0.30262372103963298</v>
      </c>
      <c r="Y66" s="13">
        <v>0.29761833590138698</v>
      </c>
      <c r="Z66" s="13">
        <v>0.51099726334421802</v>
      </c>
      <c r="AA66" s="13">
        <v>0.50688156505596105</v>
      </c>
    </row>
    <row r="67" spans="1:27" x14ac:dyDescent="0.25">
      <c r="A67" s="10" t="s">
        <v>395</v>
      </c>
      <c r="B67" s="10" t="s">
        <v>396</v>
      </c>
      <c r="C67" s="13">
        <v>0.637016538920116</v>
      </c>
      <c r="D67" s="13">
        <v>0.60036759630468906</v>
      </c>
      <c r="E67" s="13">
        <v>0.45840069388413801</v>
      </c>
      <c r="F67" s="13">
        <v>0.48627440350592399</v>
      </c>
      <c r="G67" s="13">
        <v>0.486968449887206</v>
      </c>
      <c r="H67" s="13">
        <v>0.62294684726763205</v>
      </c>
      <c r="I67" s="13">
        <v>0.37811097377148001</v>
      </c>
      <c r="J67" s="13">
        <v>0.60614489069649202</v>
      </c>
      <c r="K67" s="13">
        <v>0.58348884462151396</v>
      </c>
      <c r="L67" s="13">
        <v>0.380038413361169</v>
      </c>
      <c r="M67" s="13">
        <v>0.397768799298861</v>
      </c>
      <c r="N67" s="13">
        <v>0.59220953831356204</v>
      </c>
      <c r="O67" s="13">
        <v>0.56429285714285704</v>
      </c>
      <c r="P67" s="13">
        <v>0.458182456404089</v>
      </c>
      <c r="Q67" s="13">
        <v>0.32350201783886501</v>
      </c>
      <c r="R67" s="13">
        <v>0.54304918918918899</v>
      </c>
      <c r="S67" s="13">
        <v>0.379463269395935</v>
      </c>
      <c r="T67" s="13">
        <v>0.43627525713457899</v>
      </c>
      <c r="U67" s="13">
        <v>0.15055833333333299</v>
      </c>
      <c r="V67" s="13">
        <v>7.7894279575668093E-2</v>
      </c>
      <c r="W67" s="13">
        <v>0.17163348831664299</v>
      </c>
      <c r="X67" s="13">
        <v>0.28265272256850499</v>
      </c>
      <c r="Y67" s="13">
        <v>0.15834325335681301</v>
      </c>
      <c r="Z67" s="13">
        <v>0.34031533956782001</v>
      </c>
      <c r="AA67" s="13">
        <v>0.35279438621673898</v>
      </c>
    </row>
    <row r="68" spans="1:27" x14ac:dyDescent="0.25">
      <c r="A68" s="10" t="s">
        <v>397</v>
      </c>
      <c r="B68" s="10" t="s">
        <v>398</v>
      </c>
      <c r="C68" s="13" t="s">
        <v>148</v>
      </c>
      <c r="D68" s="13" t="s">
        <v>148</v>
      </c>
      <c r="E68" s="13">
        <v>4273.5042735033103</v>
      </c>
      <c r="F68" s="13" t="s">
        <v>148</v>
      </c>
      <c r="G68" s="13" t="s">
        <v>148</v>
      </c>
      <c r="H68" s="13" t="s">
        <v>148</v>
      </c>
      <c r="I68" s="13">
        <v>4132.2314049592997</v>
      </c>
      <c r="J68" s="13" t="s">
        <v>148</v>
      </c>
      <c r="K68" s="13" t="s">
        <v>148</v>
      </c>
      <c r="L68" s="13" t="s">
        <v>148</v>
      </c>
      <c r="M68" s="13">
        <v>4132.2314049518</v>
      </c>
      <c r="N68" s="13" t="s">
        <v>148</v>
      </c>
      <c r="O68" s="13" t="s">
        <v>148</v>
      </c>
      <c r="P68" s="13" t="s">
        <v>148</v>
      </c>
      <c r="Q68" s="13">
        <v>3968.2539682555898</v>
      </c>
      <c r="R68" s="13" t="s">
        <v>148</v>
      </c>
      <c r="S68" s="13" t="s">
        <v>148</v>
      </c>
      <c r="T68" s="13" t="s">
        <v>148</v>
      </c>
      <c r="U68" s="13">
        <v>3745.31835206198</v>
      </c>
      <c r="V68" s="13" t="s">
        <v>148</v>
      </c>
      <c r="W68" s="13" t="s">
        <v>148</v>
      </c>
      <c r="X68" s="13" t="s">
        <v>148</v>
      </c>
      <c r="Y68" s="13">
        <v>3571.4285714285702</v>
      </c>
      <c r="Z68" s="13"/>
      <c r="AA68" s="13"/>
    </row>
    <row r="69" spans="1:27" x14ac:dyDescent="0.25">
      <c r="A69" s="10" t="s">
        <v>399</v>
      </c>
      <c r="B69" s="10" t="s">
        <v>269</v>
      </c>
      <c r="C69" s="13">
        <v>2.4697666496337901E-2</v>
      </c>
      <c r="D69" s="13">
        <v>2.5274533728429499E-2</v>
      </c>
      <c r="E69" s="13">
        <v>2.3398418589640101E-2</v>
      </c>
      <c r="F69" s="13">
        <v>2.5969810095763698E-2</v>
      </c>
      <c r="G69" s="13">
        <v>2.5781501772478201E-2</v>
      </c>
      <c r="H69" s="13">
        <v>2.4910477969796001E-2</v>
      </c>
      <c r="I69" s="13">
        <v>2.41181790774797E-2</v>
      </c>
      <c r="J69" s="13">
        <v>2.98254533129978E-2</v>
      </c>
      <c r="K69" s="13">
        <v>2.6969046889365599E-2</v>
      </c>
      <c r="L69" s="13">
        <v>2.6245153593796599E-2</v>
      </c>
      <c r="M69" s="13">
        <v>2.5708442886357E-2</v>
      </c>
      <c r="N69" s="13">
        <v>3.10997114459763E-2</v>
      </c>
      <c r="O69" s="13">
        <v>2.9420685471640898E-2</v>
      </c>
      <c r="P69" s="13">
        <v>2.916416115454E-2</v>
      </c>
      <c r="Q69" s="13">
        <v>2.8366720280742799E-2</v>
      </c>
      <c r="R69" s="13">
        <v>3.4889434889434898E-2</v>
      </c>
      <c r="S69" s="13">
        <v>3.0489550529630701E-2</v>
      </c>
      <c r="T69" s="13">
        <v>3.0856149500217301E-2</v>
      </c>
      <c r="U69" s="13">
        <v>2.5988286969253298E-2</v>
      </c>
      <c r="V69" s="13">
        <v>3.0213508795488099E-2</v>
      </c>
      <c r="W69" s="13">
        <v>2.6824034334763901E-2</v>
      </c>
      <c r="X69" s="13">
        <v>2.6461248970951399E-2</v>
      </c>
      <c r="Y69" s="13">
        <v>2.4763372220999301E-2</v>
      </c>
      <c r="Z69" s="13">
        <v>3.0191174832061601E-2</v>
      </c>
      <c r="AA69" s="13">
        <v>2.6866681705391401E-2</v>
      </c>
    </row>
    <row r="70" spans="1:27" x14ac:dyDescent="0.25">
      <c r="A70" s="10" t="s">
        <v>400</v>
      </c>
      <c r="B70" s="10" t="s">
        <v>401</v>
      </c>
      <c r="C70" s="13">
        <v>15.3295861011753</v>
      </c>
      <c r="D70" s="13">
        <v>15.687641624542399</v>
      </c>
      <c r="E70" s="13">
        <v>14.5231563659835</v>
      </c>
      <c r="F70" s="13">
        <v>15.338419087810401</v>
      </c>
      <c r="G70" s="13">
        <v>14.502094747018999</v>
      </c>
      <c r="H70" s="13">
        <v>14.572629612330701</v>
      </c>
      <c r="I70" s="13">
        <v>13.566475731082299</v>
      </c>
      <c r="J70" s="13">
        <v>16.946280291476</v>
      </c>
      <c r="K70" s="13">
        <v>15.3233220962305</v>
      </c>
      <c r="L70" s="13">
        <v>14.881002087682701</v>
      </c>
      <c r="M70" s="13">
        <v>14.607069821793701</v>
      </c>
      <c r="N70" s="13">
        <v>17.633857005450501</v>
      </c>
      <c r="O70" s="13">
        <v>15.7415832575068</v>
      </c>
      <c r="P70" s="13">
        <v>15.602826217678899</v>
      </c>
      <c r="Q70" s="13">
        <v>14.6220207632695</v>
      </c>
      <c r="R70" s="13">
        <v>18.018018018018001</v>
      </c>
      <c r="S70" s="13">
        <v>15.745777268823399</v>
      </c>
      <c r="T70" s="13">
        <v>16.5080399826163</v>
      </c>
      <c r="U70" s="13">
        <v>13.4211810639336</v>
      </c>
      <c r="V70" s="13">
        <v>16.221297166644302</v>
      </c>
      <c r="W70" s="13">
        <v>14.3061516452074</v>
      </c>
      <c r="X70" s="13">
        <v>14.112666117840799</v>
      </c>
      <c r="Y70" s="13">
        <v>13.2071318511996</v>
      </c>
      <c r="Z70" s="13"/>
      <c r="AA70" s="13"/>
    </row>
    <row r="71" spans="1:27" x14ac:dyDescent="0.25">
      <c r="A71" s="10" t="s">
        <v>402</v>
      </c>
      <c r="B71" s="10" t="s">
        <v>403</v>
      </c>
      <c r="C71" s="13">
        <v>3.1681144609095599</v>
      </c>
      <c r="D71" s="13">
        <v>3.3292661669862298</v>
      </c>
      <c r="E71" s="13">
        <v>4.0342101016620902</v>
      </c>
      <c r="F71" s="13">
        <v>3.05145268625223</v>
      </c>
      <c r="G71" s="13">
        <v>3.4966161778923599</v>
      </c>
      <c r="H71" s="13">
        <v>2.7245835279464399</v>
      </c>
      <c r="I71" s="13">
        <v>2.7283690081398899</v>
      </c>
      <c r="J71" s="13">
        <v>3.16895441450602</v>
      </c>
      <c r="K71" s="13">
        <v>3.1106343855347802</v>
      </c>
      <c r="L71" s="13">
        <v>3.10169997017596</v>
      </c>
      <c r="M71" s="13">
        <v>2.7315220566754301</v>
      </c>
      <c r="N71" s="13">
        <v>3.27027893555627</v>
      </c>
      <c r="O71" s="13">
        <v>3.01789505611162</v>
      </c>
      <c r="P71" s="13">
        <v>3.1419122068550802</v>
      </c>
      <c r="Q71" s="13">
        <v>0.71647901740020503</v>
      </c>
      <c r="R71" s="13">
        <v>3.3906633906633901</v>
      </c>
      <c r="S71" s="13">
        <v>2.34755224735185</v>
      </c>
      <c r="T71" s="13">
        <v>2.9262639432131001</v>
      </c>
      <c r="U71" s="13">
        <v>1.1469009272816</v>
      </c>
      <c r="V71" s="13">
        <v>2.67221700013428</v>
      </c>
      <c r="W71" s="13">
        <v>2.38435860753457</v>
      </c>
      <c r="X71" s="13">
        <v>2.3050687992473202</v>
      </c>
      <c r="Y71" s="13">
        <v>1.0895883777239701</v>
      </c>
      <c r="Z71" s="13"/>
      <c r="AA71" s="13"/>
    </row>
    <row r="72" spans="1:27" x14ac:dyDescent="0.25">
      <c r="A72" s="10" t="s">
        <v>404</v>
      </c>
      <c r="B72" s="10" t="s">
        <v>405</v>
      </c>
      <c r="C72" s="13">
        <v>0.71538068472151295</v>
      </c>
      <c r="D72" s="13">
        <v>0.732089942478647</v>
      </c>
      <c r="E72" s="13">
        <v>0.75843149911247398</v>
      </c>
      <c r="F72" s="13" t="s">
        <v>148</v>
      </c>
      <c r="G72" s="13" t="s">
        <v>148</v>
      </c>
      <c r="H72" s="13" t="s">
        <v>148</v>
      </c>
      <c r="I72" s="13" t="s">
        <v>148</v>
      </c>
      <c r="J72" s="13" t="s">
        <v>148</v>
      </c>
      <c r="K72" s="13" t="s">
        <v>148</v>
      </c>
      <c r="L72" s="13" t="s">
        <v>148</v>
      </c>
      <c r="M72" s="13" t="s">
        <v>148</v>
      </c>
      <c r="N72" s="13" t="s">
        <v>148</v>
      </c>
      <c r="O72" s="13" t="s">
        <v>148</v>
      </c>
      <c r="P72" s="13" t="s">
        <v>148</v>
      </c>
      <c r="Q72" s="13" t="s">
        <v>148</v>
      </c>
      <c r="R72" s="13" t="s">
        <v>148</v>
      </c>
      <c r="S72" s="13" t="s">
        <v>148</v>
      </c>
      <c r="T72" s="13" t="s">
        <v>148</v>
      </c>
      <c r="U72" s="13" t="s">
        <v>148</v>
      </c>
      <c r="V72" s="13" t="s">
        <v>148</v>
      </c>
      <c r="W72" s="13" t="s">
        <v>148</v>
      </c>
      <c r="X72" s="13" t="s">
        <v>148</v>
      </c>
      <c r="Y72" s="13" t="s">
        <v>148</v>
      </c>
      <c r="Z72" s="13"/>
      <c r="AA72" s="13"/>
    </row>
    <row r="73" spans="1:27" x14ac:dyDescent="0.25">
      <c r="A73" s="7" t="s">
        <v>90</v>
      </c>
      <c r="B73" s="7"/>
      <c r="C73" s="7" t="s">
        <v>5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3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700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4" t="s">
        <v>19</v>
      </c>
      <c r="M4" s="4" t="s">
        <v>20</v>
      </c>
      <c r="N4" s="4" t="s">
        <v>21</v>
      </c>
      <c r="O4" s="4" t="s">
        <v>22</v>
      </c>
      <c r="P4" s="4" t="s">
        <v>23</v>
      </c>
      <c r="Q4" s="4" t="s">
        <v>24</v>
      </c>
      <c r="R4" s="4" t="s">
        <v>25</v>
      </c>
      <c r="S4" s="4" t="s">
        <v>26</v>
      </c>
      <c r="T4" s="4" t="s">
        <v>27</v>
      </c>
      <c r="U4" s="4" t="s">
        <v>28</v>
      </c>
      <c r="V4" s="4" t="s">
        <v>29</v>
      </c>
      <c r="W4" s="4" t="s">
        <v>30</v>
      </c>
      <c r="X4" s="4" t="s">
        <v>31</v>
      </c>
      <c r="Y4" s="4" t="s">
        <v>701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36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41</v>
      </c>
      <c r="I5" s="5" t="s">
        <v>42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5" t="s">
        <v>48</v>
      </c>
      <c r="P5" s="5" t="s">
        <v>49</v>
      </c>
      <c r="Q5" s="5" t="s">
        <v>50</v>
      </c>
      <c r="R5" s="5" t="s">
        <v>51</v>
      </c>
      <c r="S5" s="5" t="s">
        <v>52</v>
      </c>
      <c r="T5" s="5" t="s">
        <v>53</v>
      </c>
      <c r="U5" s="5" t="s">
        <v>54</v>
      </c>
      <c r="V5" s="5" t="s">
        <v>55</v>
      </c>
      <c r="W5" s="5" t="s">
        <v>56</v>
      </c>
      <c r="X5" s="5" t="s">
        <v>57</v>
      </c>
      <c r="Y5" s="5" t="s">
        <v>57</v>
      </c>
      <c r="Z5" s="5" t="s">
        <v>58</v>
      </c>
      <c r="AA5" s="5" t="s">
        <v>59</v>
      </c>
    </row>
    <row r="6" spans="1:27" x14ac:dyDescent="0.25">
      <c r="A6" s="6" t="s">
        <v>0</v>
      </c>
      <c r="B6" s="6" t="s">
        <v>71</v>
      </c>
      <c r="C6" s="19">
        <f>_xll.BDH("AMGN US Equity","SALES_REV_TURN","FQ3 2019","FQ3 2019","Currency=USD","Period=FQ","BEST_FPERIOD_OVERRIDE=FQ","FILING_STATUS=MR","SCALING_FORMAT=MLN","FA_ADJUSTED=GAAP","Sort=A","Dates=H","DateFormat=P","Fill=—","Direction=H","UseDPDF=Y")</f>
        <v>5737</v>
      </c>
      <c r="D6" s="19">
        <f>_xll.BDH("AMGN US Equity","SALES_REV_TURN","FQ4 2019","FQ4 2019","Currency=USD","Period=FQ","BEST_FPERIOD_OVERRIDE=FQ","FILING_STATUS=MR","SCALING_FORMAT=MLN","FA_ADJUSTED=GAAP","Sort=A","Dates=H","DateFormat=P","Fill=—","Direction=H","UseDPDF=Y")</f>
        <v>6197</v>
      </c>
      <c r="E6" s="19">
        <f>_xll.BDH("AMGN US Equity","SALES_REV_TURN","FQ1 2020","FQ1 2020","Currency=USD","Period=FQ","BEST_FPERIOD_OVERRIDE=FQ","FILING_STATUS=MR","SCALING_FORMAT=MLN","FA_ADJUSTED=GAAP","Sort=A","Dates=H","DateFormat=P","Fill=—","Direction=H","UseDPDF=Y")</f>
        <v>6161</v>
      </c>
      <c r="F6" s="19">
        <f>_xll.BDH("AMGN US Equity","SALES_REV_TURN","FQ2 2020","FQ2 2020","Currency=USD","Period=FQ","BEST_FPERIOD_OVERRIDE=FQ","FILING_STATUS=MR","SCALING_FORMAT=MLN","FA_ADJUSTED=GAAP","Sort=A","Dates=H","DateFormat=P","Fill=—","Direction=H","UseDPDF=Y")</f>
        <v>6206</v>
      </c>
      <c r="G6" s="19">
        <f>_xll.BDH("AMGN US Equity","SALES_REV_TURN","FQ3 2020","FQ3 2020","Currency=USD","Period=FQ","BEST_FPERIOD_OVERRIDE=FQ","FILING_STATUS=MR","SCALING_FORMAT=MLN","FA_ADJUSTED=GAAP","Sort=A","Dates=H","DateFormat=P","Fill=—","Direction=H","UseDPDF=Y")</f>
        <v>6423</v>
      </c>
      <c r="H6" s="19">
        <f>_xll.BDH("AMGN US Equity","SALES_REV_TURN","FQ4 2020","FQ4 2020","Currency=USD","Period=FQ","BEST_FPERIOD_OVERRIDE=FQ","FILING_STATUS=MR","SCALING_FORMAT=MLN","FA_ADJUSTED=GAAP","Sort=A","Dates=H","DateFormat=P","Fill=—","Direction=H","UseDPDF=Y")</f>
        <v>6634</v>
      </c>
      <c r="I6" s="19">
        <f>_xll.BDH("AMGN US Equity","SALES_REV_TURN","FQ1 2021","FQ1 2021","Currency=USD","Period=FQ","BEST_FPERIOD_OVERRIDE=FQ","FILING_STATUS=MR","SCALING_FORMAT=MLN","FA_ADJUSTED=GAAP","Sort=A","Dates=H","DateFormat=P","Fill=—","Direction=H","UseDPDF=Y")</f>
        <v>5901</v>
      </c>
      <c r="J6" s="19">
        <f>_xll.BDH("AMGN US Equity","SALES_REV_TURN","FQ2 2021","FQ2 2021","Currency=USD","Period=FQ","BEST_FPERIOD_OVERRIDE=FQ","FILING_STATUS=MR","SCALING_FORMAT=MLN","FA_ADJUSTED=GAAP","Sort=A","Dates=H","DateFormat=P","Fill=—","Direction=H","UseDPDF=Y")</f>
        <v>6526</v>
      </c>
      <c r="K6" s="19">
        <f>_xll.BDH("AMGN US Equity","SALES_REV_TURN","FQ3 2021","FQ3 2021","Currency=USD","Period=FQ","BEST_FPERIOD_OVERRIDE=FQ","FILING_STATUS=MR","SCALING_FORMAT=MLN","FA_ADJUSTED=GAAP","Sort=A","Dates=H","DateFormat=P","Fill=—","Direction=H","UseDPDF=Y")</f>
        <v>6706</v>
      </c>
      <c r="L6" s="19">
        <f>_xll.BDH("AMGN US Equity","SALES_REV_TURN","FQ4 2021","FQ4 2021","Currency=USD","Period=FQ","BEST_FPERIOD_OVERRIDE=FQ","FILING_STATUS=MR","SCALING_FORMAT=MLN","FA_ADJUSTED=GAAP","Sort=A","Dates=H","DateFormat=P","Fill=—","Direction=H","UseDPDF=Y")</f>
        <v>6846</v>
      </c>
      <c r="M6" s="19">
        <f>_xll.BDH("AMGN US Equity","SALES_REV_TURN","FQ1 2022","FQ1 2022","Currency=USD","Period=FQ","BEST_FPERIOD_OVERRIDE=FQ","FILING_STATUS=MR","SCALING_FORMAT=MLN","FA_ADJUSTED=GAAP","Sort=A","Dates=H","DateFormat=P","Fill=—","Direction=H","UseDPDF=Y")</f>
        <v>6238</v>
      </c>
      <c r="N6" s="19">
        <f>_xll.BDH("AMGN US Equity","SALES_REV_TURN","FQ2 2022","FQ2 2022","Currency=USD","Period=FQ","BEST_FPERIOD_OVERRIDE=FQ","FILING_STATUS=MR","SCALING_FORMAT=MLN","FA_ADJUSTED=GAAP","Sort=A","Dates=H","DateFormat=P","Fill=—","Direction=H","UseDPDF=Y")</f>
        <v>6594</v>
      </c>
      <c r="O6" s="19">
        <f>_xll.BDH("AMGN US Equity","SALES_REV_TURN","FQ3 2022","FQ3 2022","Currency=USD","Period=FQ","BEST_FPERIOD_OVERRIDE=FQ","FILING_STATUS=MR","SCALING_FORMAT=MLN","FA_ADJUSTED=GAAP","Sort=A","Dates=H","DateFormat=P","Fill=—","Direction=H","UseDPDF=Y")</f>
        <v>6652</v>
      </c>
      <c r="P6" s="19">
        <f>_xll.BDH("AMGN US Equity","SALES_REV_TURN","FQ4 2022","FQ4 2022","Currency=USD","Period=FQ","BEST_FPERIOD_OVERRIDE=FQ","FILING_STATUS=MR","SCALING_FORMAT=MLN","FA_ADJUSTED=GAAP","Sort=A","Dates=H","DateFormat=P","Fill=—","Direction=H","UseDPDF=Y")</f>
        <v>6839</v>
      </c>
      <c r="Q6" s="19">
        <f>_xll.BDH("AMGN US Equity","SALES_REV_TURN","FQ1 2023","FQ1 2023","Currency=USD","Period=FQ","BEST_FPERIOD_OVERRIDE=FQ","FILING_STATUS=MR","SCALING_FORMAT=MLN","FA_ADJUSTED=GAAP","Sort=A","Dates=H","DateFormat=P","Fill=—","Direction=H","UseDPDF=Y")</f>
        <v>6105</v>
      </c>
      <c r="R6" s="19">
        <f>_xll.BDH("AMGN US Equity","SALES_REV_TURN","FQ2 2023","FQ2 2023","Currency=USD","Period=FQ","BEST_FPERIOD_OVERRIDE=FQ","FILING_STATUS=MR","SCALING_FORMAT=MLN","FA_ADJUSTED=GAAP","Sort=A","Dates=H","DateFormat=P","Fill=—","Direction=H","UseDPDF=Y")</f>
        <v>6986</v>
      </c>
      <c r="S6" s="19">
        <f>_xll.BDH("AMGN US Equity","SALES_REV_TURN","FQ3 2023","FQ3 2023","Currency=USD","Period=FQ","BEST_FPERIOD_OVERRIDE=FQ","FILING_STATUS=MR","SCALING_FORMAT=MLN","FA_ADJUSTED=GAAP","Sort=A","Dates=H","DateFormat=P","Fill=—","Direction=H","UseDPDF=Y")</f>
        <v>6903</v>
      </c>
      <c r="T6" s="19">
        <f>_xll.BDH("AMGN US Equity","SALES_REV_TURN","FQ4 2023","FQ4 2023","Currency=USD","Period=FQ","BEST_FPERIOD_OVERRIDE=FQ","FILING_STATUS=MR","SCALING_FORMAT=MLN","FA_ADJUSTED=GAAP","Sort=A","Dates=H","DateFormat=P","Fill=—","Direction=H","UseDPDF=Y")</f>
        <v>8196</v>
      </c>
      <c r="U6" s="19">
        <f>_xll.BDH("AMGN US Equity","SALES_REV_TURN","FQ1 2024","FQ1 2024","Currency=USD","Period=FQ","BEST_FPERIOD_OVERRIDE=FQ","FILING_STATUS=MR","SCALING_FORMAT=MLN","FA_ADJUSTED=GAAP","Sort=A","Dates=H","DateFormat=P","Fill=—","Direction=H","UseDPDF=Y")</f>
        <v>7447</v>
      </c>
      <c r="V6" s="19">
        <f>_xll.BDH("AMGN US Equity","SALES_REV_TURN","FQ2 2024","FQ2 2024","Currency=USD","Period=FQ","BEST_FPERIOD_OVERRIDE=FQ","FILING_STATUS=MR","SCALING_FORMAT=MLN","FA_ADJUSTED=GAAP","Sort=A","Dates=H","DateFormat=P","Fill=—","Direction=H","UseDPDF=Y")</f>
        <v>8388</v>
      </c>
      <c r="W6" s="19">
        <f>_xll.BDH("AMGN US Equity","SALES_REV_TURN","FQ3 2024","FQ3 2024","Currency=USD","Period=FQ","BEST_FPERIOD_OVERRIDE=FQ","FILING_STATUS=MR","SCALING_FORMAT=MLN","FA_ADJUSTED=GAAP","Sort=A","Dates=H","DateFormat=P","Fill=—","Direction=H","UseDPDF=Y")</f>
        <v>8503</v>
      </c>
      <c r="X6" s="19">
        <f>_xll.BDH("AMGN US Equity","SALES_REV_TURN","FQ4 2024","FQ4 2024","Currency=USD","Period=FQ","BEST_FPERIOD_OVERRIDE=FQ","FILING_STATUS=MR","SCALING_FORMAT=MLN","FA_ADJUSTED=GAAP","Sort=A","Dates=H","DateFormat=P","Fill=—","Direction=H","UseDPDF=Y")</f>
        <v>9086</v>
      </c>
      <c r="Y6" s="22">
        <v>33424</v>
      </c>
      <c r="Z6" s="19">
        <v>8068.5829999999996</v>
      </c>
      <c r="AA6" s="19">
        <v>8866</v>
      </c>
    </row>
    <row r="7" spans="1:27" x14ac:dyDescent="0.25">
      <c r="A7" s="10" t="s">
        <v>308</v>
      </c>
      <c r="B7" s="10" t="s">
        <v>309</v>
      </c>
      <c r="C7" s="13">
        <v>95.223984660972604</v>
      </c>
      <c r="D7" s="13">
        <v>94.900758431499099</v>
      </c>
      <c r="E7" s="13">
        <v>95.666287940269399</v>
      </c>
      <c r="F7" s="13">
        <v>95.198195294875902</v>
      </c>
      <c r="G7" s="13">
        <v>95.033473454771894</v>
      </c>
      <c r="H7" s="13">
        <v>95.477841422972602</v>
      </c>
      <c r="I7" s="13">
        <v>94.763599389933901</v>
      </c>
      <c r="J7" s="13">
        <v>93.686791296353107</v>
      </c>
      <c r="K7" s="13">
        <v>94.243960632269605</v>
      </c>
      <c r="L7" s="13">
        <v>91.600934852468598</v>
      </c>
      <c r="M7" s="13">
        <v>91.872394998396899</v>
      </c>
      <c r="N7" s="13">
        <v>95.253260539884707</v>
      </c>
      <c r="O7" s="13">
        <v>93.761274804569993</v>
      </c>
      <c r="P7" s="13">
        <v>95.803480040941693</v>
      </c>
      <c r="Q7" s="13">
        <v>95.757575757575793</v>
      </c>
      <c r="R7" s="13">
        <v>95.6627540795877</v>
      </c>
      <c r="S7" s="13">
        <v>94.857308416630403</v>
      </c>
      <c r="T7" s="13">
        <v>95.571010248901899</v>
      </c>
      <c r="U7" s="13">
        <v>95.5821136027931</v>
      </c>
      <c r="V7" s="13">
        <v>95.863137815927502</v>
      </c>
      <c r="W7" s="13">
        <v>95.860284605433407</v>
      </c>
      <c r="X7" s="13">
        <v>95.927801012546794</v>
      </c>
      <c r="Y7" s="16">
        <v>95.817376735280007</v>
      </c>
      <c r="Z7" s="13"/>
      <c r="AA7" s="13"/>
    </row>
    <row r="8" spans="1:27" x14ac:dyDescent="0.25">
      <c r="A8" s="10" t="s">
        <v>310</v>
      </c>
      <c r="B8" s="10" t="s">
        <v>311</v>
      </c>
      <c r="C8" s="13">
        <v>4.7760153390273699</v>
      </c>
      <c r="D8" s="13">
        <v>5.0992415685008901</v>
      </c>
      <c r="E8" s="13">
        <v>4.3337120597305603</v>
      </c>
      <c r="F8" s="13">
        <v>4.80180470512407</v>
      </c>
      <c r="G8" s="13">
        <v>4.9665265452280902</v>
      </c>
      <c r="H8" s="13">
        <v>4.5221585770274304</v>
      </c>
      <c r="I8" s="13">
        <v>5.2364006100660898</v>
      </c>
      <c r="J8" s="13">
        <v>6.31320870364695</v>
      </c>
      <c r="K8" s="13">
        <v>5.7560393677303896</v>
      </c>
      <c r="L8" s="13">
        <v>8.3990651475314095</v>
      </c>
      <c r="M8" s="13">
        <v>8.1276050016030794</v>
      </c>
      <c r="N8" s="13">
        <v>4.7467394601152604</v>
      </c>
      <c r="O8" s="13">
        <v>6.2387251954299501</v>
      </c>
      <c r="P8" s="13">
        <v>4.1965199590583397</v>
      </c>
      <c r="Q8" s="13">
        <v>4.2424242424242404</v>
      </c>
      <c r="R8" s="13">
        <v>4.3372459204122498</v>
      </c>
      <c r="S8" s="13">
        <v>5.1426915833695501</v>
      </c>
      <c r="T8" s="13">
        <v>4.4289897510980998</v>
      </c>
      <c r="U8" s="13">
        <v>4.4178863972069298</v>
      </c>
      <c r="V8" s="13">
        <v>4.1368621840724797</v>
      </c>
      <c r="W8" s="13">
        <v>4.1397153945666201</v>
      </c>
      <c r="X8" s="13">
        <v>4.0721989874532198</v>
      </c>
      <c r="Y8" s="16">
        <v>4.1826232647199602</v>
      </c>
      <c r="Z8" s="13"/>
      <c r="AA8" s="13"/>
    </row>
    <row r="9" spans="1:27" x14ac:dyDescent="0.25">
      <c r="A9" s="10" t="s">
        <v>312</v>
      </c>
      <c r="B9" s="10" t="s">
        <v>313</v>
      </c>
      <c r="C9" s="13">
        <v>18.05821858114</v>
      </c>
      <c r="D9" s="13">
        <v>20.2194610295304</v>
      </c>
      <c r="E9" s="13">
        <v>24.557701671806502</v>
      </c>
      <c r="F9" s="13">
        <v>23.9767966484048</v>
      </c>
      <c r="G9" s="13">
        <v>24.3032850692823</v>
      </c>
      <c r="H9" s="13">
        <v>24.072957491709399</v>
      </c>
      <c r="I9" s="13">
        <v>25.2499576342993</v>
      </c>
      <c r="J9" s="13">
        <v>25.0842782715293</v>
      </c>
      <c r="K9" s="13">
        <v>23.993438711601499</v>
      </c>
      <c r="L9" s="13">
        <v>25.094945953841702</v>
      </c>
      <c r="M9" s="13">
        <v>25.0240461686438</v>
      </c>
      <c r="N9" s="13">
        <v>22.899605702153501</v>
      </c>
      <c r="O9" s="13">
        <v>23.872519542994599</v>
      </c>
      <c r="P9" s="13">
        <v>25.544670273431802</v>
      </c>
      <c r="Q9" s="13">
        <v>28.173628173628199</v>
      </c>
      <c r="R9" s="13">
        <v>25.951903807615199</v>
      </c>
      <c r="S9" s="13">
        <v>26.162538026944802</v>
      </c>
      <c r="T9" s="13">
        <v>37.9697413372377</v>
      </c>
      <c r="U9" s="13">
        <v>42.9703236202498</v>
      </c>
      <c r="V9" s="13">
        <v>38.578922269909398</v>
      </c>
      <c r="W9" s="13">
        <v>38.9274373750441</v>
      </c>
      <c r="X9" s="13">
        <v>34.2504952674444</v>
      </c>
      <c r="Y9" s="16">
        <v>38.469363331737704</v>
      </c>
      <c r="Z9" s="13"/>
      <c r="AA9" s="13"/>
    </row>
    <row r="10" spans="1:27" x14ac:dyDescent="0.25">
      <c r="A10" s="10" t="s">
        <v>314</v>
      </c>
      <c r="B10" s="10" t="s">
        <v>315</v>
      </c>
      <c r="C10" s="13">
        <v>18.05821858114</v>
      </c>
      <c r="D10" s="13">
        <v>20.2194610295304</v>
      </c>
      <c r="E10" s="13">
        <v>24.557701671806502</v>
      </c>
      <c r="F10" s="13">
        <v>23.9767966484048</v>
      </c>
      <c r="G10" s="13">
        <v>24.3032850692823</v>
      </c>
      <c r="H10" s="13">
        <v>24.072957491709399</v>
      </c>
      <c r="I10" s="13">
        <v>25.2499576342993</v>
      </c>
      <c r="J10" s="13">
        <v>25.0842782715293</v>
      </c>
      <c r="K10" s="13">
        <v>23.993438711601499</v>
      </c>
      <c r="L10" s="13">
        <v>25.094945953841702</v>
      </c>
      <c r="M10" s="13">
        <v>25.0240461686438</v>
      </c>
      <c r="N10" s="13">
        <v>22.899605702153501</v>
      </c>
      <c r="O10" s="13">
        <v>23.872519542994599</v>
      </c>
      <c r="P10" s="13">
        <v>25.544670273431802</v>
      </c>
      <c r="Q10" s="13">
        <v>28.173628173628199</v>
      </c>
      <c r="R10" s="13">
        <v>25.951903807615199</v>
      </c>
      <c r="S10" s="13">
        <v>26.162538026944802</v>
      </c>
      <c r="T10" s="13">
        <v>37.9697413372377</v>
      </c>
      <c r="U10" s="13">
        <v>42.9703236202498</v>
      </c>
      <c r="V10" s="13">
        <v>38.578922269909398</v>
      </c>
      <c r="W10" s="13">
        <v>38.9274373750441</v>
      </c>
      <c r="X10" s="13">
        <v>34.2504952674444</v>
      </c>
      <c r="Y10" s="16">
        <v>38.469363331737704</v>
      </c>
      <c r="Z10" s="13"/>
      <c r="AA10" s="13"/>
    </row>
    <row r="11" spans="1:27" x14ac:dyDescent="0.25">
      <c r="A11" s="6" t="s">
        <v>2</v>
      </c>
      <c r="B11" s="6" t="s">
        <v>75</v>
      </c>
      <c r="C11" s="19">
        <v>81.941781418860003</v>
      </c>
      <c r="D11" s="19">
        <v>79.780538970469607</v>
      </c>
      <c r="E11" s="19">
        <v>75.442298328193502</v>
      </c>
      <c r="F11" s="19">
        <v>76.0232033515952</v>
      </c>
      <c r="G11" s="19">
        <v>75.696714930717704</v>
      </c>
      <c r="H11" s="19">
        <v>75.927042508290597</v>
      </c>
      <c r="I11" s="19">
        <v>74.750042365700693</v>
      </c>
      <c r="J11" s="19">
        <v>74.9157217284707</v>
      </c>
      <c r="K11" s="19">
        <v>76.006561288398402</v>
      </c>
      <c r="L11" s="19">
        <v>74.905054046158298</v>
      </c>
      <c r="M11" s="19">
        <v>74.975953831356193</v>
      </c>
      <c r="N11" s="19">
        <v>77.100394297846506</v>
      </c>
      <c r="O11" s="19">
        <v>76.127480457005404</v>
      </c>
      <c r="P11" s="19">
        <v>74.455329726568195</v>
      </c>
      <c r="Q11" s="19">
        <v>71.826371826371798</v>
      </c>
      <c r="R11" s="19">
        <v>74.048096192384804</v>
      </c>
      <c r="S11" s="19">
        <v>73.837461973055198</v>
      </c>
      <c r="T11" s="19">
        <v>62.0302586627623</v>
      </c>
      <c r="U11" s="19">
        <v>57.0296763797502</v>
      </c>
      <c r="V11" s="19">
        <v>61.421077730090602</v>
      </c>
      <c r="W11" s="19">
        <v>61.0725626249559</v>
      </c>
      <c r="X11" s="19">
        <v>65.749504732555593</v>
      </c>
      <c r="Y11" s="22">
        <v>61.530636668262296</v>
      </c>
      <c r="Z11" s="19">
        <v>81.783000000000001</v>
      </c>
      <c r="AA11" s="19">
        <v>82.64</v>
      </c>
    </row>
    <row r="12" spans="1:27" x14ac:dyDescent="0.25">
      <c r="A12" s="10" t="s">
        <v>316</v>
      </c>
      <c r="B12" s="10" t="s">
        <v>317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6">
        <v>0</v>
      </c>
      <c r="Z12" s="13"/>
      <c r="AA12" s="13"/>
    </row>
    <row r="13" spans="1:27" x14ac:dyDescent="0.25">
      <c r="A13" s="10" t="s">
        <v>318</v>
      </c>
      <c r="B13" s="10" t="s">
        <v>319</v>
      </c>
      <c r="C13" s="13">
        <v>38.7833362384522</v>
      </c>
      <c r="D13" s="13">
        <v>46.732289817653701</v>
      </c>
      <c r="E13" s="13">
        <v>37.217984093491303</v>
      </c>
      <c r="F13" s="13">
        <v>38.591685465678403</v>
      </c>
      <c r="G13" s="13">
        <v>37.505838393274203</v>
      </c>
      <c r="H13" s="13">
        <v>45.658727766053701</v>
      </c>
      <c r="I13" s="13">
        <v>38.671411625148302</v>
      </c>
      <c r="J13" s="13">
        <v>62.228011032791898</v>
      </c>
      <c r="K13" s="13">
        <v>40.545779898598298</v>
      </c>
      <c r="L13" s="13">
        <v>41.250365176745497</v>
      </c>
      <c r="M13" s="13">
        <v>34.899006091696101</v>
      </c>
      <c r="N13" s="13">
        <v>44.100697603882303</v>
      </c>
      <c r="O13" s="13">
        <v>36.139506915213502</v>
      </c>
      <c r="P13" s="13">
        <v>41.848223424477297</v>
      </c>
      <c r="Q13" s="13">
        <v>40.360360360360403</v>
      </c>
      <c r="R13" s="13">
        <v>35.628399656455798</v>
      </c>
      <c r="S13" s="13">
        <v>44.560336085759801</v>
      </c>
      <c r="T13" s="13">
        <v>46.522693997071698</v>
      </c>
      <c r="U13" s="13">
        <v>43.722304283604103</v>
      </c>
      <c r="V13" s="13">
        <v>38.662374821173103</v>
      </c>
      <c r="W13" s="13">
        <v>36.998706338939201</v>
      </c>
      <c r="X13" s="13">
        <v>40.314769975786902</v>
      </c>
      <c r="Y13" s="16">
        <v>39.815701292484398</v>
      </c>
      <c r="Z13" s="13"/>
      <c r="AA13" s="13"/>
    </row>
    <row r="14" spans="1:27" x14ac:dyDescent="0.25">
      <c r="A14" s="10" t="s">
        <v>320</v>
      </c>
      <c r="B14" s="10" t="s">
        <v>321</v>
      </c>
      <c r="C14" s="13">
        <v>21.317761896461601</v>
      </c>
      <c r="D14" s="13">
        <v>24.415039535259002</v>
      </c>
      <c r="E14" s="13">
        <v>21.3601688037656</v>
      </c>
      <c r="F14" s="13">
        <v>20.866902997099601</v>
      </c>
      <c r="G14" s="13">
        <v>20.9559395920909</v>
      </c>
      <c r="H14" s="13">
        <v>26.725957190232101</v>
      </c>
      <c r="I14" s="13">
        <v>21.250635485510902</v>
      </c>
      <c r="J14" s="13">
        <v>21.207477781183002</v>
      </c>
      <c r="K14" s="13">
        <v>19.460184909036698</v>
      </c>
      <c r="L14" s="13">
        <v>20.815074496056098</v>
      </c>
      <c r="M14" s="13">
        <v>19.685796729721101</v>
      </c>
      <c r="N14" s="13">
        <v>20.124355474673902</v>
      </c>
      <c r="O14" s="13">
        <v>19.347564642212902</v>
      </c>
      <c r="P14" s="13">
        <v>22.9858166398596</v>
      </c>
      <c r="Q14" s="13">
        <v>20.606060606060598</v>
      </c>
      <c r="R14" s="13">
        <v>18.522759805324899</v>
      </c>
      <c r="S14" s="13">
        <v>19.600173837461998</v>
      </c>
      <c r="T14" s="13">
        <v>27.745241581259201</v>
      </c>
      <c r="U14" s="13">
        <v>24.278232845441099</v>
      </c>
      <c r="V14" s="13">
        <v>21.280400572246101</v>
      </c>
      <c r="W14" s="13">
        <v>19.110902034576</v>
      </c>
      <c r="X14" s="13">
        <v>20.6691613471274</v>
      </c>
      <c r="Y14" s="16">
        <v>21.230253709909</v>
      </c>
      <c r="Z14" s="13"/>
      <c r="AA14" s="13"/>
    </row>
    <row r="15" spans="1:27" x14ac:dyDescent="0.25">
      <c r="A15" s="10" t="s">
        <v>322</v>
      </c>
      <c r="B15" s="10" t="s">
        <v>407</v>
      </c>
      <c r="C15" s="13">
        <v>17.448143629074401</v>
      </c>
      <c r="D15" s="13">
        <v>21.171534613522699</v>
      </c>
      <c r="E15" s="13">
        <v>15.452037006979401</v>
      </c>
      <c r="F15" s="13">
        <v>15.5333548179181</v>
      </c>
      <c r="G15" s="13">
        <v>16.534329752452098</v>
      </c>
      <c r="H15" s="13">
        <v>18.525776303889099</v>
      </c>
      <c r="I15" s="13">
        <v>16.3870530418573</v>
      </c>
      <c r="J15" s="13">
        <v>16.579834508121401</v>
      </c>
      <c r="K15" s="13">
        <v>21.204891142260699</v>
      </c>
      <c r="L15" s="13">
        <v>19.690330119778</v>
      </c>
      <c r="M15" s="13">
        <v>15.3735171529336</v>
      </c>
      <c r="N15" s="13">
        <v>15.7567485592963</v>
      </c>
      <c r="O15" s="13">
        <v>16.716776909200199</v>
      </c>
      <c r="P15" s="13">
        <v>19.359555490568798</v>
      </c>
      <c r="Q15" s="13">
        <v>17.330057330057301</v>
      </c>
      <c r="R15" s="13">
        <v>15.9318637274549</v>
      </c>
      <c r="S15" s="13">
        <v>15.630885122410501</v>
      </c>
      <c r="T15" s="13">
        <v>18.7164470473402</v>
      </c>
      <c r="U15" s="13">
        <v>18.034107694373599</v>
      </c>
      <c r="V15" s="13">
        <v>17.250834525512602</v>
      </c>
      <c r="W15" s="13">
        <v>17.052804892390899</v>
      </c>
      <c r="X15" s="13">
        <v>18.974246092890201</v>
      </c>
      <c r="Y15" s="16">
        <v>17.843465773097201</v>
      </c>
      <c r="Z15" s="13"/>
      <c r="AA15" s="13"/>
    </row>
    <row r="16" spans="1:27" x14ac:dyDescent="0.25">
      <c r="A16" s="10" t="s">
        <v>324</v>
      </c>
      <c r="B16" s="10" t="s">
        <v>408</v>
      </c>
      <c r="C16" s="13">
        <v>1.74307129161583E-2</v>
      </c>
      <c r="D16" s="13">
        <v>1.14571566887203</v>
      </c>
      <c r="E16" s="13">
        <v>0.40577828274630701</v>
      </c>
      <c r="F16" s="13">
        <v>2.1914276506606498</v>
      </c>
      <c r="G16" s="13">
        <v>1.55690487311225E-2</v>
      </c>
      <c r="H16" s="13">
        <v>0.40699427193246901</v>
      </c>
      <c r="I16" s="13">
        <v>1.03372309778004</v>
      </c>
      <c r="J16" s="13">
        <v>24.440698743487602</v>
      </c>
      <c r="K16" s="13">
        <v>-0.11929615269907499</v>
      </c>
      <c r="L16" s="13">
        <v>0.744960560911481</v>
      </c>
      <c r="M16" s="13">
        <v>-0.16030779095864101</v>
      </c>
      <c r="N16" s="13">
        <v>8.2195935699120408</v>
      </c>
      <c r="O16" s="13">
        <v>7.5165363800360804E-2</v>
      </c>
      <c r="P16" s="13">
        <v>-0.49714870595116301</v>
      </c>
      <c r="Q16" s="13">
        <v>2.4242424242424199</v>
      </c>
      <c r="R16" s="13">
        <v>1.1737761236759201</v>
      </c>
      <c r="S16" s="13">
        <v>9.3292771258872893</v>
      </c>
      <c r="T16" s="13">
        <v>6.1005368472425603E-2</v>
      </c>
      <c r="U16" s="13">
        <v>1.4099637437894501</v>
      </c>
      <c r="V16" s="13">
        <v>0.131139723414402</v>
      </c>
      <c r="W16" s="13">
        <v>0.83499941197224503</v>
      </c>
      <c r="X16" s="13">
        <v>0.67136253576931504</v>
      </c>
      <c r="Y16" s="16">
        <v>0.74198180947821901</v>
      </c>
      <c r="Z16" s="13"/>
      <c r="AA16" s="13"/>
    </row>
    <row r="17" spans="1:27" x14ac:dyDescent="0.25">
      <c r="A17" s="6" t="s">
        <v>326</v>
      </c>
      <c r="B17" s="6" t="s">
        <v>99</v>
      </c>
      <c r="C17" s="19">
        <v>43.158445180407902</v>
      </c>
      <c r="D17" s="19">
        <v>33.048249152815899</v>
      </c>
      <c r="E17" s="19">
        <v>38.224314234702199</v>
      </c>
      <c r="F17" s="19">
        <v>37.431517885916897</v>
      </c>
      <c r="G17" s="19">
        <v>38.1908765374436</v>
      </c>
      <c r="H17" s="19">
        <v>30.268314742236999</v>
      </c>
      <c r="I17" s="19">
        <v>36.078630740552398</v>
      </c>
      <c r="J17" s="19">
        <v>12.687710695678801</v>
      </c>
      <c r="K17" s="19">
        <v>35.460781389800196</v>
      </c>
      <c r="L17" s="19">
        <v>33.654688869412801</v>
      </c>
      <c r="M17" s="19">
        <v>40.076947739660099</v>
      </c>
      <c r="N17" s="19">
        <v>32.999696693964196</v>
      </c>
      <c r="O17" s="19">
        <v>39.987973541791902</v>
      </c>
      <c r="P17" s="19">
        <v>32.607106302090898</v>
      </c>
      <c r="Q17" s="19">
        <v>31.466011466011501</v>
      </c>
      <c r="R17" s="19">
        <v>38.419696535928999</v>
      </c>
      <c r="S17" s="19">
        <v>29.277125887295401</v>
      </c>
      <c r="T17" s="19">
        <v>15.5075646656906</v>
      </c>
      <c r="U17" s="19">
        <v>13.3073720961461</v>
      </c>
      <c r="V17" s="19">
        <v>22.758702908917499</v>
      </c>
      <c r="W17" s="19">
        <v>24.073856286016699</v>
      </c>
      <c r="X17" s="19">
        <v>25.434734756768702</v>
      </c>
      <c r="Y17" s="22">
        <v>21.714935375777898</v>
      </c>
      <c r="Z17" s="19">
        <v>41.230238320656802</v>
      </c>
      <c r="AA17" s="19">
        <v>44.9401195578615</v>
      </c>
    </row>
    <row r="18" spans="1:27" x14ac:dyDescent="0.25">
      <c r="A18" s="10" t="s">
        <v>327</v>
      </c>
      <c r="B18" s="10" t="s">
        <v>409</v>
      </c>
      <c r="C18" s="13">
        <v>3.4687118703155</v>
      </c>
      <c r="D18" s="13">
        <v>1.0488946264321399</v>
      </c>
      <c r="E18" s="13">
        <v>5.4374289888005203</v>
      </c>
      <c r="F18" s="13">
        <v>4.7212375120850796</v>
      </c>
      <c r="G18" s="13">
        <v>3.8455550365872599</v>
      </c>
      <c r="H18" s="13">
        <v>1.9746759119686501</v>
      </c>
      <c r="I18" s="13">
        <v>4.60938823928148</v>
      </c>
      <c r="J18" s="13">
        <v>4.1372969659822196</v>
      </c>
      <c r="K18" s="13">
        <v>3.3253802564867301</v>
      </c>
      <c r="L18" s="13">
        <v>2.5270230791703199</v>
      </c>
      <c r="M18" s="13">
        <v>13.2253927540878</v>
      </c>
      <c r="N18" s="13">
        <v>9.78161965423112</v>
      </c>
      <c r="O18" s="13">
        <v>4.02886349969934</v>
      </c>
      <c r="P18" s="13">
        <v>7.04781400789589</v>
      </c>
      <c r="Q18" s="13">
        <v>-24.914004914004899</v>
      </c>
      <c r="R18" s="13">
        <v>15.3163469796736</v>
      </c>
      <c r="S18" s="13">
        <v>1.07199768216717</v>
      </c>
      <c r="T18" s="13">
        <v>5.1122498779892602</v>
      </c>
      <c r="U18" s="13">
        <v>14.2204914730764</v>
      </c>
      <c r="V18" s="13">
        <v>13.2927992370052</v>
      </c>
      <c r="W18" s="13">
        <v>-12.395625073503499</v>
      </c>
      <c r="X18" s="13">
        <v>16.828087167070201</v>
      </c>
      <c r="Y18" s="16">
        <v>7.9254427955959796</v>
      </c>
      <c r="Z18" s="13"/>
      <c r="AA18" s="13"/>
    </row>
    <row r="19" spans="1:27" x14ac:dyDescent="0.25">
      <c r="A19" s="10" t="s">
        <v>329</v>
      </c>
      <c r="B19" s="10" t="s">
        <v>330</v>
      </c>
      <c r="C19" s="13">
        <v>5.45581314275754</v>
      </c>
      <c r="D19" s="13">
        <v>4.8571889624011604</v>
      </c>
      <c r="E19" s="13">
        <v>5.6159714332088901</v>
      </c>
      <c r="F19" s="13">
        <v>4.7695778279084804</v>
      </c>
      <c r="G19" s="13">
        <v>4.7018527167990003</v>
      </c>
      <c r="H19" s="13">
        <v>4.7934880916490803</v>
      </c>
      <c r="I19" s="13">
        <v>4.82968988307067</v>
      </c>
      <c r="J19" s="13">
        <v>4.3058535090407597</v>
      </c>
      <c r="K19" s="13">
        <v>4.4139576498657904</v>
      </c>
      <c r="L19" s="13">
        <v>4.8933683903009104</v>
      </c>
      <c r="M19" s="13">
        <v>4.7290798332798998</v>
      </c>
      <c r="N19" s="13">
        <v>4.9742189869578404</v>
      </c>
      <c r="O19" s="13">
        <v>5.5321707757065504</v>
      </c>
      <c r="P19" s="13">
        <v>6.0681386167568396</v>
      </c>
      <c r="Q19" s="13">
        <v>8.8943488943488909</v>
      </c>
      <c r="R19" s="13">
        <v>10.7643859146865</v>
      </c>
      <c r="S19" s="13">
        <v>10.9952194697957</v>
      </c>
      <c r="T19" s="13">
        <v>10.0170815031723</v>
      </c>
      <c r="U19" s="13">
        <v>11.0648583322143</v>
      </c>
      <c r="V19" s="13">
        <v>9.6328087744396793</v>
      </c>
      <c r="W19" s="13">
        <v>9.1261907562036892</v>
      </c>
      <c r="X19" s="13">
        <v>8.2214395773717808</v>
      </c>
      <c r="Y19" s="16">
        <v>9.4393250359023497</v>
      </c>
      <c r="Z19" s="13"/>
      <c r="AA19" s="13"/>
    </row>
    <row r="20" spans="1:27" x14ac:dyDescent="0.25">
      <c r="A20" s="11" t="s">
        <v>331</v>
      </c>
      <c r="B20" s="11" t="s">
        <v>332</v>
      </c>
      <c r="C20" s="25">
        <v>5.45581314275754</v>
      </c>
      <c r="D20" s="25">
        <v>4.8571889624011604</v>
      </c>
      <c r="E20" s="25">
        <v>5.6159714332088901</v>
      </c>
      <c r="F20" s="25">
        <v>4.7695778279084804</v>
      </c>
      <c r="G20" s="25">
        <v>4.7018527167990003</v>
      </c>
      <c r="H20" s="25">
        <v>4.7934880916490803</v>
      </c>
      <c r="I20" s="25">
        <v>4.82968988307067</v>
      </c>
      <c r="J20" s="25">
        <v>4.3058535090407597</v>
      </c>
      <c r="K20" s="25">
        <v>4.4139576498657904</v>
      </c>
      <c r="L20" s="25">
        <v>4.8933683903009104</v>
      </c>
      <c r="M20" s="25">
        <v>4.7290798332798998</v>
      </c>
      <c r="N20" s="25">
        <v>4.9742189869578404</v>
      </c>
      <c r="O20" s="25">
        <v>5.5321707757065504</v>
      </c>
      <c r="P20" s="25">
        <v>6.0681386167568396</v>
      </c>
      <c r="Q20" s="25">
        <v>8.8943488943488909</v>
      </c>
      <c r="R20" s="25">
        <v>10.7643859146865</v>
      </c>
      <c r="S20" s="25">
        <v>10.9952194697957</v>
      </c>
      <c r="T20" s="25">
        <v>10.0170815031723</v>
      </c>
      <c r="U20" s="25">
        <v>11.0648583322143</v>
      </c>
      <c r="V20" s="25">
        <v>9.6328087744396793</v>
      </c>
      <c r="W20" s="25">
        <v>9.1261907562036892</v>
      </c>
      <c r="X20" s="25">
        <v>8.2214395773717808</v>
      </c>
      <c r="Y20" s="28">
        <v>9.4393250359023497</v>
      </c>
      <c r="Z20" s="25"/>
      <c r="AA20" s="25"/>
    </row>
    <row r="21" spans="1:27" x14ac:dyDescent="0.25">
      <c r="A21" s="11" t="s">
        <v>333</v>
      </c>
      <c r="B21" s="11" t="s">
        <v>334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8">
        <v>0</v>
      </c>
      <c r="Z21" s="25"/>
      <c r="AA21" s="25"/>
    </row>
    <row r="22" spans="1:27" x14ac:dyDescent="0.25">
      <c r="A22" s="10" t="s">
        <v>335</v>
      </c>
      <c r="B22" s="10" t="s">
        <v>410</v>
      </c>
      <c r="C22" s="13">
        <v>-1.98710127244204</v>
      </c>
      <c r="D22" s="13">
        <v>-3.8082943359690198</v>
      </c>
      <c r="E22" s="13">
        <v>-0.178542444408375</v>
      </c>
      <c r="F22" s="13">
        <v>-4.83403158233967E-2</v>
      </c>
      <c r="G22" s="13">
        <v>-0.85629768021173902</v>
      </c>
      <c r="H22" s="13">
        <v>-2.81881217968043</v>
      </c>
      <c r="I22" s="13">
        <v>-0.22030164378918801</v>
      </c>
      <c r="J22" s="13">
        <v>-0.16855654305853501</v>
      </c>
      <c r="K22" s="13">
        <v>-1.0885773933790599</v>
      </c>
      <c r="L22" s="13">
        <v>-2.3663453111305901</v>
      </c>
      <c r="M22" s="13">
        <v>8.4963129208079504</v>
      </c>
      <c r="N22" s="13">
        <v>4.8074006672732796</v>
      </c>
      <c r="O22" s="13">
        <v>-1.5033072760072199</v>
      </c>
      <c r="P22" s="13">
        <v>0.979675391139055</v>
      </c>
      <c r="Q22" s="13">
        <v>-33.8083538083538</v>
      </c>
      <c r="R22" s="13">
        <v>4.5519610649871201</v>
      </c>
      <c r="S22" s="13">
        <v>-9.9232217876285702</v>
      </c>
      <c r="T22" s="13">
        <v>-4.9048316251830197</v>
      </c>
      <c r="U22" s="13">
        <v>3.1556331408620899</v>
      </c>
      <c r="V22" s="13">
        <v>3.6599904625655699</v>
      </c>
      <c r="W22" s="13">
        <v>-21.521815829707201</v>
      </c>
      <c r="X22" s="13">
        <v>8.60664758969844</v>
      </c>
      <c r="Y22" s="16">
        <v>-1.5138822403063701</v>
      </c>
      <c r="Z22" s="13"/>
      <c r="AA22" s="13"/>
    </row>
    <row r="23" spans="1:27" x14ac:dyDescent="0.25">
      <c r="A23" s="6" t="s">
        <v>411</v>
      </c>
      <c r="B23" s="6" t="s">
        <v>158</v>
      </c>
      <c r="C23" s="19">
        <v>39.6897333100924</v>
      </c>
      <c r="D23" s="19">
        <v>31.999354526383701</v>
      </c>
      <c r="E23" s="19">
        <v>32.786885245901601</v>
      </c>
      <c r="F23" s="19">
        <v>32.7102803738318</v>
      </c>
      <c r="G23" s="19">
        <v>34.345321500856301</v>
      </c>
      <c r="H23" s="19">
        <v>28.2936388302683</v>
      </c>
      <c r="I23" s="19">
        <v>31.469242501271001</v>
      </c>
      <c r="J23" s="19">
        <v>8.5504137296966007</v>
      </c>
      <c r="K23" s="19">
        <v>32.135401133313501</v>
      </c>
      <c r="L23" s="19">
        <v>31.127665790242499</v>
      </c>
      <c r="M23" s="19">
        <v>26.851554985572299</v>
      </c>
      <c r="N23" s="19">
        <v>23.2180770397331</v>
      </c>
      <c r="O23" s="19">
        <v>35.959110042092597</v>
      </c>
      <c r="P23" s="19">
        <v>25.5592922941951</v>
      </c>
      <c r="Q23" s="19">
        <v>56.3800163800164</v>
      </c>
      <c r="R23" s="19">
        <v>23.103349556255399</v>
      </c>
      <c r="S23" s="19">
        <v>28.205128205128201</v>
      </c>
      <c r="T23" s="19">
        <v>10.395314787701301</v>
      </c>
      <c r="U23" s="19">
        <v>-0.91311937693030798</v>
      </c>
      <c r="V23" s="19">
        <v>9.4659036719122494</v>
      </c>
      <c r="W23" s="19">
        <v>36.469481359520202</v>
      </c>
      <c r="X23" s="19">
        <v>8.60664758969844</v>
      </c>
      <c r="Y23" s="22">
        <v>13.7894925801819</v>
      </c>
      <c r="Z23" s="19">
        <v>33.771196255897699</v>
      </c>
      <c r="AA23" s="19">
        <v>38.168824723663398</v>
      </c>
    </row>
    <row r="24" spans="1:27" x14ac:dyDescent="0.25">
      <c r="A24" s="10" t="s">
        <v>357</v>
      </c>
      <c r="B24" s="10" t="s">
        <v>358</v>
      </c>
      <c r="C24" s="13">
        <v>5.38609029109291</v>
      </c>
      <c r="D24" s="13">
        <v>4.5183153138615504</v>
      </c>
      <c r="E24" s="13">
        <v>3.1650706054211999</v>
      </c>
      <c r="F24" s="13">
        <v>3.65775056397035</v>
      </c>
      <c r="G24" s="13">
        <v>2.8802740152576698</v>
      </c>
      <c r="H24" s="13">
        <v>3.94935182393729</v>
      </c>
      <c r="I24" s="13">
        <v>3.5756651415014402</v>
      </c>
      <c r="J24" s="13">
        <v>1.4403922770456601</v>
      </c>
      <c r="K24" s="13">
        <v>4.0411571726811797</v>
      </c>
      <c r="L24" s="13">
        <v>3.3888401986561498</v>
      </c>
      <c r="M24" s="13">
        <v>3.1901250400769499</v>
      </c>
      <c r="N24" s="13">
        <v>3.2453745829542</v>
      </c>
      <c r="O24" s="13">
        <v>3.7432351172579699</v>
      </c>
      <c r="P24" s="13">
        <v>1.93010674075157</v>
      </c>
      <c r="Q24" s="13">
        <v>9.8443898443898394</v>
      </c>
      <c r="R24" s="13">
        <v>3.3638705983395401</v>
      </c>
      <c r="S24" s="13">
        <v>3.14356077067941</v>
      </c>
      <c r="T24" s="13">
        <v>1.03709126403123</v>
      </c>
      <c r="U24" s="13">
        <v>0.60427017590976195</v>
      </c>
      <c r="V24" s="13">
        <v>0.57224606580829795</v>
      </c>
      <c r="W24" s="13">
        <v>3.18711043161237</v>
      </c>
      <c r="X24" s="13">
        <v>1.70592119744662</v>
      </c>
      <c r="Y24" s="16">
        <v>1.55277644806127</v>
      </c>
      <c r="Z24" s="13"/>
      <c r="AA24" s="13"/>
    </row>
    <row r="25" spans="1:27" x14ac:dyDescent="0.25">
      <c r="A25" s="6" t="s">
        <v>359</v>
      </c>
      <c r="B25" s="6" t="s">
        <v>360</v>
      </c>
      <c r="C25" s="19">
        <v>34.303643018999502</v>
      </c>
      <c r="D25" s="19">
        <v>27.481039212522202</v>
      </c>
      <c r="E25" s="19">
        <v>29.621814640480402</v>
      </c>
      <c r="F25" s="19">
        <v>29.052529809861401</v>
      </c>
      <c r="G25" s="19">
        <v>31.4650474855986</v>
      </c>
      <c r="H25" s="19">
        <v>24.344287006331001</v>
      </c>
      <c r="I25" s="19">
        <v>27.893577359769498</v>
      </c>
      <c r="J25" s="19">
        <v>7.1100214526509298</v>
      </c>
      <c r="K25" s="19">
        <v>28.094243960632301</v>
      </c>
      <c r="L25" s="19">
        <v>27.738825591586298</v>
      </c>
      <c r="M25" s="19">
        <v>23.661429945495399</v>
      </c>
      <c r="N25" s="19">
        <v>19.972702456778901</v>
      </c>
      <c r="O25" s="19">
        <v>32.215874924834601</v>
      </c>
      <c r="P25" s="19">
        <v>23.629185553443499</v>
      </c>
      <c r="Q25" s="19">
        <v>46.535626535626498</v>
      </c>
      <c r="R25" s="19">
        <v>19.7394789579158</v>
      </c>
      <c r="S25" s="19">
        <v>25.061567434448801</v>
      </c>
      <c r="T25" s="19">
        <v>9.3582235236700804</v>
      </c>
      <c r="U25" s="19">
        <v>-1.51738955284007</v>
      </c>
      <c r="V25" s="19">
        <v>8.8936576061039592</v>
      </c>
      <c r="W25" s="19">
        <v>33.282370927907799</v>
      </c>
      <c r="X25" s="19">
        <v>6.9007263922518201</v>
      </c>
      <c r="Y25" s="22">
        <v>12.2367161321206</v>
      </c>
      <c r="Z25" s="19">
        <v>15.2832659712368</v>
      </c>
      <c r="AA25" s="19">
        <v>20.461797879539802</v>
      </c>
    </row>
    <row r="26" spans="1:27" x14ac:dyDescent="0.25">
      <c r="A26" s="10" t="s">
        <v>361</v>
      </c>
      <c r="B26" s="10" t="s">
        <v>362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6">
        <v>0</v>
      </c>
      <c r="Z26" s="13"/>
      <c r="AA26" s="13"/>
    </row>
    <row r="27" spans="1:27" x14ac:dyDescent="0.25">
      <c r="A27" s="10" t="s">
        <v>363</v>
      </c>
      <c r="B27" s="10" t="s">
        <v>364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6">
        <v>0</v>
      </c>
      <c r="Z27" s="13"/>
      <c r="AA27" s="13"/>
    </row>
    <row r="28" spans="1:27" x14ac:dyDescent="0.25">
      <c r="A28" s="10" t="s">
        <v>365</v>
      </c>
      <c r="B28" s="10" t="s">
        <v>366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6">
        <v>0</v>
      </c>
      <c r="Z28" s="13"/>
      <c r="AA28" s="13"/>
    </row>
    <row r="29" spans="1:27" x14ac:dyDescent="0.25">
      <c r="A29" s="6" t="s">
        <v>367</v>
      </c>
      <c r="B29" s="6" t="s">
        <v>368</v>
      </c>
      <c r="C29" s="19">
        <v>34.303643018999502</v>
      </c>
      <c r="D29" s="19">
        <v>27.481039212522202</v>
      </c>
      <c r="E29" s="19">
        <v>29.621814640480402</v>
      </c>
      <c r="F29" s="19">
        <v>29.052529809861401</v>
      </c>
      <c r="G29" s="19">
        <v>31.4650474855986</v>
      </c>
      <c r="H29" s="19">
        <v>24.344287006331001</v>
      </c>
      <c r="I29" s="19">
        <v>27.893577359769498</v>
      </c>
      <c r="J29" s="19">
        <v>7.1100214526509298</v>
      </c>
      <c r="K29" s="19">
        <v>28.094243960632301</v>
      </c>
      <c r="L29" s="19">
        <v>27.738825591586298</v>
      </c>
      <c r="M29" s="19">
        <v>23.661429945495399</v>
      </c>
      <c r="N29" s="19">
        <v>19.972702456778901</v>
      </c>
      <c r="O29" s="19">
        <v>32.215874924834601</v>
      </c>
      <c r="P29" s="19">
        <v>23.629185553443499</v>
      </c>
      <c r="Q29" s="19">
        <v>46.535626535626498</v>
      </c>
      <c r="R29" s="19">
        <v>19.7394789579158</v>
      </c>
      <c r="S29" s="19">
        <v>25.061567434448801</v>
      </c>
      <c r="T29" s="19">
        <v>9.3582235236700804</v>
      </c>
      <c r="U29" s="19">
        <v>-1.51738955284007</v>
      </c>
      <c r="V29" s="19">
        <v>8.8936576061039592</v>
      </c>
      <c r="W29" s="19">
        <v>33.282370927907799</v>
      </c>
      <c r="X29" s="19">
        <v>6.9007263922518201</v>
      </c>
      <c r="Y29" s="22">
        <v>12.2367161321206</v>
      </c>
      <c r="Z29" s="19"/>
      <c r="AA29" s="19"/>
    </row>
    <row r="30" spans="1:27" x14ac:dyDescent="0.25">
      <c r="A30" s="10" t="s">
        <v>369</v>
      </c>
      <c r="B30" s="10" t="s">
        <v>370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6">
        <v>0</v>
      </c>
      <c r="Z30" s="13"/>
      <c r="AA30" s="13"/>
    </row>
    <row r="31" spans="1:27" x14ac:dyDescent="0.25">
      <c r="A31" s="6" t="s">
        <v>371</v>
      </c>
      <c r="B31" s="6" t="s">
        <v>372</v>
      </c>
      <c r="C31" s="19">
        <v>34.303643018999502</v>
      </c>
      <c r="D31" s="19">
        <v>27.481039212522202</v>
      </c>
      <c r="E31" s="19">
        <v>29.621814640480402</v>
      </c>
      <c r="F31" s="19">
        <v>29.052529809861401</v>
      </c>
      <c r="G31" s="19">
        <v>31.4650474855986</v>
      </c>
      <c r="H31" s="19">
        <v>24.344287006331001</v>
      </c>
      <c r="I31" s="19">
        <v>27.893577359769498</v>
      </c>
      <c r="J31" s="19">
        <v>7.1100214526509298</v>
      </c>
      <c r="K31" s="19">
        <v>28.094243960632301</v>
      </c>
      <c r="L31" s="19">
        <v>27.738825591586298</v>
      </c>
      <c r="M31" s="19">
        <v>23.661429945495399</v>
      </c>
      <c r="N31" s="19">
        <v>19.972702456778901</v>
      </c>
      <c r="O31" s="19">
        <v>32.215874924834601</v>
      </c>
      <c r="P31" s="19">
        <v>23.629185553443499</v>
      </c>
      <c r="Q31" s="19">
        <v>46.535626535626498</v>
      </c>
      <c r="R31" s="19">
        <v>19.7394789579158</v>
      </c>
      <c r="S31" s="19">
        <v>25.061567434448801</v>
      </c>
      <c r="T31" s="19">
        <v>9.3582235236700804</v>
      </c>
      <c r="U31" s="19">
        <v>-1.51738955284007</v>
      </c>
      <c r="V31" s="19">
        <v>8.8936576061039592</v>
      </c>
      <c r="W31" s="19">
        <v>33.282370927907799</v>
      </c>
      <c r="X31" s="19">
        <v>6.9007263922518201</v>
      </c>
      <c r="Y31" s="22">
        <v>12.2367161321206</v>
      </c>
      <c r="Z31" s="19">
        <v>15.2832659712368</v>
      </c>
      <c r="AA31" s="19">
        <v>20.461797879539802</v>
      </c>
    </row>
    <row r="32" spans="1:27" x14ac:dyDescent="0.25">
      <c r="A32" s="10" t="s">
        <v>373</v>
      </c>
      <c r="B32" s="10" t="s">
        <v>374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6">
        <v>0</v>
      </c>
      <c r="Z32" s="13"/>
      <c r="AA32" s="13"/>
    </row>
    <row r="33" spans="1:27" x14ac:dyDescent="0.25">
      <c r="A33" s="10" t="s">
        <v>375</v>
      </c>
      <c r="B33" s="10" t="s">
        <v>376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6">
        <v>0</v>
      </c>
      <c r="Z33" s="13"/>
      <c r="AA33" s="13"/>
    </row>
    <row r="34" spans="1:27" x14ac:dyDescent="0.25">
      <c r="A34" s="6" t="s">
        <v>377</v>
      </c>
      <c r="B34" s="6" t="s">
        <v>80</v>
      </c>
      <c r="C34" s="19">
        <v>34.303643018999502</v>
      </c>
      <c r="D34" s="19">
        <v>27.481039212522202</v>
      </c>
      <c r="E34" s="19">
        <v>29.621814640480402</v>
      </c>
      <c r="F34" s="19">
        <v>29.052529809861401</v>
      </c>
      <c r="G34" s="19">
        <v>31.4650474855986</v>
      </c>
      <c r="H34" s="19">
        <v>24.344287006331001</v>
      </c>
      <c r="I34" s="19">
        <v>27.893577359769498</v>
      </c>
      <c r="J34" s="19">
        <v>7.1100214526509298</v>
      </c>
      <c r="K34" s="19">
        <v>28.094243960632301</v>
      </c>
      <c r="L34" s="19">
        <v>27.738825591586298</v>
      </c>
      <c r="M34" s="19">
        <v>23.661429945495399</v>
      </c>
      <c r="N34" s="19">
        <v>19.972702456778901</v>
      </c>
      <c r="O34" s="19">
        <v>32.215874924834601</v>
      </c>
      <c r="P34" s="19">
        <v>23.629185553443499</v>
      </c>
      <c r="Q34" s="19">
        <v>46.535626535626498</v>
      </c>
      <c r="R34" s="19">
        <v>19.7394789579158</v>
      </c>
      <c r="S34" s="19">
        <v>25.061567434448801</v>
      </c>
      <c r="T34" s="19">
        <v>9.3582235236700804</v>
      </c>
      <c r="U34" s="19">
        <v>-1.51738955284007</v>
      </c>
      <c r="V34" s="19">
        <v>8.8936576061039592</v>
      </c>
      <c r="W34" s="19">
        <v>33.282370927907799</v>
      </c>
      <c r="X34" s="19">
        <v>6.9007263922518201</v>
      </c>
      <c r="Y34" s="22">
        <v>12.2367161321206</v>
      </c>
      <c r="Z34" s="19">
        <v>15.2832659712368</v>
      </c>
      <c r="AA34" s="19">
        <v>20.461797879539802</v>
      </c>
    </row>
    <row r="35" spans="1:27" x14ac:dyDescent="0.25">
      <c r="A35" s="6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21"/>
      <c r="Z35" s="18"/>
      <c r="AA35" s="18"/>
    </row>
    <row r="36" spans="1:27" x14ac:dyDescent="0.25">
      <c r="A36" s="10" t="s">
        <v>379</v>
      </c>
      <c r="B36" s="10" t="s">
        <v>380</v>
      </c>
      <c r="C36" s="13">
        <v>0.13944570332926601</v>
      </c>
      <c r="D36" s="13">
        <v>0.92605187994190796</v>
      </c>
      <c r="E36" s="13">
        <v>0.33755091705891899</v>
      </c>
      <c r="F36" s="13">
        <v>1.1687323880116001</v>
      </c>
      <c r="G36" s="13">
        <v>8.5468281955472492</v>
      </c>
      <c r="H36" s="13">
        <v>0.73959495025625599</v>
      </c>
      <c r="I36" s="13">
        <v>7.8750329774614496</v>
      </c>
      <c r="J36" s="13">
        <v>30.968460312595798</v>
      </c>
      <c r="K36" s="13">
        <v>-2.60886764091858</v>
      </c>
      <c r="L36" s="13">
        <v>-0.507573269062226</v>
      </c>
      <c r="M36" s="13">
        <v>13.2806014107086</v>
      </c>
      <c r="N36" s="13">
        <v>17.236768865635401</v>
      </c>
      <c r="O36" s="13">
        <v>-1.7375775405892999</v>
      </c>
      <c r="P36" s="13">
        <v>-1.5048820734025401</v>
      </c>
      <c r="Q36" s="13">
        <v>-13.3824733824734</v>
      </c>
      <c r="R36" s="13">
        <v>6.7698253650157501</v>
      </c>
      <c r="S36" s="13">
        <v>5.0545136752136699</v>
      </c>
      <c r="T36" s="13">
        <v>2.98153701805759</v>
      </c>
      <c r="U36" s="13">
        <v>7.3181764200349102</v>
      </c>
      <c r="V36" s="13">
        <v>5.5029594062947096</v>
      </c>
      <c r="W36" s="13">
        <v>-9.2484100670351594</v>
      </c>
      <c r="X36" s="13">
        <v>7.4863418335901404</v>
      </c>
      <c r="Y36" s="16">
        <v>2.6938413850573499</v>
      </c>
      <c r="Z36" s="13"/>
      <c r="AA36" s="13"/>
    </row>
    <row r="37" spans="1:27" x14ac:dyDescent="0.25">
      <c r="A37" s="10" t="s">
        <v>381</v>
      </c>
      <c r="B37" s="10" t="s">
        <v>362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6">
        <v>0</v>
      </c>
      <c r="Z37" s="13"/>
      <c r="AA37" s="13"/>
    </row>
    <row r="38" spans="1:27" x14ac:dyDescent="0.25">
      <c r="A38" s="6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21"/>
      <c r="Z38" s="18"/>
      <c r="AA38" s="18"/>
    </row>
    <row r="39" spans="1:27" x14ac:dyDescent="0.25">
      <c r="A39" s="10" t="s">
        <v>254</v>
      </c>
      <c r="B39" s="10" t="s">
        <v>106</v>
      </c>
      <c r="C39" s="13">
        <v>10.4409970367788</v>
      </c>
      <c r="D39" s="13">
        <v>9.5691463611424901</v>
      </c>
      <c r="E39" s="13">
        <v>9.5763674728128496</v>
      </c>
      <c r="F39" s="13">
        <v>9.4747019013857496</v>
      </c>
      <c r="G39" s="13">
        <v>9.1078935077066792</v>
      </c>
      <c r="H39" s="13">
        <v>8.7579137775098008</v>
      </c>
      <c r="I39" s="13">
        <v>9.7780037281816607</v>
      </c>
      <c r="J39" s="13">
        <v>8.7802635611400603</v>
      </c>
      <c r="K39" s="13">
        <v>8.4551148225469692</v>
      </c>
      <c r="L39" s="13">
        <v>8.2091732398480897</v>
      </c>
      <c r="M39" s="13">
        <v>8.7848669445334995</v>
      </c>
      <c r="N39" s="13">
        <v>8.1134364573855002</v>
      </c>
      <c r="O39" s="13">
        <v>8.0426939266386093</v>
      </c>
      <c r="P39" s="13">
        <v>7.8227811083491696</v>
      </c>
      <c r="Q39" s="13">
        <v>8.7469287469287504</v>
      </c>
      <c r="R39" s="13">
        <v>7.6581734898368197</v>
      </c>
      <c r="S39" s="13">
        <v>7.7502535129653802</v>
      </c>
      <c r="T39" s="13">
        <v>6.5275744265495401</v>
      </c>
      <c r="U39" s="13">
        <v>7.1975292063918399</v>
      </c>
      <c r="V39" s="13">
        <v>6.4020028612303301</v>
      </c>
      <c r="W39" s="13">
        <v>6.3154180877337396</v>
      </c>
      <c r="X39" s="13">
        <v>5.9101915034118404</v>
      </c>
      <c r="Y39" s="16">
        <v>1.6066299664911401</v>
      </c>
      <c r="Z39" s="13"/>
      <c r="AA39" s="13"/>
    </row>
    <row r="40" spans="1:27" x14ac:dyDescent="0.25">
      <c r="A40" s="6" t="s">
        <v>101</v>
      </c>
      <c r="B40" s="6" t="s">
        <v>102</v>
      </c>
      <c r="C40" s="19">
        <v>5.7347045494160698E-2</v>
      </c>
      <c r="D40" s="19">
        <v>4.63127319670808E-2</v>
      </c>
      <c r="E40" s="19">
        <v>5.0154195747443599E-2</v>
      </c>
      <c r="F40" s="19">
        <v>4.9468256525942597E-2</v>
      </c>
      <c r="G40" s="19">
        <v>5.3713218122372702E-2</v>
      </c>
      <c r="H40" s="19">
        <v>4.19053361471209E-2</v>
      </c>
      <c r="I40" s="19">
        <v>4.8296898830706703E-2</v>
      </c>
      <c r="J40" s="19">
        <v>1.24118908979467E-2</v>
      </c>
      <c r="K40" s="19">
        <v>4.9507903370116298E-2</v>
      </c>
      <c r="L40" s="19">
        <v>4.9371895997662903E-2</v>
      </c>
      <c r="M40" s="19">
        <v>4.3122795767874297E-2</v>
      </c>
      <c r="N40" s="19">
        <v>3.7306642402183801E-2</v>
      </c>
      <c r="O40" s="19">
        <v>6.0282621767889399E-2</v>
      </c>
      <c r="P40" s="19">
        <v>4.41585027050738E-2</v>
      </c>
      <c r="Q40" s="19">
        <v>8.7141687141687102E-2</v>
      </c>
      <c r="R40" s="19">
        <v>3.6931004866876602E-2</v>
      </c>
      <c r="S40" s="19">
        <v>4.6791250181080699E-2</v>
      </c>
      <c r="T40" s="19">
        <v>1.7447535383113701E-2</v>
      </c>
      <c r="U40" s="19">
        <v>-2.8199274875788899E-3</v>
      </c>
      <c r="V40" s="19">
        <v>1.6571292322365299E-2</v>
      </c>
      <c r="W40" s="19">
        <v>6.1978125367517303E-2</v>
      </c>
      <c r="X40" s="19">
        <v>1.28769535549197E-2</v>
      </c>
      <c r="Y40" s="22">
        <v>2.2797989468645301E-2</v>
      </c>
      <c r="Z40" s="19">
        <v>2.4081056116049101E-2</v>
      </c>
      <c r="AA40" s="19">
        <v>3.6431310624858999E-2</v>
      </c>
    </row>
    <row r="41" spans="1:27" x14ac:dyDescent="0.25">
      <c r="A41" s="6" t="s">
        <v>382</v>
      </c>
      <c r="B41" s="6" t="s">
        <v>261</v>
      </c>
      <c r="C41" s="19">
        <v>5.7347045494160698E-2</v>
      </c>
      <c r="D41" s="19">
        <v>4.63127319670808E-2</v>
      </c>
      <c r="E41" s="19">
        <v>5.0154195747443599E-2</v>
      </c>
      <c r="F41" s="19">
        <v>4.9468256525942597E-2</v>
      </c>
      <c r="G41" s="19">
        <v>5.3713218122372702E-2</v>
      </c>
      <c r="H41" s="19">
        <v>4.19053361471209E-2</v>
      </c>
      <c r="I41" s="19">
        <v>4.8296898830706703E-2</v>
      </c>
      <c r="J41" s="19">
        <v>1.24118908979467E-2</v>
      </c>
      <c r="K41" s="19">
        <v>4.9507903370116298E-2</v>
      </c>
      <c r="L41" s="19">
        <v>4.9371895997662903E-2</v>
      </c>
      <c r="M41" s="19">
        <v>4.3122795767874297E-2</v>
      </c>
      <c r="N41" s="19">
        <v>3.7306642402183801E-2</v>
      </c>
      <c r="O41" s="19">
        <v>6.0282621767889399E-2</v>
      </c>
      <c r="P41" s="19">
        <v>4.41585027050738E-2</v>
      </c>
      <c r="Q41" s="19">
        <v>8.7141687141687102E-2</v>
      </c>
      <c r="R41" s="19">
        <v>3.6931004866876602E-2</v>
      </c>
      <c r="S41" s="19">
        <v>4.6791250181080699E-2</v>
      </c>
      <c r="T41" s="19">
        <v>1.7447535383113701E-2</v>
      </c>
      <c r="U41" s="19">
        <v>-2.8199274875788899E-3</v>
      </c>
      <c r="V41" s="19">
        <v>1.6571292322365299E-2</v>
      </c>
      <c r="W41" s="19">
        <v>6.1978125367517303E-2</v>
      </c>
      <c r="X41" s="19">
        <v>1.28769535549197E-2</v>
      </c>
      <c r="Y41" s="22">
        <v>2.2797989468645301E-2</v>
      </c>
      <c r="Z41" s="19">
        <v>2.4081056116049101E-2</v>
      </c>
      <c r="AA41" s="19">
        <v>3.6431310624858999E-2</v>
      </c>
    </row>
    <row r="42" spans="1:27" x14ac:dyDescent="0.25">
      <c r="A42" s="6" t="s">
        <v>383</v>
      </c>
      <c r="B42" s="6" t="s">
        <v>263</v>
      </c>
      <c r="C42" s="19">
        <v>5.7500976119923303E-2</v>
      </c>
      <c r="D42" s="19">
        <v>4.7904034210101698E-2</v>
      </c>
      <c r="E42" s="19">
        <v>5.0778591137802302E-2</v>
      </c>
      <c r="F42" s="19">
        <v>5.1396696745085402E-2</v>
      </c>
      <c r="G42" s="19">
        <v>6.8396372411645701E-2</v>
      </c>
      <c r="H42" s="19">
        <v>4.3173635815495902E-2</v>
      </c>
      <c r="I42" s="19">
        <v>6.1990662599559397E-2</v>
      </c>
      <c r="J42" s="19">
        <v>6.6454596996628895E-2</v>
      </c>
      <c r="K42" s="19">
        <v>4.49477482851178E-2</v>
      </c>
      <c r="L42" s="19">
        <v>4.8454192229038899E-2</v>
      </c>
      <c r="M42" s="19">
        <v>6.7412471946136601E-2</v>
      </c>
      <c r="N42" s="19">
        <v>6.9550409463148305E-2</v>
      </c>
      <c r="O42" s="19">
        <v>5.6968776307877299E-2</v>
      </c>
      <c r="P42" s="19">
        <v>4.1353838280450403E-2</v>
      </c>
      <c r="Q42" s="19">
        <v>6.2084553644553599E-2</v>
      </c>
      <c r="R42" s="19">
        <v>4.95501002004008E-2</v>
      </c>
      <c r="S42" s="19">
        <v>5.6291742720556301E-2</v>
      </c>
      <c r="T42" s="19">
        <v>2.3064970717423101E-2</v>
      </c>
      <c r="U42" s="19">
        <v>1.08223579965087E-2</v>
      </c>
      <c r="V42" s="19">
        <v>2.68093466857415E-2</v>
      </c>
      <c r="W42" s="19">
        <v>4.4755980242267401E-2</v>
      </c>
      <c r="X42" s="19">
        <v>2.6791558441558401E-2</v>
      </c>
      <c r="Y42" s="22">
        <v>2.7808134873144999E-2</v>
      </c>
      <c r="Z42" s="19">
        <v>5.2648649707141899E-2</v>
      </c>
      <c r="AA42" s="19">
        <v>5.9812767877283998E-2</v>
      </c>
    </row>
    <row r="43" spans="1:27" x14ac:dyDescent="0.25">
      <c r="A43" s="6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21"/>
      <c r="Z43" s="18"/>
      <c r="AA43" s="18"/>
    </row>
    <row r="44" spans="1:27" x14ac:dyDescent="0.25">
      <c r="A44" s="10" t="s">
        <v>253</v>
      </c>
      <c r="B44" s="10" t="s">
        <v>108</v>
      </c>
      <c r="C44" s="13">
        <v>10.4932891755273</v>
      </c>
      <c r="D44" s="13">
        <v>9.6498305631757297</v>
      </c>
      <c r="E44" s="13">
        <v>9.6412919980522709</v>
      </c>
      <c r="F44" s="13">
        <v>9.5391556558169501</v>
      </c>
      <c r="G44" s="13">
        <v>9.1701697026311706</v>
      </c>
      <c r="H44" s="13">
        <v>8.8182092252034998</v>
      </c>
      <c r="I44" s="13">
        <v>9.8457888493475707</v>
      </c>
      <c r="J44" s="13">
        <v>8.8262335274287498</v>
      </c>
      <c r="K44" s="13">
        <v>8.4998508798091308</v>
      </c>
      <c r="L44" s="13">
        <v>8.2529944493134693</v>
      </c>
      <c r="M44" s="13">
        <v>8.8329592818211005</v>
      </c>
      <c r="N44" s="13">
        <v>8.1437670609645103</v>
      </c>
      <c r="O44" s="13">
        <v>8.0877931449188196</v>
      </c>
      <c r="P44" s="13">
        <v>7.8812691914022501</v>
      </c>
      <c r="Q44" s="13">
        <v>8.8124488124488103</v>
      </c>
      <c r="R44" s="13">
        <v>7.6868021757801301</v>
      </c>
      <c r="S44" s="13">
        <v>7.7937128784586402</v>
      </c>
      <c r="T44" s="13">
        <v>6.5885797950219596</v>
      </c>
      <c r="U44" s="13">
        <v>7.1975292063918399</v>
      </c>
      <c r="V44" s="13">
        <v>6.4496900333810201</v>
      </c>
      <c r="W44" s="13">
        <v>6.3742208632247399</v>
      </c>
      <c r="X44" s="13">
        <v>5.9652212194585097</v>
      </c>
      <c r="Y44" s="16">
        <v>1.62158927716611</v>
      </c>
      <c r="Z44" s="13"/>
      <c r="AA44" s="13"/>
    </row>
    <row r="45" spans="1:27" x14ac:dyDescent="0.25">
      <c r="A45" s="6" t="s">
        <v>103</v>
      </c>
      <c r="B45" s="6" t="s">
        <v>104</v>
      </c>
      <c r="C45" s="19">
        <v>5.6998431235837498E-2</v>
      </c>
      <c r="D45" s="19">
        <v>4.5989995158947902E-2</v>
      </c>
      <c r="E45" s="19">
        <v>4.9829573121246501E-2</v>
      </c>
      <c r="F45" s="19">
        <v>4.9145987753786702E-2</v>
      </c>
      <c r="G45" s="19">
        <v>5.3401837147750299E-2</v>
      </c>
      <c r="H45" s="19">
        <v>4.1603858908652397E-2</v>
      </c>
      <c r="I45" s="19">
        <v>4.7957973224877097E-2</v>
      </c>
      <c r="J45" s="19">
        <v>1.24118908979467E-2</v>
      </c>
      <c r="K45" s="19">
        <v>4.9358783179242499E-2</v>
      </c>
      <c r="L45" s="19">
        <v>4.9079754601227002E-2</v>
      </c>
      <c r="M45" s="19">
        <v>4.2962487976915702E-2</v>
      </c>
      <c r="N45" s="19">
        <v>3.7154989384288802E-2</v>
      </c>
      <c r="O45" s="19">
        <v>5.9831629585087198E-2</v>
      </c>
      <c r="P45" s="19">
        <v>4.3866062289808501E-2</v>
      </c>
      <c r="Q45" s="19">
        <v>8.6486486486486505E-2</v>
      </c>
      <c r="R45" s="19">
        <v>3.6787861437160001E-2</v>
      </c>
      <c r="S45" s="19">
        <v>4.6646385629436501E-2</v>
      </c>
      <c r="T45" s="19">
        <v>1.7325524646168902E-2</v>
      </c>
      <c r="U45" s="19">
        <v>-2.8199274875788899E-3</v>
      </c>
      <c r="V45" s="19">
        <v>1.6452074391988598E-2</v>
      </c>
      <c r="W45" s="19">
        <v>6.1390097612607303E-2</v>
      </c>
      <c r="X45" s="19">
        <v>1.27668941228263E-2</v>
      </c>
      <c r="Y45" s="22">
        <v>2.25885591191958E-2</v>
      </c>
      <c r="Z45" s="19">
        <v>2.4081056116049101E-2</v>
      </c>
      <c r="AA45" s="19">
        <v>3.6431310624858999E-2</v>
      </c>
    </row>
    <row r="46" spans="1:27" x14ac:dyDescent="0.25">
      <c r="A46" s="6" t="s">
        <v>384</v>
      </c>
      <c r="B46" s="6" t="s">
        <v>266</v>
      </c>
      <c r="C46" s="19">
        <v>5.6998431235837498E-2</v>
      </c>
      <c r="D46" s="19">
        <v>4.5989995158947902E-2</v>
      </c>
      <c r="E46" s="19">
        <v>4.9829573121246501E-2</v>
      </c>
      <c r="F46" s="19">
        <v>4.9145987753786702E-2</v>
      </c>
      <c r="G46" s="19">
        <v>5.3401837147750299E-2</v>
      </c>
      <c r="H46" s="19">
        <v>4.1603858908652397E-2</v>
      </c>
      <c r="I46" s="19">
        <v>4.7957973224877097E-2</v>
      </c>
      <c r="J46" s="19">
        <v>1.24118908979467E-2</v>
      </c>
      <c r="K46" s="19">
        <v>4.9358783179242499E-2</v>
      </c>
      <c r="L46" s="19">
        <v>4.9079754601227002E-2</v>
      </c>
      <c r="M46" s="19">
        <v>4.2962487976915702E-2</v>
      </c>
      <c r="N46" s="19">
        <v>3.7154989384288802E-2</v>
      </c>
      <c r="O46" s="19">
        <v>5.9831629585087198E-2</v>
      </c>
      <c r="P46" s="19">
        <v>4.3866062289808501E-2</v>
      </c>
      <c r="Q46" s="19">
        <v>8.6486486486486505E-2</v>
      </c>
      <c r="R46" s="19">
        <v>3.6787861437160001E-2</v>
      </c>
      <c r="S46" s="19">
        <v>4.6646385629436501E-2</v>
      </c>
      <c r="T46" s="19">
        <v>1.7325524646168902E-2</v>
      </c>
      <c r="U46" s="19">
        <v>-2.8199274875788899E-3</v>
      </c>
      <c r="V46" s="19">
        <v>1.6452074391988598E-2</v>
      </c>
      <c r="W46" s="19">
        <v>6.1390097612607303E-2</v>
      </c>
      <c r="X46" s="19">
        <v>1.27668941228263E-2</v>
      </c>
      <c r="Y46" s="22">
        <v>2.25885591191958E-2</v>
      </c>
      <c r="Z46" s="19">
        <v>2.4081056116049101E-2</v>
      </c>
      <c r="AA46" s="19">
        <v>3.6431310624858999E-2</v>
      </c>
    </row>
    <row r="47" spans="1:27" x14ac:dyDescent="0.25">
      <c r="A47" s="6" t="s">
        <v>385</v>
      </c>
      <c r="B47" s="6" t="s">
        <v>82</v>
      </c>
      <c r="C47" s="19">
        <v>5.7230067979780398E-2</v>
      </c>
      <c r="D47" s="19">
        <v>4.7538583185412299E-2</v>
      </c>
      <c r="E47" s="19">
        <v>5.0397841259535801E-2</v>
      </c>
      <c r="F47" s="19">
        <v>5.1120190138575598E-2</v>
      </c>
      <c r="G47" s="19">
        <v>6.7912579791374703E-2</v>
      </c>
      <c r="H47" s="19">
        <v>4.2868118782031998E-2</v>
      </c>
      <c r="I47" s="19">
        <v>6.1512252160650698E-2</v>
      </c>
      <c r="J47" s="19">
        <v>6.6176585963837006E-2</v>
      </c>
      <c r="K47" s="19">
        <v>4.4781822248732499E-2</v>
      </c>
      <c r="L47" s="19">
        <v>4.8181390593046998E-2</v>
      </c>
      <c r="M47" s="19">
        <v>6.7065213209361998E-2</v>
      </c>
      <c r="N47" s="19">
        <v>6.9253260539884703E-2</v>
      </c>
      <c r="O47" s="19">
        <v>5.6601924233313297E-2</v>
      </c>
      <c r="P47" s="19">
        <v>4.1074075157186703E-2</v>
      </c>
      <c r="Q47" s="19">
        <v>6.1612006552006597E-2</v>
      </c>
      <c r="R47" s="19">
        <v>4.9394617807042698E-2</v>
      </c>
      <c r="S47" s="19">
        <v>5.60413878024048E-2</v>
      </c>
      <c r="T47" s="19">
        <v>2.2846888726207899E-2</v>
      </c>
      <c r="U47" s="19">
        <v>1.08223579965087E-2</v>
      </c>
      <c r="V47" s="19">
        <v>2.6623903195040498E-2</v>
      </c>
      <c r="W47" s="19">
        <v>4.4326614136187201E-2</v>
      </c>
      <c r="X47" s="19">
        <v>2.6579330838652899E-2</v>
      </c>
      <c r="Y47" s="22">
        <v>2.7594674485399699E-2</v>
      </c>
      <c r="Z47" s="19">
        <v>5.2648649707141899E-2</v>
      </c>
      <c r="AA47" s="19">
        <v>5.9812767877283998E-2</v>
      </c>
    </row>
    <row r="48" spans="1:27" x14ac:dyDescent="0.25">
      <c r="A48" s="6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21"/>
      <c r="Z48" s="18"/>
      <c r="AA48" s="18"/>
    </row>
    <row r="49" spans="1:27" x14ac:dyDescent="0.25">
      <c r="A49" s="6" t="s">
        <v>4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21"/>
      <c r="Z49" s="18"/>
      <c r="AA49" s="18"/>
    </row>
    <row r="50" spans="1:27" x14ac:dyDescent="0.25">
      <c r="A50" s="10" t="s">
        <v>386</v>
      </c>
      <c r="B50" s="10" t="s">
        <v>387</v>
      </c>
      <c r="C50" s="12" t="s">
        <v>388</v>
      </c>
      <c r="D50" s="12" t="s">
        <v>388</v>
      </c>
      <c r="E50" s="12" t="s">
        <v>388</v>
      </c>
      <c r="F50" s="12" t="s">
        <v>388</v>
      </c>
      <c r="G50" s="12" t="s">
        <v>388</v>
      </c>
      <c r="H50" s="12" t="s">
        <v>388</v>
      </c>
      <c r="I50" s="12" t="s">
        <v>388</v>
      </c>
      <c r="J50" s="12" t="s">
        <v>388</v>
      </c>
      <c r="K50" s="12" t="s">
        <v>388</v>
      </c>
      <c r="L50" s="12" t="s">
        <v>388</v>
      </c>
      <c r="M50" s="12" t="s">
        <v>388</v>
      </c>
      <c r="N50" s="12" t="s">
        <v>388</v>
      </c>
      <c r="O50" s="12" t="s">
        <v>388</v>
      </c>
      <c r="P50" s="12" t="s">
        <v>388</v>
      </c>
      <c r="Q50" s="12" t="s">
        <v>388</v>
      </c>
      <c r="R50" s="12" t="s">
        <v>388</v>
      </c>
      <c r="S50" s="12" t="s">
        <v>388</v>
      </c>
      <c r="T50" s="12" t="s">
        <v>388</v>
      </c>
      <c r="U50" s="12" t="s">
        <v>388</v>
      </c>
      <c r="V50" s="12" t="s">
        <v>388</v>
      </c>
      <c r="W50" s="12" t="s">
        <v>388</v>
      </c>
      <c r="X50" s="12" t="s">
        <v>388</v>
      </c>
      <c r="Y50" s="15"/>
      <c r="Z50" s="12"/>
      <c r="AA50" s="12"/>
    </row>
    <row r="51" spans="1:27" x14ac:dyDescent="0.25">
      <c r="A51" s="10" t="s">
        <v>78</v>
      </c>
      <c r="B51" s="10" t="s">
        <v>78</v>
      </c>
      <c r="C51" s="13">
        <v>52.745337284294898</v>
      </c>
      <c r="D51" s="13">
        <v>45.134742617395503</v>
      </c>
      <c r="E51" s="13">
        <v>52.783639019639701</v>
      </c>
      <c r="F51" s="13">
        <v>52.417015791169803</v>
      </c>
      <c r="G51" s="13">
        <v>52.218589444185</v>
      </c>
      <c r="H51" s="13">
        <v>43.427796201386798</v>
      </c>
      <c r="I51" s="13">
        <v>50.330452465683798</v>
      </c>
      <c r="J51" s="13">
        <v>25.789151087955901</v>
      </c>
      <c r="K51" s="13">
        <v>48.135997614076899</v>
      </c>
      <c r="L51" s="13">
        <v>46.099912357581097</v>
      </c>
      <c r="M51" s="13">
        <v>53.558832959281801</v>
      </c>
      <c r="N51" s="13">
        <v>45.5565665756749</v>
      </c>
      <c r="O51" s="13">
        <v>52.570655441972299</v>
      </c>
      <c r="P51" s="13">
        <v>45.927767217429398</v>
      </c>
      <c r="Q51" s="13">
        <v>46.208026208026197</v>
      </c>
      <c r="R51" s="13">
        <v>51.245347838534201</v>
      </c>
      <c r="S51" s="13">
        <v>42.242503259452398</v>
      </c>
      <c r="T51" s="13">
        <v>32.345046364079998</v>
      </c>
      <c r="U51" s="13">
        <v>32.093460453874002</v>
      </c>
      <c r="V51" s="13">
        <v>39.4492131616595</v>
      </c>
      <c r="W51" s="13">
        <v>40.491591203104797</v>
      </c>
      <c r="X51" s="13">
        <v>40.810037420206903</v>
      </c>
      <c r="Y51" s="16">
        <v>38.4454284346577</v>
      </c>
      <c r="Z51" s="13">
        <v>48.451816136736802</v>
      </c>
      <c r="AA51" s="13">
        <v>54.0787841191067</v>
      </c>
    </row>
    <row r="52" spans="1:27" x14ac:dyDescent="0.25">
      <c r="A52" s="10" t="s">
        <v>389</v>
      </c>
      <c r="B52" s="10" t="s">
        <v>390</v>
      </c>
      <c r="C52" s="13">
        <v>0.90346153041659405</v>
      </c>
      <c r="D52" s="13">
        <v>0.83239904792641595</v>
      </c>
      <c r="E52" s="13">
        <v>0.83275469891251397</v>
      </c>
      <c r="F52" s="13">
        <v>0.81744155655816997</v>
      </c>
      <c r="G52" s="13">
        <v>0.78857758056982696</v>
      </c>
      <c r="H52" s="13">
        <v>0.75535321073258999</v>
      </c>
      <c r="I52" s="13">
        <v>0.83896344687341096</v>
      </c>
      <c r="J52" s="13">
        <v>0.65468659209316604</v>
      </c>
      <c r="K52" s="13">
        <v>0.62282435132716996</v>
      </c>
      <c r="L52" s="13">
        <v>0.62057134092901001</v>
      </c>
      <c r="M52" s="13">
        <v>0.69493512343699904</v>
      </c>
      <c r="N52" s="13">
        <v>0.73165224446466504</v>
      </c>
      <c r="O52" s="13">
        <v>0.74211879134095005</v>
      </c>
      <c r="P52" s="13">
        <v>0.72118564117561001</v>
      </c>
      <c r="Q52" s="13">
        <v>0.77947362817362797</v>
      </c>
      <c r="R52" s="13">
        <v>0.70214700830231902</v>
      </c>
      <c r="S52" s="13">
        <v>0.67257577864696505</v>
      </c>
      <c r="T52" s="13">
        <v>0.51799378965348997</v>
      </c>
      <c r="U52" s="13">
        <v>0.52458839801262203</v>
      </c>
      <c r="V52" s="13">
        <v>0.43418543156890799</v>
      </c>
      <c r="W52" s="13">
        <v>0.42629934140891401</v>
      </c>
      <c r="X52" s="13">
        <v>0.42312819722650202</v>
      </c>
      <c r="Y52" s="16">
        <v>0.115023421597229</v>
      </c>
      <c r="Z52" s="13">
        <v>0.67498375309899905</v>
      </c>
      <c r="AA52" s="13">
        <v>0.62578245563308699</v>
      </c>
    </row>
    <row r="53" spans="1:27" x14ac:dyDescent="0.25">
      <c r="A53" s="10" t="s">
        <v>391</v>
      </c>
      <c r="B53" s="10" t="s">
        <v>391</v>
      </c>
      <c r="C53" s="13">
        <v>49.416071117308697</v>
      </c>
      <c r="D53" s="13">
        <v>41.100532515733398</v>
      </c>
      <c r="E53" s="13">
        <v>49.732186333387403</v>
      </c>
      <c r="F53" s="13">
        <v>48.920399613277503</v>
      </c>
      <c r="G53" s="13">
        <v>49.4940059162385</v>
      </c>
      <c r="H53" s="13">
        <v>40.699427193246898</v>
      </c>
      <c r="I53" s="13">
        <v>47.161498051177801</v>
      </c>
      <c r="J53" s="13">
        <v>22.678516702421099</v>
      </c>
      <c r="K53" s="13">
        <v>45.034297643900999</v>
      </c>
      <c r="L53" s="13">
        <v>43.368390300905602</v>
      </c>
      <c r="M53" s="13">
        <v>50.288554023725602</v>
      </c>
      <c r="N53" s="13">
        <v>42.538671519563202</v>
      </c>
      <c r="O53" s="13">
        <v>49.428743235117302</v>
      </c>
      <c r="P53" s="13">
        <v>45.211288200029202</v>
      </c>
      <c r="Q53" s="13">
        <v>42.817362817362799</v>
      </c>
      <c r="R53" s="13">
        <v>48.897795591182401</v>
      </c>
      <c r="S53" s="13">
        <v>39.316239316239297</v>
      </c>
      <c r="T53" s="13">
        <v>31.198145436798399</v>
      </c>
      <c r="U53" s="13">
        <v>29.421243453739802</v>
      </c>
      <c r="V53" s="13">
        <v>37.064854554124899</v>
      </c>
      <c r="W53" s="13">
        <v>38.186522403857502</v>
      </c>
      <c r="X53" s="13">
        <v>39.720449042482898</v>
      </c>
      <c r="Y53" s="16">
        <v>36.369076112972699</v>
      </c>
      <c r="Z53" s="13"/>
      <c r="AA53" s="13"/>
    </row>
    <row r="54" spans="1:27" x14ac:dyDescent="0.25">
      <c r="A54" s="10" t="s">
        <v>141</v>
      </c>
      <c r="B54" s="10" t="s">
        <v>141</v>
      </c>
      <c r="C54" s="13">
        <v>43.158445180407902</v>
      </c>
      <c r="D54" s="13">
        <v>33.048249152815899</v>
      </c>
      <c r="E54" s="13">
        <v>38.224314234702199</v>
      </c>
      <c r="F54" s="13">
        <v>37.431517885916897</v>
      </c>
      <c r="G54" s="13">
        <v>38.1908765374436</v>
      </c>
      <c r="H54" s="13">
        <v>30.268314742236999</v>
      </c>
      <c r="I54" s="13">
        <v>36.078630740552398</v>
      </c>
      <c r="J54" s="13">
        <v>12.687710695678801</v>
      </c>
      <c r="K54" s="13">
        <v>35.460781389800196</v>
      </c>
      <c r="L54" s="13">
        <v>33.654688869412801</v>
      </c>
      <c r="M54" s="13">
        <v>40.076947739660099</v>
      </c>
      <c r="N54" s="13">
        <v>32.999696693964196</v>
      </c>
      <c r="O54" s="13">
        <v>39.987973541791902</v>
      </c>
      <c r="P54" s="13">
        <v>32.607106302090898</v>
      </c>
      <c r="Q54" s="13">
        <v>31.466011466011501</v>
      </c>
      <c r="R54" s="13">
        <v>38.419696535928999</v>
      </c>
      <c r="S54" s="13">
        <v>29.277125887295401</v>
      </c>
      <c r="T54" s="13">
        <v>15.5075646656906</v>
      </c>
      <c r="U54" s="13">
        <v>13.3073720961461</v>
      </c>
      <c r="V54" s="13">
        <v>22.758702908917499</v>
      </c>
      <c r="W54" s="13">
        <v>24.073856286016699</v>
      </c>
      <c r="X54" s="13">
        <v>25.434734756768702</v>
      </c>
      <c r="Y54" s="16">
        <v>21.714935375777898</v>
      </c>
      <c r="Z54" s="13">
        <v>41.230238320656802</v>
      </c>
      <c r="AA54" s="13">
        <v>44.9401195578615</v>
      </c>
    </row>
    <row r="55" spans="1:27" x14ac:dyDescent="0.25">
      <c r="A55" s="10" t="s">
        <v>392</v>
      </c>
      <c r="B55" s="10" t="s">
        <v>153</v>
      </c>
      <c r="C55" s="13">
        <v>1.4283036604497099</v>
      </c>
      <c r="D55" s="13">
        <v>1.2874058253993901</v>
      </c>
      <c r="E55" s="13">
        <v>1.2245138451550099</v>
      </c>
      <c r="F55" s="13">
        <v>1.2249952143087299</v>
      </c>
      <c r="G55" s="13">
        <v>1.1785258446208899</v>
      </c>
      <c r="H55" s="13">
        <v>1.1445137624359401</v>
      </c>
      <c r="I55" s="13">
        <v>1.2667351635316</v>
      </c>
      <c r="J55" s="13">
        <v>1.14795773827766</v>
      </c>
      <c r="K55" s="13">
        <v>1.13341128839845</v>
      </c>
      <c r="L55" s="13">
        <v>1.0941433537832299</v>
      </c>
      <c r="M55" s="13">
        <v>1.2019229560756699</v>
      </c>
      <c r="N55" s="13">
        <v>1.16925074309979</v>
      </c>
      <c r="O55" s="13">
        <v>1.1444299458809399</v>
      </c>
      <c r="P55" s="13">
        <v>1.08868738119608</v>
      </c>
      <c r="Q55" s="13">
        <v>1.1765171498771501</v>
      </c>
      <c r="R55" s="13">
        <v>1.05994984254223</v>
      </c>
      <c r="S55" s="13">
        <v>1.06964308271766</v>
      </c>
      <c r="T55" s="13">
        <v>0.75683576134699804</v>
      </c>
      <c r="U55" s="13">
        <v>0.765807385524372</v>
      </c>
      <c r="V55" s="13">
        <v>0.73224938006676199</v>
      </c>
      <c r="W55" s="13">
        <v>0.71824724214982905</v>
      </c>
      <c r="X55" s="13">
        <v>0.72363531807175896</v>
      </c>
      <c r="Y55" s="16">
        <v>0.184091181989775</v>
      </c>
      <c r="Z55" s="13"/>
      <c r="AA55" s="13"/>
    </row>
    <row r="56" spans="1:27" x14ac:dyDescent="0.25">
      <c r="A56" s="10" t="s">
        <v>393</v>
      </c>
      <c r="B56" s="10" t="s">
        <v>394</v>
      </c>
      <c r="C56" s="13">
        <v>0.75228246470280602</v>
      </c>
      <c r="D56" s="13">
        <v>0.53329431983217701</v>
      </c>
      <c r="E56" s="13">
        <v>0.62042385976302505</v>
      </c>
      <c r="F56" s="13">
        <v>0.60315046728971999</v>
      </c>
      <c r="G56" s="13">
        <v>0.59459562509730701</v>
      </c>
      <c r="H56" s="13">
        <v>0.45626040096472698</v>
      </c>
      <c r="I56" s="13">
        <v>0.61139859345873604</v>
      </c>
      <c r="J56" s="13">
        <v>0.194417882316886</v>
      </c>
      <c r="K56" s="13">
        <v>0.52879184312555905</v>
      </c>
      <c r="L56" s="13">
        <v>0.49159639205375399</v>
      </c>
      <c r="M56" s="13">
        <v>0.64246470022443103</v>
      </c>
      <c r="N56" s="13">
        <v>0.50045036396724296</v>
      </c>
      <c r="O56" s="13">
        <v>0.60114212266987399</v>
      </c>
      <c r="P56" s="13">
        <v>0.47678178096212898</v>
      </c>
      <c r="Q56" s="13">
        <v>0.51541377559377599</v>
      </c>
      <c r="R56" s="13">
        <v>0.54995271972516502</v>
      </c>
      <c r="S56" s="13">
        <v>0.42412177314211202</v>
      </c>
      <c r="T56" s="13">
        <v>0.18920894338701799</v>
      </c>
      <c r="U56" s="13">
        <v>0.178694400429703</v>
      </c>
      <c r="V56" s="13">
        <v>0.27132454697186498</v>
      </c>
      <c r="W56" s="13">
        <v>0.28312190991414798</v>
      </c>
      <c r="X56" s="13">
        <v>0.279933248954435</v>
      </c>
      <c r="Y56" s="16">
        <v>6.4968092914605896E-2</v>
      </c>
      <c r="Z56" s="13">
        <v>0.51099726334421802</v>
      </c>
      <c r="AA56" s="13">
        <v>0.50688156505596105</v>
      </c>
    </row>
    <row r="57" spans="1:27" x14ac:dyDescent="0.25">
      <c r="A57" s="10" t="s">
        <v>395</v>
      </c>
      <c r="B57" s="10" t="s">
        <v>396</v>
      </c>
      <c r="C57" s="13">
        <v>0.59793695311138195</v>
      </c>
      <c r="D57" s="13">
        <v>0.44345714055188001</v>
      </c>
      <c r="E57" s="13">
        <v>0.48079556890115199</v>
      </c>
      <c r="F57" s="13">
        <v>0.46813615855623603</v>
      </c>
      <c r="G57" s="13">
        <v>0.48988085007006099</v>
      </c>
      <c r="H57" s="13">
        <v>0.36696242086222502</v>
      </c>
      <c r="I57" s="13">
        <v>0.472692374173869</v>
      </c>
      <c r="J57" s="13">
        <v>0.108949141893963</v>
      </c>
      <c r="K57" s="13">
        <v>0.41894190277363602</v>
      </c>
      <c r="L57" s="13">
        <v>0.405182968156588</v>
      </c>
      <c r="M57" s="13">
        <v>0.37931115742225102</v>
      </c>
      <c r="N57" s="13">
        <v>0.30289205338186198</v>
      </c>
      <c r="O57" s="13">
        <v>0.48430359290439001</v>
      </c>
      <c r="P57" s="13">
        <v>0.34550644831115701</v>
      </c>
      <c r="Q57" s="13">
        <v>0.76225433251433194</v>
      </c>
      <c r="R57" s="13">
        <v>0.28255767248783298</v>
      </c>
      <c r="S57" s="13">
        <v>0.36305326669563998</v>
      </c>
      <c r="T57" s="13">
        <v>0.114180380673499</v>
      </c>
      <c r="U57" s="13">
        <v>-2.03758560494159E-2</v>
      </c>
      <c r="V57" s="13">
        <v>0.106028350023844</v>
      </c>
      <c r="W57" s="13">
        <v>0.39141915794425503</v>
      </c>
      <c r="X57" s="13">
        <v>7.5948998459167902E-2</v>
      </c>
      <c r="Y57" s="16">
        <v>3.6610567652347499E-2</v>
      </c>
      <c r="Z57" s="13">
        <v>0.34031533956782001</v>
      </c>
      <c r="AA57" s="13">
        <v>0.35279438621673898</v>
      </c>
    </row>
    <row r="58" spans="1:27" x14ac:dyDescent="0.25">
      <c r="A58" s="10" t="s">
        <v>397</v>
      </c>
      <c r="B58" s="10" t="s">
        <v>398</v>
      </c>
      <c r="C58" s="13" t="s">
        <v>148</v>
      </c>
      <c r="D58" s="13">
        <v>4273.5042735033103</v>
      </c>
      <c r="E58" s="13" t="s">
        <v>148</v>
      </c>
      <c r="F58" s="13" t="s">
        <v>148</v>
      </c>
      <c r="G58" s="13" t="s">
        <v>148</v>
      </c>
      <c r="H58" s="13">
        <v>4132.2314049592997</v>
      </c>
      <c r="I58" s="13" t="s">
        <v>148</v>
      </c>
      <c r="J58" s="13" t="s">
        <v>148</v>
      </c>
      <c r="K58" s="13" t="s">
        <v>148</v>
      </c>
      <c r="L58" s="13">
        <v>4132.2314049518</v>
      </c>
      <c r="M58" s="13" t="s">
        <v>148</v>
      </c>
      <c r="N58" s="13" t="s">
        <v>148</v>
      </c>
      <c r="O58" s="13" t="s">
        <v>148</v>
      </c>
      <c r="P58" s="13">
        <v>3968.2539682555898</v>
      </c>
      <c r="Q58" s="13" t="s">
        <v>148</v>
      </c>
      <c r="R58" s="13" t="s">
        <v>148</v>
      </c>
      <c r="S58" s="13" t="s">
        <v>148</v>
      </c>
      <c r="T58" s="13">
        <v>3745.31835206198</v>
      </c>
      <c r="U58" s="13" t="s">
        <v>148</v>
      </c>
      <c r="V58" s="13" t="s">
        <v>148</v>
      </c>
      <c r="W58" s="13" t="s">
        <v>148</v>
      </c>
      <c r="X58" s="13">
        <v>3571.4285714285702</v>
      </c>
      <c r="Y58" s="16">
        <v>970.85926280517003</v>
      </c>
      <c r="Z58" s="13"/>
      <c r="AA58" s="13"/>
    </row>
    <row r="59" spans="1:27" x14ac:dyDescent="0.25">
      <c r="A59" s="10" t="s">
        <v>399</v>
      </c>
      <c r="B59" s="10" t="s">
        <v>269</v>
      </c>
      <c r="C59" s="13">
        <v>2.5274533728429499E-2</v>
      </c>
      <c r="D59" s="13">
        <v>2.3398418589640101E-2</v>
      </c>
      <c r="E59" s="13">
        <v>2.5969810095763698E-2</v>
      </c>
      <c r="F59" s="13">
        <v>2.5781501772478201E-2</v>
      </c>
      <c r="G59" s="13">
        <v>2.4910477969796001E-2</v>
      </c>
      <c r="H59" s="13">
        <v>2.41181790774797E-2</v>
      </c>
      <c r="I59" s="13">
        <v>2.98254533129978E-2</v>
      </c>
      <c r="J59" s="13">
        <v>2.6969046889365599E-2</v>
      </c>
      <c r="K59" s="13">
        <v>2.6245153593796599E-2</v>
      </c>
      <c r="L59" s="13">
        <v>2.5708442886357E-2</v>
      </c>
      <c r="M59" s="13">
        <v>3.10997114459763E-2</v>
      </c>
      <c r="N59" s="13">
        <v>2.9420685471640898E-2</v>
      </c>
      <c r="O59" s="13">
        <v>2.916416115454E-2</v>
      </c>
      <c r="P59" s="13">
        <v>2.8366720280742799E-2</v>
      </c>
      <c r="Q59" s="13">
        <v>3.4889434889434898E-2</v>
      </c>
      <c r="R59" s="13">
        <v>3.0489550529630701E-2</v>
      </c>
      <c r="S59" s="13">
        <v>3.0856149500217301E-2</v>
      </c>
      <c r="T59" s="13">
        <v>2.5988286969253298E-2</v>
      </c>
      <c r="U59" s="13">
        <v>3.0213508795488099E-2</v>
      </c>
      <c r="V59" s="13">
        <v>2.6824034334763901E-2</v>
      </c>
      <c r="W59" s="13">
        <v>2.6461248970951399E-2</v>
      </c>
      <c r="X59" s="13">
        <v>2.4763372220999301E-2</v>
      </c>
      <c r="Y59" s="16">
        <v>2.6926759214935401E-2</v>
      </c>
      <c r="Z59" s="13">
        <v>3.0191174832061601E-2</v>
      </c>
      <c r="AA59" s="13">
        <v>2.6866681705391401E-2</v>
      </c>
    </row>
    <row r="60" spans="1:27" x14ac:dyDescent="0.25">
      <c r="A60" s="10" t="s">
        <v>400</v>
      </c>
      <c r="B60" s="10" t="s">
        <v>401</v>
      </c>
      <c r="C60" s="13">
        <v>15.687641624542399</v>
      </c>
      <c r="D60" s="13">
        <v>14.5231563659835</v>
      </c>
      <c r="E60" s="13">
        <v>15.338419087810401</v>
      </c>
      <c r="F60" s="13">
        <v>14.502094747018999</v>
      </c>
      <c r="G60" s="13">
        <v>14.572629612330701</v>
      </c>
      <c r="H60" s="13">
        <v>13.566475731082299</v>
      </c>
      <c r="I60" s="13">
        <v>16.946280291476</v>
      </c>
      <c r="J60" s="13">
        <v>15.3233220962305</v>
      </c>
      <c r="K60" s="13">
        <v>14.881002087682701</v>
      </c>
      <c r="L60" s="13">
        <v>14.607069821793701</v>
      </c>
      <c r="M60" s="13">
        <v>17.633857005450501</v>
      </c>
      <c r="N60" s="13">
        <v>15.7415832575068</v>
      </c>
      <c r="O60" s="13">
        <v>15.602826217678899</v>
      </c>
      <c r="P60" s="13">
        <v>14.6220207632695</v>
      </c>
      <c r="Q60" s="13">
        <v>18.018018018018001</v>
      </c>
      <c r="R60" s="13">
        <v>15.745777268823399</v>
      </c>
      <c r="S60" s="13">
        <v>16.5080399826163</v>
      </c>
      <c r="T60" s="13">
        <v>13.4211810639336</v>
      </c>
      <c r="U60" s="13">
        <v>16.221297166644302</v>
      </c>
      <c r="V60" s="13">
        <v>14.3061516452074</v>
      </c>
      <c r="W60" s="13">
        <v>14.112666117840799</v>
      </c>
      <c r="X60" s="13">
        <v>13.2071318511996</v>
      </c>
      <c r="Y60" s="16">
        <v>14.3848731450455</v>
      </c>
      <c r="Z60" s="13"/>
      <c r="AA60" s="13"/>
    </row>
    <row r="61" spans="1:27" x14ac:dyDescent="0.25">
      <c r="A61" s="10" t="s">
        <v>402</v>
      </c>
      <c r="B61" s="10" t="s">
        <v>403</v>
      </c>
      <c r="C61" s="13">
        <v>3.3292661669862298</v>
      </c>
      <c r="D61" s="13">
        <v>4.0342101016620902</v>
      </c>
      <c r="E61" s="13">
        <v>3.05145268625223</v>
      </c>
      <c r="F61" s="13">
        <v>3.4966161778923599</v>
      </c>
      <c r="G61" s="13">
        <v>2.7245835279464399</v>
      </c>
      <c r="H61" s="13">
        <v>2.7283690081398899</v>
      </c>
      <c r="I61" s="13">
        <v>3.16895441450602</v>
      </c>
      <c r="J61" s="13">
        <v>3.1106343855347802</v>
      </c>
      <c r="K61" s="13">
        <v>3.10169997017596</v>
      </c>
      <c r="L61" s="13">
        <v>2.7315220566754301</v>
      </c>
      <c r="M61" s="13">
        <v>3.27027893555627</v>
      </c>
      <c r="N61" s="13">
        <v>3.01789505611162</v>
      </c>
      <c r="O61" s="13">
        <v>3.1419122068550802</v>
      </c>
      <c r="P61" s="13">
        <v>0.71647901740020503</v>
      </c>
      <c r="Q61" s="13">
        <v>3.3906633906633901</v>
      </c>
      <c r="R61" s="13">
        <v>2.34755224735185</v>
      </c>
      <c r="S61" s="13">
        <v>2.9262639432131001</v>
      </c>
      <c r="T61" s="13">
        <v>1.1469009272816</v>
      </c>
      <c r="U61" s="13">
        <v>2.67221700013428</v>
      </c>
      <c r="V61" s="13">
        <v>2.38435860753457</v>
      </c>
      <c r="W61" s="13">
        <v>2.3050687992473202</v>
      </c>
      <c r="X61" s="13">
        <v>1.0895883777239701</v>
      </c>
      <c r="Y61" s="16">
        <v>2.0763523216850199</v>
      </c>
      <c r="Z61" s="13"/>
      <c r="AA61" s="13"/>
    </row>
    <row r="62" spans="1:27" x14ac:dyDescent="0.25">
      <c r="A62" s="10" t="s">
        <v>404</v>
      </c>
      <c r="B62" s="10" t="s">
        <v>405</v>
      </c>
      <c r="C62" s="13">
        <v>0.732089942478647</v>
      </c>
      <c r="D62" s="13">
        <v>0.75843149911247398</v>
      </c>
      <c r="E62" s="13" t="s">
        <v>148</v>
      </c>
      <c r="F62" s="13" t="s">
        <v>148</v>
      </c>
      <c r="G62" s="13" t="s">
        <v>148</v>
      </c>
      <c r="H62" s="13" t="s">
        <v>148</v>
      </c>
      <c r="I62" s="13" t="s">
        <v>148</v>
      </c>
      <c r="J62" s="13" t="s">
        <v>148</v>
      </c>
      <c r="K62" s="13" t="s">
        <v>148</v>
      </c>
      <c r="L62" s="13" t="s">
        <v>148</v>
      </c>
      <c r="M62" s="13" t="s">
        <v>148</v>
      </c>
      <c r="N62" s="13" t="s">
        <v>148</v>
      </c>
      <c r="O62" s="13" t="s">
        <v>148</v>
      </c>
      <c r="P62" s="13" t="s">
        <v>148</v>
      </c>
      <c r="Q62" s="13" t="s">
        <v>148</v>
      </c>
      <c r="R62" s="13" t="s">
        <v>148</v>
      </c>
      <c r="S62" s="13" t="s">
        <v>148</v>
      </c>
      <c r="T62" s="13" t="s">
        <v>148</v>
      </c>
      <c r="U62" s="13" t="s">
        <v>148</v>
      </c>
      <c r="V62" s="13" t="s">
        <v>148</v>
      </c>
      <c r="W62" s="13" t="s">
        <v>148</v>
      </c>
      <c r="X62" s="13" t="s">
        <v>148</v>
      </c>
      <c r="Y62" s="16"/>
      <c r="Z62" s="13"/>
      <c r="AA62" s="13"/>
    </row>
    <row r="63" spans="1:27" x14ac:dyDescent="0.25">
      <c r="A63" s="7" t="s">
        <v>90</v>
      </c>
      <c r="B63" s="7"/>
      <c r="C63" s="7" t="s">
        <v>5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96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702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112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703</v>
      </c>
      <c r="B7" s="10" t="s">
        <v>704</v>
      </c>
      <c r="C7" s="13">
        <f>_xll.BDH("AMGN US Equity","CASH_CASH_EQTY_STI_DETAILED","FQ4 2018","FQ4 2018","Currency=USD","Period=FQ","BEST_FPERIOD_OVERRIDE=FQ","FILING_STATUS=MR","SCALING_FORMAT=MLN","Sort=A","Dates=H","DateFormat=P","Fill=—","Direction=H","UseDPDF=Y")</f>
        <v>29304</v>
      </c>
      <c r="D7" s="13">
        <f>_xll.BDH("AMGN US Equity","CASH_CASH_EQTY_STI_DETAILED","FQ1 2019","FQ1 2019","Currency=USD","Period=FQ","BEST_FPERIOD_OVERRIDE=FQ","FILING_STATUS=MR","SCALING_FORMAT=MLN","Sort=A","Dates=H","DateFormat=P","Fill=—","Direction=H","UseDPDF=Y")</f>
        <v>26301</v>
      </c>
      <c r="E7" s="13">
        <f>_xll.BDH("AMGN US Equity","CASH_CASH_EQTY_STI_DETAILED","FQ2 2019","FQ2 2019","Currency=USD","Period=FQ","BEST_FPERIOD_OVERRIDE=FQ","FILING_STATUS=MR","SCALING_FORMAT=MLN","Sort=A","Dates=H","DateFormat=P","Fill=—","Direction=H","UseDPDF=Y")</f>
        <v>21758</v>
      </c>
      <c r="F7" s="13">
        <f>_xll.BDH("AMGN US Equity","CASH_CASH_EQTY_STI_DETAILED","FQ3 2019","FQ3 2019","Currency=USD","Period=FQ","BEST_FPERIOD_OVERRIDE=FQ","FILING_STATUS=MR","SCALING_FORMAT=MLN","Sort=A","Dates=H","DateFormat=P","Fill=—","Direction=H","UseDPDF=Y")</f>
        <v>20853</v>
      </c>
      <c r="G7" s="13">
        <f>_xll.BDH("AMGN US Equity","CASH_CASH_EQTY_STI_DETAILED","FQ4 2019","FQ4 2019","Currency=USD","Period=FQ","BEST_FPERIOD_OVERRIDE=FQ","FILING_STATUS=MR","SCALING_FORMAT=MLN","Sort=A","Dates=H","DateFormat=P","Fill=—","Direction=H","UseDPDF=Y")</f>
        <v>8911</v>
      </c>
      <c r="H7" s="13">
        <f>_xll.BDH("AMGN US Equity","CASH_CASH_EQTY_STI_DETAILED","FQ1 2020","FQ1 2020","Currency=USD","Period=FQ","BEST_FPERIOD_OVERRIDE=FQ","FILING_STATUS=MR","SCALING_FORMAT=MLN","Sort=A","Dates=H","DateFormat=P","Fill=—","Direction=H","UseDPDF=Y")</f>
        <v>8012</v>
      </c>
      <c r="I7" s="13">
        <f>_xll.BDH("AMGN US Equity","CASH_CASH_EQTY_STI_DETAILED","FQ2 2020","FQ2 2020","Currency=USD","Period=FQ","BEST_FPERIOD_OVERRIDE=FQ","FILING_STATUS=MR","SCALING_FORMAT=MLN","Sort=A","Dates=H","DateFormat=P","Fill=—","Direction=H","UseDPDF=Y")</f>
        <v>11421</v>
      </c>
      <c r="J7" s="13">
        <f>_xll.BDH("AMGN US Equity","CASH_CASH_EQTY_STI_DETAILED","FQ3 2020","FQ3 2020","Currency=USD","Period=FQ","BEST_FPERIOD_OVERRIDE=FQ","FILING_STATUS=MR","SCALING_FORMAT=MLN","Sort=A","Dates=H","DateFormat=P","Fill=—","Direction=H","UseDPDF=Y")</f>
        <v>12360</v>
      </c>
      <c r="K7" s="13">
        <f>_xll.BDH("AMGN US Equity","CASH_CASH_EQTY_STI_DETAILED","FQ4 2020","FQ4 2020","Currency=USD","Period=FQ","BEST_FPERIOD_OVERRIDE=FQ","FILING_STATUS=MR","SCALING_FORMAT=MLN","Sort=A","Dates=H","DateFormat=P","Fill=—","Direction=H","UseDPDF=Y")</f>
        <v>10647</v>
      </c>
      <c r="L7" s="13">
        <f>_xll.BDH("AMGN US Equity","CASH_CASH_EQTY_STI_DETAILED","FQ1 2021","FQ1 2021","Currency=USD","Period=FQ","BEST_FPERIOD_OVERRIDE=FQ","FILING_STATUS=MR","SCALING_FORMAT=MLN","Sort=A","Dates=H","DateFormat=P","Fill=—","Direction=H","UseDPDF=Y")</f>
        <v>10566</v>
      </c>
      <c r="M7" s="13">
        <f>_xll.BDH("AMGN US Equity","CASH_CASH_EQTY_STI_DETAILED","FQ2 2021","FQ2 2021","Currency=USD","Period=FQ","BEST_FPERIOD_OVERRIDE=FQ","FILING_STATUS=MR","SCALING_FORMAT=MLN","Sort=A","Dates=H","DateFormat=P","Fill=—","Direction=H","UseDPDF=Y")</f>
        <v>8082</v>
      </c>
      <c r="N7" s="13">
        <f>_xll.BDH("AMGN US Equity","CASH_CASH_EQTY_STI_DETAILED","FQ3 2021","FQ3 2021","Currency=USD","Period=FQ","BEST_FPERIOD_OVERRIDE=FQ","FILING_STATUS=MR","SCALING_FORMAT=MLN","Sort=A","Dates=H","DateFormat=P","Fill=—","Direction=H","UseDPDF=Y")</f>
        <v>12921</v>
      </c>
      <c r="O7" s="13">
        <f>_xll.BDH("AMGN US Equity","CASH_CASH_EQTY_STI_DETAILED","FQ4 2021","FQ4 2021","Currency=USD","Period=FQ","BEST_FPERIOD_OVERRIDE=FQ","FILING_STATUS=MR","SCALING_FORMAT=MLN","Sort=A","Dates=H","DateFormat=P","Fill=—","Direction=H","UseDPDF=Y")</f>
        <v>8037</v>
      </c>
      <c r="P7" s="13">
        <f>_xll.BDH("AMGN US Equity","CASH_CASH_EQTY_STI_DETAILED","FQ1 2022","FQ1 2022","Currency=USD","Period=FQ","BEST_FPERIOD_OVERRIDE=FQ","FILING_STATUS=MR","SCALING_FORMAT=MLN","Sort=A","Dates=H","DateFormat=P","Fill=—","Direction=H","UseDPDF=Y")</f>
        <v>6544</v>
      </c>
      <c r="Q7" s="13">
        <f>_xll.BDH("AMGN US Equity","CASH_CASH_EQTY_STI_DETAILED","FQ2 2022","FQ2 2022","Currency=USD","Period=FQ","BEST_FPERIOD_OVERRIDE=FQ","FILING_STATUS=MR","SCALING_FORMAT=MLN","Sort=A","Dates=H","DateFormat=P","Fill=—","Direction=H","UseDPDF=Y")</f>
        <v>7183</v>
      </c>
      <c r="R7" s="13">
        <f>_xll.BDH("AMGN US Equity","CASH_CASH_EQTY_STI_DETAILED","FQ3 2022","FQ3 2022","Currency=USD","Period=FQ","BEST_FPERIOD_OVERRIDE=FQ","FILING_STATUS=MR","SCALING_FORMAT=MLN","Sort=A","Dates=H","DateFormat=P","Fill=—","Direction=H","UseDPDF=Y")</f>
        <v>11478</v>
      </c>
      <c r="S7" s="13">
        <f>_xll.BDH("AMGN US Equity","CASH_CASH_EQTY_STI_DETAILED","FQ4 2022","FQ4 2022","Currency=USD","Period=FQ","BEST_FPERIOD_OVERRIDE=FQ","FILING_STATUS=MR","SCALING_FORMAT=MLN","Sort=A","Dates=H","DateFormat=P","Fill=—","Direction=H","UseDPDF=Y")</f>
        <v>9305</v>
      </c>
      <c r="T7" s="13">
        <f>_xll.BDH("AMGN US Equity","CASH_CASH_EQTY_STI_DETAILED","FQ1 2023","FQ1 2023","Currency=USD","Period=FQ","BEST_FPERIOD_OVERRIDE=FQ","FILING_STATUS=MR","SCALING_FORMAT=MLN","Sort=A","Dates=H","DateFormat=P","Fill=—","Direction=H","UseDPDF=Y")</f>
        <v>31561</v>
      </c>
      <c r="U7" s="13">
        <f>_xll.BDH("AMGN US Equity","CASH_CASH_EQTY_STI_DETAILED","FQ2 2023","FQ2 2023","Currency=USD","Period=FQ","BEST_FPERIOD_OVERRIDE=FQ","FILING_STATUS=MR","SCALING_FORMAT=MLN","Sort=A","Dates=H","DateFormat=P","Fill=—","Direction=H","UseDPDF=Y")</f>
        <v>34248</v>
      </c>
      <c r="V7" s="13">
        <f>_xll.BDH("AMGN US Equity","CASH_CASH_EQTY_STI_DETAILED","FQ3 2023","FQ3 2023","Currency=USD","Period=FQ","BEST_FPERIOD_OVERRIDE=FQ","FILING_STATUS=MR","SCALING_FORMAT=MLN","Sort=A","Dates=H","DateFormat=P","Fill=—","Direction=H","UseDPDF=Y")</f>
        <v>34741</v>
      </c>
      <c r="W7" s="13">
        <f>_xll.BDH("AMGN US Equity","CASH_CASH_EQTY_STI_DETAILED","FQ4 2023","FQ4 2023","Currency=USD","Period=FQ","BEST_FPERIOD_OVERRIDE=FQ","FILING_STATUS=MR","SCALING_FORMAT=MLN","Sort=A","Dates=H","DateFormat=P","Fill=—","Direction=H","UseDPDF=Y")</f>
        <v>10944</v>
      </c>
      <c r="X7" s="13">
        <f>_xll.BDH("AMGN US Equity","CASH_CASH_EQTY_STI_DETAILED","FQ1 2024","FQ1 2024","Currency=USD","Period=FQ","BEST_FPERIOD_OVERRIDE=FQ","FILING_STATUS=MR","SCALING_FORMAT=MLN","Sort=A","Dates=H","DateFormat=P","Fill=—","Direction=H","UseDPDF=Y")</f>
        <v>9708</v>
      </c>
      <c r="Y7" s="13">
        <f>_xll.BDH("AMGN US Equity","CASH_CASH_EQTY_STI_DETAILED","FQ2 2024","FQ2 2024","Currency=USD","Period=FQ","BEST_FPERIOD_OVERRIDE=FQ","FILING_STATUS=MR","SCALING_FORMAT=MLN","Sort=A","Dates=H","DateFormat=P","Fill=—","Direction=H","UseDPDF=Y")</f>
        <v>9301</v>
      </c>
      <c r="Z7" s="13">
        <f>_xll.BDH("AMGN US Equity","CASH_CASH_EQTY_STI_DETAILED","FQ3 2024","FQ3 2024","Currency=USD","Period=FQ","BEST_FPERIOD_OVERRIDE=FQ","FILING_STATUS=MR","SCALING_FORMAT=MLN","Sort=A","Dates=H","DateFormat=P","Fill=—","Direction=H","UseDPDF=Y")</f>
        <v>9011</v>
      </c>
      <c r="AA7" s="13">
        <f>_xll.BDH("AMGN US Equity","CASH_CASH_EQTY_STI_DETAILED","FQ4 2024","FQ4 2024","Currency=USD","Period=FQ","BEST_FPERIOD_OVERRIDE=FQ","FILING_STATUS=MR","SCALING_FORMAT=MLN","Sort=A","Dates=H","DateFormat=P","Fill=—","Direction=H","UseDPDF=Y")</f>
        <v>11973</v>
      </c>
    </row>
    <row r="8" spans="1:27" x14ac:dyDescent="0.25">
      <c r="A8" s="10" t="s">
        <v>705</v>
      </c>
      <c r="B8" s="10" t="s">
        <v>706</v>
      </c>
      <c r="C8" s="13">
        <f>_xll.BDH("AMGN US Equity","BS_CASH_NEAR_CASH_ITEM","FQ4 2018","FQ4 2018","Currency=USD","Period=FQ","BEST_FPERIOD_OVERRIDE=FQ","FILING_STATUS=MR","SCALING_FORMAT=MLN","Sort=A","Dates=H","DateFormat=P","Fill=—","Direction=H","UseDPDF=Y")</f>
        <v>6945</v>
      </c>
      <c r="D8" s="13">
        <f>_xll.BDH("AMGN US Equity","BS_CASH_NEAR_CASH_ITEM","FQ1 2019","FQ1 2019","Currency=USD","Period=FQ","BEST_FPERIOD_OVERRIDE=FQ","FILING_STATUS=MR","SCALING_FORMAT=MLN","Sort=A","Dates=H","DateFormat=P","Fill=—","Direction=H","UseDPDF=Y")</f>
        <v>7358</v>
      </c>
      <c r="E8" s="13">
        <f>_xll.BDH("AMGN US Equity","BS_CASH_NEAR_CASH_ITEM","FQ2 2019","FQ2 2019","Currency=USD","Period=FQ","BEST_FPERIOD_OVERRIDE=FQ","FILING_STATUS=MR","SCALING_FORMAT=MLN","Sort=A","Dates=H","DateFormat=P","Fill=—","Direction=H","UseDPDF=Y")</f>
        <v>5525</v>
      </c>
      <c r="F8" s="13">
        <f>_xll.BDH("AMGN US Equity","BS_CASH_NEAR_CASH_ITEM","FQ3 2019","FQ3 2019","Currency=USD","Period=FQ","BEST_FPERIOD_OVERRIDE=FQ","FILING_STATUS=MR","SCALING_FORMAT=MLN","Sort=A","Dates=H","DateFormat=P","Fill=—","Direction=H","UseDPDF=Y")</f>
        <v>11415</v>
      </c>
      <c r="G8" s="13">
        <f>_xll.BDH("AMGN US Equity","BS_CASH_NEAR_CASH_ITEM","FQ4 2019","FQ4 2019","Currency=USD","Period=FQ","BEST_FPERIOD_OVERRIDE=FQ","FILING_STATUS=MR","SCALING_FORMAT=MLN","Sort=A","Dates=H","DateFormat=P","Fill=—","Direction=H","UseDPDF=Y")</f>
        <v>6037</v>
      </c>
      <c r="H8" s="13">
        <f>_xll.BDH("AMGN US Equity","BS_CASH_NEAR_CASH_ITEM","FQ1 2020","FQ1 2020","Currency=USD","Period=FQ","BEST_FPERIOD_OVERRIDE=FQ","FILING_STATUS=MR","SCALING_FORMAT=MLN","Sort=A","Dates=H","DateFormat=P","Fill=—","Direction=H","UseDPDF=Y")</f>
        <v>7687</v>
      </c>
      <c r="I8" s="13">
        <f>_xll.BDH("AMGN US Equity","BS_CASH_NEAR_CASH_ITEM","FQ2 2020","FQ2 2020","Currency=USD","Period=FQ","BEST_FPERIOD_OVERRIDE=FQ","FILING_STATUS=MR","SCALING_FORMAT=MLN","Sort=A","Dates=H","DateFormat=P","Fill=—","Direction=H","UseDPDF=Y")</f>
        <v>9145</v>
      </c>
      <c r="J8" s="13">
        <f>_xll.BDH("AMGN US Equity","BS_CASH_NEAR_CASH_ITEM","FQ3 2020","FQ3 2020","Currency=USD","Period=FQ","BEST_FPERIOD_OVERRIDE=FQ","FILING_STATUS=MR","SCALING_FORMAT=MLN","Sort=A","Dates=H","DateFormat=P","Fill=—","Direction=H","UseDPDF=Y")</f>
        <v>9087</v>
      </c>
      <c r="K8" s="13">
        <f>_xll.BDH("AMGN US Equity","BS_CASH_NEAR_CASH_ITEM","FQ4 2020","FQ4 2020","Currency=USD","Period=FQ","BEST_FPERIOD_OVERRIDE=FQ","FILING_STATUS=MR","SCALING_FORMAT=MLN","Sort=A","Dates=H","DateFormat=P","Fill=—","Direction=H","UseDPDF=Y")</f>
        <v>6266</v>
      </c>
      <c r="L8" s="13">
        <f>_xll.BDH("AMGN US Equity","BS_CASH_NEAR_CASH_ITEM","FQ1 2021","FQ1 2021","Currency=USD","Period=FQ","BEST_FPERIOD_OVERRIDE=FQ","FILING_STATUS=MR","SCALING_FORMAT=MLN","Sort=A","Dates=H","DateFormat=P","Fill=—","Direction=H","UseDPDF=Y")</f>
        <v>6112</v>
      </c>
      <c r="M8" s="13">
        <f>_xll.BDH("AMGN US Equity","BS_CASH_NEAR_CASH_ITEM","FQ2 2021","FQ2 2021","Currency=USD","Period=FQ","BEST_FPERIOD_OVERRIDE=FQ","FILING_STATUS=MR","SCALING_FORMAT=MLN","Sort=A","Dates=H","DateFormat=P","Fill=—","Direction=H","UseDPDF=Y")</f>
        <v>6630</v>
      </c>
      <c r="N8" s="13">
        <f>_xll.BDH("AMGN US Equity","BS_CASH_NEAR_CASH_ITEM","FQ3 2021","FQ3 2021","Currency=USD","Period=FQ","BEST_FPERIOD_OVERRIDE=FQ","FILING_STATUS=MR","SCALING_FORMAT=MLN","Sort=A","Dates=H","DateFormat=P","Fill=—","Direction=H","UseDPDF=Y")</f>
        <v>11969</v>
      </c>
      <c r="O8" s="13">
        <f>_xll.BDH("AMGN US Equity","BS_CASH_NEAR_CASH_ITEM","FQ4 2021","FQ4 2021","Currency=USD","Period=FQ","BEST_FPERIOD_OVERRIDE=FQ","FILING_STATUS=MR","SCALING_FORMAT=MLN","Sort=A","Dates=H","DateFormat=P","Fill=—","Direction=H","UseDPDF=Y")</f>
        <v>7989</v>
      </c>
      <c r="P8" s="13">
        <f>_xll.BDH("AMGN US Equity","BS_CASH_NEAR_CASH_ITEM","FQ1 2022","FQ1 2022","Currency=USD","Period=FQ","BEST_FPERIOD_OVERRIDE=FQ","FILING_STATUS=MR","SCALING_FORMAT=MLN","Sort=A","Dates=H","DateFormat=P","Fill=—","Direction=H","UseDPDF=Y")</f>
        <v>6528</v>
      </c>
      <c r="Q8" s="13">
        <f>_xll.BDH("AMGN US Equity","BS_CASH_NEAR_CASH_ITEM","FQ2 2022","FQ2 2022","Currency=USD","Period=FQ","BEST_FPERIOD_OVERRIDE=FQ","FILING_STATUS=MR","SCALING_FORMAT=MLN","Sort=A","Dates=H","DateFormat=P","Fill=—","Direction=H","UseDPDF=Y")</f>
        <v>5203</v>
      </c>
      <c r="R8" s="13">
        <f>_xll.BDH("AMGN US Equity","BS_CASH_NEAR_CASH_ITEM","FQ3 2022","FQ3 2022","Currency=USD","Period=FQ","BEST_FPERIOD_OVERRIDE=FQ","FILING_STATUS=MR","SCALING_FORMAT=MLN","Sort=A","Dates=H","DateFormat=P","Fill=—","Direction=H","UseDPDF=Y")</f>
        <v>9502</v>
      </c>
      <c r="S8" s="13">
        <f>_xll.BDH("AMGN US Equity","BS_CASH_NEAR_CASH_ITEM","FQ4 2022","FQ4 2022","Currency=USD","Period=FQ","BEST_FPERIOD_OVERRIDE=FQ","FILING_STATUS=MR","SCALING_FORMAT=MLN","Sort=A","Dates=H","DateFormat=P","Fill=—","Direction=H","UseDPDF=Y")</f>
        <v>7629</v>
      </c>
      <c r="T8" s="13">
        <f>_xll.BDH("AMGN US Equity","BS_CASH_NEAR_CASH_ITEM","FQ1 2023","FQ1 2023","Currency=USD","Period=FQ","BEST_FPERIOD_OVERRIDE=FQ","FILING_STATUS=MR","SCALING_FORMAT=MLN","Sort=A","Dates=H","DateFormat=P","Fill=—","Direction=H","UseDPDF=Y")</f>
        <v>31560</v>
      </c>
      <c r="U8" s="13">
        <f>_xll.BDH("AMGN US Equity","BS_CASH_NEAR_CASH_ITEM","FQ2 2023","FQ2 2023","Currency=USD","Period=FQ","BEST_FPERIOD_OVERRIDE=FQ","FILING_STATUS=MR","SCALING_FORMAT=MLN","Sort=A","Dates=H","DateFormat=P","Fill=—","Direction=H","UseDPDF=Y")</f>
        <v>34248</v>
      </c>
      <c r="V8" s="13">
        <f>_xll.BDH("AMGN US Equity","BS_CASH_NEAR_CASH_ITEM","FQ3 2023","FQ3 2023","Currency=USD","Period=FQ","BEST_FPERIOD_OVERRIDE=FQ","FILING_STATUS=MR","SCALING_FORMAT=MLN","Sort=A","Dates=H","DateFormat=P","Fill=—","Direction=H","UseDPDF=Y")</f>
        <v>34741</v>
      </c>
      <c r="W8" s="13">
        <f>_xll.BDH("AMGN US Equity","BS_CASH_NEAR_CASH_ITEM","FQ4 2023","FQ4 2023","Currency=USD","Period=FQ","BEST_FPERIOD_OVERRIDE=FQ","FILING_STATUS=MR","SCALING_FORMAT=MLN","Sort=A","Dates=H","DateFormat=P","Fill=—","Direction=H","UseDPDF=Y")</f>
        <v>10944</v>
      </c>
      <c r="X8" s="13">
        <f>_xll.BDH("AMGN US Equity","BS_CASH_NEAR_CASH_ITEM","FQ1 2024","FQ1 2024","Currency=USD","Period=FQ","BEST_FPERIOD_OVERRIDE=FQ","FILING_STATUS=MR","SCALING_FORMAT=MLN","Sort=A","Dates=H","DateFormat=P","Fill=—","Direction=H","UseDPDF=Y")</f>
        <v>9708</v>
      </c>
      <c r="Y8" s="13">
        <f>_xll.BDH("AMGN US Equity","BS_CASH_NEAR_CASH_ITEM","FQ2 2024","FQ2 2024","Currency=USD","Period=FQ","BEST_FPERIOD_OVERRIDE=FQ","FILING_STATUS=MR","SCALING_FORMAT=MLN","Sort=A","Dates=H","DateFormat=P","Fill=—","Direction=H","UseDPDF=Y")</f>
        <v>9301</v>
      </c>
      <c r="Z8" s="13">
        <f>_xll.BDH("AMGN US Equity","BS_CASH_NEAR_CASH_ITEM","FQ3 2024","FQ3 2024","Currency=USD","Period=FQ","BEST_FPERIOD_OVERRIDE=FQ","FILING_STATUS=MR","SCALING_FORMAT=MLN","Sort=A","Dates=H","DateFormat=P","Fill=—","Direction=H","UseDPDF=Y")</f>
        <v>9011</v>
      </c>
      <c r="AA8" s="13">
        <f>_xll.BDH("AMGN US Equity","BS_CASH_NEAR_CASH_ITEM","FQ4 2024","FQ4 2024","Currency=USD","Period=FQ","BEST_FPERIOD_OVERRIDE=FQ","FILING_STATUS=MR","SCALING_FORMAT=MLN","Sort=A","Dates=H","DateFormat=P","Fill=—","Direction=H","UseDPDF=Y")</f>
        <v>11973</v>
      </c>
    </row>
    <row r="9" spans="1:27" x14ac:dyDescent="0.25">
      <c r="A9" s="10" t="s">
        <v>707</v>
      </c>
      <c r="B9" s="10" t="s">
        <v>708</v>
      </c>
      <c r="C9" s="13">
        <f>_xll.BDH("AMGN US Equity","BS_MKT_SEC_OTHER_ST_INVEST","FQ4 2018","FQ4 2018","Currency=USD","Period=FQ","BEST_FPERIOD_OVERRIDE=FQ","FILING_STATUS=MR","SCALING_FORMAT=MLN","Sort=A","Dates=H","DateFormat=P","Fill=—","Direction=H","UseDPDF=Y")</f>
        <v>22359</v>
      </c>
      <c r="D9" s="13">
        <f>_xll.BDH("AMGN US Equity","BS_MKT_SEC_OTHER_ST_INVEST","FQ1 2019","FQ1 2019","Currency=USD","Period=FQ","BEST_FPERIOD_OVERRIDE=FQ","FILING_STATUS=MR","SCALING_FORMAT=MLN","Sort=A","Dates=H","DateFormat=P","Fill=—","Direction=H","UseDPDF=Y")</f>
        <v>18943</v>
      </c>
      <c r="E9" s="13">
        <f>_xll.BDH("AMGN US Equity","BS_MKT_SEC_OTHER_ST_INVEST","FQ2 2019","FQ2 2019","Currency=USD","Period=FQ","BEST_FPERIOD_OVERRIDE=FQ","FILING_STATUS=MR","SCALING_FORMAT=MLN","Sort=A","Dates=H","DateFormat=P","Fill=—","Direction=H","UseDPDF=Y")</f>
        <v>16233</v>
      </c>
      <c r="F9" s="13">
        <f>_xll.BDH("AMGN US Equity","BS_MKT_SEC_OTHER_ST_INVEST","FQ3 2019","FQ3 2019","Currency=USD","Period=FQ","BEST_FPERIOD_OVERRIDE=FQ","FILING_STATUS=MR","SCALING_FORMAT=MLN","Sort=A","Dates=H","DateFormat=P","Fill=—","Direction=H","UseDPDF=Y")</f>
        <v>9438</v>
      </c>
      <c r="G9" s="13">
        <f>_xll.BDH("AMGN US Equity","BS_MKT_SEC_OTHER_ST_INVEST","FQ4 2019","FQ4 2019","Currency=USD","Period=FQ","BEST_FPERIOD_OVERRIDE=FQ","FILING_STATUS=MR","SCALING_FORMAT=MLN","Sort=A","Dates=H","DateFormat=P","Fill=—","Direction=H","UseDPDF=Y")</f>
        <v>2874</v>
      </c>
      <c r="H9" s="13">
        <f>_xll.BDH("AMGN US Equity","BS_MKT_SEC_OTHER_ST_INVEST","FQ1 2020","FQ1 2020","Currency=USD","Period=FQ","BEST_FPERIOD_OVERRIDE=FQ","FILING_STATUS=MR","SCALING_FORMAT=MLN","Sort=A","Dates=H","DateFormat=P","Fill=—","Direction=H","UseDPDF=Y")</f>
        <v>325</v>
      </c>
      <c r="I9" s="13">
        <f>_xll.BDH("AMGN US Equity","BS_MKT_SEC_OTHER_ST_INVEST","FQ2 2020","FQ2 2020","Currency=USD","Period=FQ","BEST_FPERIOD_OVERRIDE=FQ","FILING_STATUS=MR","SCALING_FORMAT=MLN","Sort=A","Dates=H","DateFormat=P","Fill=—","Direction=H","UseDPDF=Y")</f>
        <v>2276</v>
      </c>
      <c r="J9" s="13">
        <f>_xll.BDH("AMGN US Equity","BS_MKT_SEC_OTHER_ST_INVEST","FQ3 2020","FQ3 2020","Currency=USD","Period=FQ","BEST_FPERIOD_OVERRIDE=FQ","FILING_STATUS=MR","SCALING_FORMAT=MLN","Sort=A","Dates=H","DateFormat=P","Fill=—","Direction=H","UseDPDF=Y")</f>
        <v>3273</v>
      </c>
      <c r="K9" s="13">
        <f>_xll.BDH("AMGN US Equity","BS_MKT_SEC_OTHER_ST_INVEST","FQ4 2020","FQ4 2020","Currency=USD","Period=FQ","BEST_FPERIOD_OVERRIDE=FQ","FILING_STATUS=MR","SCALING_FORMAT=MLN","Sort=A","Dates=H","DateFormat=P","Fill=—","Direction=H","UseDPDF=Y")</f>
        <v>4381</v>
      </c>
      <c r="L9" s="13">
        <f>_xll.BDH("AMGN US Equity","BS_MKT_SEC_OTHER_ST_INVEST","FQ1 2021","FQ1 2021","Currency=USD","Period=FQ","BEST_FPERIOD_OVERRIDE=FQ","FILING_STATUS=MR","SCALING_FORMAT=MLN","Sort=A","Dates=H","DateFormat=P","Fill=—","Direction=H","UseDPDF=Y")</f>
        <v>4454</v>
      </c>
      <c r="M9" s="13">
        <f>_xll.BDH("AMGN US Equity","BS_MKT_SEC_OTHER_ST_INVEST","FQ2 2021","FQ2 2021","Currency=USD","Period=FQ","BEST_FPERIOD_OVERRIDE=FQ","FILING_STATUS=MR","SCALING_FORMAT=MLN","Sort=A","Dates=H","DateFormat=P","Fill=—","Direction=H","UseDPDF=Y")</f>
        <v>1452</v>
      </c>
      <c r="N9" s="13">
        <f>_xll.BDH("AMGN US Equity","BS_MKT_SEC_OTHER_ST_INVEST","FQ3 2021","FQ3 2021","Currency=USD","Period=FQ","BEST_FPERIOD_OVERRIDE=FQ","FILING_STATUS=MR","SCALING_FORMAT=MLN","Sort=A","Dates=H","DateFormat=P","Fill=—","Direction=H","UseDPDF=Y")</f>
        <v>952</v>
      </c>
      <c r="O9" s="13">
        <f>_xll.BDH("AMGN US Equity","BS_MKT_SEC_OTHER_ST_INVEST","FQ4 2021","FQ4 2021","Currency=USD","Period=FQ","BEST_FPERIOD_OVERRIDE=FQ","FILING_STATUS=MR","SCALING_FORMAT=MLN","Sort=A","Dates=H","DateFormat=P","Fill=—","Direction=H","UseDPDF=Y")</f>
        <v>48</v>
      </c>
      <c r="P9" s="13">
        <f>_xll.BDH("AMGN US Equity","BS_MKT_SEC_OTHER_ST_INVEST","FQ1 2022","FQ1 2022","Currency=USD","Period=FQ","BEST_FPERIOD_OVERRIDE=FQ","FILING_STATUS=MR","SCALING_FORMAT=MLN","Sort=A","Dates=H","DateFormat=P","Fill=—","Direction=H","UseDPDF=Y")</f>
        <v>16</v>
      </c>
      <c r="Q9" s="13">
        <f>_xll.BDH("AMGN US Equity","BS_MKT_SEC_OTHER_ST_INVEST","FQ2 2022","FQ2 2022","Currency=USD","Period=FQ","BEST_FPERIOD_OVERRIDE=FQ","FILING_STATUS=MR","SCALING_FORMAT=MLN","Sort=A","Dates=H","DateFormat=P","Fill=—","Direction=H","UseDPDF=Y")</f>
        <v>1980</v>
      </c>
      <c r="R9" s="13">
        <f>_xll.BDH("AMGN US Equity","BS_MKT_SEC_OTHER_ST_INVEST","FQ3 2022","FQ3 2022","Currency=USD","Period=FQ","BEST_FPERIOD_OVERRIDE=FQ","FILING_STATUS=MR","SCALING_FORMAT=MLN","Sort=A","Dates=H","DateFormat=P","Fill=—","Direction=H","UseDPDF=Y")</f>
        <v>1976</v>
      </c>
      <c r="S9" s="13">
        <f>_xll.BDH("AMGN US Equity","BS_MKT_SEC_OTHER_ST_INVEST","FQ4 2022","FQ4 2022","Currency=USD","Period=FQ","BEST_FPERIOD_OVERRIDE=FQ","FILING_STATUS=MR","SCALING_FORMAT=MLN","Sort=A","Dates=H","DateFormat=P","Fill=—","Direction=H","UseDPDF=Y")</f>
        <v>1676</v>
      </c>
      <c r="T9" s="13">
        <f>_xll.BDH("AMGN US Equity","BS_MKT_SEC_OTHER_ST_INVEST","FQ1 2023","FQ1 2023","Currency=USD","Period=FQ","BEST_FPERIOD_OVERRIDE=FQ","FILING_STATUS=MR","SCALING_FORMAT=MLN","Sort=A","Dates=H","DateFormat=P","Fill=—","Direction=H","UseDPDF=Y")</f>
        <v>1</v>
      </c>
      <c r="U9" s="13">
        <f>_xll.BDH("AMGN US Equity","BS_MKT_SEC_OTHER_ST_INVEST","FQ2 2023","FQ2 2023","Currency=USD","Period=FQ","BEST_FPERIOD_OVERRIDE=FQ","FILING_STATUS=MR","SCALING_FORMAT=MLN","Sort=A","Dates=H","DateFormat=P","Fill=—","Direction=H","UseDPDF=Y")</f>
        <v>0</v>
      </c>
      <c r="V9" s="13">
        <f>_xll.BDH("AMGN US Equity","BS_MKT_SEC_OTHER_ST_INVEST","FQ3 2023","FQ3 2023","Currency=USD","Period=FQ","BEST_FPERIOD_OVERRIDE=FQ","FILING_STATUS=MR","SCALING_FORMAT=MLN","Sort=A","Dates=H","DateFormat=P","Fill=—","Direction=H","UseDPDF=Y")</f>
        <v>0</v>
      </c>
      <c r="W9" s="13">
        <f>_xll.BDH("AMGN US Equity","BS_MKT_SEC_OTHER_ST_INVEST","FQ4 2023","FQ4 2023","Currency=USD","Period=FQ","BEST_FPERIOD_OVERRIDE=FQ","FILING_STATUS=MR","SCALING_FORMAT=MLN","Sort=A","Dates=H","DateFormat=P","Fill=—","Direction=H","UseDPDF=Y")</f>
        <v>0</v>
      </c>
      <c r="X9" s="13">
        <f>_xll.BDH("AMGN US Equity","BS_MKT_SEC_OTHER_ST_INVEST","FQ1 2024","FQ1 2024","Currency=USD","Period=FQ","BEST_FPERIOD_OVERRIDE=FQ","FILING_STATUS=MR","SCALING_FORMAT=MLN","Sort=A","Dates=H","DateFormat=P","Fill=—","Direction=H","UseDPDF=Y")</f>
        <v>0</v>
      </c>
      <c r="Y9" s="13">
        <f>_xll.BDH("AMGN US Equity","BS_MKT_SEC_OTHER_ST_INVEST","FQ2 2024","FQ2 2024","Currency=USD","Period=FQ","BEST_FPERIOD_OVERRIDE=FQ","FILING_STATUS=MR","SCALING_FORMAT=MLN","Sort=A","Dates=H","DateFormat=P","Fill=—","Direction=H","UseDPDF=Y")</f>
        <v>0</v>
      </c>
      <c r="Z9" s="13">
        <f>_xll.BDH("AMGN US Equity","BS_MKT_SEC_OTHER_ST_INVEST","FQ3 2024","FQ3 2024","Currency=USD","Period=FQ","BEST_FPERIOD_OVERRIDE=FQ","FILING_STATUS=MR","SCALING_FORMAT=MLN","Sort=A","Dates=H","DateFormat=P","Fill=—","Direction=H","UseDPDF=Y")</f>
        <v>0</v>
      </c>
      <c r="AA9" s="13">
        <f>_xll.BDH("AMGN US Equity","BS_MKT_SEC_OTHER_ST_INVEST","FQ4 2024","FQ4 2024","Currency=USD","Period=FQ","BEST_FPERIOD_OVERRIDE=FQ","FILING_STATUS=MR","SCALING_FORMAT=MLN","Sort=A","Dates=H","DateFormat=P","Fill=—","Direction=H","UseDPDF=Y")</f>
        <v>0</v>
      </c>
    </row>
    <row r="10" spans="1:27" x14ac:dyDescent="0.25">
      <c r="A10" s="10" t="s">
        <v>709</v>
      </c>
      <c r="B10" s="10" t="s">
        <v>710</v>
      </c>
      <c r="C10" s="13">
        <f>_xll.BDH("AMGN US Equity","BS_ACCT_NOTE_RCV","FQ4 2018","FQ4 2018","Currency=USD","Period=FQ","BEST_FPERIOD_OVERRIDE=FQ","FILING_STATUS=MR","SCALING_FORMAT=MLN","Sort=A","Dates=H","DateFormat=P","Fill=—","Direction=H","UseDPDF=Y")</f>
        <v>3580</v>
      </c>
      <c r="D10" s="13">
        <f>_xll.BDH("AMGN US Equity","BS_ACCT_NOTE_RCV","FQ1 2019","FQ1 2019","Currency=USD","Period=FQ","BEST_FPERIOD_OVERRIDE=FQ","FILING_STATUS=MR","SCALING_FORMAT=MLN","Sort=A","Dates=H","DateFormat=P","Fill=—","Direction=H","UseDPDF=Y")</f>
        <v>3771</v>
      </c>
      <c r="E10" s="13">
        <f>_xll.BDH("AMGN US Equity","BS_ACCT_NOTE_RCV","FQ2 2019","FQ2 2019","Currency=USD","Period=FQ","BEST_FPERIOD_OVERRIDE=FQ","FILING_STATUS=MR","SCALING_FORMAT=MLN","Sort=A","Dates=H","DateFormat=P","Fill=—","Direction=H","UseDPDF=Y")</f>
        <v>3801</v>
      </c>
      <c r="F10" s="13">
        <f>_xll.BDH("AMGN US Equity","BS_ACCT_NOTE_RCV","FQ3 2019","FQ3 2019","Currency=USD","Period=FQ","BEST_FPERIOD_OVERRIDE=FQ","FILING_STATUS=MR","SCALING_FORMAT=MLN","Sort=A","Dates=H","DateFormat=P","Fill=—","Direction=H","UseDPDF=Y")</f>
        <v>3606</v>
      </c>
      <c r="G10" s="13">
        <f>_xll.BDH("AMGN US Equity","BS_ACCT_NOTE_RCV","FQ4 2019","FQ4 2019","Currency=USD","Period=FQ","BEST_FPERIOD_OVERRIDE=FQ","FILING_STATUS=MR","SCALING_FORMAT=MLN","Sort=A","Dates=H","DateFormat=P","Fill=—","Direction=H","UseDPDF=Y")</f>
        <v>4057</v>
      </c>
      <c r="H10" s="13">
        <f>_xll.BDH("AMGN US Equity","BS_ACCT_NOTE_RCV","FQ1 2020","FQ1 2020","Currency=USD","Period=FQ","BEST_FPERIOD_OVERRIDE=FQ","FILING_STATUS=MR","SCALING_FORMAT=MLN","Sort=A","Dates=H","DateFormat=P","Fill=—","Direction=H","UseDPDF=Y")</f>
        <v>5009</v>
      </c>
      <c r="I10" s="13">
        <f>_xll.BDH("AMGN US Equity","BS_ACCT_NOTE_RCV","FQ2 2020","FQ2 2020","Currency=USD","Period=FQ","BEST_FPERIOD_OVERRIDE=FQ","FILING_STATUS=MR","SCALING_FORMAT=MLN","Sort=A","Dates=H","DateFormat=P","Fill=—","Direction=H","UseDPDF=Y")</f>
        <v>5366</v>
      </c>
      <c r="J10" s="13">
        <f>_xll.BDH("AMGN US Equity","BS_ACCT_NOTE_RCV","FQ3 2020","FQ3 2020","Currency=USD","Period=FQ","BEST_FPERIOD_OVERRIDE=FQ","FILING_STATUS=MR","SCALING_FORMAT=MLN","Sort=A","Dates=H","DateFormat=P","Fill=—","Direction=H","UseDPDF=Y")</f>
        <v>4094</v>
      </c>
      <c r="K10" s="13">
        <f>_xll.BDH("AMGN US Equity","BS_ACCT_NOTE_RCV","FQ4 2020","FQ4 2020","Currency=USD","Period=FQ","BEST_FPERIOD_OVERRIDE=FQ","FILING_STATUS=MR","SCALING_FORMAT=MLN","Sort=A","Dates=H","DateFormat=P","Fill=—","Direction=H","UseDPDF=Y")</f>
        <v>4525</v>
      </c>
      <c r="L10" s="13">
        <f>_xll.BDH("AMGN US Equity","BS_ACCT_NOTE_RCV","FQ1 2021","FQ1 2021","Currency=USD","Period=FQ","BEST_FPERIOD_OVERRIDE=FQ","FILING_STATUS=MR","SCALING_FORMAT=MLN","Sort=A","Dates=H","DateFormat=P","Fill=—","Direction=H","UseDPDF=Y")</f>
        <v>4423</v>
      </c>
      <c r="M10" s="13">
        <f>_xll.BDH("AMGN US Equity","BS_ACCT_NOTE_RCV","FQ2 2021","FQ2 2021","Currency=USD","Period=FQ","BEST_FPERIOD_OVERRIDE=FQ","FILING_STATUS=MR","SCALING_FORMAT=MLN","Sort=A","Dates=H","DateFormat=P","Fill=—","Direction=H","UseDPDF=Y")</f>
        <v>4479</v>
      </c>
      <c r="N10" s="13">
        <f>_xll.BDH("AMGN US Equity","BS_ACCT_NOTE_RCV","FQ3 2021","FQ3 2021","Currency=USD","Period=FQ","BEST_FPERIOD_OVERRIDE=FQ","FILING_STATUS=MR","SCALING_FORMAT=MLN","Sort=A","Dates=H","DateFormat=P","Fill=—","Direction=H","UseDPDF=Y")</f>
        <v>4765</v>
      </c>
      <c r="O10" s="13">
        <f>_xll.BDH("AMGN US Equity","BS_ACCT_NOTE_RCV","FQ4 2021","FQ4 2021","Currency=USD","Period=FQ","BEST_FPERIOD_OVERRIDE=FQ","FILING_STATUS=MR","SCALING_FORMAT=MLN","Sort=A","Dates=H","DateFormat=P","Fill=—","Direction=H","UseDPDF=Y")</f>
        <v>4895</v>
      </c>
      <c r="P10" s="13">
        <f>_xll.BDH("AMGN US Equity","BS_ACCT_NOTE_RCV","FQ1 2022","FQ1 2022","Currency=USD","Period=FQ","BEST_FPERIOD_OVERRIDE=FQ","FILING_STATUS=MR","SCALING_FORMAT=MLN","Sort=A","Dates=H","DateFormat=P","Fill=—","Direction=H","UseDPDF=Y")</f>
        <v>5077</v>
      </c>
      <c r="Q10" s="13">
        <f>_xll.BDH("AMGN US Equity","BS_ACCT_NOTE_RCV","FQ2 2022","FQ2 2022","Currency=USD","Period=FQ","BEST_FPERIOD_OVERRIDE=FQ","FILING_STATUS=MR","SCALING_FORMAT=MLN","Sort=A","Dates=H","DateFormat=P","Fill=—","Direction=H","UseDPDF=Y")</f>
        <v>5327</v>
      </c>
      <c r="R10" s="13">
        <f>_xll.BDH("AMGN US Equity","BS_ACCT_NOTE_RCV","FQ3 2022","FQ3 2022","Currency=USD","Period=FQ","BEST_FPERIOD_OVERRIDE=FQ","FILING_STATUS=MR","SCALING_FORMAT=MLN","Sort=A","Dates=H","DateFormat=P","Fill=—","Direction=H","UseDPDF=Y")</f>
        <v>5326</v>
      </c>
      <c r="S10" s="13">
        <f>_xll.BDH("AMGN US Equity","BS_ACCT_NOTE_RCV","FQ4 2022","FQ4 2022","Currency=USD","Period=FQ","BEST_FPERIOD_OVERRIDE=FQ","FILING_STATUS=MR","SCALING_FORMAT=MLN","Sort=A","Dates=H","DateFormat=P","Fill=—","Direction=H","UseDPDF=Y")</f>
        <v>5563</v>
      </c>
      <c r="T10" s="13">
        <f>_xll.BDH("AMGN US Equity","BS_ACCT_NOTE_RCV","FQ1 2023","FQ1 2023","Currency=USD","Period=FQ","BEST_FPERIOD_OVERRIDE=FQ","FILING_STATUS=MR","SCALING_FORMAT=MLN","Sort=A","Dates=H","DateFormat=P","Fill=—","Direction=H","UseDPDF=Y")</f>
        <v>5736</v>
      </c>
      <c r="U10" s="13">
        <f>_xll.BDH("AMGN US Equity","BS_ACCT_NOTE_RCV","FQ2 2023","FQ2 2023","Currency=USD","Period=FQ","BEST_FPERIOD_OVERRIDE=FQ","FILING_STATUS=MR","SCALING_FORMAT=MLN","Sort=A","Dates=H","DateFormat=P","Fill=—","Direction=H","UseDPDF=Y")</f>
        <v>5830</v>
      </c>
      <c r="V10" s="13">
        <f>_xll.BDH("AMGN US Equity","BS_ACCT_NOTE_RCV","FQ3 2023","FQ3 2023","Currency=USD","Period=FQ","BEST_FPERIOD_OVERRIDE=FQ","FILING_STATUS=MR","SCALING_FORMAT=MLN","Sort=A","Dates=H","DateFormat=P","Fill=—","Direction=H","UseDPDF=Y")</f>
        <v>6145</v>
      </c>
      <c r="W10" s="13">
        <f>_xll.BDH("AMGN US Equity","BS_ACCT_NOTE_RCV","FQ4 2023","FQ4 2023","Currency=USD","Period=FQ","BEST_FPERIOD_OVERRIDE=FQ","FILING_STATUS=MR","SCALING_FORMAT=MLN","Sort=A","Dates=H","DateFormat=P","Fill=—","Direction=H","UseDPDF=Y")</f>
        <v>7268</v>
      </c>
      <c r="X10" s="13">
        <f>_xll.BDH("AMGN US Equity","BS_ACCT_NOTE_RCV","FQ1 2024","FQ1 2024","Currency=USD","Period=FQ","BEST_FPERIOD_OVERRIDE=FQ","FILING_STATUS=MR","SCALING_FORMAT=MLN","Sort=A","Dates=H","DateFormat=P","Fill=—","Direction=H","UseDPDF=Y")</f>
        <v>6776</v>
      </c>
      <c r="Y10" s="13">
        <f>_xll.BDH("AMGN US Equity","BS_ACCT_NOTE_RCV","FQ2 2024","FQ2 2024","Currency=USD","Period=FQ","BEST_FPERIOD_OVERRIDE=FQ","FILING_STATUS=MR","SCALING_FORMAT=MLN","Sort=A","Dates=H","DateFormat=P","Fill=—","Direction=H","UseDPDF=Y")</f>
        <v>6934</v>
      </c>
      <c r="Z10" s="13">
        <f>_xll.BDH("AMGN US Equity","BS_ACCT_NOTE_RCV","FQ3 2024","FQ3 2024","Currency=USD","Period=FQ","BEST_FPERIOD_OVERRIDE=FQ","FILING_STATUS=MR","SCALING_FORMAT=MLN","Sort=A","Dates=H","DateFormat=P","Fill=—","Direction=H","UseDPDF=Y")</f>
        <v>7317</v>
      </c>
      <c r="AA10" s="13">
        <f>_xll.BDH("AMGN US Equity","BS_ACCT_NOTE_RCV","FQ4 2024","FQ4 2024","Currency=USD","Period=FQ","BEST_FPERIOD_OVERRIDE=FQ","FILING_STATUS=MR","SCALING_FORMAT=MLN","Sort=A","Dates=H","DateFormat=P","Fill=—","Direction=H","UseDPDF=Y")</f>
        <v>6782</v>
      </c>
    </row>
    <row r="11" spans="1:27" x14ac:dyDescent="0.25">
      <c r="A11" s="10" t="s">
        <v>711</v>
      </c>
      <c r="B11" s="10" t="s">
        <v>712</v>
      </c>
      <c r="C11" s="13">
        <f>_xll.BDH("AMGN US Equity","BS_ACCTS_REC_EXCL_NOTES_REC","FQ4 2018","FQ4 2018","Currency=USD","Period=FQ","BEST_FPERIOD_OVERRIDE=FQ","FILING_STATUS=MR","SCALING_FORMAT=MLN","Sort=A","Dates=H","DateFormat=P","Fill=—","Direction=H","UseDPDF=Y")</f>
        <v>3580</v>
      </c>
      <c r="D11" s="13">
        <f>_xll.BDH("AMGN US Equity","BS_ACCTS_REC_EXCL_NOTES_REC","FQ1 2019","FQ1 2019","Currency=USD","Period=FQ","BEST_FPERIOD_OVERRIDE=FQ","FILING_STATUS=MR","SCALING_FORMAT=MLN","Sort=A","Dates=H","DateFormat=P","Fill=—","Direction=H","UseDPDF=Y")</f>
        <v>3771</v>
      </c>
      <c r="E11" s="13">
        <f>_xll.BDH("AMGN US Equity","BS_ACCTS_REC_EXCL_NOTES_REC","FQ2 2019","FQ2 2019","Currency=USD","Period=FQ","BEST_FPERIOD_OVERRIDE=FQ","FILING_STATUS=MR","SCALING_FORMAT=MLN","Sort=A","Dates=H","DateFormat=P","Fill=—","Direction=H","UseDPDF=Y")</f>
        <v>3801</v>
      </c>
      <c r="F11" s="13">
        <f>_xll.BDH("AMGN US Equity","BS_ACCTS_REC_EXCL_NOTES_REC","FQ3 2019","FQ3 2019","Currency=USD","Period=FQ","BEST_FPERIOD_OVERRIDE=FQ","FILING_STATUS=MR","SCALING_FORMAT=MLN","Sort=A","Dates=H","DateFormat=P","Fill=—","Direction=H","UseDPDF=Y")</f>
        <v>3606</v>
      </c>
      <c r="G11" s="13">
        <f>_xll.BDH("AMGN US Equity","BS_ACCTS_REC_EXCL_NOTES_REC","FQ4 2019","FQ4 2019","Currency=USD","Period=FQ","BEST_FPERIOD_OVERRIDE=FQ","FILING_STATUS=MR","SCALING_FORMAT=MLN","Sort=A","Dates=H","DateFormat=P","Fill=—","Direction=H","UseDPDF=Y")</f>
        <v>4057</v>
      </c>
      <c r="H11" s="13">
        <f>_xll.BDH("AMGN US Equity","BS_ACCTS_REC_EXCL_NOTES_REC","FQ1 2020","FQ1 2020","Currency=USD","Period=FQ","BEST_FPERIOD_OVERRIDE=FQ","FILING_STATUS=MR","SCALING_FORMAT=MLN","Sort=A","Dates=H","DateFormat=P","Fill=—","Direction=H","UseDPDF=Y")</f>
        <v>5009</v>
      </c>
      <c r="I11" s="13">
        <f>_xll.BDH("AMGN US Equity","BS_ACCTS_REC_EXCL_NOTES_REC","FQ2 2020","FQ2 2020","Currency=USD","Period=FQ","BEST_FPERIOD_OVERRIDE=FQ","FILING_STATUS=MR","SCALING_FORMAT=MLN","Sort=A","Dates=H","DateFormat=P","Fill=—","Direction=H","UseDPDF=Y")</f>
        <v>5366</v>
      </c>
      <c r="J11" s="13">
        <f>_xll.BDH("AMGN US Equity","BS_ACCTS_REC_EXCL_NOTES_REC","FQ3 2020","FQ3 2020","Currency=USD","Period=FQ","BEST_FPERIOD_OVERRIDE=FQ","FILING_STATUS=MR","SCALING_FORMAT=MLN","Sort=A","Dates=H","DateFormat=P","Fill=—","Direction=H","UseDPDF=Y")</f>
        <v>4094</v>
      </c>
      <c r="K11" s="13">
        <f>_xll.BDH("AMGN US Equity","BS_ACCTS_REC_EXCL_NOTES_REC","FQ4 2020","FQ4 2020","Currency=USD","Period=FQ","BEST_FPERIOD_OVERRIDE=FQ","FILING_STATUS=MR","SCALING_FORMAT=MLN","Sort=A","Dates=H","DateFormat=P","Fill=—","Direction=H","UseDPDF=Y")</f>
        <v>4525</v>
      </c>
      <c r="L11" s="13">
        <f>_xll.BDH("AMGN US Equity","BS_ACCTS_REC_EXCL_NOTES_REC","FQ1 2021","FQ1 2021","Currency=USD","Period=FQ","BEST_FPERIOD_OVERRIDE=FQ","FILING_STATUS=MR","SCALING_FORMAT=MLN","Sort=A","Dates=H","DateFormat=P","Fill=—","Direction=H","UseDPDF=Y")</f>
        <v>4423</v>
      </c>
      <c r="M11" s="13">
        <f>_xll.BDH("AMGN US Equity","BS_ACCTS_REC_EXCL_NOTES_REC","FQ2 2021","FQ2 2021","Currency=USD","Period=FQ","BEST_FPERIOD_OVERRIDE=FQ","FILING_STATUS=MR","SCALING_FORMAT=MLN","Sort=A","Dates=H","DateFormat=P","Fill=—","Direction=H","UseDPDF=Y")</f>
        <v>4479</v>
      </c>
      <c r="N11" s="13">
        <f>_xll.BDH("AMGN US Equity","BS_ACCTS_REC_EXCL_NOTES_REC","FQ3 2021","FQ3 2021","Currency=USD","Period=FQ","BEST_FPERIOD_OVERRIDE=FQ","FILING_STATUS=MR","SCALING_FORMAT=MLN","Sort=A","Dates=H","DateFormat=P","Fill=—","Direction=H","UseDPDF=Y")</f>
        <v>4765</v>
      </c>
      <c r="O11" s="13">
        <f>_xll.BDH("AMGN US Equity","BS_ACCTS_REC_EXCL_NOTES_REC","FQ4 2021","FQ4 2021","Currency=USD","Period=FQ","BEST_FPERIOD_OVERRIDE=FQ","FILING_STATUS=MR","SCALING_FORMAT=MLN","Sort=A","Dates=H","DateFormat=P","Fill=—","Direction=H","UseDPDF=Y")</f>
        <v>4895</v>
      </c>
      <c r="P11" s="13">
        <f>_xll.BDH("AMGN US Equity","BS_ACCTS_REC_EXCL_NOTES_REC","FQ1 2022","FQ1 2022","Currency=USD","Period=FQ","BEST_FPERIOD_OVERRIDE=FQ","FILING_STATUS=MR","SCALING_FORMAT=MLN","Sort=A","Dates=H","DateFormat=P","Fill=—","Direction=H","UseDPDF=Y")</f>
        <v>5077</v>
      </c>
      <c r="Q11" s="13">
        <f>_xll.BDH("AMGN US Equity","BS_ACCTS_REC_EXCL_NOTES_REC","FQ2 2022","FQ2 2022","Currency=USD","Period=FQ","BEST_FPERIOD_OVERRIDE=FQ","FILING_STATUS=MR","SCALING_FORMAT=MLN","Sort=A","Dates=H","DateFormat=P","Fill=—","Direction=H","UseDPDF=Y")</f>
        <v>5327</v>
      </c>
      <c r="R11" s="13">
        <f>_xll.BDH("AMGN US Equity","BS_ACCTS_REC_EXCL_NOTES_REC","FQ3 2022","FQ3 2022","Currency=USD","Period=FQ","BEST_FPERIOD_OVERRIDE=FQ","FILING_STATUS=MR","SCALING_FORMAT=MLN","Sort=A","Dates=H","DateFormat=P","Fill=—","Direction=H","UseDPDF=Y")</f>
        <v>5326</v>
      </c>
      <c r="S11" s="13">
        <f>_xll.BDH("AMGN US Equity","BS_ACCTS_REC_EXCL_NOTES_REC","FQ4 2022","FQ4 2022","Currency=USD","Period=FQ","BEST_FPERIOD_OVERRIDE=FQ","FILING_STATUS=MR","SCALING_FORMAT=MLN","Sort=A","Dates=H","DateFormat=P","Fill=—","Direction=H","UseDPDF=Y")</f>
        <v>5563</v>
      </c>
      <c r="T11" s="13">
        <f>_xll.BDH("AMGN US Equity","BS_ACCTS_REC_EXCL_NOTES_REC","FQ1 2023","FQ1 2023","Currency=USD","Period=FQ","BEST_FPERIOD_OVERRIDE=FQ","FILING_STATUS=MR","SCALING_FORMAT=MLN","Sort=A","Dates=H","DateFormat=P","Fill=—","Direction=H","UseDPDF=Y")</f>
        <v>5736</v>
      </c>
      <c r="U11" s="13">
        <f>_xll.BDH("AMGN US Equity","BS_ACCTS_REC_EXCL_NOTES_REC","FQ2 2023","FQ2 2023","Currency=USD","Period=FQ","BEST_FPERIOD_OVERRIDE=FQ","FILING_STATUS=MR","SCALING_FORMAT=MLN","Sort=A","Dates=H","DateFormat=P","Fill=—","Direction=H","UseDPDF=Y")</f>
        <v>5830</v>
      </c>
      <c r="V11" s="13">
        <f>_xll.BDH("AMGN US Equity","BS_ACCTS_REC_EXCL_NOTES_REC","FQ3 2023","FQ3 2023","Currency=USD","Period=FQ","BEST_FPERIOD_OVERRIDE=FQ","FILING_STATUS=MR","SCALING_FORMAT=MLN","Sort=A","Dates=H","DateFormat=P","Fill=—","Direction=H","UseDPDF=Y")</f>
        <v>6145</v>
      </c>
      <c r="W11" s="13">
        <f>_xll.BDH("AMGN US Equity","BS_ACCTS_REC_EXCL_NOTES_REC","FQ4 2023","FQ4 2023","Currency=USD","Period=FQ","BEST_FPERIOD_OVERRIDE=FQ","FILING_STATUS=MR","SCALING_FORMAT=MLN","Sort=A","Dates=H","DateFormat=P","Fill=—","Direction=H","UseDPDF=Y")</f>
        <v>7268</v>
      </c>
      <c r="X11" s="13">
        <f>_xll.BDH("AMGN US Equity","BS_ACCTS_REC_EXCL_NOTES_REC","FQ1 2024","FQ1 2024","Currency=USD","Period=FQ","BEST_FPERIOD_OVERRIDE=FQ","FILING_STATUS=MR","SCALING_FORMAT=MLN","Sort=A","Dates=H","DateFormat=P","Fill=—","Direction=H","UseDPDF=Y")</f>
        <v>6776</v>
      </c>
      <c r="Y11" s="13">
        <f>_xll.BDH("AMGN US Equity","BS_ACCTS_REC_EXCL_NOTES_REC","FQ2 2024","FQ2 2024","Currency=USD","Period=FQ","BEST_FPERIOD_OVERRIDE=FQ","FILING_STATUS=MR","SCALING_FORMAT=MLN","Sort=A","Dates=H","DateFormat=P","Fill=—","Direction=H","UseDPDF=Y")</f>
        <v>6934</v>
      </c>
      <c r="Z11" s="13">
        <f>_xll.BDH("AMGN US Equity","BS_ACCTS_REC_EXCL_NOTES_REC","FQ3 2024","FQ3 2024","Currency=USD","Period=FQ","BEST_FPERIOD_OVERRIDE=FQ","FILING_STATUS=MR","SCALING_FORMAT=MLN","Sort=A","Dates=H","DateFormat=P","Fill=—","Direction=H","UseDPDF=Y")</f>
        <v>7317</v>
      </c>
      <c r="AA11" s="13">
        <f>_xll.BDH("AMGN US Equity","BS_ACCTS_REC_EXCL_NOTES_REC","FQ4 2024","FQ4 2024","Currency=USD","Period=FQ","BEST_FPERIOD_OVERRIDE=FQ","FILING_STATUS=MR","SCALING_FORMAT=MLN","Sort=A","Dates=H","DateFormat=P","Fill=—","Direction=H","UseDPDF=Y")</f>
        <v>6782</v>
      </c>
    </row>
    <row r="12" spans="1:27" x14ac:dyDescent="0.25">
      <c r="A12" s="10" t="s">
        <v>713</v>
      </c>
      <c r="B12" s="10" t="s">
        <v>714</v>
      </c>
      <c r="C12" s="13">
        <f>_xll.BDH("AMGN US Equity","NOTES_RECEIVABLE","FQ4 2018","FQ4 2018","Currency=USD","Period=FQ","BEST_FPERIOD_OVERRIDE=FQ","FILING_STATUS=MR","SCALING_FORMAT=MLN","Sort=A","Dates=H","DateFormat=P","Fill=—","Direction=H","UseDPDF=Y")</f>
        <v>0</v>
      </c>
      <c r="D12" s="13">
        <f>_xll.BDH("AMGN US Equity","NOTES_RECEIVABLE","FQ1 2019","FQ1 2019","Currency=USD","Period=FQ","BEST_FPERIOD_OVERRIDE=FQ","FILING_STATUS=MR","SCALING_FORMAT=MLN","Sort=A","Dates=H","DateFormat=P","Fill=—","Direction=H","UseDPDF=Y")</f>
        <v>0</v>
      </c>
      <c r="E12" s="13">
        <f>_xll.BDH("AMGN US Equity","NOTES_RECEIVABLE","FQ2 2019","FQ2 2019","Currency=USD","Period=FQ","BEST_FPERIOD_OVERRIDE=FQ","FILING_STATUS=MR","SCALING_FORMAT=MLN","Sort=A","Dates=H","DateFormat=P","Fill=—","Direction=H","UseDPDF=Y")</f>
        <v>0</v>
      </c>
      <c r="F12" s="13">
        <f>_xll.BDH("AMGN US Equity","NOTES_RECEIVABLE","FQ3 2019","FQ3 2019","Currency=USD","Period=FQ","BEST_FPERIOD_OVERRIDE=FQ","FILING_STATUS=MR","SCALING_FORMAT=MLN","Sort=A","Dates=H","DateFormat=P","Fill=—","Direction=H","UseDPDF=Y")</f>
        <v>0</v>
      </c>
      <c r="G12" s="13">
        <f>_xll.BDH("AMGN US Equity","NOTES_RECEIVABLE","FQ4 2019","FQ4 2019","Currency=USD","Period=FQ","BEST_FPERIOD_OVERRIDE=FQ","FILING_STATUS=MR","SCALING_FORMAT=MLN","Sort=A","Dates=H","DateFormat=P","Fill=—","Direction=H","UseDPDF=Y")</f>
        <v>0</v>
      </c>
      <c r="H12" s="13">
        <f>_xll.BDH("AMGN US Equity","NOTES_RECEIVABLE","FQ1 2020","FQ1 2020","Currency=USD","Period=FQ","BEST_FPERIOD_OVERRIDE=FQ","FILING_STATUS=MR","SCALING_FORMAT=MLN","Sort=A","Dates=H","DateFormat=P","Fill=—","Direction=H","UseDPDF=Y")</f>
        <v>0</v>
      </c>
      <c r="I12" s="13">
        <f>_xll.BDH("AMGN US Equity","NOTES_RECEIVABLE","FQ2 2020","FQ2 2020","Currency=USD","Period=FQ","BEST_FPERIOD_OVERRIDE=FQ","FILING_STATUS=MR","SCALING_FORMAT=MLN","Sort=A","Dates=H","DateFormat=P","Fill=—","Direction=H","UseDPDF=Y")</f>
        <v>0</v>
      </c>
      <c r="J12" s="13">
        <f>_xll.BDH("AMGN US Equity","NOTES_RECEIVABLE","FQ3 2020","FQ3 2020","Currency=USD","Period=FQ","BEST_FPERIOD_OVERRIDE=FQ","FILING_STATUS=MR","SCALING_FORMAT=MLN","Sort=A","Dates=H","DateFormat=P","Fill=—","Direction=H","UseDPDF=Y")</f>
        <v>0</v>
      </c>
      <c r="K12" s="13">
        <f>_xll.BDH("AMGN US Equity","NOTES_RECEIVABLE","FQ4 2020","FQ4 2020","Currency=USD","Period=FQ","BEST_FPERIOD_OVERRIDE=FQ","FILING_STATUS=MR","SCALING_FORMAT=MLN","Sort=A","Dates=H","DateFormat=P","Fill=—","Direction=H","UseDPDF=Y")</f>
        <v>0</v>
      </c>
      <c r="L12" s="13">
        <f>_xll.BDH("AMGN US Equity","NOTES_RECEIVABLE","FQ1 2021","FQ1 2021","Currency=USD","Period=FQ","BEST_FPERIOD_OVERRIDE=FQ","FILING_STATUS=MR","SCALING_FORMAT=MLN","Sort=A","Dates=H","DateFormat=P","Fill=—","Direction=H","UseDPDF=Y")</f>
        <v>0</v>
      </c>
      <c r="M12" s="13">
        <f>_xll.BDH("AMGN US Equity","NOTES_RECEIVABLE","FQ2 2021","FQ2 2021","Currency=USD","Period=FQ","BEST_FPERIOD_OVERRIDE=FQ","FILING_STATUS=MR","SCALING_FORMAT=MLN","Sort=A","Dates=H","DateFormat=P","Fill=—","Direction=H","UseDPDF=Y")</f>
        <v>0</v>
      </c>
      <c r="N12" s="13">
        <f>_xll.BDH("AMGN US Equity","NOTES_RECEIVABLE","FQ3 2021","FQ3 2021","Currency=USD","Period=FQ","BEST_FPERIOD_OVERRIDE=FQ","FILING_STATUS=MR","SCALING_FORMAT=MLN","Sort=A","Dates=H","DateFormat=P","Fill=—","Direction=H","UseDPDF=Y")</f>
        <v>0</v>
      </c>
      <c r="O12" s="13">
        <f>_xll.BDH("AMGN US Equity","NOTES_RECEIVABLE","FQ4 2021","FQ4 2021","Currency=USD","Period=FQ","BEST_FPERIOD_OVERRIDE=FQ","FILING_STATUS=MR","SCALING_FORMAT=MLN","Sort=A","Dates=H","DateFormat=P","Fill=—","Direction=H","UseDPDF=Y")</f>
        <v>0</v>
      </c>
      <c r="P12" s="13">
        <f>_xll.BDH("AMGN US Equity","NOTES_RECEIVABLE","FQ1 2022","FQ1 2022","Currency=USD","Period=FQ","BEST_FPERIOD_OVERRIDE=FQ","FILING_STATUS=MR","SCALING_FORMAT=MLN","Sort=A","Dates=H","DateFormat=P","Fill=—","Direction=H","UseDPDF=Y")</f>
        <v>0</v>
      </c>
      <c r="Q12" s="13">
        <f>_xll.BDH("AMGN US Equity","NOTES_RECEIVABLE","FQ2 2022","FQ2 2022","Currency=USD","Period=FQ","BEST_FPERIOD_OVERRIDE=FQ","FILING_STATUS=MR","SCALING_FORMAT=MLN","Sort=A","Dates=H","DateFormat=P","Fill=—","Direction=H","UseDPDF=Y")</f>
        <v>0</v>
      </c>
      <c r="R12" s="13">
        <f>_xll.BDH("AMGN US Equity","NOTES_RECEIVABLE","FQ3 2022","FQ3 2022","Currency=USD","Period=FQ","BEST_FPERIOD_OVERRIDE=FQ","FILING_STATUS=MR","SCALING_FORMAT=MLN","Sort=A","Dates=H","DateFormat=P","Fill=—","Direction=H","UseDPDF=Y")</f>
        <v>0</v>
      </c>
      <c r="S12" s="13">
        <f>_xll.BDH("AMGN US Equity","NOTES_RECEIVABLE","FQ4 2022","FQ4 2022","Currency=USD","Period=FQ","BEST_FPERIOD_OVERRIDE=FQ","FILING_STATUS=MR","SCALING_FORMAT=MLN","Sort=A","Dates=H","DateFormat=P","Fill=—","Direction=H","UseDPDF=Y")</f>
        <v>0</v>
      </c>
      <c r="T12" s="13">
        <f>_xll.BDH("AMGN US Equity","NOTES_RECEIVABLE","FQ1 2023","FQ1 2023","Currency=USD","Period=FQ","BEST_FPERIOD_OVERRIDE=FQ","FILING_STATUS=MR","SCALING_FORMAT=MLN","Sort=A","Dates=H","DateFormat=P","Fill=—","Direction=H","UseDPDF=Y")</f>
        <v>0</v>
      </c>
      <c r="U12" s="13">
        <f>_xll.BDH("AMGN US Equity","NOTES_RECEIVABLE","FQ2 2023","FQ2 2023","Currency=USD","Period=FQ","BEST_FPERIOD_OVERRIDE=FQ","FILING_STATUS=MR","SCALING_FORMAT=MLN","Sort=A","Dates=H","DateFormat=P","Fill=—","Direction=H","UseDPDF=Y")</f>
        <v>0</v>
      </c>
      <c r="V12" s="13">
        <f>_xll.BDH("AMGN US Equity","NOTES_RECEIVABLE","FQ3 2023","FQ3 2023","Currency=USD","Period=FQ","BEST_FPERIOD_OVERRIDE=FQ","FILING_STATUS=MR","SCALING_FORMAT=MLN","Sort=A","Dates=H","DateFormat=P","Fill=—","Direction=H","UseDPDF=Y")</f>
        <v>0</v>
      </c>
      <c r="W12" s="13">
        <f>_xll.BDH("AMGN US Equity","NOTES_RECEIVABLE","FQ4 2023","FQ4 2023","Currency=USD","Period=FQ","BEST_FPERIOD_OVERRIDE=FQ","FILING_STATUS=MR","SCALING_FORMAT=MLN","Sort=A","Dates=H","DateFormat=P","Fill=—","Direction=H","UseDPDF=Y")</f>
        <v>0</v>
      </c>
      <c r="X12" s="13">
        <f>_xll.BDH("AMGN US Equity","NOTES_RECEIVABLE","FQ1 2024","FQ1 2024","Currency=USD","Period=FQ","BEST_FPERIOD_OVERRIDE=FQ","FILING_STATUS=MR","SCALING_FORMAT=MLN","Sort=A","Dates=H","DateFormat=P","Fill=—","Direction=H","UseDPDF=Y")</f>
        <v>0</v>
      </c>
      <c r="Y12" s="13">
        <f>_xll.BDH("AMGN US Equity","NOTES_RECEIVABLE","FQ2 2024","FQ2 2024","Currency=USD","Period=FQ","BEST_FPERIOD_OVERRIDE=FQ","FILING_STATUS=MR","SCALING_FORMAT=MLN","Sort=A","Dates=H","DateFormat=P","Fill=—","Direction=H","UseDPDF=Y")</f>
        <v>0</v>
      </c>
      <c r="Z12" s="13">
        <f>_xll.BDH("AMGN US Equity","NOTES_RECEIVABLE","FQ3 2024","FQ3 2024","Currency=USD","Period=FQ","BEST_FPERIOD_OVERRIDE=FQ","FILING_STATUS=MR","SCALING_FORMAT=MLN","Sort=A","Dates=H","DateFormat=P","Fill=—","Direction=H","UseDPDF=Y")</f>
        <v>0</v>
      </c>
      <c r="AA12" s="13">
        <f>_xll.BDH("AMGN US Equity","NOTES_RECEIVABLE","FQ4 2024","FQ4 2024","Currency=USD","Period=FQ","BEST_FPERIOD_OVERRIDE=FQ","FILING_STATUS=MR","SCALING_FORMAT=MLN","Sort=A","Dates=H","DateFormat=P","Fill=—","Direction=H","UseDPDF=Y")</f>
        <v>0</v>
      </c>
    </row>
    <row r="13" spans="1:27" x14ac:dyDescent="0.25">
      <c r="A13" s="10" t="s">
        <v>715</v>
      </c>
      <c r="B13" s="10" t="s">
        <v>716</v>
      </c>
      <c r="C13" s="13">
        <f>_xll.BDH("AMGN US Equity","BS_INVENTORIES","FQ4 2018","FQ4 2018","Currency=USD","Period=FQ","BEST_FPERIOD_OVERRIDE=FQ","FILING_STATUS=MR","SCALING_FORMAT=MLN","Sort=A","Dates=H","DateFormat=P","Fill=—","Direction=H","UseDPDF=Y")</f>
        <v>2940</v>
      </c>
      <c r="D13" s="13">
        <f>_xll.BDH("AMGN US Equity","BS_INVENTORIES","FQ1 2019","FQ1 2019","Currency=USD","Period=FQ","BEST_FPERIOD_OVERRIDE=FQ","FILING_STATUS=MR","SCALING_FORMAT=MLN","Sort=A","Dates=H","DateFormat=P","Fill=—","Direction=H","UseDPDF=Y")</f>
        <v>3016</v>
      </c>
      <c r="E13" s="13">
        <f>_xll.BDH("AMGN US Equity","BS_INVENTORIES","FQ2 2019","FQ2 2019","Currency=USD","Period=FQ","BEST_FPERIOD_OVERRIDE=FQ","FILING_STATUS=MR","SCALING_FORMAT=MLN","Sort=A","Dates=H","DateFormat=P","Fill=—","Direction=H","UseDPDF=Y")</f>
        <v>3176</v>
      </c>
      <c r="F13" s="13">
        <f>_xll.BDH("AMGN US Equity","BS_INVENTORIES","FQ3 2019","FQ3 2019","Currency=USD","Period=FQ","BEST_FPERIOD_OVERRIDE=FQ","FILING_STATUS=MR","SCALING_FORMAT=MLN","Sort=A","Dates=H","DateFormat=P","Fill=—","Direction=H","UseDPDF=Y")</f>
        <v>3243</v>
      </c>
      <c r="G13" s="13">
        <f>_xll.BDH("AMGN US Equity","BS_INVENTORIES","FQ4 2019","FQ4 2019","Currency=USD","Period=FQ","BEST_FPERIOD_OVERRIDE=FQ","FILING_STATUS=MR","SCALING_FORMAT=MLN","Sort=A","Dates=H","DateFormat=P","Fill=—","Direction=H","UseDPDF=Y")</f>
        <v>3584</v>
      </c>
      <c r="H13" s="13">
        <f>_xll.BDH("AMGN US Equity","BS_INVENTORIES","FQ1 2020","FQ1 2020","Currency=USD","Period=FQ","BEST_FPERIOD_OVERRIDE=FQ","FILING_STATUS=MR","SCALING_FORMAT=MLN","Sort=A","Dates=H","DateFormat=P","Fill=—","Direction=H","UseDPDF=Y")</f>
        <v>3682</v>
      </c>
      <c r="I13" s="13">
        <f>_xll.BDH("AMGN US Equity","BS_INVENTORIES","FQ2 2020","FQ2 2020","Currency=USD","Period=FQ","BEST_FPERIOD_OVERRIDE=FQ","FILING_STATUS=MR","SCALING_FORMAT=MLN","Sort=A","Dates=H","DateFormat=P","Fill=—","Direction=H","UseDPDF=Y")</f>
        <v>3840</v>
      </c>
      <c r="J13" s="13">
        <f>_xll.BDH("AMGN US Equity","BS_INVENTORIES","FQ3 2020","FQ3 2020","Currency=USD","Period=FQ","BEST_FPERIOD_OVERRIDE=FQ","FILING_STATUS=MR","SCALING_FORMAT=MLN","Sort=A","Dates=H","DateFormat=P","Fill=—","Direction=H","UseDPDF=Y")</f>
        <v>3942</v>
      </c>
      <c r="K13" s="13">
        <f>_xll.BDH("AMGN US Equity","BS_INVENTORIES","FQ4 2020","FQ4 2020","Currency=USD","Period=FQ","BEST_FPERIOD_OVERRIDE=FQ","FILING_STATUS=MR","SCALING_FORMAT=MLN","Sort=A","Dates=H","DateFormat=P","Fill=—","Direction=H","UseDPDF=Y")</f>
        <v>3893</v>
      </c>
      <c r="L13" s="13">
        <f>_xll.BDH("AMGN US Equity","BS_INVENTORIES","FQ1 2021","FQ1 2021","Currency=USD","Period=FQ","BEST_FPERIOD_OVERRIDE=FQ","FILING_STATUS=MR","SCALING_FORMAT=MLN","Sort=A","Dates=H","DateFormat=P","Fill=—","Direction=H","UseDPDF=Y")</f>
        <v>4017</v>
      </c>
      <c r="M13" s="13">
        <f>_xll.BDH("AMGN US Equity","BS_INVENTORIES","FQ2 2021","FQ2 2021","Currency=USD","Period=FQ","BEST_FPERIOD_OVERRIDE=FQ","FILING_STATUS=MR","SCALING_FORMAT=MLN","Sort=A","Dates=H","DateFormat=P","Fill=—","Direction=H","UseDPDF=Y")</f>
        <v>4115</v>
      </c>
      <c r="N13" s="13">
        <f>_xll.BDH("AMGN US Equity","BS_INVENTORIES","FQ3 2021","FQ3 2021","Currency=USD","Period=FQ","BEST_FPERIOD_OVERRIDE=FQ","FILING_STATUS=MR","SCALING_FORMAT=MLN","Sort=A","Dates=H","DateFormat=P","Fill=—","Direction=H","UseDPDF=Y")</f>
        <v>4152</v>
      </c>
      <c r="O13" s="13">
        <f>_xll.BDH("AMGN US Equity","BS_INVENTORIES","FQ4 2021","FQ4 2021","Currency=USD","Period=FQ","BEST_FPERIOD_OVERRIDE=FQ","FILING_STATUS=MR","SCALING_FORMAT=MLN","Sort=A","Dates=H","DateFormat=P","Fill=—","Direction=H","UseDPDF=Y")</f>
        <v>4086</v>
      </c>
      <c r="P13" s="13">
        <f>_xll.BDH("AMGN US Equity","BS_INVENTORIES","FQ1 2022","FQ1 2022","Currency=USD","Period=FQ","BEST_FPERIOD_OVERRIDE=FQ","FILING_STATUS=MR","SCALING_FORMAT=MLN","Sort=A","Dates=H","DateFormat=P","Fill=—","Direction=H","UseDPDF=Y")</f>
        <v>4411</v>
      </c>
      <c r="Q13" s="13">
        <f>_xll.BDH("AMGN US Equity","BS_INVENTORIES","FQ2 2022","FQ2 2022","Currency=USD","Period=FQ","BEST_FPERIOD_OVERRIDE=FQ","FILING_STATUS=MR","SCALING_FORMAT=MLN","Sort=A","Dates=H","DateFormat=P","Fill=—","Direction=H","UseDPDF=Y")</f>
        <v>4554</v>
      </c>
      <c r="R13" s="13">
        <f>_xll.BDH("AMGN US Equity","BS_INVENTORIES","FQ3 2022","FQ3 2022","Currency=USD","Period=FQ","BEST_FPERIOD_OVERRIDE=FQ","FILING_STATUS=MR","SCALING_FORMAT=MLN","Sort=A","Dates=H","DateFormat=P","Fill=—","Direction=H","UseDPDF=Y")</f>
        <v>4757</v>
      </c>
      <c r="S13" s="13">
        <f>_xll.BDH("AMGN US Equity","BS_INVENTORIES","FQ4 2022","FQ4 2022","Currency=USD","Period=FQ","BEST_FPERIOD_OVERRIDE=FQ","FILING_STATUS=MR","SCALING_FORMAT=MLN","Sort=A","Dates=H","DateFormat=P","Fill=—","Direction=H","UseDPDF=Y")</f>
        <v>4930</v>
      </c>
      <c r="T13" s="13">
        <f>_xll.BDH("AMGN US Equity","BS_INVENTORIES","FQ1 2023","FQ1 2023","Currency=USD","Period=FQ","BEST_FPERIOD_OVERRIDE=FQ","FILING_STATUS=MR","SCALING_FORMAT=MLN","Sort=A","Dates=H","DateFormat=P","Fill=—","Direction=H","UseDPDF=Y")</f>
        <v>5011</v>
      </c>
      <c r="U13" s="13">
        <f>_xll.BDH("AMGN US Equity","BS_INVENTORIES","FQ2 2023","FQ2 2023","Currency=USD","Period=FQ","BEST_FPERIOD_OVERRIDE=FQ","FILING_STATUS=MR","SCALING_FORMAT=MLN","Sort=A","Dates=H","DateFormat=P","Fill=—","Direction=H","UseDPDF=Y")</f>
        <v>4978</v>
      </c>
      <c r="V13" s="13">
        <f>_xll.BDH("AMGN US Equity","BS_INVENTORIES","FQ3 2023","FQ3 2023","Currency=USD","Period=FQ","BEST_FPERIOD_OVERRIDE=FQ","FILING_STATUS=MR","SCALING_FORMAT=MLN","Sort=A","Dates=H","DateFormat=P","Fill=—","Direction=H","UseDPDF=Y")</f>
        <v>5026</v>
      </c>
      <c r="W13" s="13">
        <f>_xll.BDH("AMGN US Equity","BS_INVENTORIES","FQ4 2023","FQ4 2023","Currency=USD","Period=FQ","BEST_FPERIOD_OVERRIDE=FQ","FILING_STATUS=MR","SCALING_FORMAT=MLN","Sort=A","Dates=H","DateFormat=P","Fill=—","Direction=H","UseDPDF=Y")</f>
        <v>9518</v>
      </c>
      <c r="X13" s="13">
        <f>_xll.BDH("AMGN US Equity","BS_INVENTORIES","FQ1 2024","FQ1 2024","Currency=USD","Period=FQ","BEST_FPERIOD_OVERRIDE=FQ","FILING_STATUS=MR","SCALING_FORMAT=MLN","Sort=A","Dates=H","DateFormat=P","Fill=—","Direction=H","UseDPDF=Y")</f>
        <v>8724</v>
      </c>
      <c r="Y13" s="13">
        <f>_xll.BDH("AMGN US Equity","BS_INVENTORIES","FQ2 2024","FQ2 2024","Currency=USD","Period=FQ","BEST_FPERIOD_OVERRIDE=FQ","FILING_STATUS=MR","SCALING_FORMAT=MLN","Sort=A","Dates=H","DateFormat=P","Fill=—","Direction=H","UseDPDF=Y")</f>
        <v>7995</v>
      </c>
      <c r="Z13" s="13">
        <f>_xll.BDH("AMGN US Equity","BS_INVENTORIES","FQ3 2024","FQ3 2024","Currency=USD","Period=FQ","BEST_FPERIOD_OVERRIDE=FQ","FILING_STATUS=MR","SCALING_FORMAT=MLN","Sort=A","Dates=H","DateFormat=P","Fill=—","Direction=H","UseDPDF=Y")</f>
        <v>7362</v>
      </c>
      <c r="AA13" s="13">
        <f>_xll.BDH("AMGN US Equity","BS_INVENTORIES","FQ4 2024","FQ4 2024","Currency=USD","Period=FQ","BEST_FPERIOD_OVERRIDE=FQ","FILING_STATUS=MR","SCALING_FORMAT=MLN","Sort=A","Dates=H","DateFormat=P","Fill=—","Direction=H","UseDPDF=Y")</f>
        <v>6998</v>
      </c>
    </row>
    <row r="14" spans="1:27" x14ac:dyDescent="0.25">
      <c r="A14" s="10" t="s">
        <v>717</v>
      </c>
      <c r="B14" s="10" t="s">
        <v>718</v>
      </c>
      <c r="C14" s="13">
        <f>_xll.BDH("AMGN US Equity","INVTRY_RAW_MATERIALS","FQ4 2018","FQ4 2018","Currency=USD","Period=FQ","BEST_FPERIOD_OVERRIDE=FQ","FILING_STATUS=MR","SCALING_FORMAT=MLN","Sort=A","Dates=H","DateFormat=P","Fill=—","Direction=H","UseDPDF=Y")</f>
        <v>257</v>
      </c>
      <c r="D14" s="13">
        <f>_xll.BDH("AMGN US Equity","INVTRY_RAW_MATERIALS","FQ1 2019","FQ1 2019","Currency=USD","Period=FQ","BEST_FPERIOD_OVERRIDE=FQ","FILING_STATUS=MR","SCALING_FORMAT=MLN","Sort=A","Dates=H","DateFormat=P","Fill=—","Direction=H","UseDPDF=Y")</f>
        <v>276</v>
      </c>
      <c r="E14" s="13">
        <f>_xll.BDH("AMGN US Equity","INVTRY_RAW_MATERIALS","FQ2 2019","FQ2 2019","Currency=USD","Period=FQ","BEST_FPERIOD_OVERRIDE=FQ","FILING_STATUS=MR","SCALING_FORMAT=MLN","Sort=A","Dates=H","DateFormat=P","Fill=—","Direction=H","UseDPDF=Y")</f>
        <v>294</v>
      </c>
      <c r="F14" s="13">
        <f>_xll.BDH("AMGN US Equity","INVTRY_RAW_MATERIALS","FQ3 2019","FQ3 2019","Currency=USD","Period=FQ","BEST_FPERIOD_OVERRIDE=FQ","FILING_STATUS=MR","SCALING_FORMAT=MLN","Sort=A","Dates=H","DateFormat=P","Fill=—","Direction=H","UseDPDF=Y")</f>
        <v>324</v>
      </c>
      <c r="G14" s="13">
        <f>_xll.BDH("AMGN US Equity","INVTRY_RAW_MATERIALS","FQ4 2019","FQ4 2019","Currency=USD","Period=FQ","BEST_FPERIOD_OVERRIDE=FQ","FILING_STATUS=MR","SCALING_FORMAT=MLN","Sort=A","Dates=H","DateFormat=P","Fill=—","Direction=H","UseDPDF=Y")</f>
        <v>358</v>
      </c>
      <c r="H14" s="13">
        <f>_xll.BDH("AMGN US Equity","INVTRY_RAW_MATERIALS","FQ1 2020","FQ1 2020","Currency=USD","Period=FQ","BEST_FPERIOD_OVERRIDE=FQ","FILING_STATUS=MR","SCALING_FORMAT=MLN","Sort=A","Dates=H","DateFormat=P","Fill=—","Direction=H","UseDPDF=Y")</f>
        <v>446</v>
      </c>
      <c r="I14" s="13">
        <f>_xll.BDH("AMGN US Equity","INVTRY_RAW_MATERIALS","FQ2 2020","FQ2 2020","Currency=USD","Period=FQ","BEST_FPERIOD_OVERRIDE=FQ","FILING_STATUS=MR","SCALING_FORMAT=MLN","Sort=A","Dates=H","DateFormat=P","Fill=—","Direction=H","UseDPDF=Y")</f>
        <v>463</v>
      </c>
      <c r="J14" s="13">
        <f>_xll.BDH("AMGN US Equity","INVTRY_RAW_MATERIALS","FQ3 2020","FQ3 2020","Currency=USD","Period=FQ","BEST_FPERIOD_OVERRIDE=FQ","FILING_STATUS=MR","SCALING_FORMAT=MLN","Sort=A","Dates=H","DateFormat=P","Fill=—","Direction=H","UseDPDF=Y")</f>
        <v>496</v>
      </c>
      <c r="K14" s="13">
        <f>_xll.BDH("AMGN US Equity","INVTRY_RAW_MATERIALS","FQ4 2020","FQ4 2020","Currency=USD","Period=FQ","BEST_FPERIOD_OVERRIDE=FQ","FILING_STATUS=MR","SCALING_FORMAT=MLN","Sort=A","Dates=H","DateFormat=P","Fill=—","Direction=H","UseDPDF=Y")</f>
        <v>486</v>
      </c>
      <c r="L14" s="13">
        <f>_xll.BDH("AMGN US Equity","INVTRY_RAW_MATERIALS","FQ1 2021","FQ1 2021","Currency=USD","Period=FQ","BEST_FPERIOD_OVERRIDE=FQ","FILING_STATUS=MR","SCALING_FORMAT=MLN","Sort=A","Dates=H","DateFormat=P","Fill=—","Direction=H","UseDPDF=Y")</f>
        <v>605</v>
      </c>
      <c r="M14" s="13">
        <f>_xll.BDH("AMGN US Equity","INVTRY_RAW_MATERIALS","FQ2 2021","FQ2 2021","Currency=USD","Period=FQ","BEST_FPERIOD_OVERRIDE=FQ","FILING_STATUS=MR","SCALING_FORMAT=MLN","Sort=A","Dates=H","DateFormat=P","Fill=—","Direction=H","UseDPDF=Y")</f>
        <v>641</v>
      </c>
      <c r="N14" s="13">
        <f>_xll.BDH("AMGN US Equity","INVTRY_RAW_MATERIALS","FQ3 2021","FQ3 2021","Currency=USD","Period=FQ","BEST_FPERIOD_OVERRIDE=FQ","FILING_STATUS=MR","SCALING_FORMAT=MLN","Sort=A","Dates=H","DateFormat=P","Fill=—","Direction=H","UseDPDF=Y")</f>
        <v>667</v>
      </c>
      <c r="O14" s="13">
        <f>_xll.BDH("AMGN US Equity","INVTRY_RAW_MATERIALS","FQ4 2021","FQ4 2021","Currency=USD","Period=FQ","BEST_FPERIOD_OVERRIDE=FQ","FILING_STATUS=MR","SCALING_FORMAT=MLN","Sort=A","Dates=H","DateFormat=P","Fill=—","Direction=H","UseDPDF=Y")</f>
        <v>647</v>
      </c>
      <c r="P14" s="13">
        <f>_xll.BDH("AMGN US Equity","INVTRY_RAW_MATERIALS","FQ1 2022","FQ1 2022","Currency=USD","Period=FQ","BEST_FPERIOD_OVERRIDE=FQ","FILING_STATUS=MR","SCALING_FORMAT=MLN","Sort=A","Dates=H","DateFormat=P","Fill=—","Direction=H","UseDPDF=Y")</f>
        <v>750</v>
      </c>
      <c r="Q14" s="13">
        <f>_xll.BDH("AMGN US Equity","INVTRY_RAW_MATERIALS","FQ2 2022","FQ2 2022","Currency=USD","Period=FQ","BEST_FPERIOD_OVERRIDE=FQ","FILING_STATUS=MR","SCALING_FORMAT=MLN","Sort=A","Dates=H","DateFormat=P","Fill=—","Direction=H","UseDPDF=Y")</f>
        <v>779</v>
      </c>
      <c r="R14" s="13">
        <f>_xll.BDH("AMGN US Equity","INVTRY_RAW_MATERIALS","FQ3 2022","FQ3 2022","Currency=USD","Period=FQ","BEST_FPERIOD_OVERRIDE=FQ","FILING_STATUS=MR","SCALING_FORMAT=MLN","Sort=A","Dates=H","DateFormat=P","Fill=—","Direction=H","UseDPDF=Y")</f>
        <v>801</v>
      </c>
      <c r="S14" s="13">
        <f>_xll.BDH("AMGN US Equity","INVTRY_RAW_MATERIALS","FQ4 2022","FQ4 2022","Currency=USD","Period=FQ","BEST_FPERIOD_OVERRIDE=FQ","FILING_STATUS=MR","SCALING_FORMAT=MLN","Sort=A","Dates=H","DateFormat=P","Fill=—","Direction=H","UseDPDF=Y")</f>
        <v>828</v>
      </c>
      <c r="T14" s="13">
        <f>_xll.BDH("AMGN US Equity","INVTRY_RAW_MATERIALS","FQ1 2023","FQ1 2023","Currency=USD","Period=FQ","BEST_FPERIOD_OVERRIDE=FQ","FILING_STATUS=MR","SCALING_FORMAT=MLN","Sort=A","Dates=H","DateFormat=P","Fill=—","Direction=H","UseDPDF=Y")</f>
        <v>903</v>
      </c>
      <c r="U14" s="13">
        <f>_xll.BDH("AMGN US Equity","INVTRY_RAW_MATERIALS","FQ2 2023","FQ2 2023","Currency=USD","Period=FQ","BEST_FPERIOD_OVERRIDE=FQ","FILING_STATUS=MR","SCALING_FORMAT=MLN","Sort=A","Dates=H","DateFormat=P","Fill=—","Direction=H","UseDPDF=Y")</f>
        <v>855</v>
      </c>
      <c r="V14" s="13">
        <f>_xll.BDH("AMGN US Equity","INVTRY_RAW_MATERIALS","FQ3 2023","FQ3 2023","Currency=USD","Period=FQ","BEST_FPERIOD_OVERRIDE=FQ","FILING_STATUS=MR","SCALING_FORMAT=MLN","Sort=A","Dates=H","DateFormat=P","Fill=—","Direction=H","UseDPDF=Y")</f>
        <v>849</v>
      </c>
      <c r="W14" s="13">
        <f>_xll.BDH("AMGN US Equity","INVTRY_RAW_MATERIALS","FQ4 2023","FQ4 2023","Currency=USD","Period=FQ","BEST_FPERIOD_OVERRIDE=FQ","FILING_STATUS=MR","SCALING_FORMAT=MLN","Sort=A","Dates=H","DateFormat=P","Fill=—","Direction=H","UseDPDF=Y")</f>
        <v>993</v>
      </c>
      <c r="X14" s="13">
        <f>_xll.BDH("AMGN US Equity","INVTRY_RAW_MATERIALS","FQ1 2024","FQ1 2024","Currency=USD","Period=FQ","BEST_FPERIOD_OVERRIDE=FQ","FILING_STATUS=MR","SCALING_FORMAT=MLN","Sort=A","Dates=H","DateFormat=P","Fill=—","Direction=H","UseDPDF=Y")</f>
        <v>928</v>
      </c>
      <c r="Y14" s="13">
        <f>_xll.BDH("AMGN US Equity","INVTRY_RAW_MATERIALS","FQ2 2024","FQ2 2024","Currency=USD","Period=FQ","BEST_FPERIOD_OVERRIDE=FQ","FILING_STATUS=MR","SCALING_FORMAT=MLN","Sort=A","Dates=H","DateFormat=P","Fill=—","Direction=H","UseDPDF=Y")</f>
        <v>884</v>
      </c>
      <c r="Z14" s="13">
        <f>_xll.BDH("AMGN US Equity","INVTRY_RAW_MATERIALS","FQ3 2024","FQ3 2024","Currency=USD","Period=FQ","BEST_FPERIOD_OVERRIDE=FQ","FILING_STATUS=MR","SCALING_FORMAT=MLN","Sort=A","Dates=H","DateFormat=P","Fill=—","Direction=H","UseDPDF=Y")</f>
        <v>788</v>
      </c>
      <c r="AA14" s="13">
        <f>_xll.BDH("AMGN US Equity","INVTRY_RAW_MATERIALS","FQ4 2024","FQ4 2024","Currency=USD","Period=FQ","BEST_FPERIOD_OVERRIDE=FQ","FILING_STATUS=MR","SCALING_FORMAT=MLN","Sort=A","Dates=H","DateFormat=P","Fill=—","Direction=H","UseDPDF=Y")</f>
        <v>818</v>
      </c>
    </row>
    <row r="15" spans="1:27" x14ac:dyDescent="0.25">
      <c r="A15" s="10" t="s">
        <v>719</v>
      </c>
      <c r="B15" s="10" t="s">
        <v>720</v>
      </c>
      <c r="C15" s="13">
        <f>_xll.BDH("AMGN US Equity","INVTRY_IN_PROGRESS","FQ4 2018","FQ4 2018","Currency=USD","Period=FQ","BEST_FPERIOD_OVERRIDE=FQ","FILING_STATUS=MR","SCALING_FORMAT=MLN","Sort=A","Dates=H","DateFormat=P","Fill=—","Direction=H","UseDPDF=Y")</f>
        <v>1660</v>
      </c>
      <c r="D15" s="13">
        <f>_xll.BDH("AMGN US Equity","INVTRY_IN_PROGRESS","FQ1 2019","FQ1 2019","Currency=USD","Period=FQ","BEST_FPERIOD_OVERRIDE=FQ","FILING_STATUS=MR","SCALING_FORMAT=MLN","Sort=A","Dates=H","DateFormat=P","Fill=—","Direction=H","UseDPDF=Y")</f>
        <v>1770</v>
      </c>
      <c r="E15" s="13">
        <f>_xll.BDH("AMGN US Equity","INVTRY_IN_PROGRESS","FQ2 2019","FQ2 2019","Currency=USD","Period=FQ","BEST_FPERIOD_OVERRIDE=FQ","FILING_STATUS=MR","SCALING_FORMAT=MLN","Sort=A","Dates=H","DateFormat=P","Fill=—","Direction=H","UseDPDF=Y")</f>
        <v>1788</v>
      </c>
      <c r="F15" s="13">
        <f>_xll.BDH("AMGN US Equity","INVTRY_IN_PROGRESS","FQ3 2019","FQ3 2019","Currency=USD","Period=FQ","BEST_FPERIOD_OVERRIDE=FQ","FILING_STATUS=MR","SCALING_FORMAT=MLN","Sort=A","Dates=H","DateFormat=P","Fill=—","Direction=H","UseDPDF=Y")</f>
        <v>1923</v>
      </c>
      <c r="G15" s="13">
        <f>_xll.BDH("AMGN US Equity","INVTRY_IN_PROGRESS","FQ4 2019","FQ4 2019","Currency=USD","Period=FQ","BEST_FPERIOD_OVERRIDE=FQ","FILING_STATUS=MR","SCALING_FORMAT=MLN","Sort=A","Dates=H","DateFormat=P","Fill=—","Direction=H","UseDPDF=Y")</f>
        <v>2227</v>
      </c>
      <c r="H15" s="13">
        <f>_xll.BDH("AMGN US Equity","INVTRY_IN_PROGRESS","FQ1 2020","FQ1 2020","Currency=USD","Period=FQ","BEST_FPERIOD_OVERRIDE=FQ","FILING_STATUS=MR","SCALING_FORMAT=MLN","Sort=A","Dates=H","DateFormat=P","Fill=—","Direction=H","UseDPDF=Y")</f>
        <v>2192</v>
      </c>
      <c r="I15" s="13">
        <f>_xll.BDH("AMGN US Equity","INVTRY_IN_PROGRESS","FQ2 2020","FQ2 2020","Currency=USD","Period=FQ","BEST_FPERIOD_OVERRIDE=FQ","FILING_STATUS=MR","SCALING_FORMAT=MLN","Sort=A","Dates=H","DateFormat=P","Fill=—","Direction=H","UseDPDF=Y")</f>
        <v>2376</v>
      </c>
      <c r="J15" s="13">
        <f>_xll.BDH("AMGN US Equity","INVTRY_IN_PROGRESS","FQ3 2020","FQ3 2020","Currency=USD","Period=FQ","BEST_FPERIOD_OVERRIDE=FQ","FILING_STATUS=MR","SCALING_FORMAT=MLN","Sort=A","Dates=H","DateFormat=P","Fill=—","Direction=H","UseDPDF=Y")</f>
        <v>2551</v>
      </c>
      <c r="K15" s="13">
        <f>_xll.BDH("AMGN US Equity","INVTRY_IN_PROGRESS","FQ4 2020","FQ4 2020","Currency=USD","Period=FQ","BEST_FPERIOD_OVERRIDE=FQ","FILING_STATUS=MR","SCALING_FORMAT=MLN","Sort=A","Dates=H","DateFormat=P","Fill=—","Direction=H","UseDPDF=Y")</f>
        <v>2437</v>
      </c>
      <c r="L15" s="13">
        <f>_xll.BDH("AMGN US Equity","INVTRY_IN_PROGRESS","FQ1 2021","FQ1 2021","Currency=USD","Period=FQ","BEST_FPERIOD_OVERRIDE=FQ","FILING_STATUS=MR","SCALING_FORMAT=MLN","Sort=A","Dates=H","DateFormat=P","Fill=—","Direction=H","UseDPDF=Y")</f>
        <v>2463</v>
      </c>
      <c r="M15" s="13">
        <f>_xll.BDH("AMGN US Equity","INVTRY_IN_PROGRESS","FQ2 2021","FQ2 2021","Currency=USD","Period=FQ","BEST_FPERIOD_OVERRIDE=FQ","FILING_STATUS=MR","SCALING_FORMAT=MLN","Sort=A","Dates=H","DateFormat=P","Fill=—","Direction=H","UseDPDF=Y")</f>
        <v>2443</v>
      </c>
      <c r="N15" s="13">
        <f>_xll.BDH("AMGN US Equity","INVTRY_IN_PROGRESS","FQ3 2021","FQ3 2021","Currency=USD","Period=FQ","BEST_FPERIOD_OVERRIDE=FQ","FILING_STATUS=MR","SCALING_FORMAT=MLN","Sort=A","Dates=H","DateFormat=P","Fill=—","Direction=H","UseDPDF=Y")</f>
        <v>2313</v>
      </c>
      <c r="O15" s="13">
        <f>_xll.BDH("AMGN US Equity","INVTRY_IN_PROGRESS","FQ4 2021","FQ4 2021","Currency=USD","Period=FQ","BEST_FPERIOD_OVERRIDE=FQ","FILING_STATUS=MR","SCALING_FORMAT=MLN","Sort=A","Dates=H","DateFormat=P","Fill=—","Direction=H","UseDPDF=Y")</f>
        <v>2367</v>
      </c>
      <c r="P15" s="13">
        <f>_xll.BDH("AMGN US Equity","INVTRY_IN_PROGRESS","FQ1 2022","FQ1 2022","Currency=USD","Period=FQ","BEST_FPERIOD_OVERRIDE=FQ","FILING_STATUS=MR","SCALING_FORMAT=MLN","Sort=A","Dates=H","DateFormat=P","Fill=—","Direction=H","UseDPDF=Y")</f>
        <v>2582</v>
      </c>
      <c r="Q15" s="13">
        <f>_xll.BDH("AMGN US Equity","INVTRY_IN_PROGRESS","FQ2 2022","FQ2 2022","Currency=USD","Period=FQ","BEST_FPERIOD_OVERRIDE=FQ","FILING_STATUS=MR","SCALING_FORMAT=MLN","Sort=A","Dates=H","DateFormat=P","Fill=—","Direction=H","UseDPDF=Y")</f>
        <v>2763</v>
      </c>
      <c r="R15" s="13">
        <f>_xll.BDH("AMGN US Equity","INVTRY_IN_PROGRESS","FQ3 2022","FQ3 2022","Currency=USD","Period=FQ","BEST_FPERIOD_OVERRIDE=FQ","FILING_STATUS=MR","SCALING_FORMAT=MLN","Sort=A","Dates=H","DateFormat=P","Fill=—","Direction=H","UseDPDF=Y")</f>
        <v>2929</v>
      </c>
      <c r="S15" s="13">
        <f>_xll.BDH("AMGN US Equity","INVTRY_IN_PROGRESS","FQ4 2022","FQ4 2022","Currency=USD","Period=FQ","BEST_FPERIOD_OVERRIDE=FQ","FILING_STATUS=MR","SCALING_FORMAT=MLN","Sort=A","Dates=H","DateFormat=P","Fill=—","Direction=H","UseDPDF=Y")</f>
        <v>3098</v>
      </c>
      <c r="T15" s="13">
        <f>_xll.BDH("AMGN US Equity","INVTRY_IN_PROGRESS","FQ1 2023","FQ1 2023","Currency=USD","Period=FQ","BEST_FPERIOD_OVERRIDE=FQ","FILING_STATUS=MR","SCALING_FORMAT=MLN","Sort=A","Dates=H","DateFormat=P","Fill=—","Direction=H","UseDPDF=Y")</f>
        <v>2978</v>
      </c>
      <c r="U15" s="13">
        <f>_xll.BDH("AMGN US Equity","INVTRY_IN_PROGRESS","FQ2 2023","FQ2 2023","Currency=USD","Period=FQ","BEST_FPERIOD_OVERRIDE=FQ","FILING_STATUS=MR","SCALING_FORMAT=MLN","Sort=A","Dates=H","DateFormat=P","Fill=—","Direction=H","UseDPDF=Y")</f>
        <v>3048</v>
      </c>
      <c r="V15" s="13">
        <f>_xll.BDH("AMGN US Equity","INVTRY_IN_PROGRESS","FQ3 2023","FQ3 2023","Currency=USD","Period=FQ","BEST_FPERIOD_OVERRIDE=FQ","FILING_STATUS=MR","SCALING_FORMAT=MLN","Sort=A","Dates=H","DateFormat=P","Fill=—","Direction=H","UseDPDF=Y")</f>
        <v>2992</v>
      </c>
      <c r="W15" s="13">
        <f>_xll.BDH("AMGN US Equity","INVTRY_IN_PROGRESS","FQ4 2023","FQ4 2023","Currency=USD","Period=FQ","BEST_FPERIOD_OVERRIDE=FQ","FILING_STATUS=MR","SCALING_FORMAT=MLN","Sort=A","Dates=H","DateFormat=P","Fill=—","Direction=H","UseDPDF=Y")</f>
        <v>5747</v>
      </c>
      <c r="X15" s="13">
        <f>_xll.BDH("AMGN US Equity","INVTRY_IN_PROGRESS","FQ1 2024","FQ1 2024","Currency=USD","Period=FQ","BEST_FPERIOD_OVERRIDE=FQ","FILING_STATUS=MR","SCALING_FORMAT=MLN","Sort=A","Dates=H","DateFormat=P","Fill=—","Direction=H","UseDPDF=Y")</f>
        <v>5270</v>
      </c>
      <c r="Y15" s="13">
        <f>_xll.BDH("AMGN US Equity","INVTRY_IN_PROGRESS","FQ2 2024","FQ2 2024","Currency=USD","Period=FQ","BEST_FPERIOD_OVERRIDE=FQ","FILING_STATUS=MR","SCALING_FORMAT=MLN","Sort=A","Dates=H","DateFormat=P","Fill=—","Direction=H","UseDPDF=Y")</f>
        <v>4476</v>
      </c>
      <c r="Z15" s="13">
        <f>_xll.BDH("AMGN US Equity","INVTRY_IN_PROGRESS","FQ3 2024","FQ3 2024","Currency=USD","Period=FQ","BEST_FPERIOD_OVERRIDE=FQ","FILING_STATUS=MR","SCALING_FORMAT=MLN","Sort=A","Dates=H","DateFormat=P","Fill=—","Direction=H","UseDPDF=Y")</f>
        <v>4339</v>
      </c>
      <c r="AA15" s="13">
        <f>_xll.BDH("AMGN US Equity","INVTRY_IN_PROGRESS","FQ4 2024","FQ4 2024","Currency=USD","Period=FQ","BEST_FPERIOD_OVERRIDE=FQ","FILING_STATUS=MR","SCALING_FORMAT=MLN","Sort=A","Dates=H","DateFormat=P","Fill=—","Direction=H","UseDPDF=Y")</f>
        <v>4120</v>
      </c>
    </row>
    <row r="16" spans="1:27" x14ac:dyDescent="0.25">
      <c r="A16" s="10" t="s">
        <v>721</v>
      </c>
      <c r="B16" s="10" t="s">
        <v>722</v>
      </c>
      <c r="C16" s="13">
        <f>_xll.BDH("AMGN US Equity","INVTRY_FINISHED_GOODS","FQ4 2018","FQ4 2018","Currency=USD","Period=FQ","BEST_FPERIOD_OVERRIDE=FQ","FILING_STATUS=MR","SCALING_FORMAT=MLN","Sort=A","Dates=H","DateFormat=P","Fill=—","Direction=H","UseDPDF=Y")</f>
        <v>1023</v>
      </c>
      <c r="D16" s="13">
        <f>_xll.BDH("AMGN US Equity","INVTRY_FINISHED_GOODS","FQ1 2019","FQ1 2019","Currency=USD","Period=FQ","BEST_FPERIOD_OVERRIDE=FQ","FILING_STATUS=MR","SCALING_FORMAT=MLN","Sort=A","Dates=H","DateFormat=P","Fill=—","Direction=H","UseDPDF=Y")</f>
        <v>970</v>
      </c>
      <c r="E16" s="13">
        <f>_xll.BDH("AMGN US Equity","INVTRY_FINISHED_GOODS","FQ2 2019","FQ2 2019","Currency=USD","Period=FQ","BEST_FPERIOD_OVERRIDE=FQ","FILING_STATUS=MR","SCALING_FORMAT=MLN","Sort=A","Dates=H","DateFormat=P","Fill=—","Direction=H","UseDPDF=Y")</f>
        <v>1094</v>
      </c>
      <c r="F16" s="13">
        <f>_xll.BDH("AMGN US Equity","INVTRY_FINISHED_GOODS","FQ3 2019","FQ3 2019","Currency=USD","Period=FQ","BEST_FPERIOD_OVERRIDE=FQ","FILING_STATUS=MR","SCALING_FORMAT=MLN","Sort=A","Dates=H","DateFormat=P","Fill=—","Direction=H","UseDPDF=Y")</f>
        <v>996</v>
      </c>
      <c r="G16" s="13">
        <f>_xll.BDH("AMGN US Equity","INVTRY_FINISHED_GOODS","FQ4 2019","FQ4 2019","Currency=USD","Period=FQ","BEST_FPERIOD_OVERRIDE=FQ","FILING_STATUS=MR","SCALING_FORMAT=MLN","Sort=A","Dates=H","DateFormat=P","Fill=—","Direction=H","UseDPDF=Y")</f>
        <v>999</v>
      </c>
      <c r="H16" s="13">
        <f>_xll.BDH("AMGN US Equity","INVTRY_FINISHED_GOODS","FQ1 2020","FQ1 2020","Currency=USD","Period=FQ","BEST_FPERIOD_OVERRIDE=FQ","FILING_STATUS=MR","SCALING_FORMAT=MLN","Sort=A","Dates=H","DateFormat=P","Fill=—","Direction=H","UseDPDF=Y")</f>
        <v>1044</v>
      </c>
      <c r="I16" s="13">
        <f>_xll.BDH("AMGN US Equity","INVTRY_FINISHED_GOODS","FQ2 2020","FQ2 2020","Currency=USD","Period=FQ","BEST_FPERIOD_OVERRIDE=FQ","FILING_STATUS=MR","SCALING_FORMAT=MLN","Sort=A","Dates=H","DateFormat=P","Fill=—","Direction=H","UseDPDF=Y")</f>
        <v>1001</v>
      </c>
      <c r="J16" s="13">
        <f>_xll.BDH("AMGN US Equity","INVTRY_FINISHED_GOODS","FQ3 2020","FQ3 2020","Currency=USD","Period=FQ","BEST_FPERIOD_OVERRIDE=FQ","FILING_STATUS=MR","SCALING_FORMAT=MLN","Sort=A","Dates=H","DateFormat=P","Fill=—","Direction=H","UseDPDF=Y")</f>
        <v>895</v>
      </c>
      <c r="K16" s="13">
        <f>_xll.BDH("AMGN US Equity","INVTRY_FINISHED_GOODS","FQ4 2020","FQ4 2020","Currency=USD","Period=FQ","BEST_FPERIOD_OVERRIDE=FQ","FILING_STATUS=MR","SCALING_FORMAT=MLN","Sort=A","Dates=H","DateFormat=P","Fill=—","Direction=H","UseDPDF=Y")</f>
        <v>970</v>
      </c>
      <c r="L16" s="13">
        <f>_xll.BDH("AMGN US Equity","INVTRY_FINISHED_GOODS","FQ1 2021","FQ1 2021","Currency=USD","Period=FQ","BEST_FPERIOD_OVERRIDE=FQ","FILING_STATUS=MR","SCALING_FORMAT=MLN","Sort=A","Dates=H","DateFormat=P","Fill=—","Direction=H","UseDPDF=Y")</f>
        <v>949</v>
      </c>
      <c r="M16" s="13">
        <f>_xll.BDH("AMGN US Equity","INVTRY_FINISHED_GOODS","FQ2 2021","FQ2 2021","Currency=USD","Period=FQ","BEST_FPERIOD_OVERRIDE=FQ","FILING_STATUS=MR","SCALING_FORMAT=MLN","Sort=A","Dates=H","DateFormat=P","Fill=—","Direction=H","UseDPDF=Y")</f>
        <v>1031</v>
      </c>
      <c r="N16" s="13">
        <f>_xll.BDH("AMGN US Equity","INVTRY_FINISHED_GOODS","FQ3 2021","FQ3 2021","Currency=USD","Period=FQ","BEST_FPERIOD_OVERRIDE=FQ","FILING_STATUS=MR","SCALING_FORMAT=MLN","Sort=A","Dates=H","DateFormat=P","Fill=—","Direction=H","UseDPDF=Y")</f>
        <v>1172</v>
      </c>
      <c r="O16" s="13">
        <f>_xll.BDH("AMGN US Equity","INVTRY_FINISHED_GOODS","FQ4 2021","FQ4 2021","Currency=USD","Period=FQ","BEST_FPERIOD_OVERRIDE=FQ","FILING_STATUS=MR","SCALING_FORMAT=MLN","Sort=A","Dates=H","DateFormat=P","Fill=—","Direction=H","UseDPDF=Y")</f>
        <v>1072</v>
      </c>
      <c r="P16" s="13">
        <f>_xll.BDH("AMGN US Equity","INVTRY_FINISHED_GOODS","FQ1 2022","FQ1 2022","Currency=USD","Period=FQ","BEST_FPERIOD_OVERRIDE=FQ","FILING_STATUS=MR","SCALING_FORMAT=MLN","Sort=A","Dates=H","DateFormat=P","Fill=—","Direction=H","UseDPDF=Y")</f>
        <v>1079</v>
      </c>
      <c r="Q16" s="13">
        <f>_xll.BDH("AMGN US Equity","INVTRY_FINISHED_GOODS","FQ2 2022","FQ2 2022","Currency=USD","Period=FQ","BEST_FPERIOD_OVERRIDE=FQ","FILING_STATUS=MR","SCALING_FORMAT=MLN","Sort=A","Dates=H","DateFormat=P","Fill=—","Direction=H","UseDPDF=Y")</f>
        <v>1012</v>
      </c>
      <c r="R16" s="13">
        <f>_xll.BDH("AMGN US Equity","INVTRY_FINISHED_GOODS","FQ3 2022","FQ3 2022","Currency=USD","Period=FQ","BEST_FPERIOD_OVERRIDE=FQ","FILING_STATUS=MR","SCALING_FORMAT=MLN","Sort=A","Dates=H","DateFormat=P","Fill=—","Direction=H","UseDPDF=Y")</f>
        <v>1027</v>
      </c>
      <c r="S16" s="13">
        <f>_xll.BDH("AMGN US Equity","INVTRY_FINISHED_GOODS","FQ4 2022","FQ4 2022","Currency=USD","Period=FQ","BEST_FPERIOD_OVERRIDE=FQ","FILING_STATUS=MR","SCALING_FORMAT=MLN","Sort=A","Dates=H","DateFormat=P","Fill=—","Direction=H","UseDPDF=Y")</f>
        <v>1004</v>
      </c>
      <c r="T16" s="13">
        <f>_xll.BDH("AMGN US Equity","INVTRY_FINISHED_GOODS","FQ1 2023","FQ1 2023","Currency=USD","Period=FQ","BEST_FPERIOD_OVERRIDE=FQ","FILING_STATUS=MR","SCALING_FORMAT=MLN","Sort=A","Dates=H","DateFormat=P","Fill=—","Direction=H","UseDPDF=Y")</f>
        <v>1130</v>
      </c>
      <c r="U16" s="13">
        <f>_xll.BDH("AMGN US Equity","INVTRY_FINISHED_GOODS","FQ2 2023","FQ2 2023","Currency=USD","Period=FQ","BEST_FPERIOD_OVERRIDE=FQ","FILING_STATUS=MR","SCALING_FORMAT=MLN","Sort=A","Dates=H","DateFormat=P","Fill=—","Direction=H","UseDPDF=Y")</f>
        <v>1075</v>
      </c>
      <c r="V16" s="13">
        <f>_xll.BDH("AMGN US Equity","INVTRY_FINISHED_GOODS","FQ3 2023","FQ3 2023","Currency=USD","Period=FQ","BEST_FPERIOD_OVERRIDE=FQ","FILING_STATUS=MR","SCALING_FORMAT=MLN","Sort=A","Dates=H","DateFormat=P","Fill=—","Direction=H","UseDPDF=Y")</f>
        <v>1185</v>
      </c>
      <c r="W16" s="13">
        <f>_xll.BDH("AMGN US Equity","INVTRY_FINISHED_GOODS","FQ4 2023","FQ4 2023","Currency=USD","Period=FQ","BEST_FPERIOD_OVERRIDE=FQ","FILING_STATUS=MR","SCALING_FORMAT=MLN","Sort=A","Dates=H","DateFormat=P","Fill=—","Direction=H","UseDPDF=Y")</f>
        <v>2778</v>
      </c>
      <c r="X16" s="13">
        <f>_xll.BDH("AMGN US Equity","INVTRY_FINISHED_GOODS","FQ1 2024","FQ1 2024","Currency=USD","Period=FQ","BEST_FPERIOD_OVERRIDE=FQ","FILING_STATUS=MR","SCALING_FORMAT=MLN","Sort=A","Dates=H","DateFormat=P","Fill=—","Direction=H","UseDPDF=Y")</f>
        <v>2526</v>
      </c>
      <c r="Y16" s="13">
        <f>_xll.BDH("AMGN US Equity","INVTRY_FINISHED_GOODS","FQ2 2024","FQ2 2024","Currency=USD","Period=FQ","BEST_FPERIOD_OVERRIDE=FQ","FILING_STATUS=MR","SCALING_FORMAT=MLN","Sort=A","Dates=H","DateFormat=P","Fill=—","Direction=H","UseDPDF=Y")</f>
        <v>2635</v>
      </c>
      <c r="Z16" s="13">
        <f>_xll.BDH("AMGN US Equity","INVTRY_FINISHED_GOODS","FQ3 2024","FQ3 2024","Currency=USD","Period=FQ","BEST_FPERIOD_OVERRIDE=FQ","FILING_STATUS=MR","SCALING_FORMAT=MLN","Sort=A","Dates=H","DateFormat=P","Fill=—","Direction=H","UseDPDF=Y")</f>
        <v>2235</v>
      </c>
      <c r="AA16" s="13">
        <f>_xll.BDH("AMGN US Equity","INVTRY_FINISHED_GOODS","FQ4 2024","FQ4 2024","Currency=USD","Period=FQ","BEST_FPERIOD_OVERRIDE=FQ","FILING_STATUS=MR","SCALING_FORMAT=MLN","Sort=A","Dates=H","DateFormat=P","Fill=—","Direction=H","UseDPDF=Y")</f>
        <v>2060</v>
      </c>
    </row>
    <row r="17" spans="1:27" x14ac:dyDescent="0.25">
      <c r="A17" s="10" t="s">
        <v>723</v>
      </c>
      <c r="B17" s="10" t="s">
        <v>724</v>
      </c>
      <c r="C17" s="13">
        <f>_xll.BDH("AMGN US Equity","BS_OTHER_INV","FQ4 2018","FQ4 2018","Currency=USD","Period=FQ","BEST_FPERIOD_OVERRIDE=FQ","FILING_STATUS=MR","SCALING_FORMAT=MLN","Sort=A","Dates=H","DateFormat=P","Fill=—","Direction=H","UseDPDF=Y")</f>
        <v>0</v>
      </c>
      <c r="D17" s="13">
        <f>_xll.BDH("AMGN US Equity","BS_OTHER_INV","FQ1 2019","FQ1 2019","Currency=USD","Period=FQ","BEST_FPERIOD_OVERRIDE=FQ","FILING_STATUS=MR","SCALING_FORMAT=MLN","Sort=A","Dates=H","DateFormat=P","Fill=—","Direction=H","UseDPDF=Y")</f>
        <v>0</v>
      </c>
      <c r="E17" s="13">
        <f>_xll.BDH("AMGN US Equity","BS_OTHER_INV","FQ2 2019","FQ2 2019","Currency=USD","Period=FQ","BEST_FPERIOD_OVERRIDE=FQ","FILING_STATUS=MR","SCALING_FORMAT=MLN","Sort=A","Dates=H","DateFormat=P","Fill=—","Direction=H","UseDPDF=Y")</f>
        <v>0</v>
      </c>
      <c r="F17" s="13">
        <f>_xll.BDH("AMGN US Equity","BS_OTHER_INV","FQ3 2019","FQ3 2019","Currency=USD","Period=FQ","BEST_FPERIOD_OVERRIDE=FQ","FILING_STATUS=MR","SCALING_FORMAT=MLN","Sort=A","Dates=H","DateFormat=P","Fill=—","Direction=H","UseDPDF=Y")</f>
        <v>0</v>
      </c>
      <c r="G17" s="13">
        <f>_xll.BDH("AMGN US Equity","BS_OTHER_INV","FQ4 2019","FQ4 2019","Currency=USD","Period=FQ","BEST_FPERIOD_OVERRIDE=FQ","FILING_STATUS=MR","SCALING_FORMAT=MLN","Sort=A","Dates=H","DateFormat=P","Fill=—","Direction=H","UseDPDF=Y")</f>
        <v>0</v>
      </c>
      <c r="H17" s="13">
        <f>_xll.BDH("AMGN US Equity","BS_OTHER_INV","FQ1 2020","FQ1 2020","Currency=USD","Period=FQ","BEST_FPERIOD_OVERRIDE=FQ","FILING_STATUS=MR","SCALING_FORMAT=MLN","Sort=A","Dates=H","DateFormat=P","Fill=—","Direction=H","UseDPDF=Y")</f>
        <v>0</v>
      </c>
      <c r="I17" s="13">
        <f>_xll.BDH("AMGN US Equity","BS_OTHER_INV","FQ2 2020","FQ2 2020","Currency=USD","Period=FQ","BEST_FPERIOD_OVERRIDE=FQ","FILING_STATUS=MR","SCALING_FORMAT=MLN","Sort=A","Dates=H","DateFormat=P","Fill=—","Direction=H","UseDPDF=Y")</f>
        <v>0</v>
      </c>
      <c r="J17" s="13">
        <f>_xll.BDH("AMGN US Equity","BS_OTHER_INV","FQ3 2020","FQ3 2020","Currency=USD","Period=FQ","BEST_FPERIOD_OVERRIDE=FQ","FILING_STATUS=MR","SCALING_FORMAT=MLN","Sort=A","Dates=H","DateFormat=P","Fill=—","Direction=H","UseDPDF=Y")</f>
        <v>0</v>
      </c>
      <c r="K17" s="13">
        <f>_xll.BDH("AMGN US Equity","BS_OTHER_INV","FQ4 2020","FQ4 2020","Currency=USD","Period=FQ","BEST_FPERIOD_OVERRIDE=FQ","FILING_STATUS=MR","SCALING_FORMAT=MLN","Sort=A","Dates=H","DateFormat=P","Fill=—","Direction=H","UseDPDF=Y")</f>
        <v>0</v>
      </c>
      <c r="L17" s="13">
        <f>_xll.BDH("AMGN US Equity","BS_OTHER_INV","FQ1 2021","FQ1 2021","Currency=USD","Period=FQ","BEST_FPERIOD_OVERRIDE=FQ","FILING_STATUS=MR","SCALING_FORMAT=MLN","Sort=A","Dates=H","DateFormat=P","Fill=—","Direction=H","UseDPDF=Y")</f>
        <v>0</v>
      </c>
      <c r="M17" s="13">
        <f>_xll.BDH("AMGN US Equity","BS_OTHER_INV","FQ2 2021","FQ2 2021","Currency=USD","Period=FQ","BEST_FPERIOD_OVERRIDE=FQ","FILING_STATUS=MR","SCALING_FORMAT=MLN","Sort=A","Dates=H","DateFormat=P","Fill=—","Direction=H","UseDPDF=Y")</f>
        <v>0</v>
      </c>
      <c r="N17" s="13">
        <f>_xll.BDH("AMGN US Equity","BS_OTHER_INV","FQ3 2021","FQ3 2021","Currency=USD","Period=FQ","BEST_FPERIOD_OVERRIDE=FQ","FILING_STATUS=MR","SCALING_FORMAT=MLN","Sort=A","Dates=H","DateFormat=P","Fill=—","Direction=H","UseDPDF=Y")</f>
        <v>0</v>
      </c>
      <c r="O17" s="13">
        <f>_xll.BDH("AMGN US Equity","BS_OTHER_INV","FQ4 2021","FQ4 2021","Currency=USD","Period=FQ","BEST_FPERIOD_OVERRIDE=FQ","FILING_STATUS=MR","SCALING_FORMAT=MLN","Sort=A","Dates=H","DateFormat=P","Fill=—","Direction=H","UseDPDF=Y")</f>
        <v>0</v>
      </c>
      <c r="P17" s="13">
        <f>_xll.BDH("AMGN US Equity","BS_OTHER_INV","FQ1 2022","FQ1 2022","Currency=USD","Period=FQ","BEST_FPERIOD_OVERRIDE=FQ","FILING_STATUS=MR","SCALING_FORMAT=MLN","Sort=A","Dates=H","DateFormat=P","Fill=—","Direction=H","UseDPDF=Y")</f>
        <v>0</v>
      </c>
      <c r="Q17" s="13">
        <f>_xll.BDH("AMGN US Equity","BS_OTHER_INV","FQ2 2022","FQ2 2022","Currency=USD","Period=FQ","BEST_FPERIOD_OVERRIDE=FQ","FILING_STATUS=MR","SCALING_FORMAT=MLN","Sort=A","Dates=H","DateFormat=P","Fill=—","Direction=H","UseDPDF=Y")</f>
        <v>0</v>
      </c>
      <c r="R17" s="13">
        <f>_xll.BDH("AMGN US Equity","BS_OTHER_INV","FQ3 2022","FQ3 2022","Currency=USD","Period=FQ","BEST_FPERIOD_OVERRIDE=FQ","FILING_STATUS=MR","SCALING_FORMAT=MLN","Sort=A","Dates=H","DateFormat=P","Fill=—","Direction=H","UseDPDF=Y")</f>
        <v>0</v>
      </c>
      <c r="S17" s="13">
        <f>_xll.BDH("AMGN US Equity","BS_OTHER_INV","FQ4 2022","FQ4 2022","Currency=USD","Period=FQ","BEST_FPERIOD_OVERRIDE=FQ","FILING_STATUS=MR","SCALING_FORMAT=MLN","Sort=A","Dates=H","DateFormat=P","Fill=—","Direction=H","UseDPDF=Y")</f>
        <v>0</v>
      </c>
      <c r="T17" s="13">
        <f>_xll.BDH("AMGN US Equity","BS_OTHER_INV","FQ1 2023","FQ1 2023","Currency=USD","Period=FQ","BEST_FPERIOD_OVERRIDE=FQ","FILING_STATUS=MR","SCALING_FORMAT=MLN","Sort=A","Dates=H","DateFormat=P","Fill=—","Direction=H","UseDPDF=Y")</f>
        <v>0</v>
      </c>
      <c r="U17" s="13">
        <f>_xll.BDH("AMGN US Equity","BS_OTHER_INV","FQ2 2023","FQ2 2023","Currency=USD","Period=FQ","BEST_FPERIOD_OVERRIDE=FQ","FILING_STATUS=MR","SCALING_FORMAT=MLN","Sort=A","Dates=H","DateFormat=P","Fill=—","Direction=H","UseDPDF=Y")</f>
        <v>0</v>
      </c>
      <c r="V17" s="13">
        <f>_xll.BDH("AMGN US Equity","BS_OTHER_INV","FQ3 2023","FQ3 2023","Currency=USD","Period=FQ","BEST_FPERIOD_OVERRIDE=FQ","FILING_STATUS=MR","SCALING_FORMAT=MLN","Sort=A","Dates=H","DateFormat=P","Fill=—","Direction=H","UseDPDF=Y")</f>
        <v>0</v>
      </c>
      <c r="W17" s="13">
        <f>_xll.BDH("AMGN US Equity","BS_OTHER_INV","FQ4 2023","FQ4 2023","Currency=USD","Period=FQ","BEST_FPERIOD_OVERRIDE=FQ","FILING_STATUS=MR","SCALING_FORMAT=MLN","Sort=A","Dates=H","DateFormat=P","Fill=—","Direction=H","UseDPDF=Y")</f>
        <v>0</v>
      </c>
      <c r="X17" s="13">
        <f>_xll.BDH("AMGN US Equity","BS_OTHER_INV","FQ1 2024","FQ1 2024","Currency=USD","Period=FQ","BEST_FPERIOD_OVERRIDE=FQ","FILING_STATUS=MR","SCALING_FORMAT=MLN","Sort=A","Dates=H","DateFormat=P","Fill=—","Direction=H","UseDPDF=Y")</f>
        <v>0</v>
      </c>
      <c r="Y17" s="13">
        <f>_xll.BDH("AMGN US Equity","BS_OTHER_INV","FQ2 2024","FQ2 2024","Currency=USD","Period=FQ","BEST_FPERIOD_OVERRIDE=FQ","FILING_STATUS=MR","SCALING_FORMAT=MLN","Sort=A","Dates=H","DateFormat=P","Fill=—","Direction=H","UseDPDF=Y")</f>
        <v>0</v>
      </c>
      <c r="Z17" s="13">
        <f>_xll.BDH("AMGN US Equity","BS_OTHER_INV","FQ3 2024","FQ3 2024","Currency=USD","Period=FQ","BEST_FPERIOD_OVERRIDE=FQ","FILING_STATUS=MR","SCALING_FORMAT=MLN","Sort=A","Dates=H","DateFormat=P","Fill=—","Direction=H","UseDPDF=Y")</f>
        <v>0</v>
      </c>
      <c r="AA17" s="13">
        <f>_xll.BDH("AMGN US Equity","BS_OTHER_INV","FQ4 2024","FQ4 2024","Currency=USD","Period=FQ","BEST_FPERIOD_OVERRIDE=FQ","FILING_STATUS=MR","SCALING_FORMAT=MLN","Sort=A","Dates=H","DateFormat=P","Fill=—","Direction=H","UseDPDF=Y")</f>
        <v>0</v>
      </c>
    </row>
    <row r="18" spans="1:27" x14ac:dyDescent="0.25">
      <c r="A18" s="10" t="s">
        <v>725</v>
      </c>
      <c r="B18" s="10" t="s">
        <v>726</v>
      </c>
      <c r="C18" s="13">
        <f>_xll.BDH("AMGN US Equity","OTHER_CURRENT_ASSETS_DETAILED","FQ4 2018","FQ4 2018","Currency=USD","Period=FQ","BEST_FPERIOD_OVERRIDE=FQ","FILING_STATUS=MR","SCALING_FORMAT=MLN","Sort=A","Dates=H","DateFormat=P","Fill=—","Direction=H","UseDPDF=Y")</f>
        <v>1794</v>
      </c>
      <c r="D18" s="13">
        <f>_xll.BDH("AMGN US Equity","OTHER_CURRENT_ASSETS_DETAILED","FQ1 2019","FQ1 2019","Currency=USD","Period=FQ","BEST_FPERIOD_OVERRIDE=FQ","FILING_STATUS=MR","SCALING_FORMAT=MLN","Sort=A","Dates=H","DateFormat=P","Fill=—","Direction=H","UseDPDF=Y")</f>
        <v>2063</v>
      </c>
      <c r="E18" s="13">
        <f>_xll.BDH("AMGN US Equity","OTHER_CURRENT_ASSETS_DETAILED","FQ2 2019","FQ2 2019","Currency=USD","Period=FQ","BEST_FPERIOD_OVERRIDE=FQ","FILING_STATUS=MR","SCALING_FORMAT=MLN","Sort=A","Dates=H","DateFormat=P","Fill=—","Direction=H","UseDPDF=Y")</f>
        <v>2011</v>
      </c>
      <c r="F18" s="13">
        <f>_xll.BDH("AMGN US Equity","OTHER_CURRENT_ASSETS_DETAILED","FQ3 2019","FQ3 2019","Currency=USD","Period=FQ","BEST_FPERIOD_OVERRIDE=FQ","FILING_STATUS=MR","SCALING_FORMAT=MLN","Sort=A","Dates=H","DateFormat=P","Fill=—","Direction=H","UseDPDF=Y")</f>
        <v>3349</v>
      </c>
      <c r="G18" s="13">
        <f>_xll.BDH("AMGN US Equity","OTHER_CURRENT_ASSETS_DETAILED","FQ4 2019","FQ4 2019","Currency=USD","Period=FQ","BEST_FPERIOD_OVERRIDE=FQ","FILING_STATUS=MR","SCALING_FORMAT=MLN","Sort=A","Dates=H","DateFormat=P","Fill=—","Direction=H","UseDPDF=Y")</f>
        <v>1888</v>
      </c>
      <c r="H18" s="13">
        <f>_xll.BDH("AMGN US Equity","OTHER_CURRENT_ASSETS_DETAILED","FQ1 2020","FQ1 2020","Currency=USD","Period=FQ","BEST_FPERIOD_OVERRIDE=FQ","FILING_STATUS=MR","SCALING_FORMAT=MLN","Sort=A","Dates=H","DateFormat=P","Fill=—","Direction=H","UseDPDF=Y")</f>
        <v>2110</v>
      </c>
      <c r="I18" s="13">
        <f>_xll.BDH("AMGN US Equity","OTHER_CURRENT_ASSETS_DETAILED","FQ2 2020","FQ2 2020","Currency=USD","Period=FQ","BEST_FPERIOD_OVERRIDE=FQ","FILING_STATUS=MR","SCALING_FORMAT=MLN","Sort=A","Dates=H","DateFormat=P","Fill=—","Direction=H","UseDPDF=Y")</f>
        <v>2268</v>
      </c>
      <c r="J18" s="13">
        <f>_xll.BDH("AMGN US Equity","OTHER_CURRENT_ASSETS_DETAILED","FQ3 2020","FQ3 2020","Currency=USD","Period=FQ","BEST_FPERIOD_OVERRIDE=FQ","FILING_STATUS=MR","SCALING_FORMAT=MLN","Sort=A","Dates=H","DateFormat=P","Fill=—","Direction=H","UseDPDF=Y")</f>
        <v>2265</v>
      </c>
      <c r="K18" s="13">
        <f>_xll.BDH("AMGN US Equity","OTHER_CURRENT_ASSETS_DETAILED","FQ4 2020","FQ4 2020","Currency=USD","Period=FQ","BEST_FPERIOD_OVERRIDE=FQ","FILING_STATUS=MR","SCALING_FORMAT=MLN","Sort=A","Dates=H","DateFormat=P","Fill=—","Direction=H","UseDPDF=Y")</f>
        <v>2079</v>
      </c>
      <c r="L18" s="13">
        <f>_xll.BDH("AMGN US Equity","OTHER_CURRENT_ASSETS_DETAILED","FQ1 2021","FQ1 2021","Currency=USD","Period=FQ","BEST_FPERIOD_OVERRIDE=FQ","FILING_STATUS=MR","SCALING_FORMAT=MLN","Sort=A","Dates=H","DateFormat=P","Fill=—","Direction=H","UseDPDF=Y")</f>
        <v>2293</v>
      </c>
      <c r="M18" s="13">
        <f>_xll.BDH("AMGN US Equity","OTHER_CURRENT_ASSETS_DETAILED","FQ2 2021","FQ2 2021","Currency=USD","Period=FQ","BEST_FPERIOD_OVERRIDE=FQ","FILING_STATUS=MR","SCALING_FORMAT=MLN","Sort=A","Dates=H","DateFormat=P","Fill=—","Direction=H","UseDPDF=Y")</f>
        <v>2423</v>
      </c>
      <c r="N18" s="13">
        <f>_xll.BDH("AMGN US Equity","OTHER_CURRENT_ASSETS_DETAILED","FQ3 2021","FQ3 2021","Currency=USD","Period=FQ","BEST_FPERIOD_OVERRIDE=FQ","FILING_STATUS=MR","SCALING_FORMAT=MLN","Sort=A","Dates=H","DateFormat=P","Fill=—","Direction=H","UseDPDF=Y")</f>
        <v>2542</v>
      </c>
      <c r="O18" s="13">
        <f>_xll.BDH("AMGN US Equity","OTHER_CURRENT_ASSETS_DETAILED","FQ4 2021","FQ4 2021","Currency=USD","Period=FQ","BEST_FPERIOD_OVERRIDE=FQ","FILING_STATUS=MR","SCALING_FORMAT=MLN","Sort=A","Dates=H","DateFormat=P","Fill=—","Direction=H","UseDPDF=Y")</f>
        <v>2367</v>
      </c>
      <c r="P18" s="13">
        <f>_xll.BDH("AMGN US Equity","OTHER_CURRENT_ASSETS_DETAILED","FQ1 2022","FQ1 2022","Currency=USD","Period=FQ","BEST_FPERIOD_OVERRIDE=FQ","FILING_STATUS=MR","SCALING_FORMAT=MLN","Sort=A","Dates=H","DateFormat=P","Fill=—","Direction=H","UseDPDF=Y")</f>
        <v>2488</v>
      </c>
      <c r="Q18" s="13">
        <f>_xll.BDH("AMGN US Equity","OTHER_CURRENT_ASSETS_DETAILED","FQ2 2022","FQ2 2022","Currency=USD","Period=FQ","BEST_FPERIOD_OVERRIDE=FQ","FILING_STATUS=MR","SCALING_FORMAT=MLN","Sort=A","Dates=H","DateFormat=P","Fill=—","Direction=H","UseDPDF=Y")</f>
        <v>2258</v>
      </c>
      <c r="R18" s="13">
        <f>_xll.BDH("AMGN US Equity","OTHER_CURRENT_ASSETS_DETAILED","FQ3 2022","FQ3 2022","Currency=USD","Period=FQ","BEST_FPERIOD_OVERRIDE=FQ","FILING_STATUS=MR","SCALING_FORMAT=MLN","Sort=A","Dates=H","DateFormat=P","Fill=—","Direction=H","UseDPDF=Y")</f>
        <v>2501</v>
      </c>
      <c r="S18" s="13">
        <f>_xll.BDH("AMGN US Equity","OTHER_CURRENT_ASSETS_DETAILED","FQ4 2022","FQ4 2022","Currency=USD","Period=FQ","BEST_FPERIOD_OVERRIDE=FQ","FILING_STATUS=MR","SCALING_FORMAT=MLN","Sort=A","Dates=H","DateFormat=P","Fill=—","Direction=H","UseDPDF=Y")</f>
        <v>2388</v>
      </c>
      <c r="T18" s="13">
        <f>_xll.BDH("AMGN US Equity","OTHER_CURRENT_ASSETS_DETAILED","FQ1 2023","FQ1 2023","Currency=USD","Period=FQ","BEST_FPERIOD_OVERRIDE=FQ","FILING_STATUS=MR","SCALING_FORMAT=MLN","Sort=A","Dates=H","DateFormat=P","Fill=—","Direction=H","UseDPDF=Y")</f>
        <v>2395</v>
      </c>
      <c r="U18" s="13">
        <f>_xll.BDH("AMGN US Equity","OTHER_CURRENT_ASSETS_DETAILED","FQ2 2023","FQ2 2023","Currency=USD","Period=FQ","BEST_FPERIOD_OVERRIDE=FQ","FILING_STATUS=MR","SCALING_FORMAT=MLN","Sort=A","Dates=H","DateFormat=P","Fill=—","Direction=H","UseDPDF=Y")</f>
        <v>2324</v>
      </c>
      <c r="V18" s="13">
        <f>_xll.BDH("AMGN US Equity","OTHER_CURRENT_ASSETS_DETAILED","FQ3 2023","FQ3 2023","Currency=USD","Period=FQ","BEST_FPERIOD_OVERRIDE=FQ","FILING_STATUS=MR","SCALING_FORMAT=MLN","Sort=A","Dates=H","DateFormat=P","Fill=—","Direction=H","UseDPDF=Y")</f>
        <v>2565</v>
      </c>
      <c r="W18" s="13">
        <f>_xll.BDH("AMGN US Equity","OTHER_CURRENT_ASSETS_DETAILED","FQ4 2023","FQ4 2023","Currency=USD","Period=FQ","BEST_FPERIOD_OVERRIDE=FQ","FILING_STATUS=MR","SCALING_FORMAT=MLN","Sort=A","Dates=H","DateFormat=P","Fill=—","Direction=H","UseDPDF=Y")</f>
        <v>2602</v>
      </c>
      <c r="X18" s="13">
        <f>_xll.BDH("AMGN US Equity","OTHER_CURRENT_ASSETS_DETAILED","FQ1 2024","FQ1 2024","Currency=USD","Period=FQ","BEST_FPERIOD_OVERRIDE=FQ","FILING_STATUS=MR","SCALING_FORMAT=MLN","Sort=A","Dates=H","DateFormat=P","Fill=—","Direction=H","UseDPDF=Y")</f>
        <v>2821</v>
      </c>
      <c r="Y18" s="13">
        <f>_xll.BDH("AMGN US Equity","OTHER_CURRENT_ASSETS_DETAILED","FQ2 2024","FQ2 2024","Currency=USD","Period=FQ","BEST_FPERIOD_OVERRIDE=FQ","FILING_STATUS=MR","SCALING_FORMAT=MLN","Sort=A","Dates=H","DateFormat=P","Fill=—","Direction=H","UseDPDF=Y")</f>
        <v>2976</v>
      </c>
      <c r="Z18" s="13">
        <f>_xll.BDH("AMGN US Equity","OTHER_CURRENT_ASSETS_DETAILED","FQ3 2024","FQ3 2024","Currency=USD","Period=FQ","BEST_FPERIOD_OVERRIDE=FQ","FILING_STATUS=MR","SCALING_FORMAT=MLN","Sort=A","Dates=H","DateFormat=P","Fill=—","Direction=H","UseDPDF=Y")</f>
        <v>3076</v>
      </c>
      <c r="AA18" s="13">
        <f>_xll.BDH("AMGN US Equity","OTHER_CURRENT_ASSETS_DETAILED","FQ4 2024","FQ4 2024","Currency=USD","Period=FQ","BEST_FPERIOD_OVERRIDE=FQ","FILING_STATUS=MR","SCALING_FORMAT=MLN","Sort=A","Dates=H","DateFormat=P","Fill=—","Direction=H","UseDPDF=Y")</f>
        <v>3277</v>
      </c>
    </row>
    <row r="19" spans="1:27" x14ac:dyDescent="0.25">
      <c r="A19" s="10" t="s">
        <v>727</v>
      </c>
      <c r="B19" s="10" t="s">
        <v>728</v>
      </c>
      <c r="C19" s="13">
        <f>_xll.BDH("AMGN US Equity","BS_DERIV_HEDGING_ASST_ST","FQ4 2018","FQ4 2018","Currency=USD","Period=FQ","BEST_FPERIOD_OVERRIDE=FQ","FILING_STATUS=MR","SCALING_FORMAT=MLN","Sort=A","Dates=H","DateFormat=P","Fill=—","Direction=H","UseDPDF=Y")</f>
        <v>408</v>
      </c>
      <c r="D19" s="13">
        <f>_xll.BDH("AMGN US Equity","BS_DERIV_HEDGING_ASST_ST","FQ1 2019","FQ1 2019","Currency=USD","Period=FQ","BEST_FPERIOD_OVERRIDE=FQ","FILING_STATUS=MR","SCALING_FORMAT=MLN","Sort=A","Dates=H","DateFormat=P","Fill=—","Direction=H","UseDPDF=Y")</f>
        <v>475</v>
      </c>
      <c r="E19" s="13">
        <f>_xll.BDH("AMGN US Equity","BS_DERIV_HEDGING_ASST_ST","FQ2 2019","FQ2 2019","Currency=USD","Period=FQ","BEST_FPERIOD_OVERRIDE=FQ","FILING_STATUS=MR","SCALING_FORMAT=MLN","Sort=A","Dates=H","DateFormat=P","Fill=—","Direction=H","UseDPDF=Y")</f>
        <v>613</v>
      </c>
      <c r="F19" s="13">
        <f>_xll.BDH("AMGN US Equity","BS_DERIV_HEDGING_ASST_ST","FQ3 2019","FQ3 2019","Currency=USD","Period=FQ","BEST_FPERIOD_OVERRIDE=FQ","FILING_STATUS=MR","SCALING_FORMAT=MLN","Sort=A","Dates=H","DateFormat=P","Fill=—","Direction=H","UseDPDF=Y")</f>
        <v>705</v>
      </c>
      <c r="G19" s="13">
        <f>_xll.BDH("AMGN US Equity","BS_DERIV_HEDGING_ASST_ST","FQ4 2019","FQ4 2019","Currency=USD","Period=FQ","BEST_FPERIOD_OVERRIDE=FQ","FILING_STATUS=MR","SCALING_FORMAT=MLN","Sort=A","Dates=H","DateFormat=P","Fill=—","Direction=H","UseDPDF=Y")</f>
        <v>549</v>
      </c>
      <c r="H19" s="13">
        <f>_xll.BDH("AMGN US Equity","BS_DERIV_HEDGING_ASST_ST","FQ1 2020","FQ1 2020","Currency=USD","Period=FQ","BEST_FPERIOD_OVERRIDE=FQ","FILING_STATUS=MR","SCALING_FORMAT=MLN","Sort=A","Dates=H","DateFormat=P","Fill=—","Direction=H","UseDPDF=Y")</f>
        <v>474</v>
      </c>
      <c r="I19" s="13">
        <f>_xll.BDH("AMGN US Equity","BS_DERIV_HEDGING_ASST_ST","FQ2 2020","FQ2 2020","Currency=USD","Period=FQ","BEST_FPERIOD_OVERRIDE=FQ","FILING_STATUS=MR","SCALING_FORMAT=MLN","Sort=A","Dates=H","DateFormat=P","Fill=—","Direction=H","UseDPDF=Y")</f>
        <v>384</v>
      </c>
      <c r="J19" s="13">
        <f>_xll.BDH("AMGN US Equity","BS_DERIV_HEDGING_ASST_ST","FQ3 2020","FQ3 2020","Currency=USD","Period=FQ","BEST_FPERIOD_OVERRIDE=FQ","FILING_STATUS=MR","SCALING_FORMAT=MLN","Sort=A","Dates=H","DateFormat=P","Fill=—","Direction=H","UseDPDF=Y")</f>
        <v>344</v>
      </c>
      <c r="K19" s="13">
        <f>_xll.BDH("AMGN US Equity","BS_DERIV_HEDGING_ASST_ST","FQ4 2020","FQ4 2020","Currency=USD","Period=FQ","BEST_FPERIOD_OVERRIDE=FQ","FILING_STATUS=MR","SCALING_FORMAT=MLN","Sort=A","Dates=H","DateFormat=P","Fill=—","Direction=H","UseDPDF=Y")</f>
        <v>349</v>
      </c>
      <c r="L19" s="13">
        <f>_xll.BDH("AMGN US Equity","BS_DERIV_HEDGING_ASST_ST","FQ1 2021","FQ1 2021","Currency=USD","Period=FQ","BEST_FPERIOD_OVERRIDE=FQ","FILING_STATUS=MR","SCALING_FORMAT=MLN","Sort=A","Dates=H","DateFormat=P","Fill=—","Direction=H","UseDPDF=Y")</f>
        <v>265</v>
      </c>
      <c r="M19" s="13">
        <f>_xll.BDH("AMGN US Equity","BS_DERIV_HEDGING_ASST_ST","FQ2 2021","FQ2 2021","Currency=USD","Period=FQ","BEST_FPERIOD_OVERRIDE=FQ","FILING_STATUS=MR","SCALING_FORMAT=MLN","Sort=A","Dates=H","DateFormat=P","Fill=—","Direction=H","UseDPDF=Y")</f>
        <v>289</v>
      </c>
      <c r="N19" s="13">
        <f>_xll.BDH("AMGN US Equity","BS_DERIV_HEDGING_ASST_ST","FQ3 2021","FQ3 2021","Currency=USD","Period=FQ","BEST_FPERIOD_OVERRIDE=FQ","FILING_STATUS=MR","SCALING_FORMAT=MLN","Sort=A","Dates=H","DateFormat=P","Fill=—","Direction=H","UseDPDF=Y")</f>
        <v>275</v>
      </c>
      <c r="O19" s="13">
        <f>_xll.BDH("AMGN US Equity","BS_DERIV_HEDGING_ASST_ST","FQ4 2021","FQ4 2021","Currency=USD","Period=FQ","BEST_FPERIOD_OVERRIDE=FQ","FILING_STATUS=MR","SCALING_FORMAT=MLN","Sort=A","Dates=H","DateFormat=P","Fill=—","Direction=H","UseDPDF=Y")</f>
        <v>265</v>
      </c>
      <c r="P19" s="13">
        <f>_xll.BDH("AMGN US Equity","BS_DERIV_HEDGING_ASST_ST","FQ1 2022","FQ1 2022","Currency=USD","Period=FQ","BEST_FPERIOD_OVERRIDE=FQ","FILING_STATUS=MR","SCALING_FORMAT=MLN","Sort=A","Dates=H","DateFormat=P","Fill=—","Direction=H","UseDPDF=Y")</f>
        <v>300</v>
      </c>
      <c r="Q19" s="13">
        <f>_xll.BDH("AMGN US Equity","BS_DERIV_HEDGING_ASST_ST","FQ2 2022","FQ2 2022","Currency=USD","Period=FQ","BEST_FPERIOD_OVERRIDE=FQ","FILING_STATUS=MR","SCALING_FORMAT=MLN","Sort=A","Dates=H","DateFormat=P","Fill=—","Direction=H","UseDPDF=Y")</f>
        <v>442</v>
      </c>
      <c r="R19" s="13">
        <f>_xll.BDH("AMGN US Equity","BS_DERIV_HEDGING_ASST_ST","FQ3 2022","FQ3 2022","Currency=USD","Period=FQ","BEST_FPERIOD_OVERRIDE=FQ","FILING_STATUS=MR","SCALING_FORMAT=MLN","Sort=A","Dates=H","DateFormat=P","Fill=—","Direction=H","UseDPDF=Y")</f>
        <v>645</v>
      </c>
      <c r="S19" s="13">
        <f>_xll.BDH("AMGN US Equity","BS_DERIV_HEDGING_ASST_ST","FQ4 2022","FQ4 2022","Currency=USD","Period=FQ","BEST_FPERIOD_OVERRIDE=FQ","FILING_STATUS=MR","SCALING_FORMAT=MLN","Sort=A","Dates=H","DateFormat=P","Fill=—","Direction=H","UseDPDF=Y")</f>
        <v>341</v>
      </c>
      <c r="T19" s="13">
        <f>_xll.BDH("AMGN US Equity","BS_DERIV_HEDGING_ASST_ST","FQ1 2023","FQ1 2023","Currency=USD","Period=FQ","BEST_FPERIOD_OVERRIDE=FQ","FILING_STATUS=MR","SCALING_FORMAT=MLN","Sort=A","Dates=H","DateFormat=P","Fill=—","Direction=H","UseDPDF=Y")</f>
        <v>252</v>
      </c>
      <c r="U19" s="13">
        <f>_xll.BDH("AMGN US Equity","BS_DERIV_HEDGING_ASST_ST","FQ2 2023","FQ2 2023","Currency=USD","Period=FQ","BEST_FPERIOD_OVERRIDE=FQ","FILING_STATUS=MR","SCALING_FORMAT=MLN","Sort=A","Dates=H","DateFormat=P","Fill=—","Direction=H","UseDPDF=Y")</f>
        <v>251</v>
      </c>
      <c r="V19" s="13">
        <f>_xll.BDH("AMGN US Equity","BS_DERIV_HEDGING_ASST_ST","FQ3 2023","FQ3 2023","Currency=USD","Period=FQ","BEST_FPERIOD_OVERRIDE=FQ","FILING_STATUS=MR","SCALING_FORMAT=MLN","Sort=A","Dates=H","DateFormat=P","Fill=—","Direction=H","UseDPDF=Y")</f>
        <v>347</v>
      </c>
      <c r="W19" s="13">
        <f>_xll.BDH("AMGN US Equity","BS_DERIV_HEDGING_ASST_ST","FQ4 2023","FQ4 2023","Currency=USD","Period=FQ","BEST_FPERIOD_OVERRIDE=FQ","FILING_STATUS=MR","SCALING_FORMAT=MLN","Sort=A","Dates=H","DateFormat=P","Fill=—","Direction=H","UseDPDF=Y")</f>
        <v>145</v>
      </c>
      <c r="X19" s="13">
        <f>_xll.BDH("AMGN US Equity","BS_DERIV_HEDGING_ASST_ST","FQ1 2024","FQ1 2024","Currency=USD","Period=FQ","BEST_FPERIOD_OVERRIDE=FQ","FILING_STATUS=MR","SCALING_FORMAT=MLN","Sort=A","Dates=H","DateFormat=P","Fill=—","Direction=H","UseDPDF=Y")</f>
        <v>225</v>
      </c>
      <c r="Y19" s="13">
        <f>_xll.BDH("AMGN US Equity","BS_DERIV_HEDGING_ASST_ST","FQ2 2024","FQ2 2024","Currency=USD","Period=FQ","BEST_FPERIOD_OVERRIDE=FQ","FILING_STATUS=MR","SCALING_FORMAT=MLN","Sort=A","Dates=H","DateFormat=P","Fill=—","Direction=H","UseDPDF=Y")</f>
        <v>270</v>
      </c>
      <c r="Z19" s="13">
        <f>_xll.BDH("AMGN US Equity","BS_DERIV_HEDGING_ASST_ST","FQ3 2024","FQ3 2024","Currency=USD","Period=FQ","BEST_FPERIOD_OVERRIDE=FQ","FILING_STATUS=MR","SCALING_FORMAT=MLN","Sort=A","Dates=H","DateFormat=P","Fill=—","Direction=H","UseDPDF=Y")</f>
        <v>112</v>
      </c>
      <c r="AA19" s="13">
        <f>_xll.BDH("AMGN US Equity","BS_DERIV_HEDGING_ASST_ST","FQ4 2024","FQ4 2024","Currency=USD","Period=FQ","BEST_FPERIOD_OVERRIDE=FQ","FILING_STATUS=MR","SCALING_FORMAT=MLN","Sort=A","Dates=H","DateFormat=P","Fill=—","Direction=H","UseDPDF=Y")</f>
        <v>420</v>
      </c>
    </row>
    <row r="20" spans="1:27" x14ac:dyDescent="0.25">
      <c r="A20" s="10" t="s">
        <v>729</v>
      </c>
      <c r="B20" s="10" t="s">
        <v>730</v>
      </c>
      <c r="C20" s="13">
        <f>_xll.BDH("AMGN US Equity","BS_OTHER_CUR_ASSET_LESS_PREPAY","FQ4 2018","FQ4 2018","Currency=USD","Period=FQ","BEST_FPERIOD_OVERRIDE=FQ","FILING_STATUS=MR","SCALING_FORMAT=MLN","Sort=A","Dates=H","DateFormat=P","Fill=—","Direction=H","UseDPDF=Y")</f>
        <v>1386</v>
      </c>
      <c r="D20" s="13">
        <f>_xll.BDH("AMGN US Equity","BS_OTHER_CUR_ASSET_LESS_PREPAY","FQ1 2019","FQ1 2019","Currency=USD","Period=FQ","BEST_FPERIOD_OVERRIDE=FQ","FILING_STATUS=MR","SCALING_FORMAT=MLN","Sort=A","Dates=H","DateFormat=P","Fill=—","Direction=H","UseDPDF=Y")</f>
        <v>1588</v>
      </c>
      <c r="E20" s="13">
        <f>_xll.BDH("AMGN US Equity","BS_OTHER_CUR_ASSET_LESS_PREPAY","FQ2 2019","FQ2 2019","Currency=USD","Period=FQ","BEST_FPERIOD_OVERRIDE=FQ","FILING_STATUS=MR","SCALING_FORMAT=MLN","Sort=A","Dates=H","DateFormat=P","Fill=—","Direction=H","UseDPDF=Y")</f>
        <v>1398</v>
      </c>
      <c r="F20" s="13">
        <f>_xll.BDH("AMGN US Equity","BS_OTHER_CUR_ASSET_LESS_PREPAY","FQ3 2019","FQ3 2019","Currency=USD","Period=FQ","BEST_FPERIOD_OVERRIDE=FQ","FILING_STATUS=MR","SCALING_FORMAT=MLN","Sort=A","Dates=H","DateFormat=P","Fill=—","Direction=H","UseDPDF=Y")</f>
        <v>2644</v>
      </c>
      <c r="G20" s="13">
        <f>_xll.BDH("AMGN US Equity","BS_OTHER_CUR_ASSET_LESS_PREPAY","FQ4 2019","FQ4 2019","Currency=USD","Period=FQ","BEST_FPERIOD_OVERRIDE=FQ","FILING_STATUS=MR","SCALING_FORMAT=MLN","Sort=A","Dates=H","DateFormat=P","Fill=—","Direction=H","UseDPDF=Y")</f>
        <v>1339</v>
      </c>
      <c r="H20" s="13">
        <f>_xll.BDH("AMGN US Equity","BS_OTHER_CUR_ASSET_LESS_PREPAY","FQ1 2020","FQ1 2020","Currency=USD","Period=FQ","BEST_FPERIOD_OVERRIDE=FQ","FILING_STATUS=MR","SCALING_FORMAT=MLN","Sort=A","Dates=H","DateFormat=P","Fill=—","Direction=H","UseDPDF=Y")</f>
        <v>1636</v>
      </c>
      <c r="I20" s="13">
        <f>_xll.BDH("AMGN US Equity","BS_OTHER_CUR_ASSET_LESS_PREPAY","FQ2 2020","FQ2 2020","Currency=USD","Period=FQ","BEST_FPERIOD_OVERRIDE=FQ","FILING_STATUS=MR","SCALING_FORMAT=MLN","Sort=A","Dates=H","DateFormat=P","Fill=—","Direction=H","UseDPDF=Y")</f>
        <v>1884</v>
      </c>
      <c r="J20" s="13">
        <f>_xll.BDH("AMGN US Equity","BS_OTHER_CUR_ASSET_LESS_PREPAY","FQ3 2020","FQ3 2020","Currency=USD","Period=FQ","BEST_FPERIOD_OVERRIDE=FQ","FILING_STATUS=MR","SCALING_FORMAT=MLN","Sort=A","Dates=H","DateFormat=P","Fill=—","Direction=H","UseDPDF=Y")</f>
        <v>1921</v>
      </c>
      <c r="K20" s="13">
        <f>_xll.BDH("AMGN US Equity","BS_OTHER_CUR_ASSET_LESS_PREPAY","FQ4 2020","FQ4 2020","Currency=USD","Period=FQ","BEST_FPERIOD_OVERRIDE=FQ","FILING_STATUS=MR","SCALING_FORMAT=MLN","Sort=A","Dates=H","DateFormat=P","Fill=—","Direction=H","UseDPDF=Y")</f>
        <v>1730</v>
      </c>
      <c r="L20" s="13">
        <f>_xll.BDH("AMGN US Equity","BS_OTHER_CUR_ASSET_LESS_PREPAY","FQ1 2021","FQ1 2021","Currency=USD","Period=FQ","BEST_FPERIOD_OVERRIDE=FQ","FILING_STATUS=MR","SCALING_FORMAT=MLN","Sort=A","Dates=H","DateFormat=P","Fill=—","Direction=H","UseDPDF=Y")</f>
        <v>2028</v>
      </c>
      <c r="M20" s="13">
        <f>_xll.BDH("AMGN US Equity","BS_OTHER_CUR_ASSET_LESS_PREPAY","FQ2 2021","FQ2 2021","Currency=USD","Period=FQ","BEST_FPERIOD_OVERRIDE=FQ","FILING_STATUS=MR","SCALING_FORMAT=MLN","Sort=A","Dates=H","DateFormat=P","Fill=—","Direction=H","UseDPDF=Y")</f>
        <v>2134</v>
      </c>
      <c r="N20" s="13">
        <f>_xll.BDH("AMGN US Equity","BS_OTHER_CUR_ASSET_LESS_PREPAY","FQ3 2021","FQ3 2021","Currency=USD","Period=FQ","BEST_FPERIOD_OVERRIDE=FQ","FILING_STATUS=MR","SCALING_FORMAT=MLN","Sort=A","Dates=H","DateFormat=P","Fill=—","Direction=H","UseDPDF=Y")</f>
        <v>2267</v>
      </c>
      <c r="O20" s="13">
        <f>_xll.BDH("AMGN US Equity","BS_OTHER_CUR_ASSET_LESS_PREPAY","FQ4 2021","FQ4 2021","Currency=USD","Period=FQ","BEST_FPERIOD_OVERRIDE=FQ","FILING_STATUS=MR","SCALING_FORMAT=MLN","Sort=A","Dates=H","DateFormat=P","Fill=—","Direction=H","UseDPDF=Y")</f>
        <v>2102</v>
      </c>
      <c r="P20" s="13">
        <f>_xll.BDH("AMGN US Equity","BS_OTHER_CUR_ASSET_LESS_PREPAY","FQ1 2022","FQ1 2022","Currency=USD","Period=FQ","BEST_FPERIOD_OVERRIDE=FQ","FILING_STATUS=MR","SCALING_FORMAT=MLN","Sort=A","Dates=H","DateFormat=P","Fill=—","Direction=H","UseDPDF=Y")</f>
        <v>2188</v>
      </c>
      <c r="Q20" s="13">
        <f>_xll.BDH("AMGN US Equity","BS_OTHER_CUR_ASSET_LESS_PREPAY","FQ2 2022","FQ2 2022","Currency=USD","Period=FQ","BEST_FPERIOD_OVERRIDE=FQ","FILING_STATUS=MR","SCALING_FORMAT=MLN","Sort=A","Dates=H","DateFormat=P","Fill=—","Direction=H","UseDPDF=Y")</f>
        <v>1816</v>
      </c>
      <c r="R20" s="13">
        <f>_xll.BDH("AMGN US Equity","BS_OTHER_CUR_ASSET_LESS_PREPAY","FQ3 2022","FQ3 2022","Currency=USD","Period=FQ","BEST_FPERIOD_OVERRIDE=FQ","FILING_STATUS=MR","SCALING_FORMAT=MLN","Sort=A","Dates=H","DateFormat=P","Fill=—","Direction=H","UseDPDF=Y")</f>
        <v>1856</v>
      </c>
      <c r="S20" s="13">
        <f>_xll.BDH("AMGN US Equity","BS_OTHER_CUR_ASSET_LESS_PREPAY","FQ4 2022","FQ4 2022","Currency=USD","Period=FQ","BEST_FPERIOD_OVERRIDE=FQ","FILING_STATUS=MR","SCALING_FORMAT=MLN","Sort=A","Dates=H","DateFormat=P","Fill=—","Direction=H","UseDPDF=Y")</f>
        <v>2047</v>
      </c>
      <c r="T20" s="13">
        <f>_xll.BDH("AMGN US Equity","BS_OTHER_CUR_ASSET_LESS_PREPAY","FQ1 2023","FQ1 2023","Currency=USD","Period=FQ","BEST_FPERIOD_OVERRIDE=FQ","FILING_STATUS=MR","SCALING_FORMAT=MLN","Sort=A","Dates=H","DateFormat=P","Fill=—","Direction=H","UseDPDF=Y")</f>
        <v>2143</v>
      </c>
      <c r="U20" s="13">
        <f>_xll.BDH("AMGN US Equity","BS_OTHER_CUR_ASSET_LESS_PREPAY","FQ2 2023","FQ2 2023","Currency=USD","Period=FQ","BEST_FPERIOD_OVERRIDE=FQ","FILING_STATUS=MR","SCALING_FORMAT=MLN","Sort=A","Dates=H","DateFormat=P","Fill=—","Direction=H","UseDPDF=Y")</f>
        <v>2073</v>
      </c>
      <c r="V20" s="13">
        <f>_xll.BDH("AMGN US Equity","BS_OTHER_CUR_ASSET_LESS_PREPAY","FQ3 2023","FQ3 2023","Currency=USD","Period=FQ","BEST_FPERIOD_OVERRIDE=FQ","FILING_STATUS=MR","SCALING_FORMAT=MLN","Sort=A","Dates=H","DateFormat=P","Fill=—","Direction=H","UseDPDF=Y")</f>
        <v>2218</v>
      </c>
      <c r="W20" s="13">
        <f>_xll.BDH("AMGN US Equity","BS_OTHER_CUR_ASSET_LESS_PREPAY","FQ4 2023","FQ4 2023","Currency=USD","Period=FQ","BEST_FPERIOD_OVERRIDE=FQ","FILING_STATUS=MR","SCALING_FORMAT=MLN","Sort=A","Dates=H","DateFormat=P","Fill=—","Direction=H","UseDPDF=Y")</f>
        <v>2457</v>
      </c>
      <c r="X20" s="13">
        <f>_xll.BDH("AMGN US Equity","BS_OTHER_CUR_ASSET_LESS_PREPAY","FQ1 2024","FQ1 2024","Currency=USD","Period=FQ","BEST_FPERIOD_OVERRIDE=FQ","FILING_STATUS=MR","SCALING_FORMAT=MLN","Sort=A","Dates=H","DateFormat=P","Fill=—","Direction=H","UseDPDF=Y")</f>
        <v>2596</v>
      </c>
      <c r="Y20" s="13">
        <f>_xll.BDH("AMGN US Equity","BS_OTHER_CUR_ASSET_LESS_PREPAY","FQ2 2024","FQ2 2024","Currency=USD","Period=FQ","BEST_FPERIOD_OVERRIDE=FQ","FILING_STATUS=MR","SCALING_FORMAT=MLN","Sort=A","Dates=H","DateFormat=P","Fill=—","Direction=H","UseDPDF=Y")</f>
        <v>2706</v>
      </c>
      <c r="Z20" s="13">
        <f>_xll.BDH("AMGN US Equity","BS_OTHER_CUR_ASSET_LESS_PREPAY","FQ3 2024","FQ3 2024","Currency=USD","Period=FQ","BEST_FPERIOD_OVERRIDE=FQ","FILING_STATUS=MR","SCALING_FORMAT=MLN","Sort=A","Dates=H","DateFormat=P","Fill=—","Direction=H","UseDPDF=Y")</f>
        <v>2964</v>
      </c>
      <c r="AA20" s="13">
        <f>_xll.BDH("AMGN US Equity","BS_OTHER_CUR_ASSET_LESS_PREPAY","FQ4 2024","FQ4 2024","Currency=USD","Period=FQ","BEST_FPERIOD_OVERRIDE=FQ","FILING_STATUS=MR","SCALING_FORMAT=MLN","Sort=A","Dates=H","DateFormat=P","Fill=—","Direction=H","UseDPDF=Y")</f>
        <v>2857</v>
      </c>
    </row>
    <row r="21" spans="1:27" x14ac:dyDescent="0.25">
      <c r="A21" s="6" t="s">
        <v>110</v>
      </c>
      <c r="B21" s="6" t="s">
        <v>111</v>
      </c>
      <c r="C21" s="19">
        <f>_xll.BDH("AMGN US Equity","BS_CUR_ASSET_REPORT","FQ4 2018","FQ4 2018","Currency=USD","Period=FQ","BEST_FPERIOD_OVERRIDE=FQ","FILING_STATUS=MR","SCALING_FORMAT=MLN","Sort=A","Dates=H","DateFormat=P","Fill=—","Direction=H","UseDPDF=Y")</f>
        <v>37618</v>
      </c>
      <c r="D21" s="19">
        <f>_xll.BDH("AMGN US Equity","BS_CUR_ASSET_REPORT","FQ1 2019","FQ1 2019","Currency=USD","Period=FQ","BEST_FPERIOD_OVERRIDE=FQ","FILING_STATUS=MR","SCALING_FORMAT=MLN","Sort=A","Dates=H","DateFormat=P","Fill=—","Direction=H","UseDPDF=Y")</f>
        <v>35151</v>
      </c>
      <c r="E21" s="19">
        <f>_xll.BDH("AMGN US Equity","BS_CUR_ASSET_REPORT","FQ2 2019","FQ2 2019","Currency=USD","Period=FQ","BEST_FPERIOD_OVERRIDE=FQ","FILING_STATUS=MR","SCALING_FORMAT=MLN","Sort=A","Dates=H","DateFormat=P","Fill=—","Direction=H","UseDPDF=Y")</f>
        <v>30746</v>
      </c>
      <c r="F21" s="19">
        <f>_xll.BDH("AMGN US Equity","BS_CUR_ASSET_REPORT","FQ3 2019","FQ3 2019","Currency=USD","Period=FQ","BEST_FPERIOD_OVERRIDE=FQ","FILING_STATUS=MR","SCALING_FORMAT=MLN","Sort=A","Dates=H","DateFormat=P","Fill=—","Direction=H","UseDPDF=Y")</f>
        <v>31051</v>
      </c>
      <c r="G21" s="19">
        <f>_xll.BDH("AMGN US Equity","BS_CUR_ASSET_REPORT","FQ4 2019","FQ4 2019","Currency=USD","Period=FQ","BEST_FPERIOD_OVERRIDE=FQ","FILING_STATUS=MR","SCALING_FORMAT=MLN","Sort=A","Dates=H","DateFormat=P","Fill=—","Direction=H","UseDPDF=Y")</f>
        <v>18440</v>
      </c>
      <c r="H21" s="19">
        <f>_xll.BDH("AMGN US Equity","BS_CUR_ASSET_REPORT","FQ1 2020","FQ1 2020","Currency=USD","Period=FQ","BEST_FPERIOD_OVERRIDE=FQ","FILING_STATUS=MR","SCALING_FORMAT=MLN","Sort=A","Dates=H","DateFormat=P","Fill=—","Direction=H","UseDPDF=Y")</f>
        <v>18813</v>
      </c>
      <c r="I21" s="19">
        <f>_xll.BDH("AMGN US Equity","BS_CUR_ASSET_REPORT","FQ2 2020","FQ2 2020","Currency=USD","Period=FQ","BEST_FPERIOD_OVERRIDE=FQ","FILING_STATUS=MR","SCALING_FORMAT=MLN","Sort=A","Dates=H","DateFormat=P","Fill=—","Direction=H","UseDPDF=Y")</f>
        <v>22895</v>
      </c>
      <c r="J21" s="19">
        <f>_xll.BDH("AMGN US Equity","BS_CUR_ASSET_REPORT","FQ3 2020","FQ3 2020","Currency=USD","Period=FQ","BEST_FPERIOD_OVERRIDE=FQ","FILING_STATUS=MR","SCALING_FORMAT=MLN","Sort=A","Dates=H","DateFormat=P","Fill=—","Direction=H","UseDPDF=Y")</f>
        <v>22661</v>
      </c>
      <c r="K21" s="19">
        <f>_xll.BDH("AMGN US Equity","BS_CUR_ASSET_REPORT","FQ4 2020","FQ4 2020","Currency=USD","Period=FQ","BEST_FPERIOD_OVERRIDE=FQ","FILING_STATUS=MR","SCALING_FORMAT=MLN","Sort=A","Dates=H","DateFormat=P","Fill=—","Direction=H","UseDPDF=Y")</f>
        <v>21144</v>
      </c>
      <c r="L21" s="19">
        <f>_xll.BDH("AMGN US Equity","BS_CUR_ASSET_REPORT","FQ1 2021","FQ1 2021","Currency=USD","Period=FQ","BEST_FPERIOD_OVERRIDE=FQ","FILING_STATUS=MR","SCALING_FORMAT=MLN","Sort=A","Dates=H","DateFormat=P","Fill=—","Direction=H","UseDPDF=Y")</f>
        <v>21299</v>
      </c>
      <c r="M21" s="19">
        <f>_xll.BDH("AMGN US Equity","BS_CUR_ASSET_REPORT","FQ2 2021","FQ2 2021","Currency=USD","Period=FQ","BEST_FPERIOD_OVERRIDE=FQ","FILING_STATUS=MR","SCALING_FORMAT=MLN","Sort=A","Dates=H","DateFormat=P","Fill=—","Direction=H","UseDPDF=Y")</f>
        <v>19099</v>
      </c>
      <c r="N21" s="19">
        <f>_xll.BDH("AMGN US Equity","BS_CUR_ASSET_REPORT","FQ3 2021","FQ3 2021","Currency=USD","Period=FQ","BEST_FPERIOD_OVERRIDE=FQ","FILING_STATUS=MR","SCALING_FORMAT=MLN","Sort=A","Dates=H","DateFormat=P","Fill=—","Direction=H","UseDPDF=Y")</f>
        <v>24380</v>
      </c>
      <c r="O21" s="19">
        <f>_xll.BDH("AMGN US Equity","BS_CUR_ASSET_REPORT","FQ4 2021","FQ4 2021","Currency=USD","Period=FQ","BEST_FPERIOD_OVERRIDE=FQ","FILING_STATUS=MR","SCALING_FORMAT=MLN","Sort=A","Dates=H","DateFormat=P","Fill=—","Direction=H","UseDPDF=Y")</f>
        <v>19385</v>
      </c>
      <c r="P21" s="19">
        <f>_xll.BDH("AMGN US Equity","BS_CUR_ASSET_REPORT","FQ1 2022","FQ1 2022","Currency=USD","Period=FQ","BEST_FPERIOD_OVERRIDE=FQ","FILING_STATUS=MR","SCALING_FORMAT=MLN","Sort=A","Dates=H","DateFormat=P","Fill=—","Direction=H","UseDPDF=Y")</f>
        <v>18520</v>
      </c>
      <c r="Q21" s="19">
        <f>_xll.BDH("AMGN US Equity","BS_CUR_ASSET_REPORT","FQ2 2022","FQ2 2022","Currency=USD","Period=FQ","BEST_FPERIOD_OVERRIDE=FQ","FILING_STATUS=MR","SCALING_FORMAT=MLN","Sort=A","Dates=H","DateFormat=P","Fill=—","Direction=H","UseDPDF=Y")</f>
        <v>19322</v>
      </c>
      <c r="R21" s="19">
        <f>_xll.BDH("AMGN US Equity","BS_CUR_ASSET_REPORT","FQ3 2022","FQ3 2022","Currency=USD","Period=FQ","BEST_FPERIOD_OVERRIDE=FQ","FILING_STATUS=MR","SCALING_FORMAT=MLN","Sort=A","Dates=H","DateFormat=P","Fill=—","Direction=H","UseDPDF=Y")</f>
        <v>24062</v>
      </c>
      <c r="S21" s="19">
        <f>_xll.BDH("AMGN US Equity","BS_CUR_ASSET_REPORT","FQ4 2022","FQ4 2022","Currency=USD","Period=FQ","BEST_FPERIOD_OVERRIDE=FQ","FILING_STATUS=MR","SCALING_FORMAT=MLN","Sort=A","Dates=H","DateFormat=P","Fill=—","Direction=H","UseDPDF=Y")</f>
        <v>22186</v>
      </c>
      <c r="T21" s="19">
        <f>_xll.BDH("AMGN US Equity","BS_CUR_ASSET_REPORT","FQ1 2023","FQ1 2023","Currency=USD","Period=FQ","BEST_FPERIOD_OVERRIDE=FQ","FILING_STATUS=MR","SCALING_FORMAT=MLN","Sort=A","Dates=H","DateFormat=P","Fill=—","Direction=H","UseDPDF=Y")</f>
        <v>44703</v>
      </c>
      <c r="U21" s="19">
        <f>_xll.BDH("AMGN US Equity","BS_CUR_ASSET_REPORT","FQ2 2023","FQ2 2023","Currency=USD","Period=FQ","BEST_FPERIOD_OVERRIDE=FQ","FILING_STATUS=MR","SCALING_FORMAT=MLN","Sort=A","Dates=H","DateFormat=P","Fill=—","Direction=H","UseDPDF=Y")</f>
        <v>47380</v>
      </c>
      <c r="V21" s="19">
        <f>_xll.BDH("AMGN US Equity","BS_CUR_ASSET_REPORT","FQ3 2023","FQ3 2023","Currency=USD","Period=FQ","BEST_FPERIOD_OVERRIDE=FQ","FILING_STATUS=MR","SCALING_FORMAT=MLN","Sort=A","Dates=H","DateFormat=P","Fill=—","Direction=H","UseDPDF=Y")</f>
        <v>48477</v>
      </c>
      <c r="W21" s="19">
        <f>_xll.BDH("AMGN US Equity","BS_CUR_ASSET_REPORT","FQ4 2023","FQ4 2023","Currency=USD","Period=FQ","BEST_FPERIOD_OVERRIDE=FQ","FILING_STATUS=MR","SCALING_FORMAT=MLN","Sort=A","Dates=H","DateFormat=P","Fill=—","Direction=H","UseDPDF=Y")</f>
        <v>30332</v>
      </c>
      <c r="X21" s="19">
        <f>_xll.BDH("AMGN US Equity","BS_CUR_ASSET_REPORT","FQ1 2024","FQ1 2024","Currency=USD","Period=FQ","BEST_FPERIOD_OVERRIDE=FQ","FILING_STATUS=MR","SCALING_FORMAT=MLN","Sort=A","Dates=H","DateFormat=P","Fill=—","Direction=H","UseDPDF=Y")</f>
        <v>28029</v>
      </c>
      <c r="Y21" s="19">
        <f>_xll.BDH("AMGN US Equity","BS_CUR_ASSET_REPORT","FQ2 2024","FQ2 2024","Currency=USD","Period=FQ","BEST_FPERIOD_OVERRIDE=FQ","FILING_STATUS=MR","SCALING_FORMAT=MLN","Sort=A","Dates=H","DateFormat=P","Fill=—","Direction=H","UseDPDF=Y")</f>
        <v>27206</v>
      </c>
      <c r="Z21" s="19">
        <f>_xll.BDH("AMGN US Equity","BS_CUR_ASSET_REPORT","FQ3 2024","FQ3 2024","Currency=USD","Period=FQ","BEST_FPERIOD_OVERRIDE=FQ","FILING_STATUS=MR","SCALING_FORMAT=MLN","Sort=A","Dates=H","DateFormat=P","Fill=—","Direction=H","UseDPDF=Y")</f>
        <v>26766</v>
      </c>
      <c r="AA21" s="19">
        <f>_xll.BDH("AMGN US Equity","BS_CUR_ASSET_REPORT","FQ4 2024","FQ4 2024","Currency=USD","Period=FQ","BEST_FPERIOD_OVERRIDE=FQ","FILING_STATUS=MR","SCALING_FORMAT=MLN","Sort=A","Dates=H","DateFormat=P","Fill=—","Direction=H","UseDPDF=Y")</f>
        <v>29030</v>
      </c>
    </row>
    <row r="22" spans="1:27" x14ac:dyDescent="0.25">
      <c r="A22" s="10" t="s">
        <v>731</v>
      </c>
      <c r="B22" s="10" t="s">
        <v>732</v>
      </c>
      <c r="C22" s="13">
        <f>_xll.BDH("AMGN US Equity","BS_NET_FIX_ASSET","FQ4 2018","FQ4 2018","Currency=USD","Period=FQ","BEST_FPERIOD_OVERRIDE=FQ","FILING_STATUS=MR","SCALING_FORMAT=MLN","Sort=A","Dates=H","DateFormat=P","Fill=—","Direction=H","UseDPDF=Y")</f>
        <v>4958</v>
      </c>
      <c r="D22" s="13">
        <f>_xll.BDH("AMGN US Equity","BS_NET_FIX_ASSET","FQ1 2019","FQ1 2019","Currency=USD","Period=FQ","BEST_FPERIOD_OVERRIDE=FQ","FILING_STATUS=MR","SCALING_FORMAT=MLN","Sort=A","Dates=H","DateFormat=P","Fill=—","Direction=H","UseDPDF=Y")</f>
        <v>5309</v>
      </c>
      <c r="E22" s="13">
        <f>_xll.BDH("AMGN US Equity","BS_NET_FIX_ASSET","FQ2 2019","FQ2 2019","Currency=USD","Period=FQ","BEST_FPERIOD_OVERRIDE=FQ","FILING_STATUS=MR","SCALING_FORMAT=MLN","Sort=A","Dates=H","DateFormat=P","Fill=—","Direction=H","UseDPDF=Y")</f>
        <v>5312</v>
      </c>
      <c r="F22" s="13">
        <f>_xll.BDH("AMGN US Equity","BS_NET_FIX_ASSET","FQ3 2019","FQ3 2019","Currency=USD","Period=FQ","BEST_FPERIOD_OVERRIDE=FQ","FILING_STATUS=MR","SCALING_FORMAT=MLN","Sort=A","Dates=H","DateFormat=P","Fill=—","Direction=H","UseDPDF=Y")</f>
        <v>5323</v>
      </c>
      <c r="G22" s="13">
        <f>_xll.BDH("AMGN US Equity","BS_NET_FIX_ASSET","FQ4 2019","FQ4 2019","Currency=USD","Period=FQ","BEST_FPERIOD_OVERRIDE=FQ","FILING_STATUS=MR","SCALING_FORMAT=MLN","Sort=A","Dates=H","DateFormat=P","Fill=—","Direction=H","UseDPDF=Y")</f>
        <v>5397</v>
      </c>
      <c r="H22" s="13">
        <f>_xll.BDH("AMGN US Equity","BS_NET_FIX_ASSET","FQ1 2020","FQ1 2020","Currency=USD","Period=FQ","BEST_FPERIOD_OVERRIDE=FQ","FILING_STATUS=MR","SCALING_FORMAT=MLN","Sort=A","Dates=H","DateFormat=P","Fill=—","Direction=H","UseDPDF=Y")</f>
        <v>4879</v>
      </c>
      <c r="I22" s="13">
        <f>_xll.BDH("AMGN US Equity","BS_NET_FIX_ASSET","FQ2 2020","FQ2 2020","Currency=USD","Period=FQ","BEST_FPERIOD_OVERRIDE=FQ","FILING_STATUS=MR","SCALING_FORMAT=MLN","Sort=A","Dates=H","DateFormat=P","Fill=—","Direction=H","UseDPDF=Y")</f>
        <v>4843</v>
      </c>
      <c r="J22" s="13">
        <f>_xll.BDH("AMGN US Equity","BS_NET_FIX_ASSET","FQ3 2020","FQ3 2020","Currency=USD","Period=FQ","BEST_FPERIOD_OVERRIDE=FQ","FILING_STATUS=MR","SCALING_FORMAT=MLN","Sort=A","Dates=H","DateFormat=P","Fill=—","Direction=H","UseDPDF=Y")</f>
        <v>4816</v>
      </c>
      <c r="K22" s="13">
        <f>_xll.BDH("AMGN US Equity","BS_NET_FIX_ASSET","FQ4 2020","FQ4 2020","Currency=USD","Period=FQ","BEST_FPERIOD_OVERRIDE=FQ","FILING_STATUS=MR","SCALING_FORMAT=MLN","Sort=A","Dates=H","DateFormat=P","Fill=—","Direction=H","UseDPDF=Y")</f>
        <v>5297</v>
      </c>
      <c r="L22" s="13">
        <f>_xll.BDH("AMGN US Equity","BS_NET_FIX_ASSET","FQ1 2021","FQ1 2021","Currency=USD","Period=FQ","BEST_FPERIOD_OVERRIDE=FQ","FILING_STATUS=MR","SCALING_FORMAT=MLN","Sort=A","Dates=H","DateFormat=P","Fill=—","Direction=H","UseDPDF=Y")</f>
        <v>4855</v>
      </c>
      <c r="M22" s="13">
        <f>_xll.BDH("AMGN US Equity","BS_NET_FIX_ASSET","FQ2 2021","FQ2 2021","Currency=USD","Period=FQ","BEST_FPERIOD_OVERRIDE=FQ","FILING_STATUS=MR","SCALING_FORMAT=MLN","Sort=A","Dates=H","DateFormat=P","Fill=—","Direction=H","UseDPDF=Y")</f>
        <v>4906</v>
      </c>
      <c r="N22" s="13">
        <f>_xll.BDH("AMGN US Equity","BS_NET_FIX_ASSET","FQ3 2021","FQ3 2021","Currency=USD","Period=FQ","BEST_FPERIOD_OVERRIDE=FQ","FILING_STATUS=MR","SCALING_FORMAT=MLN","Sort=A","Dates=H","DateFormat=P","Fill=—","Direction=H","UseDPDF=Y")</f>
        <v>4982</v>
      </c>
      <c r="O22" s="13">
        <f>_xll.BDH("AMGN US Equity","BS_NET_FIX_ASSET","FQ4 2021","FQ4 2021","Currency=USD","Period=FQ","BEST_FPERIOD_OVERRIDE=FQ","FILING_STATUS=MR","SCALING_FORMAT=MLN","Sort=A","Dates=H","DateFormat=P","Fill=—","Direction=H","UseDPDF=Y")</f>
        <v>5750</v>
      </c>
      <c r="P22" s="13">
        <f>_xll.BDH("AMGN US Equity","BS_NET_FIX_ASSET","FQ1 2022","FQ1 2022","Currency=USD","Period=FQ","BEST_FPERIOD_OVERRIDE=FQ","FILING_STATUS=MR","SCALING_FORMAT=MLN","Sort=A","Dates=H","DateFormat=P","Fill=—","Direction=H","UseDPDF=Y")</f>
        <v>5142</v>
      </c>
      <c r="Q22" s="13">
        <f>_xll.BDH("AMGN US Equity","BS_NET_FIX_ASSET","FQ2 2022","FQ2 2022","Currency=USD","Period=FQ","BEST_FPERIOD_OVERRIDE=FQ","FILING_STATUS=MR","SCALING_FORMAT=MLN","Sort=A","Dates=H","DateFormat=P","Fill=—","Direction=H","UseDPDF=Y")</f>
        <v>5158</v>
      </c>
      <c r="R22" s="13">
        <f>_xll.BDH("AMGN US Equity","BS_NET_FIX_ASSET","FQ3 2022","FQ3 2022","Currency=USD","Period=FQ","BEST_FPERIOD_OVERRIDE=FQ","FILING_STATUS=MR","SCALING_FORMAT=MLN","Sort=A","Dates=H","DateFormat=P","Fill=—","Direction=H","UseDPDF=Y")</f>
        <v>5188</v>
      </c>
      <c r="S22" s="13">
        <f>_xll.BDH("AMGN US Equity","BS_NET_FIX_ASSET","FQ4 2022","FQ4 2022","Currency=USD","Period=FQ","BEST_FPERIOD_OVERRIDE=FQ","FILING_STATUS=MR","SCALING_FORMAT=MLN","Sort=A","Dates=H","DateFormat=P","Fill=—","Direction=H","UseDPDF=Y")</f>
        <v>6006</v>
      </c>
      <c r="T22" s="13">
        <f>_xll.BDH("AMGN US Equity","BS_NET_FIX_ASSET","FQ1 2023","FQ1 2023","Currency=USD","Period=FQ","BEST_FPERIOD_OVERRIDE=FQ","FILING_STATUS=MR","SCALING_FORMAT=MLN","Sort=A","Dates=H","DateFormat=P","Fill=—","Direction=H","UseDPDF=Y")</f>
        <v>5460</v>
      </c>
      <c r="U22" s="13">
        <f>_xll.BDH("AMGN US Equity","BS_NET_FIX_ASSET","FQ2 2023","FQ2 2023","Currency=USD","Period=FQ","BEST_FPERIOD_OVERRIDE=FQ","FILING_STATUS=MR","SCALING_FORMAT=MLN","Sort=A","Dates=H","DateFormat=P","Fill=—","Direction=H","UseDPDF=Y")</f>
        <v>5532</v>
      </c>
      <c r="V22" s="13">
        <f>_xll.BDH("AMGN US Equity","BS_NET_FIX_ASSET","FQ3 2023","FQ3 2023","Currency=USD","Period=FQ","BEST_FPERIOD_OVERRIDE=FQ","FILING_STATUS=MR","SCALING_FORMAT=MLN","Sort=A","Dates=H","DateFormat=P","Fill=—","Direction=H","UseDPDF=Y")</f>
        <v>5563</v>
      </c>
      <c r="W22" s="13">
        <f>_xll.BDH("AMGN US Equity","BS_NET_FIX_ASSET","FQ4 2023","FQ4 2023","Currency=USD","Period=FQ","BEST_FPERIOD_OVERRIDE=FQ","FILING_STATUS=MR","SCALING_FORMAT=MLN","Sort=A","Dates=H","DateFormat=P","Fill=—","Direction=H","UseDPDF=Y")</f>
        <v>6592</v>
      </c>
      <c r="X22" s="13">
        <f>_xll.BDH("AMGN US Equity","BS_NET_FIX_ASSET","FQ1 2024","FQ1 2024","Currency=USD","Period=FQ","BEST_FPERIOD_OVERRIDE=FQ","FILING_STATUS=MR","SCALING_FORMAT=MLN","Sort=A","Dates=H","DateFormat=P","Fill=—","Direction=H","UseDPDF=Y")</f>
        <v>6002</v>
      </c>
      <c r="Y22" s="13">
        <f>_xll.BDH("AMGN US Equity","BS_NET_FIX_ASSET","FQ2 2024","FQ2 2024","Currency=USD","Period=FQ","BEST_FPERIOD_OVERRIDE=FQ","FILING_STATUS=MR","SCALING_FORMAT=MLN","Sort=A","Dates=H","DateFormat=P","Fill=—","Direction=H","UseDPDF=Y")</f>
        <v>6097</v>
      </c>
      <c r="Z22" s="13">
        <f>_xll.BDH("AMGN US Equity","BS_NET_FIX_ASSET","FQ3 2024","FQ3 2024","Currency=USD","Period=FQ","BEST_FPERIOD_OVERRIDE=FQ","FILING_STATUS=MR","SCALING_FORMAT=MLN","Sort=A","Dates=H","DateFormat=P","Fill=—","Direction=H","UseDPDF=Y")</f>
        <v>6156</v>
      </c>
      <c r="AA22" s="13">
        <f>_xll.BDH("AMGN US Equity","BS_NET_FIX_ASSET","FQ4 2024","FQ4 2024","Currency=USD","Period=FQ","BEST_FPERIOD_OVERRIDE=FQ","FILING_STATUS=MR","SCALING_FORMAT=MLN","Sort=A","Dates=H","DateFormat=P","Fill=—","Direction=H","UseDPDF=Y")</f>
        <v>7100</v>
      </c>
    </row>
    <row r="23" spans="1:27" x14ac:dyDescent="0.25">
      <c r="A23" s="10" t="s">
        <v>733</v>
      </c>
      <c r="B23" s="10" t="s">
        <v>734</v>
      </c>
      <c r="C23" s="13">
        <f>_xll.BDH("AMGN US Equity","BS_GROSS_FIX_ASSET","FQ4 2018","FQ4 2018","Currency=USD","Period=FQ","BEST_FPERIOD_OVERRIDE=FQ","FILING_STATUS=MR","SCALING_FORMAT=MLN","Sort=A","Dates=H","DateFormat=P","Fill=—","Direction=H","UseDPDF=Y")</f>
        <v>12754</v>
      </c>
      <c r="D23" s="13">
        <f>_xll.BDH("AMGN US Equity","BS_GROSS_FIX_ASSET","FQ1 2019","FQ1 2019","Currency=USD","Period=FQ","BEST_FPERIOD_OVERRIDE=FQ","FILING_STATUS=MR","SCALING_FORMAT=MLN","Sort=A","Dates=H","DateFormat=P","Fill=—","Direction=H","UseDPDF=Y")</f>
        <v>13209</v>
      </c>
      <c r="E23" s="13">
        <f>_xll.BDH("AMGN US Equity","BS_GROSS_FIX_ASSET","FQ2 2019","FQ2 2019","Currency=USD","Period=FQ","BEST_FPERIOD_OVERRIDE=FQ","FILING_STATUS=MR","SCALING_FORMAT=MLN","Sort=A","Dates=H","DateFormat=P","Fill=—","Direction=H","UseDPDF=Y")</f>
        <v>13412</v>
      </c>
      <c r="F23" s="13">
        <f>_xll.BDH("AMGN US Equity","BS_GROSS_FIX_ASSET","FQ3 2019","FQ3 2019","Currency=USD","Period=FQ","BEST_FPERIOD_OVERRIDE=FQ","FILING_STATUS=MR","SCALING_FORMAT=MLN","Sort=A","Dates=H","DateFormat=P","Fill=—","Direction=H","UseDPDF=Y")</f>
        <v>13523</v>
      </c>
      <c r="G23" s="13">
        <f>_xll.BDH("AMGN US Equity","BS_GROSS_FIX_ASSET","FQ4 2019","FQ4 2019","Currency=USD","Period=FQ","BEST_FPERIOD_OVERRIDE=FQ","FILING_STATUS=MR","SCALING_FORMAT=MLN","Sort=A","Dates=H","DateFormat=P","Fill=—","Direction=H","UseDPDF=Y")</f>
        <v>13754</v>
      </c>
      <c r="H23" s="13">
        <f>_xll.BDH("AMGN US Equity","BS_GROSS_FIX_ASSET","FQ1 2020","FQ1 2020","Currency=USD","Period=FQ","BEST_FPERIOD_OVERRIDE=FQ","FILING_STATUS=MR","SCALING_FORMAT=MLN","Sort=A","Dates=H","DateFormat=P","Fill=—","Direction=H","UseDPDF=Y")</f>
        <v>13379</v>
      </c>
      <c r="I23" s="13">
        <f>_xll.BDH("AMGN US Equity","BS_GROSS_FIX_ASSET","FQ2 2020","FQ2 2020","Currency=USD","Period=FQ","BEST_FPERIOD_OVERRIDE=FQ","FILING_STATUS=MR","SCALING_FORMAT=MLN","Sort=A","Dates=H","DateFormat=P","Fill=—","Direction=H","UseDPDF=Y")</f>
        <v>13543</v>
      </c>
      <c r="J23" s="13">
        <f>_xll.BDH("AMGN US Equity","BS_GROSS_FIX_ASSET","FQ3 2020","FQ3 2020","Currency=USD","Period=FQ","BEST_FPERIOD_OVERRIDE=FQ","FILING_STATUS=MR","SCALING_FORMAT=MLN","Sort=A","Dates=H","DateFormat=P","Fill=—","Direction=H","UseDPDF=Y")</f>
        <v>13616</v>
      </c>
      <c r="K23" s="13">
        <f>_xll.BDH("AMGN US Equity","BS_GROSS_FIX_ASSET","FQ4 2020","FQ4 2020","Currency=USD","Period=FQ","BEST_FPERIOD_OVERRIDE=FQ","FILING_STATUS=MR","SCALING_FORMAT=MLN","Sort=A","Dates=H","DateFormat=P","Fill=—","Direction=H","UseDPDF=Y")</f>
        <v>14274</v>
      </c>
      <c r="L23" s="13">
        <f>_xll.BDH("AMGN US Equity","BS_GROSS_FIX_ASSET","FQ1 2021","FQ1 2021","Currency=USD","Period=FQ","BEST_FPERIOD_OVERRIDE=FQ","FILING_STATUS=MR","SCALING_FORMAT=MLN","Sort=A","Dates=H","DateFormat=P","Fill=—","Direction=H","UseDPDF=Y")</f>
        <v>13955</v>
      </c>
      <c r="M23" s="13">
        <f>_xll.BDH("AMGN US Equity","BS_GROSS_FIX_ASSET","FQ2 2021","FQ2 2021","Currency=USD","Period=FQ","BEST_FPERIOD_OVERRIDE=FQ","FILING_STATUS=MR","SCALING_FORMAT=MLN","Sort=A","Dates=H","DateFormat=P","Fill=—","Direction=H","UseDPDF=Y")</f>
        <v>14006</v>
      </c>
      <c r="N23" s="13">
        <f>_xll.BDH("AMGN US Equity","BS_GROSS_FIX_ASSET","FQ3 2021","FQ3 2021","Currency=USD","Period=FQ","BEST_FPERIOD_OVERRIDE=FQ","FILING_STATUS=MR","SCALING_FORMAT=MLN","Sort=A","Dates=H","DateFormat=P","Fill=—","Direction=H","UseDPDF=Y")</f>
        <v>14182</v>
      </c>
      <c r="O23" s="13">
        <f>_xll.BDH("AMGN US Equity","BS_GROSS_FIX_ASSET","FQ4 2021","FQ4 2021","Currency=USD","Period=FQ","BEST_FPERIOD_OVERRIDE=FQ","FILING_STATUS=MR","SCALING_FORMAT=MLN","Sort=A","Dates=H","DateFormat=P","Fill=—","Direction=H","UseDPDF=Y")</f>
        <v>14548</v>
      </c>
      <c r="P23" s="13">
        <f>_xll.BDH("AMGN US Equity","BS_GROSS_FIX_ASSET","FQ1 2022","FQ1 2022","Currency=USD","Period=FQ","BEST_FPERIOD_OVERRIDE=FQ","FILING_STATUS=MR","SCALING_FORMAT=MLN","Sort=A","Dates=H","DateFormat=P","Fill=—","Direction=H","UseDPDF=Y")</f>
        <v>14042</v>
      </c>
      <c r="Q23" s="13">
        <f>_xll.BDH("AMGN US Equity","BS_GROSS_FIX_ASSET","FQ2 2022","FQ2 2022","Currency=USD","Period=FQ","BEST_FPERIOD_OVERRIDE=FQ","FILING_STATUS=MR","SCALING_FORMAT=MLN","Sort=A","Dates=H","DateFormat=P","Fill=—","Direction=H","UseDPDF=Y")</f>
        <v>14158</v>
      </c>
      <c r="R23" s="13">
        <f>_xll.BDH("AMGN US Equity","BS_GROSS_FIX_ASSET","FQ3 2022","FQ3 2022","Currency=USD","Period=FQ","BEST_FPERIOD_OVERRIDE=FQ","FILING_STATUS=MR","SCALING_FORMAT=MLN","Sort=A","Dates=H","DateFormat=P","Fill=—","Direction=H","UseDPDF=Y")</f>
        <v>14388</v>
      </c>
      <c r="S23" s="13">
        <f>_xll.BDH("AMGN US Equity","BS_GROSS_FIX_ASSET","FQ4 2022","FQ4 2022","Currency=USD","Period=FQ","BEST_FPERIOD_OVERRIDE=FQ","FILING_STATUS=MR","SCALING_FORMAT=MLN","Sort=A","Dates=H","DateFormat=P","Fill=—","Direction=H","UseDPDF=Y")</f>
        <v>15289</v>
      </c>
      <c r="T23" s="13">
        <f>_xll.BDH("AMGN US Equity","BS_GROSS_FIX_ASSET","FQ1 2023","FQ1 2023","Currency=USD","Period=FQ","BEST_FPERIOD_OVERRIDE=FQ","FILING_STATUS=MR","SCALING_FORMAT=MLN","Sort=A","Dates=H","DateFormat=P","Fill=—","Direction=H","UseDPDF=Y")</f>
        <v>14860</v>
      </c>
      <c r="U23" s="13">
        <f>_xll.BDH("AMGN US Equity","BS_GROSS_FIX_ASSET","FQ2 2023","FQ2 2023","Currency=USD","Period=FQ","BEST_FPERIOD_OVERRIDE=FQ","FILING_STATUS=MR","SCALING_FORMAT=MLN","Sort=A","Dates=H","DateFormat=P","Fill=—","Direction=H","UseDPDF=Y")</f>
        <v>15032</v>
      </c>
      <c r="V23" s="13">
        <f>_xll.BDH("AMGN US Equity","BS_GROSS_FIX_ASSET","FQ3 2023","FQ3 2023","Currency=USD","Period=FQ","BEST_FPERIOD_OVERRIDE=FQ","FILING_STATUS=MR","SCALING_FORMAT=MLN","Sort=A","Dates=H","DateFormat=P","Fill=—","Direction=H","UseDPDF=Y")</f>
        <v>15263</v>
      </c>
      <c r="W23" s="13">
        <f>_xll.BDH("AMGN US Equity","BS_GROSS_FIX_ASSET","FQ4 2023","FQ4 2023","Currency=USD","Period=FQ","BEST_FPERIOD_OVERRIDE=FQ","FILING_STATUS=MR","SCALING_FORMAT=MLN","Sort=A","Dates=H","DateFormat=P","Fill=—","Direction=H","UseDPDF=Y")</f>
        <v>16400</v>
      </c>
      <c r="X23" s="13">
        <f>_xll.BDH("AMGN US Equity","BS_GROSS_FIX_ASSET","FQ1 2024","FQ1 2024","Currency=USD","Period=FQ","BEST_FPERIOD_OVERRIDE=FQ","FILING_STATUS=MR","SCALING_FORMAT=MLN","Sort=A","Dates=H","DateFormat=P","Fill=—","Direction=H","UseDPDF=Y")</f>
        <v>15902</v>
      </c>
      <c r="Y23" s="13">
        <f>_xll.BDH("AMGN US Equity","BS_GROSS_FIX_ASSET","FQ2 2024","FQ2 2024","Currency=USD","Period=FQ","BEST_FPERIOD_OVERRIDE=FQ","FILING_STATUS=MR","SCALING_FORMAT=MLN","Sort=A","Dates=H","DateFormat=P","Fill=—","Direction=H","UseDPDF=Y")</f>
        <v>16197</v>
      </c>
      <c r="Z23" s="13">
        <f>_xll.BDH("AMGN US Equity","BS_GROSS_FIX_ASSET","FQ3 2024","FQ3 2024","Currency=USD","Period=FQ","BEST_FPERIOD_OVERRIDE=FQ","FILING_STATUS=MR","SCALING_FORMAT=MLN","Sort=A","Dates=H","DateFormat=P","Fill=—","Direction=H","UseDPDF=Y")</f>
        <v>16456</v>
      </c>
      <c r="AA23" s="13">
        <f>_xll.BDH("AMGN US Equity","BS_GROSS_FIX_ASSET","FQ4 2024","FQ4 2024","Currency=USD","Period=FQ","BEST_FPERIOD_OVERRIDE=FQ","FILING_STATUS=MR","SCALING_FORMAT=MLN","Sort=A","Dates=H","DateFormat=P","Fill=—","Direction=H","UseDPDF=Y")</f>
        <v>17488</v>
      </c>
    </row>
    <row r="24" spans="1:27" x14ac:dyDescent="0.25">
      <c r="A24" s="10" t="s">
        <v>735</v>
      </c>
      <c r="B24" s="10" t="s">
        <v>736</v>
      </c>
      <c r="C24" s="13">
        <f>_xll.BDH("AMGN US Equity","BS_ACCUM_DEPR","FQ4 2018","FQ4 2018","Currency=USD","Period=FQ","BEST_FPERIOD_OVERRIDE=FQ","FILING_STATUS=MR","SCALING_FORMAT=MLN","Sort=A","Dates=H","DateFormat=P","Fill=—","Direction=H","UseDPDF=Y")</f>
        <v>7796</v>
      </c>
      <c r="D24" s="13">
        <f>_xll.BDH("AMGN US Equity","BS_ACCUM_DEPR","FQ1 2019","FQ1 2019","Currency=USD","Period=FQ","BEST_FPERIOD_OVERRIDE=FQ","FILING_STATUS=MR","SCALING_FORMAT=MLN","Sort=A","Dates=H","DateFormat=P","Fill=—","Direction=H","UseDPDF=Y")</f>
        <v>7900</v>
      </c>
      <c r="E24" s="13">
        <f>_xll.BDH("AMGN US Equity","BS_ACCUM_DEPR","FQ2 2019","FQ2 2019","Currency=USD","Period=FQ","BEST_FPERIOD_OVERRIDE=FQ","FILING_STATUS=MR","SCALING_FORMAT=MLN","Sort=A","Dates=H","DateFormat=P","Fill=—","Direction=H","UseDPDF=Y")</f>
        <v>8100</v>
      </c>
      <c r="F24" s="13">
        <f>_xll.BDH("AMGN US Equity","BS_ACCUM_DEPR","FQ3 2019","FQ3 2019","Currency=USD","Period=FQ","BEST_FPERIOD_OVERRIDE=FQ","FILING_STATUS=MR","SCALING_FORMAT=MLN","Sort=A","Dates=H","DateFormat=P","Fill=—","Direction=H","UseDPDF=Y")</f>
        <v>8200</v>
      </c>
      <c r="G24" s="13">
        <f>_xll.BDH("AMGN US Equity","BS_ACCUM_DEPR","FQ4 2019","FQ4 2019","Currency=USD","Period=FQ","BEST_FPERIOD_OVERRIDE=FQ","FILING_STATUS=MR","SCALING_FORMAT=MLN","Sort=A","Dates=H","DateFormat=P","Fill=—","Direction=H","UseDPDF=Y")</f>
        <v>8357</v>
      </c>
      <c r="H24" s="13">
        <f>_xll.BDH("AMGN US Equity","BS_ACCUM_DEPR","FQ1 2020","FQ1 2020","Currency=USD","Period=FQ","BEST_FPERIOD_OVERRIDE=FQ","FILING_STATUS=MR","SCALING_FORMAT=MLN","Sort=A","Dates=H","DateFormat=P","Fill=—","Direction=H","UseDPDF=Y")</f>
        <v>8500</v>
      </c>
      <c r="I24" s="13">
        <f>_xll.BDH("AMGN US Equity","BS_ACCUM_DEPR","FQ2 2020","FQ2 2020","Currency=USD","Period=FQ","BEST_FPERIOD_OVERRIDE=FQ","FILING_STATUS=MR","SCALING_FORMAT=MLN","Sort=A","Dates=H","DateFormat=P","Fill=—","Direction=H","UseDPDF=Y")</f>
        <v>8700</v>
      </c>
      <c r="J24" s="13">
        <f>_xll.BDH("AMGN US Equity","BS_ACCUM_DEPR","FQ3 2020","FQ3 2020","Currency=USD","Period=FQ","BEST_FPERIOD_OVERRIDE=FQ","FILING_STATUS=MR","SCALING_FORMAT=MLN","Sort=A","Dates=H","DateFormat=P","Fill=—","Direction=H","UseDPDF=Y")</f>
        <v>8800</v>
      </c>
      <c r="K24" s="13">
        <f>_xll.BDH("AMGN US Equity","BS_ACCUM_DEPR","FQ4 2020","FQ4 2020","Currency=USD","Period=FQ","BEST_FPERIOD_OVERRIDE=FQ","FILING_STATUS=MR","SCALING_FORMAT=MLN","Sort=A","Dates=H","DateFormat=P","Fill=—","Direction=H","UseDPDF=Y")</f>
        <v>8977</v>
      </c>
      <c r="L24" s="13">
        <f>_xll.BDH("AMGN US Equity","BS_ACCUM_DEPR","FQ1 2021","FQ1 2021","Currency=USD","Period=FQ","BEST_FPERIOD_OVERRIDE=FQ","FILING_STATUS=MR","SCALING_FORMAT=MLN","Sort=A","Dates=H","DateFormat=P","Fill=—","Direction=H","UseDPDF=Y")</f>
        <v>9100</v>
      </c>
      <c r="M24" s="13">
        <f>_xll.BDH("AMGN US Equity","BS_ACCUM_DEPR","FQ2 2021","FQ2 2021","Currency=USD","Period=FQ","BEST_FPERIOD_OVERRIDE=FQ","FILING_STATUS=MR","SCALING_FORMAT=MLN","Sort=A","Dates=H","DateFormat=P","Fill=—","Direction=H","UseDPDF=Y")</f>
        <v>9100</v>
      </c>
      <c r="N24" s="13">
        <f>_xll.BDH("AMGN US Equity","BS_ACCUM_DEPR","FQ3 2021","FQ3 2021","Currency=USD","Period=FQ","BEST_FPERIOD_OVERRIDE=FQ","FILING_STATUS=MR","SCALING_FORMAT=MLN","Sort=A","Dates=H","DateFormat=P","Fill=—","Direction=H","UseDPDF=Y")</f>
        <v>9200</v>
      </c>
      <c r="O24" s="13">
        <f>_xll.BDH("AMGN US Equity","BS_ACCUM_DEPR","FQ4 2021","FQ4 2021","Currency=USD","Period=FQ","BEST_FPERIOD_OVERRIDE=FQ","FILING_STATUS=MR","SCALING_FORMAT=MLN","Sort=A","Dates=H","DateFormat=P","Fill=—","Direction=H","UseDPDF=Y")</f>
        <v>8798</v>
      </c>
      <c r="P24" s="13">
        <f>_xll.BDH("AMGN US Equity","BS_ACCUM_DEPR","FQ1 2022","FQ1 2022","Currency=USD","Period=FQ","BEST_FPERIOD_OVERRIDE=FQ","FILING_STATUS=MR","SCALING_FORMAT=MLN","Sort=A","Dates=H","DateFormat=P","Fill=—","Direction=H","UseDPDF=Y")</f>
        <v>8900</v>
      </c>
      <c r="Q24" s="13">
        <f>_xll.BDH("AMGN US Equity","BS_ACCUM_DEPR","FQ2 2022","FQ2 2022","Currency=USD","Period=FQ","BEST_FPERIOD_OVERRIDE=FQ","FILING_STATUS=MR","SCALING_FORMAT=MLN","Sort=A","Dates=H","DateFormat=P","Fill=—","Direction=H","UseDPDF=Y")</f>
        <v>9000</v>
      </c>
      <c r="R24" s="13">
        <f>_xll.BDH("AMGN US Equity","BS_ACCUM_DEPR","FQ3 2022","FQ3 2022","Currency=USD","Period=FQ","BEST_FPERIOD_OVERRIDE=FQ","FILING_STATUS=MR","SCALING_FORMAT=MLN","Sort=A","Dates=H","DateFormat=P","Fill=—","Direction=H","UseDPDF=Y")</f>
        <v>9200</v>
      </c>
      <c r="S24" s="13">
        <f>_xll.BDH("AMGN US Equity","BS_ACCUM_DEPR","FQ4 2022","FQ4 2022","Currency=USD","Period=FQ","BEST_FPERIOD_OVERRIDE=FQ","FILING_STATUS=MR","SCALING_FORMAT=MLN","Sort=A","Dates=H","DateFormat=P","Fill=—","Direction=H","UseDPDF=Y")</f>
        <v>9283</v>
      </c>
      <c r="T24" s="13">
        <f>_xll.BDH("AMGN US Equity","BS_ACCUM_DEPR","FQ1 2023","FQ1 2023","Currency=USD","Period=FQ","BEST_FPERIOD_OVERRIDE=FQ","FILING_STATUS=MR","SCALING_FORMAT=MLN","Sort=A","Dates=H","DateFormat=P","Fill=—","Direction=H","UseDPDF=Y")</f>
        <v>9400</v>
      </c>
      <c r="U24" s="13">
        <f>_xll.BDH("AMGN US Equity","BS_ACCUM_DEPR","FQ2 2023","FQ2 2023","Currency=USD","Period=FQ","BEST_FPERIOD_OVERRIDE=FQ","FILING_STATUS=MR","SCALING_FORMAT=MLN","Sort=A","Dates=H","DateFormat=P","Fill=—","Direction=H","UseDPDF=Y")</f>
        <v>9500</v>
      </c>
      <c r="V24" s="13">
        <f>_xll.BDH("AMGN US Equity","BS_ACCUM_DEPR","FQ3 2023","FQ3 2023","Currency=USD","Period=FQ","BEST_FPERIOD_OVERRIDE=FQ","FILING_STATUS=MR","SCALING_FORMAT=MLN","Sort=A","Dates=H","DateFormat=P","Fill=—","Direction=H","UseDPDF=Y")</f>
        <v>9700</v>
      </c>
      <c r="W24" s="13">
        <f>_xll.BDH("AMGN US Equity","BS_ACCUM_DEPR","FQ4 2023","FQ4 2023","Currency=USD","Period=FQ","BEST_FPERIOD_OVERRIDE=FQ","FILING_STATUS=MR","SCALING_FORMAT=MLN","Sort=A","Dates=H","DateFormat=P","Fill=—","Direction=H","UseDPDF=Y")</f>
        <v>9808</v>
      </c>
      <c r="X24" s="13">
        <f>_xll.BDH("AMGN US Equity","BS_ACCUM_DEPR","FQ1 2024","FQ1 2024","Currency=USD","Period=FQ","BEST_FPERIOD_OVERRIDE=FQ","FILING_STATUS=MR","SCALING_FORMAT=MLN","Sort=A","Dates=H","DateFormat=P","Fill=—","Direction=H","UseDPDF=Y")</f>
        <v>9900</v>
      </c>
      <c r="Y24" s="13">
        <f>_xll.BDH("AMGN US Equity","BS_ACCUM_DEPR","FQ2 2024","FQ2 2024","Currency=USD","Period=FQ","BEST_FPERIOD_OVERRIDE=FQ","FILING_STATUS=MR","SCALING_FORMAT=MLN","Sort=A","Dates=H","DateFormat=P","Fill=—","Direction=H","UseDPDF=Y")</f>
        <v>10100</v>
      </c>
      <c r="Z24" s="13">
        <f>_xll.BDH("AMGN US Equity","BS_ACCUM_DEPR","FQ3 2024","FQ3 2024","Currency=USD","Period=FQ","BEST_FPERIOD_OVERRIDE=FQ","FILING_STATUS=MR","SCALING_FORMAT=MLN","Sort=A","Dates=H","DateFormat=P","Fill=—","Direction=H","UseDPDF=Y")</f>
        <v>10300</v>
      </c>
      <c r="AA24" s="13">
        <f>_xll.BDH("AMGN US Equity","BS_ACCUM_DEPR","FQ4 2024","FQ4 2024","Currency=USD","Period=FQ","BEST_FPERIOD_OVERRIDE=FQ","FILING_STATUS=MR","SCALING_FORMAT=MLN","Sort=A","Dates=H","DateFormat=P","Fill=—","Direction=H","UseDPDF=Y")</f>
        <v>10388</v>
      </c>
    </row>
    <row r="25" spans="1:27" x14ac:dyDescent="0.25">
      <c r="A25" s="10" t="s">
        <v>737</v>
      </c>
      <c r="B25" s="10" t="s">
        <v>738</v>
      </c>
      <c r="C25" s="13">
        <f>_xll.BDH("AMGN US Equity","BS_LT_INVEST","FQ4 2018","FQ4 2018","Currency=USD","Period=FQ","BEST_FPERIOD_OVERRIDE=FQ","FILING_STATUS=MR","SCALING_FORMAT=MLN","Sort=A","Dates=H","DateFormat=P","Fill=—","Direction=H","UseDPDF=Y")</f>
        <v>0</v>
      </c>
      <c r="D25" s="13">
        <f>_xll.BDH("AMGN US Equity","BS_LT_INVEST","FQ1 2019","FQ1 2019","Currency=USD","Period=FQ","BEST_FPERIOD_OVERRIDE=FQ","FILING_STATUS=MR","SCALING_FORMAT=MLN","Sort=A","Dates=H","DateFormat=P","Fill=—","Direction=H","UseDPDF=Y")</f>
        <v>0</v>
      </c>
      <c r="E25" s="13">
        <f>_xll.BDH("AMGN US Equity","BS_LT_INVEST","FQ2 2019","FQ2 2019","Currency=USD","Period=FQ","BEST_FPERIOD_OVERRIDE=FQ","FILING_STATUS=MR","SCALING_FORMAT=MLN","Sort=A","Dates=H","DateFormat=P","Fill=—","Direction=H","UseDPDF=Y")</f>
        <v>0</v>
      </c>
      <c r="F25" s="13">
        <f>_xll.BDH("AMGN US Equity","BS_LT_INVEST","FQ3 2019","FQ3 2019","Currency=USD","Period=FQ","BEST_FPERIOD_OVERRIDE=FQ","FILING_STATUS=MR","SCALING_FORMAT=MLN","Sort=A","Dates=H","DateFormat=P","Fill=—","Direction=H","UseDPDF=Y")</f>
        <v>0</v>
      </c>
      <c r="G25" s="13">
        <f>_xll.BDH("AMGN US Equity","BS_LT_INVEST","FQ4 2019","FQ4 2019","Currency=USD","Period=FQ","BEST_FPERIOD_OVERRIDE=FQ","FILING_STATUS=MR","SCALING_FORMAT=MLN","Sort=A","Dates=H","DateFormat=P","Fill=—","Direction=H","UseDPDF=Y")</f>
        <v>0</v>
      </c>
      <c r="H25" s="13">
        <f>_xll.BDH("AMGN US Equity","BS_LT_INVEST","FQ1 2020","FQ1 2020","Currency=USD","Period=FQ","BEST_FPERIOD_OVERRIDE=FQ","FILING_STATUS=MR","SCALING_FORMAT=MLN","Sort=A","Dates=H","DateFormat=P","Fill=—","Direction=H","UseDPDF=Y")</f>
        <v>0</v>
      </c>
      <c r="I25" s="13">
        <f>_xll.BDH("AMGN US Equity","BS_LT_INVEST","FQ2 2020","FQ2 2020","Currency=USD","Period=FQ","BEST_FPERIOD_OVERRIDE=FQ","FILING_STATUS=MR","SCALING_FORMAT=MLN","Sort=A","Dates=H","DateFormat=P","Fill=—","Direction=H","UseDPDF=Y")</f>
        <v>0</v>
      </c>
      <c r="J25" s="13">
        <f>_xll.BDH("AMGN US Equity","BS_LT_INVEST","FQ3 2020","FQ3 2020","Currency=USD","Period=FQ","BEST_FPERIOD_OVERRIDE=FQ","FILING_STATUS=MR","SCALING_FORMAT=MLN","Sort=A","Dates=H","DateFormat=P","Fill=—","Direction=H","UseDPDF=Y")</f>
        <v>0</v>
      </c>
      <c r="K25" s="13">
        <f>_xll.BDH("AMGN US Equity","BS_LT_INVEST","FQ4 2020","FQ4 2020","Currency=USD","Period=FQ","BEST_FPERIOD_OVERRIDE=FQ","FILING_STATUS=MR","SCALING_FORMAT=MLN","Sort=A","Dates=H","DateFormat=P","Fill=—","Direction=H","UseDPDF=Y")</f>
        <v>0</v>
      </c>
      <c r="L25" s="13">
        <f>_xll.BDH("AMGN US Equity","BS_LT_INVEST","FQ1 2021","FQ1 2021","Currency=USD","Period=FQ","BEST_FPERIOD_OVERRIDE=FQ","FILING_STATUS=MR","SCALING_FORMAT=MLN","Sort=A","Dates=H","DateFormat=P","Fill=—","Direction=H","UseDPDF=Y")</f>
        <v>0</v>
      </c>
      <c r="M25" s="13">
        <f>_xll.BDH("AMGN US Equity","BS_LT_INVEST","FQ2 2021","FQ2 2021","Currency=USD","Period=FQ","BEST_FPERIOD_OVERRIDE=FQ","FILING_STATUS=MR","SCALING_FORMAT=MLN","Sort=A","Dates=H","DateFormat=P","Fill=—","Direction=H","UseDPDF=Y")</f>
        <v>0</v>
      </c>
      <c r="N25" s="13">
        <f>_xll.BDH("AMGN US Equity","BS_LT_INVEST","FQ3 2021","FQ3 2021","Currency=USD","Period=FQ","BEST_FPERIOD_OVERRIDE=FQ","FILING_STATUS=MR","SCALING_FORMAT=MLN","Sort=A","Dates=H","DateFormat=P","Fill=—","Direction=H","UseDPDF=Y")</f>
        <v>0</v>
      </c>
      <c r="O25" s="13">
        <f>_xll.BDH("AMGN US Equity","BS_LT_INVEST","FQ4 2021","FQ4 2021","Currency=USD","Period=FQ","BEST_FPERIOD_OVERRIDE=FQ","FILING_STATUS=MR","SCALING_FORMAT=MLN","Sort=A","Dates=H","DateFormat=P","Fill=—","Direction=H","UseDPDF=Y")</f>
        <v>0</v>
      </c>
      <c r="P25" s="13">
        <f>_xll.BDH("AMGN US Equity","BS_LT_INVEST","FQ1 2022","FQ1 2022","Currency=USD","Period=FQ","BEST_FPERIOD_OVERRIDE=FQ","FILING_STATUS=MR","SCALING_FORMAT=MLN","Sort=A","Dates=H","DateFormat=P","Fill=—","Direction=H","UseDPDF=Y")</f>
        <v>0</v>
      </c>
      <c r="Q25" s="13">
        <f>_xll.BDH("AMGN US Equity","BS_LT_INVEST","FQ2 2022","FQ2 2022","Currency=USD","Period=FQ","BEST_FPERIOD_OVERRIDE=FQ","FILING_STATUS=MR","SCALING_FORMAT=MLN","Sort=A","Dates=H","DateFormat=P","Fill=—","Direction=H","UseDPDF=Y")</f>
        <v>0</v>
      </c>
      <c r="R25" s="13">
        <f>_xll.BDH("AMGN US Equity","BS_LT_INVEST","FQ3 2022","FQ3 2022","Currency=USD","Period=FQ","BEST_FPERIOD_OVERRIDE=FQ","FILING_STATUS=MR","SCALING_FORMAT=MLN","Sort=A","Dates=H","DateFormat=P","Fill=—","Direction=H","UseDPDF=Y")</f>
        <v>0</v>
      </c>
      <c r="S25" s="13">
        <f>_xll.BDH("AMGN US Equity","BS_LT_INVEST","FQ4 2022","FQ4 2022","Currency=USD","Period=FQ","BEST_FPERIOD_OVERRIDE=FQ","FILING_STATUS=MR","SCALING_FORMAT=MLN","Sort=A","Dates=H","DateFormat=P","Fill=—","Direction=H","UseDPDF=Y")</f>
        <v>0</v>
      </c>
      <c r="T25" s="13">
        <f>_xll.BDH("AMGN US Equity","BS_LT_INVEST","FQ1 2023","FQ1 2023","Currency=USD","Period=FQ","BEST_FPERIOD_OVERRIDE=FQ","FILING_STATUS=MR","SCALING_FORMAT=MLN","Sort=A","Dates=H","DateFormat=P","Fill=—","Direction=H","UseDPDF=Y")</f>
        <v>0</v>
      </c>
      <c r="U25" s="13">
        <f>_xll.BDH("AMGN US Equity","BS_LT_INVEST","FQ2 2023","FQ2 2023","Currency=USD","Period=FQ","BEST_FPERIOD_OVERRIDE=FQ","FILING_STATUS=MR","SCALING_FORMAT=MLN","Sort=A","Dates=H","DateFormat=P","Fill=—","Direction=H","UseDPDF=Y")</f>
        <v>0</v>
      </c>
      <c r="V25" s="13">
        <f>_xll.BDH("AMGN US Equity","BS_LT_INVEST","FQ3 2023","FQ3 2023","Currency=USD","Period=FQ","BEST_FPERIOD_OVERRIDE=FQ","FILING_STATUS=MR","SCALING_FORMAT=MLN","Sort=A","Dates=H","DateFormat=P","Fill=—","Direction=H","UseDPDF=Y")</f>
        <v>0</v>
      </c>
      <c r="W25" s="13">
        <f>_xll.BDH("AMGN US Equity","BS_LT_INVEST","FQ4 2023","FQ4 2023","Currency=USD","Period=FQ","BEST_FPERIOD_OVERRIDE=FQ","FILING_STATUS=MR","SCALING_FORMAT=MLN","Sort=A","Dates=H","DateFormat=P","Fill=—","Direction=H","UseDPDF=Y")</f>
        <v>0</v>
      </c>
      <c r="X25" s="13">
        <f>_xll.BDH("AMGN US Equity","BS_LT_INVEST","FQ1 2024","FQ1 2024","Currency=USD","Period=FQ","BEST_FPERIOD_OVERRIDE=FQ","FILING_STATUS=MR","SCALING_FORMAT=MLN","Sort=A","Dates=H","DateFormat=P","Fill=—","Direction=H","UseDPDF=Y")</f>
        <v>0</v>
      </c>
      <c r="Y25" s="13">
        <f>_xll.BDH("AMGN US Equity","BS_LT_INVEST","FQ2 2024","FQ2 2024","Currency=USD","Period=FQ","BEST_FPERIOD_OVERRIDE=FQ","FILING_STATUS=MR","SCALING_FORMAT=MLN","Sort=A","Dates=H","DateFormat=P","Fill=—","Direction=H","UseDPDF=Y")</f>
        <v>0</v>
      </c>
      <c r="Z25" s="13">
        <f>_xll.BDH("AMGN US Equity","BS_LT_INVEST","FQ3 2024","FQ3 2024","Currency=USD","Period=FQ","BEST_FPERIOD_OVERRIDE=FQ","FILING_STATUS=MR","SCALING_FORMAT=MLN","Sort=A","Dates=H","DateFormat=P","Fill=—","Direction=H","UseDPDF=Y")</f>
        <v>0</v>
      </c>
      <c r="AA25" s="13">
        <f>_xll.BDH("AMGN US Equity","BS_LT_INVEST","FQ4 2024","FQ4 2024","Currency=USD","Period=FQ","BEST_FPERIOD_OVERRIDE=FQ","FILING_STATUS=MR","SCALING_FORMAT=MLN","Sort=A","Dates=H","DateFormat=P","Fill=—","Direction=H","UseDPDF=Y")</f>
        <v>0</v>
      </c>
    </row>
    <row r="26" spans="1:27" x14ac:dyDescent="0.25">
      <c r="A26" s="10" t="s">
        <v>739</v>
      </c>
      <c r="B26" s="10" t="s">
        <v>740</v>
      </c>
      <c r="C26" s="13">
        <f>_xll.BDH("AMGN US Equity","BS_OTHER_ASSETS_DEF_CHRG_OTHER","FQ4 2018","FQ4 2018","Currency=USD","Period=FQ","BEST_FPERIOD_OVERRIDE=FQ","FILING_STATUS=MR","SCALING_FORMAT=MLN","Sort=A","Dates=H","DateFormat=P","Fill=—","Direction=H","UseDPDF=Y")</f>
        <v>23840</v>
      </c>
      <c r="D26" s="13">
        <f>_xll.BDH("AMGN US Equity","BS_OTHER_ASSETS_DEF_CHRG_OTHER","FQ1 2019","FQ1 2019","Currency=USD","Period=FQ","BEST_FPERIOD_OVERRIDE=FQ","FILING_STATUS=MR","SCALING_FORMAT=MLN","Sort=A","Dates=H","DateFormat=P","Fill=—","Direction=H","UseDPDF=Y")</f>
        <v>23537</v>
      </c>
      <c r="E26" s="13">
        <f>_xll.BDH("AMGN US Equity","BS_OTHER_ASSETS_DEF_CHRG_OTHER","FQ2 2019","FQ2 2019","Currency=USD","Period=FQ","BEST_FPERIOD_OVERRIDE=FQ","FILING_STATUS=MR","SCALING_FORMAT=MLN","Sort=A","Dates=H","DateFormat=P","Fill=—","Direction=H","UseDPDF=Y")</f>
        <v>23315</v>
      </c>
      <c r="F26" s="13">
        <f>_xll.BDH("AMGN US Equity","BS_OTHER_ASSETS_DEF_CHRG_OTHER","FQ3 2019","FQ3 2019","Currency=USD","Period=FQ","BEST_FPERIOD_OVERRIDE=FQ","FILING_STATUS=MR","SCALING_FORMAT=MLN","Sort=A","Dates=H","DateFormat=P","Fill=—","Direction=H","UseDPDF=Y")</f>
        <v>23161</v>
      </c>
      <c r="G26" s="13">
        <f>_xll.BDH("AMGN US Equity","BS_OTHER_ASSETS_DEF_CHRG_OTHER","FQ4 2019","FQ4 2019","Currency=USD","Period=FQ","BEST_FPERIOD_OVERRIDE=FQ","FILING_STATUS=MR","SCALING_FORMAT=MLN","Sort=A","Dates=H","DateFormat=P","Fill=—","Direction=H","UseDPDF=Y")</f>
        <v>35870</v>
      </c>
      <c r="H26" s="13">
        <f>_xll.BDH("AMGN US Equity","BS_OTHER_ASSETS_DEF_CHRG_OTHER","FQ1 2020","FQ1 2020","Currency=USD","Period=FQ","BEST_FPERIOD_OVERRIDE=FQ","FILING_STATUS=MR","SCALING_FORMAT=MLN","Sort=A","Dates=H","DateFormat=P","Fill=—","Direction=H","UseDPDF=Y")</f>
        <v>37977</v>
      </c>
      <c r="I26" s="13">
        <f>_xll.BDH("AMGN US Equity","BS_OTHER_ASSETS_DEF_CHRG_OTHER","FQ2 2020","FQ2 2020","Currency=USD","Period=FQ","BEST_FPERIOD_OVERRIDE=FQ","FILING_STATUS=MR","SCALING_FORMAT=MLN","Sort=A","Dates=H","DateFormat=P","Fill=—","Direction=H","UseDPDF=Y")</f>
        <v>37273</v>
      </c>
      <c r="J26" s="13">
        <f>_xll.BDH("AMGN US Equity","BS_OTHER_ASSETS_DEF_CHRG_OTHER","FQ3 2020","FQ3 2020","Currency=USD","Period=FQ","BEST_FPERIOD_OVERRIDE=FQ","FILING_STATUS=MR","SCALING_FORMAT=MLN","Sort=A","Dates=H","DateFormat=P","Fill=—","Direction=H","UseDPDF=Y")</f>
        <v>37160</v>
      </c>
      <c r="K26" s="13">
        <f>_xll.BDH("AMGN US Equity","BS_OTHER_ASSETS_DEF_CHRG_OTHER","FQ4 2020","FQ4 2020","Currency=USD","Period=FQ","BEST_FPERIOD_OVERRIDE=FQ","FILING_STATUS=MR","SCALING_FORMAT=MLN","Sort=A","Dates=H","DateFormat=P","Fill=—","Direction=H","UseDPDF=Y")</f>
        <v>36507</v>
      </c>
      <c r="L26" s="13">
        <f>_xll.BDH("AMGN US Equity","BS_OTHER_ASSETS_DEF_CHRG_OTHER","FQ1 2021","FQ1 2021","Currency=USD","Period=FQ","BEST_FPERIOD_OVERRIDE=FQ","FILING_STATUS=MR","SCALING_FORMAT=MLN","Sort=A","Dates=H","DateFormat=P","Fill=—","Direction=H","UseDPDF=Y")</f>
        <v>36385</v>
      </c>
      <c r="M26" s="13">
        <f>_xll.BDH("AMGN US Equity","BS_OTHER_ASSETS_DEF_CHRG_OTHER","FQ2 2021","FQ2 2021","Currency=USD","Period=FQ","BEST_FPERIOD_OVERRIDE=FQ","FILING_STATUS=MR","SCALING_FORMAT=MLN","Sort=A","Dates=H","DateFormat=P","Fill=—","Direction=H","UseDPDF=Y")</f>
        <v>35768</v>
      </c>
      <c r="N26" s="13">
        <f>_xll.BDH("AMGN US Equity","BS_OTHER_ASSETS_DEF_CHRG_OTHER","FQ3 2021","FQ3 2021","Currency=USD","Period=FQ","BEST_FPERIOD_OVERRIDE=FQ","FILING_STATUS=MR","SCALING_FORMAT=MLN","Sort=A","Dates=H","DateFormat=P","Fill=—","Direction=H","UseDPDF=Y")</f>
        <v>35631</v>
      </c>
      <c r="O26" s="13">
        <f>_xll.BDH("AMGN US Equity","BS_OTHER_ASSETS_DEF_CHRG_OTHER","FQ4 2021","FQ4 2021","Currency=USD","Period=FQ","BEST_FPERIOD_OVERRIDE=FQ","FILING_STATUS=MR","SCALING_FORMAT=MLN","Sort=A","Dates=H","DateFormat=P","Fill=—","Direction=H","UseDPDF=Y")</f>
        <v>36030</v>
      </c>
      <c r="P26" s="13">
        <f>_xll.BDH("AMGN US Equity","BS_OTHER_ASSETS_DEF_CHRG_OTHER","FQ1 2022","FQ1 2022","Currency=USD","Period=FQ","BEST_FPERIOD_OVERRIDE=FQ","FILING_STATUS=MR","SCALING_FORMAT=MLN","Sort=A","Dates=H","DateFormat=P","Fill=—","Direction=H","UseDPDF=Y")</f>
        <v>35534</v>
      </c>
      <c r="Q26" s="13">
        <f>_xll.BDH("AMGN US Equity","BS_OTHER_ASSETS_DEF_CHRG_OTHER","FQ2 2022","FQ2 2022","Currency=USD","Period=FQ","BEST_FPERIOD_OVERRIDE=FQ","FILING_STATUS=MR","SCALING_FORMAT=MLN","Sort=A","Dates=H","DateFormat=P","Fill=—","Direction=H","UseDPDF=Y")</f>
        <v>34814</v>
      </c>
      <c r="R26" s="13">
        <f>_xll.BDH("AMGN US Equity","BS_OTHER_ASSETS_DEF_CHRG_OTHER","FQ3 2022","FQ3 2022","Currency=USD","Period=FQ","BEST_FPERIOD_OVERRIDE=FQ","FILING_STATUS=MR","SCALING_FORMAT=MLN","Sort=A","Dates=H","DateFormat=P","Fill=—","Direction=H","UseDPDF=Y")</f>
        <v>34450</v>
      </c>
      <c r="S26" s="13">
        <f>_xll.BDH("AMGN US Equity","BS_OTHER_ASSETS_DEF_CHRG_OTHER","FQ4 2022","FQ4 2022","Currency=USD","Period=FQ","BEST_FPERIOD_OVERRIDE=FQ","FILING_STATUS=MR","SCALING_FORMAT=MLN","Sort=A","Dates=H","DateFormat=P","Fill=—","Direction=H","UseDPDF=Y")</f>
        <v>36929</v>
      </c>
      <c r="T26" s="13">
        <f>_xll.BDH("AMGN US Equity","BS_OTHER_ASSETS_DEF_CHRG_OTHER","FQ1 2023","FQ1 2023","Currency=USD","Period=FQ","BEST_FPERIOD_OVERRIDE=FQ","FILING_STATUS=MR","SCALING_FORMAT=MLN","Sort=A","Dates=H","DateFormat=P","Fill=—","Direction=H","UseDPDF=Y")</f>
        <v>38557</v>
      </c>
      <c r="U26" s="13">
        <f>_xll.BDH("AMGN US Equity","BS_OTHER_ASSETS_DEF_CHRG_OTHER","FQ2 2023","FQ2 2023","Currency=USD","Period=FQ","BEST_FPERIOD_OVERRIDE=FQ","FILING_STATUS=MR","SCALING_FORMAT=MLN","Sort=A","Dates=H","DateFormat=P","Fill=—","Direction=H","UseDPDF=Y")</f>
        <v>37357</v>
      </c>
      <c r="V26" s="13">
        <f>_xll.BDH("AMGN US Equity","BS_OTHER_ASSETS_DEF_CHRG_OTHER","FQ3 2023","FQ3 2023","Currency=USD","Period=FQ","BEST_FPERIOD_OVERRIDE=FQ","FILING_STATUS=MR","SCALING_FORMAT=MLN","Sort=A","Dates=H","DateFormat=P","Fill=—","Direction=H","UseDPDF=Y")</f>
        <v>36494</v>
      </c>
      <c r="W26" s="13">
        <f>_xll.BDH("AMGN US Equity","BS_OTHER_ASSETS_DEF_CHRG_OTHER","FQ4 2023","FQ4 2023","Currency=USD","Period=FQ","BEST_FPERIOD_OVERRIDE=FQ","FILING_STATUS=MR","SCALING_FORMAT=MLN","Sort=A","Dates=H","DateFormat=P","Fill=—","Direction=H","UseDPDF=Y")</f>
        <v>60230</v>
      </c>
      <c r="X26" s="13">
        <f>_xll.BDH("AMGN US Equity","BS_OTHER_ASSETS_DEF_CHRG_OTHER","FQ1 2024","FQ1 2024","Currency=USD","Period=FQ","BEST_FPERIOD_OVERRIDE=FQ","FILING_STATUS=MR","SCALING_FORMAT=MLN","Sort=A","Dates=H","DateFormat=P","Fill=—","Direction=H","UseDPDF=Y")</f>
        <v>58949</v>
      </c>
      <c r="Y26" s="13">
        <f>_xll.BDH("AMGN US Equity","BS_OTHER_ASSETS_DEF_CHRG_OTHER","FQ2 2024","FQ2 2024","Currency=USD","Period=FQ","BEST_FPERIOD_OVERRIDE=FQ","FILING_STATUS=MR","SCALING_FORMAT=MLN","Sort=A","Dates=H","DateFormat=P","Fill=—","Direction=H","UseDPDF=Y")</f>
        <v>57604</v>
      </c>
      <c r="Z26" s="13">
        <f>_xll.BDH("AMGN US Equity","BS_OTHER_ASSETS_DEF_CHRG_OTHER","FQ3 2024","FQ3 2024","Currency=USD","Period=FQ","BEST_FPERIOD_OVERRIDE=FQ","FILING_STATUS=MR","SCALING_FORMAT=MLN","Sort=A","Dates=H","DateFormat=P","Fill=—","Direction=H","UseDPDF=Y")</f>
        <v>57961</v>
      </c>
      <c r="AA26" s="13">
        <f>_xll.BDH("AMGN US Equity","BS_OTHER_ASSETS_DEF_CHRG_OTHER","FQ4 2024","FQ4 2024","Currency=USD","Period=FQ","BEST_FPERIOD_OVERRIDE=FQ","FILING_STATUS=MR","SCALING_FORMAT=MLN","Sort=A","Dates=H","DateFormat=P","Fill=—","Direction=H","UseDPDF=Y")</f>
        <v>55709</v>
      </c>
    </row>
    <row r="27" spans="1:27" x14ac:dyDescent="0.25">
      <c r="A27" s="10" t="s">
        <v>741</v>
      </c>
      <c r="B27" s="10" t="s">
        <v>742</v>
      </c>
      <c r="C27" s="13">
        <f>_xll.BDH("AMGN US Equity","BS_DISCLOSED_INTANGIBLES","FQ4 2018","FQ4 2018","Currency=USD","Period=FQ","BEST_FPERIOD_OVERRIDE=FQ","FILING_STATUS=MR","SCALING_FORMAT=MLN","Sort=A","Dates=H","DateFormat=P","Fill=—","Direction=H","UseDPDF=Y")</f>
        <v>22142</v>
      </c>
      <c r="D27" s="13">
        <f>_xll.BDH("AMGN US Equity","BS_DISCLOSED_INTANGIBLES","FQ1 2019","FQ1 2019","Currency=USD","Period=FQ","BEST_FPERIOD_OVERRIDE=FQ","FILING_STATUS=MR","SCALING_FORMAT=MLN","Sort=A","Dates=H","DateFormat=P","Fill=—","Direction=H","UseDPDF=Y")</f>
        <v>21816</v>
      </c>
      <c r="E27" s="13">
        <f>_xll.BDH("AMGN US Equity","BS_DISCLOSED_INTANGIBLES","FQ2 2019","FQ2 2019","Currency=USD","Period=FQ","BEST_FPERIOD_OVERRIDE=FQ","FILING_STATUS=MR","SCALING_FORMAT=MLN","Sort=A","Dates=H","DateFormat=P","Fill=—","Direction=H","UseDPDF=Y")</f>
        <v>21502</v>
      </c>
      <c r="F27" s="13">
        <f>_xll.BDH("AMGN US Equity","BS_DISCLOSED_INTANGIBLES","FQ3 2019","FQ3 2019","Currency=USD","Period=FQ","BEST_FPERIOD_OVERRIDE=FQ","FILING_STATUS=MR","SCALING_FORMAT=MLN","Sort=A","Dates=H","DateFormat=P","Fill=—","Direction=H","UseDPDF=Y")</f>
        <v>21407</v>
      </c>
      <c r="G27" s="13">
        <f>_xll.BDH("AMGN US Equity","BS_DISCLOSED_INTANGIBLES","FQ4 2019","FQ4 2019","Currency=USD","Period=FQ","BEST_FPERIOD_OVERRIDE=FQ","FILING_STATUS=MR","SCALING_FORMAT=MLN","Sort=A","Dates=H","DateFormat=P","Fill=—","Direction=H","UseDPDF=Y")</f>
        <v>34116</v>
      </c>
      <c r="H27" s="13">
        <f>_xll.BDH("AMGN US Equity","BS_DISCLOSED_INTANGIBLES","FQ1 2020","FQ1 2020","Currency=USD","Period=FQ","BEST_FPERIOD_OVERRIDE=FQ","FILING_STATUS=MR","SCALING_FORMAT=MLN","Sort=A","Dates=H","DateFormat=P","Fill=—","Direction=H","UseDPDF=Y")</f>
        <v>33336</v>
      </c>
      <c r="I27" s="13">
        <f>_xll.BDH("AMGN US Equity","BS_DISCLOSED_INTANGIBLES","FQ2 2020","FQ2 2020","Currency=USD","Period=FQ","BEST_FPERIOD_OVERRIDE=FQ","FILING_STATUS=MR","SCALING_FORMAT=MLN","Sort=A","Dates=H","DateFormat=P","Fill=—","Direction=H","UseDPDF=Y")</f>
        <v>32626</v>
      </c>
      <c r="J27" s="13">
        <f>_xll.BDH("AMGN US Equity","BS_DISCLOSED_INTANGIBLES","FQ3 2020","FQ3 2020","Currency=USD","Period=FQ","BEST_FPERIOD_OVERRIDE=FQ","FILING_STATUS=MR","SCALING_FORMAT=MLN","Sort=A","Dates=H","DateFormat=P","Fill=—","Direction=H","UseDPDF=Y")</f>
        <v>31928</v>
      </c>
      <c r="K27" s="13">
        <f>_xll.BDH("AMGN US Equity","BS_DISCLOSED_INTANGIBLES","FQ4 2020","FQ4 2020","Currency=USD","Period=FQ","BEST_FPERIOD_OVERRIDE=FQ","FILING_STATUS=MR","SCALING_FORMAT=MLN","Sort=A","Dates=H","DateFormat=P","Fill=—","Direction=H","UseDPDF=Y")</f>
        <v>31276</v>
      </c>
      <c r="L27" s="13">
        <f>_xll.BDH("AMGN US Equity","BS_DISCLOSED_INTANGIBLES","FQ1 2021","FQ1 2021","Currency=USD","Period=FQ","BEST_FPERIOD_OVERRIDE=FQ","FILING_STATUS=MR","SCALING_FORMAT=MLN","Sort=A","Dates=H","DateFormat=P","Fill=—","Direction=H","UseDPDF=Y")</f>
        <v>30620</v>
      </c>
      <c r="M27" s="13">
        <f>_xll.BDH("AMGN US Equity","BS_DISCLOSED_INTANGIBLES","FQ2 2021","FQ2 2021","Currency=USD","Period=FQ","BEST_FPERIOD_OVERRIDE=FQ","FILING_STATUS=MR","SCALING_FORMAT=MLN","Sort=A","Dates=H","DateFormat=P","Fill=—","Direction=H","UseDPDF=Y")</f>
        <v>29984</v>
      </c>
      <c r="N27" s="13">
        <f>_xll.BDH("AMGN US Equity","BS_DISCLOSED_INTANGIBLES","FQ3 2021","FQ3 2021","Currency=USD","Period=FQ","BEST_FPERIOD_OVERRIDE=FQ","FILING_STATUS=MR","SCALING_FORMAT=MLN","Sort=A","Dates=H","DateFormat=P","Fill=—","Direction=H","UseDPDF=Y")</f>
        <v>29324</v>
      </c>
      <c r="O27" s="13">
        <f>_xll.BDH("AMGN US Equity","BS_DISCLOSED_INTANGIBLES","FQ4 2021","FQ4 2021","Currency=USD","Period=FQ","BEST_FPERIOD_OVERRIDE=FQ","FILING_STATUS=MR","SCALING_FORMAT=MLN","Sort=A","Dates=H","DateFormat=P","Fill=—","Direction=H","UseDPDF=Y")</f>
        <v>30072</v>
      </c>
      <c r="P27" s="13">
        <f>_xll.BDH("AMGN US Equity","BS_DISCLOSED_INTANGIBLES","FQ1 2022","FQ1 2022","Currency=USD","Period=FQ","BEST_FPERIOD_OVERRIDE=FQ","FILING_STATUS=MR","SCALING_FORMAT=MLN","Sort=A","Dates=H","DateFormat=P","Fill=—","Direction=H","UseDPDF=Y")</f>
        <v>29464</v>
      </c>
      <c r="Q27" s="13">
        <f>_xll.BDH("AMGN US Equity","BS_DISCLOSED_INTANGIBLES","FQ2 2022","FQ2 2022","Currency=USD","Period=FQ","BEST_FPERIOD_OVERRIDE=FQ","FILING_STATUS=MR","SCALING_FORMAT=MLN","Sort=A","Dates=H","DateFormat=P","Fill=—","Direction=H","UseDPDF=Y")</f>
        <v>28792</v>
      </c>
      <c r="R27" s="13">
        <f>_xll.BDH("AMGN US Equity","BS_DISCLOSED_INTANGIBLES","FQ3 2022","FQ3 2022","Currency=USD","Period=FQ","BEST_FPERIOD_OVERRIDE=FQ","FILING_STATUS=MR","SCALING_FORMAT=MLN","Sort=A","Dates=H","DateFormat=P","Fill=—","Direction=H","UseDPDF=Y")</f>
        <v>28111</v>
      </c>
      <c r="S27" s="13">
        <f>_xll.BDH("AMGN US Equity","BS_DISCLOSED_INTANGIBLES","FQ4 2022","FQ4 2022","Currency=USD","Period=FQ","BEST_FPERIOD_OVERRIDE=FQ","FILING_STATUS=MR","SCALING_FORMAT=MLN","Sort=A","Dates=H","DateFormat=P","Fill=—","Direction=H","UseDPDF=Y")</f>
        <v>31609</v>
      </c>
      <c r="T27" s="13">
        <f>_xll.BDH("AMGN US Equity","BS_DISCLOSED_INTANGIBLES","FQ1 2023","FQ1 2023","Currency=USD","Period=FQ","BEST_FPERIOD_OVERRIDE=FQ","FILING_STATUS=MR","SCALING_FORMAT=MLN","Sort=A","Dates=H","DateFormat=P","Fill=—","Direction=H","UseDPDF=Y")</f>
        <v>30924</v>
      </c>
      <c r="U27" s="13">
        <f>_xll.BDH("AMGN US Equity","BS_DISCLOSED_INTANGIBLES","FQ2 2023","FQ2 2023","Currency=USD","Period=FQ","BEST_FPERIOD_OVERRIDE=FQ","FILING_STATUS=MR","SCALING_FORMAT=MLN","Sort=A","Dates=H","DateFormat=P","Fill=—","Direction=H","UseDPDF=Y")</f>
        <v>30164</v>
      </c>
      <c r="V27" s="13">
        <f>_xll.BDH("AMGN US Equity","BS_DISCLOSED_INTANGIBLES","FQ3 2023","FQ3 2023","Currency=USD","Period=FQ","BEST_FPERIOD_OVERRIDE=FQ","FILING_STATUS=MR","SCALING_FORMAT=MLN","Sort=A","Dates=H","DateFormat=P","Fill=—","Direction=H","UseDPDF=Y")</f>
        <v>28659</v>
      </c>
      <c r="W27" s="13">
        <f>_xll.BDH("AMGN US Equity","BS_DISCLOSED_INTANGIBLES","FQ4 2023","FQ4 2023","Currency=USD","Period=FQ","BEST_FPERIOD_OVERRIDE=FQ","FILING_STATUS=MR","SCALING_FORMAT=MLN","Sort=A","Dates=H","DateFormat=P","Fill=—","Direction=H","UseDPDF=Y")</f>
        <v>51270</v>
      </c>
      <c r="X27" s="13">
        <f>_xll.BDH("AMGN US Equity","BS_DISCLOSED_INTANGIBLES","FQ1 2024","FQ1 2024","Currency=USD","Period=FQ","BEST_FPERIOD_OVERRIDE=FQ","FILING_STATUS=MR","SCALING_FORMAT=MLN","Sort=A","Dates=H","DateFormat=P","Fill=—","Direction=H","UseDPDF=Y")</f>
        <v>49942</v>
      </c>
      <c r="Y27" s="13">
        <f>_xll.BDH("AMGN US Equity","BS_DISCLOSED_INTANGIBLES","FQ2 2024","FQ2 2024","Currency=USD","Period=FQ","BEST_FPERIOD_OVERRIDE=FQ","FILING_STATUS=MR","SCALING_FORMAT=MLN","Sort=A","Dates=H","DateFormat=P","Fill=—","Direction=H","UseDPDF=Y")</f>
        <v>48788</v>
      </c>
      <c r="Z27" s="13">
        <f>_xll.BDH("AMGN US Equity","BS_DISCLOSED_INTANGIBLES","FQ3 2024","FQ3 2024","Currency=USD","Period=FQ","BEST_FPERIOD_OVERRIDE=FQ","FILING_STATUS=MR","SCALING_FORMAT=MLN","Sort=A","Dates=H","DateFormat=P","Fill=—","Direction=H","UseDPDF=Y")</f>
        <v>47578</v>
      </c>
      <c r="AA27" s="13">
        <f>_xll.BDH("AMGN US Equity","BS_DISCLOSED_INTANGIBLES","FQ4 2024","FQ4 2024","Currency=USD","Period=FQ","BEST_FPERIOD_OVERRIDE=FQ","FILING_STATUS=MR","SCALING_FORMAT=MLN","Sort=A","Dates=H","DateFormat=P","Fill=—","Direction=H","UseDPDF=Y")</f>
        <v>46336</v>
      </c>
    </row>
    <row r="28" spans="1:27" x14ac:dyDescent="0.25">
      <c r="A28" s="11" t="s">
        <v>743</v>
      </c>
      <c r="B28" s="11" t="s">
        <v>744</v>
      </c>
      <c r="C28" s="25">
        <f>_xll.BDH("AMGN US Equity","BS_GOODWILL","FQ4 2018","FQ4 2018","Currency=USD","Period=FQ","BEST_FPERIOD_OVERRIDE=FQ","FILING_STATUS=MR","SCALING_FORMAT=MLN","Sort=A","Dates=H","DateFormat=P","Fill=—","Direction=H","UseDPDF=Y")</f>
        <v>14699</v>
      </c>
      <c r="D28" s="25">
        <f>_xll.BDH("AMGN US Equity","BS_GOODWILL","FQ1 2019","FQ1 2019","Currency=USD","Period=FQ","BEST_FPERIOD_OVERRIDE=FQ","FILING_STATUS=MR","SCALING_FORMAT=MLN","Sort=A","Dates=H","DateFormat=P","Fill=—","Direction=H","UseDPDF=Y")</f>
        <v>14692</v>
      </c>
      <c r="E28" s="25">
        <f>_xll.BDH("AMGN US Equity","BS_GOODWILL","FQ2 2019","FQ2 2019","Currency=USD","Period=FQ","BEST_FPERIOD_OVERRIDE=FQ","FILING_STATUS=MR","SCALING_FORMAT=MLN","Sort=A","Dates=H","DateFormat=P","Fill=—","Direction=H","UseDPDF=Y")</f>
        <v>14689</v>
      </c>
      <c r="F28" s="25">
        <f>_xll.BDH("AMGN US Equity","BS_GOODWILL","FQ3 2019","FQ3 2019","Currency=USD","Period=FQ","BEST_FPERIOD_OVERRIDE=FQ","FILING_STATUS=MR","SCALING_FORMAT=MLN","Sort=A","Dates=H","DateFormat=P","Fill=—","Direction=H","UseDPDF=Y")</f>
        <v>14705</v>
      </c>
      <c r="G28" s="25">
        <f>_xll.BDH("AMGN US Equity","BS_GOODWILL","FQ4 2019","FQ4 2019","Currency=USD","Period=FQ","BEST_FPERIOD_OVERRIDE=FQ","FILING_STATUS=MR","SCALING_FORMAT=MLN","Sort=A","Dates=H","DateFormat=P","Fill=—","Direction=H","UseDPDF=Y")</f>
        <v>14703</v>
      </c>
      <c r="H28" s="25">
        <f>_xll.BDH("AMGN US Equity","BS_GOODWILL","FQ1 2020","FQ1 2020","Currency=USD","Period=FQ","BEST_FPERIOD_OVERRIDE=FQ","FILING_STATUS=MR","SCALING_FORMAT=MLN","Sort=A","Dates=H","DateFormat=P","Fill=—","Direction=H","UseDPDF=Y")</f>
        <v>14683</v>
      </c>
      <c r="I28" s="25">
        <f>_xll.BDH("AMGN US Equity","BS_GOODWILL","FQ2 2020","FQ2 2020","Currency=USD","Period=FQ","BEST_FPERIOD_OVERRIDE=FQ","FILING_STATUS=MR","SCALING_FORMAT=MLN","Sort=A","Dates=H","DateFormat=P","Fill=—","Direction=H","UseDPDF=Y")</f>
        <v>14678</v>
      </c>
      <c r="J28" s="25">
        <f>_xll.BDH("AMGN US Equity","BS_GOODWILL","FQ3 2020","FQ3 2020","Currency=USD","Period=FQ","BEST_FPERIOD_OVERRIDE=FQ","FILING_STATUS=MR","SCALING_FORMAT=MLN","Sort=A","Dates=H","DateFormat=P","Fill=—","Direction=H","UseDPDF=Y")</f>
        <v>14674</v>
      </c>
      <c r="K28" s="25">
        <f>_xll.BDH("AMGN US Equity","BS_GOODWILL","FQ4 2020","FQ4 2020","Currency=USD","Period=FQ","BEST_FPERIOD_OVERRIDE=FQ","FILING_STATUS=MR","SCALING_FORMAT=MLN","Sort=A","Dates=H","DateFormat=P","Fill=—","Direction=H","UseDPDF=Y")</f>
        <v>14689</v>
      </c>
      <c r="L28" s="25">
        <f>_xll.BDH("AMGN US Equity","BS_GOODWILL","FQ1 2021","FQ1 2021","Currency=USD","Period=FQ","BEST_FPERIOD_OVERRIDE=FQ","FILING_STATUS=MR","SCALING_FORMAT=MLN","Sort=A","Dates=H","DateFormat=P","Fill=—","Direction=H","UseDPDF=Y")</f>
        <v>14673</v>
      </c>
      <c r="M28" s="25">
        <f>_xll.BDH("AMGN US Equity","BS_GOODWILL","FQ2 2021","FQ2 2021","Currency=USD","Period=FQ","BEST_FPERIOD_OVERRIDE=FQ","FILING_STATUS=MR","SCALING_FORMAT=MLN","Sort=A","Dates=H","DateFormat=P","Fill=—","Direction=H","UseDPDF=Y")</f>
        <v>14676</v>
      </c>
      <c r="N28" s="25">
        <f>_xll.BDH("AMGN US Equity","BS_GOODWILL","FQ3 2021","FQ3 2021","Currency=USD","Period=FQ","BEST_FPERIOD_OVERRIDE=FQ","FILING_STATUS=MR","SCALING_FORMAT=MLN","Sort=A","Dates=H","DateFormat=P","Fill=—","Direction=H","UseDPDF=Y")</f>
        <v>14665</v>
      </c>
      <c r="O28" s="25">
        <f>_xll.BDH("AMGN US Equity","BS_GOODWILL","FQ4 2021","FQ4 2021","Currency=USD","Period=FQ","BEST_FPERIOD_OVERRIDE=FQ","FILING_STATUS=MR","SCALING_FORMAT=MLN","Sort=A","Dates=H","DateFormat=P","Fill=—","Direction=H","UseDPDF=Y")</f>
        <v>14890</v>
      </c>
      <c r="P28" s="25">
        <f>_xll.BDH("AMGN US Equity","BS_GOODWILL","FQ1 2022","FQ1 2022","Currency=USD","Period=FQ","BEST_FPERIOD_OVERRIDE=FQ","FILING_STATUS=MR","SCALING_FORMAT=MLN","Sort=A","Dates=H","DateFormat=P","Fill=—","Direction=H","UseDPDF=Y")</f>
        <v>14897</v>
      </c>
      <c r="Q28" s="25">
        <f>_xll.BDH("AMGN US Equity","BS_GOODWILL","FQ2 2022","FQ2 2022","Currency=USD","Period=FQ","BEST_FPERIOD_OVERRIDE=FQ","FILING_STATUS=MR","SCALING_FORMAT=MLN","Sort=A","Dates=H","DateFormat=P","Fill=—","Direction=H","UseDPDF=Y")</f>
        <v>14865</v>
      </c>
      <c r="R28" s="25">
        <f>_xll.BDH("AMGN US Equity","BS_GOODWILL","FQ3 2022","FQ3 2022","Currency=USD","Period=FQ","BEST_FPERIOD_OVERRIDE=FQ","FILING_STATUS=MR","SCALING_FORMAT=MLN","Sort=A","Dates=H","DateFormat=P","Fill=—","Direction=H","UseDPDF=Y")</f>
        <v>14845</v>
      </c>
      <c r="S28" s="25">
        <f>_xll.BDH("AMGN US Equity","BS_GOODWILL","FQ4 2022","FQ4 2022","Currency=USD","Period=FQ","BEST_FPERIOD_OVERRIDE=FQ","FILING_STATUS=MR","SCALING_FORMAT=MLN","Sort=A","Dates=H","DateFormat=P","Fill=—","Direction=H","UseDPDF=Y")</f>
        <v>15529</v>
      </c>
      <c r="T28" s="25">
        <f>_xll.BDH("AMGN US Equity","BS_GOODWILL","FQ1 2023","FQ1 2023","Currency=USD","Period=FQ","BEST_FPERIOD_OVERRIDE=FQ","FILING_STATUS=MR","SCALING_FORMAT=MLN","Sort=A","Dates=H","DateFormat=P","Fill=—","Direction=H","UseDPDF=Y")</f>
        <v>15531</v>
      </c>
      <c r="U28" s="25">
        <f>_xll.BDH("AMGN US Equity","BS_GOODWILL","FQ2 2023","FQ2 2023","Currency=USD","Period=FQ","BEST_FPERIOD_OVERRIDE=FQ","FILING_STATUS=MR","SCALING_FORMAT=MLN","Sort=A","Dates=H","DateFormat=P","Fill=—","Direction=H","UseDPDF=Y")</f>
        <v>15531</v>
      </c>
      <c r="V28" s="25">
        <f>_xll.BDH("AMGN US Equity","BS_GOODWILL","FQ3 2023","FQ3 2023","Currency=USD","Period=FQ","BEST_FPERIOD_OVERRIDE=FQ","FILING_STATUS=MR","SCALING_FORMAT=MLN","Sort=A","Dates=H","DateFormat=P","Fill=—","Direction=H","UseDPDF=Y")</f>
        <v>15509</v>
      </c>
      <c r="W28" s="25">
        <f>_xll.BDH("AMGN US Equity","BS_GOODWILL","FQ4 2023","FQ4 2023","Currency=USD","Period=FQ","BEST_FPERIOD_OVERRIDE=FQ","FILING_STATUS=MR","SCALING_FORMAT=MLN","Sort=A","Dates=H","DateFormat=P","Fill=—","Direction=H","UseDPDF=Y")</f>
        <v>18629</v>
      </c>
      <c r="X28" s="25">
        <f>_xll.BDH("AMGN US Equity","BS_GOODWILL","FQ1 2024","FQ1 2024","Currency=USD","Period=FQ","BEST_FPERIOD_OVERRIDE=FQ","FILING_STATUS=MR","SCALING_FORMAT=MLN","Sort=A","Dates=H","DateFormat=P","Fill=—","Direction=H","UseDPDF=Y")</f>
        <v>18570</v>
      </c>
      <c r="Y28" s="25">
        <f>_xll.BDH("AMGN US Equity","BS_GOODWILL","FQ2 2024","FQ2 2024","Currency=USD","Period=FQ","BEST_FPERIOD_OVERRIDE=FQ","FILING_STATUS=MR","SCALING_FORMAT=MLN","Sort=A","Dates=H","DateFormat=P","Fill=—","Direction=H","UseDPDF=Y")</f>
        <v>18616</v>
      </c>
      <c r="Z28" s="25">
        <f>_xll.BDH("AMGN US Equity","BS_GOODWILL","FQ3 2024","FQ3 2024","Currency=USD","Period=FQ","BEST_FPERIOD_OVERRIDE=FQ","FILING_STATUS=MR","SCALING_FORMAT=MLN","Sort=A","Dates=H","DateFormat=P","Fill=—","Direction=H","UseDPDF=Y")</f>
        <v>18658</v>
      </c>
      <c r="AA28" s="25">
        <f>_xll.BDH("AMGN US Equity","BS_GOODWILL","FQ4 2024","FQ4 2024","Currency=USD","Period=FQ","BEST_FPERIOD_OVERRIDE=FQ","FILING_STATUS=MR","SCALING_FORMAT=MLN","Sort=A","Dates=H","DateFormat=P","Fill=—","Direction=H","UseDPDF=Y")</f>
        <v>18637</v>
      </c>
    </row>
    <row r="29" spans="1:27" x14ac:dyDescent="0.25">
      <c r="A29" s="11" t="s">
        <v>745</v>
      </c>
      <c r="B29" s="11" t="s">
        <v>746</v>
      </c>
      <c r="C29" s="25">
        <f>_xll.BDH("AMGN US Equity","OTHER_INTANGIBLE_ASSETS_DETAILED","FQ4 2018","FQ4 2018","Currency=USD","Period=FQ","BEST_FPERIOD_OVERRIDE=FQ","FILING_STATUS=MR","SCALING_FORMAT=MLN","Sort=A","Dates=H","DateFormat=P","Fill=—","Direction=H","UseDPDF=Y")</f>
        <v>7443</v>
      </c>
      <c r="D29" s="25">
        <f>_xll.BDH("AMGN US Equity","OTHER_INTANGIBLE_ASSETS_DETAILED","FQ1 2019","FQ1 2019","Currency=USD","Period=FQ","BEST_FPERIOD_OVERRIDE=FQ","FILING_STATUS=MR","SCALING_FORMAT=MLN","Sort=A","Dates=H","DateFormat=P","Fill=—","Direction=H","UseDPDF=Y")</f>
        <v>7124</v>
      </c>
      <c r="E29" s="25">
        <f>_xll.BDH("AMGN US Equity","OTHER_INTANGIBLE_ASSETS_DETAILED","FQ2 2019","FQ2 2019","Currency=USD","Period=FQ","BEST_FPERIOD_OVERRIDE=FQ","FILING_STATUS=MR","SCALING_FORMAT=MLN","Sort=A","Dates=H","DateFormat=P","Fill=—","Direction=H","UseDPDF=Y")</f>
        <v>6813</v>
      </c>
      <c r="F29" s="25">
        <f>_xll.BDH("AMGN US Equity","OTHER_INTANGIBLE_ASSETS_DETAILED","FQ3 2019","FQ3 2019","Currency=USD","Period=FQ","BEST_FPERIOD_OVERRIDE=FQ","FILING_STATUS=MR","SCALING_FORMAT=MLN","Sort=A","Dates=H","DateFormat=P","Fill=—","Direction=H","UseDPDF=Y")</f>
        <v>6702</v>
      </c>
      <c r="G29" s="25">
        <f>_xll.BDH("AMGN US Equity","OTHER_INTANGIBLE_ASSETS_DETAILED","FQ4 2019","FQ4 2019","Currency=USD","Period=FQ","BEST_FPERIOD_OVERRIDE=FQ","FILING_STATUS=MR","SCALING_FORMAT=MLN","Sort=A","Dates=H","DateFormat=P","Fill=—","Direction=H","UseDPDF=Y")</f>
        <v>19413</v>
      </c>
      <c r="H29" s="25">
        <f>_xll.BDH("AMGN US Equity","OTHER_INTANGIBLE_ASSETS_DETAILED","FQ1 2020","FQ1 2020","Currency=USD","Period=FQ","BEST_FPERIOD_OVERRIDE=FQ","FILING_STATUS=MR","SCALING_FORMAT=MLN","Sort=A","Dates=H","DateFormat=P","Fill=—","Direction=H","UseDPDF=Y")</f>
        <v>18653</v>
      </c>
      <c r="I29" s="25">
        <f>_xll.BDH("AMGN US Equity","OTHER_INTANGIBLE_ASSETS_DETAILED","FQ2 2020","FQ2 2020","Currency=USD","Period=FQ","BEST_FPERIOD_OVERRIDE=FQ","FILING_STATUS=MR","SCALING_FORMAT=MLN","Sort=A","Dates=H","DateFormat=P","Fill=—","Direction=H","UseDPDF=Y")</f>
        <v>17948</v>
      </c>
      <c r="J29" s="25">
        <f>_xll.BDH("AMGN US Equity","OTHER_INTANGIBLE_ASSETS_DETAILED","FQ3 2020","FQ3 2020","Currency=USD","Period=FQ","BEST_FPERIOD_OVERRIDE=FQ","FILING_STATUS=MR","SCALING_FORMAT=MLN","Sort=A","Dates=H","DateFormat=P","Fill=—","Direction=H","UseDPDF=Y")</f>
        <v>17254</v>
      </c>
      <c r="K29" s="25">
        <f>_xll.BDH("AMGN US Equity","OTHER_INTANGIBLE_ASSETS_DETAILED","FQ4 2020","FQ4 2020","Currency=USD","Period=FQ","BEST_FPERIOD_OVERRIDE=FQ","FILING_STATUS=MR","SCALING_FORMAT=MLN","Sort=A","Dates=H","DateFormat=P","Fill=—","Direction=H","UseDPDF=Y")</f>
        <v>16587</v>
      </c>
      <c r="L29" s="25">
        <f>_xll.BDH("AMGN US Equity","OTHER_INTANGIBLE_ASSETS_DETAILED","FQ1 2021","FQ1 2021","Currency=USD","Period=FQ","BEST_FPERIOD_OVERRIDE=FQ","FILING_STATUS=MR","SCALING_FORMAT=MLN","Sort=A","Dates=H","DateFormat=P","Fill=—","Direction=H","UseDPDF=Y")</f>
        <v>15947</v>
      </c>
      <c r="M29" s="25">
        <f>_xll.BDH("AMGN US Equity","OTHER_INTANGIBLE_ASSETS_DETAILED","FQ2 2021","FQ2 2021","Currency=USD","Period=FQ","BEST_FPERIOD_OVERRIDE=FQ","FILING_STATUS=MR","SCALING_FORMAT=MLN","Sort=A","Dates=H","DateFormat=P","Fill=—","Direction=H","UseDPDF=Y")</f>
        <v>15308</v>
      </c>
      <c r="N29" s="25">
        <f>_xll.BDH("AMGN US Equity","OTHER_INTANGIBLE_ASSETS_DETAILED","FQ3 2021","FQ3 2021","Currency=USD","Period=FQ","BEST_FPERIOD_OVERRIDE=FQ","FILING_STATUS=MR","SCALING_FORMAT=MLN","Sort=A","Dates=H","DateFormat=P","Fill=—","Direction=H","UseDPDF=Y")</f>
        <v>14659</v>
      </c>
      <c r="O29" s="25">
        <f>_xll.BDH("AMGN US Equity","OTHER_INTANGIBLE_ASSETS_DETAILED","FQ4 2021","FQ4 2021","Currency=USD","Period=FQ","BEST_FPERIOD_OVERRIDE=FQ","FILING_STATUS=MR","SCALING_FORMAT=MLN","Sort=A","Dates=H","DateFormat=P","Fill=—","Direction=H","UseDPDF=Y")</f>
        <v>15182</v>
      </c>
      <c r="P29" s="25">
        <f>_xll.BDH("AMGN US Equity","OTHER_INTANGIBLE_ASSETS_DETAILED","FQ1 2022","FQ1 2022","Currency=USD","Period=FQ","BEST_FPERIOD_OVERRIDE=FQ","FILING_STATUS=MR","SCALING_FORMAT=MLN","Sort=A","Dates=H","DateFormat=P","Fill=—","Direction=H","UseDPDF=Y")</f>
        <v>14567</v>
      </c>
      <c r="Q29" s="25">
        <f>_xll.BDH("AMGN US Equity","OTHER_INTANGIBLE_ASSETS_DETAILED","FQ2 2022","FQ2 2022","Currency=USD","Period=FQ","BEST_FPERIOD_OVERRIDE=FQ","FILING_STATUS=MR","SCALING_FORMAT=MLN","Sort=A","Dates=H","DateFormat=P","Fill=—","Direction=H","UseDPDF=Y")</f>
        <v>13927</v>
      </c>
      <c r="R29" s="25">
        <f>_xll.BDH("AMGN US Equity","OTHER_INTANGIBLE_ASSETS_DETAILED","FQ3 2022","FQ3 2022","Currency=USD","Period=FQ","BEST_FPERIOD_OVERRIDE=FQ","FILING_STATUS=MR","SCALING_FORMAT=MLN","Sort=A","Dates=H","DateFormat=P","Fill=—","Direction=H","UseDPDF=Y")</f>
        <v>13266</v>
      </c>
      <c r="S29" s="25">
        <f>_xll.BDH("AMGN US Equity","OTHER_INTANGIBLE_ASSETS_DETAILED","FQ4 2022","FQ4 2022","Currency=USD","Period=FQ","BEST_FPERIOD_OVERRIDE=FQ","FILING_STATUS=MR","SCALING_FORMAT=MLN","Sort=A","Dates=H","DateFormat=P","Fill=—","Direction=H","UseDPDF=Y")</f>
        <v>16080</v>
      </c>
      <c r="T29" s="25">
        <f>_xll.BDH("AMGN US Equity","OTHER_INTANGIBLE_ASSETS_DETAILED","FQ1 2023","FQ1 2023","Currency=USD","Period=FQ","BEST_FPERIOD_OVERRIDE=FQ","FILING_STATUS=MR","SCALING_FORMAT=MLN","Sort=A","Dates=H","DateFormat=P","Fill=—","Direction=H","UseDPDF=Y")</f>
        <v>15393</v>
      </c>
      <c r="U29" s="25">
        <f>_xll.BDH("AMGN US Equity","OTHER_INTANGIBLE_ASSETS_DETAILED","FQ2 2023","FQ2 2023","Currency=USD","Period=FQ","BEST_FPERIOD_OVERRIDE=FQ","FILING_STATUS=MR","SCALING_FORMAT=MLN","Sort=A","Dates=H","DateFormat=P","Fill=—","Direction=H","UseDPDF=Y")</f>
        <v>14633</v>
      </c>
      <c r="V29" s="25">
        <f>_xll.BDH("AMGN US Equity","OTHER_INTANGIBLE_ASSETS_DETAILED","FQ3 2023","FQ3 2023","Currency=USD","Period=FQ","BEST_FPERIOD_OVERRIDE=FQ","FILING_STATUS=MR","SCALING_FORMAT=MLN","Sort=A","Dates=H","DateFormat=P","Fill=—","Direction=H","UseDPDF=Y")</f>
        <v>13150</v>
      </c>
      <c r="W29" s="25">
        <f>_xll.BDH("AMGN US Equity","OTHER_INTANGIBLE_ASSETS_DETAILED","FQ4 2023","FQ4 2023","Currency=USD","Period=FQ","BEST_FPERIOD_OVERRIDE=FQ","FILING_STATUS=MR","SCALING_FORMAT=MLN","Sort=A","Dates=H","DateFormat=P","Fill=—","Direction=H","UseDPDF=Y")</f>
        <v>32641</v>
      </c>
      <c r="X29" s="25">
        <f>_xll.BDH("AMGN US Equity","OTHER_INTANGIBLE_ASSETS_DETAILED","FQ1 2024","FQ1 2024","Currency=USD","Period=FQ","BEST_FPERIOD_OVERRIDE=FQ","FILING_STATUS=MR","SCALING_FORMAT=MLN","Sort=A","Dates=H","DateFormat=P","Fill=—","Direction=H","UseDPDF=Y")</f>
        <v>31372</v>
      </c>
      <c r="Y29" s="25">
        <f>_xll.BDH("AMGN US Equity","OTHER_INTANGIBLE_ASSETS_DETAILED","FQ2 2024","FQ2 2024","Currency=USD","Period=FQ","BEST_FPERIOD_OVERRIDE=FQ","FILING_STATUS=MR","SCALING_FORMAT=MLN","Sort=A","Dates=H","DateFormat=P","Fill=—","Direction=H","UseDPDF=Y")</f>
        <v>30172</v>
      </c>
      <c r="Z29" s="25">
        <f>_xll.BDH("AMGN US Equity","OTHER_INTANGIBLE_ASSETS_DETAILED","FQ3 2024","FQ3 2024","Currency=USD","Period=FQ","BEST_FPERIOD_OVERRIDE=FQ","FILING_STATUS=MR","SCALING_FORMAT=MLN","Sort=A","Dates=H","DateFormat=P","Fill=—","Direction=H","UseDPDF=Y")</f>
        <v>28920</v>
      </c>
      <c r="AA29" s="25">
        <f>_xll.BDH("AMGN US Equity","OTHER_INTANGIBLE_ASSETS_DETAILED","FQ4 2024","FQ4 2024","Currency=USD","Period=FQ","BEST_FPERIOD_OVERRIDE=FQ","FILING_STATUS=MR","SCALING_FORMAT=MLN","Sort=A","Dates=H","DateFormat=P","Fill=—","Direction=H","UseDPDF=Y")</f>
        <v>27699</v>
      </c>
    </row>
    <row r="30" spans="1:27" x14ac:dyDescent="0.25">
      <c r="A30" s="10" t="s">
        <v>727</v>
      </c>
      <c r="B30" s="10" t="s">
        <v>747</v>
      </c>
      <c r="C30" s="13">
        <f>_xll.BDH("AMGN US Equity","BS_DERIV_HEDGING_ASST_LT","FQ4 2018","FQ4 2018","Currency=USD","Period=FQ","BEST_FPERIOD_OVERRIDE=FQ","FILING_STATUS=MR","SCALING_FORMAT=MLN","Sort=A","Dates=H","DateFormat=P","Fill=—","Direction=H","UseDPDF=Y")</f>
        <v>0</v>
      </c>
      <c r="D30" s="13" t="str">
        <f>_xll.BDH("AMGN US Equity","BS_DERIV_HEDGING_ASST_LT","FQ1 2019","FQ1 2019","Currency=USD","Period=FQ","BEST_FPERIOD_OVERRIDE=FQ","FILING_STATUS=MR","SCALING_FORMAT=MLN","Sort=A","Dates=H","DateFormat=P","Fill=—","Direction=H","UseDPDF=Y")</f>
        <v>—</v>
      </c>
      <c r="E30" s="13" t="str">
        <f>_xll.BDH("AMGN US Equity","BS_DERIV_HEDGING_ASST_LT","FQ2 2019","FQ2 2019","Currency=USD","Period=FQ","BEST_FPERIOD_OVERRIDE=FQ","FILING_STATUS=MR","SCALING_FORMAT=MLN","Sort=A","Dates=H","DateFormat=P","Fill=—","Direction=H","UseDPDF=Y")</f>
        <v>—</v>
      </c>
      <c r="F30" s="13" t="str">
        <f>_xll.BDH("AMGN US Equity","BS_DERIV_HEDGING_ASST_LT","FQ3 2019","FQ3 2019","Currency=USD","Period=FQ","BEST_FPERIOD_OVERRIDE=FQ","FILING_STATUS=MR","SCALING_FORMAT=MLN","Sort=A","Dates=H","DateFormat=P","Fill=—","Direction=H","UseDPDF=Y")</f>
        <v>—</v>
      </c>
      <c r="G30" s="13" t="str">
        <f>_xll.BDH("AMGN US Equity","BS_DERIV_HEDGING_ASST_LT","FQ4 2019","FQ4 2019","Currency=USD","Period=FQ","BEST_FPERIOD_OVERRIDE=FQ","FILING_STATUS=MR","SCALING_FORMAT=MLN","Sort=A","Dates=H","DateFormat=P","Fill=—","Direction=H","UseDPDF=Y")</f>
        <v>—</v>
      </c>
      <c r="H30" s="13" t="str">
        <f>_xll.BDH("AMGN US Equity","BS_DERIV_HEDGING_ASST_LT","FQ1 2020","FQ1 2020","Currency=USD","Period=FQ","BEST_FPERIOD_OVERRIDE=FQ","FILING_STATUS=MR","SCALING_FORMAT=MLN","Sort=A","Dates=H","DateFormat=P","Fill=—","Direction=H","UseDPDF=Y")</f>
        <v>—</v>
      </c>
      <c r="I30" s="13" t="str">
        <f>_xll.BDH("AMGN US Equity","BS_DERIV_HEDGING_ASST_LT","FQ2 2020","FQ2 2020","Currency=USD","Period=FQ","BEST_FPERIOD_OVERRIDE=FQ","FILING_STATUS=MR","SCALING_FORMAT=MLN","Sort=A","Dates=H","DateFormat=P","Fill=—","Direction=H","UseDPDF=Y")</f>
        <v>—</v>
      </c>
      <c r="J30" s="13" t="str">
        <f>_xll.BDH("AMGN US Equity","BS_DERIV_HEDGING_ASST_LT","FQ3 2020","FQ3 2020","Currency=USD","Period=FQ","BEST_FPERIOD_OVERRIDE=FQ","FILING_STATUS=MR","SCALING_FORMAT=MLN","Sort=A","Dates=H","DateFormat=P","Fill=—","Direction=H","UseDPDF=Y")</f>
        <v>—</v>
      </c>
      <c r="K30" s="13">
        <f>_xll.BDH("AMGN US Equity","BS_DERIV_HEDGING_ASST_LT","FQ4 2020","FQ4 2020","Currency=USD","Period=FQ","BEST_FPERIOD_OVERRIDE=FQ","FILING_STATUS=MR","SCALING_FORMAT=MLN","Sort=A","Dates=H","DateFormat=P","Fill=—","Direction=H","UseDPDF=Y")</f>
        <v>0</v>
      </c>
      <c r="L30" s="13" t="str">
        <f>_xll.BDH("AMGN US Equity","BS_DERIV_HEDGING_ASST_LT","FQ1 2021","FQ1 2021","Currency=USD","Period=FQ","BEST_FPERIOD_OVERRIDE=FQ","FILING_STATUS=MR","SCALING_FORMAT=MLN","Sort=A","Dates=H","DateFormat=P","Fill=—","Direction=H","UseDPDF=Y")</f>
        <v>—</v>
      </c>
      <c r="M30" s="13" t="str">
        <f>_xll.BDH("AMGN US Equity","BS_DERIV_HEDGING_ASST_LT","FQ2 2021","FQ2 2021","Currency=USD","Period=FQ","BEST_FPERIOD_OVERRIDE=FQ","FILING_STATUS=MR","SCALING_FORMAT=MLN","Sort=A","Dates=H","DateFormat=P","Fill=—","Direction=H","UseDPDF=Y")</f>
        <v>—</v>
      </c>
      <c r="N30" s="13" t="str">
        <f>_xll.BDH("AMGN US Equity","BS_DERIV_HEDGING_ASST_LT","FQ3 2021","FQ3 2021","Currency=USD","Period=FQ","BEST_FPERIOD_OVERRIDE=FQ","FILING_STATUS=MR","SCALING_FORMAT=MLN","Sort=A","Dates=H","DateFormat=P","Fill=—","Direction=H","UseDPDF=Y")</f>
        <v>—</v>
      </c>
      <c r="O30" s="13">
        <f>_xll.BDH("AMGN US Equity","BS_DERIV_HEDGING_ASST_LT","FQ4 2021","FQ4 2021","Currency=USD","Period=FQ","BEST_FPERIOD_OVERRIDE=FQ","FILING_STATUS=MR","SCALING_FORMAT=MLN","Sort=A","Dates=H","DateFormat=P","Fill=—","Direction=H","UseDPDF=Y")</f>
        <v>0</v>
      </c>
      <c r="P30" s="13">
        <f>_xll.BDH("AMGN US Equity","BS_DERIV_HEDGING_ASST_LT","FQ1 2022","FQ1 2022","Currency=USD","Period=FQ","BEST_FPERIOD_OVERRIDE=FQ","FILING_STATUS=MR","SCALING_FORMAT=MLN","Sort=A","Dates=H","DateFormat=P","Fill=—","Direction=H","UseDPDF=Y")</f>
        <v>0</v>
      </c>
      <c r="Q30" s="13" t="str">
        <f>_xll.BDH("AMGN US Equity","BS_DERIV_HEDGING_ASST_LT","FQ2 2022","FQ2 2022","Currency=USD","Period=FQ","BEST_FPERIOD_OVERRIDE=FQ","FILING_STATUS=MR","SCALING_FORMAT=MLN","Sort=A","Dates=H","DateFormat=P","Fill=—","Direction=H","UseDPDF=Y")</f>
        <v>—</v>
      </c>
      <c r="R30" s="13" t="str">
        <f>_xll.BDH("AMGN US Equity","BS_DERIV_HEDGING_ASST_LT","FQ3 2022","FQ3 2022","Currency=USD","Period=FQ","BEST_FPERIOD_OVERRIDE=FQ","FILING_STATUS=MR","SCALING_FORMAT=MLN","Sort=A","Dates=H","DateFormat=P","Fill=—","Direction=H","UseDPDF=Y")</f>
        <v>—</v>
      </c>
      <c r="S30" s="13">
        <f>_xll.BDH("AMGN US Equity","BS_DERIV_HEDGING_ASST_LT","FQ4 2022","FQ4 2022","Currency=USD","Period=FQ","BEST_FPERIOD_OVERRIDE=FQ","FILING_STATUS=MR","SCALING_FORMAT=MLN","Sort=A","Dates=H","DateFormat=P","Fill=—","Direction=H","UseDPDF=Y")</f>
        <v>0</v>
      </c>
      <c r="T30" s="13" t="str">
        <f>_xll.BDH("AMGN US Equity","BS_DERIV_HEDGING_ASST_LT","FQ1 2023","FQ1 2023","Currency=USD","Period=FQ","BEST_FPERIOD_OVERRIDE=FQ","FILING_STATUS=MR","SCALING_FORMAT=MLN","Sort=A","Dates=H","DateFormat=P","Fill=—","Direction=H","UseDPDF=Y")</f>
        <v>—</v>
      </c>
      <c r="U30" s="13" t="str">
        <f>_xll.BDH("AMGN US Equity","BS_DERIV_HEDGING_ASST_LT","FQ2 2023","FQ2 2023","Currency=USD","Period=FQ","BEST_FPERIOD_OVERRIDE=FQ","FILING_STATUS=MR","SCALING_FORMAT=MLN","Sort=A","Dates=H","DateFormat=P","Fill=—","Direction=H","UseDPDF=Y")</f>
        <v>—</v>
      </c>
      <c r="V30" s="13" t="str">
        <f>_xll.BDH("AMGN US Equity","BS_DERIV_HEDGING_ASST_LT","FQ3 2023","FQ3 2023","Currency=USD","Period=FQ","BEST_FPERIOD_OVERRIDE=FQ","FILING_STATUS=MR","SCALING_FORMAT=MLN","Sort=A","Dates=H","DateFormat=P","Fill=—","Direction=H","UseDPDF=Y")</f>
        <v>—</v>
      </c>
      <c r="W30" s="13">
        <f>_xll.BDH("AMGN US Equity","BS_DERIV_HEDGING_ASST_LT","FQ4 2023","FQ4 2023","Currency=USD","Period=FQ","BEST_FPERIOD_OVERRIDE=FQ","FILING_STATUS=MR","SCALING_FORMAT=MLN","Sort=A","Dates=H","DateFormat=P","Fill=—","Direction=H","UseDPDF=Y")</f>
        <v>0</v>
      </c>
      <c r="X30" s="13" t="str">
        <f>_xll.BDH("AMGN US Equity","BS_DERIV_HEDGING_ASST_LT","FQ1 2024","FQ1 2024","Currency=USD","Period=FQ","BEST_FPERIOD_OVERRIDE=FQ","FILING_STATUS=MR","SCALING_FORMAT=MLN","Sort=A","Dates=H","DateFormat=P","Fill=—","Direction=H","UseDPDF=Y")</f>
        <v>—</v>
      </c>
      <c r="Y30" s="13" t="str">
        <f>_xll.BDH("AMGN US Equity","BS_DERIV_HEDGING_ASST_LT","FQ2 2024","FQ2 2024","Currency=USD","Period=FQ","BEST_FPERIOD_OVERRIDE=FQ","FILING_STATUS=MR","SCALING_FORMAT=MLN","Sort=A","Dates=H","DateFormat=P","Fill=—","Direction=H","UseDPDF=Y")</f>
        <v>—</v>
      </c>
      <c r="Z30" s="13" t="str">
        <f>_xll.BDH("AMGN US Equity","BS_DERIV_HEDGING_ASST_LT","FQ3 2024","FQ3 2024","Currency=USD","Period=FQ","BEST_FPERIOD_OVERRIDE=FQ","FILING_STATUS=MR","SCALING_FORMAT=MLN","Sort=A","Dates=H","DateFormat=P","Fill=—","Direction=H","UseDPDF=Y")</f>
        <v>—</v>
      </c>
      <c r="AA30" s="13">
        <f>_xll.BDH("AMGN US Equity","BS_DERIV_HEDGING_ASST_LT","FQ4 2024","FQ4 2024","Currency=USD","Period=FQ","BEST_FPERIOD_OVERRIDE=FQ","FILING_STATUS=MR","SCALING_FORMAT=MLN","Sort=A","Dates=H","DateFormat=P","Fill=—","Direction=H","UseDPDF=Y")</f>
        <v>0</v>
      </c>
    </row>
    <row r="31" spans="1:27" x14ac:dyDescent="0.25">
      <c r="A31" s="10" t="s">
        <v>748</v>
      </c>
      <c r="B31" s="10" t="s">
        <v>749</v>
      </c>
      <c r="C31" s="13" t="str">
        <f>_xll.BDH("AMGN US Equity","BS_INVEST_IN_ASSOC_CO","FQ4 2018","FQ4 2018","Currency=USD","Period=FQ","BEST_FPERIOD_OVERRIDE=FQ","FILING_STATUS=MR","SCALING_FORMAT=MLN","Sort=A","Dates=H","DateFormat=P","Fill=—","Direction=H","UseDPDF=Y")</f>
        <v>—</v>
      </c>
      <c r="D31" s="13" t="str">
        <f>_xll.BDH("AMGN US Equity","BS_INVEST_IN_ASSOC_CO","FQ1 2019","FQ1 2019","Currency=USD","Period=FQ","BEST_FPERIOD_OVERRIDE=FQ","FILING_STATUS=MR","SCALING_FORMAT=MLN","Sort=A","Dates=H","DateFormat=P","Fill=—","Direction=H","UseDPDF=Y")</f>
        <v>—</v>
      </c>
      <c r="E31" s="13" t="str">
        <f>_xll.BDH("AMGN US Equity","BS_INVEST_IN_ASSOC_CO","FQ2 2019","FQ2 2019","Currency=USD","Period=FQ","BEST_FPERIOD_OVERRIDE=FQ","FILING_STATUS=MR","SCALING_FORMAT=MLN","Sort=A","Dates=H","DateFormat=P","Fill=—","Direction=H","UseDPDF=Y")</f>
        <v>—</v>
      </c>
      <c r="F31" s="13" t="str">
        <f>_xll.BDH("AMGN US Equity","BS_INVEST_IN_ASSOC_CO","FQ3 2019","FQ3 2019","Currency=USD","Period=FQ","BEST_FPERIOD_OVERRIDE=FQ","FILING_STATUS=MR","SCALING_FORMAT=MLN","Sort=A","Dates=H","DateFormat=P","Fill=—","Direction=H","UseDPDF=Y")</f>
        <v>—</v>
      </c>
      <c r="G31" s="13" t="str">
        <f>_xll.BDH("AMGN US Equity","BS_INVEST_IN_ASSOC_CO","FQ4 2019","FQ4 2019","Currency=USD","Period=FQ","BEST_FPERIOD_OVERRIDE=FQ","FILING_STATUS=MR","SCALING_FORMAT=MLN","Sort=A","Dates=H","DateFormat=P","Fill=—","Direction=H","UseDPDF=Y")</f>
        <v>—</v>
      </c>
      <c r="H31" s="13" t="str">
        <f>_xll.BDH("AMGN US Equity","BS_INVEST_IN_ASSOC_CO","FQ1 2020","FQ1 2020","Currency=USD","Period=FQ","BEST_FPERIOD_OVERRIDE=FQ","FILING_STATUS=MR","SCALING_FORMAT=MLN","Sort=A","Dates=H","DateFormat=P","Fill=—","Direction=H","UseDPDF=Y")</f>
        <v>—</v>
      </c>
      <c r="I31" s="13" t="str">
        <f>_xll.BDH("AMGN US Equity","BS_INVEST_IN_ASSOC_CO","FQ2 2020","FQ2 2020","Currency=USD","Period=FQ","BEST_FPERIOD_OVERRIDE=FQ","FILING_STATUS=MR","SCALING_FORMAT=MLN","Sort=A","Dates=H","DateFormat=P","Fill=—","Direction=H","UseDPDF=Y")</f>
        <v>—</v>
      </c>
      <c r="J31" s="13" t="str">
        <f>_xll.BDH("AMGN US Equity","BS_INVEST_IN_ASSOC_CO","FQ3 2020","FQ3 2020","Currency=USD","Period=FQ","BEST_FPERIOD_OVERRIDE=FQ","FILING_STATUS=MR","SCALING_FORMAT=MLN","Sort=A","Dates=H","DateFormat=P","Fill=—","Direction=H","UseDPDF=Y")</f>
        <v>—</v>
      </c>
      <c r="K31" s="13">
        <f>_xll.BDH("AMGN US Equity","BS_INVEST_IN_ASSOC_CO","FQ4 2020","FQ4 2020","Currency=USD","Period=FQ","BEST_FPERIOD_OVERRIDE=FQ","FILING_STATUS=MR","SCALING_FORMAT=MLN","Sort=A","Dates=H","DateFormat=P","Fill=—","Direction=H","UseDPDF=Y")</f>
        <v>496</v>
      </c>
      <c r="L31" s="13" t="str">
        <f>_xll.BDH("AMGN US Equity","BS_INVEST_IN_ASSOC_CO","FQ1 2021","FQ1 2021","Currency=USD","Period=FQ","BEST_FPERIOD_OVERRIDE=FQ","FILING_STATUS=MR","SCALING_FORMAT=MLN","Sort=A","Dates=H","DateFormat=P","Fill=—","Direction=H","UseDPDF=Y")</f>
        <v>—</v>
      </c>
      <c r="M31" s="13" t="str">
        <f>_xll.BDH("AMGN US Equity","BS_INVEST_IN_ASSOC_CO","FQ2 2021","FQ2 2021","Currency=USD","Period=FQ","BEST_FPERIOD_OVERRIDE=FQ","FILING_STATUS=MR","SCALING_FORMAT=MLN","Sort=A","Dates=H","DateFormat=P","Fill=—","Direction=H","UseDPDF=Y")</f>
        <v>—</v>
      </c>
      <c r="N31" s="13" t="str">
        <f>_xll.BDH("AMGN US Equity","BS_INVEST_IN_ASSOC_CO","FQ3 2021","FQ3 2021","Currency=USD","Period=FQ","BEST_FPERIOD_OVERRIDE=FQ","FILING_STATUS=MR","SCALING_FORMAT=MLN","Sort=A","Dates=H","DateFormat=P","Fill=—","Direction=H","UseDPDF=Y")</f>
        <v>—</v>
      </c>
      <c r="O31" s="13" t="str">
        <f>_xll.BDH("AMGN US Equity","BS_INVEST_IN_ASSOC_CO","FQ4 2021","FQ4 2021","Currency=USD","Period=FQ","BEST_FPERIOD_OVERRIDE=FQ","FILING_STATUS=MR","SCALING_FORMAT=MLN","Sort=A","Dates=H","DateFormat=P","Fill=—","Direction=H","UseDPDF=Y")</f>
        <v>—</v>
      </c>
      <c r="P31" s="13" t="str">
        <f>_xll.BDH("AMGN US Equity","BS_INVEST_IN_ASSOC_CO","FQ1 2022","FQ1 2022","Currency=USD","Period=FQ","BEST_FPERIOD_OVERRIDE=FQ","FILING_STATUS=MR","SCALING_FORMAT=MLN","Sort=A","Dates=H","DateFormat=P","Fill=—","Direction=H","UseDPDF=Y")</f>
        <v>—</v>
      </c>
      <c r="Q31" s="13" t="str">
        <f>_xll.BDH("AMGN US Equity","BS_INVEST_IN_ASSOC_CO","FQ2 2022","FQ2 2022","Currency=USD","Period=FQ","BEST_FPERIOD_OVERRIDE=FQ","FILING_STATUS=MR","SCALING_FORMAT=MLN","Sort=A","Dates=H","DateFormat=P","Fill=—","Direction=H","UseDPDF=Y")</f>
        <v>—</v>
      </c>
      <c r="R31" s="13" t="str">
        <f>_xll.BDH("AMGN US Equity","BS_INVEST_IN_ASSOC_CO","FQ3 2022","FQ3 2022","Currency=USD","Period=FQ","BEST_FPERIOD_OVERRIDE=FQ","FILING_STATUS=MR","SCALING_FORMAT=MLN","Sort=A","Dates=H","DateFormat=P","Fill=—","Direction=H","UseDPDF=Y")</f>
        <v>—</v>
      </c>
      <c r="S31" s="13">
        <f>_xll.BDH("AMGN US Equity","BS_INVEST_IN_ASSOC_CO","FQ4 2022","FQ4 2022","Currency=USD","Period=FQ","BEST_FPERIOD_OVERRIDE=FQ","FILING_STATUS=MR","SCALING_FORMAT=MLN","Sort=A","Dates=H","DateFormat=P","Fill=—","Direction=H","UseDPDF=Y")</f>
        <v>249</v>
      </c>
      <c r="T31" s="13" t="str">
        <f>_xll.BDH("AMGN US Equity","BS_INVEST_IN_ASSOC_CO","FQ1 2023","FQ1 2023","Currency=USD","Period=FQ","BEST_FPERIOD_OVERRIDE=FQ","FILING_STATUS=MR","SCALING_FORMAT=MLN","Sort=A","Dates=H","DateFormat=P","Fill=—","Direction=H","UseDPDF=Y")</f>
        <v>—</v>
      </c>
      <c r="U31" s="13" t="str">
        <f>_xll.BDH("AMGN US Equity","BS_INVEST_IN_ASSOC_CO","FQ2 2023","FQ2 2023","Currency=USD","Period=FQ","BEST_FPERIOD_OVERRIDE=FQ","FILING_STATUS=MR","SCALING_FORMAT=MLN","Sort=A","Dates=H","DateFormat=P","Fill=—","Direction=H","UseDPDF=Y")</f>
        <v>—</v>
      </c>
      <c r="V31" s="13" t="str">
        <f>_xll.BDH("AMGN US Equity","BS_INVEST_IN_ASSOC_CO","FQ3 2023","FQ3 2023","Currency=USD","Period=FQ","BEST_FPERIOD_OVERRIDE=FQ","FILING_STATUS=MR","SCALING_FORMAT=MLN","Sort=A","Dates=H","DateFormat=P","Fill=—","Direction=H","UseDPDF=Y")</f>
        <v>—</v>
      </c>
      <c r="W31" s="13">
        <f>_xll.BDH("AMGN US Equity","BS_INVEST_IN_ASSOC_CO","FQ4 2023","FQ4 2023","Currency=USD","Period=FQ","BEST_FPERIOD_OVERRIDE=FQ","FILING_STATUS=MR","SCALING_FORMAT=MLN","Sort=A","Dates=H","DateFormat=P","Fill=—","Direction=H","UseDPDF=Y")</f>
        <v>251</v>
      </c>
      <c r="X31" s="13" t="str">
        <f>_xll.BDH("AMGN US Equity","BS_INVEST_IN_ASSOC_CO","FQ1 2024","FQ1 2024","Currency=USD","Period=FQ","BEST_FPERIOD_OVERRIDE=FQ","FILING_STATUS=MR","SCALING_FORMAT=MLN","Sort=A","Dates=H","DateFormat=P","Fill=—","Direction=H","UseDPDF=Y")</f>
        <v>—</v>
      </c>
      <c r="Y31" s="13" t="str">
        <f>_xll.BDH("AMGN US Equity","BS_INVEST_IN_ASSOC_CO","FQ2 2024","FQ2 2024","Currency=USD","Period=FQ","BEST_FPERIOD_OVERRIDE=FQ","FILING_STATUS=MR","SCALING_FORMAT=MLN","Sort=A","Dates=H","DateFormat=P","Fill=—","Direction=H","UseDPDF=Y")</f>
        <v>—</v>
      </c>
      <c r="Z31" s="13" t="str">
        <f>_xll.BDH("AMGN US Equity","BS_INVEST_IN_ASSOC_CO","FQ3 2024","FQ3 2024","Currency=USD","Period=FQ","BEST_FPERIOD_OVERRIDE=FQ","FILING_STATUS=MR","SCALING_FORMAT=MLN","Sort=A","Dates=H","DateFormat=P","Fill=—","Direction=H","UseDPDF=Y")</f>
        <v>—</v>
      </c>
      <c r="AA31" s="13">
        <f>_xll.BDH("AMGN US Equity","BS_INVEST_IN_ASSOC_CO","FQ4 2024","FQ4 2024","Currency=USD","Period=FQ","BEST_FPERIOD_OVERRIDE=FQ","FILING_STATUS=MR","SCALING_FORMAT=MLN","Sort=A","Dates=H","DateFormat=P","Fill=—","Direction=H","UseDPDF=Y")</f>
        <v>262</v>
      </c>
    </row>
    <row r="32" spans="1:27" x14ac:dyDescent="0.25">
      <c r="A32" s="10" t="s">
        <v>750</v>
      </c>
      <c r="B32" s="10" t="s">
        <v>751</v>
      </c>
      <c r="C32" s="13">
        <f>_xll.BDH("AMGN US Equity","OTHER_NONCURRENT_ASSETS_DETAILED","FQ4 2018","FQ4 2018","Currency=USD","Period=FQ","BEST_FPERIOD_OVERRIDE=FQ","FILING_STATUS=MR","SCALING_FORMAT=MLN","Sort=A","Dates=H","DateFormat=P","Fill=—","Direction=H","UseDPDF=Y")</f>
        <v>1698</v>
      </c>
      <c r="D32" s="13">
        <f>_xll.BDH("AMGN US Equity","OTHER_NONCURRENT_ASSETS_DETAILED","FQ1 2019","FQ1 2019","Currency=USD","Period=FQ","BEST_FPERIOD_OVERRIDE=FQ","FILING_STATUS=MR","SCALING_FORMAT=MLN","Sort=A","Dates=H","DateFormat=P","Fill=—","Direction=H","UseDPDF=Y")</f>
        <v>1721</v>
      </c>
      <c r="E32" s="13">
        <f>_xll.BDH("AMGN US Equity","OTHER_NONCURRENT_ASSETS_DETAILED","FQ2 2019","FQ2 2019","Currency=USD","Period=FQ","BEST_FPERIOD_OVERRIDE=FQ","FILING_STATUS=MR","SCALING_FORMAT=MLN","Sort=A","Dates=H","DateFormat=P","Fill=—","Direction=H","UseDPDF=Y")</f>
        <v>1813</v>
      </c>
      <c r="F32" s="13">
        <f>_xll.BDH("AMGN US Equity","OTHER_NONCURRENT_ASSETS_DETAILED","FQ3 2019","FQ3 2019","Currency=USD","Period=FQ","BEST_FPERIOD_OVERRIDE=FQ","FILING_STATUS=MR","SCALING_FORMAT=MLN","Sort=A","Dates=H","DateFormat=P","Fill=—","Direction=H","UseDPDF=Y")</f>
        <v>1754</v>
      </c>
      <c r="G32" s="13">
        <f>_xll.BDH("AMGN US Equity","OTHER_NONCURRENT_ASSETS_DETAILED","FQ4 2019","FQ4 2019","Currency=USD","Period=FQ","BEST_FPERIOD_OVERRIDE=FQ","FILING_STATUS=MR","SCALING_FORMAT=MLN","Sort=A","Dates=H","DateFormat=P","Fill=—","Direction=H","UseDPDF=Y")</f>
        <v>1754</v>
      </c>
      <c r="H32" s="13">
        <f>_xll.BDH("AMGN US Equity","OTHER_NONCURRENT_ASSETS_DETAILED","FQ1 2020","FQ1 2020","Currency=USD","Period=FQ","BEST_FPERIOD_OVERRIDE=FQ","FILING_STATUS=MR","SCALING_FORMAT=MLN","Sort=A","Dates=H","DateFormat=P","Fill=—","Direction=H","UseDPDF=Y")</f>
        <v>4641</v>
      </c>
      <c r="I32" s="13">
        <f>_xll.BDH("AMGN US Equity","OTHER_NONCURRENT_ASSETS_DETAILED","FQ2 2020","FQ2 2020","Currency=USD","Period=FQ","BEST_FPERIOD_OVERRIDE=FQ","FILING_STATUS=MR","SCALING_FORMAT=MLN","Sort=A","Dates=H","DateFormat=P","Fill=—","Direction=H","UseDPDF=Y")</f>
        <v>4647</v>
      </c>
      <c r="J32" s="13">
        <f>_xll.BDH("AMGN US Equity","OTHER_NONCURRENT_ASSETS_DETAILED","FQ3 2020","FQ3 2020","Currency=USD","Period=FQ","BEST_FPERIOD_OVERRIDE=FQ","FILING_STATUS=MR","SCALING_FORMAT=MLN","Sort=A","Dates=H","DateFormat=P","Fill=—","Direction=H","UseDPDF=Y")</f>
        <v>5232</v>
      </c>
      <c r="K32" s="13">
        <f>_xll.BDH("AMGN US Equity","OTHER_NONCURRENT_ASSETS_DETAILED","FQ4 2020","FQ4 2020","Currency=USD","Period=FQ","BEST_FPERIOD_OVERRIDE=FQ","FILING_STATUS=MR","SCALING_FORMAT=MLN","Sort=A","Dates=H","DateFormat=P","Fill=—","Direction=H","UseDPDF=Y")</f>
        <v>4735</v>
      </c>
      <c r="L32" s="13">
        <f>_xll.BDH("AMGN US Equity","OTHER_NONCURRENT_ASSETS_DETAILED","FQ1 2021","FQ1 2021","Currency=USD","Period=FQ","BEST_FPERIOD_OVERRIDE=FQ","FILING_STATUS=MR","SCALING_FORMAT=MLN","Sort=A","Dates=H","DateFormat=P","Fill=—","Direction=H","UseDPDF=Y")</f>
        <v>5765</v>
      </c>
      <c r="M32" s="13">
        <f>_xll.BDH("AMGN US Equity","OTHER_NONCURRENT_ASSETS_DETAILED","FQ2 2021","FQ2 2021","Currency=USD","Period=FQ","BEST_FPERIOD_OVERRIDE=FQ","FILING_STATUS=MR","SCALING_FORMAT=MLN","Sort=A","Dates=H","DateFormat=P","Fill=—","Direction=H","UseDPDF=Y")</f>
        <v>5784</v>
      </c>
      <c r="N32" s="13">
        <f>_xll.BDH("AMGN US Equity","OTHER_NONCURRENT_ASSETS_DETAILED","FQ3 2021","FQ3 2021","Currency=USD","Period=FQ","BEST_FPERIOD_OVERRIDE=FQ","FILING_STATUS=MR","SCALING_FORMAT=MLN","Sort=A","Dates=H","DateFormat=P","Fill=—","Direction=H","UseDPDF=Y")</f>
        <v>6307</v>
      </c>
      <c r="O32" s="13">
        <f>_xll.BDH("AMGN US Equity","OTHER_NONCURRENT_ASSETS_DETAILED","FQ4 2021","FQ4 2021","Currency=USD","Period=FQ","BEST_FPERIOD_OVERRIDE=FQ","FILING_STATUS=MR","SCALING_FORMAT=MLN","Sort=A","Dates=H","DateFormat=P","Fill=—","Direction=H","UseDPDF=Y")</f>
        <v>5958</v>
      </c>
      <c r="P32" s="13">
        <f>_xll.BDH("AMGN US Equity","OTHER_NONCURRENT_ASSETS_DETAILED","FQ1 2022","FQ1 2022","Currency=USD","Period=FQ","BEST_FPERIOD_OVERRIDE=FQ","FILING_STATUS=MR","SCALING_FORMAT=MLN","Sort=A","Dates=H","DateFormat=P","Fill=—","Direction=H","UseDPDF=Y")</f>
        <v>6070</v>
      </c>
      <c r="Q32" s="13">
        <f>_xll.BDH("AMGN US Equity","OTHER_NONCURRENT_ASSETS_DETAILED","FQ2 2022","FQ2 2022","Currency=USD","Period=FQ","BEST_FPERIOD_OVERRIDE=FQ","FILING_STATUS=MR","SCALING_FORMAT=MLN","Sort=A","Dates=H","DateFormat=P","Fill=—","Direction=H","UseDPDF=Y")</f>
        <v>6022</v>
      </c>
      <c r="R32" s="13">
        <f>_xll.BDH("AMGN US Equity","OTHER_NONCURRENT_ASSETS_DETAILED","FQ3 2022","FQ3 2022","Currency=USD","Period=FQ","BEST_FPERIOD_OVERRIDE=FQ","FILING_STATUS=MR","SCALING_FORMAT=MLN","Sort=A","Dates=H","DateFormat=P","Fill=—","Direction=H","UseDPDF=Y")</f>
        <v>6339</v>
      </c>
      <c r="S32" s="13">
        <f>_xll.BDH("AMGN US Equity","OTHER_NONCURRENT_ASSETS_DETAILED","FQ4 2022","FQ4 2022","Currency=USD","Period=FQ","BEST_FPERIOD_OVERRIDE=FQ","FILING_STATUS=MR","SCALING_FORMAT=MLN","Sort=A","Dates=H","DateFormat=P","Fill=—","Direction=H","UseDPDF=Y")</f>
        <v>5071</v>
      </c>
      <c r="T32" s="13">
        <f>_xll.BDH("AMGN US Equity","OTHER_NONCURRENT_ASSETS_DETAILED","FQ1 2023","FQ1 2023","Currency=USD","Period=FQ","BEST_FPERIOD_OVERRIDE=FQ","FILING_STATUS=MR","SCALING_FORMAT=MLN","Sort=A","Dates=H","DateFormat=P","Fill=—","Direction=H","UseDPDF=Y")</f>
        <v>7633</v>
      </c>
      <c r="U32" s="13">
        <f>_xll.BDH("AMGN US Equity","OTHER_NONCURRENT_ASSETS_DETAILED","FQ2 2023","FQ2 2023","Currency=USD","Period=FQ","BEST_FPERIOD_OVERRIDE=FQ","FILING_STATUS=MR","SCALING_FORMAT=MLN","Sort=A","Dates=H","DateFormat=P","Fill=—","Direction=H","UseDPDF=Y")</f>
        <v>7193</v>
      </c>
      <c r="V32" s="13">
        <f>_xll.BDH("AMGN US Equity","OTHER_NONCURRENT_ASSETS_DETAILED","FQ3 2023","FQ3 2023","Currency=USD","Period=FQ","BEST_FPERIOD_OVERRIDE=FQ","FILING_STATUS=MR","SCALING_FORMAT=MLN","Sort=A","Dates=H","DateFormat=P","Fill=—","Direction=H","UseDPDF=Y")</f>
        <v>7835</v>
      </c>
      <c r="W32" s="13">
        <f>_xll.BDH("AMGN US Equity","OTHER_NONCURRENT_ASSETS_DETAILED","FQ4 2023","FQ4 2023","Currency=USD","Period=FQ","BEST_FPERIOD_OVERRIDE=FQ","FILING_STATUS=MR","SCALING_FORMAT=MLN","Sort=A","Dates=H","DateFormat=P","Fill=—","Direction=H","UseDPDF=Y")</f>
        <v>8709</v>
      </c>
      <c r="X32" s="13">
        <f>_xll.BDH("AMGN US Equity","OTHER_NONCURRENT_ASSETS_DETAILED","FQ1 2024","FQ1 2024","Currency=USD","Period=FQ","BEST_FPERIOD_OVERRIDE=FQ","FILING_STATUS=MR","SCALING_FORMAT=MLN","Sort=A","Dates=H","DateFormat=P","Fill=—","Direction=H","UseDPDF=Y")</f>
        <v>9007</v>
      </c>
      <c r="Y32" s="13">
        <f>_xll.BDH("AMGN US Equity","OTHER_NONCURRENT_ASSETS_DETAILED","FQ2 2024","FQ2 2024","Currency=USD","Period=FQ","BEST_FPERIOD_OVERRIDE=FQ","FILING_STATUS=MR","SCALING_FORMAT=MLN","Sort=A","Dates=H","DateFormat=P","Fill=—","Direction=H","UseDPDF=Y")</f>
        <v>8816</v>
      </c>
      <c r="Z32" s="13">
        <f>_xll.BDH("AMGN US Equity","OTHER_NONCURRENT_ASSETS_DETAILED","FQ3 2024","FQ3 2024","Currency=USD","Period=FQ","BEST_FPERIOD_OVERRIDE=FQ","FILING_STATUS=MR","SCALING_FORMAT=MLN","Sort=A","Dates=H","DateFormat=P","Fill=—","Direction=H","UseDPDF=Y")</f>
        <v>10383</v>
      </c>
      <c r="AA32" s="13">
        <f>_xll.BDH("AMGN US Equity","OTHER_NONCURRENT_ASSETS_DETAILED","FQ4 2024","FQ4 2024","Currency=USD","Period=FQ","BEST_FPERIOD_OVERRIDE=FQ","FILING_STATUS=MR","SCALING_FORMAT=MLN","Sort=A","Dates=H","DateFormat=P","Fill=—","Direction=H","UseDPDF=Y")</f>
        <v>9111</v>
      </c>
    </row>
    <row r="33" spans="1:27" x14ac:dyDescent="0.25">
      <c r="A33" s="6" t="s">
        <v>752</v>
      </c>
      <c r="B33" s="6" t="s">
        <v>753</v>
      </c>
      <c r="C33" s="19">
        <f>_xll.BDH("AMGN US Equity","BS_TOT_NON_CUR_ASSET","FQ4 2018","FQ4 2018","Currency=USD","Period=FQ","BEST_FPERIOD_OVERRIDE=FQ","FILING_STATUS=MR","SCALING_FORMAT=MLN","Sort=A","Dates=H","DateFormat=P","Fill=—","Direction=H","UseDPDF=Y")</f>
        <v>28798</v>
      </c>
      <c r="D33" s="19">
        <f>_xll.BDH("AMGN US Equity","BS_TOT_NON_CUR_ASSET","FQ1 2019","FQ1 2019","Currency=USD","Period=FQ","BEST_FPERIOD_OVERRIDE=FQ","FILING_STATUS=MR","SCALING_FORMAT=MLN","Sort=A","Dates=H","DateFormat=P","Fill=—","Direction=H","UseDPDF=Y")</f>
        <v>28846</v>
      </c>
      <c r="E33" s="19">
        <f>_xll.BDH("AMGN US Equity","BS_TOT_NON_CUR_ASSET","FQ2 2019","FQ2 2019","Currency=USD","Period=FQ","BEST_FPERIOD_OVERRIDE=FQ","FILING_STATUS=MR","SCALING_FORMAT=MLN","Sort=A","Dates=H","DateFormat=P","Fill=—","Direction=H","UseDPDF=Y")</f>
        <v>28627</v>
      </c>
      <c r="F33" s="19">
        <f>_xll.BDH("AMGN US Equity","BS_TOT_NON_CUR_ASSET","FQ3 2019","FQ3 2019","Currency=USD","Period=FQ","BEST_FPERIOD_OVERRIDE=FQ","FILING_STATUS=MR","SCALING_FORMAT=MLN","Sort=A","Dates=H","DateFormat=P","Fill=—","Direction=H","UseDPDF=Y")</f>
        <v>28484</v>
      </c>
      <c r="G33" s="19">
        <f>_xll.BDH("AMGN US Equity","BS_TOT_NON_CUR_ASSET","FQ4 2019","FQ4 2019","Currency=USD","Period=FQ","BEST_FPERIOD_OVERRIDE=FQ","FILING_STATUS=MR","SCALING_FORMAT=MLN","Sort=A","Dates=H","DateFormat=P","Fill=—","Direction=H","UseDPDF=Y")</f>
        <v>41267</v>
      </c>
      <c r="H33" s="19">
        <f>_xll.BDH("AMGN US Equity","BS_TOT_NON_CUR_ASSET","FQ1 2020","FQ1 2020","Currency=USD","Period=FQ","BEST_FPERIOD_OVERRIDE=FQ","FILING_STATUS=MR","SCALING_FORMAT=MLN","Sort=A","Dates=H","DateFormat=P","Fill=—","Direction=H","UseDPDF=Y")</f>
        <v>42856</v>
      </c>
      <c r="I33" s="19">
        <f>_xll.BDH("AMGN US Equity","BS_TOT_NON_CUR_ASSET","FQ2 2020","FQ2 2020","Currency=USD","Period=FQ","BEST_FPERIOD_OVERRIDE=FQ","FILING_STATUS=MR","SCALING_FORMAT=MLN","Sort=A","Dates=H","DateFormat=P","Fill=—","Direction=H","UseDPDF=Y")</f>
        <v>42116</v>
      </c>
      <c r="J33" s="19">
        <f>_xll.BDH("AMGN US Equity","BS_TOT_NON_CUR_ASSET","FQ3 2020","FQ3 2020","Currency=USD","Period=FQ","BEST_FPERIOD_OVERRIDE=FQ","FILING_STATUS=MR","SCALING_FORMAT=MLN","Sort=A","Dates=H","DateFormat=P","Fill=—","Direction=H","UseDPDF=Y")</f>
        <v>41976</v>
      </c>
      <c r="K33" s="19">
        <f>_xll.BDH("AMGN US Equity","BS_TOT_NON_CUR_ASSET","FQ4 2020","FQ4 2020","Currency=USD","Period=FQ","BEST_FPERIOD_OVERRIDE=FQ","FILING_STATUS=MR","SCALING_FORMAT=MLN","Sort=A","Dates=H","DateFormat=P","Fill=—","Direction=H","UseDPDF=Y")</f>
        <v>41804</v>
      </c>
      <c r="L33" s="19">
        <f>_xll.BDH("AMGN US Equity","BS_TOT_NON_CUR_ASSET","FQ1 2021","FQ1 2021","Currency=USD","Period=FQ","BEST_FPERIOD_OVERRIDE=FQ","FILING_STATUS=MR","SCALING_FORMAT=MLN","Sort=A","Dates=H","DateFormat=P","Fill=—","Direction=H","UseDPDF=Y")</f>
        <v>41240</v>
      </c>
      <c r="M33" s="19">
        <f>_xll.BDH("AMGN US Equity","BS_TOT_NON_CUR_ASSET","FQ2 2021","FQ2 2021","Currency=USD","Period=FQ","BEST_FPERIOD_OVERRIDE=FQ","FILING_STATUS=MR","SCALING_FORMAT=MLN","Sort=A","Dates=H","DateFormat=P","Fill=—","Direction=H","UseDPDF=Y")</f>
        <v>40674</v>
      </c>
      <c r="N33" s="19">
        <f>_xll.BDH("AMGN US Equity","BS_TOT_NON_CUR_ASSET","FQ3 2021","FQ3 2021","Currency=USD","Period=FQ","BEST_FPERIOD_OVERRIDE=FQ","FILING_STATUS=MR","SCALING_FORMAT=MLN","Sort=A","Dates=H","DateFormat=P","Fill=—","Direction=H","UseDPDF=Y")</f>
        <v>40613</v>
      </c>
      <c r="O33" s="19">
        <f>_xll.BDH("AMGN US Equity","BS_TOT_NON_CUR_ASSET","FQ4 2021","FQ4 2021","Currency=USD","Period=FQ","BEST_FPERIOD_OVERRIDE=FQ","FILING_STATUS=MR","SCALING_FORMAT=MLN","Sort=A","Dates=H","DateFormat=P","Fill=—","Direction=H","UseDPDF=Y")</f>
        <v>41780</v>
      </c>
      <c r="P33" s="19">
        <f>_xll.BDH("AMGN US Equity","BS_TOT_NON_CUR_ASSET","FQ1 2022","FQ1 2022","Currency=USD","Period=FQ","BEST_FPERIOD_OVERRIDE=FQ","FILING_STATUS=MR","SCALING_FORMAT=MLN","Sort=A","Dates=H","DateFormat=P","Fill=—","Direction=H","UseDPDF=Y")</f>
        <v>40676</v>
      </c>
      <c r="Q33" s="19">
        <f>_xll.BDH("AMGN US Equity","BS_TOT_NON_CUR_ASSET","FQ2 2022","FQ2 2022","Currency=USD","Period=FQ","BEST_FPERIOD_OVERRIDE=FQ","FILING_STATUS=MR","SCALING_FORMAT=MLN","Sort=A","Dates=H","DateFormat=P","Fill=—","Direction=H","UseDPDF=Y")</f>
        <v>39972</v>
      </c>
      <c r="R33" s="19">
        <f>_xll.BDH("AMGN US Equity","BS_TOT_NON_CUR_ASSET","FQ3 2022","FQ3 2022","Currency=USD","Period=FQ","BEST_FPERIOD_OVERRIDE=FQ","FILING_STATUS=MR","SCALING_FORMAT=MLN","Sort=A","Dates=H","DateFormat=P","Fill=—","Direction=H","UseDPDF=Y")</f>
        <v>39638</v>
      </c>
      <c r="S33" s="19">
        <f>_xll.BDH("AMGN US Equity","BS_TOT_NON_CUR_ASSET","FQ4 2022","FQ4 2022","Currency=USD","Period=FQ","BEST_FPERIOD_OVERRIDE=FQ","FILING_STATUS=MR","SCALING_FORMAT=MLN","Sort=A","Dates=H","DateFormat=P","Fill=—","Direction=H","UseDPDF=Y")</f>
        <v>42935</v>
      </c>
      <c r="T33" s="19">
        <f>_xll.BDH("AMGN US Equity","BS_TOT_NON_CUR_ASSET","FQ1 2023","FQ1 2023","Currency=USD","Period=FQ","BEST_FPERIOD_OVERRIDE=FQ","FILING_STATUS=MR","SCALING_FORMAT=MLN","Sort=A","Dates=H","DateFormat=P","Fill=—","Direction=H","UseDPDF=Y")</f>
        <v>44017</v>
      </c>
      <c r="U33" s="19">
        <f>_xll.BDH("AMGN US Equity","BS_TOT_NON_CUR_ASSET","FQ2 2023","FQ2 2023","Currency=USD","Period=FQ","BEST_FPERIOD_OVERRIDE=FQ","FILING_STATUS=MR","SCALING_FORMAT=MLN","Sort=A","Dates=H","DateFormat=P","Fill=—","Direction=H","UseDPDF=Y")</f>
        <v>42889</v>
      </c>
      <c r="V33" s="19">
        <f>_xll.BDH("AMGN US Equity","BS_TOT_NON_CUR_ASSET","FQ3 2023","FQ3 2023","Currency=USD","Period=FQ","BEST_FPERIOD_OVERRIDE=FQ","FILING_STATUS=MR","SCALING_FORMAT=MLN","Sort=A","Dates=H","DateFormat=P","Fill=—","Direction=H","UseDPDF=Y")</f>
        <v>42057</v>
      </c>
      <c r="W33" s="19">
        <f>_xll.BDH("AMGN US Equity","BS_TOT_NON_CUR_ASSET","FQ4 2023","FQ4 2023","Currency=USD","Period=FQ","BEST_FPERIOD_OVERRIDE=FQ","FILING_STATUS=MR","SCALING_FORMAT=MLN","Sort=A","Dates=H","DateFormat=P","Fill=—","Direction=H","UseDPDF=Y")</f>
        <v>66822</v>
      </c>
      <c r="X33" s="19">
        <f>_xll.BDH("AMGN US Equity","BS_TOT_NON_CUR_ASSET","FQ1 2024","FQ1 2024","Currency=USD","Period=FQ","BEST_FPERIOD_OVERRIDE=FQ","FILING_STATUS=MR","SCALING_FORMAT=MLN","Sort=A","Dates=H","DateFormat=P","Fill=—","Direction=H","UseDPDF=Y")</f>
        <v>64951</v>
      </c>
      <c r="Y33" s="19">
        <f>_xll.BDH("AMGN US Equity","BS_TOT_NON_CUR_ASSET","FQ2 2024","FQ2 2024","Currency=USD","Period=FQ","BEST_FPERIOD_OVERRIDE=FQ","FILING_STATUS=MR","SCALING_FORMAT=MLN","Sort=A","Dates=H","DateFormat=P","Fill=—","Direction=H","UseDPDF=Y")</f>
        <v>63701</v>
      </c>
      <c r="Z33" s="19">
        <f>_xll.BDH("AMGN US Equity","BS_TOT_NON_CUR_ASSET","FQ3 2024","FQ3 2024","Currency=USD","Period=FQ","BEST_FPERIOD_OVERRIDE=FQ","FILING_STATUS=MR","SCALING_FORMAT=MLN","Sort=A","Dates=H","DateFormat=P","Fill=—","Direction=H","UseDPDF=Y")</f>
        <v>64117</v>
      </c>
      <c r="AA33" s="19">
        <f>_xll.BDH("AMGN US Equity","BS_TOT_NON_CUR_ASSET","FQ4 2024","FQ4 2024","Currency=USD","Period=FQ","BEST_FPERIOD_OVERRIDE=FQ","FILING_STATUS=MR","SCALING_FORMAT=MLN","Sort=A","Dates=H","DateFormat=P","Fill=—","Direction=H","UseDPDF=Y")</f>
        <v>62809</v>
      </c>
    </row>
    <row r="34" spans="1:27" x14ac:dyDescent="0.25">
      <c r="A34" s="6" t="s">
        <v>112</v>
      </c>
      <c r="B34" s="6" t="s">
        <v>113</v>
      </c>
      <c r="C34" s="19">
        <f>_xll.BDH("AMGN US Equity","BS_TOT_ASSET","FQ4 2018","FQ4 2018","Currency=USD","Period=FQ","BEST_FPERIOD_OVERRIDE=FQ","FILING_STATUS=MR","SCALING_FORMAT=MLN","Sort=A","Dates=H","DateFormat=P","Fill=—","Direction=H","UseDPDF=Y")</f>
        <v>66416</v>
      </c>
      <c r="D34" s="19">
        <f>_xll.BDH("AMGN US Equity","BS_TOT_ASSET","FQ1 2019","FQ1 2019","Currency=USD","Period=FQ","BEST_FPERIOD_OVERRIDE=FQ","FILING_STATUS=MR","SCALING_FORMAT=MLN","Sort=A","Dates=H","DateFormat=P","Fill=—","Direction=H","UseDPDF=Y")</f>
        <v>63997</v>
      </c>
      <c r="E34" s="19">
        <f>_xll.BDH("AMGN US Equity","BS_TOT_ASSET","FQ2 2019","FQ2 2019","Currency=USD","Period=FQ","BEST_FPERIOD_OVERRIDE=FQ","FILING_STATUS=MR","SCALING_FORMAT=MLN","Sort=A","Dates=H","DateFormat=P","Fill=—","Direction=H","UseDPDF=Y")</f>
        <v>59373</v>
      </c>
      <c r="F34" s="19">
        <f>_xll.BDH("AMGN US Equity","BS_TOT_ASSET","FQ3 2019","FQ3 2019","Currency=USD","Period=FQ","BEST_FPERIOD_OVERRIDE=FQ","FILING_STATUS=MR","SCALING_FORMAT=MLN","Sort=A","Dates=H","DateFormat=P","Fill=—","Direction=H","UseDPDF=Y")</f>
        <v>59535</v>
      </c>
      <c r="G34" s="19">
        <f>_xll.BDH("AMGN US Equity","BS_TOT_ASSET","FQ4 2019","FQ4 2019","Currency=USD","Period=FQ","BEST_FPERIOD_OVERRIDE=FQ","FILING_STATUS=MR","SCALING_FORMAT=MLN","Sort=A","Dates=H","DateFormat=P","Fill=—","Direction=H","UseDPDF=Y")</f>
        <v>59707</v>
      </c>
      <c r="H34" s="19">
        <f>_xll.BDH("AMGN US Equity","BS_TOT_ASSET","FQ1 2020","FQ1 2020","Currency=USD","Period=FQ","BEST_FPERIOD_OVERRIDE=FQ","FILING_STATUS=MR","SCALING_FORMAT=MLN","Sort=A","Dates=H","DateFormat=P","Fill=—","Direction=H","UseDPDF=Y")</f>
        <v>61669</v>
      </c>
      <c r="I34" s="19">
        <f>_xll.BDH("AMGN US Equity","BS_TOT_ASSET","FQ2 2020","FQ2 2020","Currency=USD","Period=FQ","BEST_FPERIOD_OVERRIDE=FQ","FILING_STATUS=MR","SCALING_FORMAT=MLN","Sort=A","Dates=H","DateFormat=P","Fill=—","Direction=H","UseDPDF=Y")</f>
        <v>65011</v>
      </c>
      <c r="J34" s="19">
        <f>_xll.BDH("AMGN US Equity","BS_TOT_ASSET","FQ3 2020","FQ3 2020","Currency=USD","Period=FQ","BEST_FPERIOD_OVERRIDE=FQ","FILING_STATUS=MR","SCALING_FORMAT=MLN","Sort=A","Dates=H","DateFormat=P","Fill=—","Direction=H","UseDPDF=Y")</f>
        <v>64637</v>
      </c>
      <c r="K34" s="19">
        <f>_xll.BDH("AMGN US Equity","BS_TOT_ASSET","FQ4 2020","FQ4 2020","Currency=USD","Period=FQ","BEST_FPERIOD_OVERRIDE=FQ","FILING_STATUS=MR","SCALING_FORMAT=MLN","Sort=A","Dates=H","DateFormat=P","Fill=—","Direction=H","UseDPDF=Y")</f>
        <v>62948</v>
      </c>
      <c r="L34" s="19">
        <f>_xll.BDH("AMGN US Equity","BS_TOT_ASSET","FQ1 2021","FQ1 2021","Currency=USD","Period=FQ","BEST_FPERIOD_OVERRIDE=FQ","FILING_STATUS=MR","SCALING_FORMAT=MLN","Sort=A","Dates=H","DateFormat=P","Fill=—","Direction=H","UseDPDF=Y")</f>
        <v>62539</v>
      </c>
      <c r="M34" s="19">
        <f>_xll.BDH("AMGN US Equity","BS_TOT_ASSET","FQ2 2021","FQ2 2021","Currency=USD","Period=FQ","BEST_FPERIOD_OVERRIDE=FQ","FILING_STATUS=MR","SCALING_FORMAT=MLN","Sort=A","Dates=H","DateFormat=P","Fill=—","Direction=H","UseDPDF=Y")</f>
        <v>59773</v>
      </c>
      <c r="N34" s="19">
        <f>_xll.BDH("AMGN US Equity","BS_TOT_ASSET","FQ3 2021","FQ3 2021","Currency=USD","Period=FQ","BEST_FPERIOD_OVERRIDE=FQ","FILING_STATUS=MR","SCALING_FORMAT=MLN","Sort=A","Dates=H","DateFormat=P","Fill=—","Direction=H","UseDPDF=Y")</f>
        <v>64993</v>
      </c>
      <c r="O34" s="19">
        <f>_xll.BDH("AMGN US Equity","BS_TOT_ASSET","FQ4 2021","FQ4 2021","Currency=USD","Period=FQ","BEST_FPERIOD_OVERRIDE=FQ","FILING_STATUS=MR","SCALING_FORMAT=MLN","Sort=A","Dates=H","DateFormat=P","Fill=—","Direction=H","UseDPDF=Y")</f>
        <v>61165</v>
      </c>
      <c r="P34" s="19">
        <f>_xll.BDH("AMGN US Equity","BS_TOT_ASSET","FQ1 2022","FQ1 2022","Currency=USD","Period=FQ","BEST_FPERIOD_OVERRIDE=FQ","FILING_STATUS=MR","SCALING_FORMAT=MLN","Sort=A","Dates=H","DateFormat=P","Fill=—","Direction=H","UseDPDF=Y")</f>
        <v>59196</v>
      </c>
      <c r="Q34" s="19">
        <f>_xll.BDH("AMGN US Equity","BS_TOT_ASSET","FQ2 2022","FQ2 2022","Currency=USD","Period=FQ","BEST_FPERIOD_OVERRIDE=FQ","FILING_STATUS=MR","SCALING_FORMAT=MLN","Sort=A","Dates=H","DateFormat=P","Fill=—","Direction=H","UseDPDF=Y")</f>
        <v>59294</v>
      </c>
      <c r="R34" s="19">
        <f>_xll.BDH("AMGN US Equity","BS_TOT_ASSET","FQ3 2022","FQ3 2022","Currency=USD","Period=FQ","BEST_FPERIOD_OVERRIDE=FQ","FILING_STATUS=MR","SCALING_FORMAT=MLN","Sort=A","Dates=H","DateFormat=P","Fill=—","Direction=H","UseDPDF=Y")</f>
        <v>63700</v>
      </c>
      <c r="S34" s="19">
        <f>_xll.BDH("AMGN US Equity","BS_TOT_ASSET","FQ4 2022","FQ4 2022","Currency=USD","Period=FQ","BEST_FPERIOD_OVERRIDE=FQ","FILING_STATUS=MR","SCALING_FORMAT=MLN","Sort=A","Dates=H","DateFormat=P","Fill=—","Direction=H","UseDPDF=Y")</f>
        <v>65121</v>
      </c>
      <c r="T34" s="19">
        <f>_xll.BDH("AMGN US Equity","BS_TOT_ASSET","FQ1 2023","FQ1 2023","Currency=USD","Period=FQ","BEST_FPERIOD_OVERRIDE=FQ","FILING_STATUS=MR","SCALING_FORMAT=MLN","Sort=A","Dates=H","DateFormat=P","Fill=—","Direction=H","UseDPDF=Y")</f>
        <v>88720</v>
      </c>
      <c r="U34" s="19">
        <f>_xll.BDH("AMGN US Equity","BS_TOT_ASSET","FQ2 2023","FQ2 2023","Currency=USD","Period=FQ","BEST_FPERIOD_OVERRIDE=FQ","FILING_STATUS=MR","SCALING_FORMAT=MLN","Sort=A","Dates=H","DateFormat=P","Fill=—","Direction=H","UseDPDF=Y")</f>
        <v>90269</v>
      </c>
      <c r="V34" s="19">
        <f>_xll.BDH("AMGN US Equity","BS_TOT_ASSET","FQ3 2023","FQ3 2023","Currency=USD","Period=FQ","BEST_FPERIOD_OVERRIDE=FQ","FILING_STATUS=MR","SCALING_FORMAT=MLN","Sort=A","Dates=H","DateFormat=P","Fill=—","Direction=H","UseDPDF=Y")</f>
        <v>90534</v>
      </c>
      <c r="W34" s="19">
        <f>_xll.BDH("AMGN US Equity","BS_TOT_ASSET","FQ4 2023","FQ4 2023","Currency=USD","Period=FQ","BEST_FPERIOD_OVERRIDE=FQ","FILING_STATUS=MR","SCALING_FORMAT=MLN","Sort=A","Dates=H","DateFormat=P","Fill=—","Direction=H","UseDPDF=Y")</f>
        <v>97154</v>
      </c>
      <c r="X34" s="19">
        <f>_xll.BDH("AMGN US Equity","BS_TOT_ASSET","FQ1 2024","FQ1 2024","Currency=USD","Period=FQ","BEST_FPERIOD_OVERRIDE=FQ","FILING_STATUS=MR","SCALING_FORMAT=MLN","Sort=A","Dates=H","DateFormat=P","Fill=—","Direction=H","UseDPDF=Y")</f>
        <v>92980</v>
      </c>
      <c r="Y34" s="19">
        <f>_xll.BDH("AMGN US Equity","BS_TOT_ASSET","FQ2 2024","FQ2 2024","Currency=USD","Period=FQ","BEST_FPERIOD_OVERRIDE=FQ","FILING_STATUS=MR","SCALING_FORMAT=MLN","Sort=A","Dates=H","DateFormat=P","Fill=—","Direction=H","UseDPDF=Y")</f>
        <v>90907</v>
      </c>
      <c r="Z34" s="19">
        <f>_xll.BDH("AMGN US Equity","BS_TOT_ASSET","FQ3 2024","FQ3 2024","Currency=USD","Period=FQ","BEST_FPERIOD_OVERRIDE=FQ","FILING_STATUS=MR","SCALING_FORMAT=MLN","Sort=A","Dates=H","DateFormat=P","Fill=—","Direction=H","UseDPDF=Y")</f>
        <v>90883</v>
      </c>
      <c r="AA34" s="19">
        <f>_xll.BDH("AMGN US Equity","BS_TOT_ASSET","FQ4 2024","FQ4 2024","Currency=USD","Period=FQ","BEST_FPERIOD_OVERRIDE=FQ","FILING_STATUS=MR","SCALING_FORMAT=MLN","Sort=A","Dates=H","DateFormat=P","Fill=—","Direction=H","UseDPDF=Y")</f>
        <v>91839</v>
      </c>
    </row>
    <row r="35" spans="1:27" x14ac:dyDescent="0.25">
      <c r="A35" s="6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 x14ac:dyDescent="0.25">
      <c r="A36" s="6" t="s">
        <v>754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x14ac:dyDescent="0.25">
      <c r="A37" s="10" t="s">
        <v>755</v>
      </c>
      <c r="B37" s="10" t="s">
        <v>756</v>
      </c>
      <c r="C37" s="13">
        <f>_xll.BDH("AMGN US Equity","ACCT_PAYABLE_ACCRUALS_DETAILED","FQ4 2018","FQ4 2018","Currency=USD","Period=FQ","BEST_FPERIOD_OVERRIDE=FQ","FILING_STATUS=MR","SCALING_FORMAT=MLN","Sort=A","Dates=H","DateFormat=P","Fill=—","Direction=H","UseDPDF=Y")</f>
        <v>9069</v>
      </c>
      <c r="D37" s="13">
        <f>_xll.BDH("AMGN US Equity","ACCT_PAYABLE_ACCRUALS_DETAILED","FQ1 2019","FQ1 2019","Currency=USD","Period=FQ","BEST_FPERIOD_OVERRIDE=FQ","FILING_STATUS=MR","SCALING_FORMAT=MLN","Sort=A","Dates=H","DateFormat=P","Fill=—","Direction=H","UseDPDF=Y")</f>
        <v>8761</v>
      </c>
      <c r="E37" s="13">
        <f>_xll.BDH("AMGN US Equity","ACCT_PAYABLE_ACCRUALS_DETAILED","FQ2 2019","FQ2 2019","Currency=USD","Period=FQ","BEST_FPERIOD_OVERRIDE=FQ","FILING_STATUS=MR","SCALING_FORMAT=MLN","Sort=A","Dates=H","DateFormat=P","Fill=—","Direction=H","UseDPDF=Y")</f>
        <v>7538</v>
      </c>
      <c r="F37" s="13">
        <f>_xll.BDH("AMGN US Equity","ACCT_PAYABLE_ACCRUALS_DETAILED","FQ3 2019","FQ3 2019","Currency=USD","Period=FQ","BEST_FPERIOD_OVERRIDE=FQ","FILING_STATUS=MR","SCALING_FORMAT=MLN","Sort=A","Dates=H","DateFormat=P","Fill=—","Direction=H","UseDPDF=Y")</f>
        <v>8418</v>
      </c>
      <c r="G37" s="13">
        <f>_xll.BDH("AMGN US Equity","ACCT_PAYABLE_ACCRUALS_DETAILED","FQ4 2019","FQ4 2019","Currency=USD","Period=FQ","BEST_FPERIOD_OVERRIDE=FQ","FILING_STATUS=MR","SCALING_FORMAT=MLN","Sort=A","Dates=H","DateFormat=P","Fill=—","Direction=H","UseDPDF=Y")</f>
        <v>5862</v>
      </c>
      <c r="H37" s="13">
        <f>_xll.BDH("AMGN US Equity","ACCT_PAYABLE_ACCRUALS_DETAILED","FQ1 2020","FQ1 2020","Currency=USD","Period=FQ","BEST_FPERIOD_OVERRIDE=FQ","FILING_STATUS=MR","SCALING_FORMAT=MLN","Sort=A","Dates=H","DateFormat=P","Fill=—","Direction=H","UseDPDF=Y")</f>
        <v>9987</v>
      </c>
      <c r="I37" s="13">
        <f>_xll.BDH("AMGN US Equity","ACCT_PAYABLE_ACCRUALS_DETAILED","FQ2 2020","FQ2 2020","Currency=USD","Period=FQ","BEST_FPERIOD_OVERRIDE=FQ","FILING_STATUS=MR","SCALING_FORMAT=MLN","Sort=A","Dates=H","DateFormat=P","Fill=—","Direction=H","UseDPDF=Y")</f>
        <v>10432</v>
      </c>
      <c r="J37" s="13">
        <f>_xll.BDH("AMGN US Equity","ACCT_PAYABLE_ACCRUALS_DETAILED","FQ3 2020","FQ3 2020","Currency=USD","Period=FQ","BEST_FPERIOD_OVERRIDE=FQ","FILING_STATUS=MR","SCALING_FORMAT=MLN","Sort=A","Dates=H","DateFormat=P","Fill=—","Direction=H","UseDPDF=Y")</f>
        <v>9862</v>
      </c>
      <c r="K37" s="13">
        <f>_xll.BDH("AMGN US Equity","ACCT_PAYABLE_ACCRUALS_DETAILED","FQ4 2020","FQ4 2020","Currency=USD","Period=FQ","BEST_FPERIOD_OVERRIDE=FQ","FILING_STATUS=MR","SCALING_FORMAT=MLN","Sort=A","Dates=H","DateFormat=P","Fill=—","Direction=H","UseDPDF=Y")</f>
        <v>6608</v>
      </c>
      <c r="L37" s="13">
        <f>_xll.BDH("AMGN US Equity","ACCT_PAYABLE_ACCRUALS_DETAILED","FQ1 2021","FQ1 2021","Currency=USD","Period=FQ","BEST_FPERIOD_OVERRIDE=FQ","FILING_STATUS=MR","SCALING_FORMAT=MLN","Sort=A","Dates=H","DateFormat=P","Fill=—","Direction=H","UseDPDF=Y")</f>
        <v>11313</v>
      </c>
      <c r="M37" s="13">
        <f>_xll.BDH("AMGN US Equity","ACCT_PAYABLE_ACCRUALS_DETAILED","FQ2 2021","FQ2 2021","Currency=USD","Period=FQ","BEST_FPERIOD_OVERRIDE=FQ","FILING_STATUS=MR","SCALING_FORMAT=MLN","Sort=A","Dates=H","DateFormat=P","Fill=—","Direction=H","UseDPDF=Y")</f>
        <v>10261</v>
      </c>
      <c r="N37" s="13">
        <f>_xll.BDH("AMGN US Equity","ACCT_PAYABLE_ACCRUALS_DETAILED","FQ3 2021","FQ3 2021","Currency=USD","Period=FQ","BEST_FPERIOD_OVERRIDE=FQ","FILING_STATUS=MR","SCALING_FORMAT=MLN","Sort=A","Dates=H","DateFormat=P","Fill=—","Direction=H","UseDPDF=Y")</f>
        <v>10554</v>
      </c>
      <c r="O37" s="13">
        <f>_xll.BDH("AMGN US Equity","ACCT_PAYABLE_ACCRUALS_DETAILED","FQ4 2021","FQ4 2021","Currency=USD","Period=FQ","BEST_FPERIOD_OVERRIDE=FQ","FILING_STATUS=MR","SCALING_FORMAT=MLN","Sort=A","Dates=H","DateFormat=P","Fill=—","Direction=H","UseDPDF=Y")</f>
        <v>6778</v>
      </c>
      <c r="P37" s="13">
        <f>_xll.BDH("AMGN US Equity","ACCT_PAYABLE_ACCRUALS_DETAILED","FQ1 2022","FQ1 2022","Currency=USD","Period=FQ","BEST_FPERIOD_OVERRIDE=FQ","FILING_STATUS=MR","SCALING_FORMAT=MLN","Sort=A","Dates=H","DateFormat=P","Fill=—","Direction=H","UseDPDF=Y")</f>
        <v>12042</v>
      </c>
      <c r="Q37" s="13">
        <f>_xll.BDH("AMGN US Equity","ACCT_PAYABLE_ACCRUALS_DETAILED","FQ2 2022","FQ2 2022","Currency=USD","Period=FQ","BEST_FPERIOD_OVERRIDE=FQ","FILING_STATUS=MR","SCALING_FORMAT=MLN","Sort=A","Dates=H","DateFormat=P","Fill=—","Direction=H","UseDPDF=Y")</f>
        <v>11801</v>
      </c>
      <c r="R37" s="13">
        <f>_xll.BDH("AMGN US Equity","ACCT_PAYABLE_ACCRUALS_DETAILED","FQ3 2022","FQ3 2022","Currency=USD","Period=FQ","BEST_FPERIOD_OVERRIDE=FQ","FILING_STATUS=MR","SCALING_FORMAT=MLN","Sort=A","Dates=H","DateFormat=P","Fill=—","Direction=H","UseDPDF=Y")</f>
        <v>12788</v>
      </c>
      <c r="S37" s="13">
        <f>_xll.BDH("AMGN US Equity","ACCT_PAYABLE_ACCRUALS_DETAILED","FQ4 2022","FQ4 2022","Currency=USD","Period=FQ","BEST_FPERIOD_OVERRIDE=FQ","FILING_STATUS=MR","SCALING_FORMAT=MLN","Sort=A","Dates=H","DateFormat=P","Fill=—","Direction=H","UseDPDF=Y")</f>
        <v>7954</v>
      </c>
      <c r="T37" s="13">
        <f>_xll.BDH("AMGN US Equity","ACCT_PAYABLE_ACCRUALS_DETAILED","FQ1 2023","FQ1 2023","Currency=USD","Period=FQ","BEST_FPERIOD_OVERRIDE=FQ","FILING_STATUS=MR","SCALING_FORMAT=MLN","Sort=A","Dates=H","DateFormat=P","Fill=—","Direction=H","UseDPDF=Y")</f>
        <v>13381</v>
      </c>
      <c r="U37" s="13">
        <f>_xll.BDH("AMGN US Equity","ACCT_PAYABLE_ACCRUALS_DETAILED","FQ2 2023","FQ2 2023","Currency=USD","Period=FQ","BEST_FPERIOD_OVERRIDE=FQ","FILING_STATUS=MR","SCALING_FORMAT=MLN","Sort=A","Dates=H","DateFormat=P","Fill=—","Direction=H","UseDPDF=Y")</f>
        <v>14930</v>
      </c>
      <c r="V37" s="13">
        <f>_xll.BDH("AMGN US Equity","ACCT_PAYABLE_ACCRUALS_DETAILED","FQ3 2023","FQ3 2023","Currency=USD","Period=FQ","BEST_FPERIOD_OVERRIDE=FQ","FILING_STATUS=MR","SCALING_FORMAT=MLN","Sort=A","Dates=H","DateFormat=P","Fill=—","Direction=H","UseDPDF=Y")</f>
        <v>15526</v>
      </c>
      <c r="W37" s="13">
        <f>_xll.BDH("AMGN US Equity","ACCT_PAYABLE_ACCRUALS_DETAILED","FQ4 2023","FQ4 2023","Currency=USD","Period=FQ","BEST_FPERIOD_OVERRIDE=FQ","FILING_STATUS=MR","SCALING_FORMAT=MLN","Sort=A","Dates=H","DateFormat=P","Fill=—","Direction=H","UseDPDF=Y")</f>
        <v>9559</v>
      </c>
      <c r="X37" s="13">
        <f>_xll.BDH("AMGN US Equity","ACCT_PAYABLE_ACCRUALS_DETAILED","FQ1 2024","FQ1 2024","Currency=USD","Period=FQ","BEST_FPERIOD_OVERRIDE=FQ","FILING_STATUS=MR","SCALING_FORMAT=MLN","Sort=A","Dates=H","DateFormat=P","Fill=—","Direction=H","UseDPDF=Y")</f>
        <v>15755</v>
      </c>
      <c r="Y37" s="13">
        <f>_xll.BDH("AMGN US Equity","ACCT_PAYABLE_ACCRUALS_DETAILED","FQ2 2024","FQ2 2024","Currency=USD","Period=FQ","BEST_FPERIOD_OVERRIDE=FQ","FILING_STATUS=MR","SCALING_FORMAT=MLN","Sort=A","Dates=H","DateFormat=P","Fill=—","Direction=H","UseDPDF=Y")</f>
        <v>15989</v>
      </c>
      <c r="Z37" s="13">
        <f>_xll.BDH("AMGN US Equity","ACCT_PAYABLE_ACCRUALS_DETAILED","FQ3 2024","FQ3 2024","Currency=USD","Period=FQ","BEST_FPERIOD_OVERRIDE=FQ","FILING_STATUS=MR","SCALING_FORMAT=MLN","Sort=A","Dates=H","DateFormat=P","Fill=—","Direction=H","UseDPDF=Y")</f>
        <v>16768</v>
      </c>
      <c r="AA37" s="13">
        <f>_xll.BDH("AMGN US Equity","ACCT_PAYABLE_ACCRUALS_DETAILED","FQ4 2024","FQ4 2024","Currency=USD","Period=FQ","BEST_FPERIOD_OVERRIDE=FQ","FILING_STATUS=MR","SCALING_FORMAT=MLN","Sort=A","Dates=H","DateFormat=P","Fill=—","Direction=H","UseDPDF=Y")</f>
        <v>11037</v>
      </c>
    </row>
    <row r="38" spans="1:27" x14ac:dyDescent="0.25">
      <c r="A38" s="10" t="s">
        <v>757</v>
      </c>
      <c r="B38" s="10" t="s">
        <v>758</v>
      </c>
      <c r="C38" s="13">
        <f>_xll.BDH("AMGN US Equity","BS_ACCT_PAYABLE","FQ4 2018","FQ4 2018","Currency=USD","Period=FQ","BEST_FPERIOD_OVERRIDE=FQ","FILING_STATUS=MR","SCALING_FORMAT=MLN","Sort=A","Dates=H","DateFormat=P","Fill=—","Direction=H","UseDPDF=Y")</f>
        <v>1207</v>
      </c>
      <c r="D38" s="13">
        <f>_xll.BDH("AMGN US Equity","BS_ACCT_PAYABLE","FQ1 2019","FQ1 2019","Currency=USD","Period=FQ","BEST_FPERIOD_OVERRIDE=FQ","FILING_STATUS=MR","SCALING_FORMAT=MLN","Sort=A","Dates=H","DateFormat=P","Fill=—","Direction=H","UseDPDF=Y")</f>
        <v>1091</v>
      </c>
      <c r="E38" s="13">
        <f>_xll.BDH("AMGN US Equity","BS_ACCT_PAYABLE","FQ2 2019","FQ2 2019","Currency=USD","Period=FQ","BEST_FPERIOD_OVERRIDE=FQ","FILING_STATUS=MR","SCALING_FORMAT=MLN","Sort=A","Dates=H","DateFormat=P","Fill=—","Direction=H","UseDPDF=Y")</f>
        <v>1001</v>
      </c>
      <c r="F38" s="13">
        <f>_xll.BDH("AMGN US Equity","BS_ACCT_PAYABLE","FQ3 2019","FQ3 2019","Currency=USD","Period=FQ","BEST_FPERIOD_OVERRIDE=FQ","FILING_STATUS=MR","SCALING_FORMAT=MLN","Sort=A","Dates=H","DateFormat=P","Fill=—","Direction=H","UseDPDF=Y")</f>
        <v>1005</v>
      </c>
      <c r="G38" s="13">
        <f>_xll.BDH("AMGN US Equity","BS_ACCT_PAYABLE","FQ4 2019","FQ4 2019","Currency=USD","Period=FQ","BEST_FPERIOD_OVERRIDE=FQ","FILING_STATUS=MR","SCALING_FORMAT=MLN","Sort=A","Dates=H","DateFormat=P","Fill=—","Direction=H","UseDPDF=Y")</f>
        <v>1371</v>
      </c>
      <c r="H38" s="13">
        <f>_xll.BDH("AMGN US Equity","BS_ACCT_PAYABLE","FQ1 2020","FQ1 2020","Currency=USD","Period=FQ","BEST_FPERIOD_OVERRIDE=FQ","FILING_STATUS=MR","SCALING_FORMAT=MLN","Sort=A","Dates=H","DateFormat=P","Fill=—","Direction=H","UseDPDF=Y")</f>
        <v>1338</v>
      </c>
      <c r="I38" s="13">
        <f>_xll.BDH("AMGN US Equity","BS_ACCT_PAYABLE","FQ2 2020","FQ2 2020","Currency=USD","Period=FQ","BEST_FPERIOD_OVERRIDE=FQ","FILING_STATUS=MR","SCALING_FORMAT=MLN","Sort=A","Dates=H","DateFormat=P","Fill=—","Direction=H","UseDPDF=Y")</f>
        <v>1150</v>
      </c>
      <c r="J38" s="13">
        <f>_xll.BDH("AMGN US Equity","BS_ACCT_PAYABLE","FQ3 2020","FQ3 2020","Currency=USD","Period=FQ","BEST_FPERIOD_OVERRIDE=FQ","FILING_STATUS=MR","SCALING_FORMAT=MLN","Sort=A","Dates=H","DateFormat=P","Fill=—","Direction=H","UseDPDF=Y")</f>
        <v>1161</v>
      </c>
      <c r="K38" s="13">
        <f>_xll.BDH("AMGN US Equity","BS_ACCT_PAYABLE","FQ4 2020","FQ4 2020","Currency=USD","Period=FQ","BEST_FPERIOD_OVERRIDE=FQ","FILING_STATUS=MR","SCALING_FORMAT=MLN","Sort=A","Dates=H","DateFormat=P","Fill=—","Direction=H","UseDPDF=Y")</f>
        <v>1421</v>
      </c>
      <c r="L38" s="13">
        <f>_xll.BDH("AMGN US Equity","BS_ACCT_PAYABLE","FQ1 2021","FQ1 2021","Currency=USD","Period=FQ","BEST_FPERIOD_OVERRIDE=FQ","FILING_STATUS=MR","SCALING_FORMAT=MLN","Sort=A","Dates=H","DateFormat=P","Fill=—","Direction=H","UseDPDF=Y")</f>
        <v>1396</v>
      </c>
      <c r="M38" s="13">
        <f>_xll.BDH("AMGN US Equity","BS_ACCT_PAYABLE","FQ2 2021","FQ2 2021","Currency=USD","Period=FQ","BEST_FPERIOD_OVERRIDE=FQ","FILING_STATUS=MR","SCALING_FORMAT=MLN","Sort=A","Dates=H","DateFormat=P","Fill=—","Direction=H","UseDPDF=Y")</f>
        <v>1277</v>
      </c>
      <c r="N38" s="13">
        <f>_xll.BDH("AMGN US Equity","BS_ACCT_PAYABLE","FQ3 2021","FQ3 2021","Currency=USD","Period=FQ","BEST_FPERIOD_OVERRIDE=FQ","FILING_STATUS=MR","SCALING_FORMAT=MLN","Sort=A","Dates=H","DateFormat=P","Fill=—","Direction=H","UseDPDF=Y")</f>
        <v>1171</v>
      </c>
      <c r="O38" s="13">
        <f>_xll.BDH("AMGN US Equity","BS_ACCT_PAYABLE","FQ4 2021","FQ4 2021","Currency=USD","Period=FQ","BEST_FPERIOD_OVERRIDE=FQ","FILING_STATUS=MR","SCALING_FORMAT=MLN","Sort=A","Dates=H","DateFormat=P","Fill=—","Direction=H","UseDPDF=Y")</f>
        <v>1366</v>
      </c>
      <c r="P38" s="13">
        <f>_xll.BDH("AMGN US Equity","BS_ACCT_PAYABLE","FQ1 2022","FQ1 2022","Currency=USD","Period=FQ","BEST_FPERIOD_OVERRIDE=FQ","FILING_STATUS=MR","SCALING_FORMAT=MLN","Sort=A","Dates=H","DateFormat=P","Fill=—","Direction=H","UseDPDF=Y")</f>
        <v>1403</v>
      </c>
      <c r="Q38" s="13">
        <f>_xll.BDH("AMGN US Equity","BS_ACCT_PAYABLE","FQ2 2022","FQ2 2022","Currency=USD","Period=FQ","BEST_FPERIOD_OVERRIDE=FQ","FILING_STATUS=MR","SCALING_FORMAT=MLN","Sort=A","Dates=H","DateFormat=P","Fill=—","Direction=H","UseDPDF=Y")</f>
        <v>1256</v>
      </c>
      <c r="R38" s="13">
        <f>_xll.BDH("AMGN US Equity","BS_ACCT_PAYABLE","FQ3 2022","FQ3 2022","Currency=USD","Period=FQ","BEST_FPERIOD_OVERRIDE=FQ","FILING_STATUS=MR","SCALING_FORMAT=MLN","Sort=A","Dates=H","DateFormat=P","Fill=—","Direction=H","UseDPDF=Y")</f>
        <v>1204</v>
      </c>
      <c r="S38" s="13">
        <f>_xll.BDH("AMGN US Equity","BS_ACCT_PAYABLE","FQ4 2022","FQ4 2022","Currency=USD","Period=FQ","BEST_FPERIOD_OVERRIDE=FQ","FILING_STATUS=MR","SCALING_FORMAT=MLN","Sort=A","Dates=H","DateFormat=P","Fill=—","Direction=H","UseDPDF=Y")</f>
        <v>1572</v>
      </c>
      <c r="T38" s="13">
        <f>_xll.BDH("AMGN US Equity","BS_ACCT_PAYABLE","FQ1 2023","FQ1 2023","Currency=USD","Period=FQ","BEST_FPERIOD_OVERRIDE=FQ","FILING_STATUS=MR","SCALING_FORMAT=MLN","Sort=A","Dates=H","DateFormat=P","Fill=—","Direction=H","UseDPDF=Y")</f>
        <v>1320</v>
      </c>
      <c r="U38" s="13">
        <f>_xll.BDH("AMGN US Equity","BS_ACCT_PAYABLE","FQ2 2023","FQ2 2023","Currency=USD","Period=FQ","BEST_FPERIOD_OVERRIDE=FQ","FILING_STATUS=MR","SCALING_FORMAT=MLN","Sort=A","Dates=H","DateFormat=P","Fill=—","Direction=H","UseDPDF=Y")</f>
        <v>1212</v>
      </c>
      <c r="V38" s="13">
        <f>_xll.BDH("AMGN US Equity","BS_ACCT_PAYABLE","FQ3 2023","FQ3 2023","Currency=USD","Period=FQ","BEST_FPERIOD_OVERRIDE=FQ","FILING_STATUS=MR","SCALING_FORMAT=MLN","Sort=A","Dates=H","DateFormat=P","Fill=—","Direction=H","UseDPDF=Y")</f>
        <v>1358</v>
      </c>
      <c r="W38" s="13">
        <f>_xll.BDH("AMGN US Equity","BS_ACCT_PAYABLE","FQ4 2023","FQ4 2023","Currency=USD","Period=FQ","BEST_FPERIOD_OVERRIDE=FQ","FILING_STATUS=MR","SCALING_FORMAT=MLN","Sort=A","Dates=H","DateFormat=P","Fill=—","Direction=H","UseDPDF=Y")</f>
        <v>1590</v>
      </c>
      <c r="X38" s="13">
        <f>_xll.BDH("AMGN US Equity","BS_ACCT_PAYABLE","FQ1 2024","FQ1 2024","Currency=USD","Period=FQ","BEST_FPERIOD_OVERRIDE=FQ","FILING_STATUS=MR","SCALING_FORMAT=MLN","Sort=A","Dates=H","DateFormat=P","Fill=—","Direction=H","UseDPDF=Y")</f>
        <v>1628</v>
      </c>
      <c r="Y38" s="13">
        <f>_xll.BDH("AMGN US Equity","BS_ACCT_PAYABLE","FQ2 2024","FQ2 2024","Currency=USD","Period=FQ","BEST_FPERIOD_OVERRIDE=FQ","FILING_STATUS=MR","SCALING_FORMAT=MLN","Sort=A","Dates=H","DateFormat=P","Fill=—","Direction=H","UseDPDF=Y")</f>
        <v>2267</v>
      </c>
      <c r="Z38" s="13">
        <f>_xll.BDH("AMGN US Equity","BS_ACCT_PAYABLE","FQ3 2024","FQ3 2024","Currency=USD","Period=FQ","BEST_FPERIOD_OVERRIDE=FQ","FILING_STATUS=MR","SCALING_FORMAT=MLN","Sort=A","Dates=H","DateFormat=P","Fill=—","Direction=H","UseDPDF=Y")</f>
        <v>2147</v>
      </c>
      <c r="AA38" s="13">
        <f>_xll.BDH("AMGN US Equity","BS_ACCT_PAYABLE","FQ4 2024","FQ4 2024","Currency=USD","Period=FQ","BEST_FPERIOD_OVERRIDE=FQ","FILING_STATUS=MR","SCALING_FORMAT=MLN","Sort=A","Dates=H","DateFormat=P","Fill=—","Direction=H","UseDPDF=Y")</f>
        <v>1908</v>
      </c>
    </row>
    <row r="39" spans="1:27" x14ac:dyDescent="0.25">
      <c r="A39" s="10" t="s">
        <v>759</v>
      </c>
      <c r="B39" s="10" t="s">
        <v>760</v>
      </c>
      <c r="C39" s="13">
        <f>_xll.BDH("AMGN US Equity","INTEREST_DIVIDENDS_PAYABLE","FQ4 2018","FQ4 2018","Currency=USD","Period=FQ","BEST_FPERIOD_OVERRIDE=FQ","FILING_STATUS=MR","SCALING_FORMAT=MLN","Sort=A","Dates=H","DateFormat=P","Fill=—","Direction=H","UseDPDF=Y")</f>
        <v>914</v>
      </c>
      <c r="D39" s="13" t="str">
        <f>_xll.BDH("AMGN US Equity","INTEREST_DIVIDENDS_PAYABLE","FQ1 2019","FQ1 2019","Currency=USD","Period=FQ","BEST_FPERIOD_OVERRIDE=FQ","FILING_STATUS=MR","SCALING_FORMAT=MLN","Sort=A","Dates=H","DateFormat=P","Fill=—","Direction=H","UseDPDF=Y")</f>
        <v>—</v>
      </c>
      <c r="E39" s="13" t="str">
        <f>_xll.BDH("AMGN US Equity","INTEREST_DIVIDENDS_PAYABLE","FQ2 2019","FQ2 2019","Currency=USD","Period=FQ","BEST_FPERIOD_OVERRIDE=FQ","FILING_STATUS=MR","SCALING_FORMAT=MLN","Sort=A","Dates=H","DateFormat=P","Fill=—","Direction=H","UseDPDF=Y")</f>
        <v>—</v>
      </c>
      <c r="F39" s="13" t="str">
        <f>_xll.BDH("AMGN US Equity","INTEREST_DIVIDENDS_PAYABLE","FQ3 2019","FQ3 2019","Currency=USD","Period=FQ","BEST_FPERIOD_OVERRIDE=FQ","FILING_STATUS=MR","SCALING_FORMAT=MLN","Sort=A","Dates=H","DateFormat=P","Fill=—","Direction=H","UseDPDF=Y")</f>
        <v>—</v>
      </c>
      <c r="G39" s="13">
        <f>_xll.BDH("AMGN US Equity","INTEREST_DIVIDENDS_PAYABLE","FQ4 2019","FQ4 2019","Currency=USD","Period=FQ","BEST_FPERIOD_OVERRIDE=FQ","FILING_STATUS=MR","SCALING_FORMAT=MLN","Sort=A","Dates=H","DateFormat=P","Fill=—","Direction=H","UseDPDF=Y")</f>
        <v>946</v>
      </c>
      <c r="H39" s="13" t="str">
        <f>_xll.BDH("AMGN US Equity","INTEREST_DIVIDENDS_PAYABLE","FQ1 2020","FQ1 2020","Currency=USD","Period=FQ","BEST_FPERIOD_OVERRIDE=FQ","FILING_STATUS=MR","SCALING_FORMAT=MLN","Sort=A","Dates=H","DateFormat=P","Fill=—","Direction=H","UseDPDF=Y")</f>
        <v>—</v>
      </c>
      <c r="I39" s="13" t="str">
        <f>_xll.BDH("AMGN US Equity","INTEREST_DIVIDENDS_PAYABLE","FQ2 2020","FQ2 2020","Currency=USD","Period=FQ","BEST_FPERIOD_OVERRIDE=FQ","FILING_STATUS=MR","SCALING_FORMAT=MLN","Sort=A","Dates=H","DateFormat=P","Fill=—","Direction=H","UseDPDF=Y")</f>
        <v>—</v>
      </c>
      <c r="J39" s="13" t="str">
        <f>_xll.BDH("AMGN US Equity","INTEREST_DIVIDENDS_PAYABLE","FQ3 2020","FQ3 2020","Currency=USD","Period=FQ","BEST_FPERIOD_OVERRIDE=FQ","FILING_STATUS=MR","SCALING_FORMAT=MLN","Sort=A","Dates=H","DateFormat=P","Fill=—","Direction=H","UseDPDF=Y")</f>
        <v>—</v>
      </c>
      <c r="K39" s="13">
        <f>_xll.BDH("AMGN US Equity","INTEREST_DIVIDENDS_PAYABLE","FQ4 2020","FQ4 2020","Currency=USD","Period=FQ","BEST_FPERIOD_OVERRIDE=FQ","FILING_STATUS=MR","SCALING_FORMAT=MLN","Sort=A","Dates=H","DateFormat=P","Fill=—","Direction=H","UseDPDF=Y")</f>
        <v>1018</v>
      </c>
      <c r="L39" s="13" t="str">
        <f>_xll.BDH("AMGN US Equity","INTEREST_DIVIDENDS_PAYABLE","FQ1 2021","FQ1 2021","Currency=USD","Period=FQ","BEST_FPERIOD_OVERRIDE=FQ","FILING_STATUS=MR","SCALING_FORMAT=MLN","Sort=A","Dates=H","DateFormat=P","Fill=—","Direction=H","UseDPDF=Y")</f>
        <v>—</v>
      </c>
      <c r="M39" s="13" t="str">
        <f>_xll.BDH("AMGN US Equity","INTEREST_DIVIDENDS_PAYABLE","FQ2 2021","FQ2 2021","Currency=USD","Period=FQ","BEST_FPERIOD_OVERRIDE=FQ","FILING_STATUS=MR","SCALING_FORMAT=MLN","Sort=A","Dates=H","DateFormat=P","Fill=—","Direction=H","UseDPDF=Y")</f>
        <v>—</v>
      </c>
      <c r="N39" s="13" t="str">
        <f>_xll.BDH("AMGN US Equity","INTEREST_DIVIDENDS_PAYABLE","FQ3 2021","FQ3 2021","Currency=USD","Period=FQ","BEST_FPERIOD_OVERRIDE=FQ","FILING_STATUS=MR","SCALING_FORMAT=MLN","Sort=A","Dates=H","DateFormat=P","Fill=—","Direction=H","UseDPDF=Y")</f>
        <v>—</v>
      </c>
      <c r="O39" s="13">
        <f>_xll.BDH("AMGN US Equity","INTEREST_DIVIDENDS_PAYABLE","FQ4 2021","FQ4 2021","Currency=USD","Period=FQ","BEST_FPERIOD_OVERRIDE=FQ","FILING_STATUS=MR","SCALING_FORMAT=MLN","Sort=A","Dates=H","DateFormat=P","Fill=—","Direction=H","UseDPDF=Y")</f>
        <v>1083</v>
      </c>
      <c r="P39" s="13" t="str">
        <f>_xll.BDH("AMGN US Equity","INTEREST_DIVIDENDS_PAYABLE","FQ1 2022","FQ1 2022","Currency=USD","Period=FQ","BEST_FPERIOD_OVERRIDE=FQ","FILING_STATUS=MR","SCALING_FORMAT=MLN","Sort=A","Dates=H","DateFormat=P","Fill=—","Direction=H","UseDPDF=Y")</f>
        <v>—</v>
      </c>
      <c r="Q39" s="13" t="str">
        <f>_xll.BDH("AMGN US Equity","INTEREST_DIVIDENDS_PAYABLE","FQ2 2022","FQ2 2022","Currency=USD","Period=FQ","BEST_FPERIOD_OVERRIDE=FQ","FILING_STATUS=MR","SCALING_FORMAT=MLN","Sort=A","Dates=H","DateFormat=P","Fill=—","Direction=H","UseDPDF=Y")</f>
        <v>—</v>
      </c>
      <c r="R39" s="13" t="str">
        <f>_xll.BDH("AMGN US Equity","INTEREST_DIVIDENDS_PAYABLE","FQ3 2022","FQ3 2022","Currency=USD","Period=FQ","BEST_FPERIOD_OVERRIDE=FQ","FILING_STATUS=MR","SCALING_FORMAT=MLN","Sort=A","Dates=H","DateFormat=P","Fill=—","Direction=H","UseDPDF=Y")</f>
        <v>—</v>
      </c>
      <c r="S39" s="13">
        <f>_xll.BDH("AMGN US Equity","INTEREST_DIVIDENDS_PAYABLE","FQ4 2022","FQ4 2022","Currency=USD","Period=FQ","BEST_FPERIOD_OVERRIDE=FQ","FILING_STATUS=MR","SCALING_FORMAT=MLN","Sort=A","Dates=H","DateFormat=P","Fill=—","Direction=H","UseDPDF=Y")</f>
        <v>1137</v>
      </c>
      <c r="T39" s="13" t="str">
        <f>_xll.BDH("AMGN US Equity","INTEREST_DIVIDENDS_PAYABLE","FQ1 2023","FQ1 2023","Currency=USD","Period=FQ","BEST_FPERIOD_OVERRIDE=FQ","FILING_STATUS=MR","SCALING_FORMAT=MLN","Sort=A","Dates=H","DateFormat=P","Fill=—","Direction=H","UseDPDF=Y")</f>
        <v>—</v>
      </c>
      <c r="U39" s="13" t="str">
        <f>_xll.BDH("AMGN US Equity","INTEREST_DIVIDENDS_PAYABLE","FQ2 2023","FQ2 2023","Currency=USD","Period=FQ","BEST_FPERIOD_OVERRIDE=FQ","FILING_STATUS=MR","SCALING_FORMAT=MLN","Sort=A","Dates=H","DateFormat=P","Fill=—","Direction=H","UseDPDF=Y")</f>
        <v>—</v>
      </c>
      <c r="V39" s="13" t="str">
        <f>_xll.BDH("AMGN US Equity","INTEREST_DIVIDENDS_PAYABLE","FQ3 2023","FQ3 2023","Currency=USD","Period=FQ","BEST_FPERIOD_OVERRIDE=FQ","FILING_STATUS=MR","SCALING_FORMAT=MLN","Sort=A","Dates=H","DateFormat=P","Fill=—","Direction=H","UseDPDF=Y")</f>
        <v>—</v>
      </c>
      <c r="W39" s="13">
        <f>_xll.BDH("AMGN US Equity","INTEREST_DIVIDENDS_PAYABLE","FQ4 2023","FQ4 2023","Currency=USD","Period=FQ","BEST_FPERIOD_OVERRIDE=FQ","FILING_STATUS=MR","SCALING_FORMAT=MLN","Sort=A","Dates=H","DateFormat=P","Fill=—","Direction=H","UseDPDF=Y")</f>
        <v>1205</v>
      </c>
      <c r="X39" s="13" t="str">
        <f>_xll.BDH("AMGN US Equity","INTEREST_DIVIDENDS_PAYABLE","FQ1 2024","FQ1 2024","Currency=USD","Period=FQ","BEST_FPERIOD_OVERRIDE=FQ","FILING_STATUS=MR","SCALING_FORMAT=MLN","Sort=A","Dates=H","DateFormat=P","Fill=—","Direction=H","UseDPDF=Y")</f>
        <v>—</v>
      </c>
      <c r="Y39" s="13" t="str">
        <f>_xll.BDH("AMGN US Equity","INTEREST_DIVIDENDS_PAYABLE","FQ2 2024","FQ2 2024","Currency=USD","Period=FQ","BEST_FPERIOD_OVERRIDE=FQ","FILING_STATUS=MR","SCALING_FORMAT=MLN","Sort=A","Dates=H","DateFormat=P","Fill=—","Direction=H","UseDPDF=Y")</f>
        <v>—</v>
      </c>
      <c r="Z39" s="13" t="str">
        <f>_xll.BDH("AMGN US Equity","INTEREST_DIVIDENDS_PAYABLE","FQ3 2024","FQ3 2024","Currency=USD","Period=FQ","BEST_FPERIOD_OVERRIDE=FQ","FILING_STATUS=MR","SCALING_FORMAT=MLN","Sort=A","Dates=H","DateFormat=P","Fill=—","Direction=H","UseDPDF=Y")</f>
        <v>—</v>
      </c>
      <c r="AA39" s="13">
        <f>_xll.BDH("AMGN US Equity","INTEREST_DIVIDENDS_PAYABLE","FQ4 2024","FQ4 2024","Currency=USD","Period=FQ","BEST_FPERIOD_OVERRIDE=FQ","FILING_STATUS=MR","SCALING_FORMAT=MLN","Sort=A","Dates=H","DateFormat=P","Fill=—","Direction=H","UseDPDF=Y")</f>
        <v>1278</v>
      </c>
    </row>
    <row r="40" spans="1:27" x14ac:dyDescent="0.25">
      <c r="A40" s="10" t="s">
        <v>761</v>
      </c>
      <c r="B40" s="10" t="s">
        <v>762</v>
      </c>
      <c r="C40" s="13">
        <f>_xll.BDH("AMGN US Equity","BS_ACCRUAL","FQ4 2018","FQ4 2018","Currency=USD","Period=FQ","BEST_FPERIOD_OVERRIDE=FQ","FILING_STATUS=MR","SCALING_FORMAT=MLN","Sort=A","Dates=H","DateFormat=P","Fill=—","Direction=H","UseDPDF=Y")</f>
        <v>6948</v>
      </c>
      <c r="D40" s="13">
        <f>_xll.BDH("AMGN US Equity","BS_ACCRUAL","FQ1 2019","FQ1 2019","Currency=USD","Period=FQ","BEST_FPERIOD_OVERRIDE=FQ","FILING_STATUS=MR","SCALING_FORMAT=MLN","Sort=A","Dates=H","DateFormat=P","Fill=—","Direction=H","UseDPDF=Y")</f>
        <v>7670</v>
      </c>
      <c r="E40" s="13">
        <f>_xll.BDH("AMGN US Equity","BS_ACCRUAL","FQ2 2019","FQ2 2019","Currency=USD","Period=FQ","BEST_FPERIOD_OVERRIDE=FQ","FILING_STATUS=MR","SCALING_FORMAT=MLN","Sort=A","Dates=H","DateFormat=P","Fill=—","Direction=H","UseDPDF=Y")</f>
        <v>6537</v>
      </c>
      <c r="F40" s="13">
        <f>_xll.BDH("AMGN US Equity","BS_ACCRUAL","FQ3 2019","FQ3 2019","Currency=USD","Period=FQ","BEST_FPERIOD_OVERRIDE=FQ","FILING_STATUS=MR","SCALING_FORMAT=MLN","Sort=A","Dates=H","DateFormat=P","Fill=—","Direction=H","UseDPDF=Y")</f>
        <v>7413</v>
      </c>
      <c r="G40" s="13">
        <f>_xll.BDH("AMGN US Equity","BS_ACCRUAL","FQ4 2019","FQ4 2019","Currency=USD","Period=FQ","BEST_FPERIOD_OVERRIDE=FQ","FILING_STATUS=MR","SCALING_FORMAT=MLN","Sort=A","Dates=H","DateFormat=P","Fill=—","Direction=H","UseDPDF=Y")</f>
        <v>3545</v>
      </c>
      <c r="H40" s="13">
        <f>_xll.BDH("AMGN US Equity","BS_ACCRUAL","FQ1 2020","FQ1 2020","Currency=USD","Period=FQ","BEST_FPERIOD_OVERRIDE=FQ","FILING_STATUS=MR","SCALING_FORMAT=MLN","Sort=A","Dates=H","DateFormat=P","Fill=—","Direction=H","UseDPDF=Y")</f>
        <v>8649</v>
      </c>
      <c r="I40" s="13">
        <f>_xll.BDH("AMGN US Equity","BS_ACCRUAL","FQ2 2020","FQ2 2020","Currency=USD","Period=FQ","BEST_FPERIOD_OVERRIDE=FQ","FILING_STATUS=MR","SCALING_FORMAT=MLN","Sort=A","Dates=H","DateFormat=P","Fill=—","Direction=H","UseDPDF=Y")</f>
        <v>9282</v>
      </c>
      <c r="J40" s="13">
        <f>_xll.BDH("AMGN US Equity","BS_ACCRUAL","FQ3 2020","FQ3 2020","Currency=USD","Period=FQ","BEST_FPERIOD_OVERRIDE=FQ","FILING_STATUS=MR","SCALING_FORMAT=MLN","Sort=A","Dates=H","DateFormat=P","Fill=—","Direction=H","UseDPDF=Y")</f>
        <v>8701</v>
      </c>
      <c r="K40" s="13">
        <f>_xll.BDH("AMGN US Equity","BS_ACCRUAL","FQ4 2020","FQ4 2020","Currency=USD","Period=FQ","BEST_FPERIOD_OVERRIDE=FQ","FILING_STATUS=MR","SCALING_FORMAT=MLN","Sort=A","Dates=H","DateFormat=P","Fill=—","Direction=H","UseDPDF=Y")</f>
        <v>4169</v>
      </c>
      <c r="L40" s="13">
        <f>_xll.BDH("AMGN US Equity","BS_ACCRUAL","FQ1 2021","FQ1 2021","Currency=USD","Period=FQ","BEST_FPERIOD_OVERRIDE=FQ","FILING_STATUS=MR","SCALING_FORMAT=MLN","Sort=A","Dates=H","DateFormat=P","Fill=—","Direction=H","UseDPDF=Y")</f>
        <v>9917</v>
      </c>
      <c r="M40" s="13">
        <f>_xll.BDH("AMGN US Equity","BS_ACCRUAL","FQ2 2021","FQ2 2021","Currency=USD","Period=FQ","BEST_FPERIOD_OVERRIDE=FQ","FILING_STATUS=MR","SCALING_FORMAT=MLN","Sort=A","Dates=H","DateFormat=P","Fill=—","Direction=H","UseDPDF=Y")</f>
        <v>8984</v>
      </c>
      <c r="N40" s="13">
        <f>_xll.BDH("AMGN US Equity","BS_ACCRUAL","FQ3 2021","FQ3 2021","Currency=USD","Period=FQ","BEST_FPERIOD_OVERRIDE=FQ","FILING_STATUS=MR","SCALING_FORMAT=MLN","Sort=A","Dates=H","DateFormat=P","Fill=—","Direction=H","UseDPDF=Y")</f>
        <v>9383</v>
      </c>
      <c r="O40" s="13">
        <f>_xll.BDH("AMGN US Equity","BS_ACCRUAL","FQ4 2021","FQ4 2021","Currency=USD","Period=FQ","BEST_FPERIOD_OVERRIDE=FQ","FILING_STATUS=MR","SCALING_FORMAT=MLN","Sort=A","Dates=H","DateFormat=P","Fill=—","Direction=H","UseDPDF=Y")</f>
        <v>4329</v>
      </c>
      <c r="P40" s="13">
        <f>_xll.BDH("AMGN US Equity","BS_ACCRUAL","FQ1 2022","FQ1 2022","Currency=USD","Period=FQ","BEST_FPERIOD_OVERRIDE=FQ","FILING_STATUS=MR","SCALING_FORMAT=MLN","Sort=A","Dates=H","DateFormat=P","Fill=—","Direction=H","UseDPDF=Y")</f>
        <v>10639</v>
      </c>
      <c r="Q40" s="13">
        <f>_xll.BDH("AMGN US Equity","BS_ACCRUAL","FQ2 2022","FQ2 2022","Currency=USD","Period=FQ","BEST_FPERIOD_OVERRIDE=FQ","FILING_STATUS=MR","SCALING_FORMAT=MLN","Sort=A","Dates=H","DateFormat=P","Fill=—","Direction=H","UseDPDF=Y")</f>
        <v>10545</v>
      </c>
      <c r="R40" s="13">
        <f>_xll.BDH("AMGN US Equity","BS_ACCRUAL","FQ3 2022","FQ3 2022","Currency=USD","Period=FQ","BEST_FPERIOD_OVERRIDE=FQ","FILING_STATUS=MR","SCALING_FORMAT=MLN","Sort=A","Dates=H","DateFormat=P","Fill=—","Direction=H","UseDPDF=Y")</f>
        <v>11584</v>
      </c>
      <c r="S40" s="13">
        <f>_xll.BDH("AMGN US Equity","BS_ACCRUAL","FQ4 2022","FQ4 2022","Currency=USD","Period=FQ","BEST_FPERIOD_OVERRIDE=FQ","FILING_STATUS=MR","SCALING_FORMAT=MLN","Sort=A","Dates=H","DateFormat=P","Fill=—","Direction=H","UseDPDF=Y")</f>
        <v>5245</v>
      </c>
      <c r="T40" s="13">
        <f>_xll.BDH("AMGN US Equity","BS_ACCRUAL","FQ1 2023","FQ1 2023","Currency=USD","Period=FQ","BEST_FPERIOD_OVERRIDE=FQ","FILING_STATUS=MR","SCALING_FORMAT=MLN","Sort=A","Dates=H","DateFormat=P","Fill=—","Direction=H","UseDPDF=Y")</f>
        <v>12061</v>
      </c>
      <c r="U40" s="13">
        <f>_xll.BDH("AMGN US Equity","BS_ACCRUAL","FQ2 2023","FQ2 2023","Currency=USD","Period=FQ","BEST_FPERIOD_OVERRIDE=FQ","FILING_STATUS=MR","SCALING_FORMAT=MLN","Sort=A","Dates=H","DateFormat=P","Fill=—","Direction=H","UseDPDF=Y")</f>
        <v>13718</v>
      </c>
      <c r="V40" s="13">
        <f>_xll.BDH("AMGN US Equity","BS_ACCRUAL","FQ3 2023","FQ3 2023","Currency=USD","Period=FQ","BEST_FPERIOD_OVERRIDE=FQ","FILING_STATUS=MR","SCALING_FORMAT=MLN","Sort=A","Dates=H","DateFormat=P","Fill=—","Direction=H","UseDPDF=Y")</f>
        <v>14168</v>
      </c>
      <c r="W40" s="13">
        <f>_xll.BDH("AMGN US Equity","BS_ACCRUAL","FQ4 2023","FQ4 2023","Currency=USD","Period=FQ","BEST_FPERIOD_OVERRIDE=FQ","FILING_STATUS=MR","SCALING_FORMAT=MLN","Sort=A","Dates=H","DateFormat=P","Fill=—","Direction=H","UseDPDF=Y")</f>
        <v>6764</v>
      </c>
      <c r="X40" s="13">
        <f>_xll.BDH("AMGN US Equity","BS_ACCRUAL","FQ1 2024","FQ1 2024","Currency=USD","Period=FQ","BEST_FPERIOD_OVERRIDE=FQ","FILING_STATUS=MR","SCALING_FORMAT=MLN","Sort=A","Dates=H","DateFormat=P","Fill=—","Direction=H","UseDPDF=Y")</f>
        <v>14127</v>
      </c>
      <c r="Y40" s="13">
        <f>_xll.BDH("AMGN US Equity","BS_ACCRUAL","FQ2 2024","FQ2 2024","Currency=USD","Period=FQ","BEST_FPERIOD_OVERRIDE=FQ","FILING_STATUS=MR","SCALING_FORMAT=MLN","Sort=A","Dates=H","DateFormat=P","Fill=—","Direction=H","UseDPDF=Y")</f>
        <v>13722</v>
      </c>
      <c r="Z40" s="13">
        <f>_xll.BDH("AMGN US Equity","BS_ACCRUAL","FQ3 2024","FQ3 2024","Currency=USD","Period=FQ","BEST_FPERIOD_OVERRIDE=FQ","FILING_STATUS=MR","SCALING_FORMAT=MLN","Sort=A","Dates=H","DateFormat=P","Fill=—","Direction=H","UseDPDF=Y")</f>
        <v>14621</v>
      </c>
      <c r="AA40" s="13">
        <f>_xll.BDH("AMGN US Equity","BS_ACCRUAL","FQ4 2024","FQ4 2024","Currency=USD","Period=FQ","BEST_FPERIOD_OVERRIDE=FQ","FILING_STATUS=MR","SCALING_FORMAT=MLN","Sort=A","Dates=H","DateFormat=P","Fill=—","Direction=H","UseDPDF=Y")</f>
        <v>7851</v>
      </c>
    </row>
    <row r="41" spans="1:27" x14ac:dyDescent="0.25">
      <c r="A41" s="10" t="s">
        <v>763</v>
      </c>
      <c r="B41" s="10" t="s">
        <v>764</v>
      </c>
      <c r="C41" s="13">
        <f>_xll.BDH("AMGN US Equity","BS_ST_BORROW","FQ4 2018","FQ4 2018","Currency=USD","Period=FQ","BEST_FPERIOD_OVERRIDE=FQ","FILING_STATUS=MR","SCALING_FORMAT=MLN","Sort=A","Dates=H","DateFormat=P","Fill=—","Direction=H","UseDPDF=Y")</f>
        <v>4419</v>
      </c>
      <c r="D41" s="13">
        <f>_xll.BDH("AMGN US Equity","BS_ST_BORROW","FQ1 2019","FQ1 2019","Currency=USD","Period=FQ","BEST_FPERIOD_OVERRIDE=FQ","FILING_STATUS=MR","SCALING_FORMAT=MLN","Sort=A","Dates=H","DateFormat=P","Fill=—","Direction=H","UseDPDF=Y")</f>
        <v>3825</v>
      </c>
      <c r="E41" s="13">
        <f>_xll.BDH("AMGN US Equity","BS_ST_BORROW","FQ2 2019","FQ2 2019","Currency=USD","Period=FQ","BEST_FPERIOD_OVERRIDE=FQ","FILING_STATUS=MR","SCALING_FORMAT=MLN","Sort=A","Dates=H","DateFormat=P","Fill=—","Direction=H","UseDPDF=Y")</f>
        <v>2950</v>
      </c>
      <c r="F41" s="13">
        <f>_xll.BDH("AMGN US Equity","BS_ST_BORROW","FQ3 2019","FQ3 2019","Currency=USD","Period=FQ","BEST_FPERIOD_OVERRIDE=FQ","FILING_STATUS=MR","SCALING_FORMAT=MLN","Sort=A","Dates=H","DateFormat=P","Fill=—","Direction=H","UseDPDF=Y")</f>
        <v>2184</v>
      </c>
      <c r="G41" s="13">
        <f>_xll.BDH("AMGN US Equity","BS_ST_BORROW","FQ4 2019","FQ4 2019","Currency=USD","Period=FQ","BEST_FPERIOD_OVERRIDE=FQ","FILING_STATUS=MR","SCALING_FORMAT=MLN","Sort=A","Dates=H","DateFormat=P","Fill=—","Direction=H","UseDPDF=Y")</f>
        <v>3093</v>
      </c>
      <c r="H41" s="13">
        <f>_xll.BDH("AMGN US Equity","BS_ST_BORROW","FQ1 2020","FQ1 2020","Currency=USD","Period=FQ","BEST_FPERIOD_OVERRIDE=FQ","FILING_STATUS=MR","SCALING_FORMAT=MLN","Sort=A","Dates=H","DateFormat=P","Fill=—","Direction=H","UseDPDF=Y")</f>
        <v>1840</v>
      </c>
      <c r="I41" s="13">
        <f>_xll.BDH("AMGN US Equity","BS_ST_BORROW","FQ2 2020","FQ2 2020","Currency=USD","Period=FQ","BEST_FPERIOD_OVERRIDE=FQ","FILING_STATUS=MR","SCALING_FORMAT=MLN","Sort=A","Dates=H","DateFormat=P","Fill=—","Direction=H","UseDPDF=Y")</f>
        <v>91</v>
      </c>
      <c r="J41" s="13">
        <f>_xll.BDH("AMGN US Equity","BS_ST_BORROW","FQ3 2020","FQ3 2020","Currency=USD","Period=FQ","BEST_FPERIOD_OVERRIDE=FQ","FILING_STATUS=MR","SCALING_FORMAT=MLN","Sort=A","Dates=H","DateFormat=P","Fill=—","Direction=H","UseDPDF=Y")</f>
        <v>91</v>
      </c>
      <c r="K41" s="13">
        <f>_xll.BDH("AMGN US Equity","BS_ST_BORROW","FQ4 2020","FQ4 2020","Currency=USD","Period=FQ","BEST_FPERIOD_OVERRIDE=FQ","FILING_STATUS=MR","SCALING_FORMAT=MLN","Sort=A","Dates=H","DateFormat=P","Fill=—","Direction=H","UseDPDF=Y")</f>
        <v>244</v>
      </c>
      <c r="L41" s="13">
        <f>_xll.BDH("AMGN US Equity","BS_ST_BORROW","FQ1 2021","FQ1 2021","Currency=USD","Period=FQ","BEST_FPERIOD_OVERRIDE=FQ","FILING_STATUS=MR","SCALING_FORMAT=MLN","Sort=A","Dates=H","DateFormat=P","Fill=—","Direction=H","UseDPDF=Y")</f>
        <v>1556</v>
      </c>
      <c r="M41" s="13">
        <f>_xll.BDH("AMGN US Equity","BS_ST_BORROW","FQ2 2021","FQ2 2021","Currency=USD","Period=FQ","BEST_FPERIOD_OVERRIDE=FQ","FILING_STATUS=MR","SCALING_FORMAT=MLN","Sort=A","Dates=H","DateFormat=P","Fill=—","Direction=H","UseDPDF=Y")</f>
        <v>4324</v>
      </c>
      <c r="N41" s="13">
        <f>_xll.BDH("AMGN US Equity","BS_ST_BORROW","FQ3 2021","FQ3 2021","Currency=USD","Period=FQ","BEST_FPERIOD_OVERRIDE=FQ","FILING_STATUS=MR","SCALING_FORMAT=MLN","Sort=A","Dates=H","DateFormat=P","Fill=—","Direction=H","UseDPDF=Y")</f>
        <v>4288</v>
      </c>
      <c r="O41" s="13">
        <f>_xll.BDH("AMGN US Equity","BS_ST_BORROW","FQ4 2021","FQ4 2021","Currency=USD","Period=FQ","BEST_FPERIOD_OVERRIDE=FQ","FILING_STATUS=MR","SCALING_FORMAT=MLN","Sort=A","Dates=H","DateFormat=P","Fill=—","Direction=H","UseDPDF=Y")</f>
        <v>232</v>
      </c>
      <c r="P41" s="13">
        <f>_xll.BDH("AMGN US Equity","BS_ST_BORROW","FQ1 2022","FQ1 2022","Currency=USD","Period=FQ","BEST_FPERIOD_OVERRIDE=FQ","FILING_STATUS=MR","SCALING_FORMAT=MLN","Sort=A","Dates=H","DateFormat=P","Fill=—","Direction=H","UseDPDF=Y")</f>
        <v>844</v>
      </c>
      <c r="Q41" s="13">
        <f>_xll.BDH("AMGN US Equity","BS_ST_BORROW","FQ2 2022","FQ2 2022","Currency=USD","Period=FQ","BEST_FPERIOD_OVERRIDE=FQ","FILING_STATUS=MR","SCALING_FORMAT=MLN","Sort=A","Dates=H","DateFormat=P","Fill=—","Direction=H","UseDPDF=Y")</f>
        <v>817</v>
      </c>
      <c r="R41" s="13">
        <f>_xll.BDH("AMGN US Equity","BS_ST_BORROW","FQ3 2022","FQ3 2022","Currency=USD","Period=FQ","BEST_FPERIOD_OVERRIDE=FQ","FILING_STATUS=MR","SCALING_FORMAT=MLN","Sort=A","Dates=H","DateFormat=P","Fill=—","Direction=H","UseDPDF=Y")</f>
        <v>1543</v>
      </c>
      <c r="S41" s="13">
        <f>_xll.BDH("AMGN US Equity","BS_ST_BORROW","FQ4 2022","FQ4 2022","Currency=USD","Period=FQ","BEST_FPERIOD_OVERRIDE=FQ","FILING_STATUS=MR","SCALING_FORMAT=MLN","Sort=A","Dates=H","DateFormat=P","Fill=—","Direction=H","UseDPDF=Y")</f>
        <v>1747</v>
      </c>
      <c r="T41" s="13">
        <f>_xll.BDH("AMGN US Equity","BS_ST_BORROW","FQ1 2023","FQ1 2023","Currency=USD","Period=FQ","BEST_FPERIOD_OVERRIDE=FQ","FILING_STATUS=MR","SCALING_FORMAT=MLN","Sort=A","Dates=H","DateFormat=P","Fill=—","Direction=H","UseDPDF=Y")</f>
        <v>834</v>
      </c>
      <c r="U41" s="13">
        <f>_xll.BDH("AMGN US Equity","BS_ST_BORROW","FQ2 2023","FQ2 2023","Currency=USD","Period=FQ","BEST_FPERIOD_OVERRIDE=FQ","FILING_STATUS=MR","SCALING_FORMAT=MLN","Sort=A","Dates=H","DateFormat=P","Fill=—","Direction=H","UseDPDF=Y")</f>
        <v>2167</v>
      </c>
      <c r="V41" s="13">
        <f>_xll.BDH("AMGN US Equity","BS_ST_BORROW","FQ3 2023","FQ3 2023","Currency=USD","Period=FQ","BEST_FPERIOD_OVERRIDE=FQ","FILING_STATUS=MR","SCALING_FORMAT=MLN","Sort=A","Dates=H","DateFormat=P","Fill=—","Direction=H","UseDPDF=Y")</f>
        <v>1428</v>
      </c>
      <c r="W41" s="13">
        <f>_xll.BDH("AMGN US Equity","BS_ST_BORROW","FQ4 2023","FQ4 2023","Currency=USD","Period=FQ","BEST_FPERIOD_OVERRIDE=FQ","FILING_STATUS=MR","SCALING_FORMAT=MLN","Sort=A","Dates=H","DateFormat=P","Fill=—","Direction=H","UseDPDF=Y")</f>
        <v>1562</v>
      </c>
      <c r="X41" s="13">
        <f>_xll.BDH("AMGN US Equity","BS_ST_BORROW","FQ1 2024","FQ1 2024","Currency=USD","Period=FQ","BEST_FPERIOD_OVERRIDE=FQ","FILING_STATUS=MR","SCALING_FORMAT=MLN","Sort=A","Dates=H","DateFormat=P","Fill=—","Direction=H","UseDPDF=Y")</f>
        <v>3959</v>
      </c>
      <c r="Y41" s="13">
        <f>_xll.BDH("AMGN US Equity","BS_ST_BORROW","FQ2 2024","FQ2 2024","Currency=USD","Period=FQ","BEST_FPERIOD_OVERRIDE=FQ","FILING_STATUS=MR","SCALING_FORMAT=MLN","Sort=A","Dates=H","DateFormat=P","Fill=—","Direction=H","UseDPDF=Y")</f>
        <v>5528</v>
      </c>
      <c r="Z41" s="13">
        <f>_xll.BDH("AMGN US Equity","BS_ST_BORROW","FQ3 2024","FQ3 2024","Currency=USD","Period=FQ","BEST_FPERIOD_OVERRIDE=FQ","FILING_STATUS=MR","SCALING_FORMAT=MLN","Sort=A","Dates=H","DateFormat=P","Fill=—","Direction=H","UseDPDF=Y")</f>
        <v>3544</v>
      </c>
      <c r="AA41" s="13">
        <f>_xll.BDH("AMGN US Equity","BS_ST_BORROW","FQ4 2024","FQ4 2024","Currency=USD","Period=FQ","BEST_FPERIOD_OVERRIDE=FQ","FILING_STATUS=MR","SCALING_FORMAT=MLN","Sort=A","Dates=H","DateFormat=P","Fill=—","Direction=H","UseDPDF=Y")</f>
        <v>3657</v>
      </c>
    </row>
    <row r="42" spans="1:27" x14ac:dyDescent="0.25">
      <c r="A42" s="10" t="s">
        <v>765</v>
      </c>
      <c r="B42" s="10" t="s">
        <v>766</v>
      </c>
      <c r="C42" s="13">
        <f>_xll.BDH("AMGN US Equity","SHORT_TERM_DEBT_DETAILED","FQ4 2018","FQ4 2018","Currency=USD","Period=FQ","BEST_FPERIOD_OVERRIDE=FQ","FILING_STATUS=MR","SCALING_FORMAT=MLN","Sort=A","Dates=H","DateFormat=P","Fill=—","Direction=H","UseDPDF=Y")</f>
        <v>0</v>
      </c>
      <c r="D42" s="13">
        <f>_xll.BDH("AMGN US Equity","SHORT_TERM_DEBT_DETAILED","FQ1 2019","FQ1 2019","Currency=USD","Period=FQ","BEST_FPERIOD_OVERRIDE=FQ","FILING_STATUS=MR","SCALING_FORMAT=MLN","Sort=A","Dates=H","DateFormat=P","Fill=—","Direction=H","UseDPDF=Y")</f>
        <v>0</v>
      </c>
      <c r="E42" s="13">
        <f>_xll.BDH("AMGN US Equity","SHORT_TERM_DEBT_DETAILED","FQ2 2019","FQ2 2019","Currency=USD","Period=FQ","BEST_FPERIOD_OVERRIDE=FQ","FILING_STATUS=MR","SCALING_FORMAT=MLN","Sort=A","Dates=H","DateFormat=P","Fill=—","Direction=H","UseDPDF=Y")</f>
        <v>0</v>
      </c>
      <c r="F42" s="13">
        <f>_xll.BDH("AMGN US Equity","SHORT_TERM_DEBT_DETAILED","FQ3 2019","FQ3 2019","Currency=USD","Period=FQ","BEST_FPERIOD_OVERRIDE=FQ","FILING_STATUS=MR","SCALING_FORMAT=MLN","Sort=A","Dates=H","DateFormat=P","Fill=—","Direction=H","UseDPDF=Y")</f>
        <v>0</v>
      </c>
      <c r="G42" s="13">
        <f>_xll.BDH("AMGN US Equity","SHORT_TERM_DEBT_DETAILED","FQ4 2019","FQ4 2019","Currency=USD","Period=FQ","BEST_FPERIOD_OVERRIDE=FQ","FILING_STATUS=MR","SCALING_FORMAT=MLN","Sort=A","Dates=H","DateFormat=P","Fill=—","Direction=H","UseDPDF=Y")</f>
        <v>0</v>
      </c>
      <c r="H42" s="13">
        <f>_xll.BDH("AMGN US Equity","SHORT_TERM_DEBT_DETAILED","FQ1 2020","FQ1 2020","Currency=USD","Period=FQ","BEST_FPERIOD_OVERRIDE=FQ","FILING_STATUS=MR","SCALING_FORMAT=MLN","Sort=A","Dates=H","DateFormat=P","Fill=—","Direction=H","UseDPDF=Y")</f>
        <v>0</v>
      </c>
      <c r="I42" s="13">
        <f>_xll.BDH("AMGN US Equity","SHORT_TERM_DEBT_DETAILED","FQ2 2020","FQ2 2020","Currency=USD","Period=FQ","BEST_FPERIOD_OVERRIDE=FQ","FILING_STATUS=MR","SCALING_FORMAT=MLN","Sort=A","Dates=H","DateFormat=P","Fill=—","Direction=H","UseDPDF=Y")</f>
        <v>0</v>
      </c>
      <c r="J42" s="13">
        <f>_xll.BDH("AMGN US Equity","SHORT_TERM_DEBT_DETAILED","FQ3 2020","FQ3 2020","Currency=USD","Period=FQ","BEST_FPERIOD_OVERRIDE=FQ","FILING_STATUS=MR","SCALING_FORMAT=MLN","Sort=A","Dates=H","DateFormat=P","Fill=—","Direction=H","UseDPDF=Y")</f>
        <v>0</v>
      </c>
      <c r="K42" s="13">
        <f>_xll.BDH("AMGN US Equity","SHORT_TERM_DEBT_DETAILED","FQ4 2020","FQ4 2020","Currency=USD","Period=FQ","BEST_FPERIOD_OVERRIDE=FQ","FILING_STATUS=MR","SCALING_FORMAT=MLN","Sort=A","Dates=H","DateFormat=P","Fill=—","Direction=H","UseDPDF=Y")</f>
        <v>0</v>
      </c>
      <c r="L42" s="13">
        <f>_xll.BDH("AMGN US Equity","SHORT_TERM_DEBT_DETAILED","FQ1 2021","FQ1 2021","Currency=USD","Period=FQ","BEST_FPERIOD_OVERRIDE=FQ","FILING_STATUS=MR","SCALING_FORMAT=MLN","Sort=A","Dates=H","DateFormat=P","Fill=—","Direction=H","UseDPDF=Y")</f>
        <v>0</v>
      </c>
      <c r="M42" s="13">
        <f>_xll.BDH("AMGN US Equity","SHORT_TERM_DEBT_DETAILED","FQ2 2021","FQ2 2021","Currency=USD","Period=FQ","BEST_FPERIOD_OVERRIDE=FQ","FILING_STATUS=MR","SCALING_FORMAT=MLN","Sort=A","Dates=H","DateFormat=P","Fill=—","Direction=H","UseDPDF=Y")</f>
        <v>0</v>
      </c>
      <c r="N42" s="13">
        <f>_xll.BDH("AMGN US Equity","SHORT_TERM_DEBT_DETAILED","FQ3 2021","FQ3 2021","Currency=USD","Period=FQ","BEST_FPERIOD_OVERRIDE=FQ","FILING_STATUS=MR","SCALING_FORMAT=MLN","Sort=A","Dates=H","DateFormat=P","Fill=—","Direction=H","UseDPDF=Y")</f>
        <v>0</v>
      </c>
      <c r="O42" s="13">
        <f>_xll.BDH("AMGN US Equity","SHORT_TERM_DEBT_DETAILED","FQ4 2021","FQ4 2021","Currency=USD","Period=FQ","BEST_FPERIOD_OVERRIDE=FQ","FILING_STATUS=MR","SCALING_FORMAT=MLN","Sort=A","Dates=H","DateFormat=P","Fill=—","Direction=H","UseDPDF=Y")</f>
        <v>0</v>
      </c>
      <c r="P42" s="13">
        <f>_xll.BDH("AMGN US Equity","SHORT_TERM_DEBT_DETAILED","FQ1 2022","FQ1 2022","Currency=USD","Period=FQ","BEST_FPERIOD_OVERRIDE=FQ","FILING_STATUS=MR","SCALING_FORMAT=MLN","Sort=A","Dates=H","DateFormat=P","Fill=—","Direction=H","UseDPDF=Y")</f>
        <v>0</v>
      </c>
      <c r="Q42" s="13">
        <f>_xll.BDH("AMGN US Equity","SHORT_TERM_DEBT_DETAILED","FQ2 2022","FQ2 2022","Currency=USD","Period=FQ","BEST_FPERIOD_OVERRIDE=FQ","FILING_STATUS=MR","SCALING_FORMAT=MLN","Sort=A","Dates=H","DateFormat=P","Fill=—","Direction=H","UseDPDF=Y")</f>
        <v>0</v>
      </c>
      <c r="R42" s="13">
        <f>_xll.BDH("AMGN US Equity","SHORT_TERM_DEBT_DETAILED","FQ3 2022","FQ3 2022","Currency=USD","Period=FQ","BEST_FPERIOD_OVERRIDE=FQ","FILING_STATUS=MR","SCALING_FORMAT=MLN","Sort=A","Dates=H","DateFormat=P","Fill=—","Direction=H","UseDPDF=Y")</f>
        <v>0</v>
      </c>
      <c r="S42" s="13">
        <f>_xll.BDH("AMGN US Equity","SHORT_TERM_DEBT_DETAILED","FQ4 2022","FQ4 2022","Currency=USD","Period=FQ","BEST_FPERIOD_OVERRIDE=FQ","FILING_STATUS=MR","SCALING_FORMAT=MLN","Sort=A","Dates=H","DateFormat=P","Fill=—","Direction=H","UseDPDF=Y")</f>
        <v>0</v>
      </c>
      <c r="T42" s="13">
        <f>_xll.BDH("AMGN US Equity","SHORT_TERM_DEBT_DETAILED","FQ1 2023","FQ1 2023","Currency=USD","Period=FQ","BEST_FPERIOD_OVERRIDE=FQ","FILING_STATUS=MR","SCALING_FORMAT=MLN","Sort=A","Dates=H","DateFormat=P","Fill=—","Direction=H","UseDPDF=Y")</f>
        <v>0</v>
      </c>
      <c r="U42" s="13">
        <f>_xll.BDH("AMGN US Equity","SHORT_TERM_DEBT_DETAILED","FQ2 2023","FQ2 2023","Currency=USD","Period=FQ","BEST_FPERIOD_OVERRIDE=FQ","FILING_STATUS=MR","SCALING_FORMAT=MLN","Sort=A","Dates=H","DateFormat=P","Fill=—","Direction=H","UseDPDF=Y")</f>
        <v>0</v>
      </c>
      <c r="V42" s="13">
        <f>_xll.BDH("AMGN US Equity","SHORT_TERM_DEBT_DETAILED","FQ3 2023","FQ3 2023","Currency=USD","Period=FQ","BEST_FPERIOD_OVERRIDE=FQ","FILING_STATUS=MR","SCALING_FORMAT=MLN","Sort=A","Dates=H","DateFormat=P","Fill=—","Direction=H","UseDPDF=Y")</f>
        <v>0</v>
      </c>
      <c r="W42" s="13">
        <f>_xll.BDH("AMGN US Equity","SHORT_TERM_DEBT_DETAILED","FQ4 2023","FQ4 2023","Currency=USD","Period=FQ","BEST_FPERIOD_OVERRIDE=FQ","FILING_STATUS=MR","SCALING_FORMAT=MLN","Sort=A","Dates=H","DateFormat=P","Fill=—","Direction=H","UseDPDF=Y")</f>
        <v>0</v>
      </c>
      <c r="X42" s="13">
        <f>_xll.BDH("AMGN US Equity","SHORT_TERM_DEBT_DETAILED","FQ1 2024","FQ1 2024","Currency=USD","Period=FQ","BEST_FPERIOD_OVERRIDE=FQ","FILING_STATUS=MR","SCALING_FORMAT=MLN","Sort=A","Dates=H","DateFormat=P","Fill=—","Direction=H","UseDPDF=Y")</f>
        <v>0</v>
      </c>
      <c r="Y42" s="13">
        <f>_xll.BDH("AMGN US Equity","SHORT_TERM_DEBT_DETAILED","FQ2 2024","FQ2 2024","Currency=USD","Period=FQ","BEST_FPERIOD_OVERRIDE=FQ","FILING_STATUS=MR","SCALING_FORMAT=MLN","Sort=A","Dates=H","DateFormat=P","Fill=—","Direction=H","UseDPDF=Y")</f>
        <v>0</v>
      </c>
      <c r="Z42" s="13">
        <f>_xll.BDH("AMGN US Equity","SHORT_TERM_DEBT_DETAILED","FQ3 2024","FQ3 2024","Currency=USD","Period=FQ","BEST_FPERIOD_OVERRIDE=FQ","FILING_STATUS=MR","SCALING_FORMAT=MLN","Sort=A","Dates=H","DateFormat=P","Fill=—","Direction=H","UseDPDF=Y")</f>
        <v>0</v>
      </c>
      <c r="AA42" s="13">
        <f>_xll.BDH("AMGN US Equity","SHORT_TERM_DEBT_DETAILED","FQ4 2024","FQ4 2024","Currency=USD","Period=FQ","BEST_FPERIOD_OVERRIDE=FQ","FILING_STATUS=MR","SCALING_FORMAT=MLN","Sort=A","Dates=H","DateFormat=P","Fill=—","Direction=H","UseDPDF=Y")</f>
        <v>0</v>
      </c>
    </row>
    <row r="43" spans="1:27" x14ac:dyDescent="0.25">
      <c r="A43" s="10" t="s">
        <v>767</v>
      </c>
      <c r="B43" s="10" t="s">
        <v>768</v>
      </c>
      <c r="C43" s="13">
        <f>_xll.BDH("AMGN US Equity","ST_CAPITALIZED_LEASE_LIABILITIES","FQ4 2018","FQ4 2018","Currency=USD","Period=FQ","BEST_FPERIOD_OVERRIDE=FQ","FILING_STATUS=MR","SCALING_FORMAT=MLN","Sort=A","Dates=H","DateFormat=P","Fill=—","Direction=H","UseDPDF=Y")</f>
        <v>0</v>
      </c>
      <c r="D43" s="13">
        <f>_xll.BDH("AMGN US Equity","ST_CAPITALIZED_LEASE_LIABILITIES","FQ1 2019","FQ1 2019","Currency=USD","Period=FQ","BEST_FPERIOD_OVERRIDE=FQ","FILING_STATUS=MR","SCALING_FORMAT=MLN","Sort=A","Dates=H","DateFormat=P","Fill=—","Direction=H","UseDPDF=Y")</f>
        <v>120</v>
      </c>
      <c r="E43" s="13">
        <f>_xll.BDH("AMGN US Equity","ST_CAPITALIZED_LEASE_LIABILITIES","FQ2 2019","FQ2 2019","Currency=USD","Period=FQ","BEST_FPERIOD_OVERRIDE=FQ","FILING_STATUS=MR","SCALING_FORMAT=MLN","Sort=A","Dates=H","DateFormat=P","Fill=—","Direction=H","UseDPDF=Y")</f>
        <v>134</v>
      </c>
      <c r="F43" s="13">
        <f>_xll.BDH("AMGN US Equity","ST_CAPITALIZED_LEASE_LIABILITIES","FQ3 2019","FQ3 2019","Currency=USD","Period=FQ","BEST_FPERIOD_OVERRIDE=FQ","FILING_STATUS=MR","SCALING_FORMAT=MLN","Sort=A","Dates=H","DateFormat=P","Fill=—","Direction=H","UseDPDF=Y")</f>
        <v>135</v>
      </c>
      <c r="G43" s="13">
        <f>_xll.BDH("AMGN US Equity","ST_CAPITALIZED_LEASE_LIABILITIES","FQ4 2019","FQ4 2019","Currency=USD","Period=FQ","BEST_FPERIOD_OVERRIDE=FQ","FILING_STATUS=MR","SCALING_FORMAT=MLN","Sort=A","Dates=H","DateFormat=P","Fill=—","Direction=H","UseDPDF=Y")</f>
        <v>140</v>
      </c>
      <c r="H43" s="13" t="str">
        <f>_xll.BDH("AMGN US Equity","ST_CAPITALIZED_LEASE_LIABILITIES","FQ1 2020","FQ1 2020","Currency=USD","Period=FQ","BEST_FPERIOD_OVERRIDE=FQ","FILING_STATUS=MR","SCALING_FORMAT=MLN","Sort=A","Dates=H","DateFormat=P","Fill=—","Direction=H","UseDPDF=Y")</f>
        <v>—</v>
      </c>
      <c r="I43" s="13" t="str">
        <f>_xll.BDH("AMGN US Equity","ST_CAPITALIZED_LEASE_LIABILITIES","FQ2 2020","FQ2 2020","Currency=USD","Period=FQ","BEST_FPERIOD_OVERRIDE=FQ","FILING_STATUS=MR","SCALING_FORMAT=MLN","Sort=A","Dates=H","DateFormat=P","Fill=—","Direction=H","UseDPDF=Y")</f>
        <v>—</v>
      </c>
      <c r="J43" s="13" t="str">
        <f>_xll.BDH("AMGN US Equity","ST_CAPITALIZED_LEASE_LIABILITIES","FQ3 2020","FQ3 2020","Currency=USD","Period=FQ","BEST_FPERIOD_OVERRIDE=FQ","FILING_STATUS=MR","SCALING_FORMAT=MLN","Sort=A","Dates=H","DateFormat=P","Fill=—","Direction=H","UseDPDF=Y")</f>
        <v>—</v>
      </c>
      <c r="K43" s="13">
        <f>_xll.BDH("AMGN US Equity","ST_CAPITALIZED_LEASE_LIABILITIES","FQ4 2020","FQ4 2020","Currency=USD","Period=FQ","BEST_FPERIOD_OVERRIDE=FQ","FILING_STATUS=MR","SCALING_FORMAT=MLN","Sort=A","Dates=H","DateFormat=P","Fill=—","Direction=H","UseDPDF=Y")</f>
        <v>153</v>
      </c>
      <c r="L43" s="13" t="str">
        <f>_xll.BDH("AMGN US Equity","ST_CAPITALIZED_LEASE_LIABILITIES","FQ1 2021","FQ1 2021","Currency=USD","Period=FQ","BEST_FPERIOD_OVERRIDE=FQ","FILING_STATUS=MR","SCALING_FORMAT=MLN","Sort=A","Dates=H","DateFormat=P","Fill=—","Direction=H","UseDPDF=Y")</f>
        <v>—</v>
      </c>
      <c r="M43" s="13" t="str">
        <f>_xll.BDH("AMGN US Equity","ST_CAPITALIZED_LEASE_LIABILITIES","FQ2 2021","FQ2 2021","Currency=USD","Period=FQ","BEST_FPERIOD_OVERRIDE=FQ","FILING_STATUS=MR","SCALING_FORMAT=MLN","Sort=A","Dates=H","DateFormat=P","Fill=—","Direction=H","UseDPDF=Y")</f>
        <v>—</v>
      </c>
      <c r="N43" s="13" t="str">
        <f>_xll.BDH("AMGN US Equity","ST_CAPITALIZED_LEASE_LIABILITIES","FQ3 2021","FQ3 2021","Currency=USD","Period=FQ","BEST_FPERIOD_OVERRIDE=FQ","FILING_STATUS=MR","SCALING_FORMAT=MLN","Sort=A","Dates=H","DateFormat=P","Fill=—","Direction=H","UseDPDF=Y")</f>
        <v>—</v>
      </c>
      <c r="O43" s="13">
        <f>_xll.BDH("AMGN US Equity","ST_CAPITALIZED_LEASE_LIABILITIES","FQ4 2021","FQ4 2021","Currency=USD","Period=FQ","BEST_FPERIOD_OVERRIDE=FQ","FILING_STATUS=MR","SCALING_FORMAT=MLN","Sort=A","Dates=H","DateFormat=P","Fill=—","Direction=H","UseDPDF=Y")</f>
        <v>145</v>
      </c>
      <c r="P43" s="13" t="str">
        <f>_xll.BDH("AMGN US Equity","ST_CAPITALIZED_LEASE_LIABILITIES","FQ1 2022","FQ1 2022","Currency=USD","Period=FQ","BEST_FPERIOD_OVERRIDE=FQ","FILING_STATUS=MR","SCALING_FORMAT=MLN","Sort=A","Dates=H","DateFormat=P","Fill=—","Direction=H","UseDPDF=Y")</f>
        <v>—</v>
      </c>
      <c r="Q43" s="13" t="str">
        <f>_xll.BDH("AMGN US Equity","ST_CAPITALIZED_LEASE_LIABILITIES","FQ2 2022","FQ2 2022","Currency=USD","Period=FQ","BEST_FPERIOD_OVERRIDE=FQ","FILING_STATUS=MR","SCALING_FORMAT=MLN","Sort=A","Dates=H","DateFormat=P","Fill=—","Direction=H","UseDPDF=Y")</f>
        <v>—</v>
      </c>
      <c r="R43" s="13" t="str">
        <f>_xll.BDH("AMGN US Equity","ST_CAPITALIZED_LEASE_LIABILITIES","FQ3 2022","FQ3 2022","Currency=USD","Period=FQ","BEST_FPERIOD_OVERRIDE=FQ","FILING_STATUS=MR","SCALING_FORMAT=MLN","Sort=A","Dates=H","DateFormat=P","Fill=—","Direction=H","UseDPDF=Y")</f>
        <v>—</v>
      </c>
      <c r="S43" s="13">
        <f>_xll.BDH("AMGN US Equity","ST_CAPITALIZED_LEASE_LIABILITIES","FQ4 2022","FQ4 2022","Currency=USD","Period=FQ","BEST_FPERIOD_OVERRIDE=FQ","FILING_STATUS=MR","SCALING_FORMAT=MLN","Sort=A","Dates=H","DateFormat=P","Fill=—","Direction=H","UseDPDF=Y")</f>
        <v>156</v>
      </c>
      <c r="T43" s="13" t="str">
        <f>_xll.BDH("AMGN US Equity","ST_CAPITALIZED_LEASE_LIABILITIES","FQ1 2023","FQ1 2023","Currency=USD","Period=FQ","BEST_FPERIOD_OVERRIDE=FQ","FILING_STATUS=MR","SCALING_FORMAT=MLN","Sort=A","Dates=H","DateFormat=P","Fill=—","Direction=H","UseDPDF=Y")</f>
        <v>—</v>
      </c>
      <c r="U43" s="13" t="str">
        <f>_xll.BDH("AMGN US Equity","ST_CAPITALIZED_LEASE_LIABILITIES","FQ2 2023","FQ2 2023","Currency=USD","Period=FQ","BEST_FPERIOD_OVERRIDE=FQ","FILING_STATUS=MR","SCALING_FORMAT=MLN","Sort=A","Dates=H","DateFormat=P","Fill=—","Direction=H","UseDPDF=Y")</f>
        <v>—</v>
      </c>
      <c r="V43" s="13" t="str">
        <f>_xll.BDH("AMGN US Equity","ST_CAPITALIZED_LEASE_LIABILITIES","FQ3 2023","FQ3 2023","Currency=USD","Period=FQ","BEST_FPERIOD_OVERRIDE=FQ","FILING_STATUS=MR","SCALING_FORMAT=MLN","Sort=A","Dates=H","DateFormat=P","Fill=—","Direction=H","UseDPDF=Y")</f>
        <v>—</v>
      </c>
      <c r="W43" s="13">
        <f>_xll.BDH("AMGN US Equity","ST_CAPITALIZED_LEASE_LIABILITIES","FQ4 2023","FQ4 2023","Currency=USD","Period=FQ","BEST_FPERIOD_OVERRIDE=FQ","FILING_STATUS=MR","SCALING_FORMAT=MLN","Sort=A","Dates=H","DateFormat=P","Fill=—","Direction=H","UseDPDF=Y")</f>
        <v>119</v>
      </c>
      <c r="X43" s="13" t="str">
        <f>_xll.BDH("AMGN US Equity","ST_CAPITALIZED_LEASE_LIABILITIES","FQ1 2024","FQ1 2024","Currency=USD","Period=FQ","BEST_FPERIOD_OVERRIDE=FQ","FILING_STATUS=MR","SCALING_FORMAT=MLN","Sort=A","Dates=H","DateFormat=P","Fill=—","Direction=H","UseDPDF=Y")</f>
        <v>—</v>
      </c>
      <c r="Y43" s="13" t="str">
        <f>_xll.BDH("AMGN US Equity","ST_CAPITALIZED_LEASE_LIABILITIES","FQ2 2024","FQ2 2024","Currency=USD","Period=FQ","BEST_FPERIOD_OVERRIDE=FQ","FILING_STATUS=MR","SCALING_FORMAT=MLN","Sort=A","Dates=H","DateFormat=P","Fill=—","Direction=H","UseDPDF=Y")</f>
        <v>—</v>
      </c>
      <c r="Z43" s="13" t="str">
        <f>_xll.BDH("AMGN US Equity","ST_CAPITALIZED_LEASE_LIABILITIES","FQ3 2024","FQ3 2024","Currency=USD","Period=FQ","BEST_FPERIOD_OVERRIDE=FQ","FILING_STATUS=MR","SCALING_FORMAT=MLN","Sort=A","Dates=H","DateFormat=P","Fill=—","Direction=H","UseDPDF=Y")</f>
        <v>—</v>
      </c>
      <c r="AA43" s="13">
        <f>_xll.BDH("AMGN US Equity","ST_CAPITALIZED_LEASE_LIABILITIES","FQ4 2024","FQ4 2024","Currency=USD","Period=FQ","BEST_FPERIOD_OVERRIDE=FQ","FILING_STATUS=MR","SCALING_FORMAT=MLN","Sort=A","Dates=H","DateFormat=P","Fill=—","Direction=H","UseDPDF=Y")</f>
        <v>107</v>
      </c>
    </row>
    <row r="44" spans="1:27" x14ac:dyDescent="0.25">
      <c r="A44" s="11" t="s">
        <v>769</v>
      </c>
      <c r="B44" s="11" t="s">
        <v>770</v>
      </c>
      <c r="C44" s="25">
        <f>_xll.BDH("AMGN US Equity","ST_CAPITAL_LEASE_OBLIGATIONS","FQ4 2018","FQ4 2018","Currency=USD","Period=FQ","BEST_FPERIOD_OVERRIDE=FQ","FILING_STATUS=MR","SCALING_FORMAT=MLN","Sort=A","Dates=H","DateFormat=P","Fill=—","Direction=H","UseDPDF=Y")</f>
        <v>0</v>
      </c>
      <c r="D44" s="25" t="str">
        <f>_xll.BDH("AMGN US Equity","ST_CAPITAL_LEASE_OBLIGATIONS","FQ1 2019","FQ1 2019","Currency=USD","Period=FQ","BEST_FPERIOD_OVERRIDE=FQ","FILING_STATUS=MR","SCALING_FORMAT=MLN","Sort=A","Dates=H","DateFormat=P","Fill=—","Direction=H","UseDPDF=Y")</f>
        <v>—</v>
      </c>
      <c r="E44" s="25" t="str">
        <f>_xll.BDH("AMGN US Equity","ST_CAPITAL_LEASE_OBLIGATIONS","FQ2 2019","FQ2 2019","Currency=USD","Period=FQ","BEST_FPERIOD_OVERRIDE=FQ","FILING_STATUS=MR","SCALING_FORMAT=MLN","Sort=A","Dates=H","DateFormat=P","Fill=—","Direction=H","UseDPDF=Y")</f>
        <v>—</v>
      </c>
      <c r="F44" s="25" t="str">
        <f>_xll.BDH("AMGN US Equity","ST_CAPITAL_LEASE_OBLIGATIONS","FQ3 2019","FQ3 2019","Currency=USD","Period=FQ","BEST_FPERIOD_OVERRIDE=FQ","FILING_STATUS=MR","SCALING_FORMAT=MLN","Sort=A","Dates=H","DateFormat=P","Fill=—","Direction=H","UseDPDF=Y")</f>
        <v>—</v>
      </c>
      <c r="G44" s="25">
        <f>_xll.BDH("AMGN US Equity","ST_CAPITAL_LEASE_OBLIGATIONS","FQ4 2019","FQ4 2019","Currency=USD","Period=FQ","BEST_FPERIOD_OVERRIDE=FQ","FILING_STATUS=MR","SCALING_FORMAT=MLN","Sort=A","Dates=H","DateFormat=P","Fill=—","Direction=H","UseDPDF=Y")</f>
        <v>0</v>
      </c>
      <c r="H44" s="25" t="str">
        <f>_xll.BDH("AMGN US Equity","ST_CAPITAL_LEASE_OBLIGATIONS","FQ1 2020","FQ1 2020","Currency=USD","Period=FQ","BEST_FPERIOD_OVERRIDE=FQ","FILING_STATUS=MR","SCALING_FORMAT=MLN","Sort=A","Dates=H","DateFormat=P","Fill=—","Direction=H","UseDPDF=Y")</f>
        <v>—</v>
      </c>
      <c r="I44" s="25" t="str">
        <f>_xll.BDH("AMGN US Equity","ST_CAPITAL_LEASE_OBLIGATIONS","FQ2 2020","FQ2 2020","Currency=USD","Period=FQ","BEST_FPERIOD_OVERRIDE=FQ","FILING_STATUS=MR","SCALING_FORMAT=MLN","Sort=A","Dates=H","DateFormat=P","Fill=—","Direction=H","UseDPDF=Y")</f>
        <v>—</v>
      </c>
      <c r="J44" s="25" t="str">
        <f>_xll.BDH("AMGN US Equity","ST_CAPITAL_LEASE_OBLIGATIONS","FQ3 2020","FQ3 2020","Currency=USD","Period=FQ","BEST_FPERIOD_OVERRIDE=FQ","FILING_STATUS=MR","SCALING_FORMAT=MLN","Sort=A","Dates=H","DateFormat=P","Fill=—","Direction=H","UseDPDF=Y")</f>
        <v>—</v>
      </c>
      <c r="K44" s="25">
        <f>_xll.BDH("AMGN US Equity","ST_CAPITAL_LEASE_OBLIGATIONS","FQ4 2020","FQ4 2020","Currency=USD","Period=FQ","BEST_FPERIOD_OVERRIDE=FQ","FILING_STATUS=MR","SCALING_FORMAT=MLN","Sort=A","Dates=H","DateFormat=P","Fill=—","Direction=H","UseDPDF=Y")</f>
        <v>0</v>
      </c>
      <c r="L44" s="25" t="str">
        <f>_xll.BDH("AMGN US Equity","ST_CAPITAL_LEASE_OBLIGATIONS","FQ1 2021","FQ1 2021","Currency=USD","Period=FQ","BEST_FPERIOD_OVERRIDE=FQ","FILING_STATUS=MR","SCALING_FORMAT=MLN","Sort=A","Dates=H","DateFormat=P","Fill=—","Direction=H","UseDPDF=Y")</f>
        <v>—</v>
      </c>
      <c r="M44" s="25" t="str">
        <f>_xll.BDH("AMGN US Equity","ST_CAPITAL_LEASE_OBLIGATIONS","FQ2 2021","FQ2 2021","Currency=USD","Period=FQ","BEST_FPERIOD_OVERRIDE=FQ","FILING_STATUS=MR","SCALING_FORMAT=MLN","Sort=A","Dates=H","DateFormat=P","Fill=—","Direction=H","UseDPDF=Y")</f>
        <v>—</v>
      </c>
      <c r="N44" s="25" t="str">
        <f>_xll.BDH("AMGN US Equity","ST_CAPITAL_LEASE_OBLIGATIONS","FQ3 2021","FQ3 2021","Currency=USD","Period=FQ","BEST_FPERIOD_OVERRIDE=FQ","FILING_STATUS=MR","SCALING_FORMAT=MLN","Sort=A","Dates=H","DateFormat=P","Fill=—","Direction=H","UseDPDF=Y")</f>
        <v>—</v>
      </c>
      <c r="O44" s="25">
        <f>_xll.BDH("AMGN US Equity","ST_CAPITAL_LEASE_OBLIGATIONS","FQ4 2021","FQ4 2021","Currency=USD","Period=FQ","BEST_FPERIOD_OVERRIDE=FQ","FILING_STATUS=MR","SCALING_FORMAT=MLN","Sort=A","Dates=H","DateFormat=P","Fill=—","Direction=H","UseDPDF=Y")</f>
        <v>0</v>
      </c>
      <c r="P44" s="25" t="str">
        <f>_xll.BDH("AMGN US Equity","ST_CAPITAL_LEASE_OBLIGATIONS","FQ1 2022","FQ1 2022","Currency=USD","Period=FQ","BEST_FPERIOD_OVERRIDE=FQ","FILING_STATUS=MR","SCALING_FORMAT=MLN","Sort=A","Dates=H","DateFormat=P","Fill=—","Direction=H","UseDPDF=Y")</f>
        <v>—</v>
      </c>
      <c r="Q44" s="25" t="str">
        <f>_xll.BDH("AMGN US Equity","ST_CAPITAL_LEASE_OBLIGATIONS","FQ2 2022","FQ2 2022","Currency=USD","Period=FQ","BEST_FPERIOD_OVERRIDE=FQ","FILING_STATUS=MR","SCALING_FORMAT=MLN","Sort=A","Dates=H","DateFormat=P","Fill=—","Direction=H","UseDPDF=Y")</f>
        <v>—</v>
      </c>
      <c r="R44" s="25" t="str">
        <f>_xll.BDH("AMGN US Equity","ST_CAPITAL_LEASE_OBLIGATIONS","FQ3 2022","FQ3 2022","Currency=USD","Period=FQ","BEST_FPERIOD_OVERRIDE=FQ","FILING_STATUS=MR","SCALING_FORMAT=MLN","Sort=A","Dates=H","DateFormat=P","Fill=—","Direction=H","UseDPDF=Y")</f>
        <v>—</v>
      </c>
      <c r="S44" s="25">
        <f>_xll.BDH("AMGN US Equity","ST_CAPITAL_LEASE_OBLIGATIONS","FQ4 2022","FQ4 2022","Currency=USD","Period=FQ","BEST_FPERIOD_OVERRIDE=FQ","FILING_STATUS=MR","SCALING_FORMAT=MLN","Sort=A","Dates=H","DateFormat=P","Fill=—","Direction=H","UseDPDF=Y")</f>
        <v>0</v>
      </c>
      <c r="T44" s="25" t="str">
        <f>_xll.BDH("AMGN US Equity","ST_CAPITAL_LEASE_OBLIGATIONS","FQ1 2023","FQ1 2023","Currency=USD","Period=FQ","BEST_FPERIOD_OVERRIDE=FQ","FILING_STATUS=MR","SCALING_FORMAT=MLN","Sort=A","Dates=H","DateFormat=P","Fill=—","Direction=H","UseDPDF=Y")</f>
        <v>—</v>
      </c>
      <c r="U44" s="25" t="str">
        <f>_xll.BDH("AMGN US Equity","ST_CAPITAL_LEASE_OBLIGATIONS","FQ2 2023","FQ2 2023","Currency=USD","Period=FQ","BEST_FPERIOD_OVERRIDE=FQ","FILING_STATUS=MR","SCALING_FORMAT=MLN","Sort=A","Dates=H","DateFormat=P","Fill=—","Direction=H","UseDPDF=Y")</f>
        <v>—</v>
      </c>
      <c r="V44" s="25" t="str">
        <f>_xll.BDH("AMGN US Equity","ST_CAPITAL_LEASE_OBLIGATIONS","FQ3 2023","FQ3 2023","Currency=USD","Period=FQ","BEST_FPERIOD_OVERRIDE=FQ","FILING_STATUS=MR","SCALING_FORMAT=MLN","Sort=A","Dates=H","DateFormat=P","Fill=—","Direction=H","UseDPDF=Y")</f>
        <v>—</v>
      </c>
      <c r="W44" s="25">
        <f>_xll.BDH("AMGN US Equity","ST_CAPITAL_LEASE_OBLIGATIONS","FQ4 2023","FQ4 2023","Currency=USD","Period=FQ","BEST_FPERIOD_OVERRIDE=FQ","FILING_STATUS=MR","SCALING_FORMAT=MLN","Sort=A","Dates=H","DateFormat=P","Fill=—","Direction=H","UseDPDF=Y")</f>
        <v>0</v>
      </c>
      <c r="X44" s="25" t="str">
        <f>_xll.BDH("AMGN US Equity","ST_CAPITAL_LEASE_OBLIGATIONS","FQ1 2024","FQ1 2024","Currency=USD","Period=FQ","BEST_FPERIOD_OVERRIDE=FQ","FILING_STATUS=MR","SCALING_FORMAT=MLN","Sort=A","Dates=H","DateFormat=P","Fill=—","Direction=H","UseDPDF=Y")</f>
        <v>—</v>
      </c>
      <c r="Y44" s="25" t="str">
        <f>_xll.BDH("AMGN US Equity","ST_CAPITAL_LEASE_OBLIGATIONS","FQ2 2024","FQ2 2024","Currency=USD","Period=FQ","BEST_FPERIOD_OVERRIDE=FQ","FILING_STATUS=MR","SCALING_FORMAT=MLN","Sort=A","Dates=H","DateFormat=P","Fill=—","Direction=H","UseDPDF=Y")</f>
        <v>—</v>
      </c>
      <c r="Z44" s="25" t="str">
        <f>_xll.BDH("AMGN US Equity","ST_CAPITAL_LEASE_OBLIGATIONS","FQ3 2024","FQ3 2024","Currency=USD","Period=FQ","BEST_FPERIOD_OVERRIDE=FQ","FILING_STATUS=MR","SCALING_FORMAT=MLN","Sort=A","Dates=H","DateFormat=P","Fill=—","Direction=H","UseDPDF=Y")</f>
        <v>—</v>
      </c>
      <c r="AA44" s="25">
        <f>_xll.BDH("AMGN US Equity","ST_CAPITAL_LEASE_OBLIGATIONS","FQ4 2024","FQ4 2024","Currency=USD","Period=FQ","BEST_FPERIOD_OVERRIDE=FQ","FILING_STATUS=MR","SCALING_FORMAT=MLN","Sort=A","Dates=H","DateFormat=P","Fill=—","Direction=H","UseDPDF=Y")</f>
        <v>0</v>
      </c>
    </row>
    <row r="45" spans="1:27" x14ac:dyDescent="0.25">
      <c r="A45" s="11" t="s">
        <v>771</v>
      </c>
      <c r="B45" s="11" t="s">
        <v>772</v>
      </c>
      <c r="C45" s="25" t="str">
        <f>_xll.BDH("AMGN US Equity","BS_ST_OPERATING_LEASE_LIABS","FQ4 2018","FQ4 2018","Currency=USD","Period=FQ","BEST_FPERIOD_OVERRIDE=FQ","FILING_STATUS=MR","SCALING_FORMAT=MLN","Sort=A","Dates=H","DateFormat=P","Fill=—","Direction=H","UseDPDF=Y")</f>
        <v>—</v>
      </c>
      <c r="D45" s="25">
        <f>_xll.BDH("AMGN US Equity","BS_ST_OPERATING_LEASE_LIABS","FQ1 2019","FQ1 2019","Currency=USD","Period=FQ","BEST_FPERIOD_OVERRIDE=FQ","FILING_STATUS=MR","SCALING_FORMAT=MLN","Sort=A","Dates=H","DateFormat=P","Fill=—","Direction=H","UseDPDF=Y")</f>
        <v>120</v>
      </c>
      <c r="E45" s="25">
        <f>_xll.BDH("AMGN US Equity","BS_ST_OPERATING_LEASE_LIABS","FQ2 2019","FQ2 2019","Currency=USD","Period=FQ","BEST_FPERIOD_OVERRIDE=FQ","FILING_STATUS=MR","SCALING_FORMAT=MLN","Sort=A","Dates=H","DateFormat=P","Fill=—","Direction=H","UseDPDF=Y")</f>
        <v>134</v>
      </c>
      <c r="F45" s="25">
        <f>_xll.BDH("AMGN US Equity","BS_ST_OPERATING_LEASE_LIABS","FQ3 2019","FQ3 2019","Currency=USD","Period=FQ","BEST_FPERIOD_OVERRIDE=FQ","FILING_STATUS=MR","SCALING_FORMAT=MLN","Sort=A","Dates=H","DateFormat=P","Fill=—","Direction=H","UseDPDF=Y")</f>
        <v>135</v>
      </c>
      <c r="G45" s="25">
        <f>_xll.BDH("AMGN US Equity","BS_ST_OPERATING_LEASE_LIABS","FQ4 2019","FQ4 2019","Currency=USD","Period=FQ","BEST_FPERIOD_OVERRIDE=FQ","FILING_STATUS=MR","SCALING_FORMAT=MLN","Sort=A","Dates=H","DateFormat=P","Fill=—","Direction=H","UseDPDF=Y")</f>
        <v>140</v>
      </c>
      <c r="H45" s="25" t="str">
        <f>_xll.BDH("AMGN US Equity","BS_ST_OPERATING_LEASE_LIABS","FQ1 2020","FQ1 2020","Currency=USD","Period=FQ","BEST_FPERIOD_OVERRIDE=FQ","FILING_STATUS=MR","SCALING_FORMAT=MLN","Sort=A","Dates=H","DateFormat=P","Fill=—","Direction=H","UseDPDF=Y")</f>
        <v>—</v>
      </c>
      <c r="I45" s="25" t="str">
        <f>_xll.BDH("AMGN US Equity","BS_ST_OPERATING_LEASE_LIABS","FQ2 2020","FQ2 2020","Currency=USD","Period=FQ","BEST_FPERIOD_OVERRIDE=FQ","FILING_STATUS=MR","SCALING_FORMAT=MLN","Sort=A","Dates=H","DateFormat=P","Fill=—","Direction=H","UseDPDF=Y")</f>
        <v>—</v>
      </c>
      <c r="J45" s="25" t="str">
        <f>_xll.BDH("AMGN US Equity","BS_ST_OPERATING_LEASE_LIABS","FQ3 2020","FQ3 2020","Currency=USD","Period=FQ","BEST_FPERIOD_OVERRIDE=FQ","FILING_STATUS=MR","SCALING_FORMAT=MLN","Sort=A","Dates=H","DateFormat=P","Fill=—","Direction=H","UseDPDF=Y")</f>
        <v>—</v>
      </c>
      <c r="K45" s="25">
        <f>_xll.BDH("AMGN US Equity","BS_ST_OPERATING_LEASE_LIABS","FQ4 2020","FQ4 2020","Currency=USD","Period=FQ","BEST_FPERIOD_OVERRIDE=FQ","FILING_STATUS=MR","SCALING_FORMAT=MLN","Sort=A","Dates=H","DateFormat=P","Fill=—","Direction=H","UseDPDF=Y")</f>
        <v>153</v>
      </c>
      <c r="L45" s="25" t="str">
        <f>_xll.BDH("AMGN US Equity","BS_ST_OPERATING_LEASE_LIABS","FQ1 2021","FQ1 2021","Currency=USD","Period=FQ","BEST_FPERIOD_OVERRIDE=FQ","FILING_STATUS=MR","SCALING_FORMAT=MLN","Sort=A","Dates=H","DateFormat=P","Fill=—","Direction=H","UseDPDF=Y")</f>
        <v>—</v>
      </c>
      <c r="M45" s="25" t="str">
        <f>_xll.BDH("AMGN US Equity","BS_ST_OPERATING_LEASE_LIABS","FQ2 2021","FQ2 2021","Currency=USD","Period=FQ","BEST_FPERIOD_OVERRIDE=FQ","FILING_STATUS=MR","SCALING_FORMAT=MLN","Sort=A","Dates=H","DateFormat=P","Fill=—","Direction=H","UseDPDF=Y")</f>
        <v>—</v>
      </c>
      <c r="N45" s="25" t="str">
        <f>_xll.BDH("AMGN US Equity","BS_ST_OPERATING_LEASE_LIABS","FQ3 2021","FQ3 2021","Currency=USD","Period=FQ","BEST_FPERIOD_OVERRIDE=FQ","FILING_STATUS=MR","SCALING_FORMAT=MLN","Sort=A","Dates=H","DateFormat=P","Fill=—","Direction=H","UseDPDF=Y")</f>
        <v>—</v>
      </c>
      <c r="O45" s="25">
        <f>_xll.BDH("AMGN US Equity","BS_ST_OPERATING_LEASE_LIABS","FQ4 2021","FQ4 2021","Currency=USD","Period=FQ","BEST_FPERIOD_OVERRIDE=FQ","FILING_STATUS=MR","SCALING_FORMAT=MLN","Sort=A","Dates=H","DateFormat=P","Fill=—","Direction=H","UseDPDF=Y")</f>
        <v>145</v>
      </c>
      <c r="P45" s="25" t="str">
        <f>_xll.BDH("AMGN US Equity","BS_ST_OPERATING_LEASE_LIABS","FQ1 2022","FQ1 2022","Currency=USD","Period=FQ","BEST_FPERIOD_OVERRIDE=FQ","FILING_STATUS=MR","SCALING_FORMAT=MLN","Sort=A","Dates=H","DateFormat=P","Fill=—","Direction=H","UseDPDF=Y")</f>
        <v>—</v>
      </c>
      <c r="Q45" s="25" t="str">
        <f>_xll.BDH("AMGN US Equity","BS_ST_OPERATING_LEASE_LIABS","FQ2 2022","FQ2 2022","Currency=USD","Period=FQ","BEST_FPERIOD_OVERRIDE=FQ","FILING_STATUS=MR","SCALING_FORMAT=MLN","Sort=A","Dates=H","DateFormat=P","Fill=—","Direction=H","UseDPDF=Y")</f>
        <v>—</v>
      </c>
      <c r="R45" s="25" t="str">
        <f>_xll.BDH("AMGN US Equity","BS_ST_OPERATING_LEASE_LIABS","FQ3 2022","FQ3 2022","Currency=USD","Period=FQ","BEST_FPERIOD_OVERRIDE=FQ","FILING_STATUS=MR","SCALING_FORMAT=MLN","Sort=A","Dates=H","DateFormat=P","Fill=—","Direction=H","UseDPDF=Y")</f>
        <v>—</v>
      </c>
      <c r="S45" s="25">
        <f>_xll.BDH("AMGN US Equity","BS_ST_OPERATING_LEASE_LIABS","FQ4 2022","FQ4 2022","Currency=USD","Period=FQ","BEST_FPERIOD_OVERRIDE=FQ","FILING_STATUS=MR","SCALING_FORMAT=MLN","Sort=A","Dates=H","DateFormat=P","Fill=—","Direction=H","UseDPDF=Y")</f>
        <v>156</v>
      </c>
      <c r="T45" s="25" t="str">
        <f>_xll.BDH("AMGN US Equity","BS_ST_OPERATING_LEASE_LIABS","FQ1 2023","FQ1 2023","Currency=USD","Period=FQ","BEST_FPERIOD_OVERRIDE=FQ","FILING_STATUS=MR","SCALING_FORMAT=MLN","Sort=A","Dates=H","DateFormat=P","Fill=—","Direction=H","UseDPDF=Y")</f>
        <v>—</v>
      </c>
      <c r="U45" s="25" t="str">
        <f>_xll.BDH("AMGN US Equity","BS_ST_OPERATING_LEASE_LIABS","FQ2 2023","FQ2 2023","Currency=USD","Period=FQ","BEST_FPERIOD_OVERRIDE=FQ","FILING_STATUS=MR","SCALING_FORMAT=MLN","Sort=A","Dates=H","DateFormat=P","Fill=—","Direction=H","UseDPDF=Y")</f>
        <v>—</v>
      </c>
      <c r="V45" s="25" t="str">
        <f>_xll.BDH("AMGN US Equity","BS_ST_OPERATING_LEASE_LIABS","FQ3 2023","FQ3 2023","Currency=USD","Period=FQ","BEST_FPERIOD_OVERRIDE=FQ","FILING_STATUS=MR","SCALING_FORMAT=MLN","Sort=A","Dates=H","DateFormat=P","Fill=—","Direction=H","UseDPDF=Y")</f>
        <v>—</v>
      </c>
      <c r="W45" s="25">
        <f>_xll.BDH("AMGN US Equity","BS_ST_OPERATING_LEASE_LIABS","FQ4 2023","FQ4 2023","Currency=USD","Period=FQ","BEST_FPERIOD_OVERRIDE=FQ","FILING_STATUS=MR","SCALING_FORMAT=MLN","Sort=A","Dates=H","DateFormat=P","Fill=—","Direction=H","UseDPDF=Y")</f>
        <v>119</v>
      </c>
      <c r="X45" s="25" t="str">
        <f>_xll.BDH("AMGN US Equity","BS_ST_OPERATING_LEASE_LIABS","FQ1 2024","FQ1 2024","Currency=USD","Period=FQ","BEST_FPERIOD_OVERRIDE=FQ","FILING_STATUS=MR","SCALING_FORMAT=MLN","Sort=A","Dates=H","DateFormat=P","Fill=—","Direction=H","UseDPDF=Y")</f>
        <v>—</v>
      </c>
      <c r="Y45" s="25" t="str">
        <f>_xll.BDH("AMGN US Equity","BS_ST_OPERATING_LEASE_LIABS","FQ2 2024","FQ2 2024","Currency=USD","Period=FQ","BEST_FPERIOD_OVERRIDE=FQ","FILING_STATUS=MR","SCALING_FORMAT=MLN","Sort=A","Dates=H","DateFormat=P","Fill=—","Direction=H","UseDPDF=Y")</f>
        <v>—</v>
      </c>
      <c r="Z45" s="25" t="str">
        <f>_xll.BDH("AMGN US Equity","BS_ST_OPERATING_LEASE_LIABS","FQ3 2024","FQ3 2024","Currency=USD","Period=FQ","BEST_FPERIOD_OVERRIDE=FQ","FILING_STATUS=MR","SCALING_FORMAT=MLN","Sort=A","Dates=H","DateFormat=P","Fill=—","Direction=H","UseDPDF=Y")</f>
        <v>—</v>
      </c>
      <c r="AA45" s="25">
        <f>_xll.BDH("AMGN US Equity","BS_ST_OPERATING_LEASE_LIABS","FQ4 2024","FQ4 2024","Currency=USD","Period=FQ","BEST_FPERIOD_OVERRIDE=FQ","FILING_STATUS=MR","SCALING_FORMAT=MLN","Sort=A","Dates=H","DateFormat=P","Fill=—","Direction=H","UseDPDF=Y")</f>
        <v>107</v>
      </c>
    </row>
    <row r="46" spans="1:27" x14ac:dyDescent="0.25">
      <c r="A46" s="10" t="s">
        <v>773</v>
      </c>
      <c r="B46" s="10" t="s">
        <v>774</v>
      </c>
      <c r="C46" s="13">
        <f>_xll.BDH("AMGN US Equity","BS_CURR_PORTION_LT_DEBT","FQ4 2018","FQ4 2018","Currency=USD","Period=FQ","BEST_FPERIOD_OVERRIDE=FQ","FILING_STATUS=MR","SCALING_FORMAT=MLN","Sort=A","Dates=H","DateFormat=P","Fill=—","Direction=H","UseDPDF=Y")</f>
        <v>4419</v>
      </c>
      <c r="D46" s="13">
        <f>_xll.BDH("AMGN US Equity","BS_CURR_PORTION_LT_DEBT","FQ1 2019","FQ1 2019","Currency=USD","Period=FQ","BEST_FPERIOD_OVERRIDE=FQ","FILING_STATUS=MR","SCALING_FORMAT=MLN","Sort=A","Dates=H","DateFormat=P","Fill=—","Direction=H","UseDPDF=Y")</f>
        <v>3705</v>
      </c>
      <c r="E46" s="13">
        <f>_xll.BDH("AMGN US Equity","BS_CURR_PORTION_LT_DEBT","FQ2 2019","FQ2 2019","Currency=USD","Period=FQ","BEST_FPERIOD_OVERRIDE=FQ","FILING_STATUS=MR","SCALING_FORMAT=MLN","Sort=A","Dates=H","DateFormat=P","Fill=—","Direction=H","UseDPDF=Y")</f>
        <v>2816</v>
      </c>
      <c r="F46" s="13">
        <f>_xll.BDH("AMGN US Equity","BS_CURR_PORTION_LT_DEBT","FQ3 2019","FQ3 2019","Currency=USD","Period=FQ","BEST_FPERIOD_OVERRIDE=FQ","FILING_STATUS=MR","SCALING_FORMAT=MLN","Sort=A","Dates=H","DateFormat=P","Fill=—","Direction=H","UseDPDF=Y")</f>
        <v>2049</v>
      </c>
      <c r="G46" s="13">
        <f>_xll.BDH("AMGN US Equity","BS_CURR_PORTION_LT_DEBT","FQ4 2019","FQ4 2019","Currency=USD","Period=FQ","BEST_FPERIOD_OVERRIDE=FQ","FILING_STATUS=MR","SCALING_FORMAT=MLN","Sort=A","Dates=H","DateFormat=P","Fill=—","Direction=H","UseDPDF=Y")</f>
        <v>2953</v>
      </c>
      <c r="H46" s="13">
        <f>_xll.BDH("AMGN US Equity","BS_CURR_PORTION_LT_DEBT","FQ1 2020","FQ1 2020","Currency=USD","Period=FQ","BEST_FPERIOD_OVERRIDE=FQ","FILING_STATUS=MR","SCALING_FORMAT=MLN","Sort=A","Dates=H","DateFormat=P","Fill=—","Direction=H","UseDPDF=Y")</f>
        <v>1840</v>
      </c>
      <c r="I46" s="13">
        <f>_xll.BDH("AMGN US Equity","BS_CURR_PORTION_LT_DEBT","FQ2 2020","FQ2 2020","Currency=USD","Period=FQ","BEST_FPERIOD_OVERRIDE=FQ","FILING_STATUS=MR","SCALING_FORMAT=MLN","Sort=A","Dates=H","DateFormat=P","Fill=—","Direction=H","UseDPDF=Y")</f>
        <v>91</v>
      </c>
      <c r="J46" s="13">
        <f>_xll.BDH("AMGN US Equity","BS_CURR_PORTION_LT_DEBT","FQ3 2020","FQ3 2020","Currency=USD","Period=FQ","BEST_FPERIOD_OVERRIDE=FQ","FILING_STATUS=MR","SCALING_FORMAT=MLN","Sort=A","Dates=H","DateFormat=P","Fill=—","Direction=H","UseDPDF=Y")</f>
        <v>91</v>
      </c>
      <c r="K46" s="13">
        <f>_xll.BDH("AMGN US Equity","BS_CURR_PORTION_LT_DEBT","FQ4 2020","FQ4 2020","Currency=USD","Period=FQ","BEST_FPERIOD_OVERRIDE=FQ","FILING_STATUS=MR","SCALING_FORMAT=MLN","Sort=A","Dates=H","DateFormat=P","Fill=—","Direction=H","UseDPDF=Y")</f>
        <v>91</v>
      </c>
      <c r="L46" s="13">
        <f>_xll.BDH("AMGN US Equity","BS_CURR_PORTION_LT_DEBT","FQ1 2021","FQ1 2021","Currency=USD","Period=FQ","BEST_FPERIOD_OVERRIDE=FQ","FILING_STATUS=MR","SCALING_FORMAT=MLN","Sort=A","Dates=H","DateFormat=P","Fill=—","Direction=H","UseDPDF=Y")</f>
        <v>1556</v>
      </c>
      <c r="M46" s="13">
        <f>_xll.BDH("AMGN US Equity","BS_CURR_PORTION_LT_DEBT","FQ2 2021","FQ2 2021","Currency=USD","Period=FQ","BEST_FPERIOD_OVERRIDE=FQ","FILING_STATUS=MR","SCALING_FORMAT=MLN","Sort=A","Dates=H","DateFormat=P","Fill=—","Direction=H","UseDPDF=Y")</f>
        <v>4324</v>
      </c>
      <c r="N46" s="13">
        <f>_xll.BDH("AMGN US Equity","BS_CURR_PORTION_LT_DEBT","FQ3 2021","FQ3 2021","Currency=USD","Period=FQ","BEST_FPERIOD_OVERRIDE=FQ","FILING_STATUS=MR","SCALING_FORMAT=MLN","Sort=A","Dates=H","DateFormat=P","Fill=—","Direction=H","UseDPDF=Y")</f>
        <v>4288</v>
      </c>
      <c r="O46" s="13">
        <f>_xll.BDH("AMGN US Equity","BS_CURR_PORTION_LT_DEBT","FQ4 2021","FQ4 2021","Currency=USD","Period=FQ","BEST_FPERIOD_OVERRIDE=FQ","FILING_STATUS=MR","SCALING_FORMAT=MLN","Sort=A","Dates=H","DateFormat=P","Fill=—","Direction=H","UseDPDF=Y")</f>
        <v>87</v>
      </c>
      <c r="P46" s="13">
        <f>_xll.BDH("AMGN US Equity","BS_CURR_PORTION_LT_DEBT","FQ1 2022","FQ1 2022","Currency=USD","Period=FQ","BEST_FPERIOD_OVERRIDE=FQ","FILING_STATUS=MR","SCALING_FORMAT=MLN","Sort=A","Dates=H","DateFormat=P","Fill=—","Direction=H","UseDPDF=Y")</f>
        <v>844</v>
      </c>
      <c r="Q46" s="13">
        <f>_xll.BDH("AMGN US Equity","BS_CURR_PORTION_LT_DEBT","FQ2 2022","FQ2 2022","Currency=USD","Period=FQ","BEST_FPERIOD_OVERRIDE=FQ","FILING_STATUS=MR","SCALING_FORMAT=MLN","Sort=A","Dates=H","DateFormat=P","Fill=—","Direction=H","UseDPDF=Y")</f>
        <v>817</v>
      </c>
      <c r="R46" s="13">
        <f>_xll.BDH("AMGN US Equity","BS_CURR_PORTION_LT_DEBT","FQ3 2022","FQ3 2022","Currency=USD","Period=FQ","BEST_FPERIOD_OVERRIDE=FQ","FILING_STATUS=MR","SCALING_FORMAT=MLN","Sort=A","Dates=H","DateFormat=P","Fill=—","Direction=H","UseDPDF=Y")</f>
        <v>1543</v>
      </c>
      <c r="S46" s="13">
        <f>_xll.BDH("AMGN US Equity","BS_CURR_PORTION_LT_DEBT","FQ4 2022","FQ4 2022","Currency=USD","Period=FQ","BEST_FPERIOD_OVERRIDE=FQ","FILING_STATUS=MR","SCALING_FORMAT=MLN","Sort=A","Dates=H","DateFormat=P","Fill=—","Direction=H","UseDPDF=Y")</f>
        <v>1591</v>
      </c>
      <c r="T46" s="13">
        <f>_xll.BDH("AMGN US Equity","BS_CURR_PORTION_LT_DEBT","FQ1 2023","FQ1 2023","Currency=USD","Period=FQ","BEST_FPERIOD_OVERRIDE=FQ","FILING_STATUS=MR","SCALING_FORMAT=MLN","Sort=A","Dates=H","DateFormat=P","Fill=—","Direction=H","UseDPDF=Y")</f>
        <v>834</v>
      </c>
      <c r="U46" s="13">
        <f>_xll.BDH("AMGN US Equity","BS_CURR_PORTION_LT_DEBT","FQ2 2023","FQ2 2023","Currency=USD","Period=FQ","BEST_FPERIOD_OVERRIDE=FQ","FILING_STATUS=MR","SCALING_FORMAT=MLN","Sort=A","Dates=H","DateFormat=P","Fill=—","Direction=H","UseDPDF=Y")</f>
        <v>2167</v>
      </c>
      <c r="V46" s="13">
        <f>_xll.BDH("AMGN US Equity","BS_CURR_PORTION_LT_DEBT","FQ3 2023","FQ3 2023","Currency=USD","Period=FQ","BEST_FPERIOD_OVERRIDE=FQ","FILING_STATUS=MR","SCALING_FORMAT=MLN","Sort=A","Dates=H","DateFormat=P","Fill=—","Direction=H","UseDPDF=Y")</f>
        <v>1428</v>
      </c>
      <c r="W46" s="13">
        <f>_xll.BDH("AMGN US Equity","BS_CURR_PORTION_LT_DEBT","FQ4 2023","FQ4 2023","Currency=USD","Period=FQ","BEST_FPERIOD_OVERRIDE=FQ","FILING_STATUS=MR","SCALING_FORMAT=MLN","Sort=A","Dates=H","DateFormat=P","Fill=—","Direction=H","UseDPDF=Y")</f>
        <v>1443</v>
      </c>
      <c r="X46" s="13">
        <f>_xll.BDH("AMGN US Equity","BS_CURR_PORTION_LT_DEBT","FQ1 2024","FQ1 2024","Currency=USD","Period=FQ","BEST_FPERIOD_OVERRIDE=FQ","FILING_STATUS=MR","SCALING_FORMAT=MLN","Sort=A","Dates=H","DateFormat=P","Fill=—","Direction=H","UseDPDF=Y")</f>
        <v>3959</v>
      </c>
      <c r="Y46" s="13">
        <f>_xll.BDH("AMGN US Equity","BS_CURR_PORTION_LT_DEBT","FQ2 2024","FQ2 2024","Currency=USD","Period=FQ","BEST_FPERIOD_OVERRIDE=FQ","FILING_STATUS=MR","SCALING_FORMAT=MLN","Sort=A","Dates=H","DateFormat=P","Fill=—","Direction=H","UseDPDF=Y")</f>
        <v>5528</v>
      </c>
      <c r="Z46" s="13">
        <f>_xll.BDH("AMGN US Equity","BS_CURR_PORTION_LT_DEBT","FQ3 2024","FQ3 2024","Currency=USD","Period=FQ","BEST_FPERIOD_OVERRIDE=FQ","FILING_STATUS=MR","SCALING_FORMAT=MLN","Sort=A","Dates=H","DateFormat=P","Fill=—","Direction=H","UseDPDF=Y")</f>
        <v>3544</v>
      </c>
      <c r="AA46" s="13">
        <f>_xll.BDH("AMGN US Equity","BS_CURR_PORTION_LT_DEBT","FQ4 2024","FQ4 2024","Currency=USD","Period=FQ","BEST_FPERIOD_OVERRIDE=FQ","FILING_STATUS=MR","SCALING_FORMAT=MLN","Sort=A","Dates=H","DateFormat=P","Fill=—","Direction=H","UseDPDF=Y")</f>
        <v>3550</v>
      </c>
    </row>
    <row r="47" spans="1:27" x14ac:dyDescent="0.25">
      <c r="A47" s="10" t="s">
        <v>775</v>
      </c>
      <c r="B47" s="10" t="s">
        <v>776</v>
      </c>
      <c r="C47" s="13">
        <f>_xll.BDH("AMGN US Equity","OTHER_CURRENT_LIABS_SUB_DETAILED","FQ4 2018","FQ4 2018","Currency=USD","Period=FQ","BEST_FPERIOD_OVERRIDE=FQ","FILING_STATUS=MR","SCALING_FORMAT=MLN","Sort=A","Dates=H","DateFormat=P","Fill=—","Direction=H","UseDPDF=Y")</f>
        <v>0</v>
      </c>
      <c r="D47" s="13">
        <f>_xll.BDH("AMGN US Equity","OTHER_CURRENT_LIABS_SUB_DETAILED","FQ1 2019","FQ1 2019","Currency=USD","Period=FQ","BEST_FPERIOD_OVERRIDE=FQ","FILING_STATUS=MR","SCALING_FORMAT=MLN","Sort=A","Dates=H","DateFormat=P","Fill=—","Direction=H","UseDPDF=Y")</f>
        <v>120</v>
      </c>
      <c r="E47" s="13">
        <f>_xll.BDH("AMGN US Equity","OTHER_CURRENT_LIABS_SUB_DETAILED","FQ2 2019","FQ2 2019","Currency=USD","Period=FQ","BEST_FPERIOD_OVERRIDE=FQ","FILING_STATUS=MR","SCALING_FORMAT=MLN","Sort=A","Dates=H","DateFormat=P","Fill=—","Direction=H","UseDPDF=Y")</f>
        <v>134</v>
      </c>
      <c r="F47" s="13">
        <f>_xll.BDH("AMGN US Equity","OTHER_CURRENT_LIABS_SUB_DETAILED","FQ3 2019","FQ3 2019","Currency=USD","Period=FQ","BEST_FPERIOD_OVERRIDE=FQ","FILING_STATUS=MR","SCALING_FORMAT=MLN","Sort=A","Dates=H","DateFormat=P","Fill=—","Direction=H","UseDPDF=Y")</f>
        <v>135</v>
      </c>
      <c r="G47" s="13">
        <f>_xll.BDH("AMGN US Equity","OTHER_CURRENT_LIABS_SUB_DETAILED","FQ4 2019","FQ4 2019","Currency=USD","Period=FQ","BEST_FPERIOD_OVERRIDE=FQ","FILING_STATUS=MR","SCALING_FORMAT=MLN","Sort=A","Dates=H","DateFormat=P","Fill=—","Direction=H","UseDPDF=Y")</f>
        <v>3880</v>
      </c>
      <c r="H47" s="13">
        <f>_xll.BDH("AMGN US Equity","OTHER_CURRENT_LIABS_SUB_DETAILED","FQ1 2020","FQ1 2020","Currency=USD","Period=FQ","BEST_FPERIOD_OVERRIDE=FQ","FILING_STATUS=MR","SCALING_FORMAT=MLN","Sort=A","Dates=H","DateFormat=P","Fill=—","Direction=H","UseDPDF=Y")</f>
        <v>0</v>
      </c>
      <c r="I47" s="13">
        <f>_xll.BDH("AMGN US Equity","OTHER_CURRENT_LIABS_SUB_DETAILED","FQ2 2020","FQ2 2020","Currency=USD","Period=FQ","BEST_FPERIOD_OVERRIDE=FQ","FILING_STATUS=MR","SCALING_FORMAT=MLN","Sort=A","Dates=H","DateFormat=P","Fill=—","Direction=H","UseDPDF=Y")</f>
        <v>0</v>
      </c>
      <c r="J47" s="13">
        <f>_xll.BDH("AMGN US Equity","OTHER_CURRENT_LIABS_SUB_DETAILED","FQ3 2020","FQ3 2020","Currency=USD","Period=FQ","BEST_FPERIOD_OVERRIDE=FQ","FILING_STATUS=MR","SCALING_FORMAT=MLN","Sort=A","Dates=H","DateFormat=P","Fill=—","Direction=H","UseDPDF=Y")</f>
        <v>0</v>
      </c>
      <c r="K47" s="13">
        <f>_xll.BDH("AMGN US Equity","OTHER_CURRENT_LIABS_SUB_DETAILED","FQ4 2020","FQ4 2020","Currency=USD","Period=FQ","BEST_FPERIOD_OVERRIDE=FQ","FILING_STATUS=MR","SCALING_FORMAT=MLN","Sort=A","Dates=H","DateFormat=P","Fill=—","Direction=H","UseDPDF=Y")</f>
        <v>4801</v>
      </c>
      <c r="L47" s="13">
        <f>_xll.BDH("AMGN US Equity","OTHER_CURRENT_LIABS_SUB_DETAILED","FQ1 2021","FQ1 2021","Currency=USD","Period=FQ","BEST_FPERIOD_OVERRIDE=FQ","FILING_STATUS=MR","SCALING_FORMAT=MLN","Sort=A","Dates=H","DateFormat=P","Fill=—","Direction=H","UseDPDF=Y")</f>
        <v>0</v>
      </c>
      <c r="M47" s="13">
        <f>_xll.BDH("AMGN US Equity","OTHER_CURRENT_LIABS_SUB_DETAILED","FQ2 2021","FQ2 2021","Currency=USD","Period=FQ","BEST_FPERIOD_OVERRIDE=FQ","FILING_STATUS=MR","SCALING_FORMAT=MLN","Sort=A","Dates=H","DateFormat=P","Fill=—","Direction=H","UseDPDF=Y")</f>
        <v>0</v>
      </c>
      <c r="N47" s="13">
        <f>_xll.BDH("AMGN US Equity","OTHER_CURRENT_LIABS_SUB_DETAILED","FQ3 2021","FQ3 2021","Currency=USD","Period=FQ","BEST_FPERIOD_OVERRIDE=FQ","FILING_STATUS=MR","SCALING_FORMAT=MLN","Sort=A","Dates=H","DateFormat=P","Fill=—","Direction=H","UseDPDF=Y")</f>
        <v>0</v>
      </c>
      <c r="O47" s="13">
        <f>_xll.BDH("AMGN US Equity","OTHER_CURRENT_LIABS_SUB_DETAILED","FQ4 2021","FQ4 2021","Currency=USD","Period=FQ","BEST_FPERIOD_OVERRIDE=FQ","FILING_STATUS=MR","SCALING_FORMAT=MLN","Sort=A","Dates=H","DateFormat=P","Fill=—","Direction=H","UseDPDF=Y")</f>
        <v>5174</v>
      </c>
      <c r="P47" s="13">
        <f>_xll.BDH("AMGN US Equity","OTHER_CURRENT_LIABS_SUB_DETAILED","FQ1 2022","FQ1 2022","Currency=USD","Period=FQ","BEST_FPERIOD_OVERRIDE=FQ","FILING_STATUS=MR","SCALING_FORMAT=MLN","Sort=A","Dates=H","DateFormat=P","Fill=—","Direction=H","UseDPDF=Y")</f>
        <v>0</v>
      </c>
      <c r="Q47" s="13">
        <f>_xll.BDH("AMGN US Equity","OTHER_CURRENT_LIABS_SUB_DETAILED","FQ2 2022","FQ2 2022","Currency=USD","Period=FQ","BEST_FPERIOD_OVERRIDE=FQ","FILING_STATUS=MR","SCALING_FORMAT=MLN","Sort=A","Dates=H","DateFormat=P","Fill=—","Direction=H","UseDPDF=Y")</f>
        <v>0</v>
      </c>
      <c r="R47" s="13">
        <f>_xll.BDH("AMGN US Equity","OTHER_CURRENT_LIABS_SUB_DETAILED","FQ3 2022","FQ3 2022","Currency=USD","Period=FQ","BEST_FPERIOD_OVERRIDE=FQ","FILING_STATUS=MR","SCALING_FORMAT=MLN","Sort=A","Dates=H","DateFormat=P","Fill=—","Direction=H","UseDPDF=Y")</f>
        <v>0</v>
      </c>
      <c r="S47" s="13">
        <f>_xll.BDH("AMGN US Equity","OTHER_CURRENT_LIABS_SUB_DETAILED","FQ4 2022","FQ4 2022","Currency=USD","Period=FQ","BEST_FPERIOD_OVERRIDE=FQ","FILING_STATUS=MR","SCALING_FORMAT=MLN","Sort=A","Dates=H","DateFormat=P","Fill=—","Direction=H","UseDPDF=Y")</f>
        <v>5986</v>
      </c>
      <c r="T47" s="13">
        <f>_xll.BDH("AMGN US Equity","OTHER_CURRENT_LIABS_SUB_DETAILED","FQ1 2023","FQ1 2023","Currency=USD","Period=FQ","BEST_FPERIOD_OVERRIDE=FQ","FILING_STATUS=MR","SCALING_FORMAT=MLN","Sort=A","Dates=H","DateFormat=P","Fill=—","Direction=H","UseDPDF=Y")</f>
        <v>0</v>
      </c>
      <c r="U47" s="13">
        <f>_xll.BDH("AMGN US Equity","OTHER_CURRENT_LIABS_SUB_DETAILED","FQ2 2023","FQ2 2023","Currency=USD","Period=FQ","BEST_FPERIOD_OVERRIDE=FQ","FILING_STATUS=MR","SCALING_FORMAT=MLN","Sort=A","Dates=H","DateFormat=P","Fill=—","Direction=H","UseDPDF=Y")</f>
        <v>0</v>
      </c>
      <c r="V47" s="13">
        <f>_xll.BDH("AMGN US Equity","OTHER_CURRENT_LIABS_SUB_DETAILED","FQ3 2023","FQ3 2023","Currency=USD","Period=FQ","BEST_FPERIOD_OVERRIDE=FQ","FILING_STATUS=MR","SCALING_FORMAT=MLN","Sort=A","Dates=H","DateFormat=P","Fill=—","Direction=H","UseDPDF=Y")</f>
        <v>0</v>
      </c>
      <c r="W47" s="13">
        <f>_xll.BDH("AMGN US Equity","OTHER_CURRENT_LIABS_SUB_DETAILED","FQ4 2023","FQ4 2023","Currency=USD","Period=FQ","BEST_FPERIOD_OVERRIDE=FQ","FILING_STATUS=MR","SCALING_FORMAT=MLN","Sort=A","Dates=H","DateFormat=P","Fill=—","Direction=H","UseDPDF=Y")</f>
        <v>7271</v>
      </c>
      <c r="X47" s="13">
        <f>_xll.BDH("AMGN US Equity","OTHER_CURRENT_LIABS_SUB_DETAILED","FQ1 2024","FQ1 2024","Currency=USD","Period=FQ","BEST_FPERIOD_OVERRIDE=FQ","FILING_STATUS=MR","SCALING_FORMAT=MLN","Sort=A","Dates=H","DateFormat=P","Fill=—","Direction=H","UseDPDF=Y")</f>
        <v>0</v>
      </c>
      <c r="Y47" s="13">
        <f>_xll.BDH("AMGN US Equity","OTHER_CURRENT_LIABS_SUB_DETAILED","FQ2 2024","FQ2 2024","Currency=USD","Period=FQ","BEST_FPERIOD_OVERRIDE=FQ","FILING_STATUS=MR","SCALING_FORMAT=MLN","Sort=A","Dates=H","DateFormat=P","Fill=—","Direction=H","UseDPDF=Y")</f>
        <v>0</v>
      </c>
      <c r="Z47" s="13">
        <f>_xll.BDH("AMGN US Equity","OTHER_CURRENT_LIABS_SUB_DETAILED","FQ3 2024","FQ3 2024","Currency=USD","Period=FQ","BEST_FPERIOD_OVERRIDE=FQ","FILING_STATUS=MR","SCALING_FORMAT=MLN","Sort=A","Dates=H","DateFormat=P","Fill=—","Direction=H","UseDPDF=Y")</f>
        <v>0</v>
      </c>
      <c r="AA47" s="13">
        <f>_xll.BDH("AMGN US Equity","OTHER_CURRENT_LIABS_SUB_DETAILED","FQ4 2024","FQ4 2024","Currency=USD","Period=FQ","BEST_FPERIOD_OVERRIDE=FQ","FILING_STATUS=MR","SCALING_FORMAT=MLN","Sort=A","Dates=H","DateFormat=P","Fill=—","Direction=H","UseDPDF=Y")</f>
        <v>8405</v>
      </c>
    </row>
    <row r="48" spans="1:27" x14ac:dyDescent="0.25">
      <c r="A48" s="10" t="s">
        <v>777</v>
      </c>
      <c r="B48" s="10" t="s">
        <v>778</v>
      </c>
      <c r="C48" s="13">
        <f>_xll.BDH("AMGN US Equity","ST_DEFERRED_REVENUE","FQ4 2018","FQ4 2018","Currency=USD","Period=FQ","BEST_FPERIOD_OVERRIDE=FQ","FILING_STATUS=MR","SCALING_FORMAT=MLN","Sort=A","Dates=H","DateFormat=P","Fill=—","Direction=H","UseDPDF=Y")</f>
        <v>0</v>
      </c>
      <c r="D48" s="13" t="str">
        <f>_xll.BDH("AMGN US Equity","ST_DEFERRED_REVENUE","FQ1 2019","FQ1 2019","Currency=USD","Period=FQ","BEST_FPERIOD_OVERRIDE=FQ","FILING_STATUS=MR","SCALING_FORMAT=MLN","Sort=A","Dates=H","DateFormat=P","Fill=—","Direction=H","UseDPDF=Y")</f>
        <v>—</v>
      </c>
      <c r="E48" s="13" t="str">
        <f>_xll.BDH("AMGN US Equity","ST_DEFERRED_REVENUE","FQ2 2019","FQ2 2019","Currency=USD","Period=FQ","BEST_FPERIOD_OVERRIDE=FQ","FILING_STATUS=MR","SCALING_FORMAT=MLN","Sort=A","Dates=H","DateFormat=P","Fill=—","Direction=H","UseDPDF=Y")</f>
        <v>—</v>
      </c>
      <c r="F48" s="13" t="str">
        <f>_xll.BDH("AMGN US Equity","ST_DEFERRED_REVENUE","FQ3 2019","FQ3 2019","Currency=USD","Period=FQ","BEST_FPERIOD_OVERRIDE=FQ","FILING_STATUS=MR","SCALING_FORMAT=MLN","Sort=A","Dates=H","DateFormat=P","Fill=—","Direction=H","UseDPDF=Y")</f>
        <v>—</v>
      </c>
      <c r="G48" s="13">
        <f>_xll.BDH("AMGN US Equity","ST_DEFERRED_REVENUE","FQ4 2019","FQ4 2019","Currency=USD","Period=FQ","BEST_FPERIOD_OVERRIDE=FQ","FILING_STATUS=MR","SCALING_FORMAT=MLN","Sort=A","Dates=H","DateFormat=P","Fill=—","Direction=H","UseDPDF=Y")</f>
        <v>3880</v>
      </c>
      <c r="H48" s="13" t="str">
        <f>_xll.BDH("AMGN US Equity","ST_DEFERRED_REVENUE","FQ1 2020","FQ1 2020","Currency=USD","Period=FQ","BEST_FPERIOD_OVERRIDE=FQ","FILING_STATUS=MR","SCALING_FORMAT=MLN","Sort=A","Dates=H","DateFormat=P","Fill=—","Direction=H","UseDPDF=Y")</f>
        <v>—</v>
      </c>
      <c r="I48" s="13" t="str">
        <f>_xll.BDH("AMGN US Equity","ST_DEFERRED_REVENUE","FQ2 2020","FQ2 2020","Currency=USD","Period=FQ","BEST_FPERIOD_OVERRIDE=FQ","FILING_STATUS=MR","SCALING_FORMAT=MLN","Sort=A","Dates=H","DateFormat=P","Fill=—","Direction=H","UseDPDF=Y")</f>
        <v>—</v>
      </c>
      <c r="J48" s="13" t="str">
        <f>_xll.BDH("AMGN US Equity","ST_DEFERRED_REVENUE","FQ3 2020","FQ3 2020","Currency=USD","Period=FQ","BEST_FPERIOD_OVERRIDE=FQ","FILING_STATUS=MR","SCALING_FORMAT=MLN","Sort=A","Dates=H","DateFormat=P","Fill=—","Direction=H","UseDPDF=Y")</f>
        <v>—</v>
      </c>
      <c r="K48" s="13">
        <f>_xll.BDH("AMGN US Equity","ST_DEFERRED_REVENUE","FQ4 2020","FQ4 2020","Currency=USD","Period=FQ","BEST_FPERIOD_OVERRIDE=FQ","FILING_STATUS=MR","SCALING_FORMAT=MLN","Sort=A","Dates=H","DateFormat=P","Fill=—","Direction=H","UseDPDF=Y")</f>
        <v>4801</v>
      </c>
      <c r="L48" s="13" t="str">
        <f>_xll.BDH("AMGN US Equity","ST_DEFERRED_REVENUE","FQ1 2021","FQ1 2021","Currency=USD","Period=FQ","BEST_FPERIOD_OVERRIDE=FQ","FILING_STATUS=MR","SCALING_FORMAT=MLN","Sort=A","Dates=H","DateFormat=P","Fill=—","Direction=H","UseDPDF=Y")</f>
        <v>—</v>
      </c>
      <c r="M48" s="13" t="str">
        <f>_xll.BDH("AMGN US Equity","ST_DEFERRED_REVENUE","FQ2 2021","FQ2 2021","Currency=USD","Period=FQ","BEST_FPERIOD_OVERRIDE=FQ","FILING_STATUS=MR","SCALING_FORMAT=MLN","Sort=A","Dates=H","DateFormat=P","Fill=—","Direction=H","UseDPDF=Y")</f>
        <v>—</v>
      </c>
      <c r="N48" s="13" t="str">
        <f>_xll.BDH("AMGN US Equity","ST_DEFERRED_REVENUE","FQ3 2021","FQ3 2021","Currency=USD","Period=FQ","BEST_FPERIOD_OVERRIDE=FQ","FILING_STATUS=MR","SCALING_FORMAT=MLN","Sort=A","Dates=H","DateFormat=P","Fill=—","Direction=H","UseDPDF=Y")</f>
        <v>—</v>
      </c>
      <c r="O48" s="13">
        <f>_xll.BDH("AMGN US Equity","ST_DEFERRED_REVENUE","FQ4 2021","FQ4 2021","Currency=USD","Period=FQ","BEST_FPERIOD_OVERRIDE=FQ","FILING_STATUS=MR","SCALING_FORMAT=MLN","Sort=A","Dates=H","DateFormat=P","Fill=—","Direction=H","UseDPDF=Y")</f>
        <v>5174</v>
      </c>
      <c r="P48" s="13" t="str">
        <f>_xll.BDH("AMGN US Equity","ST_DEFERRED_REVENUE","FQ1 2022","FQ1 2022","Currency=USD","Period=FQ","BEST_FPERIOD_OVERRIDE=FQ","FILING_STATUS=MR","SCALING_FORMAT=MLN","Sort=A","Dates=H","DateFormat=P","Fill=—","Direction=H","UseDPDF=Y")</f>
        <v>—</v>
      </c>
      <c r="Q48" s="13" t="str">
        <f>_xll.BDH("AMGN US Equity","ST_DEFERRED_REVENUE","FQ2 2022","FQ2 2022","Currency=USD","Period=FQ","BEST_FPERIOD_OVERRIDE=FQ","FILING_STATUS=MR","SCALING_FORMAT=MLN","Sort=A","Dates=H","DateFormat=P","Fill=—","Direction=H","UseDPDF=Y")</f>
        <v>—</v>
      </c>
      <c r="R48" s="13" t="str">
        <f>_xll.BDH("AMGN US Equity","ST_DEFERRED_REVENUE","FQ3 2022","FQ3 2022","Currency=USD","Period=FQ","BEST_FPERIOD_OVERRIDE=FQ","FILING_STATUS=MR","SCALING_FORMAT=MLN","Sort=A","Dates=H","DateFormat=P","Fill=—","Direction=H","UseDPDF=Y")</f>
        <v>—</v>
      </c>
      <c r="S48" s="13">
        <f>_xll.BDH("AMGN US Equity","ST_DEFERRED_REVENUE","FQ4 2022","FQ4 2022","Currency=USD","Period=FQ","BEST_FPERIOD_OVERRIDE=FQ","FILING_STATUS=MR","SCALING_FORMAT=MLN","Sort=A","Dates=H","DateFormat=P","Fill=—","Direction=H","UseDPDF=Y")</f>
        <v>5986</v>
      </c>
      <c r="T48" s="13" t="str">
        <f>_xll.BDH("AMGN US Equity","ST_DEFERRED_REVENUE","FQ1 2023","FQ1 2023","Currency=USD","Period=FQ","BEST_FPERIOD_OVERRIDE=FQ","FILING_STATUS=MR","SCALING_FORMAT=MLN","Sort=A","Dates=H","DateFormat=P","Fill=—","Direction=H","UseDPDF=Y")</f>
        <v>—</v>
      </c>
      <c r="U48" s="13" t="str">
        <f>_xll.BDH("AMGN US Equity","ST_DEFERRED_REVENUE","FQ2 2023","FQ2 2023","Currency=USD","Period=FQ","BEST_FPERIOD_OVERRIDE=FQ","FILING_STATUS=MR","SCALING_FORMAT=MLN","Sort=A","Dates=H","DateFormat=P","Fill=—","Direction=H","UseDPDF=Y")</f>
        <v>—</v>
      </c>
      <c r="V48" s="13" t="str">
        <f>_xll.BDH("AMGN US Equity","ST_DEFERRED_REVENUE","FQ3 2023","FQ3 2023","Currency=USD","Period=FQ","BEST_FPERIOD_OVERRIDE=FQ","FILING_STATUS=MR","SCALING_FORMAT=MLN","Sort=A","Dates=H","DateFormat=P","Fill=—","Direction=H","UseDPDF=Y")</f>
        <v>—</v>
      </c>
      <c r="W48" s="13">
        <f>_xll.BDH("AMGN US Equity","ST_DEFERRED_REVENUE","FQ4 2023","FQ4 2023","Currency=USD","Period=FQ","BEST_FPERIOD_OVERRIDE=FQ","FILING_STATUS=MR","SCALING_FORMAT=MLN","Sort=A","Dates=H","DateFormat=P","Fill=—","Direction=H","UseDPDF=Y")</f>
        <v>7271</v>
      </c>
      <c r="X48" s="13" t="str">
        <f>_xll.BDH("AMGN US Equity","ST_DEFERRED_REVENUE","FQ1 2024","FQ1 2024","Currency=USD","Period=FQ","BEST_FPERIOD_OVERRIDE=FQ","FILING_STATUS=MR","SCALING_FORMAT=MLN","Sort=A","Dates=H","DateFormat=P","Fill=—","Direction=H","UseDPDF=Y")</f>
        <v>—</v>
      </c>
      <c r="Y48" s="13" t="str">
        <f>_xll.BDH("AMGN US Equity","ST_DEFERRED_REVENUE","FQ2 2024","FQ2 2024","Currency=USD","Period=FQ","BEST_FPERIOD_OVERRIDE=FQ","FILING_STATUS=MR","SCALING_FORMAT=MLN","Sort=A","Dates=H","DateFormat=P","Fill=—","Direction=H","UseDPDF=Y")</f>
        <v>—</v>
      </c>
      <c r="Z48" s="13" t="str">
        <f>_xll.BDH("AMGN US Equity","ST_DEFERRED_REVENUE","FQ3 2024","FQ3 2024","Currency=USD","Period=FQ","BEST_FPERIOD_OVERRIDE=FQ","FILING_STATUS=MR","SCALING_FORMAT=MLN","Sort=A","Dates=H","DateFormat=P","Fill=—","Direction=H","UseDPDF=Y")</f>
        <v>—</v>
      </c>
      <c r="AA48" s="13">
        <f>_xll.BDH("AMGN US Equity","ST_DEFERRED_REVENUE","FQ4 2024","FQ4 2024","Currency=USD","Period=FQ","BEST_FPERIOD_OVERRIDE=FQ","FILING_STATUS=MR","SCALING_FORMAT=MLN","Sort=A","Dates=H","DateFormat=P","Fill=—","Direction=H","UseDPDF=Y")</f>
        <v>8405</v>
      </c>
    </row>
    <row r="49" spans="1:27" x14ac:dyDescent="0.25">
      <c r="A49" s="10" t="s">
        <v>779</v>
      </c>
      <c r="B49" s="10" t="s">
        <v>780</v>
      </c>
      <c r="C49" s="13">
        <f>_xll.BDH("AMGN US Equity","BS_DERIV_HEDGING_LIAB_ST","FQ4 2018","FQ4 2018","Currency=USD","Period=FQ","BEST_FPERIOD_OVERRIDE=FQ","FILING_STATUS=MR","SCALING_FORMAT=MLN","Sort=A","Dates=H","DateFormat=P","Fill=—","Direction=H","UseDPDF=Y")</f>
        <v>0</v>
      </c>
      <c r="D49" s="13" t="str">
        <f>_xll.BDH("AMGN US Equity","BS_DERIV_HEDGING_LIAB_ST","FQ1 2019","FQ1 2019","Currency=USD","Period=FQ","BEST_FPERIOD_OVERRIDE=FQ","FILING_STATUS=MR","SCALING_FORMAT=MLN","Sort=A","Dates=H","DateFormat=P","Fill=—","Direction=H","UseDPDF=Y")</f>
        <v>—</v>
      </c>
      <c r="E49" s="13" t="str">
        <f>_xll.BDH("AMGN US Equity","BS_DERIV_HEDGING_LIAB_ST","FQ2 2019","FQ2 2019","Currency=USD","Period=FQ","BEST_FPERIOD_OVERRIDE=FQ","FILING_STATUS=MR","SCALING_FORMAT=MLN","Sort=A","Dates=H","DateFormat=P","Fill=—","Direction=H","UseDPDF=Y")</f>
        <v>—</v>
      </c>
      <c r="F49" s="13">
        <f>_xll.BDH("AMGN US Equity","BS_DERIV_HEDGING_LIAB_ST","FQ3 2019","FQ3 2019","Currency=USD","Period=FQ","BEST_FPERIOD_OVERRIDE=FQ","FILING_STATUS=MR","SCALING_FORMAT=MLN","Sort=A","Dates=H","DateFormat=P","Fill=—","Direction=H","UseDPDF=Y")</f>
        <v>0</v>
      </c>
      <c r="G49" s="13">
        <f>_xll.BDH("AMGN US Equity","BS_DERIV_HEDGING_LIAB_ST","FQ4 2019","FQ4 2019","Currency=USD","Period=FQ","BEST_FPERIOD_OVERRIDE=FQ","FILING_STATUS=MR","SCALING_FORMAT=MLN","Sort=A","Dates=H","DateFormat=P","Fill=—","Direction=H","UseDPDF=Y")</f>
        <v>0</v>
      </c>
      <c r="H49" s="13" t="str">
        <f>_xll.BDH("AMGN US Equity","BS_DERIV_HEDGING_LIAB_ST","FQ1 2020","FQ1 2020","Currency=USD","Period=FQ","BEST_FPERIOD_OVERRIDE=FQ","FILING_STATUS=MR","SCALING_FORMAT=MLN","Sort=A","Dates=H","DateFormat=P","Fill=—","Direction=H","UseDPDF=Y")</f>
        <v>—</v>
      </c>
      <c r="I49" s="13">
        <f>_xll.BDH("AMGN US Equity","BS_DERIV_HEDGING_LIAB_ST","FQ2 2020","FQ2 2020","Currency=USD","Period=FQ","BEST_FPERIOD_OVERRIDE=FQ","FILING_STATUS=MR","SCALING_FORMAT=MLN","Sort=A","Dates=H","DateFormat=P","Fill=—","Direction=H","UseDPDF=Y")</f>
        <v>0</v>
      </c>
      <c r="J49" s="13">
        <f>_xll.BDH("AMGN US Equity","BS_DERIV_HEDGING_LIAB_ST","FQ3 2020","FQ3 2020","Currency=USD","Period=FQ","BEST_FPERIOD_OVERRIDE=FQ","FILING_STATUS=MR","SCALING_FORMAT=MLN","Sort=A","Dates=H","DateFormat=P","Fill=—","Direction=H","UseDPDF=Y")</f>
        <v>0</v>
      </c>
      <c r="K49" s="13">
        <f>_xll.BDH("AMGN US Equity","BS_DERIV_HEDGING_LIAB_ST","FQ4 2020","FQ4 2020","Currency=USD","Period=FQ","BEST_FPERIOD_OVERRIDE=FQ","FILING_STATUS=MR","SCALING_FORMAT=MLN","Sort=A","Dates=H","DateFormat=P","Fill=—","Direction=H","UseDPDF=Y")</f>
        <v>0</v>
      </c>
      <c r="L49" s="13" t="str">
        <f>_xll.BDH("AMGN US Equity","BS_DERIV_HEDGING_LIAB_ST","FQ1 2021","FQ1 2021","Currency=USD","Period=FQ","BEST_FPERIOD_OVERRIDE=FQ","FILING_STATUS=MR","SCALING_FORMAT=MLN","Sort=A","Dates=H","DateFormat=P","Fill=—","Direction=H","UseDPDF=Y")</f>
        <v>—</v>
      </c>
      <c r="M49" s="13" t="str">
        <f>_xll.BDH("AMGN US Equity","BS_DERIV_HEDGING_LIAB_ST","FQ2 2021","FQ2 2021","Currency=USD","Period=FQ","BEST_FPERIOD_OVERRIDE=FQ","FILING_STATUS=MR","SCALING_FORMAT=MLN","Sort=A","Dates=H","DateFormat=P","Fill=—","Direction=H","UseDPDF=Y")</f>
        <v>—</v>
      </c>
      <c r="N49" s="13">
        <f>_xll.BDH("AMGN US Equity","BS_DERIV_HEDGING_LIAB_ST","FQ3 2021","FQ3 2021","Currency=USD","Period=FQ","BEST_FPERIOD_OVERRIDE=FQ","FILING_STATUS=MR","SCALING_FORMAT=MLN","Sort=A","Dates=H","DateFormat=P","Fill=—","Direction=H","UseDPDF=Y")</f>
        <v>0</v>
      </c>
      <c r="O49" s="13">
        <f>_xll.BDH("AMGN US Equity","BS_DERIV_HEDGING_LIAB_ST","FQ4 2021","FQ4 2021","Currency=USD","Period=FQ","BEST_FPERIOD_OVERRIDE=FQ","FILING_STATUS=MR","SCALING_FORMAT=MLN","Sort=A","Dates=H","DateFormat=P","Fill=—","Direction=H","UseDPDF=Y")</f>
        <v>0</v>
      </c>
      <c r="P49" s="13">
        <f>_xll.BDH("AMGN US Equity","BS_DERIV_HEDGING_LIAB_ST","FQ1 2022","FQ1 2022","Currency=USD","Period=FQ","BEST_FPERIOD_OVERRIDE=FQ","FILING_STATUS=MR","SCALING_FORMAT=MLN","Sort=A","Dates=H","DateFormat=P","Fill=—","Direction=H","UseDPDF=Y")</f>
        <v>0</v>
      </c>
      <c r="Q49" s="13" t="str">
        <f>_xll.BDH("AMGN US Equity","BS_DERIV_HEDGING_LIAB_ST","FQ2 2022","FQ2 2022","Currency=USD","Period=FQ","BEST_FPERIOD_OVERRIDE=FQ","FILING_STATUS=MR","SCALING_FORMAT=MLN","Sort=A","Dates=H","DateFormat=P","Fill=—","Direction=H","UseDPDF=Y")</f>
        <v>—</v>
      </c>
      <c r="R49" s="13" t="str">
        <f>_xll.BDH("AMGN US Equity","BS_DERIV_HEDGING_LIAB_ST","FQ3 2022","FQ3 2022","Currency=USD","Period=FQ","BEST_FPERIOD_OVERRIDE=FQ","FILING_STATUS=MR","SCALING_FORMAT=MLN","Sort=A","Dates=H","DateFormat=P","Fill=—","Direction=H","UseDPDF=Y")</f>
        <v>—</v>
      </c>
      <c r="S49" s="13">
        <f>_xll.BDH("AMGN US Equity","BS_DERIV_HEDGING_LIAB_ST","FQ4 2022","FQ4 2022","Currency=USD","Period=FQ","BEST_FPERIOD_OVERRIDE=FQ","FILING_STATUS=MR","SCALING_FORMAT=MLN","Sort=A","Dates=H","DateFormat=P","Fill=—","Direction=H","UseDPDF=Y")</f>
        <v>0</v>
      </c>
      <c r="T49" s="13" t="str">
        <f>_xll.BDH("AMGN US Equity","BS_DERIV_HEDGING_LIAB_ST","FQ1 2023","FQ1 2023","Currency=USD","Period=FQ","BEST_FPERIOD_OVERRIDE=FQ","FILING_STATUS=MR","SCALING_FORMAT=MLN","Sort=A","Dates=H","DateFormat=P","Fill=—","Direction=H","UseDPDF=Y")</f>
        <v>—</v>
      </c>
      <c r="U49" s="13" t="str">
        <f>_xll.BDH("AMGN US Equity","BS_DERIV_HEDGING_LIAB_ST","FQ2 2023","FQ2 2023","Currency=USD","Period=FQ","BEST_FPERIOD_OVERRIDE=FQ","FILING_STATUS=MR","SCALING_FORMAT=MLN","Sort=A","Dates=H","DateFormat=P","Fill=—","Direction=H","UseDPDF=Y")</f>
        <v>—</v>
      </c>
      <c r="V49" s="13" t="str">
        <f>_xll.BDH("AMGN US Equity","BS_DERIV_HEDGING_LIAB_ST","FQ3 2023","FQ3 2023","Currency=USD","Period=FQ","BEST_FPERIOD_OVERRIDE=FQ","FILING_STATUS=MR","SCALING_FORMAT=MLN","Sort=A","Dates=H","DateFormat=P","Fill=—","Direction=H","UseDPDF=Y")</f>
        <v>—</v>
      </c>
      <c r="W49" s="13">
        <f>_xll.BDH("AMGN US Equity","BS_DERIV_HEDGING_LIAB_ST","FQ4 2023","FQ4 2023","Currency=USD","Period=FQ","BEST_FPERIOD_OVERRIDE=FQ","FILING_STATUS=MR","SCALING_FORMAT=MLN","Sort=A","Dates=H","DateFormat=P","Fill=—","Direction=H","UseDPDF=Y")</f>
        <v>0</v>
      </c>
      <c r="X49" s="13" t="str">
        <f>_xll.BDH("AMGN US Equity","BS_DERIV_HEDGING_LIAB_ST","FQ1 2024","FQ1 2024","Currency=USD","Period=FQ","BEST_FPERIOD_OVERRIDE=FQ","FILING_STATUS=MR","SCALING_FORMAT=MLN","Sort=A","Dates=H","DateFormat=P","Fill=—","Direction=H","UseDPDF=Y")</f>
        <v>—</v>
      </c>
      <c r="Y49" s="13" t="str">
        <f>_xll.BDH("AMGN US Equity","BS_DERIV_HEDGING_LIAB_ST","FQ2 2024","FQ2 2024","Currency=USD","Period=FQ","BEST_FPERIOD_OVERRIDE=FQ","FILING_STATUS=MR","SCALING_FORMAT=MLN","Sort=A","Dates=H","DateFormat=P","Fill=—","Direction=H","UseDPDF=Y")</f>
        <v>—</v>
      </c>
      <c r="Z49" s="13" t="str">
        <f>_xll.BDH("AMGN US Equity","BS_DERIV_HEDGING_LIAB_ST","FQ3 2024","FQ3 2024","Currency=USD","Period=FQ","BEST_FPERIOD_OVERRIDE=FQ","FILING_STATUS=MR","SCALING_FORMAT=MLN","Sort=A","Dates=H","DateFormat=P","Fill=—","Direction=H","UseDPDF=Y")</f>
        <v>—</v>
      </c>
      <c r="AA49" s="13">
        <f>_xll.BDH("AMGN US Equity","BS_DERIV_HEDGING_LIAB_ST","FQ4 2024","FQ4 2024","Currency=USD","Period=FQ","BEST_FPERIOD_OVERRIDE=FQ","FILING_STATUS=MR","SCALING_FORMAT=MLN","Sort=A","Dates=H","DateFormat=P","Fill=—","Direction=H","UseDPDF=Y")</f>
        <v>0</v>
      </c>
    </row>
    <row r="50" spans="1:27" x14ac:dyDescent="0.25">
      <c r="A50" s="10" t="s">
        <v>781</v>
      </c>
      <c r="B50" s="10" t="s">
        <v>782</v>
      </c>
      <c r="C50" s="13">
        <f>_xll.BDH("AMGN US Equity","OTHER_CURRENT_LIABS_DETAILED","FQ4 2018","FQ4 2018","Currency=USD","Period=FQ","BEST_FPERIOD_OVERRIDE=FQ","FILING_STATUS=MR","SCALING_FORMAT=MLN","Sort=A","Dates=H","DateFormat=P","Fill=—","Direction=H","UseDPDF=Y")</f>
        <v>0</v>
      </c>
      <c r="D50" s="13">
        <f>_xll.BDH("AMGN US Equity","OTHER_CURRENT_LIABS_DETAILED","FQ1 2019","FQ1 2019","Currency=USD","Period=FQ","BEST_FPERIOD_OVERRIDE=FQ","FILING_STATUS=MR","SCALING_FORMAT=MLN","Sort=A","Dates=H","DateFormat=P","Fill=—","Direction=H","UseDPDF=Y")</f>
        <v>120</v>
      </c>
      <c r="E50" s="13">
        <f>_xll.BDH("AMGN US Equity","OTHER_CURRENT_LIABS_DETAILED","FQ2 2019","FQ2 2019","Currency=USD","Period=FQ","BEST_FPERIOD_OVERRIDE=FQ","FILING_STATUS=MR","SCALING_FORMAT=MLN","Sort=A","Dates=H","DateFormat=P","Fill=—","Direction=H","UseDPDF=Y")</f>
        <v>134</v>
      </c>
      <c r="F50" s="13">
        <f>_xll.BDH("AMGN US Equity","OTHER_CURRENT_LIABS_DETAILED","FQ3 2019","FQ3 2019","Currency=USD","Period=FQ","BEST_FPERIOD_OVERRIDE=FQ","FILING_STATUS=MR","SCALING_FORMAT=MLN","Sort=A","Dates=H","DateFormat=P","Fill=—","Direction=H","UseDPDF=Y")</f>
        <v>135</v>
      </c>
      <c r="G50" s="13">
        <f>_xll.BDH("AMGN US Equity","OTHER_CURRENT_LIABS_DETAILED","FQ4 2019","FQ4 2019","Currency=USD","Period=FQ","BEST_FPERIOD_OVERRIDE=FQ","FILING_STATUS=MR","SCALING_FORMAT=MLN","Sort=A","Dates=H","DateFormat=P","Fill=—","Direction=H","UseDPDF=Y")</f>
        <v>0</v>
      </c>
      <c r="H50" s="13">
        <f>_xll.BDH("AMGN US Equity","OTHER_CURRENT_LIABS_DETAILED","FQ1 2020","FQ1 2020","Currency=USD","Period=FQ","BEST_FPERIOD_OVERRIDE=FQ","FILING_STATUS=MR","SCALING_FORMAT=MLN","Sort=A","Dates=H","DateFormat=P","Fill=—","Direction=H","UseDPDF=Y")</f>
        <v>0</v>
      </c>
      <c r="I50" s="13">
        <f>_xll.BDH("AMGN US Equity","OTHER_CURRENT_LIABS_DETAILED","FQ2 2020","FQ2 2020","Currency=USD","Period=FQ","BEST_FPERIOD_OVERRIDE=FQ","FILING_STATUS=MR","SCALING_FORMAT=MLN","Sort=A","Dates=H","DateFormat=P","Fill=—","Direction=H","UseDPDF=Y")</f>
        <v>0</v>
      </c>
      <c r="J50" s="13">
        <f>_xll.BDH("AMGN US Equity","OTHER_CURRENT_LIABS_DETAILED","FQ3 2020","FQ3 2020","Currency=USD","Period=FQ","BEST_FPERIOD_OVERRIDE=FQ","FILING_STATUS=MR","SCALING_FORMAT=MLN","Sort=A","Dates=H","DateFormat=P","Fill=—","Direction=H","UseDPDF=Y")</f>
        <v>0</v>
      </c>
      <c r="K50" s="13">
        <f>_xll.BDH("AMGN US Equity","OTHER_CURRENT_LIABS_DETAILED","FQ4 2020","FQ4 2020","Currency=USD","Period=FQ","BEST_FPERIOD_OVERRIDE=FQ","FILING_STATUS=MR","SCALING_FORMAT=MLN","Sort=A","Dates=H","DateFormat=P","Fill=—","Direction=H","UseDPDF=Y")</f>
        <v>0</v>
      </c>
      <c r="L50" s="13">
        <f>_xll.BDH("AMGN US Equity","OTHER_CURRENT_LIABS_DETAILED","FQ1 2021","FQ1 2021","Currency=USD","Period=FQ","BEST_FPERIOD_OVERRIDE=FQ","FILING_STATUS=MR","SCALING_FORMAT=MLN","Sort=A","Dates=H","DateFormat=P","Fill=—","Direction=H","UseDPDF=Y")</f>
        <v>0</v>
      </c>
      <c r="M50" s="13">
        <f>_xll.BDH("AMGN US Equity","OTHER_CURRENT_LIABS_DETAILED","FQ2 2021","FQ2 2021","Currency=USD","Period=FQ","BEST_FPERIOD_OVERRIDE=FQ","FILING_STATUS=MR","SCALING_FORMAT=MLN","Sort=A","Dates=H","DateFormat=P","Fill=—","Direction=H","UseDPDF=Y")</f>
        <v>0</v>
      </c>
      <c r="N50" s="13">
        <f>_xll.BDH("AMGN US Equity","OTHER_CURRENT_LIABS_DETAILED","FQ3 2021","FQ3 2021","Currency=USD","Period=FQ","BEST_FPERIOD_OVERRIDE=FQ","FILING_STATUS=MR","SCALING_FORMAT=MLN","Sort=A","Dates=H","DateFormat=P","Fill=—","Direction=H","UseDPDF=Y")</f>
        <v>0</v>
      </c>
      <c r="O50" s="13">
        <f>_xll.BDH("AMGN US Equity","OTHER_CURRENT_LIABS_DETAILED","FQ4 2021","FQ4 2021","Currency=USD","Period=FQ","BEST_FPERIOD_OVERRIDE=FQ","FILING_STATUS=MR","SCALING_FORMAT=MLN","Sort=A","Dates=H","DateFormat=P","Fill=—","Direction=H","UseDPDF=Y")</f>
        <v>0</v>
      </c>
      <c r="P50" s="13">
        <f>_xll.BDH("AMGN US Equity","OTHER_CURRENT_LIABS_DETAILED","FQ1 2022","FQ1 2022","Currency=USD","Period=FQ","BEST_FPERIOD_OVERRIDE=FQ","FILING_STATUS=MR","SCALING_FORMAT=MLN","Sort=A","Dates=H","DateFormat=P","Fill=—","Direction=H","UseDPDF=Y")</f>
        <v>0</v>
      </c>
      <c r="Q50" s="13">
        <f>_xll.BDH("AMGN US Equity","OTHER_CURRENT_LIABS_DETAILED","FQ2 2022","FQ2 2022","Currency=USD","Period=FQ","BEST_FPERIOD_OVERRIDE=FQ","FILING_STATUS=MR","SCALING_FORMAT=MLN","Sort=A","Dates=H","DateFormat=P","Fill=—","Direction=H","UseDPDF=Y")</f>
        <v>0</v>
      </c>
      <c r="R50" s="13">
        <f>_xll.BDH("AMGN US Equity","OTHER_CURRENT_LIABS_DETAILED","FQ3 2022","FQ3 2022","Currency=USD","Period=FQ","BEST_FPERIOD_OVERRIDE=FQ","FILING_STATUS=MR","SCALING_FORMAT=MLN","Sort=A","Dates=H","DateFormat=P","Fill=—","Direction=H","UseDPDF=Y")</f>
        <v>0</v>
      </c>
      <c r="S50" s="13">
        <f>_xll.BDH("AMGN US Equity","OTHER_CURRENT_LIABS_DETAILED","FQ4 2022","FQ4 2022","Currency=USD","Period=FQ","BEST_FPERIOD_OVERRIDE=FQ","FILING_STATUS=MR","SCALING_FORMAT=MLN","Sort=A","Dates=H","DateFormat=P","Fill=—","Direction=H","UseDPDF=Y")</f>
        <v>0</v>
      </c>
      <c r="T50" s="13">
        <f>_xll.BDH("AMGN US Equity","OTHER_CURRENT_LIABS_DETAILED","FQ1 2023","FQ1 2023","Currency=USD","Period=FQ","BEST_FPERIOD_OVERRIDE=FQ","FILING_STATUS=MR","SCALING_FORMAT=MLN","Sort=A","Dates=H","DateFormat=P","Fill=—","Direction=H","UseDPDF=Y")</f>
        <v>0</v>
      </c>
      <c r="U50" s="13">
        <f>_xll.BDH("AMGN US Equity","OTHER_CURRENT_LIABS_DETAILED","FQ2 2023","FQ2 2023","Currency=USD","Period=FQ","BEST_FPERIOD_OVERRIDE=FQ","FILING_STATUS=MR","SCALING_FORMAT=MLN","Sort=A","Dates=H","DateFormat=P","Fill=—","Direction=H","UseDPDF=Y")</f>
        <v>0</v>
      </c>
      <c r="V50" s="13">
        <f>_xll.BDH("AMGN US Equity","OTHER_CURRENT_LIABS_DETAILED","FQ3 2023","FQ3 2023","Currency=USD","Period=FQ","BEST_FPERIOD_OVERRIDE=FQ","FILING_STATUS=MR","SCALING_FORMAT=MLN","Sort=A","Dates=H","DateFormat=P","Fill=—","Direction=H","UseDPDF=Y")</f>
        <v>0</v>
      </c>
      <c r="W50" s="13">
        <f>_xll.BDH("AMGN US Equity","OTHER_CURRENT_LIABS_DETAILED","FQ4 2023","FQ4 2023","Currency=USD","Period=FQ","BEST_FPERIOD_OVERRIDE=FQ","FILING_STATUS=MR","SCALING_FORMAT=MLN","Sort=A","Dates=H","DateFormat=P","Fill=—","Direction=H","UseDPDF=Y")</f>
        <v>0</v>
      </c>
      <c r="X50" s="13">
        <f>_xll.BDH("AMGN US Equity","OTHER_CURRENT_LIABS_DETAILED","FQ1 2024","FQ1 2024","Currency=USD","Period=FQ","BEST_FPERIOD_OVERRIDE=FQ","FILING_STATUS=MR","SCALING_FORMAT=MLN","Sort=A","Dates=H","DateFormat=P","Fill=—","Direction=H","UseDPDF=Y")</f>
        <v>0</v>
      </c>
      <c r="Y50" s="13">
        <f>_xll.BDH("AMGN US Equity","OTHER_CURRENT_LIABS_DETAILED","FQ2 2024","FQ2 2024","Currency=USD","Period=FQ","BEST_FPERIOD_OVERRIDE=FQ","FILING_STATUS=MR","SCALING_FORMAT=MLN","Sort=A","Dates=H","DateFormat=P","Fill=—","Direction=H","UseDPDF=Y")</f>
        <v>0</v>
      </c>
      <c r="Z50" s="13">
        <f>_xll.BDH("AMGN US Equity","OTHER_CURRENT_LIABS_DETAILED","FQ3 2024","FQ3 2024","Currency=USD","Period=FQ","BEST_FPERIOD_OVERRIDE=FQ","FILING_STATUS=MR","SCALING_FORMAT=MLN","Sort=A","Dates=H","DateFormat=P","Fill=—","Direction=H","UseDPDF=Y")</f>
        <v>0</v>
      </c>
      <c r="AA50" s="13">
        <f>_xll.BDH("AMGN US Equity","OTHER_CURRENT_LIABS_DETAILED","FQ4 2024","FQ4 2024","Currency=USD","Period=FQ","BEST_FPERIOD_OVERRIDE=FQ","FILING_STATUS=MR","SCALING_FORMAT=MLN","Sort=A","Dates=H","DateFormat=P","Fill=—","Direction=H","UseDPDF=Y")</f>
        <v>0</v>
      </c>
    </row>
    <row r="51" spans="1:27" x14ac:dyDescent="0.25">
      <c r="A51" s="6" t="s">
        <v>114</v>
      </c>
      <c r="B51" s="6" t="s">
        <v>115</v>
      </c>
      <c r="C51" s="19">
        <f>_xll.BDH("AMGN US Equity","BS_CUR_LIAB","FQ4 2018","FQ4 2018","Currency=USD","Period=FQ","BEST_FPERIOD_OVERRIDE=FQ","FILING_STATUS=MR","SCALING_FORMAT=MLN","Sort=A","Dates=H","DateFormat=P","Fill=—","Direction=H","UseDPDF=Y")</f>
        <v>13488</v>
      </c>
      <c r="D51" s="19">
        <f>_xll.BDH("AMGN US Equity","BS_CUR_LIAB","FQ1 2019","FQ1 2019","Currency=USD","Period=FQ","BEST_FPERIOD_OVERRIDE=FQ","FILING_STATUS=MR","SCALING_FORMAT=MLN","Sort=A","Dates=H","DateFormat=P","Fill=—","Direction=H","UseDPDF=Y")</f>
        <v>12706</v>
      </c>
      <c r="E51" s="19">
        <f>_xll.BDH("AMGN US Equity","BS_CUR_LIAB","FQ2 2019","FQ2 2019","Currency=USD","Period=FQ","BEST_FPERIOD_OVERRIDE=FQ","FILING_STATUS=MR","SCALING_FORMAT=MLN","Sort=A","Dates=H","DateFormat=P","Fill=—","Direction=H","UseDPDF=Y")</f>
        <v>10622</v>
      </c>
      <c r="F51" s="19">
        <f>_xll.BDH("AMGN US Equity","BS_CUR_LIAB","FQ3 2019","FQ3 2019","Currency=USD","Period=FQ","BEST_FPERIOD_OVERRIDE=FQ","FILING_STATUS=MR","SCALING_FORMAT=MLN","Sort=A","Dates=H","DateFormat=P","Fill=—","Direction=H","UseDPDF=Y")</f>
        <v>10737</v>
      </c>
      <c r="G51" s="19">
        <f>_xll.BDH("AMGN US Equity","BS_CUR_LIAB","FQ4 2019","FQ4 2019","Currency=USD","Period=FQ","BEST_FPERIOD_OVERRIDE=FQ","FILING_STATUS=MR","SCALING_FORMAT=MLN","Sort=A","Dates=H","DateFormat=P","Fill=—","Direction=H","UseDPDF=Y")</f>
        <v>12835</v>
      </c>
      <c r="H51" s="19">
        <f>_xll.BDH("AMGN US Equity","BS_CUR_LIAB","FQ1 2020","FQ1 2020","Currency=USD","Period=FQ","BEST_FPERIOD_OVERRIDE=FQ","FILING_STATUS=MR","SCALING_FORMAT=MLN","Sort=A","Dates=H","DateFormat=P","Fill=—","Direction=H","UseDPDF=Y")</f>
        <v>11827</v>
      </c>
      <c r="I51" s="19">
        <f>_xll.BDH("AMGN US Equity","BS_CUR_LIAB","FQ2 2020","FQ2 2020","Currency=USD","Period=FQ","BEST_FPERIOD_OVERRIDE=FQ","FILING_STATUS=MR","SCALING_FORMAT=MLN","Sort=A","Dates=H","DateFormat=P","Fill=—","Direction=H","UseDPDF=Y")</f>
        <v>10523</v>
      </c>
      <c r="J51" s="19">
        <f>_xll.BDH("AMGN US Equity","BS_CUR_LIAB","FQ3 2020","FQ3 2020","Currency=USD","Period=FQ","BEST_FPERIOD_OVERRIDE=FQ","FILING_STATUS=MR","SCALING_FORMAT=MLN","Sort=A","Dates=H","DateFormat=P","Fill=—","Direction=H","UseDPDF=Y")</f>
        <v>9953</v>
      </c>
      <c r="K51" s="19">
        <f>_xll.BDH("AMGN US Equity","BS_CUR_LIAB","FQ4 2020","FQ4 2020","Currency=USD","Period=FQ","BEST_FPERIOD_OVERRIDE=FQ","FILING_STATUS=MR","SCALING_FORMAT=MLN","Sort=A","Dates=H","DateFormat=P","Fill=—","Direction=H","UseDPDF=Y")</f>
        <v>11653</v>
      </c>
      <c r="L51" s="19">
        <f>_xll.BDH("AMGN US Equity","BS_CUR_LIAB","FQ1 2021","FQ1 2021","Currency=USD","Period=FQ","BEST_FPERIOD_OVERRIDE=FQ","FILING_STATUS=MR","SCALING_FORMAT=MLN","Sort=A","Dates=H","DateFormat=P","Fill=—","Direction=H","UseDPDF=Y")</f>
        <v>12869</v>
      </c>
      <c r="M51" s="19">
        <f>_xll.BDH("AMGN US Equity","BS_CUR_LIAB","FQ2 2021","FQ2 2021","Currency=USD","Period=FQ","BEST_FPERIOD_OVERRIDE=FQ","FILING_STATUS=MR","SCALING_FORMAT=MLN","Sort=A","Dates=H","DateFormat=P","Fill=—","Direction=H","UseDPDF=Y")</f>
        <v>14585</v>
      </c>
      <c r="N51" s="19">
        <f>_xll.BDH("AMGN US Equity","BS_CUR_LIAB","FQ3 2021","FQ3 2021","Currency=USD","Period=FQ","BEST_FPERIOD_OVERRIDE=FQ","FILING_STATUS=MR","SCALING_FORMAT=MLN","Sort=A","Dates=H","DateFormat=P","Fill=—","Direction=H","UseDPDF=Y")</f>
        <v>14842</v>
      </c>
      <c r="O51" s="19">
        <f>_xll.BDH("AMGN US Equity","BS_CUR_LIAB","FQ4 2021","FQ4 2021","Currency=USD","Period=FQ","BEST_FPERIOD_OVERRIDE=FQ","FILING_STATUS=MR","SCALING_FORMAT=MLN","Sort=A","Dates=H","DateFormat=P","Fill=—","Direction=H","UseDPDF=Y")</f>
        <v>12184</v>
      </c>
      <c r="P51" s="19">
        <f>_xll.BDH("AMGN US Equity","BS_CUR_LIAB","FQ1 2022","FQ1 2022","Currency=USD","Period=FQ","BEST_FPERIOD_OVERRIDE=FQ","FILING_STATUS=MR","SCALING_FORMAT=MLN","Sort=A","Dates=H","DateFormat=P","Fill=—","Direction=H","UseDPDF=Y")</f>
        <v>12886</v>
      </c>
      <c r="Q51" s="19">
        <f>_xll.BDH("AMGN US Equity","BS_CUR_LIAB","FQ2 2022","FQ2 2022","Currency=USD","Period=FQ","BEST_FPERIOD_OVERRIDE=FQ","FILING_STATUS=MR","SCALING_FORMAT=MLN","Sort=A","Dates=H","DateFormat=P","Fill=—","Direction=H","UseDPDF=Y")</f>
        <v>12618</v>
      </c>
      <c r="R51" s="19">
        <f>_xll.BDH("AMGN US Equity","BS_CUR_LIAB","FQ3 2022","FQ3 2022","Currency=USD","Period=FQ","BEST_FPERIOD_OVERRIDE=FQ","FILING_STATUS=MR","SCALING_FORMAT=MLN","Sort=A","Dates=H","DateFormat=P","Fill=—","Direction=H","UseDPDF=Y")</f>
        <v>14331</v>
      </c>
      <c r="S51" s="19">
        <f>_xll.BDH("AMGN US Equity","BS_CUR_LIAB","FQ4 2022","FQ4 2022","Currency=USD","Period=FQ","BEST_FPERIOD_OVERRIDE=FQ","FILING_STATUS=MR","SCALING_FORMAT=MLN","Sort=A","Dates=H","DateFormat=P","Fill=—","Direction=H","UseDPDF=Y")</f>
        <v>15687</v>
      </c>
      <c r="T51" s="19">
        <f>_xll.BDH("AMGN US Equity","BS_CUR_LIAB","FQ1 2023","FQ1 2023","Currency=USD","Period=FQ","BEST_FPERIOD_OVERRIDE=FQ","FILING_STATUS=MR","SCALING_FORMAT=MLN","Sort=A","Dates=H","DateFormat=P","Fill=—","Direction=H","UseDPDF=Y")</f>
        <v>14215</v>
      </c>
      <c r="U51" s="19">
        <f>_xll.BDH("AMGN US Equity","BS_CUR_LIAB","FQ2 2023","FQ2 2023","Currency=USD","Period=FQ","BEST_FPERIOD_OVERRIDE=FQ","FILING_STATUS=MR","SCALING_FORMAT=MLN","Sort=A","Dates=H","DateFormat=P","Fill=—","Direction=H","UseDPDF=Y")</f>
        <v>17097</v>
      </c>
      <c r="V51" s="19">
        <f>_xll.BDH("AMGN US Equity","BS_CUR_LIAB","FQ3 2023","FQ3 2023","Currency=USD","Period=FQ","BEST_FPERIOD_OVERRIDE=FQ","FILING_STATUS=MR","SCALING_FORMAT=MLN","Sort=A","Dates=H","DateFormat=P","Fill=—","Direction=H","UseDPDF=Y")</f>
        <v>16954</v>
      </c>
      <c r="W51" s="19">
        <f>_xll.BDH("AMGN US Equity","BS_CUR_LIAB","FQ4 2023","FQ4 2023","Currency=USD","Period=FQ","BEST_FPERIOD_OVERRIDE=FQ","FILING_STATUS=MR","SCALING_FORMAT=MLN","Sort=A","Dates=H","DateFormat=P","Fill=—","Direction=H","UseDPDF=Y")</f>
        <v>18392</v>
      </c>
      <c r="X51" s="19">
        <f>_xll.BDH("AMGN US Equity","BS_CUR_LIAB","FQ1 2024","FQ1 2024","Currency=USD","Period=FQ","BEST_FPERIOD_OVERRIDE=FQ","FILING_STATUS=MR","SCALING_FORMAT=MLN","Sort=A","Dates=H","DateFormat=P","Fill=—","Direction=H","UseDPDF=Y")</f>
        <v>19714</v>
      </c>
      <c r="Y51" s="19">
        <f>_xll.BDH("AMGN US Equity","BS_CUR_LIAB","FQ2 2024","FQ2 2024","Currency=USD","Period=FQ","BEST_FPERIOD_OVERRIDE=FQ","FILING_STATUS=MR","SCALING_FORMAT=MLN","Sort=A","Dates=H","DateFormat=P","Fill=—","Direction=H","UseDPDF=Y")</f>
        <v>21517</v>
      </c>
      <c r="Z51" s="19">
        <f>_xll.BDH("AMGN US Equity","BS_CUR_LIAB","FQ3 2024","FQ3 2024","Currency=USD","Period=FQ","BEST_FPERIOD_OVERRIDE=FQ","FILING_STATUS=MR","SCALING_FORMAT=MLN","Sort=A","Dates=H","DateFormat=P","Fill=—","Direction=H","UseDPDF=Y")</f>
        <v>20312</v>
      </c>
      <c r="AA51" s="19">
        <f>_xll.BDH("AMGN US Equity","BS_CUR_LIAB","FQ4 2024","FQ4 2024","Currency=USD","Period=FQ","BEST_FPERIOD_OVERRIDE=FQ","FILING_STATUS=MR","SCALING_FORMAT=MLN","Sort=A","Dates=H","DateFormat=P","Fill=—","Direction=H","UseDPDF=Y")</f>
        <v>23099</v>
      </c>
    </row>
    <row r="52" spans="1:27" x14ac:dyDescent="0.25">
      <c r="A52" s="10" t="s">
        <v>783</v>
      </c>
      <c r="B52" s="10" t="s">
        <v>784</v>
      </c>
      <c r="C52" s="13">
        <f>_xll.BDH("AMGN US Equity","BS_LT_BORROW","FQ4 2018","FQ4 2018","Currency=USD","Period=FQ","BEST_FPERIOD_OVERRIDE=FQ","FILING_STATUS=MR","SCALING_FORMAT=MLN","Sort=A","Dates=H","DateFormat=P","Fill=—","Direction=H","UseDPDF=Y")</f>
        <v>29510</v>
      </c>
      <c r="D52" s="13">
        <f>_xll.BDH("AMGN US Equity","BS_LT_BORROW","FQ1 2019","FQ1 2019","Currency=USD","Period=FQ","BEST_FPERIOD_OVERRIDE=FQ","FILING_STATUS=MR","SCALING_FORMAT=MLN","Sort=A","Dates=H","DateFormat=P","Fill=—","Direction=H","UseDPDF=Y")</f>
        <v>29687</v>
      </c>
      <c r="E52" s="13">
        <f>_xll.BDH("AMGN US Equity","BS_LT_BORROW","FQ2 2019","FQ2 2019","Currency=USD","Period=FQ","BEST_FPERIOD_OVERRIDE=FQ","FILING_STATUS=MR","SCALING_FORMAT=MLN","Sort=A","Dates=H","DateFormat=P","Fill=—","Direction=H","UseDPDF=Y")</f>
        <v>28161</v>
      </c>
      <c r="F52" s="13">
        <f>_xll.BDH("AMGN US Equity","BS_LT_BORROW","FQ3 2019","FQ3 2019","Currency=USD","Period=FQ","BEST_FPERIOD_OVERRIDE=FQ","FILING_STATUS=MR","SCALING_FORMAT=MLN","Sort=A","Dates=H","DateFormat=P","Fill=—","Direction=H","UseDPDF=Y")</f>
        <v>28093</v>
      </c>
      <c r="G52" s="13">
        <f>_xll.BDH("AMGN US Equity","BS_LT_BORROW","FQ4 2019","FQ4 2019","Currency=USD","Period=FQ","BEST_FPERIOD_OVERRIDE=FQ","FILING_STATUS=MR","SCALING_FORMAT=MLN","Sort=A","Dates=H","DateFormat=P","Fill=—","Direction=H","UseDPDF=Y")</f>
        <v>27338</v>
      </c>
      <c r="H52" s="13">
        <f>_xll.BDH("AMGN US Equity","BS_LT_BORROW","FQ1 2020","FQ1 2020","Currency=USD","Period=FQ","BEST_FPERIOD_OVERRIDE=FQ","FILING_STATUS=MR","SCALING_FORMAT=MLN","Sort=A","Dates=H","DateFormat=P","Fill=—","Direction=H","UseDPDF=Y")</f>
        <v>30008</v>
      </c>
      <c r="I52" s="13">
        <f>_xll.BDH("AMGN US Equity","BS_LT_BORROW","FQ2 2020","FQ2 2020","Currency=USD","Period=FQ","BEST_FPERIOD_OVERRIDE=FQ","FILING_STATUS=MR","SCALING_FORMAT=MLN","Sort=A","Dates=H","DateFormat=P","Fill=—","Direction=H","UseDPDF=Y")</f>
        <v>34133</v>
      </c>
      <c r="J52" s="13">
        <f>_xll.BDH("AMGN US Equity","BS_LT_BORROW","FQ3 2020","FQ3 2020","Currency=USD","Period=FQ","BEST_FPERIOD_OVERRIDE=FQ","FILING_STATUS=MR","SCALING_FORMAT=MLN","Sort=A","Dates=H","DateFormat=P","Fill=—","Direction=H","UseDPDF=Y")</f>
        <v>34196</v>
      </c>
      <c r="K52" s="13">
        <f>_xll.BDH("AMGN US Equity","BS_LT_BORROW","FQ4 2020","FQ4 2020","Currency=USD","Period=FQ","BEST_FPERIOD_OVERRIDE=FQ","FILING_STATUS=MR","SCALING_FORMAT=MLN","Sort=A","Dates=H","DateFormat=P","Fill=—","Direction=H","UseDPDF=Y")</f>
        <v>33201</v>
      </c>
      <c r="L52" s="13">
        <f>_xll.BDH("AMGN US Equity","BS_LT_BORROW","FQ1 2021","FQ1 2021","Currency=USD","Period=FQ","BEST_FPERIOD_OVERRIDE=FQ","FILING_STATUS=MR","SCALING_FORMAT=MLN","Sort=A","Dates=H","DateFormat=P","Fill=—","Direction=H","UseDPDF=Y")</f>
        <v>31129</v>
      </c>
      <c r="M52" s="13">
        <f>_xll.BDH("AMGN US Equity","BS_LT_BORROW","FQ2 2021","FQ2 2021","Currency=USD","Period=FQ","BEST_FPERIOD_OVERRIDE=FQ","FILING_STATUS=MR","SCALING_FORMAT=MLN","Sort=A","Dates=H","DateFormat=P","Fill=—","Direction=H","UseDPDF=Y")</f>
        <v>28458</v>
      </c>
      <c r="N52" s="13">
        <f>_xll.BDH("AMGN US Equity","BS_LT_BORROW","FQ3 2021","FQ3 2021","Currency=USD","Period=FQ","BEST_FPERIOD_OVERRIDE=FQ","FILING_STATUS=MR","SCALING_FORMAT=MLN","Sort=A","Dates=H","DateFormat=P","Fill=—","Direction=H","UseDPDF=Y")</f>
        <v>33291</v>
      </c>
      <c r="O52" s="13">
        <f>_xll.BDH("AMGN US Equity","BS_LT_BORROW","FQ4 2021","FQ4 2021","Currency=USD","Period=FQ","BEST_FPERIOD_OVERRIDE=FQ","FILING_STATUS=MR","SCALING_FORMAT=MLN","Sort=A","Dates=H","DateFormat=P","Fill=—","Direction=H","UseDPDF=Y")</f>
        <v>33747</v>
      </c>
      <c r="P52" s="13">
        <f>_xll.BDH("AMGN US Equity","BS_LT_BORROW","FQ1 2022","FQ1 2022","Currency=USD","Period=FQ","BEST_FPERIOD_OVERRIDE=FQ","FILING_STATUS=MR","SCALING_FORMAT=MLN","Sort=A","Dates=H","DateFormat=P","Fill=—","Direction=H","UseDPDF=Y")</f>
        <v>36010</v>
      </c>
      <c r="Q52" s="13">
        <f>_xll.BDH("AMGN US Equity","BS_LT_BORROW","FQ2 2022","FQ2 2022","Currency=USD","Period=FQ","BEST_FPERIOD_OVERRIDE=FQ","FILING_STATUS=MR","SCALING_FORMAT=MLN","Sort=A","Dates=H","DateFormat=P","Fill=—","Direction=H","UseDPDF=Y")</f>
        <v>35705</v>
      </c>
      <c r="R52" s="13">
        <f>_xll.BDH("AMGN US Equity","BS_LT_BORROW","FQ3 2022","FQ3 2022","Currency=USD","Period=FQ","BEST_FPERIOD_OVERRIDE=FQ","FILING_STATUS=MR","SCALING_FORMAT=MLN","Sort=A","Dates=H","DateFormat=P","Fill=—","Direction=H","UseDPDF=Y")</f>
        <v>37161</v>
      </c>
      <c r="S52" s="13">
        <f>_xll.BDH("AMGN US Equity","BS_LT_BORROW","FQ4 2022","FQ4 2022","Currency=USD","Period=FQ","BEST_FPERIOD_OVERRIDE=FQ","FILING_STATUS=MR","SCALING_FORMAT=MLN","Sort=A","Dates=H","DateFormat=P","Fill=—","Direction=H","UseDPDF=Y")</f>
        <v>37893</v>
      </c>
      <c r="T52" s="13">
        <f>_xll.BDH("AMGN US Equity","BS_LT_BORROW","FQ1 2023","FQ1 2023","Currency=USD","Period=FQ","BEST_FPERIOD_OVERRIDE=FQ","FILING_STATUS=MR","SCALING_FORMAT=MLN","Sort=A","Dates=H","DateFormat=P","Fill=—","Direction=H","UseDPDF=Y")</f>
        <v>60761</v>
      </c>
      <c r="U52" s="13">
        <f>_xll.BDH("AMGN US Equity","BS_LT_BORROW","FQ2 2023","FQ2 2023","Currency=USD","Period=FQ","BEST_FPERIOD_OVERRIDE=FQ","FILING_STATUS=MR","SCALING_FORMAT=MLN","Sort=A","Dates=H","DateFormat=P","Fill=—","Direction=H","UseDPDF=Y")</f>
        <v>59377</v>
      </c>
      <c r="V52" s="13">
        <f>_xll.BDH("AMGN US Equity","BS_LT_BORROW","FQ3 2023","FQ3 2023","Currency=USD","Period=FQ","BEST_FPERIOD_OVERRIDE=FQ","FILING_STATUS=MR","SCALING_FORMAT=MLN","Sort=A","Dates=H","DateFormat=P","Fill=—","Direction=H","UseDPDF=Y")</f>
        <v>59040</v>
      </c>
      <c r="W52" s="13">
        <f>_xll.BDH("AMGN US Equity","BS_LT_BORROW","FQ4 2023","FQ4 2023","Currency=USD","Period=FQ","BEST_FPERIOD_OVERRIDE=FQ","FILING_STATUS=MR","SCALING_FORMAT=MLN","Sort=A","Dates=H","DateFormat=P","Fill=—","Direction=H","UseDPDF=Y")</f>
        <v>63861</v>
      </c>
      <c r="X52" s="13">
        <f>_xll.BDH("AMGN US Equity","BS_LT_BORROW","FQ1 2024","FQ1 2024","Currency=USD","Period=FQ","BEST_FPERIOD_OVERRIDE=FQ","FILING_STATUS=MR","SCALING_FORMAT=MLN","Sort=A","Dates=H","DateFormat=P","Fill=—","Direction=H","UseDPDF=Y")</f>
        <v>60061</v>
      </c>
      <c r="Y52" s="13">
        <f>_xll.BDH("AMGN US Equity","BS_LT_BORROW","FQ2 2024","FQ2 2024","Currency=USD","Period=FQ","BEST_FPERIOD_OVERRIDE=FQ","FILING_STATUS=MR","SCALING_FORMAT=MLN","Sort=A","Dates=H","DateFormat=P","Fill=—","Direction=H","UseDPDF=Y")</f>
        <v>57117</v>
      </c>
      <c r="Z52" s="13">
        <f>_xll.BDH("AMGN US Equity","BS_LT_BORROW","FQ3 2024","FQ3 2024","Currency=USD","Period=FQ","BEST_FPERIOD_OVERRIDE=FQ","FILING_STATUS=MR","SCALING_FORMAT=MLN","Sort=A","Dates=H","DateFormat=P","Fill=—","Direction=H","UseDPDF=Y")</f>
        <v>56854</v>
      </c>
      <c r="AA52" s="13">
        <f>_xll.BDH("AMGN US Equity","BS_LT_BORROW","FQ4 2024","FQ4 2024","Currency=USD","Period=FQ","BEST_FPERIOD_OVERRIDE=FQ","FILING_STATUS=MR","SCALING_FORMAT=MLN","Sort=A","Dates=H","DateFormat=P","Fill=—","Direction=H","UseDPDF=Y")</f>
        <v>57222</v>
      </c>
    </row>
    <row r="53" spans="1:27" x14ac:dyDescent="0.25">
      <c r="A53" s="10" t="s">
        <v>785</v>
      </c>
      <c r="B53" s="10" t="s">
        <v>786</v>
      </c>
      <c r="C53" s="13">
        <f>_xll.BDH("AMGN US Equity","LONG_TERM_BORROWINGS_DETAILED","FQ4 2018","FQ4 2018","Currency=USD","Period=FQ","BEST_FPERIOD_OVERRIDE=FQ","FILING_STATUS=MR","SCALING_FORMAT=MLN","Sort=A","Dates=H","DateFormat=P","Fill=—","Direction=H","UseDPDF=Y")</f>
        <v>29510</v>
      </c>
      <c r="D53" s="13">
        <f>_xll.BDH("AMGN US Equity","LONG_TERM_BORROWINGS_DETAILED","FQ1 2019","FQ1 2019","Currency=USD","Period=FQ","BEST_FPERIOD_OVERRIDE=FQ","FILING_STATUS=MR","SCALING_FORMAT=MLN","Sort=A","Dates=H","DateFormat=P","Fill=—","Direction=H","UseDPDF=Y")</f>
        <v>29319</v>
      </c>
      <c r="E53" s="13">
        <f>_xll.BDH("AMGN US Equity","LONG_TERM_BORROWINGS_DETAILED","FQ2 2019","FQ2 2019","Currency=USD","Period=FQ","BEST_FPERIOD_OVERRIDE=FQ","FILING_STATUS=MR","SCALING_FORMAT=MLN","Sort=A","Dates=H","DateFormat=P","Fill=—","Direction=H","UseDPDF=Y")</f>
        <v>27798</v>
      </c>
      <c r="F53" s="13">
        <f>_xll.BDH("AMGN US Equity","LONG_TERM_BORROWINGS_DETAILED","FQ3 2019","FQ3 2019","Currency=USD","Period=FQ","BEST_FPERIOD_OVERRIDE=FQ","FILING_STATUS=MR","SCALING_FORMAT=MLN","Sort=A","Dates=H","DateFormat=P","Fill=—","Direction=H","UseDPDF=Y")</f>
        <v>27742</v>
      </c>
      <c r="G53" s="13">
        <f>_xll.BDH("AMGN US Equity","LONG_TERM_BORROWINGS_DETAILED","FQ4 2019","FQ4 2019","Currency=USD","Period=FQ","BEST_FPERIOD_OVERRIDE=FQ","FILING_STATUS=MR","SCALING_FORMAT=MLN","Sort=A","Dates=H","DateFormat=P","Fill=—","Direction=H","UseDPDF=Y")</f>
        <v>26950</v>
      </c>
      <c r="H53" s="13">
        <f>_xll.BDH("AMGN US Equity","LONG_TERM_BORROWINGS_DETAILED","FQ1 2020","FQ1 2020","Currency=USD","Period=FQ","BEST_FPERIOD_OVERRIDE=FQ","FILING_STATUS=MR","SCALING_FORMAT=MLN","Sort=A","Dates=H","DateFormat=P","Fill=—","Direction=H","UseDPDF=Y")</f>
        <v>30008</v>
      </c>
      <c r="I53" s="13">
        <f>_xll.BDH("AMGN US Equity","LONG_TERM_BORROWINGS_DETAILED","FQ2 2020","FQ2 2020","Currency=USD","Period=FQ","BEST_FPERIOD_OVERRIDE=FQ","FILING_STATUS=MR","SCALING_FORMAT=MLN","Sort=A","Dates=H","DateFormat=P","Fill=—","Direction=H","UseDPDF=Y")</f>
        <v>34133</v>
      </c>
      <c r="J53" s="13">
        <f>_xll.BDH("AMGN US Equity","LONG_TERM_BORROWINGS_DETAILED","FQ3 2020","FQ3 2020","Currency=USD","Period=FQ","BEST_FPERIOD_OVERRIDE=FQ","FILING_STATUS=MR","SCALING_FORMAT=MLN","Sort=A","Dates=H","DateFormat=P","Fill=—","Direction=H","UseDPDF=Y")</f>
        <v>34196</v>
      </c>
      <c r="K53" s="13">
        <f>_xll.BDH("AMGN US Equity","LONG_TERM_BORROWINGS_DETAILED","FQ4 2020","FQ4 2020","Currency=USD","Period=FQ","BEST_FPERIOD_OVERRIDE=FQ","FILING_STATUS=MR","SCALING_FORMAT=MLN","Sort=A","Dates=H","DateFormat=P","Fill=—","Direction=H","UseDPDF=Y")</f>
        <v>32895</v>
      </c>
      <c r="L53" s="13">
        <f>_xll.BDH("AMGN US Equity","LONG_TERM_BORROWINGS_DETAILED","FQ1 2021","FQ1 2021","Currency=USD","Period=FQ","BEST_FPERIOD_OVERRIDE=FQ","FILING_STATUS=MR","SCALING_FORMAT=MLN","Sort=A","Dates=H","DateFormat=P","Fill=—","Direction=H","UseDPDF=Y")</f>
        <v>31129</v>
      </c>
      <c r="M53" s="13">
        <f>_xll.BDH("AMGN US Equity","LONG_TERM_BORROWINGS_DETAILED","FQ2 2021","FQ2 2021","Currency=USD","Period=FQ","BEST_FPERIOD_OVERRIDE=FQ","FILING_STATUS=MR","SCALING_FORMAT=MLN","Sort=A","Dates=H","DateFormat=P","Fill=—","Direction=H","UseDPDF=Y")</f>
        <v>28458</v>
      </c>
      <c r="N53" s="13">
        <f>_xll.BDH("AMGN US Equity","LONG_TERM_BORROWINGS_DETAILED","FQ3 2021","FQ3 2021","Currency=USD","Period=FQ","BEST_FPERIOD_OVERRIDE=FQ","FILING_STATUS=MR","SCALING_FORMAT=MLN","Sort=A","Dates=H","DateFormat=P","Fill=—","Direction=H","UseDPDF=Y")</f>
        <v>33291</v>
      </c>
      <c r="O53" s="13">
        <f>_xll.BDH("AMGN US Equity","LONG_TERM_BORROWINGS_DETAILED","FQ4 2021","FQ4 2021","Currency=USD","Period=FQ","BEST_FPERIOD_OVERRIDE=FQ","FILING_STATUS=MR","SCALING_FORMAT=MLN","Sort=A","Dates=H","DateFormat=P","Fill=—","Direction=H","UseDPDF=Y")</f>
        <v>33222</v>
      </c>
      <c r="P53" s="13">
        <f>_xll.BDH("AMGN US Equity","LONG_TERM_BORROWINGS_DETAILED","FQ1 2022","FQ1 2022","Currency=USD","Period=FQ","BEST_FPERIOD_OVERRIDE=FQ","FILING_STATUS=MR","SCALING_FORMAT=MLN","Sort=A","Dates=H","DateFormat=P","Fill=—","Direction=H","UseDPDF=Y")</f>
        <v>36010</v>
      </c>
      <c r="Q53" s="13">
        <f>_xll.BDH("AMGN US Equity","LONG_TERM_BORROWINGS_DETAILED","FQ2 2022","FQ2 2022","Currency=USD","Period=FQ","BEST_FPERIOD_OVERRIDE=FQ","FILING_STATUS=MR","SCALING_FORMAT=MLN","Sort=A","Dates=H","DateFormat=P","Fill=—","Direction=H","UseDPDF=Y")</f>
        <v>35705</v>
      </c>
      <c r="R53" s="13">
        <f>_xll.BDH("AMGN US Equity","LONG_TERM_BORROWINGS_DETAILED","FQ3 2022","FQ3 2022","Currency=USD","Period=FQ","BEST_FPERIOD_OVERRIDE=FQ","FILING_STATUS=MR","SCALING_FORMAT=MLN","Sort=A","Dates=H","DateFormat=P","Fill=—","Direction=H","UseDPDF=Y")</f>
        <v>37161</v>
      </c>
      <c r="S53" s="13">
        <f>_xll.BDH("AMGN US Equity","LONG_TERM_BORROWINGS_DETAILED","FQ4 2022","FQ4 2022","Currency=USD","Period=FQ","BEST_FPERIOD_OVERRIDE=FQ","FILING_STATUS=MR","SCALING_FORMAT=MLN","Sort=A","Dates=H","DateFormat=P","Fill=—","Direction=H","UseDPDF=Y")</f>
        <v>37354</v>
      </c>
      <c r="T53" s="13">
        <f>_xll.BDH("AMGN US Equity","LONG_TERM_BORROWINGS_DETAILED","FQ1 2023","FQ1 2023","Currency=USD","Period=FQ","BEST_FPERIOD_OVERRIDE=FQ","FILING_STATUS=MR","SCALING_FORMAT=MLN","Sort=A","Dates=H","DateFormat=P","Fill=—","Direction=H","UseDPDF=Y")</f>
        <v>60761</v>
      </c>
      <c r="U53" s="13">
        <f>_xll.BDH("AMGN US Equity","LONG_TERM_BORROWINGS_DETAILED","FQ2 2023","FQ2 2023","Currency=USD","Period=FQ","BEST_FPERIOD_OVERRIDE=FQ","FILING_STATUS=MR","SCALING_FORMAT=MLN","Sort=A","Dates=H","DateFormat=P","Fill=—","Direction=H","UseDPDF=Y")</f>
        <v>59377</v>
      </c>
      <c r="V53" s="13">
        <f>_xll.BDH("AMGN US Equity","LONG_TERM_BORROWINGS_DETAILED","FQ3 2023","FQ3 2023","Currency=USD","Period=FQ","BEST_FPERIOD_OVERRIDE=FQ","FILING_STATUS=MR","SCALING_FORMAT=MLN","Sort=A","Dates=H","DateFormat=P","Fill=—","Direction=H","UseDPDF=Y")</f>
        <v>59040</v>
      </c>
      <c r="W53" s="13">
        <f>_xll.BDH("AMGN US Equity","LONG_TERM_BORROWINGS_DETAILED","FQ4 2023","FQ4 2023","Currency=USD","Period=FQ","BEST_FPERIOD_OVERRIDE=FQ","FILING_STATUS=MR","SCALING_FORMAT=MLN","Sort=A","Dates=H","DateFormat=P","Fill=—","Direction=H","UseDPDF=Y")</f>
        <v>63170</v>
      </c>
      <c r="X53" s="13">
        <f>_xll.BDH("AMGN US Equity","LONG_TERM_BORROWINGS_DETAILED","FQ1 2024","FQ1 2024","Currency=USD","Period=FQ","BEST_FPERIOD_OVERRIDE=FQ","FILING_STATUS=MR","SCALING_FORMAT=MLN","Sort=A","Dates=H","DateFormat=P","Fill=—","Direction=H","UseDPDF=Y")</f>
        <v>60061</v>
      </c>
      <c r="Y53" s="13">
        <f>_xll.BDH("AMGN US Equity","LONG_TERM_BORROWINGS_DETAILED","FQ2 2024","FQ2 2024","Currency=USD","Period=FQ","BEST_FPERIOD_OVERRIDE=FQ","FILING_STATUS=MR","SCALING_FORMAT=MLN","Sort=A","Dates=H","DateFormat=P","Fill=—","Direction=H","UseDPDF=Y")</f>
        <v>57117</v>
      </c>
      <c r="Z53" s="13">
        <f>_xll.BDH("AMGN US Equity","LONG_TERM_BORROWINGS_DETAILED","FQ3 2024","FQ3 2024","Currency=USD","Period=FQ","BEST_FPERIOD_OVERRIDE=FQ","FILING_STATUS=MR","SCALING_FORMAT=MLN","Sort=A","Dates=H","DateFormat=P","Fill=—","Direction=H","UseDPDF=Y")</f>
        <v>56854</v>
      </c>
      <c r="AA53" s="13">
        <f>_xll.BDH("AMGN US Equity","LONG_TERM_BORROWINGS_DETAILED","FQ4 2024","FQ4 2024","Currency=USD","Period=FQ","BEST_FPERIOD_OVERRIDE=FQ","FILING_STATUS=MR","SCALING_FORMAT=MLN","Sort=A","Dates=H","DateFormat=P","Fill=—","Direction=H","UseDPDF=Y")</f>
        <v>56549</v>
      </c>
    </row>
    <row r="54" spans="1:27" x14ac:dyDescent="0.25">
      <c r="A54" s="10" t="s">
        <v>787</v>
      </c>
      <c r="B54" s="10" t="s">
        <v>788</v>
      </c>
      <c r="C54" s="13">
        <f>_xll.BDH("AMGN US Equity","LT_CAPITALIZED_LEASE_LIABILITIES","FQ4 2018","FQ4 2018","Currency=USD","Period=FQ","BEST_FPERIOD_OVERRIDE=FQ","FILING_STATUS=MR","SCALING_FORMAT=MLN","Sort=A","Dates=H","DateFormat=P","Fill=—","Direction=H","UseDPDF=Y")</f>
        <v>0</v>
      </c>
      <c r="D54" s="13">
        <f>_xll.BDH("AMGN US Equity","LT_CAPITALIZED_LEASE_LIABILITIES","FQ1 2019","FQ1 2019","Currency=USD","Period=FQ","BEST_FPERIOD_OVERRIDE=FQ","FILING_STATUS=MR","SCALING_FORMAT=MLN","Sort=A","Dates=H","DateFormat=P","Fill=—","Direction=H","UseDPDF=Y")</f>
        <v>368</v>
      </c>
      <c r="E54" s="13">
        <f>_xll.BDH("AMGN US Equity","LT_CAPITALIZED_LEASE_LIABILITIES","FQ2 2019","FQ2 2019","Currency=USD","Period=FQ","BEST_FPERIOD_OVERRIDE=FQ","FILING_STATUS=MR","SCALING_FORMAT=MLN","Sort=A","Dates=H","DateFormat=P","Fill=—","Direction=H","UseDPDF=Y")</f>
        <v>363</v>
      </c>
      <c r="F54" s="13">
        <f>_xll.BDH("AMGN US Equity","LT_CAPITALIZED_LEASE_LIABILITIES","FQ3 2019","FQ3 2019","Currency=USD","Period=FQ","BEST_FPERIOD_OVERRIDE=FQ","FILING_STATUS=MR","SCALING_FORMAT=MLN","Sort=A","Dates=H","DateFormat=P","Fill=—","Direction=H","UseDPDF=Y")</f>
        <v>351</v>
      </c>
      <c r="G54" s="13">
        <f>_xll.BDH("AMGN US Equity","LT_CAPITALIZED_LEASE_LIABILITIES","FQ4 2019","FQ4 2019","Currency=USD","Period=FQ","BEST_FPERIOD_OVERRIDE=FQ","FILING_STATUS=MR","SCALING_FORMAT=MLN","Sort=A","Dates=H","DateFormat=P","Fill=—","Direction=H","UseDPDF=Y")</f>
        <v>388</v>
      </c>
      <c r="H54" s="13" t="str">
        <f>_xll.BDH("AMGN US Equity","LT_CAPITALIZED_LEASE_LIABILITIES","FQ1 2020","FQ1 2020","Currency=USD","Period=FQ","BEST_FPERIOD_OVERRIDE=FQ","FILING_STATUS=MR","SCALING_FORMAT=MLN","Sort=A","Dates=H","DateFormat=P","Fill=—","Direction=H","UseDPDF=Y")</f>
        <v>—</v>
      </c>
      <c r="I54" s="13" t="str">
        <f>_xll.BDH("AMGN US Equity","LT_CAPITALIZED_LEASE_LIABILITIES","FQ2 2020","FQ2 2020","Currency=USD","Period=FQ","BEST_FPERIOD_OVERRIDE=FQ","FILING_STATUS=MR","SCALING_FORMAT=MLN","Sort=A","Dates=H","DateFormat=P","Fill=—","Direction=H","UseDPDF=Y")</f>
        <v>—</v>
      </c>
      <c r="J54" s="13" t="str">
        <f>_xll.BDH("AMGN US Equity","LT_CAPITALIZED_LEASE_LIABILITIES","FQ3 2020","FQ3 2020","Currency=USD","Period=FQ","BEST_FPERIOD_OVERRIDE=FQ","FILING_STATUS=MR","SCALING_FORMAT=MLN","Sort=A","Dates=H","DateFormat=P","Fill=—","Direction=H","UseDPDF=Y")</f>
        <v>—</v>
      </c>
      <c r="K54" s="13">
        <f>_xll.BDH("AMGN US Equity","LT_CAPITALIZED_LEASE_LIABILITIES","FQ4 2020","FQ4 2020","Currency=USD","Period=FQ","BEST_FPERIOD_OVERRIDE=FQ","FILING_STATUS=MR","SCALING_FORMAT=MLN","Sort=A","Dates=H","DateFormat=P","Fill=—","Direction=H","UseDPDF=Y")</f>
        <v>306</v>
      </c>
      <c r="L54" s="13" t="str">
        <f>_xll.BDH("AMGN US Equity","LT_CAPITALIZED_LEASE_LIABILITIES","FQ1 2021","FQ1 2021","Currency=USD","Period=FQ","BEST_FPERIOD_OVERRIDE=FQ","FILING_STATUS=MR","SCALING_FORMAT=MLN","Sort=A","Dates=H","DateFormat=P","Fill=—","Direction=H","UseDPDF=Y")</f>
        <v>—</v>
      </c>
      <c r="M54" s="13" t="str">
        <f>_xll.BDH("AMGN US Equity","LT_CAPITALIZED_LEASE_LIABILITIES","FQ2 2021","FQ2 2021","Currency=USD","Period=FQ","BEST_FPERIOD_OVERRIDE=FQ","FILING_STATUS=MR","SCALING_FORMAT=MLN","Sort=A","Dates=H","DateFormat=P","Fill=—","Direction=H","UseDPDF=Y")</f>
        <v>—</v>
      </c>
      <c r="N54" s="13" t="str">
        <f>_xll.BDH("AMGN US Equity","LT_CAPITALIZED_LEASE_LIABILITIES","FQ3 2021","FQ3 2021","Currency=USD","Period=FQ","BEST_FPERIOD_OVERRIDE=FQ","FILING_STATUS=MR","SCALING_FORMAT=MLN","Sort=A","Dates=H","DateFormat=P","Fill=—","Direction=H","UseDPDF=Y")</f>
        <v>—</v>
      </c>
      <c r="O54" s="13">
        <f>_xll.BDH("AMGN US Equity","LT_CAPITALIZED_LEASE_LIABILITIES","FQ4 2021","FQ4 2021","Currency=USD","Period=FQ","BEST_FPERIOD_OVERRIDE=FQ","FILING_STATUS=MR","SCALING_FORMAT=MLN","Sort=A","Dates=H","DateFormat=P","Fill=—","Direction=H","UseDPDF=Y")</f>
        <v>525</v>
      </c>
      <c r="P54" s="13" t="str">
        <f>_xll.BDH("AMGN US Equity","LT_CAPITALIZED_LEASE_LIABILITIES","FQ1 2022","FQ1 2022","Currency=USD","Period=FQ","BEST_FPERIOD_OVERRIDE=FQ","FILING_STATUS=MR","SCALING_FORMAT=MLN","Sort=A","Dates=H","DateFormat=P","Fill=—","Direction=H","UseDPDF=Y")</f>
        <v>—</v>
      </c>
      <c r="Q54" s="13" t="str">
        <f>_xll.BDH("AMGN US Equity","LT_CAPITALIZED_LEASE_LIABILITIES","FQ2 2022","FQ2 2022","Currency=USD","Period=FQ","BEST_FPERIOD_OVERRIDE=FQ","FILING_STATUS=MR","SCALING_FORMAT=MLN","Sort=A","Dates=H","DateFormat=P","Fill=—","Direction=H","UseDPDF=Y")</f>
        <v>—</v>
      </c>
      <c r="R54" s="13" t="str">
        <f>_xll.BDH("AMGN US Equity","LT_CAPITALIZED_LEASE_LIABILITIES","FQ3 2022","FQ3 2022","Currency=USD","Period=FQ","BEST_FPERIOD_OVERRIDE=FQ","FILING_STATUS=MR","SCALING_FORMAT=MLN","Sort=A","Dates=H","DateFormat=P","Fill=—","Direction=H","UseDPDF=Y")</f>
        <v>—</v>
      </c>
      <c r="S54" s="13">
        <f>_xll.BDH("AMGN US Equity","LT_CAPITALIZED_LEASE_LIABILITIES","FQ4 2022","FQ4 2022","Currency=USD","Period=FQ","BEST_FPERIOD_OVERRIDE=FQ","FILING_STATUS=MR","SCALING_FORMAT=MLN","Sort=A","Dates=H","DateFormat=P","Fill=—","Direction=H","UseDPDF=Y")</f>
        <v>539</v>
      </c>
      <c r="T54" s="13" t="str">
        <f>_xll.BDH("AMGN US Equity","LT_CAPITALIZED_LEASE_LIABILITIES","FQ1 2023","FQ1 2023","Currency=USD","Period=FQ","BEST_FPERIOD_OVERRIDE=FQ","FILING_STATUS=MR","SCALING_FORMAT=MLN","Sort=A","Dates=H","DateFormat=P","Fill=—","Direction=H","UseDPDF=Y")</f>
        <v>—</v>
      </c>
      <c r="U54" s="13" t="str">
        <f>_xll.BDH("AMGN US Equity","LT_CAPITALIZED_LEASE_LIABILITIES","FQ2 2023","FQ2 2023","Currency=USD","Period=FQ","BEST_FPERIOD_OVERRIDE=FQ","FILING_STATUS=MR","SCALING_FORMAT=MLN","Sort=A","Dates=H","DateFormat=P","Fill=—","Direction=H","UseDPDF=Y")</f>
        <v>—</v>
      </c>
      <c r="V54" s="13" t="str">
        <f>_xll.BDH("AMGN US Equity","LT_CAPITALIZED_LEASE_LIABILITIES","FQ3 2023","FQ3 2023","Currency=USD","Period=FQ","BEST_FPERIOD_OVERRIDE=FQ","FILING_STATUS=MR","SCALING_FORMAT=MLN","Sort=A","Dates=H","DateFormat=P","Fill=—","Direction=H","UseDPDF=Y")</f>
        <v>—</v>
      </c>
      <c r="W54" s="13">
        <f>_xll.BDH("AMGN US Equity","LT_CAPITALIZED_LEASE_LIABILITIES","FQ4 2023","FQ4 2023","Currency=USD","Period=FQ","BEST_FPERIOD_OVERRIDE=FQ","FILING_STATUS=MR","SCALING_FORMAT=MLN","Sort=A","Dates=H","DateFormat=P","Fill=—","Direction=H","UseDPDF=Y")</f>
        <v>691</v>
      </c>
      <c r="X54" s="13" t="str">
        <f>_xll.BDH("AMGN US Equity","LT_CAPITALIZED_LEASE_LIABILITIES","FQ1 2024","FQ1 2024","Currency=USD","Period=FQ","BEST_FPERIOD_OVERRIDE=FQ","FILING_STATUS=MR","SCALING_FORMAT=MLN","Sort=A","Dates=H","DateFormat=P","Fill=—","Direction=H","UseDPDF=Y")</f>
        <v>—</v>
      </c>
      <c r="Y54" s="13" t="str">
        <f>_xll.BDH("AMGN US Equity","LT_CAPITALIZED_LEASE_LIABILITIES","FQ2 2024","FQ2 2024","Currency=USD","Period=FQ","BEST_FPERIOD_OVERRIDE=FQ","FILING_STATUS=MR","SCALING_FORMAT=MLN","Sort=A","Dates=H","DateFormat=P","Fill=—","Direction=H","UseDPDF=Y")</f>
        <v>—</v>
      </c>
      <c r="Z54" s="13" t="str">
        <f>_xll.BDH("AMGN US Equity","LT_CAPITALIZED_LEASE_LIABILITIES","FQ3 2024","FQ3 2024","Currency=USD","Period=FQ","BEST_FPERIOD_OVERRIDE=FQ","FILING_STATUS=MR","SCALING_FORMAT=MLN","Sort=A","Dates=H","DateFormat=P","Fill=—","Direction=H","UseDPDF=Y")</f>
        <v>—</v>
      </c>
      <c r="AA54" s="13">
        <f>_xll.BDH("AMGN US Equity","LT_CAPITALIZED_LEASE_LIABILITIES","FQ4 2024","FQ4 2024","Currency=USD","Period=FQ","BEST_FPERIOD_OVERRIDE=FQ","FILING_STATUS=MR","SCALING_FORMAT=MLN","Sort=A","Dates=H","DateFormat=P","Fill=—","Direction=H","UseDPDF=Y")</f>
        <v>673</v>
      </c>
    </row>
    <row r="55" spans="1:27" x14ac:dyDescent="0.25">
      <c r="A55" s="11" t="s">
        <v>789</v>
      </c>
      <c r="B55" s="11" t="s">
        <v>790</v>
      </c>
      <c r="C55" s="25">
        <f>_xll.BDH("AMGN US Equity","LT_CAPITAL_LEASE_OBLIGATIONS","FQ4 2018","FQ4 2018","Currency=USD","Period=FQ","BEST_FPERIOD_OVERRIDE=FQ","FILING_STATUS=MR","SCALING_FORMAT=MLN","Sort=A","Dates=H","DateFormat=P","Fill=—","Direction=H","UseDPDF=Y")</f>
        <v>0</v>
      </c>
      <c r="D55" s="25" t="str">
        <f>_xll.BDH("AMGN US Equity","LT_CAPITAL_LEASE_OBLIGATIONS","FQ1 2019","FQ1 2019","Currency=USD","Period=FQ","BEST_FPERIOD_OVERRIDE=FQ","FILING_STATUS=MR","SCALING_FORMAT=MLN","Sort=A","Dates=H","DateFormat=P","Fill=—","Direction=H","UseDPDF=Y")</f>
        <v>—</v>
      </c>
      <c r="E55" s="25" t="str">
        <f>_xll.BDH("AMGN US Equity","LT_CAPITAL_LEASE_OBLIGATIONS","FQ2 2019","FQ2 2019","Currency=USD","Period=FQ","BEST_FPERIOD_OVERRIDE=FQ","FILING_STATUS=MR","SCALING_FORMAT=MLN","Sort=A","Dates=H","DateFormat=P","Fill=—","Direction=H","UseDPDF=Y")</f>
        <v>—</v>
      </c>
      <c r="F55" s="25" t="str">
        <f>_xll.BDH("AMGN US Equity","LT_CAPITAL_LEASE_OBLIGATIONS","FQ3 2019","FQ3 2019","Currency=USD","Period=FQ","BEST_FPERIOD_OVERRIDE=FQ","FILING_STATUS=MR","SCALING_FORMAT=MLN","Sort=A","Dates=H","DateFormat=P","Fill=—","Direction=H","UseDPDF=Y")</f>
        <v>—</v>
      </c>
      <c r="G55" s="25">
        <f>_xll.BDH("AMGN US Equity","LT_CAPITAL_LEASE_OBLIGATIONS","FQ4 2019","FQ4 2019","Currency=USD","Period=FQ","BEST_FPERIOD_OVERRIDE=FQ","FILING_STATUS=MR","SCALING_FORMAT=MLN","Sort=A","Dates=H","DateFormat=P","Fill=—","Direction=H","UseDPDF=Y")</f>
        <v>0</v>
      </c>
      <c r="H55" s="25" t="str">
        <f>_xll.BDH("AMGN US Equity","LT_CAPITAL_LEASE_OBLIGATIONS","FQ1 2020","FQ1 2020","Currency=USD","Period=FQ","BEST_FPERIOD_OVERRIDE=FQ","FILING_STATUS=MR","SCALING_FORMAT=MLN","Sort=A","Dates=H","DateFormat=P","Fill=—","Direction=H","UseDPDF=Y")</f>
        <v>—</v>
      </c>
      <c r="I55" s="25" t="str">
        <f>_xll.BDH("AMGN US Equity","LT_CAPITAL_LEASE_OBLIGATIONS","FQ2 2020","FQ2 2020","Currency=USD","Period=FQ","BEST_FPERIOD_OVERRIDE=FQ","FILING_STATUS=MR","SCALING_FORMAT=MLN","Sort=A","Dates=H","DateFormat=P","Fill=—","Direction=H","UseDPDF=Y")</f>
        <v>—</v>
      </c>
      <c r="J55" s="25" t="str">
        <f>_xll.BDH("AMGN US Equity","LT_CAPITAL_LEASE_OBLIGATIONS","FQ3 2020","FQ3 2020","Currency=USD","Period=FQ","BEST_FPERIOD_OVERRIDE=FQ","FILING_STATUS=MR","SCALING_FORMAT=MLN","Sort=A","Dates=H","DateFormat=P","Fill=—","Direction=H","UseDPDF=Y")</f>
        <v>—</v>
      </c>
      <c r="K55" s="25">
        <f>_xll.BDH("AMGN US Equity","LT_CAPITAL_LEASE_OBLIGATIONS","FQ4 2020","FQ4 2020","Currency=USD","Period=FQ","BEST_FPERIOD_OVERRIDE=FQ","FILING_STATUS=MR","SCALING_FORMAT=MLN","Sort=A","Dates=H","DateFormat=P","Fill=—","Direction=H","UseDPDF=Y")</f>
        <v>0</v>
      </c>
      <c r="L55" s="25" t="str">
        <f>_xll.BDH("AMGN US Equity","LT_CAPITAL_LEASE_OBLIGATIONS","FQ1 2021","FQ1 2021","Currency=USD","Period=FQ","BEST_FPERIOD_OVERRIDE=FQ","FILING_STATUS=MR","SCALING_FORMAT=MLN","Sort=A","Dates=H","DateFormat=P","Fill=—","Direction=H","UseDPDF=Y")</f>
        <v>—</v>
      </c>
      <c r="M55" s="25" t="str">
        <f>_xll.BDH("AMGN US Equity","LT_CAPITAL_LEASE_OBLIGATIONS","FQ2 2021","FQ2 2021","Currency=USD","Period=FQ","BEST_FPERIOD_OVERRIDE=FQ","FILING_STATUS=MR","SCALING_FORMAT=MLN","Sort=A","Dates=H","DateFormat=P","Fill=—","Direction=H","UseDPDF=Y")</f>
        <v>—</v>
      </c>
      <c r="N55" s="25" t="str">
        <f>_xll.BDH("AMGN US Equity","LT_CAPITAL_LEASE_OBLIGATIONS","FQ3 2021","FQ3 2021","Currency=USD","Period=FQ","BEST_FPERIOD_OVERRIDE=FQ","FILING_STATUS=MR","SCALING_FORMAT=MLN","Sort=A","Dates=H","DateFormat=P","Fill=—","Direction=H","UseDPDF=Y")</f>
        <v>—</v>
      </c>
      <c r="O55" s="25">
        <f>_xll.BDH("AMGN US Equity","LT_CAPITAL_LEASE_OBLIGATIONS","FQ4 2021","FQ4 2021","Currency=USD","Period=FQ","BEST_FPERIOD_OVERRIDE=FQ","FILING_STATUS=MR","SCALING_FORMAT=MLN","Sort=A","Dates=H","DateFormat=P","Fill=—","Direction=H","UseDPDF=Y")</f>
        <v>0</v>
      </c>
      <c r="P55" s="25" t="str">
        <f>_xll.BDH("AMGN US Equity","LT_CAPITAL_LEASE_OBLIGATIONS","FQ1 2022","FQ1 2022","Currency=USD","Period=FQ","BEST_FPERIOD_OVERRIDE=FQ","FILING_STATUS=MR","SCALING_FORMAT=MLN","Sort=A","Dates=H","DateFormat=P","Fill=—","Direction=H","UseDPDF=Y")</f>
        <v>—</v>
      </c>
      <c r="Q55" s="25" t="str">
        <f>_xll.BDH("AMGN US Equity","LT_CAPITAL_LEASE_OBLIGATIONS","FQ2 2022","FQ2 2022","Currency=USD","Period=FQ","BEST_FPERIOD_OVERRIDE=FQ","FILING_STATUS=MR","SCALING_FORMAT=MLN","Sort=A","Dates=H","DateFormat=P","Fill=—","Direction=H","UseDPDF=Y")</f>
        <v>—</v>
      </c>
      <c r="R55" s="25" t="str">
        <f>_xll.BDH("AMGN US Equity","LT_CAPITAL_LEASE_OBLIGATIONS","FQ3 2022","FQ3 2022","Currency=USD","Period=FQ","BEST_FPERIOD_OVERRIDE=FQ","FILING_STATUS=MR","SCALING_FORMAT=MLN","Sort=A","Dates=H","DateFormat=P","Fill=—","Direction=H","UseDPDF=Y")</f>
        <v>—</v>
      </c>
      <c r="S55" s="25">
        <f>_xll.BDH("AMGN US Equity","LT_CAPITAL_LEASE_OBLIGATIONS","FQ4 2022","FQ4 2022","Currency=USD","Period=FQ","BEST_FPERIOD_OVERRIDE=FQ","FILING_STATUS=MR","SCALING_FORMAT=MLN","Sort=A","Dates=H","DateFormat=P","Fill=—","Direction=H","UseDPDF=Y")</f>
        <v>0</v>
      </c>
      <c r="T55" s="25" t="str">
        <f>_xll.BDH("AMGN US Equity","LT_CAPITAL_LEASE_OBLIGATIONS","FQ1 2023","FQ1 2023","Currency=USD","Period=FQ","BEST_FPERIOD_OVERRIDE=FQ","FILING_STATUS=MR","SCALING_FORMAT=MLN","Sort=A","Dates=H","DateFormat=P","Fill=—","Direction=H","UseDPDF=Y")</f>
        <v>—</v>
      </c>
      <c r="U55" s="25" t="str">
        <f>_xll.BDH("AMGN US Equity","LT_CAPITAL_LEASE_OBLIGATIONS","FQ2 2023","FQ2 2023","Currency=USD","Period=FQ","BEST_FPERIOD_OVERRIDE=FQ","FILING_STATUS=MR","SCALING_FORMAT=MLN","Sort=A","Dates=H","DateFormat=P","Fill=—","Direction=H","UseDPDF=Y")</f>
        <v>—</v>
      </c>
      <c r="V55" s="25" t="str">
        <f>_xll.BDH("AMGN US Equity","LT_CAPITAL_LEASE_OBLIGATIONS","FQ3 2023","FQ3 2023","Currency=USD","Period=FQ","BEST_FPERIOD_OVERRIDE=FQ","FILING_STATUS=MR","SCALING_FORMAT=MLN","Sort=A","Dates=H","DateFormat=P","Fill=—","Direction=H","UseDPDF=Y")</f>
        <v>—</v>
      </c>
      <c r="W55" s="25">
        <f>_xll.BDH("AMGN US Equity","LT_CAPITAL_LEASE_OBLIGATIONS","FQ4 2023","FQ4 2023","Currency=USD","Period=FQ","BEST_FPERIOD_OVERRIDE=FQ","FILING_STATUS=MR","SCALING_FORMAT=MLN","Sort=A","Dates=H","DateFormat=P","Fill=—","Direction=H","UseDPDF=Y")</f>
        <v>0</v>
      </c>
      <c r="X55" s="25" t="str">
        <f>_xll.BDH("AMGN US Equity","LT_CAPITAL_LEASE_OBLIGATIONS","FQ1 2024","FQ1 2024","Currency=USD","Period=FQ","BEST_FPERIOD_OVERRIDE=FQ","FILING_STATUS=MR","SCALING_FORMAT=MLN","Sort=A","Dates=H","DateFormat=P","Fill=—","Direction=H","UseDPDF=Y")</f>
        <v>—</v>
      </c>
      <c r="Y55" s="25" t="str">
        <f>_xll.BDH("AMGN US Equity","LT_CAPITAL_LEASE_OBLIGATIONS","FQ2 2024","FQ2 2024","Currency=USD","Period=FQ","BEST_FPERIOD_OVERRIDE=FQ","FILING_STATUS=MR","SCALING_FORMAT=MLN","Sort=A","Dates=H","DateFormat=P","Fill=—","Direction=H","UseDPDF=Y")</f>
        <v>—</v>
      </c>
      <c r="Z55" s="25" t="str">
        <f>_xll.BDH("AMGN US Equity","LT_CAPITAL_LEASE_OBLIGATIONS","FQ3 2024","FQ3 2024","Currency=USD","Period=FQ","BEST_FPERIOD_OVERRIDE=FQ","FILING_STATUS=MR","SCALING_FORMAT=MLN","Sort=A","Dates=H","DateFormat=P","Fill=—","Direction=H","UseDPDF=Y")</f>
        <v>—</v>
      </c>
      <c r="AA55" s="25">
        <f>_xll.BDH("AMGN US Equity","LT_CAPITAL_LEASE_OBLIGATIONS","FQ4 2024","FQ4 2024","Currency=USD","Period=FQ","BEST_FPERIOD_OVERRIDE=FQ","FILING_STATUS=MR","SCALING_FORMAT=MLN","Sort=A","Dates=H","DateFormat=P","Fill=—","Direction=H","UseDPDF=Y")</f>
        <v>0</v>
      </c>
    </row>
    <row r="56" spans="1:27" x14ac:dyDescent="0.25">
      <c r="A56" s="11" t="s">
        <v>791</v>
      </c>
      <c r="B56" s="11" t="s">
        <v>792</v>
      </c>
      <c r="C56" s="25" t="str">
        <f>_xll.BDH("AMGN US Equity","BS_LT_OPERATING_LEASE_LIABS","FQ4 2018","FQ4 2018","Currency=USD","Period=FQ","BEST_FPERIOD_OVERRIDE=FQ","FILING_STATUS=MR","SCALING_FORMAT=MLN","Sort=A","Dates=H","DateFormat=P","Fill=—","Direction=H","UseDPDF=Y")</f>
        <v>—</v>
      </c>
      <c r="D56" s="25">
        <f>_xll.BDH("AMGN US Equity","BS_LT_OPERATING_LEASE_LIABS","FQ1 2019","FQ1 2019","Currency=USD","Period=FQ","BEST_FPERIOD_OVERRIDE=FQ","FILING_STATUS=MR","SCALING_FORMAT=MLN","Sort=A","Dates=H","DateFormat=P","Fill=—","Direction=H","UseDPDF=Y")</f>
        <v>368</v>
      </c>
      <c r="E56" s="25">
        <f>_xll.BDH("AMGN US Equity","BS_LT_OPERATING_LEASE_LIABS","FQ2 2019","FQ2 2019","Currency=USD","Period=FQ","BEST_FPERIOD_OVERRIDE=FQ","FILING_STATUS=MR","SCALING_FORMAT=MLN","Sort=A","Dates=H","DateFormat=P","Fill=—","Direction=H","UseDPDF=Y")</f>
        <v>363</v>
      </c>
      <c r="F56" s="25">
        <f>_xll.BDH("AMGN US Equity","BS_LT_OPERATING_LEASE_LIABS","FQ3 2019","FQ3 2019","Currency=USD","Period=FQ","BEST_FPERIOD_OVERRIDE=FQ","FILING_STATUS=MR","SCALING_FORMAT=MLN","Sort=A","Dates=H","DateFormat=P","Fill=—","Direction=H","UseDPDF=Y")</f>
        <v>351</v>
      </c>
      <c r="G56" s="25">
        <f>_xll.BDH("AMGN US Equity","BS_LT_OPERATING_LEASE_LIABS","FQ4 2019","FQ4 2019","Currency=USD","Period=FQ","BEST_FPERIOD_OVERRIDE=FQ","FILING_STATUS=MR","SCALING_FORMAT=MLN","Sort=A","Dates=H","DateFormat=P","Fill=—","Direction=H","UseDPDF=Y")</f>
        <v>388</v>
      </c>
      <c r="H56" s="25" t="str">
        <f>_xll.BDH("AMGN US Equity","BS_LT_OPERATING_LEASE_LIABS","FQ1 2020","FQ1 2020","Currency=USD","Period=FQ","BEST_FPERIOD_OVERRIDE=FQ","FILING_STATUS=MR","SCALING_FORMAT=MLN","Sort=A","Dates=H","DateFormat=P","Fill=—","Direction=H","UseDPDF=Y")</f>
        <v>—</v>
      </c>
      <c r="I56" s="25" t="str">
        <f>_xll.BDH("AMGN US Equity","BS_LT_OPERATING_LEASE_LIABS","FQ2 2020","FQ2 2020","Currency=USD","Period=FQ","BEST_FPERIOD_OVERRIDE=FQ","FILING_STATUS=MR","SCALING_FORMAT=MLN","Sort=A","Dates=H","DateFormat=P","Fill=—","Direction=H","UseDPDF=Y")</f>
        <v>—</v>
      </c>
      <c r="J56" s="25" t="str">
        <f>_xll.BDH("AMGN US Equity","BS_LT_OPERATING_LEASE_LIABS","FQ3 2020","FQ3 2020","Currency=USD","Period=FQ","BEST_FPERIOD_OVERRIDE=FQ","FILING_STATUS=MR","SCALING_FORMAT=MLN","Sort=A","Dates=H","DateFormat=P","Fill=—","Direction=H","UseDPDF=Y")</f>
        <v>—</v>
      </c>
      <c r="K56" s="25">
        <f>_xll.BDH("AMGN US Equity","BS_LT_OPERATING_LEASE_LIABS","FQ4 2020","FQ4 2020","Currency=USD","Period=FQ","BEST_FPERIOD_OVERRIDE=FQ","FILING_STATUS=MR","SCALING_FORMAT=MLN","Sort=A","Dates=H","DateFormat=P","Fill=—","Direction=H","UseDPDF=Y")</f>
        <v>306</v>
      </c>
      <c r="L56" s="25" t="str">
        <f>_xll.BDH("AMGN US Equity","BS_LT_OPERATING_LEASE_LIABS","FQ1 2021","FQ1 2021","Currency=USD","Period=FQ","BEST_FPERIOD_OVERRIDE=FQ","FILING_STATUS=MR","SCALING_FORMAT=MLN","Sort=A","Dates=H","DateFormat=P","Fill=—","Direction=H","UseDPDF=Y")</f>
        <v>—</v>
      </c>
      <c r="M56" s="25" t="str">
        <f>_xll.BDH("AMGN US Equity","BS_LT_OPERATING_LEASE_LIABS","FQ2 2021","FQ2 2021","Currency=USD","Period=FQ","BEST_FPERIOD_OVERRIDE=FQ","FILING_STATUS=MR","SCALING_FORMAT=MLN","Sort=A","Dates=H","DateFormat=P","Fill=—","Direction=H","UseDPDF=Y")</f>
        <v>—</v>
      </c>
      <c r="N56" s="25" t="str">
        <f>_xll.BDH("AMGN US Equity","BS_LT_OPERATING_LEASE_LIABS","FQ3 2021","FQ3 2021","Currency=USD","Period=FQ","BEST_FPERIOD_OVERRIDE=FQ","FILING_STATUS=MR","SCALING_FORMAT=MLN","Sort=A","Dates=H","DateFormat=P","Fill=—","Direction=H","UseDPDF=Y")</f>
        <v>—</v>
      </c>
      <c r="O56" s="25">
        <f>_xll.BDH("AMGN US Equity","BS_LT_OPERATING_LEASE_LIABS","FQ4 2021","FQ4 2021","Currency=USD","Period=FQ","BEST_FPERIOD_OVERRIDE=FQ","FILING_STATUS=MR","SCALING_FORMAT=MLN","Sort=A","Dates=H","DateFormat=P","Fill=—","Direction=H","UseDPDF=Y")</f>
        <v>525</v>
      </c>
      <c r="P56" s="25" t="str">
        <f>_xll.BDH("AMGN US Equity","BS_LT_OPERATING_LEASE_LIABS","FQ1 2022","FQ1 2022","Currency=USD","Period=FQ","BEST_FPERIOD_OVERRIDE=FQ","FILING_STATUS=MR","SCALING_FORMAT=MLN","Sort=A","Dates=H","DateFormat=P","Fill=—","Direction=H","UseDPDF=Y")</f>
        <v>—</v>
      </c>
      <c r="Q56" s="25" t="str">
        <f>_xll.BDH("AMGN US Equity","BS_LT_OPERATING_LEASE_LIABS","FQ2 2022","FQ2 2022","Currency=USD","Period=FQ","BEST_FPERIOD_OVERRIDE=FQ","FILING_STATUS=MR","SCALING_FORMAT=MLN","Sort=A","Dates=H","DateFormat=P","Fill=—","Direction=H","UseDPDF=Y")</f>
        <v>—</v>
      </c>
      <c r="R56" s="25" t="str">
        <f>_xll.BDH("AMGN US Equity","BS_LT_OPERATING_LEASE_LIABS","FQ3 2022","FQ3 2022","Currency=USD","Period=FQ","BEST_FPERIOD_OVERRIDE=FQ","FILING_STATUS=MR","SCALING_FORMAT=MLN","Sort=A","Dates=H","DateFormat=P","Fill=—","Direction=H","UseDPDF=Y")</f>
        <v>—</v>
      </c>
      <c r="S56" s="25">
        <f>_xll.BDH("AMGN US Equity","BS_LT_OPERATING_LEASE_LIABS","FQ4 2022","FQ4 2022","Currency=USD","Period=FQ","BEST_FPERIOD_OVERRIDE=FQ","FILING_STATUS=MR","SCALING_FORMAT=MLN","Sort=A","Dates=H","DateFormat=P","Fill=—","Direction=H","UseDPDF=Y")</f>
        <v>539</v>
      </c>
      <c r="T56" s="25" t="str">
        <f>_xll.BDH("AMGN US Equity","BS_LT_OPERATING_LEASE_LIABS","FQ1 2023","FQ1 2023","Currency=USD","Period=FQ","BEST_FPERIOD_OVERRIDE=FQ","FILING_STATUS=MR","SCALING_FORMAT=MLN","Sort=A","Dates=H","DateFormat=P","Fill=—","Direction=H","UseDPDF=Y")</f>
        <v>—</v>
      </c>
      <c r="U56" s="25" t="str">
        <f>_xll.BDH("AMGN US Equity","BS_LT_OPERATING_LEASE_LIABS","FQ2 2023","FQ2 2023","Currency=USD","Period=FQ","BEST_FPERIOD_OVERRIDE=FQ","FILING_STATUS=MR","SCALING_FORMAT=MLN","Sort=A","Dates=H","DateFormat=P","Fill=—","Direction=H","UseDPDF=Y")</f>
        <v>—</v>
      </c>
      <c r="V56" s="25" t="str">
        <f>_xll.BDH("AMGN US Equity","BS_LT_OPERATING_LEASE_LIABS","FQ3 2023","FQ3 2023","Currency=USD","Period=FQ","BEST_FPERIOD_OVERRIDE=FQ","FILING_STATUS=MR","SCALING_FORMAT=MLN","Sort=A","Dates=H","DateFormat=P","Fill=—","Direction=H","UseDPDF=Y")</f>
        <v>—</v>
      </c>
      <c r="W56" s="25">
        <f>_xll.BDH("AMGN US Equity","BS_LT_OPERATING_LEASE_LIABS","FQ4 2023","FQ4 2023","Currency=USD","Period=FQ","BEST_FPERIOD_OVERRIDE=FQ","FILING_STATUS=MR","SCALING_FORMAT=MLN","Sort=A","Dates=H","DateFormat=P","Fill=—","Direction=H","UseDPDF=Y")</f>
        <v>691</v>
      </c>
      <c r="X56" s="25" t="str">
        <f>_xll.BDH("AMGN US Equity","BS_LT_OPERATING_LEASE_LIABS","FQ1 2024","FQ1 2024","Currency=USD","Period=FQ","BEST_FPERIOD_OVERRIDE=FQ","FILING_STATUS=MR","SCALING_FORMAT=MLN","Sort=A","Dates=H","DateFormat=P","Fill=—","Direction=H","UseDPDF=Y")</f>
        <v>—</v>
      </c>
      <c r="Y56" s="25" t="str">
        <f>_xll.BDH("AMGN US Equity","BS_LT_OPERATING_LEASE_LIABS","FQ2 2024","FQ2 2024","Currency=USD","Period=FQ","BEST_FPERIOD_OVERRIDE=FQ","FILING_STATUS=MR","SCALING_FORMAT=MLN","Sort=A","Dates=H","DateFormat=P","Fill=—","Direction=H","UseDPDF=Y")</f>
        <v>—</v>
      </c>
      <c r="Z56" s="25" t="str">
        <f>_xll.BDH("AMGN US Equity","BS_LT_OPERATING_LEASE_LIABS","FQ3 2024","FQ3 2024","Currency=USD","Period=FQ","BEST_FPERIOD_OVERRIDE=FQ","FILING_STATUS=MR","SCALING_FORMAT=MLN","Sort=A","Dates=H","DateFormat=P","Fill=—","Direction=H","UseDPDF=Y")</f>
        <v>—</v>
      </c>
      <c r="AA56" s="25">
        <f>_xll.BDH("AMGN US Equity","BS_LT_OPERATING_LEASE_LIABS","FQ4 2024","FQ4 2024","Currency=USD","Period=FQ","BEST_FPERIOD_OVERRIDE=FQ","FILING_STATUS=MR","SCALING_FORMAT=MLN","Sort=A","Dates=H","DateFormat=P","Fill=—","Direction=H","UseDPDF=Y")</f>
        <v>673</v>
      </c>
    </row>
    <row r="57" spans="1:27" x14ac:dyDescent="0.25">
      <c r="A57" s="10" t="s">
        <v>793</v>
      </c>
      <c r="B57" s="10" t="s">
        <v>794</v>
      </c>
      <c r="C57" s="13">
        <f>_xll.BDH("AMGN US Equity","OTHER_NONCUR_LIABS_SUB_DETAILED","FQ4 2018","FQ4 2018","Currency=USD","Period=FQ","BEST_FPERIOD_OVERRIDE=FQ","FILING_STATUS=MR","SCALING_FORMAT=MLN","Sort=A","Dates=H","DateFormat=P","Fill=—","Direction=H","UseDPDF=Y")</f>
        <v>10918</v>
      </c>
      <c r="D57" s="13">
        <f>_xll.BDH("AMGN US Equity","OTHER_NONCUR_LIABS_SUB_DETAILED","FQ1 2019","FQ1 2019","Currency=USD","Period=FQ","BEST_FPERIOD_OVERRIDE=FQ","FILING_STATUS=MR","SCALING_FORMAT=MLN","Sort=A","Dates=H","DateFormat=P","Fill=—","Direction=H","UseDPDF=Y")</f>
        <v>10772</v>
      </c>
      <c r="E57" s="13">
        <f>_xll.BDH("AMGN US Equity","OTHER_NONCUR_LIABS_SUB_DETAILED","FQ2 2019","FQ2 2019","Currency=USD","Period=FQ","BEST_FPERIOD_OVERRIDE=FQ","FILING_STATUS=MR","SCALING_FORMAT=MLN","Sort=A","Dates=H","DateFormat=P","Fill=—","Direction=H","UseDPDF=Y")</f>
        <v>9796</v>
      </c>
      <c r="F57" s="13">
        <f>_xll.BDH("AMGN US Equity","OTHER_NONCUR_LIABS_SUB_DETAILED","FQ3 2019","FQ3 2019","Currency=USD","Period=FQ","BEST_FPERIOD_OVERRIDE=FQ","FILING_STATUS=MR","SCALING_FORMAT=MLN","Sort=A","Dates=H","DateFormat=P","Fill=—","Direction=H","UseDPDF=Y")</f>
        <v>9778</v>
      </c>
      <c r="G57" s="13">
        <f>_xll.BDH("AMGN US Equity","OTHER_NONCUR_LIABS_SUB_DETAILED","FQ4 2019","FQ4 2019","Currency=USD","Period=FQ","BEST_FPERIOD_OVERRIDE=FQ","FILING_STATUS=MR","SCALING_FORMAT=MLN","Sort=A","Dates=H","DateFormat=P","Fill=—","Direction=H","UseDPDF=Y")</f>
        <v>9861</v>
      </c>
      <c r="H57" s="13">
        <f>_xll.BDH("AMGN US Equity","OTHER_NONCUR_LIABS_SUB_DETAILED","FQ1 2020","FQ1 2020","Currency=USD","Period=FQ","BEST_FPERIOD_OVERRIDE=FQ","FILING_STATUS=MR","SCALING_FORMAT=MLN","Sort=A","Dates=H","DateFormat=P","Fill=—","Direction=H","UseDPDF=Y")</f>
        <v>10349</v>
      </c>
      <c r="I57" s="13">
        <f>_xll.BDH("AMGN US Equity","OTHER_NONCUR_LIABS_SUB_DETAILED","FQ2 2020","FQ2 2020","Currency=USD","Period=FQ","BEST_FPERIOD_OVERRIDE=FQ","FILING_STATUS=MR","SCALING_FORMAT=MLN","Sort=A","Dates=H","DateFormat=P","Fill=—","Direction=H","UseDPDF=Y")</f>
        <v>9696</v>
      </c>
      <c r="J57" s="13">
        <f>_xll.BDH("AMGN US Equity","OTHER_NONCUR_LIABS_SUB_DETAILED","FQ3 2020","FQ3 2020","Currency=USD","Period=FQ","BEST_FPERIOD_OVERRIDE=FQ","FILING_STATUS=MR","SCALING_FORMAT=MLN","Sort=A","Dates=H","DateFormat=P","Fill=—","Direction=H","UseDPDF=Y")</f>
        <v>9529</v>
      </c>
      <c r="K57" s="13">
        <f>_xll.BDH("AMGN US Equity","OTHER_NONCUR_LIABS_SUB_DETAILED","FQ4 2020","FQ4 2020","Currency=USD","Period=FQ","BEST_FPERIOD_OVERRIDE=FQ","FILING_STATUS=MR","SCALING_FORMAT=MLN","Sort=A","Dates=H","DateFormat=P","Fill=—","Direction=H","UseDPDF=Y")</f>
        <v>8685</v>
      </c>
      <c r="L57" s="13">
        <f>_xll.BDH("AMGN US Equity","OTHER_NONCUR_LIABS_SUB_DETAILED","FQ1 2021","FQ1 2021","Currency=USD","Period=FQ","BEST_FPERIOD_OVERRIDE=FQ","FILING_STATUS=MR","SCALING_FORMAT=MLN","Sort=A","Dates=H","DateFormat=P","Fill=—","Direction=H","UseDPDF=Y")</f>
        <v>9207</v>
      </c>
      <c r="M57" s="13">
        <f>_xll.BDH("AMGN US Equity","OTHER_NONCUR_LIABS_SUB_DETAILED","FQ2 2021","FQ2 2021","Currency=USD","Period=FQ","BEST_FPERIOD_OVERRIDE=FQ","FILING_STATUS=MR","SCALING_FORMAT=MLN","Sort=A","Dates=H","DateFormat=P","Fill=—","Direction=H","UseDPDF=Y")</f>
        <v>8483</v>
      </c>
      <c r="N57" s="13">
        <f>_xll.BDH("AMGN US Equity","OTHER_NONCUR_LIABS_SUB_DETAILED","FQ3 2021","FQ3 2021","Currency=USD","Period=FQ","BEST_FPERIOD_OVERRIDE=FQ","FILING_STATUS=MR","SCALING_FORMAT=MLN","Sort=A","Dates=H","DateFormat=P","Fill=—","Direction=H","UseDPDF=Y")</f>
        <v>8643</v>
      </c>
      <c r="O57" s="13">
        <f>_xll.BDH("AMGN US Equity","OTHER_NONCUR_LIABS_SUB_DETAILED","FQ4 2021","FQ4 2021","Currency=USD","Period=FQ","BEST_FPERIOD_OVERRIDE=FQ","FILING_STATUS=MR","SCALING_FORMAT=MLN","Sort=A","Dates=H","DateFormat=P","Fill=—","Direction=H","UseDPDF=Y")</f>
        <v>8534</v>
      </c>
      <c r="P57" s="13">
        <f>_xll.BDH("AMGN US Equity","OTHER_NONCUR_LIABS_SUB_DETAILED","FQ1 2022","FQ1 2022","Currency=USD","Period=FQ","BEST_FPERIOD_OVERRIDE=FQ","FILING_STATUS=MR","SCALING_FORMAT=MLN","Sort=A","Dates=H","DateFormat=P","Fill=—","Direction=H","UseDPDF=Y")</f>
        <v>9384</v>
      </c>
      <c r="Q57" s="13">
        <f>_xll.BDH("AMGN US Equity","OTHER_NONCUR_LIABS_SUB_DETAILED","FQ2 2022","FQ2 2022","Currency=USD","Period=FQ","BEST_FPERIOD_OVERRIDE=FQ","FILING_STATUS=MR","SCALING_FORMAT=MLN","Sort=A","Dates=H","DateFormat=P","Fill=—","Direction=H","UseDPDF=Y")</f>
        <v>8552</v>
      </c>
      <c r="R57" s="13">
        <f>_xll.BDH("AMGN US Equity","OTHER_NONCUR_LIABS_SUB_DETAILED","FQ3 2022","FQ3 2022","Currency=USD","Period=FQ","BEST_FPERIOD_OVERRIDE=FQ","FILING_STATUS=MR","SCALING_FORMAT=MLN","Sort=A","Dates=H","DateFormat=P","Fill=—","Direction=H","UseDPDF=Y")</f>
        <v>8555</v>
      </c>
      <c r="S57" s="13">
        <f>_xll.BDH("AMGN US Equity","OTHER_NONCUR_LIABS_SUB_DETAILED","FQ4 2022","FQ4 2022","Currency=USD","Period=FQ","BEST_FPERIOD_OVERRIDE=FQ","FILING_STATUS=MR","SCALING_FORMAT=MLN","Sort=A","Dates=H","DateFormat=P","Fill=—","Direction=H","UseDPDF=Y")</f>
        <v>7880</v>
      </c>
      <c r="T57" s="13">
        <f>_xll.BDH("AMGN US Equity","OTHER_NONCUR_LIABS_SUB_DETAILED","FQ1 2023","FQ1 2023","Currency=USD","Period=FQ","BEST_FPERIOD_OVERRIDE=FQ","FILING_STATUS=MR","SCALING_FORMAT=MLN","Sort=A","Dates=H","DateFormat=P","Fill=—","Direction=H","UseDPDF=Y")</f>
        <v>8396</v>
      </c>
      <c r="U57" s="13">
        <f>_xll.BDH("AMGN US Equity","OTHER_NONCUR_LIABS_SUB_DETAILED","FQ2 2023","FQ2 2023","Currency=USD","Period=FQ","BEST_FPERIOD_OVERRIDE=FQ","FILING_STATUS=MR","SCALING_FORMAT=MLN","Sort=A","Dates=H","DateFormat=P","Fill=—","Direction=H","UseDPDF=Y")</f>
        <v>7014</v>
      </c>
      <c r="V57" s="13">
        <f>_xll.BDH("AMGN US Equity","OTHER_NONCUR_LIABS_SUB_DETAILED","FQ3 2023","FQ3 2023","Currency=USD","Period=FQ","BEST_FPERIOD_OVERRIDE=FQ","FILING_STATUS=MR","SCALING_FORMAT=MLN","Sort=A","Dates=H","DateFormat=P","Fill=—","Direction=H","UseDPDF=Y")</f>
        <v>6884</v>
      </c>
      <c r="W57" s="13">
        <f>_xll.BDH("AMGN US Equity","OTHER_NONCUR_LIABS_SUB_DETAILED","FQ4 2023","FQ4 2023","Currency=USD","Period=FQ","BEST_FPERIOD_OVERRIDE=FQ","FILING_STATUS=MR","SCALING_FORMAT=MLN","Sort=A","Dates=H","DateFormat=P","Fill=—","Direction=H","UseDPDF=Y")</f>
        <v>8669</v>
      </c>
      <c r="X57" s="13">
        <f>_xll.BDH("AMGN US Equity","OTHER_NONCUR_LIABS_SUB_DETAILED","FQ1 2024","FQ1 2024","Currency=USD","Period=FQ","BEST_FPERIOD_OVERRIDE=FQ","FILING_STATUS=MR","SCALING_FORMAT=MLN","Sort=A","Dates=H","DateFormat=P","Fill=—","Direction=H","UseDPDF=Y")</f>
        <v>8183</v>
      </c>
      <c r="Y57" s="13">
        <f>_xll.BDH("AMGN US Equity","OTHER_NONCUR_LIABS_SUB_DETAILED","FQ2 2024","FQ2 2024","Currency=USD","Period=FQ","BEST_FPERIOD_OVERRIDE=FQ","FILING_STATUS=MR","SCALING_FORMAT=MLN","Sort=A","Dates=H","DateFormat=P","Fill=—","Direction=H","UseDPDF=Y")</f>
        <v>6348</v>
      </c>
      <c r="Z57" s="13">
        <f>_xll.BDH("AMGN US Equity","OTHER_NONCUR_LIABS_SUB_DETAILED","FQ3 2024","FQ3 2024","Currency=USD","Period=FQ","BEST_FPERIOD_OVERRIDE=FQ","FILING_STATUS=MR","SCALING_FORMAT=MLN","Sort=A","Dates=H","DateFormat=P","Fill=—","Direction=H","UseDPDF=Y")</f>
        <v>6190</v>
      </c>
      <c r="AA57" s="13">
        <f>_xll.BDH("AMGN US Equity","OTHER_NONCUR_LIABS_SUB_DETAILED","FQ4 2024","FQ4 2024","Currency=USD","Period=FQ","BEST_FPERIOD_OVERRIDE=FQ","FILING_STATUS=MR","SCALING_FORMAT=MLN","Sort=A","Dates=H","DateFormat=P","Fill=—","Direction=H","UseDPDF=Y")</f>
        <v>5641</v>
      </c>
    </row>
    <row r="58" spans="1:27" x14ac:dyDescent="0.25">
      <c r="A58" s="10" t="s">
        <v>795</v>
      </c>
      <c r="B58" s="10" t="s">
        <v>796</v>
      </c>
      <c r="C58" s="13">
        <f>_xll.BDH("AMGN US Equity","BS_ACCRUED_LIABILITIES","FQ4 2018","FQ4 2018","Currency=USD","Period=FQ","BEST_FPERIOD_OVERRIDE=FQ","FILING_STATUS=MR","SCALING_FORMAT=MLN","Sort=A","Dates=H","DateFormat=P","Fill=—","Direction=H","UseDPDF=Y")</f>
        <v>0</v>
      </c>
      <c r="D58" s="13" t="str">
        <f>_xll.BDH("AMGN US Equity","BS_ACCRUED_LIABILITIES","FQ1 2019","FQ1 2019","Currency=USD","Period=FQ","BEST_FPERIOD_OVERRIDE=FQ","FILING_STATUS=MR","SCALING_FORMAT=MLN","Sort=A","Dates=H","DateFormat=P","Fill=—","Direction=H","UseDPDF=Y")</f>
        <v>—</v>
      </c>
      <c r="E58" s="13" t="str">
        <f>_xll.BDH("AMGN US Equity","BS_ACCRUED_LIABILITIES","FQ2 2019","FQ2 2019","Currency=USD","Period=FQ","BEST_FPERIOD_OVERRIDE=FQ","FILING_STATUS=MR","SCALING_FORMAT=MLN","Sort=A","Dates=H","DateFormat=P","Fill=—","Direction=H","UseDPDF=Y")</f>
        <v>—</v>
      </c>
      <c r="F58" s="13" t="str">
        <f>_xll.BDH("AMGN US Equity","BS_ACCRUED_LIABILITIES","FQ3 2019","FQ3 2019","Currency=USD","Period=FQ","BEST_FPERIOD_OVERRIDE=FQ","FILING_STATUS=MR","SCALING_FORMAT=MLN","Sort=A","Dates=H","DateFormat=P","Fill=—","Direction=H","UseDPDF=Y")</f>
        <v>—</v>
      </c>
      <c r="G58" s="13">
        <f>_xll.BDH("AMGN US Equity","BS_ACCRUED_LIABILITIES","FQ4 2019","FQ4 2019","Currency=USD","Period=FQ","BEST_FPERIOD_OVERRIDE=FQ","FILING_STATUS=MR","SCALING_FORMAT=MLN","Sort=A","Dates=H","DateFormat=P","Fill=—","Direction=H","UseDPDF=Y")</f>
        <v>0</v>
      </c>
      <c r="H58" s="13" t="str">
        <f>_xll.BDH("AMGN US Equity","BS_ACCRUED_LIABILITIES","FQ1 2020","FQ1 2020","Currency=USD","Period=FQ","BEST_FPERIOD_OVERRIDE=FQ","FILING_STATUS=MR","SCALING_FORMAT=MLN","Sort=A","Dates=H","DateFormat=P","Fill=—","Direction=H","UseDPDF=Y")</f>
        <v>—</v>
      </c>
      <c r="I58" s="13" t="str">
        <f>_xll.BDH("AMGN US Equity","BS_ACCRUED_LIABILITIES","FQ2 2020","FQ2 2020","Currency=USD","Period=FQ","BEST_FPERIOD_OVERRIDE=FQ","FILING_STATUS=MR","SCALING_FORMAT=MLN","Sort=A","Dates=H","DateFormat=P","Fill=—","Direction=H","UseDPDF=Y")</f>
        <v>—</v>
      </c>
      <c r="J58" s="13" t="str">
        <f>_xll.BDH("AMGN US Equity","BS_ACCRUED_LIABILITIES","FQ3 2020","FQ3 2020","Currency=USD","Period=FQ","BEST_FPERIOD_OVERRIDE=FQ","FILING_STATUS=MR","SCALING_FORMAT=MLN","Sort=A","Dates=H","DateFormat=P","Fill=—","Direction=H","UseDPDF=Y")</f>
        <v>—</v>
      </c>
      <c r="K58" s="13">
        <f>_xll.BDH("AMGN US Equity","BS_ACCRUED_LIABILITIES","FQ4 2020","FQ4 2020","Currency=USD","Period=FQ","BEST_FPERIOD_OVERRIDE=FQ","FILING_STATUS=MR","SCALING_FORMAT=MLN","Sort=A","Dates=H","DateFormat=P","Fill=—","Direction=H","UseDPDF=Y")</f>
        <v>0</v>
      </c>
      <c r="L58" s="13">
        <f>_xll.BDH("AMGN US Equity","BS_ACCRUED_LIABILITIES","FQ1 2021","FQ1 2021","Currency=USD","Period=FQ","BEST_FPERIOD_OVERRIDE=FQ","FILING_STATUS=MR","SCALING_FORMAT=MLN","Sort=A","Dates=H","DateFormat=P","Fill=—","Direction=H","UseDPDF=Y")</f>
        <v>0</v>
      </c>
      <c r="M58" s="13" t="str">
        <f>_xll.BDH("AMGN US Equity","BS_ACCRUED_LIABILITIES","FQ2 2021","FQ2 2021","Currency=USD","Period=FQ","BEST_FPERIOD_OVERRIDE=FQ","FILING_STATUS=MR","SCALING_FORMAT=MLN","Sort=A","Dates=H","DateFormat=P","Fill=—","Direction=H","UseDPDF=Y")</f>
        <v>—</v>
      </c>
      <c r="N58" s="13" t="str">
        <f>_xll.BDH("AMGN US Equity","BS_ACCRUED_LIABILITIES","FQ3 2021","FQ3 2021","Currency=USD","Period=FQ","BEST_FPERIOD_OVERRIDE=FQ","FILING_STATUS=MR","SCALING_FORMAT=MLN","Sort=A","Dates=H","DateFormat=P","Fill=—","Direction=H","UseDPDF=Y")</f>
        <v>—</v>
      </c>
      <c r="O58" s="13">
        <f>_xll.BDH("AMGN US Equity","BS_ACCRUED_LIABILITIES","FQ4 2021","FQ4 2021","Currency=USD","Period=FQ","BEST_FPERIOD_OVERRIDE=FQ","FILING_STATUS=MR","SCALING_FORMAT=MLN","Sort=A","Dates=H","DateFormat=P","Fill=—","Direction=H","UseDPDF=Y")</f>
        <v>0</v>
      </c>
      <c r="P58" s="13">
        <f>_xll.BDH("AMGN US Equity","BS_ACCRUED_LIABILITIES","FQ1 2022","FQ1 2022","Currency=USD","Period=FQ","BEST_FPERIOD_OVERRIDE=FQ","FILING_STATUS=MR","SCALING_FORMAT=MLN","Sort=A","Dates=H","DateFormat=P","Fill=—","Direction=H","UseDPDF=Y")</f>
        <v>0</v>
      </c>
      <c r="Q58" s="13" t="str">
        <f>_xll.BDH("AMGN US Equity","BS_ACCRUED_LIABILITIES","FQ2 2022","FQ2 2022","Currency=USD","Period=FQ","BEST_FPERIOD_OVERRIDE=FQ","FILING_STATUS=MR","SCALING_FORMAT=MLN","Sort=A","Dates=H","DateFormat=P","Fill=—","Direction=H","UseDPDF=Y")</f>
        <v>—</v>
      </c>
      <c r="R58" s="13" t="str">
        <f>_xll.BDH("AMGN US Equity","BS_ACCRUED_LIABILITIES","FQ3 2022","FQ3 2022","Currency=USD","Period=FQ","BEST_FPERIOD_OVERRIDE=FQ","FILING_STATUS=MR","SCALING_FORMAT=MLN","Sort=A","Dates=H","DateFormat=P","Fill=—","Direction=H","UseDPDF=Y")</f>
        <v>—</v>
      </c>
      <c r="S58" s="13">
        <f>_xll.BDH("AMGN US Equity","BS_ACCRUED_LIABILITIES","FQ4 2022","FQ4 2022","Currency=USD","Period=FQ","BEST_FPERIOD_OVERRIDE=FQ","FILING_STATUS=MR","SCALING_FORMAT=MLN","Sort=A","Dates=H","DateFormat=P","Fill=—","Direction=H","UseDPDF=Y")</f>
        <v>0</v>
      </c>
      <c r="T58" s="13" t="str">
        <f>_xll.BDH("AMGN US Equity","BS_ACCRUED_LIABILITIES","FQ1 2023","FQ1 2023","Currency=USD","Period=FQ","BEST_FPERIOD_OVERRIDE=FQ","FILING_STATUS=MR","SCALING_FORMAT=MLN","Sort=A","Dates=H","DateFormat=P","Fill=—","Direction=H","UseDPDF=Y")</f>
        <v>—</v>
      </c>
      <c r="U58" s="13" t="str">
        <f>_xll.BDH("AMGN US Equity","BS_ACCRUED_LIABILITIES","FQ2 2023","FQ2 2023","Currency=USD","Period=FQ","BEST_FPERIOD_OVERRIDE=FQ","FILING_STATUS=MR","SCALING_FORMAT=MLN","Sort=A","Dates=H","DateFormat=P","Fill=—","Direction=H","UseDPDF=Y")</f>
        <v>—</v>
      </c>
      <c r="V58" s="13" t="str">
        <f>_xll.BDH("AMGN US Equity","BS_ACCRUED_LIABILITIES","FQ3 2023","FQ3 2023","Currency=USD","Period=FQ","BEST_FPERIOD_OVERRIDE=FQ","FILING_STATUS=MR","SCALING_FORMAT=MLN","Sort=A","Dates=H","DateFormat=P","Fill=—","Direction=H","UseDPDF=Y")</f>
        <v>—</v>
      </c>
      <c r="W58" s="13">
        <f>_xll.BDH("AMGN US Equity","BS_ACCRUED_LIABILITIES","FQ4 2023","FQ4 2023","Currency=USD","Period=FQ","BEST_FPERIOD_OVERRIDE=FQ","FILING_STATUS=MR","SCALING_FORMAT=MLN","Sort=A","Dates=H","DateFormat=P","Fill=—","Direction=H","UseDPDF=Y")</f>
        <v>0</v>
      </c>
      <c r="X58" s="13" t="str">
        <f>_xll.BDH("AMGN US Equity","BS_ACCRUED_LIABILITIES","FQ1 2024","FQ1 2024","Currency=USD","Period=FQ","BEST_FPERIOD_OVERRIDE=FQ","FILING_STATUS=MR","SCALING_FORMAT=MLN","Sort=A","Dates=H","DateFormat=P","Fill=—","Direction=H","UseDPDF=Y")</f>
        <v>—</v>
      </c>
      <c r="Y58" s="13" t="str">
        <f>_xll.BDH("AMGN US Equity","BS_ACCRUED_LIABILITIES","FQ2 2024","FQ2 2024","Currency=USD","Period=FQ","BEST_FPERIOD_OVERRIDE=FQ","FILING_STATUS=MR","SCALING_FORMAT=MLN","Sort=A","Dates=H","DateFormat=P","Fill=—","Direction=H","UseDPDF=Y")</f>
        <v>—</v>
      </c>
      <c r="Z58" s="13" t="str">
        <f>_xll.BDH("AMGN US Equity","BS_ACCRUED_LIABILITIES","FQ3 2024","FQ3 2024","Currency=USD","Period=FQ","BEST_FPERIOD_OVERRIDE=FQ","FILING_STATUS=MR","SCALING_FORMAT=MLN","Sort=A","Dates=H","DateFormat=P","Fill=—","Direction=H","UseDPDF=Y")</f>
        <v>—</v>
      </c>
      <c r="AA58" s="13">
        <f>_xll.BDH("AMGN US Equity","BS_ACCRUED_LIABILITIES","FQ4 2024","FQ4 2024","Currency=USD","Period=FQ","BEST_FPERIOD_OVERRIDE=FQ","FILING_STATUS=MR","SCALING_FORMAT=MLN","Sort=A","Dates=H","DateFormat=P","Fill=—","Direction=H","UseDPDF=Y")</f>
        <v>0</v>
      </c>
    </row>
    <row r="59" spans="1:27" x14ac:dyDescent="0.25">
      <c r="A59" s="10" t="s">
        <v>797</v>
      </c>
      <c r="B59" s="10" t="s">
        <v>798</v>
      </c>
      <c r="C59" s="13">
        <f>_xll.BDH("AMGN US Equity","PENSION_LIABILITIES","FQ4 2018","FQ4 2018","Currency=USD","Period=FQ","BEST_FPERIOD_OVERRIDE=FQ","FILING_STATUS=MR","SCALING_FORMAT=MLN","Sort=A","Dates=H","DateFormat=P","Fill=—","Direction=H","UseDPDF=Y")</f>
        <v>0</v>
      </c>
      <c r="D59" s="13" t="str">
        <f>_xll.BDH("AMGN US Equity","PENSION_LIABILITIES","FQ1 2019","FQ1 2019","Currency=USD","Period=FQ","BEST_FPERIOD_OVERRIDE=FQ","FILING_STATUS=MR","SCALING_FORMAT=MLN","Sort=A","Dates=H","DateFormat=P","Fill=—","Direction=H","UseDPDF=Y")</f>
        <v>—</v>
      </c>
      <c r="E59" s="13" t="str">
        <f>_xll.BDH("AMGN US Equity","PENSION_LIABILITIES","FQ2 2019","FQ2 2019","Currency=USD","Period=FQ","BEST_FPERIOD_OVERRIDE=FQ","FILING_STATUS=MR","SCALING_FORMAT=MLN","Sort=A","Dates=H","DateFormat=P","Fill=—","Direction=H","UseDPDF=Y")</f>
        <v>—</v>
      </c>
      <c r="F59" s="13" t="str">
        <f>_xll.BDH("AMGN US Equity","PENSION_LIABILITIES","FQ3 2019","FQ3 2019","Currency=USD","Period=FQ","BEST_FPERIOD_OVERRIDE=FQ","FILING_STATUS=MR","SCALING_FORMAT=MLN","Sort=A","Dates=H","DateFormat=P","Fill=—","Direction=H","UseDPDF=Y")</f>
        <v>—</v>
      </c>
      <c r="G59" s="13">
        <f>_xll.BDH("AMGN US Equity","PENSION_LIABILITIES","FQ4 2019","FQ4 2019","Currency=USD","Period=FQ","BEST_FPERIOD_OVERRIDE=FQ","FILING_STATUS=MR","SCALING_FORMAT=MLN","Sort=A","Dates=H","DateFormat=P","Fill=—","Direction=H","UseDPDF=Y")</f>
        <v>0</v>
      </c>
      <c r="H59" s="13" t="str">
        <f>_xll.BDH("AMGN US Equity","PENSION_LIABILITIES","FQ1 2020","FQ1 2020","Currency=USD","Period=FQ","BEST_FPERIOD_OVERRIDE=FQ","FILING_STATUS=MR","SCALING_FORMAT=MLN","Sort=A","Dates=H","DateFormat=P","Fill=—","Direction=H","UseDPDF=Y")</f>
        <v>—</v>
      </c>
      <c r="I59" s="13" t="str">
        <f>_xll.BDH("AMGN US Equity","PENSION_LIABILITIES","FQ2 2020","FQ2 2020","Currency=USD","Period=FQ","BEST_FPERIOD_OVERRIDE=FQ","FILING_STATUS=MR","SCALING_FORMAT=MLN","Sort=A","Dates=H","DateFormat=P","Fill=—","Direction=H","UseDPDF=Y")</f>
        <v>—</v>
      </c>
      <c r="J59" s="13" t="str">
        <f>_xll.BDH("AMGN US Equity","PENSION_LIABILITIES","FQ3 2020","FQ3 2020","Currency=USD","Period=FQ","BEST_FPERIOD_OVERRIDE=FQ","FILING_STATUS=MR","SCALING_FORMAT=MLN","Sort=A","Dates=H","DateFormat=P","Fill=—","Direction=H","UseDPDF=Y")</f>
        <v>—</v>
      </c>
      <c r="K59" s="13">
        <f>_xll.BDH("AMGN US Equity","PENSION_LIABILITIES","FQ4 2020","FQ4 2020","Currency=USD","Period=FQ","BEST_FPERIOD_OVERRIDE=FQ","FILING_STATUS=MR","SCALING_FORMAT=MLN","Sort=A","Dates=H","DateFormat=P","Fill=—","Direction=H","UseDPDF=Y")</f>
        <v>0</v>
      </c>
      <c r="L59" s="13">
        <f>_xll.BDH("AMGN US Equity","PENSION_LIABILITIES","FQ1 2021","FQ1 2021","Currency=USD","Period=FQ","BEST_FPERIOD_OVERRIDE=FQ","FILING_STATUS=MR","SCALING_FORMAT=MLN","Sort=A","Dates=H","DateFormat=P","Fill=—","Direction=H","UseDPDF=Y")</f>
        <v>0</v>
      </c>
      <c r="M59" s="13" t="str">
        <f>_xll.BDH("AMGN US Equity","PENSION_LIABILITIES","FQ2 2021","FQ2 2021","Currency=USD","Period=FQ","BEST_FPERIOD_OVERRIDE=FQ","FILING_STATUS=MR","SCALING_FORMAT=MLN","Sort=A","Dates=H","DateFormat=P","Fill=—","Direction=H","UseDPDF=Y")</f>
        <v>—</v>
      </c>
      <c r="N59" s="13" t="str">
        <f>_xll.BDH("AMGN US Equity","PENSION_LIABILITIES","FQ3 2021","FQ3 2021","Currency=USD","Period=FQ","BEST_FPERIOD_OVERRIDE=FQ","FILING_STATUS=MR","SCALING_FORMAT=MLN","Sort=A","Dates=H","DateFormat=P","Fill=—","Direction=H","UseDPDF=Y")</f>
        <v>—</v>
      </c>
      <c r="O59" s="13">
        <f>_xll.BDH("AMGN US Equity","PENSION_LIABILITIES","FQ4 2021","FQ4 2021","Currency=USD","Period=FQ","BEST_FPERIOD_OVERRIDE=FQ","FILING_STATUS=MR","SCALING_FORMAT=MLN","Sort=A","Dates=H","DateFormat=P","Fill=—","Direction=H","UseDPDF=Y")</f>
        <v>0</v>
      </c>
      <c r="P59" s="13">
        <f>_xll.BDH("AMGN US Equity","PENSION_LIABILITIES","FQ1 2022","FQ1 2022","Currency=USD","Period=FQ","BEST_FPERIOD_OVERRIDE=FQ","FILING_STATUS=MR","SCALING_FORMAT=MLN","Sort=A","Dates=H","DateFormat=P","Fill=—","Direction=H","UseDPDF=Y")</f>
        <v>0</v>
      </c>
      <c r="Q59" s="13" t="str">
        <f>_xll.BDH("AMGN US Equity","PENSION_LIABILITIES","FQ2 2022","FQ2 2022","Currency=USD","Period=FQ","BEST_FPERIOD_OVERRIDE=FQ","FILING_STATUS=MR","SCALING_FORMAT=MLN","Sort=A","Dates=H","DateFormat=P","Fill=—","Direction=H","UseDPDF=Y")</f>
        <v>—</v>
      </c>
      <c r="R59" s="13" t="str">
        <f>_xll.BDH("AMGN US Equity","PENSION_LIABILITIES","FQ3 2022","FQ3 2022","Currency=USD","Period=FQ","BEST_FPERIOD_OVERRIDE=FQ","FILING_STATUS=MR","SCALING_FORMAT=MLN","Sort=A","Dates=H","DateFormat=P","Fill=—","Direction=H","UseDPDF=Y")</f>
        <v>—</v>
      </c>
      <c r="S59" s="13">
        <f>_xll.BDH("AMGN US Equity","PENSION_LIABILITIES","FQ4 2022","FQ4 2022","Currency=USD","Period=FQ","BEST_FPERIOD_OVERRIDE=FQ","FILING_STATUS=MR","SCALING_FORMAT=MLN","Sort=A","Dates=H","DateFormat=P","Fill=—","Direction=H","UseDPDF=Y")</f>
        <v>0</v>
      </c>
      <c r="T59" s="13" t="str">
        <f>_xll.BDH("AMGN US Equity","PENSION_LIABILITIES","FQ1 2023","FQ1 2023","Currency=USD","Period=FQ","BEST_FPERIOD_OVERRIDE=FQ","FILING_STATUS=MR","SCALING_FORMAT=MLN","Sort=A","Dates=H","DateFormat=P","Fill=—","Direction=H","UseDPDF=Y")</f>
        <v>—</v>
      </c>
      <c r="U59" s="13" t="str">
        <f>_xll.BDH("AMGN US Equity","PENSION_LIABILITIES","FQ2 2023","FQ2 2023","Currency=USD","Period=FQ","BEST_FPERIOD_OVERRIDE=FQ","FILING_STATUS=MR","SCALING_FORMAT=MLN","Sort=A","Dates=H","DateFormat=P","Fill=—","Direction=H","UseDPDF=Y")</f>
        <v>—</v>
      </c>
      <c r="V59" s="13" t="str">
        <f>_xll.BDH("AMGN US Equity","PENSION_LIABILITIES","FQ3 2023","FQ3 2023","Currency=USD","Period=FQ","BEST_FPERIOD_OVERRIDE=FQ","FILING_STATUS=MR","SCALING_FORMAT=MLN","Sort=A","Dates=H","DateFormat=P","Fill=—","Direction=H","UseDPDF=Y")</f>
        <v>—</v>
      </c>
      <c r="W59" s="13">
        <f>_xll.BDH("AMGN US Equity","PENSION_LIABILITIES","FQ4 2023","FQ4 2023","Currency=USD","Period=FQ","BEST_FPERIOD_OVERRIDE=FQ","FILING_STATUS=MR","SCALING_FORMAT=MLN","Sort=A","Dates=H","DateFormat=P","Fill=—","Direction=H","UseDPDF=Y")</f>
        <v>0</v>
      </c>
      <c r="X59" s="13" t="str">
        <f>_xll.BDH("AMGN US Equity","PENSION_LIABILITIES","FQ1 2024","FQ1 2024","Currency=USD","Period=FQ","BEST_FPERIOD_OVERRIDE=FQ","FILING_STATUS=MR","SCALING_FORMAT=MLN","Sort=A","Dates=H","DateFormat=P","Fill=—","Direction=H","UseDPDF=Y")</f>
        <v>—</v>
      </c>
      <c r="Y59" s="13" t="str">
        <f>_xll.BDH("AMGN US Equity","PENSION_LIABILITIES","FQ2 2024","FQ2 2024","Currency=USD","Period=FQ","BEST_FPERIOD_OVERRIDE=FQ","FILING_STATUS=MR","SCALING_FORMAT=MLN","Sort=A","Dates=H","DateFormat=P","Fill=—","Direction=H","UseDPDF=Y")</f>
        <v>—</v>
      </c>
      <c r="Z59" s="13" t="str">
        <f>_xll.BDH("AMGN US Equity","PENSION_LIABILITIES","FQ3 2024","FQ3 2024","Currency=USD","Period=FQ","BEST_FPERIOD_OVERRIDE=FQ","FILING_STATUS=MR","SCALING_FORMAT=MLN","Sort=A","Dates=H","DateFormat=P","Fill=—","Direction=H","UseDPDF=Y")</f>
        <v>—</v>
      </c>
      <c r="AA59" s="13">
        <f>_xll.BDH("AMGN US Equity","PENSION_LIABILITIES","FQ4 2024","FQ4 2024","Currency=USD","Period=FQ","BEST_FPERIOD_OVERRIDE=FQ","FILING_STATUS=MR","SCALING_FORMAT=MLN","Sort=A","Dates=H","DateFormat=P","Fill=—","Direction=H","UseDPDF=Y")</f>
        <v>0</v>
      </c>
    </row>
    <row r="60" spans="1:27" x14ac:dyDescent="0.25">
      <c r="A60" s="11" t="s">
        <v>799</v>
      </c>
      <c r="B60" s="11" t="s">
        <v>800</v>
      </c>
      <c r="C60" s="25">
        <f>_xll.BDH("AMGN US Equity","BS_PENSIONS_LT_LIABS","FQ4 2018","FQ4 2018","Currency=USD","Period=FQ","BEST_FPERIOD_OVERRIDE=FQ","FILING_STATUS=MR","SCALING_FORMAT=MLN","Sort=A","Dates=H","DateFormat=P","Fill=—","Direction=H","UseDPDF=Y")</f>
        <v>0</v>
      </c>
      <c r="D60" s="25" t="str">
        <f>_xll.BDH("AMGN US Equity","BS_PENSIONS_LT_LIABS","FQ1 2019","FQ1 2019","Currency=USD","Period=FQ","BEST_FPERIOD_OVERRIDE=FQ","FILING_STATUS=MR","SCALING_FORMAT=MLN","Sort=A","Dates=H","DateFormat=P","Fill=—","Direction=H","UseDPDF=Y")</f>
        <v>—</v>
      </c>
      <c r="E60" s="25" t="str">
        <f>_xll.BDH("AMGN US Equity","BS_PENSIONS_LT_LIABS","FQ2 2019","FQ2 2019","Currency=USD","Period=FQ","BEST_FPERIOD_OVERRIDE=FQ","FILING_STATUS=MR","SCALING_FORMAT=MLN","Sort=A","Dates=H","DateFormat=P","Fill=—","Direction=H","UseDPDF=Y")</f>
        <v>—</v>
      </c>
      <c r="F60" s="25" t="str">
        <f>_xll.BDH("AMGN US Equity","BS_PENSIONS_LT_LIABS","FQ3 2019","FQ3 2019","Currency=USD","Period=FQ","BEST_FPERIOD_OVERRIDE=FQ","FILING_STATUS=MR","SCALING_FORMAT=MLN","Sort=A","Dates=H","DateFormat=P","Fill=—","Direction=H","UseDPDF=Y")</f>
        <v>—</v>
      </c>
      <c r="G60" s="25">
        <f>_xll.BDH("AMGN US Equity","BS_PENSIONS_LT_LIABS","FQ4 2019","FQ4 2019","Currency=USD","Period=FQ","BEST_FPERIOD_OVERRIDE=FQ","FILING_STATUS=MR","SCALING_FORMAT=MLN","Sort=A","Dates=H","DateFormat=P","Fill=—","Direction=H","UseDPDF=Y")</f>
        <v>0</v>
      </c>
      <c r="H60" s="25" t="str">
        <f>_xll.BDH("AMGN US Equity","BS_PENSIONS_LT_LIABS","FQ1 2020","FQ1 2020","Currency=USD","Period=FQ","BEST_FPERIOD_OVERRIDE=FQ","FILING_STATUS=MR","SCALING_FORMAT=MLN","Sort=A","Dates=H","DateFormat=P","Fill=—","Direction=H","UseDPDF=Y")</f>
        <v>—</v>
      </c>
      <c r="I60" s="25" t="str">
        <f>_xll.BDH("AMGN US Equity","BS_PENSIONS_LT_LIABS","FQ2 2020","FQ2 2020","Currency=USD","Period=FQ","BEST_FPERIOD_OVERRIDE=FQ","FILING_STATUS=MR","SCALING_FORMAT=MLN","Sort=A","Dates=H","DateFormat=P","Fill=—","Direction=H","UseDPDF=Y")</f>
        <v>—</v>
      </c>
      <c r="J60" s="25" t="str">
        <f>_xll.BDH("AMGN US Equity","BS_PENSIONS_LT_LIABS","FQ3 2020","FQ3 2020","Currency=USD","Period=FQ","BEST_FPERIOD_OVERRIDE=FQ","FILING_STATUS=MR","SCALING_FORMAT=MLN","Sort=A","Dates=H","DateFormat=P","Fill=—","Direction=H","UseDPDF=Y")</f>
        <v>—</v>
      </c>
      <c r="K60" s="25">
        <f>_xll.BDH("AMGN US Equity","BS_PENSIONS_LT_LIABS","FQ4 2020","FQ4 2020","Currency=USD","Period=FQ","BEST_FPERIOD_OVERRIDE=FQ","FILING_STATUS=MR","SCALING_FORMAT=MLN","Sort=A","Dates=H","DateFormat=P","Fill=—","Direction=H","UseDPDF=Y")</f>
        <v>0</v>
      </c>
      <c r="L60" s="25">
        <f>_xll.BDH("AMGN US Equity","BS_PENSIONS_LT_LIABS","FQ1 2021","FQ1 2021","Currency=USD","Period=FQ","BEST_FPERIOD_OVERRIDE=FQ","FILING_STATUS=MR","SCALING_FORMAT=MLN","Sort=A","Dates=H","DateFormat=P","Fill=—","Direction=H","UseDPDF=Y")</f>
        <v>0</v>
      </c>
      <c r="M60" s="25" t="str">
        <f>_xll.BDH("AMGN US Equity","BS_PENSIONS_LT_LIABS","FQ2 2021","FQ2 2021","Currency=USD","Period=FQ","BEST_FPERIOD_OVERRIDE=FQ","FILING_STATUS=MR","SCALING_FORMAT=MLN","Sort=A","Dates=H","DateFormat=P","Fill=—","Direction=H","UseDPDF=Y")</f>
        <v>—</v>
      </c>
      <c r="N60" s="25" t="str">
        <f>_xll.BDH("AMGN US Equity","BS_PENSIONS_LT_LIABS","FQ3 2021","FQ3 2021","Currency=USD","Period=FQ","BEST_FPERIOD_OVERRIDE=FQ","FILING_STATUS=MR","SCALING_FORMAT=MLN","Sort=A","Dates=H","DateFormat=P","Fill=—","Direction=H","UseDPDF=Y")</f>
        <v>—</v>
      </c>
      <c r="O60" s="25">
        <f>_xll.BDH("AMGN US Equity","BS_PENSIONS_LT_LIABS","FQ4 2021","FQ4 2021","Currency=USD","Period=FQ","BEST_FPERIOD_OVERRIDE=FQ","FILING_STATUS=MR","SCALING_FORMAT=MLN","Sort=A","Dates=H","DateFormat=P","Fill=—","Direction=H","UseDPDF=Y")</f>
        <v>0</v>
      </c>
      <c r="P60" s="25">
        <f>_xll.BDH("AMGN US Equity","BS_PENSIONS_LT_LIABS","FQ1 2022","FQ1 2022","Currency=USD","Period=FQ","BEST_FPERIOD_OVERRIDE=FQ","FILING_STATUS=MR","SCALING_FORMAT=MLN","Sort=A","Dates=H","DateFormat=P","Fill=—","Direction=H","UseDPDF=Y")</f>
        <v>0</v>
      </c>
      <c r="Q60" s="25" t="str">
        <f>_xll.BDH("AMGN US Equity","BS_PENSIONS_LT_LIABS","FQ2 2022","FQ2 2022","Currency=USD","Period=FQ","BEST_FPERIOD_OVERRIDE=FQ","FILING_STATUS=MR","SCALING_FORMAT=MLN","Sort=A","Dates=H","DateFormat=P","Fill=—","Direction=H","UseDPDF=Y")</f>
        <v>—</v>
      </c>
      <c r="R60" s="25" t="str">
        <f>_xll.BDH("AMGN US Equity","BS_PENSIONS_LT_LIABS","FQ3 2022","FQ3 2022","Currency=USD","Period=FQ","BEST_FPERIOD_OVERRIDE=FQ","FILING_STATUS=MR","SCALING_FORMAT=MLN","Sort=A","Dates=H","DateFormat=P","Fill=—","Direction=H","UseDPDF=Y")</f>
        <v>—</v>
      </c>
      <c r="S60" s="25">
        <f>_xll.BDH("AMGN US Equity","BS_PENSIONS_LT_LIABS","FQ4 2022","FQ4 2022","Currency=USD","Period=FQ","BEST_FPERIOD_OVERRIDE=FQ","FILING_STATUS=MR","SCALING_FORMAT=MLN","Sort=A","Dates=H","DateFormat=P","Fill=—","Direction=H","UseDPDF=Y")</f>
        <v>0</v>
      </c>
      <c r="T60" s="25" t="str">
        <f>_xll.BDH("AMGN US Equity","BS_PENSIONS_LT_LIABS","FQ1 2023","FQ1 2023","Currency=USD","Period=FQ","BEST_FPERIOD_OVERRIDE=FQ","FILING_STATUS=MR","SCALING_FORMAT=MLN","Sort=A","Dates=H","DateFormat=P","Fill=—","Direction=H","UseDPDF=Y")</f>
        <v>—</v>
      </c>
      <c r="U60" s="25" t="str">
        <f>_xll.BDH("AMGN US Equity","BS_PENSIONS_LT_LIABS","FQ2 2023","FQ2 2023","Currency=USD","Period=FQ","BEST_FPERIOD_OVERRIDE=FQ","FILING_STATUS=MR","SCALING_FORMAT=MLN","Sort=A","Dates=H","DateFormat=P","Fill=—","Direction=H","UseDPDF=Y")</f>
        <v>—</v>
      </c>
      <c r="V60" s="25" t="str">
        <f>_xll.BDH("AMGN US Equity","BS_PENSIONS_LT_LIABS","FQ3 2023","FQ3 2023","Currency=USD","Period=FQ","BEST_FPERIOD_OVERRIDE=FQ","FILING_STATUS=MR","SCALING_FORMAT=MLN","Sort=A","Dates=H","DateFormat=P","Fill=—","Direction=H","UseDPDF=Y")</f>
        <v>—</v>
      </c>
      <c r="W60" s="25">
        <f>_xll.BDH("AMGN US Equity","BS_PENSIONS_LT_LIABS","FQ4 2023","FQ4 2023","Currency=USD","Period=FQ","BEST_FPERIOD_OVERRIDE=FQ","FILING_STATUS=MR","SCALING_FORMAT=MLN","Sort=A","Dates=H","DateFormat=P","Fill=—","Direction=H","UseDPDF=Y")</f>
        <v>0</v>
      </c>
      <c r="X60" s="25" t="str">
        <f>_xll.BDH("AMGN US Equity","BS_PENSIONS_LT_LIABS","FQ1 2024","FQ1 2024","Currency=USD","Period=FQ","BEST_FPERIOD_OVERRIDE=FQ","FILING_STATUS=MR","SCALING_FORMAT=MLN","Sort=A","Dates=H","DateFormat=P","Fill=—","Direction=H","UseDPDF=Y")</f>
        <v>—</v>
      </c>
      <c r="Y60" s="25" t="str">
        <f>_xll.BDH("AMGN US Equity","BS_PENSIONS_LT_LIABS","FQ2 2024","FQ2 2024","Currency=USD","Period=FQ","BEST_FPERIOD_OVERRIDE=FQ","FILING_STATUS=MR","SCALING_FORMAT=MLN","Sort=A","Dates=H","DateFormat=P","Fill=—","Direction=H","UseDPDF=Y")</f>
        <v>—</v>
      </c>
      <c r="Z60" s="25" t="str">
        <f>_xll.BDH("AMGN US Equity","BS_PENSIONS_LT_LIABS","FQ3 2024","FQ3 2024","Currency=USD","Period=FQ","BEST_FPERIOD_OVERRIDE=FQ","FILING_STATUS=MR","SCALING_FORMAT=MLN","Sort=A","Dates=H","DateFormat=P","Fill=—","Direction=H","UseDPDF=Y")</f>
        <v>—</v>
      </c>
      <c r="AA60" s="25">
        <f>_xll.BDH("AMGN US Equity","BS_PENSIONS_LT_LIABS","FQ4 2024","FQ4 2024","Currency=USD","Period=FQ","BEST_FPERIOD_OVERRIDE=FQ","FILING_STATUS=MR","SCALING_FORMAT=MLN","Sort=A","Dates=H","DateFormat=P","Fill=—","Direction=H","UseDPDF=Y")</f>
        <v>0</v>
      </c>
    </row>
    <row r="61" spans="1:27" x14ac:dyDescent="0.25">
      <c r="A61" s="11" t="s">
        <v>801</v>
      </c>
      <c r="B61" s="11" t="s">
        <v>802</v>
      </c>
      <c r="C61" s="25">
        <f>_xll.BDH("AMGN US Equity","BS_OPRB_LT_LIABS","FQ4 2018","FQ4 2018","Currency=USD","Period=FQ","BEST_FPERIOD_OVERRIDE=FQ","FILING_STATUS=MR","SCALING_FORMAT=MLN","Sort=A","Dates=H","DateFormat=P","Fill=—","Direction=H","UseDPDF=Y")</f>
        <v>0</v>
      </c>
      <c r="D61" s="25" t="str">
        <f>_xll.BDH("AMGN US Equity","BS_OPRB_LT_LIABS","FQ1 2019","FQ1 2019","Currency=USD","Period=FQ","BEST_FPERIOD_OVERRIDE=FQ","FILING_STATUS=MR","SCALING_FORMAT=MLN","Sort=A","Dates=H","DateFormat=P","Fill=—","Direction=H","UseDPDF=Y")</f>
        <v>—</v>
      </c>
      <c r="E61" s="25" t="str">
        <f>_xll.BDH("AMGN US Equity","BS_OPRB_LT_LIABS","FQ2 2019","FQ2 2019","Currency=USD","Period=FQ","BEST_FPERIOD_OVERRIDE=FQ","FILING_STATUS=MR","SCALING_FORMAT=MLN","Sort=A","Dates=H","DateFormat=P","Fill=—","Direction=H","UseDPDF=Y")</f>
        <v>—</v>
      </c>
      <c r="F61" s="25" t="str">
        <f>_xll.BDH("AMGN US Equity","BS_OPRB_LT_LIABS","FQ3 2019","FQ3 2019","Currency=USD","Period=FQ","BEST_FPERIOD_OVERRIDE=FQ","FILING_STATUS=MR","SCALING_FORMAT=MLN","Sort=A","Dates=H","DateFormat=P","Fill=—","Direction=H","UseDPDF=Y")</f>
        <v>—</v>
      </c>
      <c r="G61" s="25">
        <f>_xll.BDH("AMGN US Equity","BS_OPRB_LT_LIABS","FQ4 2019","FQ4 2019","Currency=USD","Period=FQ","BEST_FPERIOD_OVERRIDE=FQ","FILING_STATUS=MR","SCALING_FORMAT=MLN","Sort=A","Dates=H","DateFormat=P","Fill=—","Direction=H","UseDPDF=Y")</f>
        <v>0</v>
      </c>
      <c r="H61" s="25" t="str">
        <f>_xll.BDH("AMGN US Equity","BS_OPRB_LT_LIABS","FQ1 2020","FQ1 2020","Currency=USD","Period=FQ","BEST_FPERIOD_OVERRIDE=FQ","FILING_STATUS=MR","SCALING_FORMAT=MLN","Sort=A","Dates=H","DateFormat=P","Fill=—","Direction=H","UseDPDF=Y")</f>
        <v>—</v>
      </c>
      <c r="I61" s="25" t="str">
        <f>_xll.BDH("AMGN US Equity","BS_OPRB_LT_LIABS","FQ2 2020","FQ2 2020","Currency=USD","Period=FQ","BEST_FPERIOD_OVERRIDE=FQ","FILING_STATUS=MR","SCALING_FORMAT=MLN","Sort=A","Dates=H","DateFormat=P","Fill=—","Direction=H","UseDPDF=Y")</f>
        <v>—</v>
      </c>
      <c r="J61" s="25" t="str">
        <f>_xll.BDH("AMGN US Equity","BS_OPRB_LT_LIABS","FQ3 2020","FQ3 2020","Currency=USD","Period=FQ","BEST_FPERIOD_OVERRIDE=FQ","FILING_STATUS=MR","SCALING_FORMAT=MLN","Sort=A","Dates=H","DateFormat=P","Fill=—","Direction=H","UseDPDF=Y")</f>
        <v>—</v>
      </c>
      <c r="K61" s="25">
        <f>_xll.BDH("AMGN US Equity","BS_OPRB_LT_LIABS","FQ4 2020","FQ4 2020","Currency=USD","Period=FQ","BEST_FPERIOD_OVERRIDE=FQ","FILING_STATUS=MR","SCALING_FORMAT=MLN","Sort=A","Dates=H","DateFormat=P","Fill=—","Direction=H","UseDPDF=Y")</f>
        <v>0</v>
      </c>
      <c r="L61" s="25">
        <f>_xll.BDH("AMGN US Equity","BS_OPRB_LT_LIABS","FQ1 2021","FQ1 2021","Currency=USD","Period=FQ","BEST_FPERIOD_OVERRIDE=FQ","FILING_STATUS=MR","SCALING_FORMAT=MLN","Sort=A","Dates=H","DateFormat=P","Fill=—","Direction=H","UseDPDF=Y")</f>
        <v>0</v>
      </c>
      <c r="M61" s="25" t="str">
        <f>_xll.BDH("AMGN US Equity","BS_OPRB_LT_LIABS","FQ2 2021","FQ2 2021","Currency=USD","Period=FQ","BEST_FPERIOD_OVERRIDE=FQ","FILING_STATUS=MR","SCALING_FORMAT=MLN","Sort=A","Dates=H","DateFormat=P","Fill=—","Direction=H","UseDPDF=Y")</f>
        <v>—</v>
      </c>
      <c r="N61" s="25" t="str">
        <f>_xll.BDH("AMGN US Equity","BS_OPRB_LT_LIABS","FQ3 2021","FQ3 2021","Currency=USD","Period=FQ","BEST_FPERIOD_OVERRIDE=FQ","FILING_STATUS=MR","SCALING_FORMAT=MLN","Sort=A","Dates=H","DateFormat=P","Fill=—","Direction=H","UseDPDF=Y")</f>
        <v>—</v>
      </c>
      <c r="O61" s="25">
        <f>_xll.BDH("AMGN US Equity","BS_OPRB_LT_LIABS","FQ4 2021","FQ4 2021","Currency=USD","Period=FQ","BEST_FPERIOD_OVERRIDE=FQ","FILING_STATUS=MR","SCALING_FORMAT=MLN","Sort=A","Dates=H","DateFormat=P","Fill=—","Direction=H","UseDPDF=Y")</f>
        <v>0</v>
      </c>
      <c r="P61" s="25">
        <f>_xll.BDH("AMGN US Equity","BS_OPRB_LT_LIABS","FQ1 2022","FQ1 2022","Currency=USD","Period=FQ","BEST_FPERIOD_OVERRIDE=FQ","FILING_STATUS=MR","SCALING_FORMAT=MLN","Sort=A","Dates=H","DateFormat=P","Fill=—","Direction=H","UseDPDF=Y")</f>
        <v>0</v>
      </c>
      <c r="Q61" s="25" t="str">
        <f>_xll.BDH("AMGN US Equity","BS_OPRB_LT_LIABS","FQ2 2022","FQ2 2022","Currency=USD","Period=FQ","BEST_FPERIOD_OVERRIDE=FQ","FILING_STATUS=MR","SCALING_FORMAT=MLN","Sort=A","Dates=H","DateFormat=P","Fill=—","Direction=H","UseDPDF=Y")</f>
        <v>—</v>
      </c>
      <c r="R61" s="25" t="str">
        <f>_xll.BDH("AMGN US Equity","BS_OPRB_LT_LIABS","FQ3 2022","FQ3 2022","Currency=USD","Period=FQ","BEST_FPERIOD_OVERRIDE=FQ","FILING_STATUS=MR","SCALING_FORMAT=MLN","Sort=A","Dates=H","DateFormat=P","Fill=—","Direction=H","UseDPDF=Y")</f>
        <v>—</v>
      </c>
      <c r="S61" s="25">
        <f>_xll.BDH("AMGN US Equity","BS_OPRB_LT_LIABS","FQ4 2022","FQ4 2022","Currency=USD","Period=FQ","BEST_FPERIOD_OVERRIDE=FQ","FILING_STATUS=MR","SCALING_FORMAT=MLN","Sort=A","Dates=H","DateFormat=P","Fill=—","Direction=H","UseDPDF=Y")</f>
        <v>0</v>
      </c>
      <c r="T61" s="25" t="str">
        <f>_xll.BDH("AMGN US Equity","BS_OPRB_LT_LIABS","FQ1 2023","FQ1 2023","Currency=USD","Period=FQ","BEST_FPERIOD_OVERRIDE=FQ","FILING_STATUS=MR","SCALING_FORMAT=MLN","Sort=A","Dates=H","DateFormat=P","Fill=—","Direction=H","UseDPDF=Y")</f>
        <v>—</v>
      </c>
      <c r="U61" s="25" t="str">
        <f>_xll.BDH("AMGN US Equity","BS_OPRB_LT_LIABS","FQ2 2023","FQ2 2023","Currency=USD","Period=FQ","BEST_FPERIOD_OVERRIDE=FQ","FILING_STATUS=MR","SCALING_FORMAT=MLN","Sort=A","Dates=H","DateFormat=P","Fill=—","Direction=H","UseDPDF=Y")</f>
        <v>—</v>
      </c>
      <c r="V61" s="25" t="str">
        <f>_xll.BDH("AMGN US Equity","BS_OPRB_LT_LIABS","FQ3 2023","FQ3 2023","Currency=USD","Period=FQ","BEST_FPERIOD_OVERRIDE=FQ","FILING_STATUS=MR","SCALING_FORMAT=MLN","Sort=A","Dates=H","DateFormat=P","Fill=—","Direction=H","UseDPDF=Y")</f>
        <v>—</v>
      </c>
      <c r="W61" s="25">
        <f>_xll.BDH("AMGN US Equity","BS_OPRB_LT_LIABS","FQ4 2023","FQ4 2023","Currency=USD","Period=FQ","BEST_FPERIOD_OVERRIDE=FQ","FILING_STATUS=MR","SCALING_FORMAT=MLN","Sort=A","Dates=H","DateFormat=P","Fill=—","Direction=H","UseDPDF=Y")</f>
        <v>0</v>
      </c>
      <c r="X61" s="25" t="str">
        <f>_xll.BDH("AMGN US Equity","BS_OPRB_LT_LIABS","FQ1 2024","FQ1 2024","Currency=USD","Period=FQ","BEST_FPERIOD_OVERRIDE=FQ","FILING_STATUS=MR","SCALING_FORMAT=MLN","Sort=A","Dates=H","DateFormat=P","Fill=—","Direction=H","UseDPDF=Y")</f>
        <v>—</v>
      </c>
      <c r="Y61" s="25" t="str">
        <f>_xll.BDH("AMGN US Equity","BS_OPRB_LT_LIABS","FQ2 2024","FQ2 2024","Currency=USD","Period=FQ","BEST_FPERIOD_OVERRIDE=FQ","FILING_STATUS=MR","SCALING_FORMAT=MLN","Sort=A","Dates=H","DateFormat=P","Fill=—","Direction=H","UseDPDF=Y")</f>
        <v>—</v>
      </c>
      <c r="Z61" s="25" t="str">
        <f>_xll.BDH("AMGN US Equity","BS_OPRB_LT_LIABS","FQ3 2024","FQ3 2024","Currency=USD","Period=FQ","BEST_FPERIOD_OVERRIDE=FQ","FILING_STATUS=MR","SCALING_FORMAT=MLN","Sort=A","Dates=H","DateFormat=P","Fill=—","Direction=H","UseDPDF=Y")</f>
        <v>—</v>
      </c>
      <c r="AA61" s="25">
        <f>_xll.BDH("AMGN US Equity","BS_OPRB_LT_LIABS","FQ4 2024","FQ4 2024","Currency=USD","Period=FQ","BEST_FPERIOD_OVERRIDE=FQ","FILING_STATUS=MR","SCALING_FORMAT=MLN","Sort=A","Dates=H","DateFormat=P","Fill=—","Direction=H","UseDPDF=Y")</f>
        <v>0</v>
      </c>
    </row>
    <row r="62" spans="1:27" x14ac:dyDescent="0.25">
      <c r="A62" s="10" t="s">
        <v>777</v>
      </c>
      <c r="B62" s="10" t="s">
        <v>803</v>
      </c>
      <c r="C62" s="13">
        <f>_xll.BDH("AMGN US Equity","LT_DEFERRED_REVENUE","FQ4 2018","FQ4 2018","Currency=USD","Period=FQ","BEST_FPERIOD_OVERRIDE=FQ","FILING_STATUS=MR","SCALING_FORMAT=MLN","Sort=A","Dates=H","DateFormat=P","Fill=—","Direction=H","UseDPDF=Y")</f>
        <v>0</v>
      </c>
      <c r="D62" s="13" t="str">
        <f>_xll.BDH("AMGN US Equity","LT_DEFERRED_REVENUE","FQ1 2019","FQ1 2019","Currency=USD","Period=FQ","BEST_FPERIOD_OVERRIDE=FQ","FILING_STATUS=MR","SCALING_FORMAT=MLN","Sort=A","Dates=H","DateFormat=P","Fill=—","Direction=H","UseDPDF=Y")</f>
        <v>—</v>
      </c>
      <c r="E62" s="13" t="str">
        <f>_xll.BDH("AMGN US Equity","LT_DEFERRED_REVENUE","FQ2 2019","FQ2 2019","Currency=USD","Period=FQ","BEST_FPERIOD_OVERRIDE=FQ","FILING_STATUS=MR","SCALING_FORMAT=MLN","Sort=A","Dates=H","DateFormat=P","Fill=—","Direction=H","UseDPDF=Y")</f>
        <v>—</v>
      </c>
      <c r="F62" s="13" t="str">
        <f>_xll.BDH("AMGN US Equity","LT_DEFERRED_REVENUE","FQ3 2019","FQ3 2019","Currency=USD","Period=FQ","BEST_FPERIOD_OVERRIDE=FQ","FILING_STATUS=MR","SCALING_FORMAT=MLN","Sort=A","Dates=H","DateFormat=P","Fill=—","Direction=H","UseDPDF=Y")</f>
        <v>—</v>
      </c>
      <c r="G62" s="13">
        <f>_xll.BDH("AMGN US Equity","LT_DEFERRED_REVENUE","FQ4 2019","FQ4 2019","Currency=USD","Period=FQ","BEST_FPERIOD_OVERRIDE=FQ","FILING_STATUS=MR","SCALING_FORMAT=MLN","Sort=A","Dates=H","DateFormat=P","Fill=—","Direction=H","UseDPDF=Y")</f>
        <v>0</v>
      </c>
      <c r="H62" s="13" t="str">
        <f>_xll.BDH("AMGN US Equity","LT_DEFERRED_REVENUE","FQ1 2020","FQ1 2020","Currency=USD","Period=FQ","BEST_FPERIOD_OVERRIDE=FQ","FILING_STATUS=MR","SCALING_FORMAT=MLN","Sort=A","Dates=H","DateFormat=P","Fill=—","Direction=H","UseDPDF=Y")</f>
        <v>—</v>
      </c>
      <c r="I62" s="13" t="str">
        <f>_xll.BDH("AMGN US Equity","LT_DEFERRED_REVENUE","FQ2 2020","FQ2 2020","Currency=USD","Period=FQ","BEST_FPERIOD_OVERRIDE=FQ","FILING_STATUS=MR","SCALING_FORMAT=MLN","Sort=A","Dates=H","DateFormat=P","Fill=—","Direction=H","UseDPDF=Y")</f>
        <v>—</v>
      </c>
      <c r="J62" s="13" t="str">
        <f>_xll.BDH("AMGN US Equity","LT_DEFERRED_REVENUE","FQ3 2020","FQ3 2020","Currency=USD","Period=FQ","BEST_FPERIOD_OVERRIDE=FQ","FILING_STATUS=MR","SCALING_FORMAT=MLN","Sort=A","Dates=H","DateFormat=P","Fill=—","Direction=H","UseDPDF=Y")</f>
        <v>—</v>
      </c>
      <c r="K62" s="13">
        <f>_xll.BDH("AMGN US Equity","LT_DEFERRED_REVENUE","FQ4 2020","FQ4 2020","Currency=USD","Period=FQ","BEST_FPERIOD_OVERRIDE=FQ","FILING_STATUS=MR","SCALING_FORMAT=MLN","Sort=A","Dates=H","DateFormat=P","Fill=—","Direction=H","UseDPDF=Y")</f>
        <v>0</v>
      </c>
      <c r="L62" s="13">
        <f>_xll.BDH("AMGN US Equity","LT_DEFERRED_REVENUE","FQ1 2021","FQ1 2021","Currency=USD","Period=FQ","BEST_FPERIOD_OVERRIDE=FQ","FILING_STATUS=MR","SCALING_FORMAT=MLN","Sort=A","Dates=H","DateFormat=P","Fill=—","Direction=H","UseDPDF=Y")</f>
        <v>0</v>
      </c>
      <c r="M62" s="13" t="str">
        <f>_xll.BDH("AMGN US Equity","LT_DEFERRED_REVENUE","FQ2 2021","FQ2 2021","Currency=USD","Period=FQ","BEST_FPERIOD_OVERRIDE=FQ","FILING_STATUS=MR","SCALING_FORMAT=MLN","Sort=A","Dates=H","DateFormat=P","Fill=—","Direction=H","UseDPDF=Y")</f>
        <v>—</v>
      </c>
      <c r="N62" s="13" t="str">
        <f>_xll.BDH("AMGN US Equity","LT_DEFERRED_REVENUE","FQ3 2021","FQ3 2021","Currency=USD","Period=FQ","BEST_FPERIOD_OVERRIDE=FQ","FILING_STATUS=MR","SCALING_FORMAT=MLN","Sort=A","Dates=H","DateFormat=P","Fill=—","Direction=H","UseDPDF=Y")</f>
        <v>—</v>
      </c>
      <c r="O62" s="13">
        <f>_xll.BDH("AMGN US Equity","LT_DEFERRED_REVENUE","FQ4 2021","FQ4 2021","Currency=USD","Period=FQ","BEST_FPERIOD_OVERRIDE=FQ","FILING_STATUS=MR","SCALING_FORMAT=MLN","Sort=A","Dates=H","DateFormat=P","Fill=—","Direction=H","UseDPDF=Y")</f>
        <v>0</v>
      </c>
      <c r="P62" s="13">
        <f>_xll.BDH("AMGN US Equity","LT_DEFERRED_REVENUE","FQ1 2022","FQ1 2022","Currency=USD","Period=FQ","BEST_FPERIOD_OVERRIDE=FQ","FILING_STATUS=MR","SCALING_FORMAT=MLN","Sort=A","Dates=H","DateFormat=P","Fill=—","Direction=H","UseDPDF=Y")</f>
        <v>0</v>
      </c>
      <c r="Q62" s="13" t="str">
        <f>_xll.BDH("AMGN US Equity","LT_DEFERRED_REVENUE","FQ2 2022","FQ2 2022","Currency=USD","Period=FQ","BEST_FPERIOD_OVERRIDE=FQ","FILING_STATUS=MR","SCALING_FORMAT=MLN","Sort=A","Dates=H","DateFormat=P","Fill=—","Direction=H","UseDPDF=Y")</f>
        <v>—</v>
      </c>
      <c r="R62" s="13" t="str">
        <f>_xll.BDH("AMGN US Equity","LT_DEFERRED_REVENUE","FQ3 2022","FQ3 2022","Currency=USD","Period=FQ","BEST_FPERIOD_OVERRIDE=FQ","FILING_STATUS=MR","SCALING_FORMAT=MLN","Sort=A","Dates=H","DateFormat=P","Fill=—","Direction=H","UseDPDF=Y")</f>
        <v>—</v>
      </c>
      <c r="S62" s="13">
        <f>_xll.BDH("AMGN US Equity","LT_DEFERRED_REVENUE","FQ4 2022","FQ4 2022","Currency=USD","Period=FQ","BEST_FPERIOD_OVERRIDE=FQ","FILING_STATUS=MR","SCALING_FORMAT=MLN","Sort=A","Dates=H","DateFormat=P","Fill=—","Direction=H","UseDPDF=Y")</f>
        <v>0</v>
      </c>
      <c r="T62" s="13" t="str">
        <f>_xll.BDH("AMGN US Equity","LT_DEFERRED_REVENUE","FQ1 2023","FQ1 2023","Currency=USD","Period=FQ","BEST_FPERIOD_OVERRIDE=FQ","FILING_STATUS=MR","SCALING_FORMAT=MLN","Sort=A","Dates=H","DateFormat=P","Fill=—","Direction=H","UseDPDF=Y")</f>
        <v>—</v>
      </c>
      <c r="U62" s="13" t="str">
        <f>_xll.BDH("AMGN US Equity","LT_DEFERRED_REVENUE","FQ2 2023","FQ2 2023","Currency=USD","Period=FQ","BEST_FPERIOD_OVERRIDE=FQ","FILING_STATUS=MR","SCALING_FORMAT=MLN","Sort=A","Dates=H","DateFormat=P","Fill=—","Direction=H","UseDPDF=Y")</f>
        <v>—</v>
      </c>
      <c r="V62" s="13" t="str">
        <f>_xll.BDH("AMGN US Equity","LT_DEFERRED_REVENUE","FQ3 2023","FQ3 2023","Currency=USD","Period=FQ","BEST_FPERIOD_OVERRIDE=FQ","FILING_STATUS=MR","SCALING_FORMAT=MLN","Sort=A","Dates=H","DateFormat=P","Fill=—","Direction=H","UseDPDF=Y")</f>
        <v>—</v>
      </c>
      <c r="W62" s="13">
        <f>_xll.BDH("AMGN US Equity","LT_DEFERRED_REVENUE","FQ4 2023","FQ4 2023","Currency=USD","Period=FQ","BEST_FPERIOD_OVERRIDE=FQ","FILING_STATUS=MR","SCALING_FORMAT=MLN","Sort=A","Dates=H","DateFormat=P","Fill=—","Direction=H","UseDPDF=Y")</f>
        <v>0</v>
      </c>
      <c r="X62" s="13" t="str">
        <f>_xll.BDH("AMGN US Equity","LT_DEFERRED_REVENUE","FQ1 2024","FQ1 2024","Currency=USD","Period=FQ","BEST_FPERIOD_OVERRIDE=FQ","FILING_STATUS=MR","SCALING_FORMAT=MLN","Sort=A","Dates=H","DateFormat=P","Fill=—","Direction=H","UseDPDF=Y")</f>
        <v>—</v>
      </c>
      <c r="Y62" s="13" t="str">
        <f>_xll.BDH("AMGN US Equity","LT_DEFERRED_REVENUE","FQ2 2024","FQ2 2024","Currency=USD","Period=FQ","BEST_FPERIOD_OVERRIDE=FQ","FILING_STATUS=MR","SCALING_FORMAT=MLN","Sort=A","Dates=H","DateFormat=P","Fill=—","Direction=H","UseDPDF=Y")</f>
        <v>—</v>
      </c>
      <c r="Z62" s="13" t="str">
        <f>_xll.BDH("AMGN US Equity","LT_DEFERRED_REVENUE","FQ3 2024","FQ3 2024","Currency=USD","Period=FQ","BEST_FPERIOD_OVERRIDE=FQ","FILING_STATUS=MR","SCALING_FORMAT=MLN","Sort=A","Dates=H","DateFormat=P","Fill=—","Direction=H","UseDPDF=Y")</f>
        <v>—</v>
      </c>
      <c r="AA62" s="13">
        <f>_xll.BDH("AMGN US Equity","LT_DEFERRED_REVENUE","FQ4 2024","FQ4 2024","Currency=USD","Period=FQ","BEST_FPERIOD_OVERRIDE=FQ","FILING_STATUS=MR","SCALING_FORMAT=MLN","Sort=A","Dates=H","DateFormat=P","Fill=—","Direction=H","UseDPDF=Y")</f>
        <v>0</v>
      </c>
    </row>
    <row r="63" spans="1:27" x14ac:dyDescent="0.25">
      <c r="A63" s="10" t="s">
        <v>804</v>
      </c>
      <c r="B63" s="10" t="s">
        <v>805</v>
      </c>
      <c r="C63" s="13">
        <f>_xll.BDH("AMGN US Equity","BS_DEFERRED_TAX_LIABILITIES_LT","FQ4 2018","FQ4 2018","Currency=USD","Period=FQ","BEST_FPERIOD_OVERRIDE=FQ","FILING_STATUS=MR","SCALING_FORMAT=MLN","Sort=A","Dates=H","DateFormat=P","Fill=—","Direction=H","UseDPDF=Y")</f>
        <v>864</v>
      </c>
      <c r="D63" s="13">
        <f>_xll.BDH("AMGN US Equity","BS_DEFERRED_TAX_LIABILITIES_LT","FQ1 2019","FQ1 2019","Currency=USD","Period=FQ","BEST_FPERIOD_OVERRIDE=FQ","FILING_STATUS=MR","SCALING_FORMAT=MLN","Sort=A","Dates=H","DateFormat=P","Fill=—","Direction=H","UseDPDF=Y")</f>
        <v>811</v>
      </c>
      <c r="E63" s="13">
        <f>_xll.BDH("AMGN US Equity","BS_DEFERRED_TAX_LIABILITIES_LT","FQ2 2019","FQ2 2019","Currency=USD","Period=FQ","BEST_FPERIOD_OVERRIDE=FQ","FILING_STATUS=MR","SCALING_FORMAT=MLN","Sort=A","Dates=H","DateFormat=P","Fill=—","Direction=H","UseDPDF=Y")</f>
        <v>763</v>
      </c>
      <c r="F63" s="13">
        <f>_xll.BDH("AMGN US Equity","BS_DEFERRED_TAX_LIABILITIES_LT","FQ3 2019","FQ3 2019","Currency=USD","Period=FQ","BEST_FPERIOD_OVERRIDE=FQ","FILING_STATUS=MR","SCALING_FORMAT=MLN","Sort=A","Dates=H","DateFormat=P","Fill=—","Direction=H","UseDPDF=Y")</f>
        <v>665</v>
      </c>
      <c r="G63" s="13">
        <f>_xll.BDH("AMGN US Equity","BS_DEFERRED_TAX_LIABILITIES_LT","FQ4 2019","FQ4 2019","Currency=USD","Period=FQ","BEST_FPERIOD_OVERRIDE=FQ","FILING_STATUS=MR","SCALING_FORMAT=MLN","Sort=A","Dates=H","DateFormat=P","Fill=—","Direction=H","UseDPDF=Y")</f>
        <v>0</v>
      </c>
      <c r="H63" s="13">
        <f>_xll.BDH("AMGN US Equity","BS_DEFERRED_TAX_LIABILITIES_LT","FQ1 2020","FQ1 2020","Currency=USD","Period=FQ","BEST_FPERIOD_OVERRIDE=FQ","FILING_STATUS=MR","SCALING_FORMAT=MLN","Sort=A","Dates=H","DateFormat=P","Fill=—","Direction=H","UseDPDF=Y")</f>
        <v>427</v>
      </c>
      <c r="I63" s="13">
        <f>_xll.BDH("AMGN US Equity","BS_DEFERRED_TAX_LIABILITIES_LT","FQ2 2020","FQ2 2020","Currency=USD","Period=FQ","BEST_FPERIOD_OVERRIDE=FQ","FILING_STATUS=MR","SCALING_FORMAT=MLN","Sort=A","Dates=H","DateFormat=P","Fill=—","Direction=H","UseDPDF=Y")</f>
        <v>259</v>
      </c>
      <c r="J63" s="13">
        <f>_xll.BDH("AMGN US Equity","BS_DEFERRED_TAX_LIABILITIES_LT","FQ3 2020","FQ3 2020","Currency=USD","Period=FQ","BEST_FPERIOD_OVERRIDE=FQ","FILING_STATUS=MR","SCALING_FORMAT=MLN","Sort=A","Dates=H","DateFormat=P","Fill=—","Direction=H","UseDPDF=Y")</f>
        <v>210</v>
      </c>
      <c r="K63" s="13" t="str">
        <f>_xll.BDH("AMGN US Equity","BS_DEFERRED_TAX_LIABILITIES_LT","FQ4 2020","FQ4 2020","Currency=USD","Period=FQ","BEST_FPERIOD_OVERRIDE=FQ","FILING_STATUS=MR","SCALING_FORMAT=MLN","Sort=A","Dates=H","DateFormat=P","Fill=—","Direction=H","UseDPDF=Y")</f>
        <v>—</v>
      </c>
      <c r="L63" s="13">
        <f>_xll.BDH("AMGN US Equity","BS_DEFERRED_TAX_LIABILITIES_LT","FQ1 2021","FQ1 2021","Currency=USD","Period=FQ","BEST_FPERIOD_OVERRIDE=FQ","FILING_STATUS=MR","SCALING_FORMAT=MLN","Sort=A","Dates=H","DateFormat=P","Fill=—","Direction=H","UseDPDF=Y")</f>
        <v>0</v>
      </c>
      <c r="M63" s="13">
        <f>_xll.BDH("AMGN US Equity","BS_DEFERRED_TAX_LIABILITIES_LT","FQ2 2021","FQ2 2021","Currency=USD","Period=FQ","BEST_FPERIOD_OVERRIDE=FQ","FILING_STATUS=MR","SCALING_FORMAT=MLN","Sort=A","Dates=H","DateFormat=P","Fill=—","Direction=H","UseDPDF=Y")</f>
        <v>0</v>
      </c>
      <c r="N63" s="13">
        <f>_xll.BDH("AMGN US Equity","BS_DEFERRED_TAX_LIABILITIES_LT","FQ3 2021","FQ3 2021","Currency=USD","Period=FQ","BEST_FPERIOD_OVERRIDE=FQ","FILING_STATUS=MR","SCALING_FORMAT=MLN","Sort=A","Dates=H","DateFormat=P","Fill=—","Direction=H","UseDPDF=Y")</f>
        <v>0</v>
      </c>
      <c r="O63" s="13" t="str">
        <f>_xll.BDH("AMGN US Equity","BS_DEFERRED_TAX_LIABILITIES_LT","FQ4 2021","FQ4 2021","Currency=USD","Period=FQ","BEST_FPERIOD_OVERRIDE=FQ","FILING_STATUS=MR","SCALING_FORMAT=MLN","Sort=A","Dates=H","DateFormat=P","Fill=—","Direction=H","UseDPDF=Y")</f>
        <v>—</v>
      </c>
      <c r="P63" s="13">
        <f>_xll.BDH("AMGN US Equity","BS_DEFERRED_TAX_LIABILITIES_LT","FQ1 2022","FQ1 2022","Currency=USD","Period=FQ","BEST_FPERIOD_OVERRIDE=FQ","FILING_STATUS=MR","SCALING_FORMAT=MLN","Sort=A","Dates=H","DateFormat=P","Fill=—","Direction=H","UseDPDF=Y")</f>
        <v>0</v>
      </c>
      <c r="Q63" s="13" t="str">
        <f>_xll.BDH("AMGN US Equity","BS_DEFERRED_TAX_LIABILITIES_LT","FQ2 2022","FQ2 2022","Currency=USD","Period=FQ","BEST_FPERIOD_OVERRIDE=FQ","FILING_STATUS=MR","SCALING_FORMAT=MLN","Sort=A","Dates=H","DateFormat=P","Fill=—","Direction=H","UseDPDF=Y")</f>
        <v>—</v>
      </c>
      <c r="R63" s="13">
        <f>_xll.BDH("AMGN US Equity","BS_DEFERRED_TAX_LIABILITIES_LT","FQ3 2022","FQ3 2022","Currency=USD","Period=FQ","BEST_FPERIOD_OVERRIDE=FQ","FILING_STATUS=MR","SCALING_FORMAT=MLN","Sort=A","Dates=H","DateFormat=P","Fill=—","Direction=H","UseDPDF=Y")</f>
        <v>0</v>
      </c>
      <c r="S63" s="13" t="str">
        <f>_xll.BDH("AMGN US Equity","BS_DEFERRED_TAX_LIABILITIES_LT","FQ4 2022","FQ4 2022","Currency=USD","Period=FQ","BEST_FPERIOD_OVERRIDE=FQ","FILING_STATUS=MR","SCALING_FORMAT=MLN","Sort=A","Dates=H","DateFormat=P","Fill=—","Direction=H","UseDPDF=Y")</f>
        <v>—</v>
      </c>
      <c r="T63" s="13" t="str">
        <f>_xll.BDH("AMGN US Equity","BS_DEFERRED_TAX_LIABILITIES_LT","FQ1 2023","FQ1 2023","Currency=USD","Period=FQ","BEST_FPERIOD_OVERRIDE=FQ","FILING_STATUS=MR","SCALING_FORMAT=MLN","Sort=A","Dates=H","DateFormat=P","Fill=—","Direction=H","UseDPDF=Y")</f>
        <v>—</v>
      </c>
      <c r="U63" s="13" t="str">
        <f>_xll.BDH("AMGN US Equity","BS_DEFERRED_TAX_LIABILITIES_LT","FQ2 2023","FQ2 2023","Currency=USD","Period=FQ","BEST_FPERIOD_OVERRIDE=FQ","FILING_STATUS=MR","SCALING_FORMAT=MLN","Sort=A","Dates=H","DateFormat=P","Fill=—","Direction=H","UseDPDF=Y")</f>
        <v>—</v>
      </c>
      <c r="V63" s="13" t="str">
        <f>_xll.BDH("AMGN US Equity","BS_DEFERRED_TAX_LIABILITIES_LT","FQ3 2023","FQ3 2023","Currency=USD","Period=FQ","BEST_FPERIOD_OVERRIDE=FQ","FILING_STATUS=MR","SCALING_FORMAT=MLN","Sort=A","Dates=H","DateFormat=P","Fill=—","Direction=H","UseDPDF=Y")</f>
        <v>—</v>
      </c>
      <c r="W63" s="13">
        <f>_xll.BDH("AMGN US Equity","BS_DEFERRED_TAX_LIABILITIES_LT","FQ4 2023","FQ4 2023","Currency=USD","Period=FQ","BEST_FPERIOD_OVERRIDE=FQ","FILING_STATUS=MR","SCALING_FORMAT=MLN","Sort=A","Dates=H","DateFormat=P","Fill=—","Direction=H","UseDPDF=Y")</f>
        <v>2354</v>
      </c>
      <c r="X63" s="13">
        <f>_xll.BDH("AMGN US Equity","BS_DEFERRED_TAX_LIABILITIES_LT","FQ1 2024","FQ1 2024","Currency=USD","Period=FQ","BEST_FPERIOD_OVERRIDE=FQ","FILING_STATUS=MR","SCALING_FORMAT=MLN","Sort=A","Dates=H","DateFormat=P","Fill=—","Direction=H","UseDPDF=Y")</f>
        <v>1862</v>
      </c>
      <c r="Y63" s="13">
        <f>_xll.BDH("AMGN US Equity","BS_DEFERRED_TAX_LIABILITIES_LT","FQ2 2024","FQ2 2024","Currency=USD","Period=FQ","BEST_FPERIOD_OVERRIDE=FQ","FILING_STATUS=MR","SCALING_FORMAT=MLN","Sort=A","Dates=H","DateFormat=P","Fill=—","Direction=H","UseDPDF=Y")</f>
        <v>1780</v>
      </c>
      <c r="Z63" s="13">
        <f>_xll.BDH("AMGN US Equity","BS_DEFERRED_TAX_LIABILITIES_LT","FQ3 2024","FQ3 2024","Currency=USD","Period=FQ","BEST_FPERIOD_OVERRIDE=FQ","FILING_STATUS=MR","SCALING_FORMAT=MLN","Sort=A","Dates=H","DateFormat=P","Fill=—","Direction=H","UseDPDF=Y")</f>
        <v>1711</v>
      </c>
      <c r="AA63" s="13">
        <f>_xll.BDH("AMGN US Equity","BS_DEFERRED_TAX_LIABILITIES_LT","FQ4 2024","FQ4 2024","Currency=USD","Period=FQ","BEST_FPERIOD_OVERRIDE=FQ","FILING_STATUS=MR","SCALING_FORMAT=MLN","Sort=A","Dates=H","DateFormat=P","Fill=—","Direction=H","UseDPDF=Y")</f>
        <v>1616</v>
      </c>
    </row>
    <row r="64" spans="1:27" x14ac:dyDescent="0.25">
      <c r="A64" s="10" t="s">
        <v>779</v>
      </c>
      <c r="B64" s="10" t="s">
        <v>806</v>
      </c>
      <c r="C64" s="13">
        <f>_xll.BDH("AMGN US Equity","BS_DERIV_HEDGING_LIAB_LT","FQ4 2018","FQ4 2018","Currency=USD","Period=FQ","BEST_FPERIOD_OVERRIDE=FQ","FILING_STATUS=MR","SCALING_FORMAT=MLN","Sort=A","Dates=H","DateFormat=P","Fill=—","Direction=H","UseDPDF=Y")</f>
        <v>576</v>
      </c>
      <c r="D64" s="13">
        <f>_xll.BDH("AMGN US Equity","BS_DERIV_HEDGING_LIAB_LT","FQ1 2019","FQ1 2019","Currency=USD","Period=FQ","BEST_FPERIOD_OVERRIDE=FQ","FILING_STATUS=MR","SCALING_FORMAT=MLN","Sort=A","Dates=H","DateFormat=P","Fill=—","Direction=H","UseDPDF=Y")</f>
        <v>491</v>
      </c>
      <c r="E64" s="13">
        <f>_xll.BDH("AMGN US Equity","BS_DERIV_HEDGING_LIAB_LT","FQ2 2019","FQ2 2019","Currency=USD","Period=FQ","BEST_FPERIOD_OVERRIDE=FQ","FILING_STATUS=MR","SCALING_FORMAT=MLN","Sort=A","Dates=H","DateFormat=P","Fill=—","Direction=H","UseDPDF=Y")</f>
        <v>530</v>
      </c>
      <c r="F64" s="13">
        <f>_xll.BDH("AMGN US Equity","BS_DERIV_HEDGING_LIAB_LT","FQ3 2019","FQ3 2019","Currency=USD","Period=FQ","BEST_FPERIOD_OVERRIDE=FQ","FILING_STATUS=MR","SCALING_FORMAT=MLN","Sort=A","Dates=H","DateFormat=P","Fill=—","Direction=H","UseDPDF=Y")</f>
        <v>484</v>
      </c>
      <c r="G64" s="13">
        <f>_xll.BDH("AMGN US Equity","BS_DERIV_HEDGING_LIAB_LT","FQ4 2019","FQ4 2019","Currency=USD","Period=FQ","BEST_FPERIOD_OVERRIDE=FQ","FILING_STATUS=MR","SCALING_FORMAT=MLN","Sort=A","Dates=H","DateFormat=P","Fill=—","Direction=H","UseDPDF=Y")</f>
        <v>346</v>
      </c>
      <c r="H64" s="13">
        <f>_xll.BDH("AMGN US Equity","BS_DERIV_HEDGING_LIAB_LT","FQ1 2020","FQ1 2020","Currency=USD","Period=FQ","BEST_FPERIOD_OVERRIDE=FQ","FILING_STATUS=MR","SCALING_FORMAT=MLN","Sort=A","Dates=H","DateFormat=P","Fill=—","Direction=H","UseDPDF=Y")</f>
        <v>685</v>
      </c>
      <c r="I64" s="13">
        <f>_xll.BDH("AMGN US Equity","BS_DERIV_HEDGING_LIAB_LT","FQ2 2020","FQ2 2020","Currency=USD","Period=FQ","BEST_FPERIOD_OVERRIDE=FQ","FILING_STATUS=MR","SCALING_FORMAT=MLN","Sort=A","Dates=H","DateFormat=P","Fill=—","Direction=H","UseDPDF=Y")</f>
        <v>632</v>
      </c>
      <c r="J64" s="13">
        <f>_xll.BDH("AMGN US Equity","BS_DERIV_HEDGING_LIAB_LT","FQ3 2020","FQ3 2020","Currency=USD","Period=FQ","BEST_FPERIOD_OVERRIDE=FQ","FILING_STATUS=MR","SCALING_FORMAT=MLN","Sort=A","Dates=H","DateFormat=P","Fill=—","Direction=H","UseDPDF=Y")</f>
        <v>573</v>
      </c>
      <c r="K64" s="13">
        <f>_xll.BDH("AMGN US Equity","BS_DERIV_HEDGING_LIAB_LT","FQ4 2020","FQ4 2020","Currency=USD","Period=FQ","BEST_FPERIOD_OVERRIDE=FQ","FILING_STATUS=MR","SCALING_FORMAT=MLN","Sort=A","Dates=H","DateFormat=P","Fill=—","Direction=H","UseDPDF=Y")</f>
        <v>570</v>
      </c>
      <c r="L64" s="13">
        <f>_xll.BDH("AMGN US Equity","BS_DERIV_HEDGING_LIAB_LT","FQ1 2021","FQ1 2021","Currency=USD","Period=FQ","BEST_FPERIOD_OVERRIDE=FQ","FILING_STATUS=MR","SCALING_FORMAT=MLN","Sort=A","Dates=H","DateFormat=P","Fill=—","Direction=H","UseDPDF=Y")</f>
        <v>532</v>
      </c>
      <c r="M64" s="13">
        <f>_xll.BDH("AMGN US Equity","BS_DERIV_HEDGING_LIAB_LT","FQ2 2021","FQ2 2021","Currency=USD","Period=FQ","BEST_FPERIOD_OVERRIDE=FQ","FILING_STATUS=MR","SCALING_FORMAT=MLN","Sort=A","Dates=H","DateFormat=P","Fill=—","Direction=H","UseDPDF=Y")</f>
        <v>514</v>
      </c>
      <c r="N64" s="13">
        <f>_xll.BDH("AMGN US Equity","BS_DERIV_HEDGING_LIAB_LT","FQ3 2021","FQ3 2021","Currency=USD","Period=FQ","BEST_FPERIOD_OVERRIDE=FQ","FILING_STATUS=MR","SCALING_FORMAT=MLN","Sort=A","Dates=H","DateFormat=P","Fill=—","Direction=H","UseDPDF=Y")</f>
        <v>519</v>
      </c>
      <c r="O64" s="13">
        <f>_xll.BDH("AMGN US Equity","BS_DERIV_HEDGING_LIAB_LT","FQ4 2021","FQ4 2021","Currency=USD","Period=FQ","BEST_FPERIOD_OVERRIDE=FQ","FILING_STATUS=MR","SCALING_FORMAT=MLN","Sort=A","Dates=H","DateFormat=P","Fill=—","Direction=H","UseDPDF=Y")</f>
        <v>534</v>
      </c>
      <c r="P64" s="13">
        <f>_xll.BDH("AMGN US Equity","BS_DERIV_HEDGING_LIAB_LT","FQ1 2022","FQ1 2022","Currency=USD","Period=FQ","BEST_FPERIOD_OVERRIDE=FQ","FILING_STATUS=MR","SCALING_FORMAT=MLN","Sort=A","Dates=H","DateFormat=P","Fill=—","Direction=H","UseDPDF=Y")</f>
        <v>865</v>
      </c>
      <c r="Q64" s="13">
        <f>_xll.BDH("AMGN US Equity","BS_DERIV_HEDGING_LIAB_LT","FQ2 2022","FQ2 2022","Currency=USD","Period=FQ","BEST_FPERIOD_OVERRIDE=FQ","FILING_STATUS=MR","SCALING_FORMAT=MLN","Sort=A","Dates=H","DateFormat=P","Fill=—","Direction=H","UseDPDF=Y")</f>
        <v>1124</v>
      </c>
      <c r="R64" s="13">
        <f>_xll.BDH("AMGN US Equity","BS_DERIV_HEDGING_LIAB_LT","FQ3 2022","FQ3 2022","Currency=USD","Period=FQ","BEST_FPERIOD_OVERRIDE=FQ","FILING_STATUS=MR","SCALING_FORMAT=MLN","Sort=A","Dates=H","DateFormat=P","Fill=—","Direction=H","UseDPDF=Y")</f>
        <v>1586</v>
      </c>
      <c r="S64" s="13">
        <f>_xll.BDH("AMGN US Equity","BS_DERIV_HEDGING_LIAB_LT","FQ4 2022","FQ4 2022","Currency=USD","Period=FQ","BEST_FPERIOD_OVERRIDE=FQ","FILING_STATUS=MR","SCALING_FORMAT=MLN","Sort=A","Dates=H","DateFormat=P","Fill=—","Direction=H","UseDPDF=Y")</f>
        <v>1398</v>
      </c>
      <c r="T64" s="13">
        <f>_xll.BDH("AMGN US Equity","BS_DERIV_HEDGING_LIAB_LT","FQ1 2023","FQ1 2023","Currency=USD","Period=FQ","BEST_FPERIOD_OVERRIDE=FQ","FILING_STATUS=MR","SCALING_FORMAT=MLN","Sort=A","Dates=H","DateFormat=P","Fill=—","Direction=H","UseDPDF=Y")</f>
        <v>1252</v>
      </c>
      <c r="U64" s="13">
        <f>_xll.BDH("AMGN US Equity","BS_DERIV_HEDGING_LIAB_LT","FQ2 2023","FQ2 2023","Currency=USD","Period=FQ","BEST_FPERIOD_OVERRIDE=FQ","FILING_STATUS=MR","SCALING_FORMAT=MLN","Sort=A","Dates=H","DateFormat=P","Fill=—","Direction=H","UseDPDF=Y")</f>
        <v>1311</v>
      </c>
      <c r="V64" s="13">
        <f>_xll.BDH("AMGN US Equity","BS_DERIV_HEDGING_LIAB_LT","FQ3 2023","FQ3 2023","Currency=USD","Period=FQ","BEST_FPERIOD_OVERRIDE=FQ","FILING_STATUS=MR","SCALING_FORMAT=MLN","Sort=A","Dates=H","DateFormat=P","Fill=—","Direction=H","UseDPDF=Y")</f>
        <v>1314</v>
      </c>
      <c r="W64" s="13">
        <f>_xll.BDH("AMGN US Equity","BS_DERIV_HEDGING_LIAB_LT","FQ4 2023","FQ4 2023","Currency=USD","Period=FQ","BEST_FPERIOD_OVERRIDE=FQ","FILING_STATUS=MR","SCALING_FORMAT=MLN","Sort=A","Dates=H","DateFormat=P","Fill=—","Direction=H","UseDPDF=Y")</f>
        <v>1092</v>
      </c>
      <c r="X64" s="13">
        <f>_xll.BDH("AMGN US Equity","BS_DERIV_HEDGING_LIAB_LT","FQ1 2024","FQ1 2024","Currency=USD","Period=FQ","BEST_FPERIOD_OVERRIDE=FQ","FILING_STATUS=MR","SCALING_FORMAT=MLN","Sort=A","Dates=H","DateFormat=P","Fill=—","Direction=H","UseDPDF=Y")</f>
        <v>1072</v>
      </c>
      <c r="Y64" s="13">
        <f>_xll.BDH("AMGN US Equity","BS_DERIV_HEDGING_LIAB_LT","FQ2 2024","FQ2 2024","Currency=USD","Period=FQ","BEST_FPERIOD_OVERRIDE=FQ","FILING_STATUS=MR","SCALING_FORMAT=MLN","Sort=A","Dates=H","DateFormat=P","Fill=—","Direction=H","UseDPDF=Y")</f>
        <v>1027</v>
      </c>
      <c r="Z64" s="13">
        <f>_xll.BDH("AMGN US Equity","BS_DERIV_HEDGING_LIAB_LT","FQ3 2024","FQ3 2024","Currency=USD","Period=FQ","BEST_FPERIOD_OVERRIDE=FQ","FILING_STATUS=MR","SCALING_FORMAT=MLN","Sort=A","Dates=H","DateFormat=P","Fill=—","Direction=H","UseDPDF=Y")</f>
        <v>886</v>
      </c>
      <c r="AA64" s="13">
        <f>_xll.BDH("AMGN US Equity","BS_DERIV_HEDGING_LIAB_LT","FQ4 2024","FQ4 2024","Currency=USD","Period=FQ","BEST_FPERIOD_OVERRIDE=FQ","FILING_STATUS=MR","SCALING_FORMAT=MLN","Sort=A","Dates=H","DateFormat=P","Fill=—","Direction=H","UseDPDF=Y")</f>
        <v>1022</v>
      </c>
    </row>
    <row r="65" spans="1:27" x14ac:dyDescent="0.25">
      <c r="A65" s="10" t="s">
        <v>807</v>
      </c>
      <c r="B65" s="10" t="s">
        <v>808</v>
      </c>
      <c r="C65" s="13">
        <f>_xll.BDH("AMGN US Equity","OTHER_NONCURRENT_LIABS_DETAILED","FQ4 2018","FQ4 2018","Currency=USD","Period=FQ","BEST_FPERIOD_OVERRIDE=FQ","FILING_STATUS=MR","SCALING_FORMAT=MLN","Sort=A","Dates=H","DateFormat=P","Fill=—","Direction=H","UseDPDF=Y")</f>
        <v>9478</v>
      </c>
      <c r="D65" s="13">
        <f>_xll.BDH("AMGN US Equity","OTHER_NONCURRENT_LIABS_DETAILED","FQ1 2019","FQ1 2019","Currency=USD","Period=FQ","BEST_FPERIOD_OVERRIDE=FQ","FILING_STATUS=MR","SCALING_FORMAT=MLN","Sort=A","Dates=H","DateFormat=P","Fill=—","Direction=H","UseDPDF=Y")</f>
        <v>9470</v>
      </c>
      <c r="E65" s="13">
        <f>_xll.BDH("AMGN US Equity","OTHER_NONCURRENT_LIABS_DETAILED","FQ2 2019","FQ2 2019","Currency=USD","Period=FQ","BEST_FPERIOD_OVERRIDE=FQ","FILING_STATUS=MR","SCALING_FORMAT=MLN","Sort=A","Dates=H","DateFormat=P","Fill=—","Direction=H","UseDPDF=Y")</f>
        <v>8503</v>
      </c>
      <c r="F65" s="13">
        <f>_xll.BDH("AMGN US Equity","OTHER_NONCURRENT_LIABS_DETAILED","FQ3 2019","FQ3 2019","Currency=USD","Period=FQ","BEST_FPERIOD_OVERRIDE=FQ","FILING_STATUS=MR","SCALING_FORMAT=MLN","Sort=A","Dates=H","DateFormat=P","Fill=—","Direction=H","UseDPDF=Y")</f>
        <v>8629</v>
      </c>
      <c r="G65" s="13">
        <f>_xll.BDH("AMGN US Equity","OTHER_NONCURRENT_LIABS_DETAILED","FQ4 2019","FQ4 2019","Currency=USD","Period=FQ","BEST_FPERIOD_OVERRIDE=FQ","FILING_STATUS=MR","SCALING_FORMAT=MLN","Sort=A","Dates=H","DateFormat=P","Fill=—","Direction=H","UseDPDF=Y")</f>
        <v>9515</v>
      </c>
      <c r="H65" s="13">
        <f>_xll.BDH("AMGN US Equity","OTHER_NONCURRENT_LIABS_DETAILED","FQ1 2020","FQ1 2020","Currency=USD","Period=FQ","BEST_FPERIOD_OVERRIDE=FQ","FILING_STATUS=MR","SCALING_FORMAT=MLN","Sort=A","Dates=H","DateFormat=P","Fill=—","Direction=H","UseDPDF=Y")</f>
        <v>9237</v>
      </c>
      <c r="I65" s="13">
        <f>_xll.BDH("AMGN US Equity","OTHER_NONCURRENT_LIABS_DETAILED","FQ2 2020","FQ2 2020","Currency=USD","Period=FQ","BEST_FPERIOD_OVERRIDE=FQ","FILING_STATUS=MR","SCALING_FORMAT=MLN","Sort=A","Dates=H","DateFormat=P","Fill=—","Direction=H","UseDPDF=Y")</f>
        <v>8805</v>
      </c>
      <c r="J65" s="13">
        <f>_xll.BDH("AMGN US Equity","OTHER_NONCURRENT_LIABS_DETAILED","FQ3 2020","FQ3 2020","Currency=USD","Period=FQ","BEST_FPERIOD_OVERRIDE=FQ","FILING_STATUS=MR","SCALING_FORMAT=MLN","Sort=A","Dates=H","DateFormat=P","Fill=—","Direction=H","UseDPDF=Y")</f>
        <v>8746</v>
      </c>
      <c r="K65" s="13">
        <f>_xll.BDH("AMGN US Equity","OTHER_NONCURRENT_LIABS_DETAILED","FQ4 2020","FQ4 2020","Currency=USD","Period=FQ","BEST_FPERIOD_OVERRIDE=FQ","FILING_STATUS=MR","SCALING_FORMAT=MLN","Sort=A","Dates=H","DateFormat=P","Fill=—","Direction=H","UseDPDF=Y")</f>
        <v>8115</v>
      </c>
      <c r="L65" s="13">
        <f>_xll.BDH("AMGN US Equity","OTHER_NONCURRENT_LIABS_DETAILED","FQ1 2021","FQ1 2021","Currency=USD","Period=FQ","BEST_FPERIOD_OVERRIDE=FQ","FILING_STATUS=MR","SCALING_FORMAT=MLN","Sort=A","Dates=H","DateFormat=P","Fill=—","Direction=H","UseDPDF=Y")</f>
        <v>8675</v>
      </c>
      <c r="M65" s="13">
        <f>_xll.BDH("AMGN US Equity","OTHER_NONCURRENT_LIABS_DETAILED","FQ2 2021","FQ2 2021","Currency=USD","Period=FQ","BEST_FPERIOD_OVERRIDE=FQ","FILING_STATUS=MR","SCALING_FORMAT=MLN","Sort=A","Dates=H","DateFormat=P","Fill=—","Direction=H","UseDPDF=Y")</f>
        <v>7969</v>
      </c>
      <c r="N65" s="13">
        <f>_xll.BDH("AMGN US Equity","OTHER_NONCURRENT_LIABS_DETAILED","FQ3 2021","FQ3 2021","Currency=USD","Period=FQ","BEST_FPERIOD_OVERRIDE=FQ","FILING_STATUS=MR","SCALING_FORMAT=MLN","Sort=A","Dates=H","DateFormat=P","Fill=—","Direction=H","UseDPDF=Y")</f>
        <v>8124</v>
      </c>
      <c r="O65" s="13">
        <f>_xll.BDH("AMGN US Equity","OTHER_NONCURRENT_LIABS_DETAILED","FQ4 2021","FQ4 2021","Currency=USD","Period=FQ","BEST_FPERIOD_OVERRIDE=FQ","FILING_STATUS=MR","SCALING_FORMAT=MLN","Sort=A","Dates=H","DateFormat=P","Fill=—","Direction=H","UseDPDF=Y")</f>
        <v>8000</v>
      </c>
      <c r="P65" s="13">
        <f>_xll.BDH("AMGN US Equity","OTHER_NONCURRENT_LIABS_DETAILED","FQ1 2022","FQ1 2022","Currency=USD","Period=FQ","BEST_FPERIOD_OVERRIDE=FQ","FILING_STATUS=MR","SCALING_FORMAT=MLN","Sort=A","Dates=H","DateFormat=P","Fill=—","Direction=H","UseDPDF=Y")</f>
        <v>8519</v>
      </c>
      <c r="Q65" s="13">
        <f>_xll.BDH("AMGN US Equity","OTHER_NONCURRENT_LIABS_DETAILED","FQ2 2022","FQ2 2022","Currency=USD","Period=FQ","BEST_FPERIOD_OVERRIDE=FQ","FILING_STATUS=MR","SCALING_FORMAT=MLN","Sort=A","Dates=H","DateFormat=P","Fill=—","Direction=H","UseDPDF=Y")</f>
        <v>7428</v>
      </c>
      <c r="R65" s="13">
        <f>_xll.BDH("AMGN US Equity","OTHER_NONCURRENT_LIABS_DETAILED","FQ3 2022","FQ3 2022","Currency=USD","Period=FQ","BEST_FPERIOD_OVERRIDE=FQ","FILING_STATUS=MR","SCALING_FORMAT=MLN","Sort=A","Dates=H","DateFormat=P","Fill=—","Direction=H","UseDPDF=Y")</f>
        <v>6969</v>
      </c>
      <c r="S65" s="13">
        <f>_xll.BDH("AMGN US Equity","OTHER_NONCURRENT_LIABS_DETAILED","FQ4 2022","FQ4 2022","Currency=USD","Period=FQ","BEST_FPERIOD_OVERRIDE=FQ","FILING_STATUS=MR","SCALING_FORMAT=MLN","Sort=A","Dates=H","DateFormat=P","Fill=—","Direction=H","UseDPDF=Y")</f>
        <v>6482</v>
      </c>
      <c r="T65" s="13">
        <f>_xll.BDH("AMGN US Equity","OTHER_NONCURRENT_LIABS_DETAILED","FQ1 2023","FQ1 2023","Currency=USD","Period=FQ","BEST_FPERIOD_OVERRIDE=FQ","FILING_STATUS=MR","SCALING_FORMAT=MLN","Sort=A","Dates=H","DateFormat=P","Fill=—","Direction=H","UseDPDF=Y")</f>
        <v>7144</v>
      </c>
      <c r="U65" s="13">
        <f>_xll.BDH("AMGN US Equity","OTHER_NONCURRENT_LIABS_DETAILED","FQ2 2023","FQ2 2023","Currency=USD","Period=FQ","BEST_FPERIOD_OVERRIDE=FQ","FILING_STATUS=MR","SCALING_FORMAT=MLN","Sort=A","Dates=H","DateFormat=P","Fill=—","Direction=H","UseDPDF=Y")</f>
        <v>5703</v>
      </c>
      <c r="V65" s="13">
        <f>_xll.BDH("AMGN US Equity","OTHER_NONCURRENT_LIABS_DETAILED","FQ3 2023","FQ3 2023","Currency=USD","Period=FQ","BEST_FPERIOD_OVERRIDE=FQ","FILING_STATUS=MR","SCALING_FORMAT=MLN","Sort=A","Dates=H","DateFormat=P","Fill=—","Direction=H","UseDPDF=Y")</f>
        <v>5570</v>
      </c>
      <c r="W65" s="13">
        <f>_xll.BDH("AMGN US Equity","OTHER_NONCURRENT_LIABS_DETAILED","FQ4 2023","FQ4 2023","Currency=USD","Period=FQ","BEST_FPERIOD_OVERRIDE=FQ","FILING_STATUS=MR","SCALING_FORMAT=MLN","Sort=A","Dates=H","DateFormat=P","Fill=—","Direction=H","UseDPDF=Y")</f>
        <v>5223</v>
      </c>
      <c r="X65" s="13">
        <f>_xll.BDH("AMGN US Equity","OTHER_NONCURRENT_LIABS_DETAILED","FQ1 2024","FQ1 2024","Currency=USD","Period=FQ","BEST_FPERIOD_OVERRIDE=FQ","FILING_STATUS=MR","SCALING_FORMAT=MLN","Sort=A","Dates=H","DateFormat=P","Fill=—","Direction=H","UseDPDF=Y")</f>
        <v>5249</v>
      </c>
      <c r="Y65" s="13">
        <f>_xll.BDH("AMGN US Equity","OTHER_NONCURRENT_LIABS_DETAILED","FQ2 2024","FQ2 2024","Currency=USD","Period=FQ","BEST_FPERIOD_OVERRIDE=FQ","FILING_STATUS=MR","SCALING_FORMAT=MLN","Sort=A","Dates=H","DateFormat=P","Fill=—","Direction=H","UseDPDF=Y")</f>
        <v>3541</v>
      </c>
      <c r="Z65" s="13">
        <f>_xll.BDH("AMGN US Equity","OTHER_NONCURRENT_LIABS_DETAILED","FQ3 2024","FQ3 2024","Currency=USD","Period=FQ","BEST_FPERIOD_OVERRIDE=FQ","FILING_STATUS=MR","SCALING_FORMAT=MLN","Sort=A","Dates=H","DateFormat=P","Fill=—","Direction=H","UseDPDF=Y")</f>
        <v>3593</v>
      </c>
      <c r="AA65" s="13">
        <f>_xll.BDH("AMGN US Equity","OTHER_NONCURRENT_LIABS_DETAILED","FQ4 2024","FQ4 2024","Currency=USD","Period=FQ","BEST_FPERIOD_OVERRIDE=FQ","FILING_STATUS=MR","SCALING_FORMAT=MLN","Sort=A","Dates=H","DateFormat=P","Fill=—","Direction=H","UseDPDF=Y")</f>
        <v>3003</v>
      </c>
    </row>
    <row r="66" spans="1:27" x14ac:dyDescent="0.25">
      <c r="A66" s="6" t="s">
        <v>809</v>
      </c>
      <c r="B66" s="6" t="s">
        <v>810</v>
      </c>
      <c r="C66" s="19">
        <f>_xll.BDH("AMGN US Equity","NON_CUR_LIAB","FQ4 2018","FQ4 2018","Currency=USD","Period=FQ","BEST_FPERIOD_OVERRIDE=FQ","FILING_STATUS=MR","SCALING_FORMAT=MLN","Sort=A","Dates=H","DateFormat=P","Fill=—","Direction=H","UseDPDF=Y")</f>
        <v>40428</v>
      </c>
      <c r="D66" s="19">
        <f>_xll.BDH("AMGN US Equity","NON_CUR_LIAB","FQ1 2019","FQ1 2019","Currency=USD","Period=FQ","BEST_FPERIOD_OVERRIDE=FQ","FILING_STATUS=MR","SCALING_FORMAT=MLN","Sort=A","Dates=H","DateFormat=P","Fill=—","Direction=H","UseDPDF=Y")</f>
        <v>40459</v>
      </c>
      <c r="E66" s="19">
        <f>_xll.BDH("AMGN US Equity","NON_CUR_LIAB","FQ2 2019","FQ2 2019","Currency=USD","Period=FQ","BEST_FPERIOD_OVERRIDE=FQ","FILING_STATUS=MR","SCALING_FORMAT=MLN","Sort=A","Dates=H","DateFormat=P","Fill=—","Direction=H","UseDPDF=Y")</f>
        <v>37957</v>
      </c>
      <c r="F66" s="19">
        <f>_xll.BDH("AMGN US Equity","NON_CUR_LIAB","FQ3 2019","FQ3 2019","Currency=USD","Period=FQ","BEST_FPERIOD_OVERRIDE=FQ","FILING_STATUS=MR","SCALING_FORMAT=MLN","Sort=A","Dates=H","DateFormat=P","Fill=—","Direction=H","UseDPDF=Y")</f>
        <v>37871</v>
      </c>
      <c r="G66" s="19">
        <f>_xll.BDH("AMGN US Equity","NON_CUR_LIAB","FQ4 2019","FQ4 2019","Currency=USD","Period=FQ","BEST_FPERIOD_OVERRIDE=FQ","FILING_STATUS=MR","SCALING_FORMAT=MLN","Sort=A","Dates=H","DateFormat=P","Fill=—","Direction=H","UseDPDF=Y")</f>
        <v>37199</v>
      </c>
      <c r="H66" s="19">
        <f>_xll.BDH("AMGN US Equity","NON_CUR_LIAB","FQ1 2020","FQ1 2020","Currency=USD","Period=FQ","BEST_FPERIOD_OVERRIDE=FQ","FILING_STATUS=MR","SCALING_FORMAT=MLN","Sort=A","Dates=H","DateFormat=P","Fill=—","Direction=H","UseDPDF=Y")</f>
        <v>40357</v>
      </c>
      <c r="I66" s="19">
        <f>_xll.BDH("AMGN US Equity","NON_CUR_LIAB","FQ2 2020","FQ2 2020","Currency=USD","Period=FQ","BEST_FPERIOD_OVERRIDE=FQ","FILING_STATUS=MR","SCALING_FORMAT=MLN","Sort=A","Dates=H","DateFormat=P","Fill=—","Direction=H","UseDPDF=Y")</f>
        <v>43829</v>
      </c>
      <c r="J66" s="19">
        <f>_xll.BDH("AMGN US Equity","NON_CUR_LIAB","FQ3 2020","FQ3 2020","Currency=USD","Period=FQ","BEST_FPERIOD_OVERRIDE=FQ","FILING_STATUS=MR","SCALING_FORMAT=MLN","Sort=A","Dates=H","DateFormat=P","Fill=—","Direction=H","UseDPDF=Y")</f>
        <v>43725</v>
      </c>
      <c r="K66" s="19">
        <f>_xll.BDH("AMGN US Equity","NON_CUR_LIAB","FQ4 2020","FQ4 2020","Currency=USD","Period=FQ","BEST_FPERIOD_OVERRIDE=FQ","FILING_STATUS=MR","SCALING_FORMAT=MLN","Sort=A","Dates=H","DateFormat=P","Fill=—","Direction=H","UseDPDF=Y")</f>
        <v>41886</v>
      </c>
      <c r="L66" s="19">
        <f>_xll.BDH("AMGN US Equity","NON_CUR_LIAB","FQ1 2021","FQ1 2021","Currency=USD","Period=FQ","BEST_FPERIOD_OVERRIDE=FQ","FILING_STATUS=MR","SCALING_FORMAT=MLN","Sort=A","Dates=H","DateFormat=P","Fill=—","Direction=H","UseDPDF=Y")</f>
        <v>40336</v>
      </c>
      <c r="M66" s="19">
        <f>_xll.BDH("AMGN US Equity","NON_CUR_LIAB","FQ2 2021","FQ2 2021","Currency=USD","Period=FQ","BEST_FPERIOD_OVERRIDE=FQ","FILING_STATUS=MR","SCALING_FORMAT=MLN","Sort=A","Dates=H","DateFormat=P","Fill=—","Direction=H","UseDPDF=Y")</f>
        <v>36941</v>
      </c>
      <c r="N66" s="19">
        <f>_xll.BDH("AMGN US Equity","NON_CUR_LIAB","FQ3 2021","FQ3 2021","Currency=USD","Period=FQ","BEST_FPERIOD_OVERRIDE=FQ","FILING_STATUS=MR","SCALING_FORMAT=MLN","Sort=A","Dates=H","DateFormat=P","Fill=—","Direction=H","UseDPDF=Y")</f>
        <v>41934</v>
      </c>
      <c r="O66" s="19">
        <f>_xll.BDH("AMGN US Equity","NON_CUR_LIAB","FQ4 2021","FQ4 2021","Currency=USD","Period=FQ","BEST_FPERIOD_OVERRIDE=FQ","FILING_STATUS=MR","SCALING_FORMAT=MLN","Sort=A","Dates=H","DateFormat=P","Fill=—","Direction=H","UseDPDF=Y")</f>
        <v>42281</v>
      </c>
      <c r="P66" s="19">
        <f>_xll.BDH("AMGN US Equity","NON_CUR_LIAB","FQ1 2022","FQ1 2022","Currency=USD","Period=FQ","BEST_FPERIOD_OVERRIDE=FQ","FILING_STATUS=MR","SCALING_FORMAT=MLN","Sort=A","Dates=H","DateFormat=P","Fill=—","Direction=H","UseDPDF=Y")</f>
        <v>45394</v>
      </c>
      <c r="Q66" s="19">
        <f>_xll.BDH("AMGN US Equity","NON_CUR_LIAB","FQ2 2022","FQ2 2022","Currency=USD","Period=FQ","BEST_FPERIOD_OVERRIDE=FQ","FILING_STATUS=MR","SCALING_FORMAT=MLN","Sort=A","Dates=H","DateFormat=P","Fill=—","Direction=H","UseDPDF=Y")</f>
        <v>44257</v>
      </c>
      <c r="R66" s="19">
        <f>_xll.BDH("AMGN US Equity","NON_CUR_LIAB","FQ3 2022","FQ3 2022","Currency=USD","Period=FQ","BEST_FPERIOD_OVERRIDE=FQ","FILING_STATUS=MR","SCALING_FORMAT=MLN","Sort=A","Dates=H","DateFormat=P","Fill=—","Direction=H","UseDPDF=Y")</f>
        <v>45716</v>
      </c>
      <c r="S66" s="19">
        <f>_xll.BDH("AMGN US Equity","NON_CUR_LIAB","FQ4 2022","FQ4 2022","Currency=USD","Period=FQ","BEST_FPERIOD_OVERRIDE=FQ","FILING_STATUS=MR","SCALING_FORMAT=MLN","Sort=A","Dates=H","DateFormat=P","Fill=—","Direction=H","UseDPDF=Y")</f>
        <v>45773</v>
      </c>
      <c r="T66" s="19">
        <f>_xll.BDH("AMGN US Equity","NON_CUR_LIAB","FQ1 2023","FQ1 2023","Currency=USD","Period=FQ","BEST_FPERIOD_OVERRIDE=FQ","FILING_STATUS=MR","SCALING_FORMAT=MLN","Sort=A","Dates=H","DateFormat=P","Fill=—","Direction=H","UseDPDF=Y")</f>
        <v>69157</v>
      </c>
      <c r="U66" s="19">
        <f>_xll.BDH("AMGN US Equity","NON_CUR_LIAB","FQ2 2023","FQ2 2023","Currency=USD","Period=FQ","BEST_FPERIOD_OVERRIDE=FQ","FILING_STATUS=MR","SCALING_FORMAT=MLN","Sort=A","Dates=H","DateFormat=P","Fill=—","Direction=H","UseDPDF=Y")</f>
        <v>66391</v>
      </c>
      <c r="V66" s="19">
        <f>_xll.BDH("AMGN US Equity","NON_CUR_LIAB","FQ3 2023","FQ3 2023","Currency=USD","Period=FQ","BEST_FPERIOD_OVERRIDE=FQ","FILING_STATUS=MR","SCALING_FORMAT=MLN","Sort=A","Dates=H","DateFormat=P","Fill=—","Direction=H","UseDPDF=Y")</f>
        <v>65924</v>
      </c>
      <c r="W66" s="19">
        <f>_xll.BDH("AMGN US Equity","NON_CUR_LIAB","FQ4 2023","FQ4 2023","Currency=USD","Period=FQ","BEST_FPERIOD_OVERRIDE=FQ","FILING_STATUS=MR","SCALING_FORMAT=MLN","Sort=A","Dates=H","DateFormat=P","Fill=—","Direction=H","UseDPDF=Y")</f>
        <v>72530</v>
      </c>
      <c r="X66" s="19">
        <f>_xll.BDH("AMGN US Equity","NON_CUR_LIAB","FQ1 2024","FQ1 2024","Currency=USD","Period=FQ","BEST_FPERIOD_OVERRIDE=FQ","FILING_STATUS=MR","SCALING_FORMAT=MLN","Sort=A","Dates=H","DateFormat=P","Fill=—","Direction=H","UseDPDF=Y")</f>
        <v>68244</v>
      </c>
      <c r="Y66" s="19">
        <f>_xll.BDH("AMGN US Equity","NON_CUR_LIAB","FQ2 2024","FQ2 2024","Currency=USD","Period=FQ","BEST_FPERIOD_OVERRIDE=FQ","FILING_STATUS=MR","SCALING_FORMAT=MLN","Sort=A","Dates=H","DateFormat=P","Fill=—","Direction=H","UseDPDF=Y")</f>
        <v>63465</v>
      </c>
      <c r="Z66" s="19">
        <f>_xll.BDH("AMGN US Equity","NON_CUR_LIAB","FQ3 2024","FQ3 2024","Currency=USD","Period=FQ","BEST_FPERIOD_OVERRIDE=FQ","FILING_STATUS=MR","SCALING_FORMAT=MLN","Sort=A","Dates=H","DateFormat=P","Fill=—","Direction=H","UseDPDF=Y")</f>
        <v>63044</v>
      </c>
      <c r="AA66" s="19">
        <f>_xll.BDH("AMGN US Equity","NON_CUR_LIAB","FQ4 2024","FQ4 2024","Currency=USD","Period=FQ","BEST_FPERIOD_OVERRIDE=FQ","FILING_STATUS=MR","SCALING_FORMAT=MLN","Sort=A","Dates=H","DateFormat=P","Fill=—","Direction=H","UseDPDF=Y")</f>
        <v>62863</v>
      </c>
    </row>
    <row r="67" spans="1:27" x14ac:dyDescent="0.25">
      <c r="A67" s="6" t="s">
        <v>116</v>
      </c>
      <c r="B67" s="6" t="s">
        <v>117</v>
      </c>
      <c r="C67" s="19">
        <f>_xll.BDH("AMGN US Equity","BS_TOT_LIAB2","FQ4 2018","FQ4 2018","Currency=USD","Period=FQ","BEST_FPERIOD_OVERRIDE=FQ","FILING_STATUS=MR","SCALING_FORMAT=MLN","Sort=A","Dates=H","DateFormat=P","Fill=—","Direction=H","UseDPDF=Y")</f>
        <v>53916</v>
      </c>
      <c r="D67" s="19">
        <f>_xll.BDH("AMGN US Equity","BS_TOT_LIAB2","FQ1 2019","FQ1 2019","Currency=USD","Period=FQ","BEST_FPERIOD_OVERRIDE=FQ","FILING_STATUS=MR","SCALING_FORMAT=MLN","Sort=A","Dates=H","DateFormat=P","Fill=—","Direction=H","UseDPDF=Y")</f>
        <v>53165</v>
      </c>
      <c r="E67" s="19">
        <f>_xll.BDH("AMGN US Equity","BS_TOT_LIAB2","FQ2 2019","FQ2 2019","Currency=USD","Period=FQ","BEST_FPERIOD_OVERRIDE=FQ","FILING_STATUS=MR","SCALING_FORMAT=MLN","Sort=A","Dates=H","DateFormat=P","Fill=—","Direction=H","UseDPDF=Y")</f>
        <v>48579</v>
      </c>
      <c r="F67" s="19">
        <f>_xll.BDH("AMGN US Equity","BS_TOT_LIAB2","FQ3 2019","FQ3 2019","Currency=USD","Period=FQ","BEST_FPERIOD_OVERRIDE=FQ","FILING_STATUS=MR","SCALING_FORMAT=MLN","Sort=A","Dates=H","DateFormat=P","Fill=—","Direction=H","UseDPDF=Y")</f>
        <v>48608</v>
      </c>
      <c r="G67" s="19">
        <f>_xll.BDH("AMGN US Equity","BS_TOT_LIAB2","FQ4 2019","FQ4 2019","Currency=USD","Period=FQ","BEST_FPERIOD_OVERRIDE=FQ","FILING_STATUS=MR","SCALING_FORMAT=MLN","Sort=A","Dates=H","DateFormat=P","Fill=—","Direction=H","UseDPDF=Y")</f>
        <v>50034</v>
      </c>
      <c r="H67" s="19">
        <f>_xll.BDH("AMGN US Equity","BS_TOT_LIAB2","FQ1 2020","FQ1 2020","Currency=USD","Period=FQ","BEST_FPERIOD_OVERRIDE=FQ","FILING_STATUS=MR","SCALING_FORMAT=MLN","Sort=A","Dates=H","DateFormat=P","Fill=—","Direction=H","UseDPDF=Y")</f>
        <v>52184</v>
      </c>
      <c r="I67" s="19">
        <f>_xll.BDH("AMGN US Equity","BS_TOT_LIAB2","FQ2 2020","FQ2 2020","Currency=USD","Period=FQ","BEST_FPERIOD_OVERRIDE=FQ","FILING_STATUS=MR","SCALING_FORMAT=MLN","Sort=A","Dates=H","DateFormat=P","Fill=—","Direction=H","UseDPDF=Y")</f>
        <v>54352</v>
      </c>
      <c r="J67" s="19">
        <f>_xll.BDH("AMGN US Equity","BS_TOT_LIAB2","FQ3 2020","FQ3 2020","Currency=USD","Period=FQ","BEST_FPERIOD_OVERRIDE=FQ","FILING_STATUS=MR","SCALING_FORMAT=MLN","Sort=A","Dates=H","DateFormat=P","Fill=—","Direction=H","UseDPDF=Y")</f>
        <v>53678</v>
      </c>
      <c r="K67" s="19">
        <f>_xll.BDH("AMGN US Equity","BS_TOT_LIAB2","FQ4 2020","FQ4 2020","Currency=USD","Period=FQ","BEST_FPERIOD_OVERRIDE=FQ","FILING_STATUS=MR","SCALING_FORMAT=MLN","Sort=A","Dates=H","DateFormat=P","Fill=—","Direction=H","UseDPDF=Y")</f>
        <v>53539</v>
      </c>
      <c r="L67" s="19">
        <f>_xll.BDH("AMGN US Equity","BS_TOT_LIAB2","FQ1 2021","FQ1 2021","Currency=USD","Period=FQ","BEST_FPERIOD_OVERRIDE=FQ","FILING_STATUS=MR","SCALING_FORMAT=MLN","Sort=A","Dates=H","DateFormat=P","Fill=—","Direction=H","UseDPDF=Y")</f>
        <v>53205</v>
      </c>
      <c r="M67" s="19">
        <f>_xll.BDH("AMGN US Equity","BS_TOT_LIAB2","FQ2 2021","FQ2 2021","Currency=USD","Period=FQ","BEST_FPERIOD_OVERRIDE=FQ","FILING_STATUS=MR","SCALING_FORMAT=MLN","Sort=A","Dates=H","DateFormat=P","Fill=—","Direction=H","UseDPDF=Y")</f>
        <v>51526</v>
      </c>
      <c r="N67" s="19">
        <f>_xll.BDH("AMGN US Equity","BS_TOT_LIAB2","FQ3 2021","FQ3 2021","Currency=USD","Period=FQ","BEST_FPERIOD_OVERRIDE=FQ","FILING_STATUS=MR","SCALING_FORMAT=MLN","Sort=A","Dates=H","DateFormat=P","Fill=—","Direction=H","UseDPDF=Y")</f>
        <v>56776</v>
      </c>
      <c r="O67" s="19">
        <f>_xll.BDH("AMGN US Equity","BS_TOT_LIAB2","FQ4 2021","FQ4 2021","Currency=USD","Period=FQ","BEST_FPERIOD_OVERRIDE=FQ","FILING_STATUS=MR","SCALING_FORMAT=MLN","Sort=A","Dates=H","DateFormat=P","Fill=—","Direction=H","UseDPDF=Y")</f>
        <v>54465</v>
      </c>
      <c r="P67" s="19">
        <f>_xll.BDH("AMGN US Equity","BS_TOT_LIAB2","FQ1 2022","FQ1 2022","Currency=USD","Period=FQ","BEST_FPERIOD_OVERRIDE=FQ","FILING_STATUS=MR","SCALING_FORMAT=MLN","Sort=A","Dates=H","DateFormat=P","Fill=—","Direction=H","UseDPDF=Y")</f>
        <v>58280</v>
      </c>
      <c r="Q67" s="19">
        <f>_xll.BDH("AMGN US Equity","BS_TOT_LIAB2","FQ2 2022","FQ2 2022","Currency=USD","Period=FQ","BEST_FPERIOD_OVERRIDE=FQ","FILING_STATUS=MR","SCALING_FORMAT=MLN","Sort=A","Dates=H","DateFormat=P","Fill=—","Direction=H","UseDPDF=Y")</f>
        <v>56875</v>
      </c>
      <c r="R67" s="19">
        <f>_xll.BDH("AMGN US Equity","BS_TOT_LIAB2","FQ3 2022","FQ3 2022","Currency=USD","Period=FQ","BEST_FPERIOD_OVERRIDE=FQ","FILING_STATUS=MR","SCALING_FORMAT=MLN","Sort=A","Dates=H","DateFormat=P","Fill=—","Direction=H","UseDPDF=Y")</f>
        <v>60047</v>
      </c>
      <c r="S67" s="19">
        <f>_xll.BDH("AMGN US Equity","BS_TOT_LIAB2","FQ4 2022","FQ4 2022","Currency=USD","Period=FQ","BEST_FPERIOD_OVERRIDE=FQ","FILING_STATUS=MR","SCALING_FORMAT=MLN","Sort=A","Dates=H","DateFormat=P","Fill=—","Direction=H","UseDPDF=Y")</f>
        <v>61460</v>
      </c>
      <c r="T67" s="19">
        <f>_xll.BDH("AMGN US Equity","BS_TOT_LIAB2","FQ1 2023","FQ1 2023","Currency=USD","Period=FQ","BEST_FPERIOD_OVERRIDE=FQ","FILING_STATUS=MR","SCALING_FORMAT=MLN","Sort=A","Dates=H","DateFormat=P","Fill=—","Direction=H","UseDPDF=Y")</f>
        <v>83372</v>
      </c>
      <c r="U67" s="19">
        <f>_xll.BDH("AMGN US Equity","BS_TOT_LIAB2","FQ2 2023","FQ2 2023","Currency=USD","Period=FQ","BEST_FPERIOD_OVERRIDE=FQ","FILING_STATUS=MR","SCALING_FORMAT=MLN","Sort=A","Dates=H","DateFormat=P","Fill=—","Direction=H","UseDPDF=Y")</f>
        <v>83488</v>
      </c>
      <c r="V67" s="19">
        <f>_xll.BDH("AMGN US Equity","BS_TOT_LIAB2","FQ3 2023","FQ3 2023","Currency=USD","Period=FQ","BEST_FPERIOD_OVERRIDE=FQ","FILING_STATUS=MR","SCALING_FORMAT=MLN","Sort=A","Dates=H","DateFormat=P","Fill=—","Direction=H","UseDPDF=Y")</f>
        <v>82878</v>
      </c>
      <c r="W67" s="19">
        <f>_xll.BDH("AMGN US Equity","BS_TOT_LIAB2","FQ4 2023","FQ4 2023","Currency=USD","Period=FQ","BEST_FPERIOD_OVERRIDE=FQ","FILING_STATUS=MR","SCALING_FORMAT=MLN","Sort=A","Dates=H","DateFormat=P","Fill=—","Direction=H","UseDPDF=Y")</f>
        <v>90922</v>
      </c>
      <c r="X67" s="19">
        <f>_xll.BDH("AMGN US Equity","BS_TOT_LIAB2","FQ1 2024","FQ1 2024","Currency=USD","Period=FQ","BEST_FPERIOD_OVERRIDE=FQ","FILING_STATUS=MR","SCALING_FORMAT=MLN","Sort=A","Dates=H","DateFormat=P","Fill=—","Direction=H","UseDPDF=Y")</f>
        <v>87958</v>
      </c>
      <c r="Y67" s="19">
        <f>_xll.BDH("AMGN US Equity","BS_TOT_LIAB2","FQ2 2024","FQ2 2024","Currency=USD","Period=FQ","BEST_FPERIOD_OVERRIDE=FQ","FILING_STATUS=MR","SCALING_FORMAT=MLN","Sort=A","Dates=H","DateFormat=P","Fill=—","Direction=H","UseDPDF=Y")</f>
        <v>84982</v>
      </c>
      <c r="Z67" s="19">
        <f>_xll.BDH("AMGN US Equity","BS_TOT_LIAB2","FQ3 2024","FQ3 2024","Currency=USD","Period=FQ","BEST_FPERIOD_OVERRIDE=FQ","FILING_STATUS=MR","SCALING_FORMAT=MLN","Sort=A","Dates=H","DateFormat=P","Fill=—","Direction=H","UseDPDF=Y")</f>
        <v>83356</v>
      </c>
      <c r="AA67" s="19">
        <f>_xll.BDH("AMGN US Equity","BS_TOT_LIAB2","FQ4 2024","FQ4 2024","Currency=USD","Period=FQ","BEST_FPERIOD_OVERRIDE=FQ","FILING_STATUS=MR","SCALING_FORMAT=MLN","Sort=A","Dates=H","DateFormat=P","Fill=—","Direction=H","UseDPDF=Y")</f>
        <v>85962</v>
      </c>
    </row>
    <row r="68" spans="1:27" x14ac:dyDescent="0.25">
      <c r="A68" s="10" t="s">
        <v>811</v>
      </c>
      <c r="B68" s="10" t="s">
        <v>168</v>
      </c>
      <c r="C68" s="13">
        <f>_xll.BDH("AMGN US Equity","PFD_EQTY_HYBRID_CAPITAL","FQ4 2018","FQ4 2018","Currency=USD","Period=FQ","BEST_FPERIOD_OVERRIDE=FQ","FILING_STATUS=MR","SCALING_FORMAT=MLN","Sort=A","Dates=H","DateFormat=P","Fill=—","Direction=H","UseDPDF=Y")</f>
        <v>0</v>
      </c>
      <c r="D68" s="13">
        <f>_xll.BDH("AMGN US Equity","PFD_EQTY_HYBRID_CAPITAL","FQ1 2019","FQ1 2019","Currency=USD","Period=FQ","BEST_FPERIOD_OVERRIDE=FQ","FILING_STATUS=MR","SCALING_FORMAT=MLN","Sort=A","Dates=H","DateFormat=P","Fill=—","Direction=H","UseDPDF=Y")</f>
        <v>0</v>
      </c>
      <c r="E68" s="13">
        <f>_xll.BDH("AMGN US Equity","PFD_EQTY_HYBRID_CAPITAL","FQ2 2019","FQ2 2019","Currency=USD","Period=FQ","BEST_FPERIOD_OVERRIDE=FQ","FILING_STATUS=MR","SCALING_FORMAT=MLN","Sort=A","Dates=H","DateFormat=P","Fill=—","Direction=H","UseDPDF=Y")</f>
        <v>0</v>
      </c>
      <c r="F68" s="13">
        <f>_xll.BDH("AMGN US Equity","PFD_EQTY_HYBRID_CAPITAL","FQ3 2019","FQ3 2019","Currency=USD","Period=FQ","BEST_FPERIOD_OVERRIDE=FQ","FILING_STATUS=MR","SCALING_FORMAT=MLN","Sort=A","Dates=H","DateFormat=P","Fill=—","Direction=H","UseDPDF=Y")</f>
        <v>0</v>
      </c>
      <c r="G68" s="13">
        <f>_xll.BDH("AMGN US Equity","PFD_EQTY_HYBRID_CAPITAL","FQ4 2019","FQ4 2019","Currency=USD","Period=FQ","BEST_FPERIOD_OVERRIDE=FQ","FILING_STATUS=MR","SCALING_FORMAT=MLN","Sort=A","Dates=H","DateFormat=P","Fill=—","Direction=H","UseDPDF=Y")</f>
        <v>0</v>
      </c>
      <c r="H68" s="13">
        <f>_xll.BDH("AMGN US Equity","PFD_EQTY_HYBRID_CAPITAL","FQ1 2020","FQ1 2020","Currency=USD","Period=FQ","BEST_FPERIOD_OVERRIDE=FQ","FILING_STATUS=MR","SCALING_FORMAT=MLN","Sort=A","Dates=H","DateFormat=P","Fill=—","Direction=H","UseDPDF=Y")</f>
        <v>0</v>
      </c>
      <c r="I68" s="13">
        <f>_xll.BDH("AMGN US Equity","PFD_EQTY_HYBRID_CAPITAL","FQ2 2020","FQ2 2020","Currency=USD","Period=FQ","BEST_FPERIOD_OVERRIDE=FQ","FILING_STATUS=MR","SCALING_FORMAT=MLN","Sort=A","Dates=H","DateFormat=P","Fill=—","Direction=H","UseDPDF=Y")</f>
        <v>0</v>
      </c>
      <c r="J68" s="13">
        <f>_xll.BDH("AMGN US Equity","PFD_EQTY_HYBRID_CAPITAL","FQ3 2020","FQ3 2020","Currency=USD","Period=FQ","BEST_FPERIOD_OVERRIDE=FQ","FILING_STATUS=MR","SCALING_FORMAT=MLN","Sort=A","Dates=H","DateFormat=P","Fill=—","Direction=H","UseDPDF=Y")</f>
        <v>0</v>
      </c>
      <c r="K68" s="13">
        <f>_xll.BDH("AMGN US Equity","PFD_EQTY_HYBRID_CAPITAL","FQ4 2020","FQ4 2020","Currency=USD","Period=FQ","BEST_FPERIOD_OVERRIDE=FQ","FILING_STATUS=MR","SCALING_FORMAT=MLN","Sort=A","Dates=H","DateFormat=P","Fill=—","Direction=H","UseDPDF=Y")</f>
        <v>0</v>
      </c>
      <c r="L68" s="13">
        <f>_xll.BDH("AMGN US Equity","PFD_EQTY_HYBRID_CAPITAL","FQ1 2021","FQ1 2021","Currency=USD","Period=FQ","BEST_FPERIOD_OVERRIDE=FQ","FILING_STATUS=MR","SCALING_FORMAT=MLN","Sort=A","Dates=H","DateFormat=P","Fill=—","Direction=H","UseDPDF=Y")</f>
        <v>0</v>
      </c>
      <c r="M68" s="13">
        <f>_xll.BDH("AMGN US Equity","PFD_EQTY_HYBRID_CAPITAL","FQ2 2021","FQ2 2021","Currency=USD","Period=FQ","BEST_FPERIOD_OVERRIDE=FQ","FILING_STATUS=MR","SCALING_FORMAT=MLN","Sort=A","Dates=H","DateFormat=P","Fill=—","Direction=H","UseDPDF=Y")</f>
        <v>0</v>
      </c>
      <c r="N68" s="13">
        <f>_xll.BDH("AMGN US Equity","PFD_EQTY_HYBRID_CAPITAL","FQ3 2021","FQ3 2021","Currency=USD","Period=FQ","BEST_FPERIOD_OVERRIDE=FQ","FILING_STATUS=MR","SCALING_FORMAT=MLN","Sort=A","Dates=H","DateFormat=P","Fill=—","Direction=H","UseDPDF=Y")</f>
        <v>0</v>
      </c>
      <c r="O68" s="13">
        <f>_xll.BDH("AMGN US Equity","PFD_EQTY_HYBRID_CAPITAL","FQ4 2021","FQ4 2021","Currency=USD","Period=FQ","BEST_FPERIOD_OVERRIDE=FQ","FILING_STATUS=MR","SCALING_FORMAT=MLN","Sort=A","Dates=H","DateFormat=P","Fill=—","Direction=H","UseDPDF=Y")</f>
        <v>0</v>
      </c>
      <c r="P68" s="13">
        <f>_xll.BDH("AMGN US Equity","PFD_EQTY_HYBRID_CAPITAL","FQ1 2022","FQ1 2022","Currency=USD","Period=FQ","BEST_FPERIOD_OVERRIDE=FQ","FILING_STATUS=MR","SCALING_FORMAT=MLN","Sort=A","Dates=H","DateFormat=P","Fill=—","Direction=H","UseDPDF=Y")</f>
        <v>0</v>
      </c>
      <c r="Q68" s="13">
        <f>_xll.BDH("AMGN US Equity","PFD_EQTY_HYBRID_CAPITAL","FQ2 2022","FQ2 2022","Currency=USD","Period=FQ","BEST_FPERIOD_OVERRIDE=FQ","FILING_STATUS=MR","SCALING_FORMAT=MLN","Sort=A","Dates=H","DateFormat=P","Fill=—","Direction=H","UseDPDF=Y")</f>
        <v>0</v>
      </c>
      <c r="R68" s="13">
        <f>_xll.BDH("AMGN US Equity","PFD_EQTY_HYBRID_CAPITAL","FQ3 2022","FQ3 2022","Currency=USD","Period=FQ","BEST_FPERIOD_OVERRIDE=FQ","FILING_STATUS=MR","SCALING_FORMAT=MLN","Sort=A","Dates=H","DateFormat=P","Fill=—","Direction=H","UseDPDF=Y")</f>
        <v>0</v>
      </c>
      <c r="S68" s="13">
        <f>_xll.BDH("AMGN US Equity","PFD_EQTY_HYBRID_CAPITAL","FQ4 2022","FQ4 2022","Currency=USD","Period=FQ","BEST_FPERIOD_OVERRIDE=FQ","FILING_STATUS=MR","SCALING_FORMAT=MLN","Sort=A","Dates=H","DateFormat=P","Fill=—","Direction=H","UseDPDF=Y")</f>
        <v>0</v>
      </c>
      <c r="T68" s="13">
        <f>_xll.BDH("AMGN US Equity","PFD_EQTY_HYBRID_CAPITAL","FQ1 2023","FQ1 2023","Currency=USD","Period=FQ","BEST_FPERIOD_OVERRIDE=FQ","FILING_STATUS=MR","SCALING_FORMAT=MLN","Sort=A","Dates=H","DateFormat=P","Fill=—","Direction=H","UseDPDF=Y")</f>
        <v>0</v>
      </c>
      <c r="U68" s="13">
        <f>_xll.BDH("AMGN US Equity","PFD_EQTY_HYBRID_CAPITAL","FQ2 2023","FQ2 2023","Currency=USD","Period=FQ","BEST_FPERIOD_OVERRIDE=FQ","FILING_STATUS=MR","SCALING_FORMAT=MLN","Sort=A","Dates=H","DateFormat=P","Fill=—","Direction=H","UseDPDF=Y")</f>
        <v>0</v>
      </c>
      <c r="V68" s="13">
        <f>_xll.BDH("AMGN US Equity","PFD_EQTY_HYBRID_CAPITAL","FQ3 2023","FQ3 2023","Currency=USD","Period=FQ","BEST_FPERIOD_OVERRIDE=FQ","FILING_STATUS=MR","SCALING_FORMAT=MLN","Sort=A","Dates=H","DateFormat=P","Fill=—","Direction=H","UseDPDF=Y")</f>
        <v>0</v>
      </c>
      <c r="W68" s="13">
        <f>_xll.BDH("AMGN US Equity","PFD_EQTY_HYBRID_CAPITAL","FQ4 2023","FQ4 2023","Currency=USD","Period=FQ","BEST_FPERIOD_OVERRIDE=FQ","FILING_STATUS=MR","SCALING_FORMAT=MLN","Sort=A","Dates=H","DateFormat=P","Fill=—","Direction=H","UseDPDF=Y")</f>
        <v>0</v>
      </c>
      <c r="X68" s="13">
        <f>_xll.BDH("AMGN US Equity","PFD_EQTY_HYBRID_CAPITAL","FQ1 2024","FQ1 2024","Currency=USD","Period=FQ","BEST_FPERIOD_OVERRIDE=FQ","FILING_STATUS=MR","SCALING_FORMAT=MLN","Sort=A","Dates=H","DateFormat=P","Fill=—","Direction=H","UseDPDF=Y")</f>
        <v>0</v>
      </c>
      <c r="Y68" s="13">
        <f>_xll.BDH("AMGN US Equity","PFD_EQTY_HYBRID_CAPITAL","FQ2 2024","FQ2 2024","Currency=USD","Period=FQ","BEST_FPERIOD_OVERRIDE=FQ","FILING_STATUS=MR","SCALING_FORMAT=MLN","Sort=A","Dates=H","DateFormat=P","Fill=—","Direction=H","UseDPDF=Y")</f>
        <v>0</v>
      </c>
      <c r="Z68" s="13">
        <f>_xll.BDH("AMGN US Equity","PFD_EQTY_HYBRID_CAPITAL","FQ3 2024","FQ3 2024","Currency=USD","Period=FQ","BEST_FPERIOD_OVERRIDE=FQ","FILING_STATUS=MR","SCALING_FORMAT=MLN","Sort=A","Dates=H","DateFormat=P","Fill=—","Direction=H","UseDPDF=Y")</f>
        <v>0</v>
      </c>
      <c r="AA68" s="13">
        <f>_xll.BDH("AMGN US Equity","PFD_EQTY_HYBRID_CAPITAL","FQ4 2024","FQ4 2024","Currency=USD","Period=FQ","BEST_FPERIOD_OVERRIDE=FQ","FILING_STATUS=MR","SCALING_FORMAT=MLN","Sort=A","Dates=H","DateFormat=P","Fill=—","Direction=H","UseDPDF=Y")</f>
        <v>0</v>
      </c>
    </row>
    <row r="69" spans="1:27" x14ac:dyDescent="0.25">
      <c r="A69" s="10" t="s">
        <v>812</v>
      </c>
      <c r="B69" s="10" t="s">
        <v>813</v>
      </c>
      <c r="C69" s="13">
        <f>_xll.BDH("AMGN US Equity","BS_SH_CAP_AND_APIC","FQ4 2018","FQ4 2018","Currency=USD","Period=FQ","BEST_FPERIOD_OVERRIDE=FQ","FILING_STATUS=MR","SCALING_FORMAT=MLN","Sort=A","Dates=H","DateFormat=P","Fill=—","Direction=H","UseDPDF=Y")</f>
        <v>31246</v>
      </c>
      <c r="D69" s="13">
        <f>_xll.BDH("AMGN US Equity","BS_SH_CAP_AND_APIC","FQ1 2019","FQ1 2019","Currency=USD","Period=FQ","BEST_FPERIOD_OVERRIDE=FQ","FILING_STATUS=MR","SCALING_FORMAT=MLN","Sort=A","Dates=H","DateFormat=P","Fill=—","Direction=H","UseDPDF=Y")</f>
        <v>31243</v>
      </c>
      <c r="E69" s="13">
        <f>_xll.BDH("AMGN US Equity","BS_SH_CAP_AND_APIC","FQ2 2019","FQ2 2019","Currency=USD","Period=FQ","BEST_FPERIOD_OVERRIDE=FQ","FILING_STATUS=MR","SCALING_FORMAT=MLN","Sort=A","Dates=H","DateFormat=P","Fill=—","Direction=H","UseDPDF=Y")</f>
        <v>31313</v>
      </c>
      <c r="F69" s="13">
        <f>_xll.BDH("AMGN US Equity","BS_SH_CAP_AND_APIC","FQ3 2019","FQ3 2019","Currency=USD","Period=FQ","BEST_FPERIOD_OVERRIDE=FQ","FILING_STATUS=MR","SCALING_FORMAT=MLN","Sort=A","Dates=H","DateFormat=P","Fill=—","Direction=H","UseDPDF=Y")</f>
        <v>31451</v>
      </c>
      <c r="G69" s="13">
        <f>_xll.BDH("AMGN US Equity","BS_SH_CAP_AND_APIC","FQ4 2019","FQ4 2019","Currency=USD","Period=FQ","BEST_FPERIOD_OVERRIDE=FQ","FILING_STATUS=MR","SCALING_FORMAT=MLN","Sort=A","Dates=H","DateFormat=P","Fill=—","Direction=H","UseDPDF=Y")</f>
        <v>31531</v>
      </c>
      <c r="H69" s="13">
        <f>_xll.BDH("AMGN US Equity","BS_SH_CAP_AND_APIC","FQ1 2020","FQ1 2020","Currency=USD","Period=FQ","BEST_FPERIOD_OVERRIDE=FQ","FILING_STATUS=MR","SCALING_FORMAT=MLN","Sort=A","Dates=H","DateFormat=P","Fill=—","Direction=H","UseDPDF=Y")</f>
        <v>31525</v>
      </c>
      <c r="I69" s="13">
        <f>_xll.BDH("AMGN US Equity","BS_SH_CAP_AND_APIC","FQ2 2020","FQ2 2020","Currency=USD","Period=FQ","BEST_FPERIOD_OVERRIDE=FQ","FILING_STATUS=MR","SCALING_FORMAT=MLN","Sort=A","Dates=H","DateFormat=P","Fill=—","Direction=H","UseDPDF=Y")</f>
        <v>31610</v>
      </c>
      <c r="J69" s="13">
        <f>_xll.BDH("AMGN US Equity","BS_SH_CAP_AND_APIC","FQ3 2020","FQ3 2020","Currency=USD","Period=FQ","BEST_FPERIOD_OVERRIDE=FQ","FILING_STATUS=MR","SCALING_FORMAT=MLN","Sort=A","Dates=H","DateFormat=P","Fill=—","Direction=H","UseDPDF=Y")</f>
        <v>31713</v>
      </c>
      <c r="K69" s="13">
        <f>_xll.BDH("AMGN US Equity","BS_SH_CAP_AND_APIC","FQ4 2020","FQ4 2020","Currency=USD","Period=FQ","BEST_FPERIOD_OVERRIDE=FQ","FILING_STATUS=MR","SCALING_FORMAT=MLN","Sort=A","Dates=H","DateFormat=P","Fill=—","Direction=H","UseDPDF=Y")</f>
        <v>31802</v>
      </c>
      <c r="L69" s="13">
        <f>_xll.BDH("AMGN US Equity","BS_SH_CAP_AND_APIC","FQ1 2021","FQ1 2021","Currency=USD","Period=FQ","BEST_FPERIOD_OVERRIDE=FQ","FILING_STATUS=MR","SCALING_FORMAT=MLN","Sort=A","Dates=H","DateFormat=P","Fill=—","Direction=H","UseDPDF=Y")</f>
        <v>31806</v>
      </c>
      <c r="M69" s="13">
        <f>_xll.BDH("AMGN US Equity","BS_SH_CAP_AND_APIC","FQ2 2021","FQ2 2021","Currency=USD","Period=FQ","BEST_FPERIOD_OVERRIDE=FQ","FILING_STATUS=MR","SCALING_FORMAT=MLN","Sort=A","Dates=H","DateFormat=P","Fill=—","Direction=H","UseDPDF=Y")</f>
        <v>31877</v>
      </c>
      <c r="N69" s="13">
        <f>_xll.BDH("AMGN US Equity","BS_SH_CAP_AND_APIC","FQ3 2021","FQ3 2021","Currency=USD","Period=FQ","BEST_FPERIOD_OVERRIDE=FQ","FILING_STATUS=MR","SCALING_FORMAT=MLN","Sort=A","Dates=H","DateFormat=P","Fill=—","Direction=H","UseDPDF=Y")</f>
        <v>31989</v>
      </c>
      <c r="O69" s="13">
        <f>_xll.BDH("AMGN US Equity","BS_SH_CAP_AND_APIC","FQ4 2021","FQ4 2021","Currency=USD","Period=FQ","BEST_FPERIOD_OVERRIDE=FQ","FILING_STATUS=MR","SCALING_FORMAT=MLN","Sort=A","Dates=H","DateFormat=P","Fill=—","Direction=H","UseDPDF=Y")</f>
        <v>32096</v>
      </c>
      <c r="P69" s="13">
        <f>_xll.BDH("AMGN US Equity","BS_SH_CAP_AND_APIC","FQ1 2022","FQ1 2022","Currency=USD","Period=FQ","BEST_FPERIOD_OVERRIDE=FQ","FILING_STATUS=MR","SCALING_FORMAT=MLN","Sort=A","Dates=H","DateFormat=P","Fill=—","Direction=H","UseDPDF=Y")</f>
        <v>31247</v>
      </c>
      <c r="Q69" s="13">
        <f>_xll.BDH("AMGN US Equity","BS_SH_CAP_AND_APIC","FQ2 2022","FQ2 2022","Currency=USD","Period=FQ","BEST_FPERIOD_OVERRIDE=FQ","FILING_STATUS=MR","SCALING_FORMAT=MLN","Sort=A","Dates=H","DateFormat=P","Fill=—","Direction=H","UseDPDF=Y")</f>
        <v>31343</v>
      </c>
      <c r="R69" s="13">
        <f>_xll.BDH("AMGN US Equity","BS_SH_CAP_AND_APIC","FQ3 2022","FQ3 2022","Currency=USD","Period=FQ","BEST_FPERIOD_OVERRIDE=FQ","FILING_STATUS=MR","SCALING_FORMAT=MLN","Sort=A","Dates=H","DateFormat=P","Fill=—","Direction=H","UseDPDF=Y")</f>
        <v>32371</v>
      </c>
      <c r="S69" s="13">
        <f>_xll.BDH("AMGN US Equity","BS_SH_CAP_AND_APIC","FQ4 2022","FQ4 2022","Currency=USD","Period=FQ","BEST_FPERIOD_OVERRIDE=FQ","FILING_STATUS=MR","SCALING_FORMAT=MLN","Sort=A","Dates=H","DateFormat=P","Fill=—","Direction=H","UseDPDF=Y")</f>
        <v>32514</v>
      </c>
      <c r="T69" s="13">
        <f>_xll.BDH("AMGN US Equity","BS_SH_CAP_AND_APIC","FQ1 2023","FQ1 2023","Currency=USD","Period=FQ","BEST_FPERIOD_OVERRIDE=FQ","FILING_STATUS=MR","SCALING_FORMAT=MLN","Sort=A","Dates=H","DateFormat=P","Fill=—","Direction=H","UseDPDF=Y")</f>
        <v>32535</v>
      </c>
      <c r="U69" s="13">
        <f>_xll.BDH("AMGN US Equity","BS_SH_CAP_AND_APIC","FQ2 2023","FQ2 2023","Currency=USD","Period=FQ","BEST_FPERIOD_OVERRIDE=FQ","FILING_STATUS=MR","SCALING_FORMAT=MLN","Sort=A","Dates=H","DateFormat=P","Fill=—","Direction=H","UseDPDF=Y")</f>
        <v>32601</v>
      </c>
      <c r="V69" s="13">
        <f>_xll.BDH("AMGN US Equity","BS_SH_CAP_AND_APIC","FQ3 2023","FQ3 2023","Currency=USD","Period=FQ","BEST_FPERIOD_OVERRIDE=FQ","FILING_STATUS=MR","SCALING_FORMAT=MLN","Sort=A","Dates=H","DateFormat=P","Fill=—","Direction=H","UseDPDF=Y")</f>
        <v>32753</v>
      </c>
      <c r="W69" s="13">
        <f>_xll.BDH("AMGN US Equity","BS_SH_CAP_AND_APIC","FQ4 2023","FQ4 2023","Currency=USD","Period=FQ","BEST_FPERIOD_OVERRIDE=FQ","FILING_STATUS=MR","SCALING_FORMAT=MLN","Sort=A","Dates=H","DateFormat=P","Fill=—","Direction=H","UseDPDF=Y")</f>
        <v>33070</v>
      </c>
      <c r="X69" s="13">
        <f>_xll.BDH("AMGN US Equity","BS_SH_CAP_AND_APIC","FQ1 2024","FQ1 2024","Currency=USD","Period=FQ","BEST_FPERIOD_OVERRIDE=FQ","FILING_STATUS=MR","SCALING_FORMAT=MLN","Sort=A","Dates=H","DateFormat=P","Fill=—","Direction=H","UseDPDF=Y")</f>
        <v>33082</v>
      </c>
      <c r="Y69" s="13">
        <f>_xll.BDH("AMGN US Equity","BS_SH_CAP_AND_APIC","FQ2 2024","FQ2 2024","Currency=USD","Period=FQ","BEST_FPERIOD_OVERRIDE=FQ","FILING_STATUS=MR","SCALING_FORMAT=MLN","Sort=A","Dates=H","DateFormat=P","Fill=—","Direction=H","UseDPDF=Y")</f>
        <v>33204</v>
      </c>
      <c r="Z69" s="13">
        <f>_xll.BDH("AMGN US Equity","BS_SH_CAP_AND_APIC","FQ3 2024","FQ3 2024","Currency=USD","Period=FQ","BEST_FPERIOD_OVERRIDE=FQ","FILING_STATUS=MR","SCALING_FORMAT=MLN","Sort=A","Dates=H","DateFormat=P","Fill=—","Direction=H","UseDPDF=Y")</f>
        <v>33393</v>
      </c>
      <c r="AA69" s="13">
        <f>_xll.BDH("AMGN US Equity","BS_SH_CAP_AND_APIC","FQ4 2024","FQ4 2024","Currency=USD","Period=FQ","BEST_FPERIOD_OVERRIDE=FQ","FILING_STATUS=MR","SCALING_FORMAT=MLN","Sort=A","Dates=H","DateFormat=P","Fill=—","Direction=H","UseDPDF=Y")</f>
        <v>33533</v>
      </c>
    </row>
    <row r="70" spans="1:27" x14ac:dyDescent="0.25">
      <c r="A70" s="10" t="s">
        <v>814</v>
      </c>
      <c r="B70" s="10" t="s">
        <v>815</v>
      </c>
      <c r="C70" s="13">
        <f>_xll.BDH("AMGN US Equity","BS_COMMON_STOCK","FQ4 2018","FQ4 2018","Currency=USD","Period=FQ","BEST_FPERIOD_OVERRIDE=FQ","FILING_STATUS=MR","SCALING_FORMAT=MLN","Sort=A","Dates=H","DateFormat=P","Fill=—","Direction=H","UseDPDF=Y")</f>
        <v>6.3E-2</v>
      </c>
      <c r="D70" s="13">
        <f>_xll.BDH("AMGN US Equity","BS_COMMON_STOCK","FQ1 2019","FQ1 2019","Currency=USD","Period=FQ","BEST_FPERIOD_OVERRIDE=FQ","FILING_STATUS=MR","SCALING_FORMAT=MLN","Sort=A","Dates=H","DateFormat=P","Fill=—","Direction=H","UseDPDF=Y")</f>
        <v>6.1400000000000003E-2</v>
      </c>
      <c r="E70" s="13">
        <f>_xll.BDH("AMGN US Equity","BS_COMMON_STOCK","FQ2 2019","FQ2 2019","Currency=USD","Period=FQ","BEST_FPERIOD_OVERRIDE=FQ","FILING_STATUS=MR","SCALING_FORMAT=MLN","Sort=A","Dates=H","DateFormat=P","Fill=—","Direction=H","UseDPDF=Y")</f>
        <v>6.0199999999999997E-2</v>
      </c>
      <c r="F70" s="13">
        <f>_xll.BDH("AMGN US Equity","BS_COMMON_STOCK","FQ3 2019","FQ3 2019","Currency=USD","Period=FQ","BEST_FPERIOD_OVERRIDE=FQ","FILING_STATUS=MR","SCALING_FORMAT=MLN","Sort=A","Dates=H","DateFormat=P","Fill=—","Direction=H","UseDPDF=Y")</f>
        <v>5.96E-2</v>
      </c>
      <c r="G70" s="13">
        <f>_xll.BDH("AMGN US Equity","BS_COMMON_STOCK","FQ4 2019","FQ4 2019","Currency=USD","Period=FQ","BEST_FPERIOD_OVERRIDE=FQ","FILING_STATUS=MR","SCALING_FORMAT=MLN","Sort=A","Dates=H","DateFormat=P","Fill=—","Direction=H","UseDPDF=Y")</f>
        <v>5.91E-2</v>
      </c>
      <c r="H70" s="13">
        <f>_xll.BDH("AMGN US Equity","BS_COMMON_STOCK","FQ1 2020","FQ1 2020","Currency=USD","Period=FQ","BEST_FPERIOD_OVERRIDE=FQ","FILING_STATUS=MR","SCALING_FORMAT=MLN","Sort=A","Dates=H","DateFormat=P","Fill=—","Direction=H","UseDPDF=Y")</f>
        <v>5.8799999999999998E-2</v>
      </c>
      <c r="I70" s="13">
        <f>_xll.BDH("AMGN US Equity","BS_COMMON_STOCK","FQ2 2020","FQ2 2020","Currency=USD","Period=FQ","BEST_FPERIOD_OVERRIDE=FQ","FILING_STATUS=MR","SCALING_FORMAT=MLN","Sort=A","Dates=H","DateFormat=P","Fill=—","Direction=H","UseDPDF=Y")</f>
        <v>5.8599999999999999E-2</v>
      </c>
      <c r="J70" s="13">
        <f>_xll.BDH("AMGN US Equity","BS_COMMON_STOCK","FQ3 2020","FQ3 2020","Currency=USD","Period=FQ","BEST_FPERIOD_OVERRIDE=FQ","FILING_STATUS=MR","SCALING_FORMAT=MLN","Sort=A","Dates=H","DateFormat=P","Fill=—","Direction=H","UseDPDF=Y")</f>
        <v>5.8400000000000001E-2</v>
      </c>
      <c r="K70" s="13">
        <f>_xll.BDH("AMGN US Equity","BS_COMMON_STOCK","FQ4 2020","FQ4 2020","Currency=USD","Period=FQ","BEST_FPERIOD_OVERRIDE=FQ","FILING_STATUS=MR","SCALING_FORMAT=MLN","Sort=A","Dates=H","DateFormat=P","Fill=—","Direction=H","UseDPDF=Y")</f>
        <v>5.7799999999999997E-2</v>
      </c>
      <c r="L70" s="13">
        <f>_xll.BDH("AMGN US Equity","BS_COMMON_STOCK","FQ1 2021","FQ1 2021","Currency=USD","Period=FQ","BEST_FPERIOD_OVERRIDE=FQ","FILING_STATUS=MR","SCALING_FORMAT=MLN","Sort=A","Dates=H","DateFormat=P","Fill=—","Direction=H","UseDPDF=Y")</f>
        <v>5.7500000000000002E-2</v>
      </c>
      <c r="M70" s="13">
        <f>_xll.BDH("AMGN US Equity","BS_COMMON_STOCK","FQ2 2021","FQ2 2021","Currency=USD","Period=FQ","BEST_FPERIOD_OVERRIDE=FQ","FILING_STATUS=MR","SCALING_FORMAT=MLN","Sort=A","Dates=H","DateFormat=P","Fill=—","Direction=H","UseDPDF=Y")</f>
        <v>5.7000000000000002E-2</v>
      </c>
      <c r="N70" s="13">
        <f>_xll.BDH("AMGN US Equity","BS_COMMON_STOCK","FQ3 2021","FQ3 2021","Currency=USD","Period=FQ","BEST_FPERIOD_OVERRIDE=FQ","FILING_STATUS=MR","SCALING_FORMAT=MLN","Sort=A","Dates=H","DateFormat=P","Fill=—","Direction=H","UseDPDF=Y")</f>
        <v>5.6500000000000002E-2</v>
      </c>
      <c r="O70" s="13">
        <f>_xll.BDH("AMGN US Equity","BS_COMMON_STOCK","FQ4 2021","FQ4 2021","Currency=USD","Period=FQ","BEST_FPERIOD_OVERRIDE=FQ","FILING_STATUS=MR","SCALING_FORMAT=MLN","Sort=A","Dates=H","DateFormat=P","Fill=—","Direction=H","UseDPDF=Y")</f>
        <v>5.3400000000000003E-2</v>
      </c>
      <c r="P70" s="13">
        <f>_xll.BDH("AMGN US Equity","BS_COMMON_STOCK","FQ1 2022","FQ1 2022","Currency=USD","Period=FQ","BEST_FPERIOD_OVERRIDE=FQ","FILING_STATUS=MR","SCALING_FORMAT=MLN","Sort=A","Dates=H","DateFormat=P","Fill=—","Direction=H","UseDPDF=Y")</f>
        <v>5.3400000000000003E-2</v>
      </c>
      <c r="Q70" s="13">
        <f>_xll.BDH("AMGN US Equity","BS_COMMON_STOCK","FQ2 2022","FQ2 2022","Currency=USD","Period=FQ","BEST_FPERIOD_OVERRIDE=FQ","FILING_STATUS=MR","SCALING_FORMAT=MLN","Sort=A","Dates=H","DateFormat=P","Fill=—","Direction=H","UseDPDF=Y")</f>
        <v>5.3499999999999999E-2</v>
      </c>
      <c r="R70" s="13">
        <f>_xll.BDH("AMGN US Equity","BS_COMMON_STOCK","FQ3 2022","FQ3 2022","Currency=USD","Period=FQ","BEST_FPERIOD_OVERRIDE=FQ","FILING_STATUS=MR","SCALING_FORMAT=MLN","Sort=A","Dates=H","DateFormat=P","Fill=—","Direction=H","UseDPDF=Y")</f>
        <v>5.3400000000000003E-2</v>
      </c>
      <c r="S70" s="13">
        <f>_xll.BDH("AMGN US Equity","BS_COMMON_STOCK","FQ4 2022","FQ4 2022","Currency=USD","Period=FQ","BEST_FPERIOD_OVERRIDE=FQ","FILING_STATUS=MR","SCALING_FORMAT=MLN","Sort=A","Dates=H","DateFormat=P","Fill=—","Direction=H","UseDPDF=Y")</f>
        <v>5.3400000000000003E-2</v>
      </c>
      <c r="T70" s="13">
        <f>_xll.BDH("AMGN US Equity","BS_COMMON_STOCK","FQ1 2023","FQ1 2023","Currency=USD","Period=FQ","BEST_FPERIOD_OVERRIDE=FQ","FILING_STATUS=MR","SCALING_FORMAT=MLN","Sort=A","Dates=H","DateFormat=P","Fill=—","Direction=H","UseDPDF=Y")</f>
        <v>5.3400000000000003E-2</v>
      </c>
      <c r="U70" s="13">
        <f>_xll.BDH("AMGN US Equity","BS_COMMON_STOCK","FQ2 2023","FQ2 2023","Currency=USD","Period=FQ","BEST_FPERIOD_OVERRIDE=FQ","FILING_STATUS=MR","SCALING_FORMAT=MLN","Sort=A","Dates=H","DateFormat=P","Fill=—","Direction=H","UseDPDF=Y")</f>
        <v>5.3499999999999999E-2</v>
      </c>
      <c r="V70" s="13">
        <f>_xll.BDH("AMGN US Equity","BS_COMMON_STOCK","FQ3 2023","FQ3 2023","Currency=USD","Period=FQ","BEST_FPERIOD_OVERRIDE=FQ","FILING_STATUS=MR","SCALING_FORMAT=MLN","Sort=A","Dates=H","DateFormat=P","Fill=—","Direction=H","UseDPDF=Y")</f>
        <v>5.3499999999999999E-2</v>
      </c>
      <c r="W70" s="13">
        <f>_xll.BDH("AMGN US Equity","BS_COMMON_STOCK","FQ4 2023","FQ4 2023","Currency=USD","Period=FQ","BEST_FPERIOD_OVERRIDE=FQ","FILING_STATUS=MR","SCALING_FORMAT=MLN","Sort=A","Dates=H","DateFormat=P","Fill=—","Direction=H","UseDPDF=Y")</f>
        <v>5.3499999999999999E-2</v>
      </c>
      <c r="X70" s="13">
        <f>_xll.BDH("AMGN US Equity","BS_COMMON_STOCK","FQ1 2024","FQ1 2024","Currency=USD","Period=FQ","BEST_FPERIOD_OVERRIDE=FQ","FILING_STATUS=MR","SCALING_FORMAT=MLN","Sort=A","Dates=H","DateFormat=P","Fill=—","Direction=H","UseDPDF=Y")</f>
        <v>5.3600000000000002E-2</v>
      </c>
      <c r="Y70" s="13">
        <f>_xll.BDH("AMGN US Equity","BS_COMMON_STOCK","FQ2 2024","FQ2 2024","Currency=USD","Period=FQ","BEST_FPERIOD_OVERRIDE=FQ","FILING_STATUS=MR","SCALING_FORMAT=MLN","Sort=A","Dates=H","DateFormat=P","Fill=—","Direction=H","UseDPDF=Y")</f>
        <v>5.3699999999999998E-2</v>
      </c>
      <c r="Z70" s="13">
        <f>_xll.BDH("AMGN US Equity","BS_COMMON_STOCK","FQ3 2024","FQ3 2024","Currency=USD","Period=FQ","BEST_FPERIOD_OVERRIDE=FQ","FILING_STATUS=MR","SCALING_FORMAT=MLN","Sort=A","Dates=H","DateFormat=P","Fill=—","Direction=H","UseDPDF=Y")</f>
        <v>5.3800000000000001E-2</v>
      </c>
      <c r="AA70" s="13">
        <f>_xll.BDH("AMGN US Equity","BS_COMMON_STOCK","FQ4 2024","FQ4 2024","Currency=USD","Period=FQ","BEST_FPERIOD_OVERRIDE=FQ","FILING_STATUS=MR","SCALING_FORMAT=MLN","Sort=A","Dates=H","DateFormat=P","Fill=—","Direction=H","UseDPDF=Y")</f>
        <v>5.3699999999999998E-2</v>
      </c>
    </row>
    <row r="71" spans="1:27" x14ac:dyDescent="0.25">
      <c r="A71" s="10" t="s">
        <v>816</v>
      </c>
      <c r="B71" s="10" t="s">
        <v>817</v>
      </c>
      <c r="C71" s="13">
        <f>_xll.BDH("AMGN US Equity","BS_ADD_PAID_IN_CAP","FQ4 2018","FQ4 2018","Currency=USD","Period=FQ","BEST_FPERIOD_OVERRIDE=FQ","FILING_STATUS=MR","SCALING_FORMAT=MLN","Sort=A","Dates=H","DateFormat=P","Fill=—","Direction=H","UseDPDF=Y")</f>
        <v>31245.937000000002</v>
      </c>
      <c r="D71" s="13">
        <f>_xll.BDH("AMGN US Equity","BS_ADD_PAID_IN_CAP","FQ1 2019","FQ1 2019","Currency=USD","Period=FQ","BEST_FPERIOD_OVERRIDE=FQ","FILING_STATUS=MR","SCALING_FORMAT=MLN","Sort=A","Dates=H","DateFormat=P","Fill=—","Direction=H","UseDPDF=Y")</f>
        <v>31242.938600000001</v>
      </c>
      <c r="E71" s="13">
        <f>_xll.BDH("AMGN US Equity","BS_ADD_PAID_IN_CAP","FQ2 2019","FQ2 2019","Currency=USD","Period=FQ","BEST_FPERIOD_OVERRIDE=FQ","FILING_STATUS=MR","SCALING_FORMAT=MLN","Sort=A","Dates=H","DateFormat=P","Fill=—","Direction=H","UseDPDF=Y")</f>
        <v>31312.9398</v>
      </c>
      <c r="F71" s="13">
        <f>_xll.BDH("AMGN US Equity","BS_ADD_PAID_IN_CAP","FQ3 2019","FQ3 2019","Currency=USD","Period=FQ","BEST_FPERIOD_OVERRIDE=FQ","FILING_STATUS=MR","SCALING_FORMAT=MLN","Sort=A","Dates=H","DateFormat=P","Fill=—","Direction=H","UseDPDF=Y")</f>
        <v>31450.940399999999</v>
      </c>
      <c r="G71" s="13">
        <f>_xll.BDH("AMGN US Equity","BS_ADD_PAID_IN_CAP","FQ4 2019","FQ4 2019","Currency=USD","Period=FQ","BEST_FPERIOD_OVERRIDE=FQ","FILING_STATUS=MR","SCALING_FORMAT=MLN","Sort=A","Dates=H","DateFormat=P","Fill=—","Direction=H","UseDPDF=Y")</f>
        <v>31530.940900000001</v>
      </c>
      <c r="H71" s="13">
        <f>_xll.BDH("AMGN US Equity","BS_ADD_PAID_IN_CAP","FQ1 2020","FQ1 2020","Currency=USD","Period=FQ","BEST_FPERIOD_OVERRIDE=FQ","FILING_STATUS=MR","SCALING_FORMAT=MLN","Sort=A","Dates=H","DateFormat=P","Fill=—","Direction=H","UseDPDF=Y")</f>
        <v>31524.941200000001</v>
      </c>
      <c r="I71" s="13">
        <f>_xll.BDH("AMGN US Equity","BS_ADD_PAID_IN_CAP","FQ2 2020","FQ2 2020","Currency=USD","Period=FQ","BEST_FPERIOD_OVERRIDE=FQ","FILING_STATUS=MR","SCALING_FORMAT=MLN","Sort=A","Dates=H","DateFormat=P","Fill=—","Direction=H","UseDPDF=Y")</f>
        <v>31609.9414</v>
      </c>
      <c r="J71" s="13">
        <f>_xll.BDH("AMGN US Equity","BS_ADD_PAID_IN_CAP","FQ3 2020","FQ3 2020","Currency=USD","Period=FQ","BEST_FPERIOD_OVERRIDE=FQ","FILING_STATUS=MR","SCALING_FORMAT=MLN","Sort=A","Dates=H","DateFormat=P","Fill=—","Direction=H","UseDPDF=Y")</f>
        <v>31712.941699999999</v>
      </c>
      <c r="K71" s="13">
        <f>_xll.BDH("AMGN US Equity","BS_ADD_PAID_IN_CAP","FQ4 2020","FQ4 2020","Currency=USD","Period=FQ","BEST_FPERIOD_OVERRIDE=FQ","FILING_STATUS=MR","SCALING_FORMAT=MLN","Sort=A","Dates=H","DateFormat=P","Fill=—","Direction=H","UseDPDF=Y")</f>
        <v>31801.942200000001</v>
      </c>
      <c r="L71" s="13">
        <f>_xll.BDH("AMGN US Equity","BS_ADD_PAID_IN_CAP","FQ1 2021","FQ1 2021","Currency=USD","Period=FQ","BEST_FPERIOD_OVERRIDE=FQ","FILING_STATUS=MR","SCALING_FORMAT=MLN","Sort=A","Dates=H","DateFormat=P","Fill=—","Direction=H","UseDPDF=Y")</f>
        <v>31805.942500000001</v>
      </c>
      <c r="M71" s="13">
        <f>_xll.BDH("AMGN US Equity","BS_ADD_PAID_IN_CAP","FQ2 2021","FQ2 2021","Currency=USD","Period=FQ","BEST_FPERIOD_OVERRIDE=FQ","FILING_STATUS=MR","SCALING_FORMAT=MLN","Sort=A","Dates=H","DateFormat=P","Fill=—","Direction=H","UseDPDF=Y")</f>
        <v>31876.942999999999</v>
      </c>
      <c r="N71" s="13">
        <f>_xll.BDH("AMGN US Equity","BS_ADD_PAID_IN_CAP","FQ3 2021","FQ3 2021","Currency=USD","Period=FQ","BEST_FPERIOD_OVERRIDE=FQ","FILING_STATUS=MR","SCALING_FORMAT=MLN","Sort=A","Dates=H","DateFormat=P","Fill=—","Direction=H","UseDPDF=Y")</f>
        <v>31988.943500000001</v>
      </c>
      <c r="O71" s="13">
        <f>_xll.BDH("AMGN US Equity","BS_ADD_PAID_IN_CAP","FQ4 2021","FQ4 2021","Currency=USD","Period=FQ","BEST_FPERIOD_OVERRIDE=FQ","FILING_STATUS=MR","SCALING_FORMAT=MLN","Sort=A","Dates=H","DateFormat=P","Fill=—","Direction=H","UseDPDF=Y")</f>
        <v>32095.946599999999</v>
      </c>
      <c r="P71" s="13">
        <f>_xll.BDH("AMGN US Equity","BS_ADD_PAID_IN_CAP","FQ1 2022","FQ1 2022","Currency=USD","Period=FQ","BEST_FPERIOD_OVERRIDE=FQ","FILING_STATUS=MR","SCALING_FORMAT=MLN","Sort=A","Dates=H","DateFormat=P","Fill=—","Direction=H","UseDPDF=Y")</f>
        <v>31246.946599999999</v>
      </c>
      <c r="Q71" s="13">
        <f>_xll.BDH("AMGN US Equity","BS_ADD_PAID_IN_CAP","FQ2 2022","FQ2 2022","Currency=USD","Period=FQ","BEST_FPERIOD_OVERRIDE=FQ","FILING_STATUS=MR","SCALING_FORMAT=MLN","Sort=A","Dates=H","DateFormat=P","Fill=—","Direction=H","UseDPDF=Y")</f>
        <v>31342.946499999998</v>
      </c>
      <c r="R71" s="13">
        <f>_xll.BDH("AMGN US Equity","BS_ADD_PAID_IN_CAP","FQ3 2022","FQ3 2022","Currency=USD","Period=FQ","BEST_FPERIOD_OVERRIDE=FQ","FILING_STATUS=MR","SCALING_FORMAT=MLN","Sort=A","Dates=H","DateFormat=P","Fill=—","Direction=H","UseDPDF=Y")</f>
        <v>32370.9467</v>
      </c>
      <c r="S71" s="13">
        <f>_xll.BDH("AMGN US Equity","BS_ADD_PAID_IN_CAP","FQ4 2022","FQ4 2022","Currency=USD","Period=FQ","BEST_FPERIOD_OVERRIDE=FQ","FILING_STATUS=MR","SCALING_FORMAT=MLN","Sort=A","Dates=H","DateFormat=P","Fill=—","Direction=H","UseDPDF=Y")</f>
        <v>32513.946599999999</v>
      </c>
      <c r="T71" s="13">
        <f>_xll.BDH("AMGN US Equity","BS_ADD_PAID_IN_CAP","FQ1 2023","FQ1 2023","Currency=USD","Period=FQ","BEST_FPERIOD_OVERRIDE=FQ","FILING_STATUS=MR","SCALING_FORMAT=MLN","Sort=A","Dates=H","DateFormat=P","Fill=—","Direction=H","UseDPDF=Y")</f>
        <v>32534.946599999999</v>
      </c>
      <c r="U71" s="13">
        <f>_xll.BDH("AMGN US Equity","BS_ADD_PAID_IN_CAP","FQ2 2023","FQ2 2023","Currency=USD","Period=FQ","BEST_FPERIOD_OVERRIDE=FQ","FILING_STATUS=MR","SCALING_FORMAT=MLN","Sort=A","Dates=H","DateFormat=P","Fill=—","Direction=H","UseDPDF=Y")</f>
        <v>32600.946499999998</v>
      </c>
      <c r="V71" s="13">
        <f>_xll.BDH("AMGN US Equity","BS_ADD_PAID_IN_CAP","FQ3 2023","FQ3 2023","Currency=USD","Period=FQ","BEST_FPERIOD_OVERRIDE=FQ","FILING_STATUS=MR","SCALING_FORMAT=MLN","Sort=A","Dates=H","DateFormat=P","Fill=—","Direction=H","UseDPDF=Y")</f>
        <v>32752.946499999998</v>
      </c>
      <c r="W71" s="13">
        <f>_xll.BDH("AMGN US Equity","BS_ADD_PAID_IN_CAP","FQ4 2023","FQ4 2023","Currency=USD","Period=FQ","BEST_FPERIOD_OVERRIDE=FQ","FILING_STATUS=MR","SCALING_FORMAT=MLN","Sort=A","Dates=H","DateFormat=P","Fill=—","Direction=H","UseDPDF=Y")</f>
        <v>33069.946499999998</v>
      </c>
      <c r="X71" s="13">
        <f>_xll.BDH("AMGN US Equity","BS_ADD_PAID_IN_CAP","FQ1 2024","FQ1 2024","Currency=USD","Period=FQ","BEST_FPERIOD_OVERRIDE=FQ","FILING_STATUS=MR","SCALING_FORMAT=MLN","Sort=A","Dates=H","DateFormat=P","Fill=—","Direction=H","UseDPDF=Y")</f>
        <v>33081.946400000001</v>
      </c>
      <c r="Y71" s="13">
        <f>_xll.BDH("AMGN US Equity","BS_ADD_PAID_IN_CAP","FQ2 2024","FQ2 2024","Currency=USD","Period=FQ","BEST_FPERIOD_OVERRIDE=FQ","FILING_STATUS=MR","SCALING_FORMAT=MLN","Sort=A","Dates=H","DateFormat=P","Fill=—","Direction=H","UseDPDF=Y")</f>
        <v>33203.946300000003</v>
      </c>
      <c r="Z71" s="13">
        <f>_xll.BDH("AMGN US Equity","BS_ADD_PAID_IN_CAP","FQ3 2024","FQ3 2024","Currency=USD","Period=FQ","BEST_FPERIOD_OVERRIDE=FQ","FILING_STATUS=MR","SCALING_FORMAT=MLN","Sort=A","Dates=H","DateFormat=P","Fill=—","Direction=H","UseDPDF=Y")</f>
        <v>33392.946300000003</v>
      </c>
      <c r="AA71" s="13">
        <f>_xll.BDH("AMGN US Equity","BS_ADD_PAID_IN_CAP","FQ4 2024","FQ4 2024","Currency=USD","Period=FQ","BEST_FPERIOD_OVERRIDE=FQ","FILING_STATUS=MR","SCALING_FORMAT=MLN","Sort=A","Dates=H","DateFormat=P","Fill=—","Direction=H","UseDPDF=Y")</f>
        <v>33532.946300000003</v>
      </c>
    </row>
    <row r="72" spans="1:27" x14ac:dyDescent="0.25">
      <c r="A72" s="10" t="s">
        <v>818</v>
      </c>
      <c r="B72" s="10" t="s">
        <v>819</v>
      </c>
      <c r="C72" s="13">
        <f>_xll.BDH("AMGN US Equity","BS_AMT_OF_TSY_STOCK","FQ4 2018","FQ4 2018","Currency=USD","Period=FQ","BEST_FPERIOD_OVERRIDE=FQ","FILING_STATUS=MR","SCALING_FORMAT=MLN","Sort=A","Dates=H","DateFormat=P","Fill=—","Direction=H","UseDPDF=Y")</f>
        <v>0</v>
      </c>
      <c r="D72" s="13">
        <f>_xll.BDH("AMGN US Equity","BS_AMT_OF_TSY_STOCK","FQ1 2019","FQ1 2019","Currency=USD","Period=FQ","BEST_FPERIOD_OVERRIDE=FQ","FILING_STATUS=MR","SCALING_FORMAT=MLN","Sort=A","Dates=H","DateFormat=P","Fill=—","Direction=H","UseDPDF=Y")</f>
        <v>0</v>
      </c>
      <c r="E72" s="13">
        <f>_xll.BDH("AMGN US Equity","BS_AMT_OF_TSY_STOCK","FQ2 2019","FQ2 2019","Currency=USD","Period=FQ","BEST_FPERIOD_OVERRIDE=FQ","FILING_STATUS=MR","SCALING_FORMAT=MLN","Sort=A","Dates=H","DateFormat=P","Fill=—","Direction=H","UseDPDF=Y")</f>
        <v>0</v>
      </c>
      <c r="F72" s="13">
        <f>_xll.BDH("AMGN US Equity","BS_AMT_OF_TSY_STOCK","FQ3 2019","FQ3 2019","Currency=USD","Period=FQ","BEST_FPERIOD_OVERRIDE=FQ","FILING_STATUS=MR","SCALING_FORMAT=MLN","Sort=A","Dates=H","DateFormat=P","Fill=—","Direction=H","UseDPDF=Y")</f>
        <v>0</v>
      </c>
      <c r="G72" s="13">
        <f>_xll.BDH("AMGN US Equity","BS_AMT_OF_TSY_STOCK","FQ4 2019","FQ4 2019","Currency=USD","Period=FQ","BEST_FPERIOD_OVERRIDE=FQ","FILING_STATUS=MR","SCALING_FORMAT=MLN","Sort=A","Dates=H","DateFormat=P","Fill=—","Direction=H","UseDPDF=Y")</f>
        <v>0</v>
      </c>
      <c r="H72" s="13">
        <f>_xll.BDH("AMGN US Equity","BS_AMT_OF_TSY_STOCK","FQ1 2020","FQ1 2020","Currency=USD","Period=FQ","BEST_FPERIOD_OVERRIDE=FQ","FILING_STATUS=MR","SCALING_FORMAT=MLN","Sort=A","Dates=H","DateFormat=P","Fill=—","Direction=H","UseDPDF=Y")</f>
        <v>0</v>
      </c>
      <c r="I72" s="13">
        <f>_xll.BDH("AMGN US Equity","BS_AMT_OF_TSY_STOCK","FQ2 2020","FQ2 2020","Currency=USD","Period=FQ","BEST_FPERIOD_OVERRIDE=FQ","FILING_STATUS=MR","SCALING_FORMAT=MLN","Sort=A","Dates=H","DateFormat=P","Fill=—","Direction=H","UseDPDF=Y")</f>
        <v>0</v>
      </c>
      <c r="J72" s="13">
        <f>_xll.BDH("AMGN US Equity","BS_AMT_OF_TSY_STOCK","FQ3 2020","FQ3 2020","Currency=USD","Period=FQ","BEST_FPERIOD_OVERRIDE=FQ","FILING_STATUS=MR","SCALING_FORMAT=MLN","Sort=A","Dates=H","DateFormat=P","Fill=—","Direction=H","UseDPDF=Y")</f>
        <v>0</v>
      </c>
      <c r="K72" s="13">
        <f>_xll.BDH("AMGN US Equity","BS_AMT_OF_TSY_STOCK","FQ4 2020","FQ4 2020","Currency=USD","Period=FQ","BEST_FPERIOD_OVERRIDE=FQ","FILING_STATUS=MR","SCALING_FORMAT=MLN","Sort=A","Dates=H","DateFormat=P","Fill=—","Direction=H","UseDPDF=Y")</f>
        <v>0</v>
      </c>
      <c r="L72" s="13">
        <f>_xll.BDH("AMGN US Equity","BS_AMT_OF_TSY_STOCK","FQ1 2021","FQ1 2021","Currency=USD","Period=FQ","BEST_FPERIOD_OVERRIDE=FQ","FILING_STATUS=MR","SCALING_FORMAT=MLN","Sort=A","Dates=H","DateFormat=P","Fill=—","Direction=H","UseDPDF=Y")</f>
        <v>0</v>
      </c>
      <c r="M72" s="13">
        <f>_xll.BDH("AMGN US Equity","BS_AMT_OF_TSY_STOCK","FQ2 2021","FQ2 2021","Currency=USD","Period=FQ","BEST_FPERIOD_OVERRIDE=FQ","FILING_STATUS=MR","SCALING_FORMAT=MLN","Sort=A","Dates=H","DateFormat=P","Fill=—","Direction=H","UseDPDF=Y")</f>
        <v>0</v>
      </c>
      <c r="N72" s="13">
        <f>_xll.BDH("AMGN US Equity","BS_AMT_OF_TSY_STOCK","FQ3 2021","FQ3 2021","Currency=USD","Period=FQ","BEST_FPERIOD_OVERRIDE=FQ","FILING_STATUS=MR","SCALING_FORMAT=MLN","Sort=A","Dates=H","DateFormat=P","Fill=—","Direction=H","UseDPDF=Y")</f>
        <v>0</v>
      </c>
      <c r="O72" s="13">
        <f>_xll.BDH("AMGN US Equity","BS_AMT_OF_TSY_STOCK","FQ4 2021","FQ4 2021","Currency=USD","Period=FQ","BEST_FPERIOD_OVERRIDE=FQ","FILING_STATUS=MR","SCALING_FORMAT=MLN","Sort=A","Dates=H","DateFormat=P","Fill=—","Direction=H","UseDPDF=Y")</f>
        <v>0</v>
      </c>
      <c r="P72" s="13">
        <f>_xll.BDH("AMGN US Equity","BS_AMT_OF_TSY_STOCK","FQ1 2022","FQ1 2022","Currency=USD","Period=FQ","BEST_FPERIOD_OVERRIDE=FQ","FILING_STATUS=MR","SCALING_FORMAT=MLN","Sort=A","Dates=H","DateFormat=P","Fill=—","Direction=H","UseDPDF=Y")</f>
        <v>0</v>
      </c>
      <c r="Q72" s="13">
        <f>_xll.BDH("AMGN US Equity","BS_AMT_OF_TSY_STOCK","FQ2 2022","FQ2 2022","Currency=USD","Period=FQ","BEST_FPERIOD_OVERRIDE=FQ","FILING_STATUS=MR","SCALING_FORMAT=MLN","Sort=A","Dates=H","DateFormat=P","Fill=—","Direction=H","UseDPDF=Y")</f>
        <v>0</v>
      </c>
      <c r="R72" s="13">
        <f>_xll.BDH("AMGN US Equity","BS_AMT_OF_TSY_STOCK","FQ3 2022","FQ3 2022","Currency=USD","Period=FQ","BEST_FPERIOD_OVERRIDE=FQ","FILING_STATUS=MR","SCALING_FORMAT=MLN","Sort=A","Dates=H","DateFormat=P","Fill=—","Direction=H","UseDPDF=Y")</f>
        <v>0</v>
      </c>
      <c r="S72" s="13">
        <f>_xll.BDH("AMGN US Equity","BS_AMT_OF_TSY_STOCK","FQ4 2022","FQ4 2022","Currency=USD","Period=FQ","BEST_FPERIOD_OVERRIDE=FQ","FILING_STATUS=MR","SCALING_FORMAT=MLN","Sort=A","Dates=H","DateFormat=P","Fill=—","Direction=H","UseDPDF=Y")</f>
        <v>0</v>
      </c>
      <c r="T72" s="13">
        <f>_xll.BDH("AMGN US Equity","BS_AMT_OF_TSY_STOCK","FQ1 2023","FQ1 2023","Currency=USD","Period=FQ","BEST_FPERIOD_OVERRIDE=FQ","FILING_STATUS=MR","SCALING_FORMAT=MLN","Sort=A","Dates=H","DateFormat=P","Fill=—","Direction=H","UseDPDF=Y")</f>
        <v>0</v>
      </c>
      <c r="U72" s="13">
        <f>_xll.BDH("AMGN US Equity","BS_AMT_OF_TSY_STOCK","FQ2 2023","FQ2 2023","Currency=USD","Period=FQ","BEST_FPERIOD_OVERRIDE=FQ","FILING_STATUS=MR","SCALING_FORMAT=MLN","Sort=A","Dates=H","DateFormat=P","Fill=—","Direction=H","UseDPDF=Y")</f>
        <v>0</v>
      </c>
      <c r="V72" s="13">
        <f>_xll.BDH("AMGN US Equity","BS_AMT_OF_TSY_STOCK","FQ3 2023","FQ3 2023","Currency=USD","Period=FQ","BEST_FPERIOD_OVERRIDE=FQ","FILING_STATUS=MR","SCALING_FORMAT=MLN","Sort=A","Dates=H","DateFormat=P","Fill=—","Direction=H","UseDPDF=Y")</f>
        <v>0</v>
      </c>
      <c r="W72" s="13">
        <f>_xll.BDH("AMGN US Equity","BS_AMT_OF_TSY_STOCK","FQ4 2023","FQ4 2023","Currency=USD","Period=FQ","BEST_FPERIOD_OVERRIDE=FQ","FILING_STATUS=MR","SCALING_FORMAT=MLN","Sort=A","Dates=H","DateFormat=P","Fill=—","Direction=H","UseDPDF=Y")</f>
        <v>0</v>
      </c>
      <c r="X72" s="13">
        <f>_xll.BDH("AMGN US Equity","BS_AMT_OF_TSY_STOCK","FQ1 2024","FQ1 2024","Currency=USD","Period=FQ","BEST_FPERIOD_OVERRIDE=FQ","FILING_STATUS=MR","SCALING_FORMAT=MLN","Sort=A","Dates=H","DateFormat=P","Fill=—","Direction=H","UseDPDF=Y")</f>
        <v>0</v>
      </c>
      <c r="Y72" s="13">
        <f>_xll.BDH("AMGN US Equity","BS_AMT_OF_TSY_STOCK","FQ2 2024","FQ2 2024","Currency=USD","Period=FQ","BEST_FPERIOD_OVERRIDE=FQ","FILING_STATUS=MR","SCALING_FORMAT=MLN","Sort=A","Dates=H","DateFormat=P","Fill=—","Direction=H","UseDPDF=Y")</f>
        <v>0</v>
      </c>
      <c r="Z72" s="13">
        <f>_xll.BDH("AMGN US Equity","BS_AMT_OF_TSY_STOCK","FQ3 2024","FQ3 2024","Currency=USD","Period=FQ","BEST_FPERIOD_OVERRIDE=FQ","FILING_STATUS=MR","SCALING_FORMAT=MLN","Sort=A","Dates=H","DateFormat=P","Fill=—","Direction=H","UseDPDF=Y")</f>
        <v>0</v>
      </c>
      <c r="AA72" s="13">
        <f>_xll.BDH("AMGN US Equity","BS_AMT_OF_TSY_STOCK","FQ4 2024","FQ4 2024","Currency=USD","Period=FQ","BEST_FPERIOD_OVERRIDE=FQ","FILING_STATUS=MR","SCALING_FORMAT=MLN","Sort=A","Dates=H","DateFormat=P","Fill=—","Direction=H","UseDPDF=Y")</f>
        <v>0</v>
      </c>
    </row>
    <row r="73" spans="1:27" x14ac:dyDescent="0.25">
      <c r="A73" s="10" t="s">
        <v>820</v>
      </c>
      <c r="B73" s="10" t="s">
        <v>821</v>
      </c>
      <c r="C73" s="13">
        <f>_xll.BDH("AMGN US Equity","BS_PURE_RETAINED_EARNINGS","FQ4 2018","FQ4 2018","Currency=USD","Period=FQ","BEST_FPERIOD_OVERRIDE=FQ","FILING_STATUS=MR","SCALING_FORMAT=MLN","Sort=A","Dates=H","DateFormat=P","Fill=—","Direction=H","UseDPDF=Y")</f>
        <v>-17977</v>
      </c>
      <c r="D73" s="13">
        <f>_xll.BDH("AMGN US Equity","BS_PURE_RETAINED_EARNINGS","FQ1 2019","FQ1 2019","Currency=USD","Period=FQ","BEST_FPERIOD_OVERRIDE=FQ","FILING_STATUS=MR","SCALING_FORMAT=MLN","Sort=A","Dates=H","DateFormat=P","Fill=—","Direction=H","UseDPDF=Y")</f>
        <v>-19895</v>
      </c>
      <c r="E73" s="13">
        <f>_xll.BDH("AMGN US Equity","BS_PURE_RETAINED_EARNINGS","FQ2 2019","FQ2 2019","Currency=USD","Period=FQ","BEST_FPERIOD_OVERRIDE=FQ","FILING_STATUS=MR","SCALING_FORMAT=MLN","Sort=A","Dates=H","DateFormat=P","Fill=—","Direction=H","UseDPDF=Y")</f>
        <v>-20054</v>
      </c>
      <c r="F73" s="13">
        <f>_xll.BDH("AMGN US Equity","BS_PURE_RETAINED_EARNINGS","FQ3 2019","FQ3 2019","Currency=USD","Period=FQ","BEST_FPERIOD_OVERRIDE=FQ","FILING_STATUS=MR","SCALING_FORMAT=MLN","Sort=A","Dates=H","DateFormat=P","Fill=—","Direction=H","UseDPDF=Y")</f>
        <v>-20136</v>
      </c>
      <c r="G73" s="13">
        <f>_xll.BDH("AMGN US Equity","BS_PURE_RETAINED_EARNINGS","FQ4 2019","FQ4 2019","Currency=USD","Period=FQ","BEST_FPERIOD_OVERRIDE=FQ","FILING_STATUS=MR","SCALING_FORMAT=MLN","Sort=A","Dates=H","DateFormat=P","Fill=—","Direction=H","UseDPDF=Y")</f>
        <v>-21330</v>
      </c>
      <c r="H73" s="13">
        <f>_xll.BDH("AMGN US Equity","BS_PURE_RETAINED_EARNINGS","FQ1 2020","FQ1 2020","Currency=USD","Period=FQ","BEST_FPERIOD_OVERRIDE=FQ","FILING_STATUS=MR","SCALING_FORMAT=MLN","Sort=A","Dates=H","DateFormat=P","Fill=—","Direction=H","UseDPDF=Y")</f>
        <v>-21378</v>
      </c>
      <c r="I73" s="13">
        <f>_xll.BDH("AMGN US Equity","BS_PURE_RETAINED_EARNINGS","FQ2 2020","FQ2 2020","Currency=USD","Period=FQ","BEST_FPERIOD_OVERRIDE=FQ","FILING_STATUS=MR","SCALING_FORMAT=MLN","Sort=A","Dates=H","DateFormat=P","Fill=—","Direction=H","UseDPDF=Y")</f>
        <v>-20168</v>
      </c>
      <c r="J73" s="13">
        <f>_xll.BDH("AMGN US Equity","BS_PURE_RETAINED_EARNINGS","FQ3 2020","FQ3 2020","Currency=USD","Period=FQ","BEST_FPERIOD_OVERRIDE=FQ","FILING_STATUS=MR","SCALING_FORMAT=MLN","Sort=A","Dates=H","DateFormat=P","Fill=—","Direction=H","UseDPDF=Y")</f>
        <v>-19851</v>
      </c>
      <c r="K73" s="13">
        <f>_xll.BDH("AMGN US Equity","BS_PURE_RETAINED_EARNINGS","FQ4 2020","FQ4 2020","Currency=USD","Period=FQ","BEST_FPERIOD_OVERRIDE=FQ","FILING_STATUS=MR","SCALING_FORMAT=MLN","Sort=A","Dates=H","DateFormat=P","Fill=—","Direction=H","UseDPDF=Y")</f>
        <v>-21408</v>
      </c>
      <c r="L73" s="13">
        <f>_xll.BDH("AMGN US Equity","BS_PURE_RETAINED_EARNINGS","FQ1 2021","FQ1 2021","Currency=USD","Period=FQ","BEST_FPERIOD_OVERRIDE=FQ","FILING_STATUS=MR","SCALING_FORMAT=MLN","Sort=A","Dates=H","DateFormat=P","Fill=—","Direction=H","UseDPDF=Y")</f>
        <v>-21639</v>
      </c>
      <c r="M73" s="13">
        <f>_xll.BDH("AMGN US Equity","BS_PURE_RETAINED_EARNINGS","FQ2 2021","FQ2 2021","Currency=USD","Period=FQ","BEST_FPERIOD_OVERRIDE=FQ","FILING_STATUS=MR","SCALING_FORMAT=MLN","Sort=A","Dates=H","DateFormat=P","Fill=—","Direction=H","UseDPDF=Y")</f>
        <v>-22762</v>
      </c>
      <c r="N73" s="13">
        <f>_xll.BDH("AMGN US Equity","BS_PURE_RETAINED_EARNINGS","FQ3 2021","FQ3 2021","Currency=USD","Period=FQ","BEST_FPERIOD_OVERRIDE=FQ","FILING_STATUS=MR","SCALING_FORMAT=MLN","Sort=A","Dates=H","DateFormat=P","Fill=—","Direction=H","UseDPDF=Y")</f>
        <v>-22964</v>
      </c>
      <c r="O73" s="13">
        <f>_xll.BDH("AMGN US Equity","BS_PURE_RETAINED_EARNINGS","FQ4 2021","FQ4 2021","Currency=USD","Period=FQ","BEST_FPERIOD_OVERRIDE=FQ","FILING_STATUS=MR","SCALING_FORMAT=MLN","Sort=A","Dates=H","DateFormat=P","Fill=—","Direction=H","UseDPDF=Y")</f>
        <v>-24600</v>
      </c>
      <c r="P73" s="13">
        <f>_xll.BDH("AMGN US Equity","BS_PURE_RETAINED_EARNINGS","FQ1 2022","FQ1 2022","Currency=USD","Period=FQ","BEST_FPERIOD_OVERRIDE=FQ","FILING_STATUS=MR","SCALING_FORMAT=MLN","Sort=A","Dates=H","DateFormat=P","Fill=—","Direction=H","UseDPDF=Y")</f>
        <v>-29568</v>
      </c>
      <c r="Q73" s="13">
        <f>_xll.BDH("AMGN US Equity","BS_PURE_RETAINED_EARNINGS","FQ2 2022","FQ2 2022","Currency=USD","Period=FQ","BEST_FPERIOD_OVERRIDE=FQ","FILING_STATUS=MR","SCALING_FORMAT=MLN","Sort=A","Dates=H","DateFormat=P","Fill=—","Direction=H","UseDPDF=Y")</f>
        <v>-28252</v>
      </c>
      <c r="R73" s="13">
        <f>_xll.BDH("AMGN US Equity","BS_PURE_RETAINED_EARNINGS","FQ3 2022","FQ3 2022","Currency=USD","Period=FQ","BEST_FPERIOD_OVERRIDE=FQ","FILING_STATUS=MR","SCALING_FORMAT=MLN","Sort=A","Dates=H","DateFormat=P","Fill=—","Direction=H","UseDPDF=Y")</f>
        <v>-28066</v>
      </c>
      <c r="S73" s="13">
        <f>_xll.BDH("AMGN US Equity","BS_PURE_RETAINED_EARNINGS","FQ4 2022","FQ4 2022","Currency=USD","Period=FQ","BEST_FPERIOD_OVERRIDE=FQ","FILING_STATUS=MR","SCALING_FORMAT=MLN","Sort=A","Dates=H","DateFormat=P","Fill=—","Direction=H","UseDPDF=Y")</f>
        <v>-28622</v>
      </c>
      <c r="T73" s="13">
        <f>_xll.BDH("AMGN US Equity","BS_PURE_RETAINED_EARNINGS","FQ1 2023","FQ1 2023","Currency=USD","Period=FQ","BEST_FPERIOD_OVERRIDE=FQ","FILING_STATUS=MR","SCALING_FORMAT=MLN","Sort=A","Dates=H","DateFormat=P","Fill=—","Direction=H","UseDPDF=Y")</f>
        <v>-26919</v>
      </c>
      <c r="U73" s="13">
        <f>_xll.BDH("AMGN US Equity","BS_PURE_RETAINED_EARNINGS","FQ2 2023","FQ2 2023","Currency=USD","Period=FQ","BEST_FPERIOD_OVERRIDE=FQ","FILING_STATUS=MR","SCALING_FORMAT=MLN","Sort=A","Dates=H","DateFormat=P","Fill=—","Direction=H","UseDPDF=Y")</f>
        <v>-25540</v>
      </c>
      <c r="V73" s="13">
        <f>_xll.BDH("AMGN US Equity","BS_PURE_RETAINED_EARNINGS","FQ3 2023","FQ3 2023","Currency=USD","Period=FQ","BEST_FPERIOD_OVERRIDE=FQ","FILING_STATUS=MR","SCALING_FORMAT=MLN","Sort=A","Dates=H","DateFormat=P","Fill=—","Direction=H","UseDPDF=Y")</f>
        <v>-24971</v>
      </c>
      <c r="W73" s="13">
        <f>_xll.BDH("AMGN US Equity","BS_PURE_RETAINED_EARNINGS","FQ4 2023","FQ4 2023","Currency=USD","Period=FQ","BEST_FPERIOD_OVERRIDE=FQ","FILING_STATUS=MR","SCALING_FORMAT=MLN","Sort=A","Dates=H","DateFormat=P","Fill=—","Direction=H","UseDPDF=Y")</f>
        <v>-26549</v>
      </c>
      <c r="X73" s="13">
        <f>_xll.BDH("AMGN US Equity","BS_PURE_RETAINED_EARNINGS","FQ1 2024","FQ1 2024","Currency=USD","Period=FQ","BEST_FPERIOD_OVERRIDE=FQ","FILING_STATUS=MR","SCALING_FORMAT=MLN","Sort=A","Dates=H","DateFormat=P","Fill=—","Direction=H","UseDPDF=Y")</f>
        <v>-27870</v>
      </c>
      <c r="Y73" s="13">
        <f>_xll.BDH("AMGN US Equity","BS_PURE_RETAINED_EARNINGS","FQ2 2024","FQ2 2024","Currency=USD","Period=FQ","BEST_FPERIOD_OVERRIDE=FQ","FILING_STATUS=MR","SCALING_FORMAT=MLN","Sort=A","Dates=H","DateFormat=P","Fill=—","Direction=H","UseDPDF=Y")</f>
        <v>-27124</v>
      </c>
      <c r="Z73" s="13">
        <f>_xll.BDH("AMGN US Equity","BS_PURE_RETAINED_EARNINGS","FQ3 2024","FQ3 2024","Currency=USD","Period=FQ","BEST_FPERIOD_OVERRIDE=FQ","FILING_STATUS=MR","SCALING_FORMAT=MLN","Sort=A","Dates=H","DateFormat=P","Fill=—","Direction=H","UseDPDF=Y")</f>
        <v>-25530</v>
      </c>
      <c r="AA73" s="13">
        <f>_xll.BDH("AMGN US Equity","BS_PURE_RETAINED_EARNINGS","FQ4 2024","FQ4 2024","Currency=USD","Period=FQ","BEST_FPERIOD_OVERRIDE=FQ","FILING_STATUS=MR","SCALING_FORMAT=MLN","Sort=A","Dates=H","DateFormat=P","Fill=—","Direction=H","UseDPDF=Y")</f>
        <v>-27590</v>
      </c>
    </row>
    <row r="74" spans="1:27" x14ac:dyDescent="0.25">
      <c r="A74" s="10" t="s">
        <v>822</v>
      </c>
      <c r="B74" s="10" t="s">
        <v>823</v>
      </c>
      <c r="C74" s="13">
        <f>_xll.BDH("AMGN US Equity","OTHER_EQUITY_RATIO","FQ4 2018","FQ4 2018","Currency=USD","Period=FQ","BEST_FPERIOD_OVERRIDE=FQ","FILING_STATUS=MR","SCALING_FORMAT=MLN","Sort=A","Dates=H","DateFormat=P","Fill=—","Direction=H","UseDPDF=Y")</f>
        <v>-769</v>
      </c>
      <c r="D74" s="13">
        <f>_xll.BDH("AMGN US Equity","OTHER_EQUITY_RATIO","FQ1 2019","FQ1 2019","Currency=USD","Period=FQ","BEST_FPERIOD_OVERRIDE=FQ","FILING_STATUS=MR","SCALING_FORMAT=MLN","Sort=A","Dates=H","DateFormat=P","Fill=—","Direction=H","UseDPDF=Y")</f>
        <v>-516</v>
      </c>
      <c r="E74" s="13">
        <f>_xll.BDH("AMGN US Equity","OTHER_EQUITY_RATIO","FQ2 2019","FQ2 2019","Currency=USD","Period=FQ","BEST_FPERIOD_OVERRIDE=FQ","FILING_STATUS=MR","SCALING_FORMAT=MLN","Sort=A","Dates=H","DateFormat=P","Fill=—","Direction=H","UseDPDF=Y")</f>
        <v>-465</v>
      </c>
      <c r="F74" s="13">
        <f>_xll.BDH("AMGN US Equity","OTHER_EQUITY_RATIO","FQ3 2019","FQ3 2019","Currency=USD","Period=FQ","BEST_FPERIOD_OVERRIDE=FQ","FILING_STATUS=MR","SCALING_FORMAT=MLN","Sort=A","Dates=H","DateFormat=P","Fill=—","Direction=H","UseDPDF=Y")</f>
        <v>-388</v>
      </c>
      <c r="G74" s="13">
        <f>_xll.BDH("AMGN US Equity","OTHER_EQUITY_RATIO","FQ4 2019","FQ4 2019","Currency=USD","Period=FQ","BEST_FPERIOD_OVERRIDE=FQ","FILING_STATUS=MR","SCALING_FORMAT=MLN","Sort=A","Dates=H","DateFormat=P","Fill=—","Direction=H","UseDPDF=Y")</f>
        <v>-528</v>
      </c>
      <c r="H74" s="13">
        <f>_xll.BDH("AMGN US Equity","OTHER_EQUITY_RATIO","FQ1 2020","FQ1 2020","Currency=USD","Period=FQ","BEST_FPERIOD_OVERRIDE=FQ","FILING_STATUS=MR","SCALING_FORMAT=MLN","Sort=A","Dates=H","DateFormat=P","Fill=—","Direction=H","UseDPDF=Y")</f>
        <v>-662</v>
      </c>
      <c r="I74" s="13">
        <f>_xll.BDH("AMGN US Equity","OTHER_EQUITY_RATIO","FQ2 2020","FQ2 2020","Currency=USD","Period=FQ","BEST_FPERIOD_OVERRIDE=FQ","FILING_STATUS=MR","SCALING_FORMAT=MLN","Sort=A","Dates=H","DateFormat=P","Fill=—","Direction=H","UseDPDF=Y")</f>
        <v>-783</v>
      </c>
      <c r="J74" s="13">
        <f>_xll.BDH("AMGN US Equity","OTHER_EQUITY_RATIO","FQ3 2020","FQ3 2020","Currency=USD","Period=FQ","BEST_FPERIOD_OVERRIDE=FQ","FILING_STATUS=MR","SCALING_FORMAT=MLN","Sort=A","Dates=H","DateFormat=P","Fill=—","Direction=H","UseDPDF=Y")</f>
        <v>-903</v>
      </c>
      <c r="K74" s="13">
        <f>_xll.BDH("AMGN US Equity","OTHER_EQUITY_RATIO","FQ4 2020","FQ4 2020","Currency=USD","Period=FQ","BEST_FPERIOD_OVERRIDE=FQ","FILING_STATUS=MR","SCALING_FORMAT=MLN","Sort=A","Dates=H","DateFormat=P","Fill=—","Direction=H","UseDPDF=Y")</f>
        <v>-985</v>
      </c>
      <c r="L74" s="13">
        <f>_xll.BDH("AMGN US Equity","OTHER_EQUITY_RATIO","FQ1 2021","FQ1 2021","Currency=USD","Period=FQ","BEST_FPERIOD_OVERRIDE=FQ","FILING_STATUS=MR","SCALING_FORMAT=MLN","Sort=A","Dates=H","DateFormat=P","Fill=—","Direction=H","UseDPDF=Y")</f>
        <v>-833</v>
      </c>
      <c r="M74" s="13">
        <f>_xll.BDH("AMGN US Equity","OTHER_EQUITY_RATIO","FQ2 2021","FQ2 2021","Currency=USD","Period=FQ","BEST_FPERIOD_OVERRIDE=FQ","FILING_STATUS=MR","SCALING_FORMAT=MLN","Sort=A","Dates=H","DateFormat=P","Fill=—","Direction=H","UseDPDF=Y")</f>
        <v>-868</v>
      </c>
      <c r="N74" s="13">
        <f>_xll.BDH("AMGN US Equity","OTHER_EQUITY_RATIO","FQ3 2021","FQ3 2021","Currency=USD","Period=FQ","BEST_FPERIOD_OVERRIDE=FQ","FILING_STATUS=MR","SCALING_FORMAT=MLN","Sort=A","Dates=H","DateFormat=P","Fill=—","Direction=H","UseDPDF=Y")</f>
        <v>-808</v>
      </c>
      <c r="O74" s="13">
        <f>_xll.BDH("AMGN US Equity","OTHER_EQUITY_RATIO","FQ4 2021","FQ4 2021","Currency=USD","Period=FQ","BEST_FPERIOD_OVERRIDE=FQ","FILING_STATUS=MR","SCALING_FORMAT=MLN","Sort=A","Dates=H","DateFormat=P","Fill=—","Direction=H","UseDPDF=Y")</f>
        <v>-796</v>
      </c>
      <c r="P74" s="13">
        <f>_xll.BDH("AMGN US Equity","OTHER_EQUITY_RATIO","FQ1 2022","FQ1 2022","Currency=USD","Period=FQ","BEST_FPERIOD_OVERRIDE=FQ","FILING_STATUS=MR","SCALING_FORMAT=MLN","Sort=A","Dates=H","DateFormat=P","Fill=—","Direction=H","UseDPDF=Y")</f>
        <v>-763</v>
      </c>
      <c r="Q74" s="13">
        <f>_xll.BDH("AMGN US Equity","OTHER_EQUITY_RATIO","FQ2 2022","FQ2 2022","Currency=USD","Period=FQ","BEST_FPERIOD_OVERRIDE=FQ","FILING_STATUS=MR","SCALING_FORMAT=MLN","Sort=A","Dates=H","DateFormat=P","Fill=—","Direction=H","UseDPDF=Y")</f>
        <v>-672</v>
      </c>
      <c r="R74" s="13">
        <f>_xll.BDH("AMGN US Equity","OTHER_EQUITY_RATIO","FQ3 2022","FQ3 2022","Currency=USD","Period=FQ","BEST_FPERIOD_OVERRIDE=FQ","FILING_STATUS=MR","SCALING_FORMAT=MLN","Sort=A","Dates=H","DateFormat=P","Fill=—","Direction=H","UseDPDF=Y")</f>
        <v>-652</v>
      </c>
      <c r="S74" s="13">
        <f>_xll.BDH("AMGN US Equity","OTHER_EQUITY_RATIO","FQ4 2022","FQ4 2022","Currency=USD","Period=FQ","BEST_FPERIOD_OVERRIDE=FQ","FILING_STATUS=MR","SCALING_FORMAT=MLN","Sort=A","Dates=H","DateFormat=P","Fill=—","Direction=H","UseDPDF=Y")</f>
        <v>-231</v>
      </c>
      <c r="T74" s="13">
        <f>_xll.BDH("AMGN US Equity","OTHER_EQUITY_RATIO","FQ1 2023","FQ1 2023","Currency=USD","Period=FQ","BEST_FPERIOD_OVERRIDE=FQ","FILING_STATUS=MR","SCALING_FORMAT=MLN","Sort=A","Dates=H","DateFormat=P","Fill=—","Direction=H","UseDPDF=Y")</f>
        <v>-268</v>
      </c>
      <c r="U74" s="13">
        <f>_xll.BDH("AMGN US Equity","OTHER_EQUITY_RATIO","FQ2 2023","FQ2 2023","Currency=USD","Period=FQ","BEST_FPERIOD_OVERRIDE=FQ","FILING_STATUS=MR","SCALING_FORMAT=MLN","Sort=A","Dates=H","DateFormat=P","Fill=—","Direction=H","UseDPDF=Y")</f>
        <v>-280</v>
      </c>
      <c r="V74" s="13">
        <f>_xll.BDH("AMGN US Equity","OTHER_EQUITY_RATIO","FQ3 2023","FQ3 2023","Currency=USD","Period=FQ","BEST_FPERIOD_OVERRIDE=FQ","FILING_STATUS=MR","SCALING_FORMAT=MLN","Sort=A","Dates=H","DateFormat=P","Fill=—","Direction=H","UseDPDF=Y")</f>
        <v>-126</v>
      </c>
      <c r="W74" s="13">
        <f>_xll.BDH("AMGN US Equity","OTHER_EQUITY_RATIO","FQ4 2023","FQ4 2023","Currency=USD","Period=FQ","BEST_FPERIOD_OVERRIDE=FQ","FILING_STATUS=MR","SCALING_FORMAT=MLN","Sort=A","Dates=H","DateFormat=P","Fill=—","Direction=H","UseDPDF=Y")</f>
        <v>-289</v>
      </c>
      <c r="X74" s="13">
        <f>_xll.BDH("AMGN US Equity","OTHER_EQUITY_RATIO","FQ1 2024","FQ1 2024","Currency=USD","Period=FQ","BEST_FPERIOD_OVERRIDE=FQ","FILING_STATUS=MR","SCALING_FORMAT=MLN","Sort=A","Dates=H","DateFormat=P","Fill=—","Direction=H","UseDPDF=Y")</f>
        <v>-190</v>
      </c>
      <c r="Y74" s="13">
        <f>_xll.BDH("AMGN US Equity","OTHER_EQUITY_RATIO","FQ2 2024","FQ2 2024","Currency=USD","Period=FQ","BEST_FPERIOD_OVERRIDE=FQ","FILING_STATUS=MR","SCALING_FORMAT=MLN","Sort=A","Dates=H","DateFormat=P","Fill=—","Direction=H","UseDPDF=Y")</f>
        <v>-155</v>
      </c>
      <c r="Z74" s="13">
        <f>_xll.BDH("AMGN US Equity","OTHER_EQUITY_RATIO","FQ3 2024","FQ3 2024","Currency=USD","Period=FQ","BEST_FPERIOD_OVERRIDE=FQ","FILING_STATUS=MR","SCALING_FORMAT=MLN","Sort=A","Dates=H","DateFormat=P","Fill=—","Direction=H","UseDPDF=Y")</f>
        <v>-336</v>
      </c>
      <c r="AA74" s="13">
        <f>_xll.BDH("AMGN US Equity","OTHER_EQUITY_RATIO","FQ4 2024","FQ4 2024","Currency=USD","Period=FQ","BEST_FPERIOD_OVERRIDE=FQ","FILING_STATUS=MR","SCALING_FORMAT=MLN","Sort=A","Dates=H","DateFormat=P","Fill=—","Direction=H","UseDPDF=Y")</f>
        <v>-66</v>
      </c>
    </row>
    <row r="75" spans="1:27" x14ac:dyDescent="0.25">
      <c r="A75" s="6" t="s">
        <v>824</v>
      </c>
      <c r="B75" s="6" t="s">
        <v>825</v>
      </c>
      <c r="C75" s="19">
        <f>_xll.BDH("AMGN US Equity","EQTY_BEF_MINORITY_INT_DETAILED","FQ4 2018","FQ4 2018","Currency=USD","Period=FQ","BEST_FPERIOD_OVERRIDE=FQ","FILING_STATUS=MR","SCALING_FORMAT=MLN","Sort=A","Dates=H","DateFormat=P","Fill=—","Direction=H","UseDPDF=Y")</f>
        <v>12500</v>
      </c>
      <c r="D75" s="19">
        <f>_xll.BDH("AMGN US Equity","EQTY_BEF_MINORITY_INT_DETAILED","FQ1 2019","FQ1 2019","Currency=USD","Period=FQ","BEST_FPERIOD_OVERRIDE=FQ","FILING_STATUS=MR","SCALING_FORMAT=MLN","Sort=A","Dates=H","DateFormat=P","Fill=—","Direction=H","UseDPDF=Y")</f>
        <v>10832</v>
      </c>
      <c r="E75" s="19">
        <f>_xll.BDH("AMGN US Equity","EQTY_BEF_MINORITY_INT_DETAILED","FQ2 2019","FQ2 2019","Currency=USD","Period=FQ","BEST_FPERIOD_OVERRIDE=FQ","FILING_STATUS=MR","SCALING_FORMAT=MLN","Sort=A","Dates=H","DateFormat=P","Fill=—","Direction=H","UseDPDF=Y")</f>
        <v>10794</v>
      </c>
      <c r="F75" s="19">
        <f>_xll.BDH("AMGN US Equity","EQTY_BEF_MINORITY_INT_DETAILED","FQ3 2019","FQ3 2019","Currency=USD","Period=FQ","BEST_FPERIOD_OVERRIDE=FQ","FILING_STATUS=MR","SCALING_FORMAT=MLN","Sort=A","Dates=H","DateFormat=P","Fill=—","Direction=H","UseDPDF=Y")</f>
        <v>10927</v>
      </c>
      <c r="G75" s="19">
        <f>_xll.BDH("AMGN US Equity","EQTY_BEF_MINORITY_INT_DETAILED","FQ4 2019","FQ4 2019","Currency=USD","Period=FQ","BEST_FPERIOD_OVERRIDE=FQ","FILING_STATUS=MR","SCALING_FORMAT=MLN","Sort=A","Dates=H","DateFormat=P","Fill=—","Direction=H","UseDPDF=Y")</f>
        <v>9673</v>
      </c>
      <c r="H75" s="19">
        <f>_xll.BDH("AMGN US Equity","EQTY_BEF_MINORITY_INT_DETAILED","FQ1 2020","FQ1 2020","Currency=USD","Period=FQ","BEST_FPERIOD_OVERRIDE=FQ","FILING_STATUS=MR","SCALING_FORMAT=MLN","Sort=A","Dates=H","DateFormat=P","Fill=—","Direction=H","UseDPDF=Y")</f>
        <v>9485</v>
      </c>
      <c r="I75" s="19">
        <f>_xll.BDH("AMGN US Equity","EQTY_BEF_MINORITY_INT_DETAILED","FQ2 2020","FQ2 2020","Currency=USD","Period=FQ","BEST_FPERIOD_OVERRIDE=FQ","FILING_STATUS=MR","SCALING_FORMAT=MLN","Sort=A","Dates=H","DateFormat=P","Fill=—","Direction=H","UseDPDF=Y")</f>
        <v>10659</v>
      </c>
      <c r="J75" s="19">
        <f>_xll.BDH("AMGN US Equity","EQTY_BEF_MINORITY_INT_DETAILED","FQ3 2020","FQ3 2020","Currency=USD","Period=FQ","BEST_FPERIOD_OVERRIDE=FQ","FILING_STATUS=MR","SCALING_FORMAT=MLN","Sort=A","Dates=H","DateFormat=P","Fill=—","Direction=H","UseDPDF=Y")</f>
        <v>10959</v>
      </c>
      <c r="K75" s="19">
        <f>_xll.BDH("AMGN US Equity","EQTY_BEF_MINORITY_INT_DETAILED","FQ4 2020","FQ4 2020","Currency=USD","Period=FQ","BEST_FPERIOD_OVERRIDE=FQ","FILING_STATUS=MR","SCALING_FORMAT=MLN","Sort=A","Dates=H","DateFormat=P","Fill=—","Direction=H","UseDPDF=Y")</f>
        <v>9409</v>
      </c>
      <c r="L75" s="19">
        <f>_xll.BDH("AMGN US Equity","EQTY_BEF_MINORITY_INT_DETAILED","FQ1 2021","FQ1 2021","Currency=USD","Period=FQ","BEST_FPERIOD_OVERRIDE=FQ","FILING_STATUS=MR","SCALING_FORMAT=MLN","Sort=A","Dates=H","DateFormat=P","Fill=—","Direction=H","UseDPDF=Y")</f>
        <v>9334</v>
      </c>
      <c r="M75" s="19">
        <f>_xll.BDH("AMGN US Equity","EQTY_BEF_MINORITY_INT_DETAILED","FQ2 2021","FQ2 2021","Currency=USD","Period=FQ","BEST_FPERIOD_OVERRIDE=FQ","FILING_STATUS=MR","SCALING_FORMAT=MLN","Sort=A","Dates=H","DateFormat=P","Fill=—","Direction=H","UseDPDF=Y")</f>
        <v>8247</v>
      </c>
      <c r="N75" s="19">
        <f>_xll.BDH("AMGN US Equity","EQTY_BEF_MINORITY_INT_DETAILED","FQ3 2021","FQ3 2021","Currency=USD","Period=FQ","BEST_FPERIOD_OVERRIDE=FQ","FILING_STATUS=MR","SCALING_FORMAT=MLN","Sort=A","Dates=H","DateFormat=P","Fill=—","Direction=H","UseDPDF=Y")</f>
        <v>8217</v>
      </c>
      <c r="O75" s="19">
        <f>_xll.BDH("AMGN US Equity","EQTY_BEF_MINORITY_INT_DETAILED","FQ4 2021","FQ4 2021","Currency=USD","Period=FQ","BEST_FPERIOD_OVERRIDE=FQ","FILING_STATUS=MR","SCALING_FORMAT=MLN","Sort=A","Dates=H","DateFormat=P","Fill=—","Direction=H","UseDPDF=Y")</f>
        <v>6700</v>
      </c>
      <c r="P75" s="19">
        <f>_xll.BDH("AMGN US Equity","EQTY_BEF_MINORITY_INT_DETAILED","FQ1 2022","FQ1 2022","Currency=USD","Period=FQ","BEST_FPERIOD_OVERRIDE=FQ","FILING_STATUS=MR","SCALING_FORMAT=MLN","Sort=A","Dates=H","DateFormat=P","Fill=—","Direction=H","UseDPDF=Y")</f>
        <v>916</v>
      </c>
      <c r="Q75" s="19">
        <f>_xll.BDH("AMGN US Equity","EQTY_BEF_MINORITY_INT_DETAILED","FQ2 2022","FQ2 2022","Currency=USD","Period=FQ","BEST_FPERIOD_OVERRIDE=FQ","FILING_STATUS=MR","SCALING_FORMAT=MLN","Sort=A","Dates=H","DateFormat=P","Fill=—","Direction=H","UseDPDF=Y")</f>
        <v>2419</v>
      </c>
      <c r="R75" s="19">
        <f>_xll.BDH("AMGN US Equity","EQTY_BEF_MINORITY_INT_DETAILED","FQ3 2022","FQ3 2022","Currency=USD","Period=FQ","BEST_FPERIOD_OVERRIDE=FQ","FILING_STATUS=MR","SCALING_FORMAT=MLN","Sort=A","Dates=H","DateFormat=P","Fill=—","Direction=H","UseDPDF=Y")</f>
        <v>3653</v>
      </c>
      <c r="S75" s="19">
        <f>_xll.BDH("AMGN US Equity","EQTY_BEF_MINORITY_INT_DETAILED","FQ4 2022","FQ4 2022","Currency=USD","Period=FQ","BEST_FPERIOD_OVERRIDE=FQ","FILING_STATUS=MR","SCALING_FORMAT=MLN","Sort=A","Dates=H","DateFormat=P","Fill=—","Direction=H","UseDPDF=Y")</f>
        <v>3661</v>
      </c>
      <c r="T75" s="19">
        <f>_xll.BDH("AMGN US Equity","EQTY_BEF_MINORITY_INT_DETAILED","FQ1 2023","FQ1 2023","Currency=USD","Period=FQ","BEST_FPERIOD_OVERRIDE=FQ","FILING_STATUS=MR","SCALING_FORMAT=MLN","Sort=A","Dates=H","DateFormat=P","Fill=—","Direction=H","UseDPDF=Y")</f>
        <v>5348</v>
      </c>
      <c r="U75" s="19">
        <f>_xll.BDH("AMGN US Equity","EQTY_BEF_MINORITY_INT_DETAILED","FQ2 2023","FQ2 2023","Currency=USD","Period=FQ","BEST_FPERIOD_OVERRIDE=FQ","FILING_STATUS=MR","SCALING_FORMAT=MLN","Sort=A","Dates=H","DateFormat=P","Fill=—","Direction=H","UseDPDF=Y")</f>
        <v>6781</v>
      </c>
      <c r="V75" s="19">
        <f>_xll.BDH("AMGN US Equity","EQTY_BEF_MINORITY_INT_DETAILED","FQ3 2023","FQ3 2023","Currency=USD","Period=FQ","BEST_FPERIOD_OVERRIDE=FQ","FILING_STATUS=MR","SCALING_FORMAT=MLN","Sort=A","Dates=H","DateFormat=P","Fill=—","Direction=H","UseDPDF=Y")</f>
        <v>7656</v>
      </c>
      <c r="W75" s="19">
        <f>_xll.BDH("AMGN US Equity","EQTY_BEF_MINORITY_INT_DETAILED","FQ4 2023","FQ4 2023","Currency=USD","Period=FQ","BEST_FPERIOD_OVERRIDE=FQ","FILING_STATUS=MR","SCALING_FORMAT=MLN","Sort=A","Dates=H","DateFormat=P","Fill=—","Direction=H","UseDPDF=Y")</f>
        <v>6232</v>
      </c>
      <c r="X75" s="19">
        <f>_xll.BDH("AMGN US Equity","EQTY_BEF_MINORITY_INT_DETAILED","FQ1 2024","FQ1 2024","Currency=USD","Period=FQ","BEST_FPERIOD_OVERRIDE=FQ","FILING_STATUS=MR","SCALING_FORMAT=MLN","Sort=A","Dates=H","DateFormat=P","Fill=—","Direction=H","UseDPDF=Y")</f>
        <v>5022</v>
      </c>
      <c r="Y75" s="19">
        <f>_xll.BDH("AMGN US Equity","EQTY_BEF_MINORITY_INT_DETAILED","FQ2 2024","FQ2 2024","Currency=USD","Period=FQ","BEST_FPERIOD_OVERRIDE=FQ","FILING_STATUS=MR","SCALING_FORMAT=MLN","Sort=A","Dates=H","DateFormat=P","Fill=—","Direction=H","UseDPDF=Y")</f>
        <v>5925</v>
      </c>
      <c r="Z75" s="19">
        <f>_xll.BDH("AMGN US Equity","EQTY_BEF_MINORITY_INT_DETAILED","FQ3 2024","FQ3 2024","Currency=USD","Period=FQ","BEST_FPERIOD_OVERRIDE=FQ","FILING_STATUS=MR","SCALING_FORMAT=MLN","Sort=A","Dates=H","DateFormat=P","Fill=—","Direction=H","UseDPDF=Y")</f>
        <v>7527</v>
      </c>
      <c r="AA75" s="19">
        <f>_xll.BDH("AMGN US Equity","EQTY_BEF_MINORITY_INT_DETAILED","FQ4 2024","FQ4 2024","Currency=USD","Period=FQ","BEST_FPERIOD_OVERRIDE=FQ","FILING_STATUS=MR","SCALING_FORMAT=MLN","Sort=A","Dates=H","DateFormat=P","Fill=—","Direction=H","UseDPDF=Y")</f>
        <v>5877</v>
      </c>
    </row>
    <row r="76" spans="1:27" x14ac:dyDescent="0.25">
      <c r="A76" s="10" t="s">
        <v>826</v>
      </c>
      <c r="B76" s="10" t="s">
        <v>170</v>
      </c>
      <c r="C76" s="13">
        <f>_xll.BDH("AMGN US Equity","MINORITY_NONCONTROLLING_INTEREST","FQ4 2018","FQ4 2018","Currency=USD","Period=FQ","BEST_FPERIOD_OVERRIDE=FQ","FILING_STATUS=MR","SCALING_FORMAT=MLN","Sort=A","Dates=H","DateFormat=P","Fill=—","Direction=H","UseDPDF=Y")</f>
        <v>0</v>
      </c>
      <c r="D76" s="13">
        <f>_xll.BDH("AMGN US Equity","MINORITY_NONCONTROLLING_INTEREST","FQ1 2019","FQ1 2019","Currency=USD","Period=FQ","BEST_FPERIOD_OVERRIDE=FQ","FILING_STATUS=MR","SCALING_FORMAT=MLN","Sort=A","Dates=H","DateFormat=P","Fill=—","Direction=H","UseDPDF=Y")</f>
        <v>0</v>
      </c>
      <c r="E76" s="13">
        <f>_xll.BDH("AMGN US Equity","MINORITY_NONCONTROLLING_INTEREST","FQ2 2019","FQ2 2019","Currency=USD","Period=FQ","BEST_FPERIOD_OVERRIDE=FQ","FILING_STATUS=MR","SCALING_FORMAT=MLN","Sort=A","Dates=H","DateFormat=P","Fill=—","Direction=H","UseDPDF=Y")</f>
        <v>0</v>
      </c>
      <c r="F76" s="13">
        <f>_xll.BDH("AMGN US Equity","MINORITY_NONCONTROLLING_INTEREST","FQ3 2019","FQ3 2019","Currency=USD","Period=FQ","BEST_FPERIOD_OVERRIDE=FQ","FILING_STATUS=MR","SCALING_FORMAT=MLN","Sort=A","Dates=H","DateFormat=P","Fill=—","Direction=H","UseDPDF=Y")</f>
        <v>0</v>
      </c>
      <c r="G76" s="13">
        <f>_xll.BDH("AMGN US Equity","MINORITY_NONCONTROLLING_INTEREST","FQ4 2019","FQ4 2019","Currency=USD","Period=FQ","BEST_FPERIOD_OVERRIDE=FQ","FILING_STATUS=MR","SCALING_FORMAT=MLN","Sort=A","Dates=H","DateFormat=P","Fill=—","Direction=H","UseDPDF=Y")</f>
        <v>0</v>
      </c>
      <c r="H76" s="13">
        <f>_xll.BDH("AMGN US Equity","MINORITY_NONCONTROLLING_INTEREST","FQ1 2020","FQ1 2020","Currency=USD","Period=FQ","BEST_FPERIOD_OVERRIDE=FQ","FILING_STATUS=MR","SCALING_FORMAT=MLN","Sort=A","Dates=H","DateFormat=P","Fill=—","Direction=H","UseDPDF=Y")</f>
        <v>0</v>
      </c>
      <c r="I76" s="13">
        <f>_xll.BDH("AMGN US Equity","MINORITY_NONCONTROLLING_INTEREST","FQ2 2020","FQ2 2020","Currency=USD","Period=FQ","BEST_FPERIOD_OVERRIDE=FQ","FILING_STATUS=MR","SCALING_FORMAT=MLN","Sort=A","Dates=H","DateFormat=P","Fill=—","Direction=H","UseDPDF=Y")</f>
        <v>0</v>
      </c>
      <c r="J76" s="13">
        <f>_xll.BDH("AMGN US Equity","MINORITY_NONCONTROLLING_INTEREST","FQ3 2020","FQ3 2020","Currency=USD","Period=FQ","BEST_FPERIOD_OVERRIDE=FQ","FILING_STATUS=MR","SCALING_FORMAT=MLN","Sort=A","Dates=H","DateFormat=P","Fill=—","Direction=H","UseDPDF=Y")</f>
        <v>0</v>
      </c>
      <c r="K76" s="13">
        <f>_xll.BDH("AMGN US Equity","MINORITY_NONCONTROLLING_INTEREST","FQ4 2020","FQ4 2020","Currency=USD","Period=FQ","BEST_FPERIOD_OVERRIDE=FQ","FILING_STATUS=MR","SCALING_FORMAT=MLN","Sort=A","Dates=H","DateFormat=P","Fill=—","Direction=H","UseDPDF=Y")</f>
        <v>0</v>
      </c>
      <c r="L76" s="13">
        <f>_xll.BDH("AMGN US Equity","MINORITY_NONCONTROLLING_INTEREST","FQ1 2021","FQ1 2021","Currency=USD","Period=FQ","BEST_FPERIOD_OVERRIDE=FQ","FILING_STATUS=MR","SCALING_FORMAT=MLN","Sort=A","Dates=H","DateFormat=P","Fill=—","Direction=H","UseDPDF=Y")</f>
        <v>0</v>
      </c>
      <c r="M76" s="13">
        <f>_xll.BDH("AMGN US Equity","MINORITY_NONCONTROLLING_INTEREST","FQ2 2021","FQ2 2021","Currency=USD","Period=FQ","BEST_FPERIOD_OVERRIDE=FQ","FILING_STATUS=MR","SCALING_FORMAT=MLN","Sort=A","Dates=H","DateFormat=P","Fill=—","Direction=H","UseDPDF=Y")</f>
        <v>0</v>
      </c>
      <c r="N76" s="13">
        <f>_xll.BDH("AMGN US Equity","MINORITY_NONCONTROLLING_INTEREST","FQ3 2021","FQ3 2021","Currency=USD","Period=FQ","BEST_FPERIOD_OVERRIDE=FQ","FILING_STATUS=MR","SCALING_FORMAT=MLN","Sort=A","Dates=H","DateFormat=P","Fill=—","Direction=H","UseDPDF=Y")</f>
        <v>0</v>
      </c>
      <c r="O76" s="13">
        <f>_xll.BDH("AMGN US Equity","MINORITY_NONCONTROLLING_INTEREST","FQ4 2021","FQ4 2021","Currency=USD","Period=FQ","BEST_FPERIOD_OVERRIDE=FQ","FILING_STATUS=MR","SCALING_FORMAT=MLN","Sort=A","Dates=H","DateFormat=P","Fill=—","Direction=H","UseDPDF=Y")</f>
        <v>0</v>
      </c>
      <c r="P76" s="13">
        <f>_xll.BDH("AMGN US Equity","MINORITY_NONCONTROLLING_INTEREST","FQ1 2022","FQ1 2022","Currency=USD","Period=FQ","BEST_FPERIOD_OVERRIDE=FQ","FILING_STATUS=MR","SCALING_FORMAT=MLN","Sort=A","Dates=H","DateFormat=P","Fill=—","Direction=H","UseDPDF=Y")</f>
        <v>0</v>
      </c>
      <c r="Q76" s="13">
        <f>_xll.BDH("AMGN US Equity","MINORITY_NONCONTROLLING_INTEREST","FQ2 2022","FQ2 2022","Currency=USD","Period=FQ","BEST_FPERIOD_OVERRIDE=FQ","FILING_STATUS=MR","SCALING_FORMAT=MLN","Sort=A","Dates=H","DateFormat=P","Fill=—","Direction=H","UseDPDF=Y")</f>
        <v>0</v>
      </c>
      <c r="R76" s="13">
        <f>_xll.BDH("AMGN US Equity","MINORITY_NONCONTROLLING_INTEREST","FQ3 2022","FQ3 2022","Currency=USD","Period=FQ","BEST_FPERIOD_OVERRIDE=FQ","FILING_STATUS=MR","SCALING_FORMAT=MLN","Sort=A","Dates=H","DateFormat=P","Fill=—","Direction=H","UseDPDF=Y")</f>
        <v>0</v>
      </c>
      <c r="S76" s="13">
        <f>_xll.BDH("AMGN US Equity","MINORITY_NONCONTROLLING_INTEREST","FQ4 2022","FQ4 2022","Currency=USD","Period=FQ","BEST_FPERIOD_OVERRIDE=FQ","FILING_STATUS=MR","SCALING_FORMAT=MLN","Sort=A","Dates=H","DateFormat=P","Fill=—","Direction=H","UseDPDF=Y")</f>
        <v>0</v>
      </c>
      <c r="T76" s="13">
        <f>_xll.BDH("AMGN US Equity","MINORITY_NONCONTROLLING_INTEREST","FQ1 2023","FQ1 2023","Currency=USD","Period=FQ","BEST_FPERIOD_OVERRIDE=FQ","FILING_STATUS=MR","SCALING_FORMAT=MLN","Sort=A","Dates=H","DateFormat=P","Fill=—","Direction=H","UseDPDF=Y")</f>
        <v>0</v>
      </c>
      <c r="U76" s="13">
        <f>_xll.BDH("AMGN US Equity","MINORITY_NONCONTROLLING_INTEREST","FQ2 2023","FQ2 2023","Currency=USD","Period=FQ","BEST_FPERIOD_OVERRIDE=FQ","FILING_STATUS=MR","SCALING_FORMAT=MLN","Sort=A","Dates=H","DateFormat=P","Fill=—","Direction=H","UseDPDF=Y")</f>
        <v>0</v>
      </c>
      <c r="V76" s="13">
        <f>_xll.BDH("AMGN US Equity","MINORITY_NONCONTROLLING_INTEREST","FQ3 2023","FQ3 2023","Currency=USD","Period=FQ","BEST_FPERIOD_OVERRIDE=FQ","FILING_STATUS=MR","SCALING_FORMAT=MLN","Sort=A","Dates=H","DateFormat=P","Fill=—","Direction=H","UseDPDF=Y")</f>
        <v>0</v>
      </c>
      <c r="W76" s="13">
        <f>_xll.BDH("AMGN US Equity","MINORITY_NONCONTROLLING_INTEREST","FQ4 2023","FQ4 2023","Currency=USD","Period=FQ","BEST_FPERIOD_OVERRIDE=FQ","FILING_STATUS=MR","SCALING_FORMAT=MLN","Sort=A","Dates=H","DateFormat=P","Fill=—","Direction=H","UseDPDF=Y")</f>
        <v>0</v>
      </c>
      <c r="X76" s="13">
        <f>_xll.BDH("AMGN US Equity","MINORITY_NONCONTROLLING_INTEREST","FQ1 2024","FQ1 2024","Currency=USD","Period=FQ","BEST_FPERIOD_OVERRIDE=FQ","FILING_STATUS=MR","SCALING_FORMAT=MLN","Sort=A","Dates=H","DateFormat=P","Fill=—","Direction=H","UseDPDF=Y")</f>
        <v>0</v>
      </c>
      <c r="Y76" s="13">
        <f>_xll.BDH("AMGN US Equity","MINORITY_NONCONTROLLING_INTEREST","FQ2 2024","FQ2 2024","Currency=USD","Period=FQ","BEST_FPERIOD_OVERRIDE=FQ","FILING_STATUS=MR","SCALING_FORMAT=MLN","Sort=A","Dates=H","DateFormat=P","Fill=—","Direction=H","UseDPDF=Y")</f>
        <v>0</v>
      </c>
      <c r="Z76" s="13">
        <f>_xll.BDH("AMGN US Equity","MINORITY_NONCONTROLLING_INTEREST","FQ3 2024","FQ3 2024","Currency=USD","Period=FQ","BEST_FPERIOD_OVERRIDE=FQ","FILING_STATUS=MR","SCALING_FORMAT=MLN","Sort=A","Dates=H","DateFormat=P","Fill=—","Direction=H","UseDPDF=Y")</f>
        <v>0</v>
      </c>
      <c r="AA76" s="13">
        <f>_xll.BDH("AMGN US Equity","MINORITY_NONCONTROLLING_INTEREST","FQ4 2024","FQ4 2024","Currency=USD","Period=FQ","BEST_FPERIOD_OVERRIDE=FQ","FILING_STATUS=MR","SCALING_FORMAT=MLN","Sort=A","Dates=H","DateFormat=P","Fill=—","Direction=H","UseDPDF=Y")</f>
        <v>0</v>
      </c>
    </row>
    <row r="77" spans="1:27" x14ac:dyDescent="0.25">
      <c r="A77" s="6" t="s">
        <v>118</v>
      </c>
      <c r="B77" s="6" t="s">
        <v>119</v>
      </c>
      <c r="C77" s="19">
        <f>_xll.BDH("AMGN US Equity","TOTAL_EQUITY","FQ4 2018","FQ4 2018","Currency=USD","Period=FQ","BEST_FPERIOD_OVERRIDE=FQ","FILING_STATUS=MR","SCALING_FORMAT=MLN","Sort=A","Dates=H","DateFormat=P","Fill=—","Direction=H","UseDPDF=Y")</f>
        <v>12500</v>
      </c>
      <c r="D77" s="19">
        <f>_xll.BDH("AMGN US Equity","TOTAL_EQUITY","FQ1 2019","FQ1 2019","Currency=USD","Period=FQ","BEST_FPERIOD_OVERRIDE=FQ","FILING_STATUS=MR","SCALING_FORMAT=MLN","Sort=A","Dates=H","DateFormat=P","Fill=—","Direction=H","UseDPDF=Y")</f>
        <v>10832</v>
      </c>
      <c r="E77" s="19">
        <f>_xll.BDH("AMGN US Equity","TOTAL_EQUITY","FQ2 2019","FQ2 2019","Currency=USD","Period=FQ","BEST_FPERIOD_OVERRIDE=FQ","FILING_STATUS=MR","SCALING_FORMAT=MLN","Sort=A","Dates=H","DateFormat=P","Fill=—","Direction=H","UseDPDF=Y")</f>
        <v>10794</v>
      </c>
      <c r="F77" s="19">
        <f>_xll.BDH("AMGN US Equity","TOTAL_EQUITY","FQ3 2019","FQ3 2019","Currency=USD","Period=FQ","BEST_FPERIOD_OVERRIDE=FQ","FILING_STATUS=MR","SCALING_FORMAT=MLN","Sort=A","Dates=H","DateFormat=P","Fill=—","Direction=H","UseDPDF=Y")</f>
        <v>10927</v>
      </c>
      <c r="G77" s="19">
        <f>_xll.BDH("AMGN US Equity","TOTAL_EQUITY","FQ4 2019","FQ4 2019","Currency=USD","Period=FQ","BEST_FPERIOD_OVERRIDE=FQ","FILING_STATUS=MR","SCALING_FORMAT=MLN","Sort=A","Dates=H","DateFormat=P","Fill=—","Direction=H","UseDPDF=Y")</f>
        <v>9673</v>
      </c>
      <c r="H77" s="19">
        <f>_xll.BDH("AMGN US Equity","TOTAL_EQUITY","FQ1 2020","FQ1 2020","Currency=USD","Period=FQ","BEST_FPERIOD_OVERRIDE=FQ","FILING_STATUS=MR","SCALING_FORMAT=MLN","Sort=A","Dates=H","DateFormat=P","Fill=—","Direction=H","UseDPDF=Y")</f>
        <v>9485</v>
      </c>
      <c r="I77" s="19">
        <f>_xll.BDH("AMGN US Equity","TOTAL_EQUITY","FQ2 2020","FQ2 2020","Currency=USD","Period=FQ","BEST_FPERIOD_OVERRIDE=FQ","FILING_STATUS=MR","SCALING_FORMAT=MLN","Sort=A","Dates=H","DateFormat=P","Fill=—","Direction=H","UseDPDF=Y")</f>
        <v>10659</v>
      </c>
      <c r="J77" s="19">
        <f>_xll.BDH("AMGN US Equity","TOTAL_EQUITY","FQ3 2020","FQ3 2020","Currency=USD","Period=FQ","BEST_FPERIOD_OVERRIDE=FQ","FILING_STATUS=MR","SCALING_FORMAT=MLN","Sort=A","Dates=H","DateFormat=P","Fill=—","Direction=H","UseDPDF=Y")</f>
        <v>10959</v>
      </c>
      <c r="K77" s="19">
        <f>_xll.BDH("AMGN US Equity","TOTAL_EQUITY","FQ4 2020","FQ4 2020","Currency=USD","Period=FQ","BEST_FPERIOD_OVERRIDE=FQ","FILING_STATUS=MR","SCALING_FORMAT=MLN","Sort=A","Dates=H","DateFormat=P","Fill=—","Direction=H","UseDPDF=Y")</f>
        <v>9409</v>
      </c>
      <c r="L77" s="19">
        <f>_xll.BDH("AMGN US Equity","TOTAL_EQUITY","FQ1 2021","FQ1 2021","Currency=USD","Period=FQ","BEST_FPERIOD_OVERRIDE=FQ","FILING_STATUS=MR","SCALING_FORMAT=MLN","Sort=A","Dates=H","DateFormat=P","Fill=—","Direction=H","UseDPDF=Y")</f>
        <v>9334</v>
      </c>
      <c r="M77" s="19">
        <f>_xll.BDH("AMGN US Equity","TOTAL_EQUITY","FQ2 2021","FQ2 2021","Currency=USD","Period=FQ","BEST_FPERIOD_OVERRIDE=FQ","FILING_STATUS=MR","SCALING_FORMAT=MLN","Sort=A","Dates=H","DateFormat=P","Fill=—","Direction=H","UseDPDF=Y")</f>
        <v>8247</v>
      </c>
      <c r="N77" s="19">
        <f>_xll.BDH("AMGN US Equity","TOTAL_EQUITY","FQ3 2021","FQ3 2021","Currency=USD","Period=FQ","BEST_FPERIOD_OVERRIDE=FQ","FILING_STATUS=MR","SCALING_FORMAT=MLN","Sort=A","Dates=H","DateFormat=P","Fill=—","Direction=H","UseDPDF=Y")</f>
        <v>8217</v>
      </c>
      <c r="O77" s="19">
        <f>_xll.BDH("AMGN US Equity","TOTAL_EQUITY","FQ4 2021","FQ4 2021","Currency=USD","Period=FQ","BEST_FPERIOD_OVERRIDE=FQ","FILING_STATUS=MR","SCALING_FORMAT=MLN","Sort=A","Dates=H","DateFormat=P","Fill=—","Direction=H","UseDPDF=Y")</f>
        <v>6700</v>
      </c>
      <c r="P77" s="19">
        <f>_xll.BDH("AMGN US Equity","TOTAL_EQUITY","FQ1 2022","FQ1 2022","Currency=USD","Period=FQ","BEST_FPERIOD_OVERRIDE=FQ","FILING_STATUS=MR","SCALING_FORMAT=MLN","Sort=A","Dates=H","DateFormat=P","Fill=—","Direction=H","UseDPDF=Y")</f>
        <v>916</v>
      </c>
      <c r="Q77" s="19">
        <f>_xll.BDH("AMGN US Equity","TOTAL_EQUITY","FQ2 2022","FQ2 2022","Currency=USD","Period=FQ","BEST_FPERIOD_OVERRIDE=FQ","FILING_STATUS=MR","SCALING_FORMAT=MLN","Sort=A","Dates=H","DateFormat=P","Fill=—","Direction=H","UseDPDF=Y")</f>
        <v>2419</v>
      </c>
      <c r="R77" s="19">
        <f>_xll.BDH("AMGN US Equity","TOTAL_EQUITY","FQ3 2022","FQ3 2022","Currency=USD","Period=FQ","BEST_FPERIOD_OVERRIDE=FQ","FILING_STATUS=MR","SCALING_FORMAT=MLN","Sort=A","Dates=H","DateFormat=P","Fill=—","Direction=H","UseDPDF=Y")</f>
        <v>3653</v>
      </c>
      <c r="S77" s="19">
        <f>_xll.BDH("AMGN US Equity","TOTAL_EQUITY","FQ4 2022","FQ4 2022","Currency=USD","Period=FQ","BEST_FPERIOD_OVERRIDE=FQ","FILING_STATUS=MR","SCALING_FORMAT=MLN","Sort=A","Dates=H","DateFormat=P","Fill=—","Direction=H","UseDPDF=Y")</f>
        <v>3661</v>
      </c>
      <c r="T77" s="19">
        <f>_xll.BDH("AMGN US Equity","TOTAL_EQUITY","FQ1 2023","FQ1 2023","Currency=USD","Period=FQ","BEST_FPERIOD_OVERRIDE=FQ","FILING_STATUS=MR","SCALING_FORMAT=MLN","Sort=A","Dates=H","DateFormat=P","Fill=—","Direction=H","UseDPDF=Y")</f>
        <v>5348</v>
      </c>
      <c r="U77" s="19">
        <f>_xll.BDH("AMGN US Equity","TOTAL_EQUITY","FQ2 2023","FQ2 2023","Currency=USD","Period=FQ","BEST_FPERIOD_OVERRIDE=FQ","FILING_STATUS=MR","SCALING_FORMAT=MLN","Sort=A","Dates=H","DateFormat=P","Fill=—","Direction=H","UseDPDF=Y")</f>
        <v>6781</v>
      </c>
      <c r="V77" s="19">
        <f>_xll.BDH("AMGN US Equity","TOTAL_EQUITY","FQ3 2023","FQ3 2023","Currency=USD","Period=FQ","BEST_FPERIOD_OVERRIDE=FQ","FILING_STATUS=MR","SCALING_FORMAT=MLN","Sort=A","Dates=H","DateFormat=P","Fill=—","Direction=H","UseDPDF=Y")</f>
        <v>7656</v>
      </c>
      <c r="W77" s="19">
        <f>_xll.BDH("AMGN US Equity","TOTAL_EQUITY","FQ4 2023","FQ4 2023","Currency=USD","Period=FQ","BEST_FPERIOD_OVERRIDE=FQ","FILING_STATUS=MR","SCALING_FORMAT=MLN","Sort=A","Dates=H","DateFormat=P","Fill=—","Direction=H","UseDPDF=Y")</f>
        <v>6232</v>
      </c>
      <c r="X77" s="19">
        <f>_xll.BDH("AMGN US Equity","TOTAL_EQUITY","FQ1 2024","FQ1 2024","Currency=USD","Period=FQ","BEST_FPERIOD_OVERRIDE=FQ","FILING_STATUS=MR","SCALING_FORMAT=MLN","Sort=A","Dates=H","DateFormat=P","Fill=—","Direction=H","UseDPDF=Y")</f>
        <v>5022</v>
      </c>
      <c r="Y77" s="19">
        <f>_xll.BDH("AMGN US Equity","TOTAL_EQUITY","FQ2 2024","FQ2 2024","Currency=USD","Period=FQ","BEST_FPERIOD_OVERRIDE=FQ","FILING_STATUS=MR","SCALING_FORMAT=MLN","Sort=A","Dates=H","DateFormat=P","Fill=—","Direction=H","UseDPDF=Y")</f>
        <v>5925</v>
      </c>
      <c r="Z77" s="19">
        <f>_xll.BDH("AMGN US Equity","TOTAL_EQUITY","FQ3 2024","FQ3 2024","Currency=USD","Period=FQ","BEST_FPERIOD_OVERRIDE=FQ","FILING_STATUS=MR","SCALING_FORMAT=MLN","Sort=A","Dates=H","DateFormat=P","Fill=—","Direction=H","UseDPDF=Y")</f>
        <v>7527</v>
      </c>
      <c r="AA77" s="19">
        <f>_xll.BDH("AMGN US Equity","TOTAL_EQUITY","FQ4 2024","FQ4 2024","Currency=USD","Period=FQ","BEST_FPERIOD_OVERRIDE=FQ","FILING_STATUS=MR","SCALING_FORMAT=MLN","Sort=A","Dates=H","DateFormat=P","Fill=—","Direction=H","UseDPDF=Y")</f>
        <v>5877</v>
      </c>
    </row>
    <row r="78" spans="1:27" x14ac:dyDescent="0.25">
      <c r="A78" s="6" t="s">
        <v>827</v>
      </c>
      <c r="B78" s="6" t="s">
        <v>828</v>
      </c>
      <c r="C78" s="19">
        <f>_xll.BDH("AMGN US Equity","TOT_LIAB_AND_EQY","FQ4 2018","FQ4 2018","Currency=USD","Period=FQ","BEST_FPERIOD_OVERRIDE=FQ","FILING_STATUS=MR","SCALING_FORMAT=MLN","Sort=A","Dates=H","DateFormat=P","Fill=—","Direction=H","UseDPDF=Y")</f>
        <v>66416</v>
      </c>
      <c r="D78" s="19">
        <f>_xll.BDH("AMGN US Equity","TOT_LIAB_AND_EQY","FQ1 2019","FQ1 2019","Currency=USD","Period=FQ","BEST_FPERIOD_OVERRIDE=FQ","FILING_STATUS=MR","SCALING_FORMAT=MLN","Sort=A","Dates=H","DateFormat=P","Fill=—","Direction=H","UseDPDF=Y")</f>
        <v>63997</v>
      </c>
      <c r="E78" s="19">
        <f>_xll.BDH("AMGN US Equity","TOT_LIAB_AND_EQY","FQ2 2019","FQ2 2019","Currency=USD","Period=FQ","BEST_FPERIOD_OVERRIDE=FQ","FILING_STATUS=MR","SCALING_FORMAT=MLN","Sort=A","Dates=H","DateFormat=P","Fill=—","Direction=H","UseDPDF=Y")</f>
        <v>59373</v>
      </c>
      <c r="F78" s="19">
        <f>_xll.BDH("AMGN US Equity","TOT_LIAB_AND_EQY","FQ3 2019","FQ3 2019","Currency=USD","Period=FQ","BEST_FPERIOD_OVERRIDE=FQ","FILING_STATUS=MR","SCALING_FORMAT=MLN","Sort=A","Dates=H","DateFormat=P","Fill=—","Direction=H","UseDPDF=Y")</f>
        <v>59535</v>
      </c>
      <c r="G78" s="19">
        <f>_xll.BDH("AMGN US Equity","TOT_LIAB_AND_EQY","FQ4 2019","FQ4 2019","Currency=USD","Period=FQ","BEST_FPERIOD_OVERRIDE=FQ","FILING_STATUS=MR","SCALING_FORMAT=MLN","Sort=A","Dates=H","DateFormat=P","Fill=—","Direction=H","UseDPDF=Y")</f>
        <v>59707</v>
      </c>
      <c r="H78" s="19">
        <f>_xll.BDH("AMGN US Equity","TOT_LIAB_AND_EQY","FQ1 2020","FQ1 2020","Currency=USD","Period=FQ","BEST_FPERIOD_OVERRIDE=FQ","FILING_STATUS=MR","SCALING_FORMAT=MLN","Sort=A","Dates=H","DateFormat=P","Fill=—","Direction=H","UseDPDF=Y")</f>
        <v>61669</v>
      </c>
      <c r="I78" s="19">
        <f>_xll.BDH("AMGN US Equity","TOT_LIAB_AND_EQY","FQ2 2020","FQ2 2020","Currency=USD","Period=FQ","BEST_FPERIOD_OVERRIDE=FQ","FILING_STATUS=MR","SCALING_FORMAT=MLN","Sort=A","Dates=H","DateFormat=P","Fill=—","Direction=H","UseDPDF=Y")</f>
        <v>65011</v>
      </c>
      <c r="J78" s="19">
        <f>_xll.BDH("AMGN US Equity","TOT_LIAB_AND_EQY","FQ3 2020","FQ3 2020","Currency=USD","Period=FQ","BEST_FPERIOD_OVERRIDE=FQ","FILING_STATUS=MR","SCALING_FORMAT=MLN","Sort=A","Dates=H","DateFormat=P","Fill=—","Direction=H","UseDPDF=Y")</f>
        <v>64637</v>
      </c>
      <c r="K78" s="19">
        <f>_xll.BDH("AMGN US Equity","TOT_LIAB_AND_EQY","FQ4 2020","FQ4 2020","Currency=USD","Period=FQ","BEST_FPERIOD_OVERRIDE=FQ","FILING_STATUS=MR","SCALING_FORMAT=MLN","Sort=A","Dates=H","DateFormat=P","Fill=—","Direction=H","UseDPDF=Y")</f>
        <v>62948</v>
      </c>
      <c r="L78" s="19">
        <f>_xll.BDH("AMGN US Equity","TOT_LIAB_AND_EQY","FQ1 2021","FQ1 2021","Currency=USD","Period=FQ","BEST_FPERIOD_OVERRIDE=FQ","FILING_STATUS=MR","SCALING_FORMAT=MLN","Sort=A","Dates=H","DateFormat=P","Fill=—","Direction=H","UseDPDF=Y")</f>
        <v>62539</v>
      </c>
      <c r="M78" s="19">
        <f>_xll.BDH("AMGN US Equity","TOT_LIAB_AND_EQY","FQ2 2021","FQ2 2021","Currency=USD","Period=FQ","BEST_FPERIOD_OVERRIDE=FQ","FILING_STATUS=MR","SCALING_FORMAT=MLN","Sort=A","Dates=H","DateFormat=P","Fill=—","Direction=H","UseDPDF=Y")</f>
        <v>59773</v>
      </c>
      <c r="N78" s="19">
        <f>_xll.BDH("AMGN US Equity","TOT_LIAB_AND_EQY","FQ3 2021","FQ3 2021","Currency=USD","Period=FQ","BEST_FPERIOD_OVERRIDE=FQ","FILING_STATUS=MR","SCALING_FORMAT=MLN","Sort=A","Dates=H","DateFormat=P","Fill=—","Direction=H","UseDPDF=Y")</f>
        <v>64993</v>
      </c>
      <c r="O78" s="19">
        <f>_xll.BDH("AMGN US Equity","TOT_LIAB_AND_EQY","FQ4 2021","FQ4 2021","Currency=USD","Period=FQ","BEST_FPERIOD_OVERRIDE=FQ","FILING_STATUS=MR","SCALING_FORMAT=MLN","Sort=A","Dates=H","DateFormat=P","Fill=—","Direction=H","UseDPDF=Y")</f>
        <v>61165</v>
      </c>
      <c r="P78" s="19">
        <f>_xll.BDH("AMGN US Equity","TOT_LIAB_AND_EQY","FQ1 2022","FQ1 2022","Currency=USD","Period=FQ","BEST_FPERIOD_OVERRIDE=FQ","FILING_STATUS=MR","SCALING_FORMAT=MLN","Sort=A","Dates=H","DateFormat=P","Fill=—","Direction=H","UseDPDF=Y")</f>
        <v>59196</v>
      </c>
      <c r="Q78" s="19">
        <f>_xll.BDH("AMGN US Equity","TOT_LIAB_AND_EQY","FQ2 2022","FQ2 2022","Currency=USD","Period=FQ","BEST_FPERIOD_OVERRIDE=FQ","FILING_STATUS=MR","SCALING_FORMAT=MLN","Sort=A","Dates=H","DateFormat=P","Fill=—","Direction=H","UseDPDF=Y")</f>
        <v>59294</v>
      </c>
      <c r="R78" s="19">
        <f>_xll.BDH("AMGN US Equity","TOT_LIAB_AND_EQY","FQ3 2022","FQ3 2022","Currency=USD","Period=FQ","BEST_FPERIOD_OVERRIDE=FQ","FILING_STATUS=MR","SCALING_FORMAT=MLN","Sort=A","Dates=H","DateFormat=P","Fill=—","Direction=H","UseDPDF=Y")</f>
        <v>63700</v>
      </c>
      <c r="S78" s="19">
        <f>_xll.BDH("AMGN US Equity","TOT_LIAB_AND_EQY","FQ4 2022","FQ4 2022","Currency=USD","Period=FQ","BEST_FPERIOD_OVERRIDE=FQ","FILING_STATUS=MR","SCALING_FORMAT=MLN","Sort=A","Dates=H","DateFormat=P","Fill=—","Direction=H","UseDPDF=Y")</f>
        <v>65121</v>
      </c>
      <c r="T78" s="19">
        <f>_xll.BDH("AMGN US Equity","TOT_LIAB_AND_EQY","FQ1 2023","FQ1 2023","Currency=USD","Period=FQ","BEST_FPERIOD_OVERRIDE=FQ","FILING_STATUS=MR","SCALING_FORMAT=MLN","Sort=A","Dates=H","DateFormat=P","Fill=—","Direction=H","UseDPDF=Y")</f>
        <v>88720</v>
      </c>
      <c r="U78" s="19">
        <f>_xll.BDH("AMGN US Equity","TOT_LIAB_AND_EQY","FQ2 2023","FQ2 2023","Currency=USD","Period=FQ","BEST_FPERIOD_OVERRIDE=FQ","FILING_STATUS=MR","SCALING_FORMAT=MLN","Sort=A","Dates=H","DateFormat=P","Fill=—","Direction=H","UseDPDF=Y")</f>
        <v>90269</v>
      </c>
      <c r="V78" s="19">
        <f>_xll.BDH("AMGN US Equity","TOT_LIAB_AND_EQY","FQ3 2023","FQ3 2023","Currency=USD","Period=FQ","BEST_FPERIOD_OVERRIDE=FQ","FILING_STATUS=MR","SCALING_FORMAT=MLN","Sort=A","Dates=H","DateFormat=P","Fill=—","Direction=H","UseDPDF=Y")</f>
        <v>90534</v>
      </c>
      <c r="W78" s="19">
        <f>_xll.BDH("AMGN US Equity","TOT_LIAB_AND_EQY","FQ4 2023","FQ4 2023","Currency=USD","Period=FQ","BEST_FPERIOD_OVERRIDE=FQ","FILING_STATUS=MR","SCALING_FORMAT=MLN","Sort=A","Dates=H","DateFormat=P","Fill=—","Direction=H","UseDPDF=Y")</f>
        <v>97154</v>
      </c>
      <c r="X78" s="19">
        <f>_xll.BDH("AMGN US Equity","TOT_LIAB_AND_EQY","FQ1 2024","FQ1 2024","Currency=USD","Period=FQ","BEST_FPERIOD_OVERRIDE=FQ","FILING_STATUS=MR","SCALING_FORMAT=MLN","Sort=A","Dates=H","DateFormat=P","Fill=—","Direction=H","UseDPDF=Y")</f>
        <v>92980</v>
      </c>
      <c r="Y78" s="19">
        <f>_xll.BDH("AMGN US Equity","TOT_LIAB_AND_EQY","FQ2 2024","FQ2 2024","Currency=USD","Period=FQ","BEST_FPERIOD_OVERRIDE=FQ","FILING_STATUS=MR","SCALING_FORMAT=MLN","Sort=A","Dates=H","DateFormat=P","Fill=—","Direction=H","UseDPDF=Y")</f>
        <v>90907</v>
      </c>
      <c r="Z78" s="19">
        <f>_xll.BDH("AMGN US Equity","TOT_LIAB_AND_EQY","FQ3 2024","FQ3 2024","Currency=USD","Period=FQ","BEST_FPERIOD_OVERRIDE=FQ","FILING_STATUS=MR","SCALING_FORMAT=MLN","Sort=A","Dates=H","DateFormat=P","Fill=—","Direction=H","UseDPDF=Y")</f>
        <v>90883</v>
      </c>
      <c r="AA78" s="19">
        <f>_xll.BDH("AMGN US Equity","TOT_LIAB_AND_EQY","FQ4 2024","FQ4 2024","Currency=USD","Period=FQ","BEST_FPERIOD_OVERRIDE=FQ","FILING_STATUS=MR","SCALING_FORMAT=MLN","Sort=A","Dates=H","DateFormat=P","Fill=—","Direction=H","UseDPDF=Y")</f>
        <v>91839</v>
      </c>
    </row>
    <row r="79" spans="1:27" x14ac:dyDescent="0.25">
      <c r="A79" s="6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 x14ac:dyDescent="0.25">
      <c r="A80" s="6" t="s">
        <v>4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 x14ac:dyDescent="0.25">
      <c r="A81" s="10" t="s">
        <v>386</v>
      </c>
      <c r="B81" s="10" t="s">
        <v>387</v>
      </c>
      <c r="C81" s="12" t="s">
        <v>388</v>
      </c>
      <c r="D81" s="12" t="s">
        <v>388</v>
      </c>
      <c r="E81" s="12" t="s">
        <v>388</v>
      </c>
      <c r="F81" s="12" t="s">
        <v>388</v>
      </c>
      <c r="G81" s="12" t="s">
        <v>388</v>
      </c>
      <c r="H81" s="12" t="s">
        <v>388</v>
      </c>
      <c r="I81" s="12" t="s">
        <v>388</v>
      </c>
      <c r="J81" s="12" t="s">
        <v>388</v>
      </c>
      <c r="K81" s="12" t="s">
        <v>388</v>
      </c>
      <c r="L81" s="12" t="s">
        <v>388</v>
      </c>
      <c r="M81" s="12" t="s">
        <v>388</v>
      </c>
      <c r="N81" s="12" t="s">
        <v>388</v>
      </c>
      <c r="O81" s="12" t="s">
        <v>388</v>
      </c>
      <c r="P81" s="12" t="s">
        <v>388</v>
      </c>
      <c r="Q81" s="12" t="s">
        <v>388</v>
      </c>
      <c r="R81" s="12" t="s">
        <v>388</v>
      </c>
      <c r="S81" s="12" t="s">
        <v>388</v>
      </c>
      <c r="T81" s="12" t="s">
        <v>388</v>
      </c>
      <c r="U81" s="12" t="s">
        <v>388</v>
      </c>
      <c r="V81" s="12" t="s">
        <v>388</v>
      </c>
      <c r="W81" s="12" t="s">
        <v>388</v>
      </c>
      <c r="X81" s="12" t="s">
        <v>388</v>
      </c>
      <c r="Y81" s="12" t="s">
        <v>388</v>
      </c>
      <c r="Z81" s="12" t="s">
        <v>388</v>
      </c>
      <c r="AA81" s="12" t="s">
        <v>388</v>
      </c>
    </row>
    <row r="82" spans="1:27" x14ac:dyDescent="0.25">
      <c r="A82" s="10" t="s">
        <v>829</v>
      </c>
      <c r="B82" s="10" t="s">
        <v>121</v>
      </c>
      <c r="C82" s="13">
        <f>_xll.BDH("AMGN US Equity","BS_SH_OUT","FQ4 2018","FQ4 2018","Currency=USD","Period=FQ","BEST_FPERIOD_OVERRIDE=FQ","FILING_STATUS=MR","Sort=A","Dates=H","DateFormat=P","Fill=—","Direction=H","UseDPDF=Y")</f>
        <v>629.6</v>
      </c>
      <c r="D82" s="13">
        <f>_xll.BDH("AMGN US Equity","BS_SH_OUT","FQ1 2019","FQ1 2019","Currency=USD","Period=FQ","BEST_FPERIOD_OVERRIDE=FQ","FILING_STATUS=MR","Sort=A","Dates=H","DateFormat=P","Fill=—","Direction=H","UseDPDF=Y")</f>
        <v>614.4</v>
      </c>
      <c r="E82" s="13">
        <f>_xll.BDH("AMGN US Equity","BS_SH_OUT","FQ2 2019","FQ2 2019","Currency=USD","Period=FQ","BEST_FPERIOD_OVERRIDE=FQ","FILING_STATUS=MR","Sort=A","Dates=H","DateFormat=P","Fill=—","Direction=H","UseDPDF=Y")</f>
        <v>602.1</v>
      </c>
      <c r="F82" s="13">
        <f>_xll.BDH("AMGN US Equity","BS_SH_OUT","FQ3 2019","FQ3 2019","Currency=USD","Period=FQ","BEST_FPERIOD_OVERRIDE=FQ","FILING_STATUS=MR","Sort=A","Dates=H","DateFormat=P","Fill=—","Direction=H","UseDPDF=Y")</f>
        <v>596.20000000000005</v>
      </c>
      <c r="G82" s="13">
        <f>_xll.BDH("AMGN US Equity","BS_SH_OUT","FQ4 2019","FQ4 2019","Currency=USD","Period=FQ","BEST_FPERIOD_OVERRIDE=FQ","FILING_STATUS=MR","Sort=A","Dates=H","DateFormat=P","Fill=—","Direction=H","UseDPDF=Y")</f>
        <v>591.4</v>
      </c>
      <c r="H82" s="13">
        <f>_xll.BDH("AMGN US Equity","BS_SH_OUT","FQ1 2020","FQ1 2020","Currency=USD","Period=FQ","BEST_FPERIOD_OVERRIDE=FQ","FILING_STATUS=MR","Sort=A","Dates=H","DateFormat=P","Fill=—","Direction=H","UseDPDF=Y")</f>
        <v>588</v>
      </c>
      <c r="I82" s="13">
        <f>_xll.BDH("AMGN US Equity","BS_SH_OUT","FQ2 2020","FQ2 2020","Currency=USD","Period=FQ","BEST_FPERIOD_OVERRIDE=FQ","FILING_STATUS=MR","Sort=A","Dates=H","DateFormat=P","Fill=—","Direction=H","UseDPDF=Y")</f>
        <v>586.4</v>
      </c>
      <c r="J82" s="13">
        <f>_xll.BDH("AMGN US Equity","BS_SH_OUT","FQ3 2020","FQ3 2020","Currency=USD","Period=FQ","BEST_FPERIOD_OVERRIDE=FQ","FILING_STATUS=MR","Sort=A","Dates=H","DateFormat=P","Fill=—","Direction=H","UseDPDF=Y")</f>
        <v>583.5</v>
      </c>
      <c r="K82" s="13">
        <f>_xll.BDH("AMGN US Equity","BS_SH_OUT","FQ4 2020","FQ4 2020","Currency=USD","Period=FQ","BEST_FPERIOD_OVERRIDE=FQ","FILING_STATUS=MR","Sort=A","Dates=H","DateFormat=P","Fill=—","Direction=H","UseDPDF=Y")</f>
        <v>578.29999999999995</v>
      </c>
      <c r="L82" s="13">
        <f>_xll.BDH("AMGN US Equity","BS_SH_OUT","FQ1 2021","FQ1 2021","Currency=USD","Period=FQ","BEST_FPERIOD_OVERRIDE=FQ","FILING_STATUS=MR","Sort=A","Dates=H","DateFormat=P","Fill=—","Direction=H","UseDPDF=Y")</f>
        <v>575.29999999999995</v>
      </c>
      <c r="M82" s="13">
        <f>_xll.BDH("AMGN US Equity","BS_SH_OUT","FQ2 2021","FQ2 2021","Currency=USD","Period=FQ","BEST_FPERIOD_OVERRIDE=FQ","FILING_STATUS=MR","Sort=A","Dates=H","DateFormat=P","Fill=—","Direction=H","UseDPDF=Y")</f>
        <v>569.6</v>
      </c>
      <c r="N82" s="13">
        <f>_xll.BDH("AMGN US Equity","BS_SH_OUT","FQ3 2021","FQ3 2021","Currency=USD","Period=FQ","BEST_FPERIOD_OVERRIDE=FQ","FILING_STATUS=MR","Sort=A","Dates=H","DateFormat=P","Fill=—","Direction=H","UseDPDF=Y")</f>
        <v>565</v>
      </c>
      <c r="O82" s="13">
        <f>_xll.BDH("AMGN US Equity","BS_SH_OUT","FQ4 2021","FQ4 2021","Currency=USD","Period=FQ","BEST_FPERIOD_OVERRIDE=FQ","FILING_STATUS=MR","Sort=A","Dates=H","DateFormat=P","Fill=—","Direction=H","UseDPDF=Y")</f>
        <v>534</v>
      </c>
      <c r="P82" s="13">
        <f>_xll.BDH("AMGN US Equity","BS_SH_OUT","FQ1 2022","FQ1 2022","Currency=USD","Period=FQ","BEST_FPERIOD_OVERRIDE=FQ","FILING_STATUS=MR","Sort=A","Dates=H","DateFormat=P","Fill=—","Direction=H","UseDPDF=Y")</f>
        <v>534.20000000000005</v>
      </c>
      <c r="Q82" s="13">
        <f>_xll.BDH("AMGN US Equity","BS_SH_OUT","FQ2 2022","FQ2 2022","Currency=USD","Period=FQ","BEST_FPERIOD_OVERRIDE=FQ","FILING_STATUS=MR","Sort=A","Dates=H","DateFormat=P","Fill=—","Direction=H","UseDPDF=Y")</f>
        <v>534.9</v>
      </c>
      <c r="R82" s="13">
        <f>_xll.BDH("AMGN US Equity","BS_SH_OUT","FQ3 2022","FQ3 2022","Currency=USD","Period=FQ","BEST_FPERIOD_OVERRIDE=FQ","FILING_STATUS=MR","Sort=A","Dates=H","DateFormat=P","Fill=—","Direction=H","UseDPDF=Y")</f>
        <v>533.5</v>
      </c>
      <c r="S82" s="13">
        <f>_xll.BDH("AMGN US Equity","BS_SH_OUT","FQ4 2022","FQ4 2022","Currency=USD","Period=FQ","BEST_FPERIOD_OVERRIDE=FQ","FILING_STATUS=MR","Sort=A","Dates=H","DateFormat=P","Fill=—","Direction=H","UseDPDF=Y")</f>
        <v>534</v>
      </c>
      <c r="T82" s="13">
        <f>_xll.BDH("AMGN US Equity","BS_SH_OUT","FQ1 2023","FQ1 2023","Currency=USD","Period=FQ","BEST_FPERIOD_OVERRIDE=FQ","FILING_STATUS=MR","Sort=A","Dates=H","DateFormat=P","Fill=—","Direction=H","UseDPDF=Y")</f>
        <v>534.29999999999995</v>
      </c>
      <c r="U82" s="13">
        <f>_xll.BDH("AMGN US Equity","BS_SH_OUT","FQ2 2023","FQ2 2023","Currency=USD","Period=FQ","BEST_FPERIOD_OVERRIDE=FQ","FILING_STATUS=MR","Sort=A","Dates=H","DateFormat=P","Fill=—","Direction=H","UseDPDF=Y")</f>
        <v>534.9</v>
      </c>
      <c r="V82" s="13">
        <f>_xll.BDH("AMGN US Equity","BS_SH_OUT","FQ3 2023","FQ3 2023","Currency=USD","Period=FQ","BEST_FPERIOD_OVERRIDE=FQ","FILING_STATUS=MR","Sort=A","Dates=H","DateFormat=P","Fill=—","Direction=H","UseDPDF=Y")</f>
        <v>535.1</v>
      </c>
      <c r="W82" s="13">
        <f>_xll.BDH("AMGN US Equity","BS_SH_OUT","FQ4 2023","FQ4 2023","Currency=USD","Period=FQ","BEST_FPERIOD_OVERRIDE=FQ","FILING_STATUS=MR","Sort=A","Dates=H","DateFormat=P","Fill=—","Direction=H","UseDPDF=Y")</f>
        <v>535.4</v>
      </c>
      <c r="X82" s="13">
        <f>_xll.BDH("AMGN US Equity","BS_SH_OUT","FQ1 2024","FQ1 2024","Currency=USD","Period=FQ","BEST_FPERIOD_OVERRIDE=FQ","FILING_STATUS=MR","Sort=A","Dates=H","DateFormat=P","Fill=—","Direction=H","UseDPDF=Y")</f>
        <v>536.4</v>
      </c>
      <c r="Y82" s="13">
        <f>_xll.BDH("AMGN US Equity","BS_SH_OUT","FQ2 2024","FQ2 2024","Currency=USD","Period=FQ","BEST_FPERIOD_OVERRIDE=FQ","FILING_STATUS=MR","Sort=A","Dates=H","DateFormat=P","Fill=—","Direction=H","UseDPDF=Y")</f>
        <v>537.20000000000005</v>
      </c>
      <c r="Z82" s="13">
        <f>_xll.BDH("AMGN US Equity","BS_SH_OUT","FQ3 2024","FQ3 2024","Currency=USD","Period=FQ","BEST_FPERIOD_OVERRIDE=FQ","FILING_STATUS=MR","Sort=A","Dates=H","DateFormat=P","Fill=—","Direction=H","UseDPDF=Y")</f>
        <v>537.5</v>
      </c>
      <c r="AA82" s="13">
        <f>_xll.BDH("AMGN US Equity","BS_SH_OUT","FQ4 2024","FQ4 2024","Currency=USD","Period=FQ","BEST_FPERIOD_OVERRIDE=FQ","FILING_STATUS=MR","Sort=A","Dates=H","DateFormat=P","Fill=—","Direction=H","UseDPDF=Y")</f>
        <v>536.9</v>
      </c>
    </row>
    <row r="83" spans="1:27" x14ac:dyDescent="0.25">
      <c r="A83" s="10" t="s">
        <v>830</v>
      </c>
      <c r="B83" s="10" t="s">
        <v>831</v>
      </c>
      <c r="C83" s="13">
        <f>_xll.BDH("AMGN US Equity","BS_NUM_OF_TSY_SH","FQ4 2018","FQ4 2018","Currency=USD","Period=FQ","BEST_FPERIOD_OVERRIDE=FQ","FILING_STATUS=MR","Sort=A","Dates=H","DateFormat=P","Fill=—","Direction=H","UseDPDF=Y")</f>
        <v>0</v>
      </c>
      <c r="D83" s="13">
        <f>_xll.BDH("AMGN US Equity","BS_NUM_OF_TSY_SH","FQ1 2019","FQ1 2019","Currency=USD","Period=FQ","BEST_FPERIOD_OVERRIDE=FQ","FILING_STATUS=MR","Sort=A","Dates=H","DateFormat=P","Fill=—","Direction=H","UseDPDF=Y")</f>
        <v>0</v>
      </c>
      <c r="E83" s="13">
        <f>_xll.BDH("AMGN US Equity","BS_NUM_OF_TSY_SH","FQ2 2019","FQ2 2019","Currency=USD","Period=FQ","BEST_FPERIOD_OVERRIDE=FQ","FILING_STATUS=MR","Sort=A","Dates=H","DateFormat=P","Fill=—","Direction=H","UseDPDF=Y")</f>
        <v>0</v>
      </c>
      <c r="F83" s="13">
        <f>_xll.BDH("AMGN US Equity","BS_NUM_OF_TSY_SH","FQ3 2019","FQ3 2019","Currency=USD","Period=FQ","BEST_FPERIOD_OVERRIDE=FQ","FILING_STATUS=MR","Sort=A","Dates=H","DateFormat=P","Fill=—","Direction=H","UseDPDF=Y")</f>
        <v>0</v>
      </c>
      <c r="G83" s="13">
        <f>_xll.BDH("AMGN US Equity","BS_NUM_OF_TSY_SH","FQ4 2019","FQ4 2019","Currency=USD","Period=FQ","BEST_FPERIOD_OVERRIDE=FQ","FILING_STATUS=MR","Sort=A","Dates=H","DateFormat=P","Fill=—","Direction=H","UseDPDF=Y")</f>
        <v>0</v>
      </c>
      <c r="H83" s="13">
        <f>_xll.BDH("AMGN US Equity","BS_NUM_OF_TSY_SH","FQ1 2020","FQ1 2020","Currency=USD","Period=FQ","BEST_FPERIOD_OVERRIDE=FQ","FILING_STATUS=MR","Sort=A","Dates=H","DateFormat=P","Fill=—","Direction=H","UseDPDF=Y")</f>
        <v>0</v>
      </c>
      <c r="I83" s="13">
        <f>_xll.BDH("AMGN US Equity","BS_NUM_OF_TSY_SH","FQ2 2020","FQ2 2020","Currency=USD","Period=FQ","BEST_FPERIOD_OVERRIDE=FQ","FILING_STATUS=MR","Sort=A","Dates=H","DateFormat=P","Fill=—","Direction=H","UseDPDF=Y")</f>
        <v>0</v>
      </c>
      <c r="J83" s="13">
        <f>_xll.BDH("AMGN US Equity","BS_NUM_OF_TSY_SH","FQ3 2020","FQ3 2020","Currency=USD","Period=FQ","BEST_FPERIOD_OVERRIDE=FQ","FILING_STATUS=MR","Sort=A","Dates=H","DateFormat=P","Fill=—","Direction=H","UseDPDF=Y")</f>
        <v>0</v>
      </c>
      <c r="K83" s="13">
        <f>_xll.BDH("AMGN US Equity","BS_NUM_OF_TSY_SH","FQ4 2020","FQ4 2020","Currency=USD","Period=FQ","BEST_FPERIOD_OVERRIDE=FQ","FILING_STATUS=MR","Sort=A","Dates=H","DateFormat=P","Fill=—","Direction=H","UseDPDF=Y")</f>
        <v>0</v>
      </c>
      <c r="L83" s="13">
        <f>_xll.BDH("AMGN US Equity","BS_NUM_OF_TSY_SH","FQ1 2021","FQ1 2021","Currency=USD","Period=FQ","BEST_FPERIOD_OVERRIDE=FQ","FILING_STATUS=MR","Sort=A","Dates=H","DateFormat=P","Fill=—","Direction=H","UseDPDF=Y")</f>
        <v>0</v>
      </c>
      <c r="M83" s="13">
        <f>_xll.BDH("AMGN US Equity","BS_NUM_OF_TSY_SH","FQ2 2021","FQ2 2021","Currency=USD","Period=FQ","BEST_FPERIOD_OVERRIDE=FQ","FILING_STATUS=MR","Sort=A","Dates=H","DateFormat=P","Fill=—","Direction=H","UseDPDF=Y")</f>
        <v>0</v>
      </c>
      <c r="N83" s="13">
        <f>_xll.BDH("AMGN US Equity","BS_NUM_OF_TSY_SH","FQ3 2021","FQ3 2021","Currency=USD","Period=FQ","BEST_FPERIOD_OVERRIDE=FQ","FILING_STATUS=MR","Sort=A","Dates=H","DateFormat=P","Fill=—","Direction=H","UseDPDF=Y")</f>
        <v>0</v>
      </c>
      <c r="O83" s="13">
        <f>_xll.BDH("AMGN US Equity","BS_NUM_OF_TSY_SH","FQ4 2021","FQ4 2021","Currency=USD","Period=FQ","BEST_FPERIOD_OVERRIDE=FQ","FILING_STATUS=MR","Sort=A","Dates=H","DateFormat=P","Fill=—","Direction=H","UseDPDF=Y")</f>
        <v>0</v>
      </c>
      <c r="P83" s="13">
        <f>_xll.BDH("AMGN US Equity","BS_NUM_OF_TSY_SH","FQ1 2022","FQ1 2022","Currency=USD","Period=FQ","BEST_FPERIOD_OVERRIDE=FQ","FILING_STATUS=MR","Sort=A","Dates=H","DateFormat=P","Fill=—","Direction=H","UseDPDF=Y")</f>
        <v>0</v>
      </c>
      <c r="Q83" s="13">
        <f>_xll.BDH("AMGN US Equity","BS_NUM_OF_TSY_SH","FQ2 2022","FQ2 2022","Currency=USD","Period=FQ","BEST_FPERIOD_OVERRIDE=FQ","FILING_STATUS=MR","Sort=A","Dates=H","DateFormat=P","Fill=—","Direction=H","UseDPDF=Y")</f>
        <v>0</v>
      </c>
      <c r="R83" s="13">
        <f>_xll.BDH("AMGN US Equity","BS_NUM_OF_TSY_SH","FQ3 2022","FQ3 2022","Currency=USD","Period=FQ","BEST_FPERIOD_OVERRIDE=FQ","FILING_STATUS=MR","Sort=A","Dates=H","DateFormat=P","Fill=—","Direction=H","UseDPDF=Y")</f>
        <v>0</v>
      </c>
      <c r="S83" s="13">
        <f>_xll.BDH("AMGN US Equity","BS_NUM_OF_TSY_SH","FQ4 2022","FQ4 2022","Currency=USD","Period=FQ","BEST_FPERIOD_OVERRIDE=FQ","FILING_STATUS=MR","Sort=A","Dates=H","DateFormat=P","Fill=—","Direction=H","UseDPDF=Y")</f>
        <v>0</v>
      </c>
      <c r="T83" s="13">
        <f>_xll.BDH("AMGN US Equity","BS_NUM_OF_TSY_SH","FQ1 2023","FQ1 2023","Currency=USD","Period=FQ","BEST_FPERIOD_OVERRIDE=FQ","FILING_STATUS=MR","Sort=A","Dates=H","DateFormat=P","Fill=—","Direction=H","UseDPDF=Y")</f>
        <v>0</v>
      </c>
      <c r="U83" s="13">
        <f>_xll.BDH("AMGN US Equity","BS_NUM_OF_TSY_SH","FQ2 2023","FQ2 2023","Currency=USD","Period=FQ","BEST_FPERIOD_OVERRIDE=FQ","FILING_STATUS=MR","Sort=A","Dates=H","DateFormat=P","Fill=—","Direction=H","UseDPDF=Y")</f>
        <v>0</v>
      </c>
      <c r="V83" s="13">
        <f>_xll.BDH("AMGN US Equity","BS_NUM_OF_TSY_SH","FQ3 2023","FQ3 2023","Currency=USD","Period=FQ","BEST_FPERIOD_OVERRIDE=FQ","FILING_STATUS=MR","Sort=A","Dates=H","DateFormat=P","Fill=—","Direction=H","UseDPDF=Y")</f>
        <v>0</v>
      </c>
      <c r="W83" s="13">
        <f>_xll.BDH("AMGN US Equity","BS_NUM_OF_TSY_SH","FQ4 2023","FQ4 2023","Currency=USD","Period=FQ","BEST_FPERIOD_OVERRIDE=FQ","FILING_STATUS=MR","Sort=A","Dates=H","DateFormat=P","Fill=—","Direction=H","UseDPDF=Y")</f>
        <v>0</v>
      </c>
      <c r="X83" s="13">
        <f>_xll.BDH("AMGN US Equity","BS_NUM_OF_TSY_SH","FQ1 2024","FQ1 2024","Currency=USD","Period=FQ","BEST_FPERIOD_OVERRIDE=FQ","FILING_STATUS=MR","Sort=A","Dates=H","DateFormat=P","Fill=—","Direction=H","UseDPDF=Y")</f>
        <v>0</v>
      </c>
      <c r="Y83" s="13">
        <f>_xll.BDH("AMGN US Equity","BS_NUM_OF_TSY_SH","FQ2 2024","FQ2 2024","Currency=USD","Period=FQ","BEST_FPERIOD_OVERRIDE=FQ","FILING_STATUS=MR","Sort=A","Dates=H","DateFormat=P","Fill=—","Direction=H","UseDPDF=Y")</f>
        <v>0</v>
      </c>
      <c r="Z83" s="13">
        <f>_xll.BDH("AMGN US Equity","BS_NUM_OF_TSY_SH","FQ3 2024","FQ3 2024","Currency=USD","Period=FQ","BEST_FPERIOD_OVERRIDE=FQ","FILING_STATUS=MR","Sort=A","Dates=H","DateFormat=P","Fill=—","Direction=H","UseDPDF=Y")</f>
        <v>0</v>
      </c>
      <c r="AA83" s="13">
        <f>_xll.BDH("AMGN US Equity","BS_NUM_OF_TSY_SH","FQ4 2024","FQ4 2024","Currency=USD","Period=FQ","BEST_FPERIOD_OVERRIDE=FQ","FILING_STATUS=MR","Sort=A","Dates=H","DateFormat=P","Fill=—","Direction=H","UseDPDF=Y")</f>
        <v>0</v>
      </c>
    </row>
    <row r="84" spans="1:27" x14ac:dyDescent="0.25">
      <c r="A84" s="10" t="s">
        <v>832</v>
      </c>
      <c r="B84" s="10" t="s">
        <v>833</v>
      </c>
      <c r="C84" s="13">
        <f>_xll.BDH("AMGN US Equity","BS_PENSION_RSRV","FQ4 2018","FQ4 2018","Currency=USD","Period=FQ","BEST_FPERIOD_OVERRIDE=FQ","FILING_STATUS=MR","SCALING_FORMAT=MLN","Sort=A","Dates=H","DateFormat=P","Fill=—","Direction=H","UseDPDF=Y")</f>
        <v>0</v>
      </c>
      <c r="D84" s="13">
        <f>_xll.BDH("AMGN US Equity","BS_PENSION_RSRV","FQ1 2019","FQ1 2019","Currency=USD","Period=FQ","BEST_FPERIOD_OVERRIDE=FQ","FILING_STATUS=MR","SCALING_FORMAT=MLN","Sort=A","Dates=H","DateFormat=P","Fill=—","Direction=H","UseDPDF=Y")</f>
        <v>0</v>
      </c>
      <c r="E84" s="13">
        <f>_xll.BDH("AMGN US Equity","BS_PENSION_RSRV","FQ2 2019","FQ2 2019","Currency=USD","Period=FQ","BEST_FPERIOD_OVERRIDE=FQ","FILING_STATUS=MR","SCALING_FORMAT=MLN","Sort=A","Dates=H","DateFormat=P","Fill=—","Direction=H","UseDPDF=Y")</f>
        <v>0</v>
      </c>
      <c r="F84" s="13">
        <f>_xll.BDH("AMGN US Equity","BS_PENSION_RSRV","FQ3 2019","FQ3 2019","Currency=USD","Period=FQ","BEST_FPERIOD_OVERRIDE=FQ","FILING_STATUS=MR","SCALING_FORMAT=MLN","Sort=A","Dates=H","DateFormat=P","Fill=—","Direction=H","UseDPDF=Y")</f>
        <v>0</v>
      </c>
      <c r="G84" s="13">
        <f>_xll.BDH("AMGN US Equity","BS_PENSION_RSRV","FQ4 2019","FQ4 2019","Currency=USD","Period=FQ","BEST_FPERIOD_OVERRIDE=FQ","FILING_STATUS=MR","SCALING_FORMAT=MLN","Sort=A","Dates=H","DateFormat=P","Fill=—","Direction=H","UseDPDF=Y")</f>
        <v>0</v>
      </c>
      <c r="H84" s="13">
        <f>_xll.BDH("AMGN US Equity","BS_PENSION_RSRV","FQ1 2020","FQ1 2020","Currency=USD","Period=FQ","BEST_FPERIOD_OVERRIDE=FQ","FILING_STATUS=MR","SCALING_FORMAT=MLN","Sort=A","Dates=H","DateFormat=P","Fill=—","Direction=H","UseDPDF=Y")</f>
        <v>0</v>
      </c>
      <c r="I84" s="13">
        <f>_xll.BDH("AMGN US Equity","BS_PENSION_RSRV","FQ2 2020","FQ2 2020","Currency=USD","Period=FQ","BEST_FPERIOD_OVERRIDE=FQ","FILING_STATUS=MR","SCALING_FORMAT=MLN","Sort=A","Dates=H","DateFormat=P","Fill=—","Direction=H","UseDPDF=Y")</f>
        <v>0</v>
      </c>
      <c r="J84" s="13">
        <f>_xll.BDH("AMGN US Equity","BS_PENSION_RSRV","FQ3 2020","FQ3 2020","Currency=USD","Period=FQ","BEST_FPERIOD_OVERRIDE=FQ","FILING_STATUS=MR","SCALING_FORMAT=MLN","Sort=A","Dates=H","DateFormat=P","Fill=—","Direction=H","UseDPDF=Y")</f>
        <v>0</v>
      </c>
      <c r="K84" s="13">
        <f>_xll.BDH("AMGN US Equity","BS_PENSION_RSRV","FQ4 2020","FQ4 2020","Currency=USD","Period=FQ","BEST_FPERIOD_OVERRIDE=FQ","FILING_STATUS=MR","SCALING_FORMAT=MLN","Sort=A","Dates=H","DateFormat=P","Fill=—","Direction=H","UseDPDF=Y")</f>
        <v>0</v>
      </c>
      <c r="L84" s="13">
        <f>_xll.BDH("AMGN US Equity","BS_PENSION_RSRV","FQ1 2021","FQ1 2021","Currency=USD","Period=FQ","BEST_FPERIOD_OVERRIDE=FQ","FILING_STATUS=MR","SCALING_FORMAT=MLN","Sort=A","Dates=H","DateFormat=P","Fill=—","Direction=H","UseDPDF=Y")</f>
        <v>0</v>
      </c>
      <c r="M84" s="13">
        <f>_xll.BDH("AMGN US Equity","BS_PENSION_RSRV","FQ2 2021","FQ2 2021","Currency=USD","Period=FQ","BEST_FPERIOD_OVERRIDE=FQ","FILING_STATUS=MR","SCALING_FORMAT=MLN","Sort=A","Dates=H","DateFormat=P","Fill=—","Direction=H","UseDPDF=Y")</f>
        <v>0</v>
      </c>
      <c r="N84" s="13">
        <f>_xll.BDH("AMGN US Equity","BS_PENSION_RSRV","FQ3 2021","FQ3 2021","Currency=USD","Period=FQ","BEST_FPERIOD_OVERRIDE=FQ","FILING_STATUS=MR","SCALING_FORMAT=MLN","Sort=A","Dates=H","DateFormat=P","Fill=—","Direction=H","UseDPDF=Y")</f>
        <v>0</v>
      </c>
      <c r="O84" s="13">
        <f>_xll.BDH("AMGN US Equity","BS_PENSION_RSRV","FQ4 2021","FQ4 2021","Currency=USD","Period=FQ","BEST_FPERIOD_OVERRIDE=FQ","FILING_STATUS=MR","SCALING_FORMAT=MLN","Sort=A","Dates=H","DateFormat=P","Fill=—","Direction=H","UseDPDF=Y")</f>
        <v>0</v>
      </c>
      <c r="P84" s="13">
        <f>_xll.BDH("AMGN US Equity","BS_PENSION_RSRV","FQ1 2022","FQ1 2022","Currency=USD","Period=FQ","BEST_FPERIOD_OVERRIDE=FQ","FILING_STATUS=MR","SCALING_FORMAT=MLN","Sort=A","Dates=H","DateFormat=P","Fill=—","Direction=H","UseDPDF=Y")</f>
        <v>0</v>
      </c>
      <c r="Q84" s="13">
        <f>_xll.BDH("AMGN US Equity","BS_PENSION_RSRV","FQ2 2022","FQ2 2022","Currency=USD","Period=FQ","BEST_FPERIOD_OVERRIDE=FQ","FILING_STATUS=MR","SCALING_FORMAT=MLN","Sort=A","Dates=H","DateFormat=P","Fill=—","Direction=H","UseDPDF=Y")</f>
        <v>0</v>
      </c>
      <c r="R84" s="13">
        <f>_xll.BDH("AMGN US Equity","BS_PENSION_RSRV","FQ3 2022","FQ3 2022","Currency=USD","Period=FQ","BEST_FPERIOD_OVERRIDE=FQ","FILING_STATUS=MR","SCALING_FORMAT=MLN","Sort=A","Dates=H","DateFormat=P","Fill=—","Direction=H","UseDPDF=Y")</f>
        <v>0</v>
      </c>
      <c r="S84" s="13">
        <f>_xll.BDH("AMGN US Equity","BS_PENSION_RSRV","FQ4 2022","FQ4 2022","Currency=USD","Period=FQ","BEST_FPERIOD_OVERRIDE=FQ","FILING_STATUS=MR","SCALING_FORMAT=MLN","Sort=A","Dates=H","DateFormat=P","Fill=—","Direction=H","UseDPDF=Y")</f>
        <v>0</v>
      </c>
      <c r="T84" s="13">
        <f>_xll.BDH("AMGN US Equity","BS_PENSION_RSRV","FQ1 2023","FQ1 2023","Currency=USD","Period=FQ","BEST_FPERIOD_OVERRIDE=FQ","FILING_STATUS=MR","SCALING_FORMAT=MLN","Sort=A","Dates=H","DateFormat=P","Fill=—","Direction=H","UseDPDF=Y")</f>
        <v>0</v>
      </c>
      <c r="U84" s="13">
        <f>_xll.BDH("AMGN US Equity","BS_PENSION_RSRV","FQ2 2023","FQ2 2023","Currency=USD","Period=FQ","BEST_FPERIOD_OVERRIDE=FQ","FILING_STATUS=MR","SCALING_FORMAT=MLN","Sort=A","Dates=H","DateFormat=P","Fill=—","Direction=H","UseDPDF=Y")</f>
        <v>0</v>
      </c>
      <c r="V84" s="13">
        <f>_xll.BDH("AMGN US Equity","BS_PENSION_RSRV","FQ3 2023","FQ3 2023","Currency=USD","Period=FQ","BEST_FPERIOD_OVERRIDE=FQ","FILING_STATUS=MR","SCALING_FORMAT=MLN","Sort=A","Dates=H","DateFormat=P","Fill=—","Direction=H","UseDPDF=Y")</f>
        <v>0</v>
      </c>
      <c r="W84" s="13">
        <f>_xll.BDH("AMGN US Equity","BS_PENSION_RSRV","FQ4 2023","FQ4 2023","Currency=USD","Period=FQ","BEST_FPERIOD_OVERRIDE=FQ","FILING_STATUS=MR","SCALING_FORMAT=MLN","Sort=A","Dates=H","DateFormat=P","Fill=—","Direction=H","UseDPDF=Y")</f>
        <v>0</v>
      </c>
      <c r="X84" s="13">
        <f>_xll.BDH("AMGN US Equity","BS_PENSION_RSRV","FQ1 2024","FQ1 2024","Currency=USD","Period=FQ","BEST_FPERIOD_OVERRIDE=FQ","FILING_STATUS=MR","SCALING_FORMAT=MLN","Sort=A","Dates=H","DateFormat=P","Fill=—","Direction=H","UseDPDF=Y")</f>
        <v>0</v>
      </c>
      <c r="Y84" s="13">
        <f>_xll.BDH("AMGN US Equity","BS_PENSION_RSRV","FQ2 2024","FQ2 2024","Currency=USD","Period=FQ","BEST_FPERIOD_OVERRIDE=FQ","FILING_STATUS=MR","SCALING_FORMAT=MLN","Sort=A","Dates=H","DateFormat=P","Fill=—","Direction=H","UseDPDF=Y")</f>
        <v>0</v>
      </c>
      <c r="Z84" s="13">
        <f>_xll.BDH("AMGN US Equity","BS_PENSION_RSRV","FQ3 2024","FQ3 2024","Currency=USD","Period=FQ","BEST_FPERIOD_OVERRIDE=FQ","FILING_STATUS=MR","SCALING_FORMAT=MLN","Sort=A","Dates=H","DateFormat=P","Fill=—","Direction=H","UseDPDF=Y")</f>
        <v>0</v>
      </c>
      <c r="AA84" s="13">
        <f>_xll.BDH("AMGN US Equity","BS_PENSION_RSRV","FQ4 2024","FQ4 2024","Currency=USD","Period=FQ","BEST_FPERIOD_OVERRIDE=FQ","FILING_STATUS=MR","SCALING_FORMAT=MLN","Sort=A","Dates=H","DateFormat=P","Fill=—","Direction=H","UseDPDF=Y")</f>
        <v>0</v>
      </c>
    </row>
    <row r="85" spans="1:27" x14ac:dyDescent="0.25">
      <c r="A85" s="10" t="s">
        <v>834</v>
      </c>
      <c r="B85" s="10" t="s">
        <v>835</v>
      </c>
      <c r="C85" s="13">
        <f>_xll.BDH("AMGN US Equity","BS_FUTURE_MIN_OPER_LEASE_OBLIG","FQ4 2018","FQ4 2018","Currency=USD","Period=FQ","BEST_FPERIOD_OVERRIDE=FQ","FILING_STATUS=MR","SCALING_FORMAT=MLN","Sort=A","Dates=H","DateFormat=P","Fill=—","Direction=H","UseDPDF=Y")</f>
        <v>569</v>
      </c>
      <c r="D85" s="13">
        <f>_xll.BDH("AMGN US Equity","BS_FUTURE_MIN_OPER_LEASE_OBLIG","FQ1 2019","FQ1 2019","Currency=USD","Period=FQ","BEST_FPERIOD_OVERRIDE=FQ","FILING_STATUS=MR","SCALING_FORMAT=MLN","Sort=A","Dates=H","DateFormat=P","Fill=—","Direction=H","UseDPDF=Y")</f>
        <v>527</v>
      </c>
      <c r="E85" s="13">
        <f>_xll.BDH("AMGN US Equity","BS_FUTURE_MIN_OPER_LEASE_OBLIG","FQ2 2019","FQ2 2019","Currency=USD","Period=FQ","BEST_FPERIOD_OVERRIDE=FQ","FILING_STATUS=MR","SCALING_FORMAT=MLN","Sort=A","Dates=H","DateFormat=P","Fill=—","Direction=H","UseDPDF=Y")</f>
        <v>536</v>
      </c>
      <c r="F85" s="13">
        <f>_xll.BDH("AMGN US Equity","BS_FUTURE_MIN_OPER_LEASE_OBLIG","FQ3 2019","FQ3 2019","Currency=USD","Period=FQ","BEST_FPERIOD_OVERRIDE=FQ","FILING_STATUS=MR","SCALING_FORMAT=MLN","Sort=A","Dates=H","DateFormat=P","Fill=—","Direction=H","UseDPDF=Y")</f>
        <v>522</v>
      </c>
      <c r="G85" s="13">
        <f>_xll.BDH("AMGN US Equity","BS_FUTURE_MIN_OPER_LEASE_OBLIG","FQ4 2019","FQ4 2019","Currency=USD","Period=FQ","BEST_FPERIOD_OVERRIDE=FQ","FILING_STATUS=MR","SCALING_FORMAT=MLN","Sort=A","Dates=H","DateFormat=P","Fill=—","Direction=H","UseDPDF=Y")</f>
        <v>567</v>
      </c>
      <c r="H85" s="13" t="str">
        <f>_xll.BDH("AMGN US Equity","BS_FUTURE_MIN_OPER_LEASE_OBLIG","FQ1 2020","FQ1 2020","Currency=USD","Period=FQ","BEST_FPERIOD_OVERRIDE=FQ","FILING_STATUS=MR","SCALING_FORMAT=MLN","Sort=A","Dates=H","DateFormat=P","Fill=—","Direction=H","UseDPDF=Y")</f>
        <v>—</v>
      </c>
      <c r="I85" s="13" t="str">
        <f>_xll.BDH("AMGN US Equity","BS_FUTURE_MIN_OPER_LEASE_OBLIG","FQ2 2020","FQ2 2020","Currency=USD","Period=FQ","BEST_FPERIOD_OVERRIDE=FQ","FILING_STATUS=MR","SCALING_FORMAT=MLN","Sort=A","Dates=H","DateFormat=P","Fill=—","Direction=H","UseDPDF=Y")</f>
        <v>—</v>
      </c>
      <c r="J85" s="13" t="str">
        <f>_xll.BDH("AMGN US Equity","BS_FUTURE_MIN_OPER_LEASE_OBLIG","FQ3 2020","FQ3 2020","Currency=USD","Period=FQ","BEST_FPERIOD_OVERRIDE=FQ","FILING_STATUS=MR","SCALING_FORMAT=MLN","Sort=A","Dates=H","DateFormat=P","Fill=—","Direction=H","UseDPDF=Y")</f>
        <v>—</v>
      </c>
      <c r="K85" s="13">
        <f>_xll.BDH("AMGN US Equity","BS_FUTURE_MIN_OPER_LEASE_OBLIG","FQ4 2020","FQ4 2020","Currency=USD","Period=FQ","BEST_FPERIOD_OVERRIDE=FQ","FILING_STATUS=MR","SCALING_FORMAT=MLN","Sort=A","Dates=H","DateFormat=P","Fill=—","Direction=H","UseDPDF=Y")</f>
        <v>488</v>
      </c>
      <c r="L85" s="13" t="str">
        <f>_xll.BDH("AMGN US Equity","BS_FUTURE_MIN_OPER_LEASE_OBLIG","FQ1 2021","FQ1 2021","Currency=USD","Period=FQ","BEST_FPERIOD_OVERRIDE=FQ","FILING_STATUS=MR","SCALING_FORMAT=MLN","Sort=A","Dates=H","DateFormat=P","Fill=—","Direction=H","UseDPDF=Y")</f>
        <v>—</v>
      </c>
      <c r="M85" s="13" t="str">
        <f>_xll.BDH("AMGN US Equity","BS_FUTURE_MIN_OPER_LEASE_OBLIG","FQ2 2021","FQ2 2021","Currency=USD","Period=FQ","BEST_FPERIOD_OVERRIDE=FQ","FILING_STATUS=MR","SCALING_FORMAT=MLN","Sort=A","Dates=H","DateFormat=P","Fill=—","Direction=H","UseDPDF=Y")</f>
        <v>—</v>
      </c>
      <c r="N85" s="13" t="str">
        <f>_xll.BDH("AMGN US Equity","BS_FUTURE_MIN_OPER_LEASE_OBLIG","FQ3 2021","FQ3 2021","Currency=USD","Period=FQ","BEST_FPERIOD_OVERRIDE=FQ","FILING_STATUS=MR","SCALING_FORMAT=MLN","Sort=A","Dates=H","DateFormat=P","Fill=—","Direction=H","UseDPDF=Y")</f>
        <v>—</v>
      </c>
      <c r="O85" s="13">
        <f>_xll.BDH("AMGN US Equity","BS_FUTURE_MIN_OPER_LEASE_OBLIG","FQ4 2021","FQ4 2021","Currency=USD","Period=FQ","BEST_FPERIOD_OVERRIDE=FQ","FILING_STATUS=MR","SCALING_FORMAT=MLN","Sort=A","Dates=H","DateFormat=P","Fill=—","Direction=H","UseDPDF=Y")</f>
        <v>753</v>
      </c>
      <c r="P85" s="13" t="str">
        <f>_xll.BDH("AMGN US Equity","BS_FUTURE_MIN_OPER_LEASE_OBLIG","FQ1 2022","FQ1 2022","Currency=USD","Period=FQ","BEST_FPERIOD_OVERRIDE=FQ","FILING_STATUS=MR","SCALING_FORMAT=MLN","Sort=A","Dates=H","DateFormat=P","Fill=—","Direction=H","UseDPDF=Y")</f>
        <v>—</v>
      </c>
      <c r="Q85" s="13" t="str">
        <f>_xll.BDH("AMGN US Equity","BS_FUTURE_MIN_OPER_LEASE_OBLIG","FQ2 2022","FQ2 2022","Currency=USD","Period=FQ","BEST_FPERIOD_OVERRIDE=FQ","FILING_STATUS=MR","SCALING_FORMAT=MLN","Sort=A","Dates=H","DateFormat=P","Fill=—","Direction=H","UseDPDF=Y")</f>
        <v>—</v>
      </c>
      <c r="R85" s="13" t="str">
        <f>_xll.BDH("AMGN US Equity","BS_FUTURE_MIN_OPER_LEASE_OBLIG","FQ3 2022","FQ3 2022","Currency=USD","Period=FQ","BEST_FPERIOD_OVERRIDE=FQ","FILING_STATUS=MR","SCALING_FORMAT=MLN","Sort=A","Dates=H","DateFormat=P","Fill=—","Direction=H","UseDPDF=Y")</f>
        <v>—</v>
      </c>
      <c r="S85" s="13">
        <f>_xll.BDH("AMGN US Equity","BS_FUTURE_MIN_OPER_LEASE_OBLIG","FQ4 2022","FQ4 2022","Currency=USD","Period=FQ","BEST_FPERIOD_OVERRIDE=FQ","FILING_STATUS=MR","SCALING_FORMAT=MLN","Sort=A","Dates=H","DateFormat=P","Fill=—","Direction=H","UseDPDF=Y")</f>
        <v>781</v>
      </c>
      <c r="T85" s="13" t="str">
        <f>_xll.BDH("AMGN US Equity","BS_FUTURE_MIN_OPER_LEASE_OBLIG","FQ1 2023","FQ1 2023","Currency=USD","Period=FQ","BEST_FPERIOD_OVERRIDE=FQ","FILING_STATUS=MR","SCALING_FORMAT=MLN","Sort=A","Dates=H","DateFormat=P","Fill=—","Direction=H","UseDPDF=Y")</f>
        <v>—</v>
      </c>
      <c r="U85" s="13" t="str">
        <f>_xll.BDH("AMGN US Equity","BS_FUTURE_MIN_OPER_LEASE_OBLIG","FQ2 2023","FQ2 2023","Currency=USD","Period=FQ","BEST_FPERIOD_OVERRIDE=FQ","FILING_STATUS=MR","SCALING_FORMAT=MLN","Sort=A","Dates=H","DateFormat=P","Fill=—","Direction=H","UseDPDF=Y")</f>
        <v>—</v>
      </c>
      <c r="V85" s="13" t="str">
        <f>_xll.BDH("AMGN US Equity","BS_FUTURE_MIN_OPER_LEASE_OBLIG","FQ3 2023","FQ3 2023","Currency=USD","Period=FQ","BEST_FPERIOD_OVERRIDE=FQ","FILING_STATUS=MR","SCALING_FORMAT=MLN","Sort=A","Dates=H","DateFormat=P","Fill=—","Direction=H","UseDPDF=Y")</f>
        <v>—</v>
      </c>
      <c r="W85" s="13">
        <f>_xll.BDH("AMGN US Equity","BS_FUTURE_MIN_OPER_LEASE_OBLIG","FQ4 2023","FQ4 2023","Currency=USD","Period=FQ","BEST_FPERIOD_OVERRIDE=FQ","FILING_STATUS=MR","SCALING_FORMAT=MLN","Sort=A","Dates=H","DateFormat=P","Fill=—","Direction=H","UseDPDF=Y")</f>
        <v>977</v>
      </c>
      <c r="X85" s="13" t="str">
        <f>_xll.BDH("AMGN US Equity","BS_FUTURE_MIN_OPER_LEASE_OBLIG","FQ1 2024","FQ1 2024","Currency=USD","Period=FQ","BEST_FPERIOD_OVERRIDE=FQ","FILING_STATUS=MR","SCALING_FORMAT=MLN","Sort=A","Dates=H","DateFormat=P","Fill=—","Direction=H","UseDPDF=Y")</f>
        <v>—</v>
      </c>
      <c r="Y85" s="13" t="str">
        <f>_xll.BDH("AMGN US Equity","BS_FUTURE_MIN_OPER_LEASE_OBLIG","FQ2 2024","FQ2 2024","Currency=USD","Period=FQ","BEST_FPERIOD_OVERRIDE=FQ","FILING_STATUS=MR","SCALING_FORMAT=MLN","Sort=A","Dates=H","DateFormat=P","Fill=—","Direction=H","UseDPDF=Y")</f>
        <v>—</v>
      </c>
      <c r="Z85" s="13" t="str">
        <f>_xll.BDH("AMGN US Equity","BS_FUTURE_MIN_OPER_LEASE_OBLIG","FQ3 2024","FQ3 2024","Currency=USD","Period=FQ","BEST_FPERIOD_OVERRIDE=FQ","FILING_STATUS=MR","SCALING_FORMAT=MLN","Sort=A","Dates=H","DateFormat=P","Fill=—","Direction=H","UseDPDF=Y")</f>
        <v>—</v>
      </c>
      <c r="AA85" s="13">
        <f>_xll.BDH("AMGN US Equity","BS_FUTURE_MIN_OPER_LEASE_OBLIG","FQ4 2024","FQ4 2024","Currency=USD","Period=FQ","BEST_FPERIOD_OVERRIDE=FQ","FILING_STATUS=MR","SCALING_FORMAT=MLN","Sort=A","Dates=H","DateFormat=P","Fill=—","Direction=H","UseDPDF=Y")</f>
        <v>941</v>
      </c>
    </row>
    <row r="86" spans="1:27" x14ac:dyDescent="0.25">
      <c r="A86" s="10" t="s">
        <v>836</v>
      </c>
      <c r="B86" s="10" t="s">
        <v>837</v>
      </c>
      <c r="C86" s="13">
        <f>_xll.BDH("AMGN US Equity","BS_TOTAL_CAPITAL_LEASES","FQ4 2018","FQ4 2018","Currency=USD","Period=FQ","BEST_FPERIOD_OVERRIDE=FQ","FILING_STATUS=MR","SCALING_FORMAT=MLN","Sort=A","Dates=H","DateFormat=P","Fill=—","Direction=H","UseDPDF=Y")</f>
        <v>0</v>
      </c>
      <c r="D86" s="13" t="str">
        <f>_xll.BDH("AMGN US Equity","BS_TOTAL_CAPITAL_LEASES","FQ1 2019","FQ1 2019","Currency=USD","Period=FQ","BEST_FPERIOD_OVERRIDE=FQ","FILING_STATUS=MR","SCALING_FORMAT=MLN","Sort=A","Dates=H","DateFormat=P","Fill=—","Direction=H","UseDPDF=Y")</f>
        <v>—</v>
      </c>
      <c r="E86" s="13" t="str">
        <f>_xll.BDH("AMGN US Equity","BS_TOTAL_CAPITAL_LEASES","FQ2 2019","FQ2 2019","Currency=USD","Period=FQ","BEST_FPERIOD_OVERRIDE=FQ","FILING_STATUS=MR","SCALING_FORMAT=MLN","Sort=A","Dates=H","DateFormat=P","Fill=—","Direction=H","UseDPDF=Y")</f>
        <v>—</v>
      </c>
      <c r="F86" s="13" t="str">
        <f>_xll.BDH("AMGN US Equity","BS_TOTAL_CAPITAL_LEASES","FQ3 2019","FQ3 2019","Currency=USD","Period=FQ","BEST_FPERIOD_OVERRIDE=FQ","FILING_STATUS=MR","SCALING_FORMAT=MLN","Sort=A","Dates=H","DateFormat=P","Fill=—","Direction=H","UseDPDF=Y")</f>
        <v>—</v>
      </c>
      <c r="G86" s="13">
        <f>_xll.BDH("AMGN US Equity","BS_TOTAL_CAPITAL_LEASES","FQ4 2019","FQ4 2019","Currency=USD","Period=FQ","BEST_FPERIOD_OVERRIDE=FQ","FILING_STATUS=MR","SCALING_FORMAT=MLN","Sort=A","Dates=H","DateFormat=P","Fill=—","Direction=H","UseDPDF=Y")</f>
        <v>0</v>
      </c>
      <c r="H86" s="13" t="str">
        <f>_xll.BDH("AMGN US Equity","BS_TOTAL_CAPITAL_LEASES","FQ1 2020","FQ1 2020","Currency=USD","Period=FQ","BEST_FPERIOD_OVERRIDE=FQ","FILING_STATUS=MR","SCALING_FORMAT=MLN","Sort=A","Dates=H","DateFormat=P","Fill=—","Direction=H","UseDPDF=Y")</f>
        <v>—</v>
      </c>
      <c r="I86" s="13" t="str">
        <f>_xll.BDH("AMGN US Equity","BS_TOTAL_CAPITAL_LEASES","FQ2 2020","FQ2 2020","Currency=USD","Period=FQ","BEST_FPERIOD_OVERRIDE=FQ","FILING_STATUS=MR","SCALING_FORMAT=MLN","Sort=A","Dates=H","DateFormat=P","Fill=—","Direction=H","UseDPDF=Y")</f>
        <v>—</v>
      </c>
      <c r="J86" s="13" t="str">
        <f>_xll.BDH("AMGN US Equity","BS_TOTAL_CAPITAL_LEASES","FQ3 2020","FQ3 2020","Currency=USD","Period=FQ","BEST_FPERIOD_OVERRIDE=FQ","FILING_STATUS=MR","SCALING_FORMAT=MLN","Sort=A","Dates=H","DateFormat=P","Fill=—","Direction=H","UseDPDF=Y")</f>
        <v>—</v>
      </c>
      <c r="K86" s="13">
        <f>_xll.BDH("AMGN US Equity","BS_TOTAL_CAPITAL_LEASES","FQ4 2020","FQ4 2020","Currency=USD","Period=FQ","BEST_FPERIOD_OVERRIDE=FQ","FILING_STATUS=MR","SCALING_FORMAT=MLN","Sort=A","Dates=H","DateFormat=P","Fill=—","Direction=H","UseDPDF=Y")</f>
        <v>0</v>
      </c>
      <c r="L86" s="13" t="str">
        <f>_xll.BDH("AMGN US Equity","BS_TOTAL_CAPITAL_LEASES","FQ1 2021","FQ1 2021","Currency=USD","Period=FQ","BEST_FPERIOD_OVERRIDE=FQ","FILING_STATUS=MR","SCALING_FORMAT=MLN","Sort=A","Dates=H","DateFormat=P","Fill=—","Direction=H","UseDPDF=Y")</f>
        <v>—</v>
      </c>
      <c r="M86" s="13" t="str">
        <f>_xll.BDH("AMGN US Equity","BS_TOTAL_CAPITAL_LEASES","FQ2 2021","FQ2 2021","Currency=USD","Period=FQ","BEST_FPERIOD_OVERRIDE=FQ","FILING_STATUS=MR","SCALING_FORMAT=MLN","Sort=A","Dates=H","DateFormat=P","Fill=—","Direction=H","UseDPDF=Y")</f>
        <v>—</v>
      </c>
      <c r="N86" s="13" t="str">
        <f>_xll.BDH("AMGN US Equity","BS_TOTAL_CAPITAL_LEASES","FQ3 2021","FQ3 2021","Currency=USD","Period=FQ","BEST_FPERIOD_OVERRIDE=FQ","FILING_STATUS=MR","SCALING_FORMAT=MLN","Sort=A","Dates=H","DateFormat=P","Fill=—","Direction=H","UseDPDF=Y")</f>
        <v>—</v>
      </c>
      <c r="O86" s="13">
        <f>_xll.BDH("AMGN US Equity","BS_TOTAL_CAPITAL_LEASES","FQ4 2021","FQ4 2021","Currency=USD","Period=FQ","BEST_FPERIOD_OVERRIDE=FQ","FILING_STATUS=MR","SCALING_FORMAT=MLN","Sort=A","Dates=H","DateFormat=P","Fill=—","Direction=H","UseDPDF=Y")</f>
        <v>0</v>
      </c>
      <c r="P86" s="13" t="str">
        <f>_xll.BDH("AMGN US Equity","BS_TOTAL_CAPITAL_LEASES","FQ1 2022","FQ1 2022","Currency=USD","Period=FQ","BEST_FPERIOD_OVERRIDE=FQ","FILING_STATUS=MR","SCALING_FORMAT=MLN","Sort=A","Dates=H","DateFormat=P","Fill=—","Direction=H","UseDPDF=Y")</f>
        <v>—</v>
      </c>
      <c r="Q86" s="13" t="str">
        <f>_xll.BDH("AMGN US Equity","BS_TOTAL_CAPITAL_LEASES","FQ2 2022","FQ2 2022","Currency=USD","Period=FQ","BEST_FPERIOD_OVERRIDE=FQ","FILING_STATUS=MR","SCALING_FORMAT=MLN","Sort=A","Dates=H","DateFormat=P","Fill=—","Direction=H","UseDPDF=Y")</f>
        <v>—</v>
      </c>
      <c r="R86" s="13" t="str">
        <f>_xll.BDH("AMGN US Equity","BS_TOTAL_CAPITAL_LEASES","FQ3 2022","FQ3 2022","Currency=USD","Period=FQ","BEST_FPERIOD_OVERRIDE=FQ","FILING_STATUS=MR","SCALING_FORMAT=MLN","Sort=A","Dates=H","DateFormat=P","Fill=—","Direction=H","UseDPDF=Y")</f>
        <v>—</v>
      </c>
      <c r="S86" s="13">
        <f>_xll.BDH("AMGN US Equity","BS_TOTAL_CAPITAL_LEASES","FQ4 2022","FQ4 2022","Currency=USD","Period=FQ","BEST_FPERIOD_OVERRIDE=FQ","FILING_STATUS=MR","SCALING_FORMAT=MLN","Sort=A","Dates=H","DateFormat=P","Fill=—","Direction=H","UseDPDF=Y")</f>
        <v>0</v>
      </c>
      <c r="T86" s="13" t="str">
        <f>_xll.BDH("AMGN US Equity","BS_TOTAL_CAPITAL_LEASES","FQ1 2023","FQ1 2023","Currency=USD","Period=FQ","BEST_FPERIOD_OVERRIDE=FQ","FILING_STATUS=MR","SCALING_FORMAT=MLN","Sort=A","Dates=H","DateFormat=P","Fill=—","Direction=H","UseDPDF=Y")</f>
        <v>—</v>
      </c>
      <c r="U86" s="13" t="str">
        <f>_xll.BDH("AMGN US Equity","BS_TOTAL_CAPITAL_LEASES","FQ2 2023","FQ2 2023","Currency=USD","Period=FQ","BEST_FPERIOD_OVERRIDE=FQ","FILING_STATUS=MR","SCALING_FORMAT=MLN","Sort=A","Dates=H","DateFormat=P","Fill=—","Direction=H","UseDPDF=Y")</f>
        <v>—</v>
      </c>
      <c r="V86" s="13" t="str">
        <f>_xll.BDH("AMGN US Equity","BS_TOTAL_CAPITAL_LEASES","FQ3 2023","FQ3 2023","Currency=USD","Period=FQ","BEST_FPERIOD_OVERRIDE=FQ","FILING_STATUS=MR","SCALING_FORMAT=MLN","Sort=A","Dates=H","DateFormat=P","Fill=—","Direction=H","UseDPDF=Y")</f>
        <v>—</v>
      </c>
      <c r="W86" s="13">
        <f>_xll.BDH("AMGN US Equity","BS_TOTAL_CAPITAL_LEASES","FQ4 2023","FQ4 2023","Currency=USD","Period=FQ","BEST_FPERIOD_OVERRIDE=FQ","FILING_STATUS=MR","SCALING_FORMAT=MLN","Sort=A","Dates=H","DateFormat=P","Fill=—","Direction=H","UseDPDF=Y")</f>
        <v>0</v>
      </c>
      <c r="X86" s="13" t="str">
        <f>_xll.BDH("AMGN US Equity","BS_TOTAL_CAPITAL_LEASES","FQ1 2024","FQ1 2024","Currency=USD","Period=FQ","BEST_FPERIOD_OVERRIDE=FQ","FILING_STATUS=MR","SCALING_FORMAT=MLN","Sort=A","Dates=H","DateFormat=P","Fill=—","Direction=H","UseDPDF=Y")</f>
        <v>—</v>
      </c>
      <c r="Y86" s="13" t="str">
        <f>_xll.BDH("AMGN US Equity","BS_TOTAL_CAPITAL_LEASES","FQ2 2024","FQ2 2024","Currency=USD","Period=FQ","BEST_FPERIOD_OVERRIDE=FQ","FILING_STATUS=MR","SCALING_FORMAT=MLN","Sort=A","Dates=H","DateFormat=P","Fill=—","Direction=H","UseDPDF=Y")</f>
        <v>—</v>
      </c>
      <c r="Z86" s="13" t="str">
        <f>_xll.BDH("AMGN US Equity","BS_TOTAL_CAPITAL_LEASES","FQ3 2024","FQ3 2024","Currency=USD","Period=FQ","BEST_FPERIOD_OVERRIDE=FQ","FILING_STATUS=MR","SCALING_FORMAT=MLN","Sort=A","Dates=H","DateFormat=P","Fill=—","Direction=H","UseDPDF=Y")</f>
        <v>—</v>
      </c>
      <c r="AA86" s="13">
        <f>_xll.BDH("AMGN US Equity","BS_TOTAL_CAPITAL_LEASES","FQ4 2024","FQ4 2024","Currency=USD","Period=FQ","BEST_FPERIOD_OVERRIDE=FQ","FILING_STATUS=MR","SCALING_FORMAT=MLN","Sort=A","Dates=H","DateFormat=P","Fill=—","Direction=H","UseDPDF=Y")</f>
        <v>0</v>
      </c>
    </row>
    <row r="87" spans="1:27" x14ac:dyDescent="0.25">
      <c r="A87" s="10" t="s">
        <v>838</v>
      </c>
      <c r="B87" s="10" t="s">
        <v>839</v>
      </c>
      <c r="C87" s="13" t="str">
        <f>_xll.BDH("AMGN US Equity","BS_OPTIONS_GRANTED","FQ4 2018","FQ4 2018","Currency=USD","Period=FQ","BEST_FPERIOD_OVERRIDE=FQ","FILING_STATUS=MR","Sort=A","Dates=H","DateFormat=P","Fill=—","Direction=H","UseDPDF=Y")</f>
        <v>—</v>
      </c>
      <c r="D87" s="13" t="str">
        <f>_xll.BDH("AMGN US Equity","BS_OPTIONS_GRANTED","FQ1 2019","FQ1 2019","Currency=USD","Period=FQ","BEST_FPERIOD_OVERRIDE=FQ","FILING_STATUS=MR","Sort=A","Dates=H","DateFormat=P","Fill=—","Direction=H","UseDPDF=Y")</f>
        <v>—</v>
      </c>
      <c r="E87" s="13" t="str">
        <f>_xll.BDH("AMGN US Equity","BS_OPTIONS_GRANTED","FQ2 2019","FQ2 2019","Currency=USD","Period=FQ","BEST_FPERIOD_OVERRIDE=FQ","FILING_STATUS=MR","Sort=A","Dates=H","DateFormat=P","Fill=—","Direction=H","UseDPDF=Y")</f>
        <v>—</v>
      </c>
      <c r="F87" s="13" t="str">
        <f>_xll.BDH("AMGN US Equity","BS_OPTIONS_GRANTED","FQ3 2019","FQ3 2019","Currency=USD","Period=FQ","BEST_FPERIOD_OVERRIDE=FQ","FILING_STATUS=MR","Sort=A","Dates=H","DateFormat=P","Fill=—","Direction=H","UseDPDF=Y")</f>
        <v>—</v>
      </c>
      <c r="G87" s="13" t="str">
        <f>_xll.BDH("AMGN US Equity","BS_OPTIONS_GRANTED","FQ4 2019","FQ4 2019","Currency=USD","Period=FQ","BEST_FPERIOD_OVERRIDE=FQ","FILING_STATUS=MR","Sort=A","Dates=H","DateFormat=P","Fill=—","Direction=H","UseDPDF=Y")</f>
        <v>—</v>
      </c>
      <c r="H87" s="13" t="str">
        <f>_xll.BDH("AMGN US Equity","BS_OPTIONS_GRANTED","FQ1 2020","FQ1 2020","Currency=USD","Period=FQ","BEST_FPERIOD_OVERRIDE=FQ","FILING_STATUS=MR","Sort=A","Dates=H","DateFormat=P","Fill=—","Direction=H","UseDPDF=Y")</f>
        <v>—</v>
      </c>
      <c r="I87" s="13" t="str">
        <f>_xll.BDH("AMGN US Equity","BS_OPTIONS_GRANTED","FQ2 2020","FQ2 2020","Currency=USD","Period=FQ","BEST_FPERIOD_OVERRIDE=FQ","FILING_STATUS=MR","Sort=A","Dates=H","DateFormat=P","Fill=—","Direction=H","UseDPDF=Y")</f>
        <v>—</v>
      </c>
      <c r="J87" s="13" t="str">
        <f>_xll.BDH("AMGN US Equity","BS_OPTIONS_GRANTED","FQ3 2020","FQ3 2020","Currency=USD","Period=FQ","BEST_FPERIOD_OVERRIDE=FQ","FILING_STATUS=MR","Sort=A","Dates=H","DateFormat=P","Fill=—","Direction=H","UseDPDF=Y")</f>
        <v>—</v>
      </c>
      <c r="K87" s="13">
        <f>_xll.BDH("AMGN US Equity","BS_OPTIONS_GRANTED","FQ4 2020","FQ4 2020","Currency=USD","Period=FQ","BEST_FPERIOD_OVERRIDE=FQ","FILING_STATUS=MR","Sort=A","Dates=H","DateFormat=P","Fill=—","Direction=H","UseDPDF=Y")</f>
        <v>1</v>
      </c>
      <c r="L87" s="13" t="str">
        <f>_xll.BDH("AMGN US Equity","BS_OPTIONS_GRANTED","FQ1 2021","FQ1 2021","Currency=USD","Period=FQ","BEST_FPERIOD_OVERRIDE=FQ","FILING_STATUS=MR","Sort=A","Dates=H","DateFormat=P","Fill=—","Direction=H","UseDPDF=Y")</f>
        <v>—</v>
      </c>
      <c r="M87" s="13" t="str">
        <f>_xll.BDH("AMGN US Equity","BS_OPTIONS_GRANTED","FQ2 2021","FQ2 2021","Currency=USD","Period=FQ","BEST_FPERIOD_OVERRIDE=FQ","FILING_STATUS=MR","Sort=A","Dates=H","DateFormat=P","Fill=—","Direction=H","UseDPDF=Y")</f>
        <v>—</v>
      </c>
      <c r="N87" s="13" t="str">
        <f>_xll.BDH("AMGN US Equity","BS_OPTIONS_GRANTED","FQ3 2021","FQ3 2021","Currency=USD","Period=FQ","BEST_FPERIOD_OVERRIDE=FQ","FILING_STATUS=MR","Sort=A","Dates=H","DateFormat=P","Fill=—","Direction=H","UseDPDF=Y")</f>
        <v>—</v>
      </c>
      <c r="O87" s="13">
        <f>_xll.BDH("AMGN US Equity","BS_OPTIONS_GRANTED","FQ4 2021","FQ4 2021","Currency=USD","Period=FQ","BEST_FPERIOD_OVERRIDE=FQ","FILING_STATUS=MR","Sort=A","Dates=H","DateFormat=P","Fill=—","Direction=H","UseDPDF=Y")</f>
        <v>1.3</v>
      </c>
      <c r="P87" s="13" t="str">
        <f>_xll.BDH("AMGN US Equity","BS_OPTIONS_GRANTED","FQ1 2022","FQ1 2022","Currency=USD","Period=FQ","BEST_FPERIOD_OVERRIDE=FQ","FILING_STATUS=MR","Sort=A","Dates=H","DateFormat=P","Fill=—","Direction=H","UseDPDF=Y")</f>
        <v>—</v>
      </c>
      <c r="Q87" s="13" t="str">
        <f>_xll.BDH("AMGN US Equity","BS_OPTIONS_GRANTED","FQ2 2022","FQ2 2022","Currency=USD","Period=FQ","BEST_FPERIOD_OVERRIDE=FQ","FILING_STATUS=MR","Sort=A","Dates=H","DateFormat=P","Fill=—","Direction=H","UseDPDF=Y")</f>
        <v>—</v>
      </c>
      <c r="R87" s="13" t="str">
        <f>_xll.BDH("AMGN US Equity","BS_OPTIONS_GRANTED","FQ3 2022","FQ3 2022","Currency=USD","Period=FQ","BEST_FPERIOD_OVERRIDE=FQ","FILING_STATUS=MR","Sort=A","Dates=H","DateFormat=P","Fill=—","Direction=H","UseDPDF=Y")</f>
        <v>—</v>
      </c>
      <c r="S87" s="13" t="str">
        <f>_xll.BDH("AMGN US Equity","BS_OPTIONS_GRANTED","FQ4 2022","FQ4 2022","Currency=USD","Period=FQ","BEST_FPERIOD_OVERRIDE=FQ","FILING_STATUS=MR","Sort=A","Dates=H","DateFormat=P","Fill=—","Direction=H","UseDPDF=Y")</f>
        <v>—</v>
      </c>
      <c r="T87" s="13" t="str">
        <f>_xll.BDH("AMGN US Equity","BS_OPTIONS_GRANTED","FQ1 2023","FQ1 2023","Currency=USD","Period=FQ","BEST_FPERIOD_OVERRIDE=FQ","FILING_STATUS=MR","Sort=A","Dates=H","DateFormat=P","Fill=—","Direction=H","UseDPDF=Y")</f>
        <v>—</v>
      </c>
      <c r="U87" s="13" t="str">
        <f>_xll.BDH("AMGN US Equity","BS_OPTIONS_GRANTED","FQ2 2023","FQ2 2023","Currency=USD","Period=FQ","BEST_FPERIOD_OVERRIDE=FQ","FILING_STATUS=MR","Sort=A","Dates=H","DateFormat=P","Fill=—","Direction=H","UseDPDF=Y")</f>
        <v>—</v>
      </c>
      <c r="V87" s="13" t="str">
        <f>_xll.BDH("AMGN US Equity","BS_OPTIONS_GRANTED","FQ3 2023","FQ3 2023","Currency=USD","Period=FQ","BEST_FPERIOD_OVERRIDE=FQ","FILING_STATUS=MR","Sort=A","Dates=H","DateFormat=P","Fill=—","Direction=H","UseDPDF=Y")</f>
        <v>—</v>
      </c>
      <c r="W87" s="13" t="str">
        <f>_xll.BDH("AMGN US Equity","BS_OPTIONS_GRANTED","FQ4 2023","FQ4 2023","Currency=USD","Period=FQ","BEST_FPERIOD_OVERRIDE=FQ","FILING_STATUS=MR","Sort=A","Dates=H","DateFormat=P","Fill=—","Direction=H","UseDPDF=Y")</f>
        <v>—</v>
      </c>
      <c r="X87" s="13" t="str">
        <f>_xll.BDH("AMGN US Equity","BS_OPTIONS_GRANTED","FQ1 2024","FQ1 2024","Currency=USD","Period=FQ","BEST_FPERIOD_OVERRIDE=FQ","FILING_STATUS=MR","Sort=A","Dates=H","DateFormat=P","Fill=—","Direction=H","UseDPDF=Y")</f>
        <v>—</v>
      </c>
      <c r="Y87" s="13" t="str">
        <f>_xll.BDH("AMGN US Equity","BS_OPTIONS_GRANTED","FQ2 2024","FQ2 2024","Currency=USD","Period=FQ","BEST_FPERIOD_OVERRIDE=FQ","FILING_STATUS=MR","Sort=A","Dates=H","DateFormat=P","Fill=—","Direction=H","UseDPDF=Y")</f>
        <v>—</v>
      </c>
      <c r="Z87" s="13" t="str">
        <f>_xll.BDH("AMGN US Equity","BS_OPTIONS_GRANTED","FQ3 2024","FQ3 2024","Currency=USD","Period=FQ","BEST_FPERIOD_OVERRIDE=FQ","FILING_STATUS=MR","Sort=A","Dates=H","DateFormat=P","Fill=—","Direction=H","UseDPDF=Y")</f>
        <v>—</v>
      </c>
      <c r="AA87" s="13" t="str">
        <f>_xll.BDH("AMGN US Equity","BS_OPTIONS_GRANTED","FQ4 2024","FQ4 2024","Currency=USD","Period=FQ","BEST_FPERIOD_OVERRIDE=FQ","FILING_STATUS=MR","Sort=A","Dates=H","DateFormat=P","Fill=—","Direction=H","UseDPDF=Y")</f>
        <v>—</v>
      </c>
    </row>
    <row r="88" spans="1:27" x14ac:dyDescent="0.25">
      <c r="A88" s="10" t="s">
        <v>840</v>
      </c>
      <c r="B88" s="10" t="s">
        <v>841</v>
      </c>
      <c r="C88" s="13">
        <f>_xll.BDH("AMGN US Equity","BS_OPTIONS_OUTSTANDING","FQ4 2018","FQ4 2018","Currency=USD","Period=FQ","BEST_FPERIOD_OVERRIDE=FQ","FILING_STATUS=MR","Sort=A","Dates=H","DateFormat=P","Fill=—","Direction=H","UseDPDF=Y")</f>
        <v>4.4000000000000004</v>
      </c>
      <c r="D88" s="13" t="str">
        <f>_xll.BDH("AMGN US Equity","BS_OPTIONS_OUTSTANDING","FQ1 2019","FQ1 2019","Currency=USD","Period=FQ","BEST_FPERIOD_OVERRIDE=FQ","FILING_STATUS=MR","Sort=A","Dates=H","DateFormat=P","Fill=—","Direction=H","UseDPDF=Y")</f>
        <v>—</v>
      </c>
      <c r="E88" s="13" t="str">
        <f>_xll.BDH("AMGN US Equity","BS_OPTIONS_OUTSTANDING","FQ2 2019","FQ2 2019","Currency=USD","Period=FQ","BEST_FPERIOD_OVERRIDE=FQ","FILING_STATUS=MR","Sort=A","Dates=H","DateFormat=P","Fill=—","Direction=H","UseDPDF=Y")</f>
        <v>—</v>
      </c>
      <c r="F88" s="13" t="str">
        <f>_xll.BDH("AMGN US Equity","BS_OPTIONS_OUTSTANDING","FQ3 2019","FQ3 2019","Currency=USD","Period=FQ","BEST_FPERIOD_OVERRIDE=FQ","FILING_STATUS=MR","Sort=A","Dates=H","DateFormat=P","Fill=—","Direction=H","UseDPDF=Y")</f>
        <v>—</v>
      </c>
      <c r="G88" s="13">
        <f>_xll.BDH("AMGN US Equity","BS_OPTIONS_OUTSTANDING","FQ4 2019","FQ4 2019","Currency=USD","Period=FQ","BEST_FPERIOD_OVERRIDE=FQ","FILING_STATUS=MR","Sort=A","Dates=H","DateFormat=P","Fill=—","Direction=H","UseDPDF=Y")</f>
        <v>4.8</v>
      </c>
      <c r="H88" s="13" t="str">
        <f>_xll.BDH("AMGN US Equity","BS_OPTIONS_OUTSTANDING","FQ1 2020","FQ1 2020","Currency=USD","Period=FQ","BEST_FPERIOD_OVERRIDE=FQ","FILING_STATUS=MR","Sort=A","Dates=H","DateFormat=P","Fill=—","Direction=H","UseDPDF=Y")</f>
        <v>—</v>
      </c>
      <c r="I88" s="13" t="str">
        <f>_xll.BDH("AMGN US Equity","BS_OPTIONS_OUTSTANDING","FQ2 2020","FQ2 2020","Currency=USD","Period=FQ","BEST_FPERIOD_OVERRIDE=FQ","FILING_STATUS=MR","Sort=A","Dates=H","DateFormat=P","Fill=—","Direction=H","UseDPDF=Y")</f>
        <v>—</v>
      </c>
      <c r="J88" s="13" t="str">
        <f>_xll.BDH("AMGN US Equity","BS_OPTIONS_OUTSTANDING","FQ3 2020","FQ3 2020","Currency=USD","Period=FQ","BEST_FPERIOD_OVERRIDE=FQ","FILING_STATUS=MR","Sort=A","Dates=H","DateFormat=P","Fill=—","Direction=H","UseDPDF=Y")</f>
        <v>—</v>
      </c>
      <c r="K88" s="13">
        <f>_xll.BDH("AMGN US Equity","BS_OPTIONS_OUTSTANDING","FQ4 2020","FQ4 2020","Currency=USD","Period=FQ","BEST_FPERIOD_OVERRIDE=FQ","FILING_STATUS=MR","Sort=A","Dates=H","DateFormat=P","Fill=—","Direction=H","UseDPDF=Y")</f>
        <v>4.7</v>
      </c>
      <c r="L88" s="13" t="str">
        <f>_xll.BDH("AMGN US Equity","BS_OPTIONS_OUTSTANDING","FQ1 2021","FQ1 2021","Currency=USD","Period=FQ","BEST_FPERIOD_OVERRIDE=FQ","FILING_STATUS=MR","Sort=A","Dates=H","DateFormat=P","Fill=—","Direction=H","UseDPDF=Y")</f>
        <v>—</v>
      </c>
      <c r="M88" s="13" t="str">
        <f>_xll.BDH("AMGN US Equity","BS_OPTIONS_OUTSTANDING","FQ2 2021","FQ2 2021","Currency=USD","Period=FQ","BEST_FPERIOD_OVERRIDE=FQ","FILING_STATUS=MR","Sort=A","Dates=H","DateFormat=P","Fill=—","Direction=H","UseDPDF=Y")</f>
        <v>—</v>
      </c>
      <c r="N88" s="13" t="str">
        <f>_xll.BDH("AMGN US Equity","BS_OPTIONS_OUTSTANDING","FQ3 2021","FQ3 2021","Currency=USD","Period=FQ","BEST_FPERIOD_OVERRIDE=FQ","FILING_STATUS=MR","Sort=A","Dates=H","DateFormat=P","Fill=—","Direction=H","UseDPDF=Y")</f>
        <v>—</v>
      </c>
      <c r="O88" s="13">
        <f>_xll.BDH("AMGN US Equity","BS_OPTIONS_OUTSTANDING","FQ4 2021","FQ4 2021","Currency=USD","Period=FQ","BEST_FPERIOD_OVERRIDE=FQ","FILING_STATUS=MR","Sort=A","Dates=H","DateFormat=P","Fill=—","Direction=H","UseDPDF=Y")</f>
        <v>5.0999999999999996</v>
      </c>
      <c r="P88" s="13" t="str">
        <f>_xll.BDH("AMGN US Equity","BS_OPTIONS_OUTSTANDING","FQ1 2022","FQ1 2022","Currency=USD","Period=FQ","BEST_FPERIOD_OVERRIDE=FQ","FILING_STATUS=MR","Sort=A","Dates=H","DateFormat=P","Fill=—","Direction=H","UseDPDF=Y")</f>
        <v>—</v>
      </c>
      <c r="Q88" s="13" t="str">
        <f>_xll.BDH("AMGN US Equity","BS_OPTIONS_OUTSTANDING","FQ2 2022","FQ2 2022","Currency=USD","Period=FQ","BEST_FPERIOD_OVERRIDE=FQ","FILING_STATUS=MR","Sort=A","Dates=H","DateFormat=P","Fill=—","Direction=H","UseDPDF=Y")</f>
        <v>—</v>
      </c>
      <c r="R88" s="13" t="str">
        <f>_xll.BDH("AMGN US Equity","BS_OPTIONS_OUTSTANDING","FQ3 2022","FQ3 2022","Currency=USD","Period=FQ","BEST_FPERIOD_OVERRIDE=FQ","FILING_STATUS=MR","Sort=A","Dates=H","DateFormat=P","Fill=—","Direction=H","UseDPDF=Y")</f>
        <v>—</v>
      </c>
      <c r="S88" s="13">
        <f>_xll.BDH("AMGN US Equity","BS_OPTIONS_OUTSTANDING","FQ4 2022","FQ4 2022","Currency=USD","Period=FQ","BEST_FPERIOD_OVERRIDE=FQ","FILING_STATUS=MR","Sort=A","Dates=H","DateFormat=P","Fill=—","Direction=H","UseDPDF=Y")</f>
        <v>5.3</v>
      </c>
      <c r="T88" s="13" t="str">
        <f>_xll.BDH("AMGN US Equity","BS_OPTIONS_OUTSTANDING","FQ1 2023","FQ1 2023","Currency=USD","Period=FQ","BEST_FPERIOD_OVERRIDE=FQ","FILING_STATUS=MR","Sort=A","Dates=H","DateFormat=P","Fill=—","Direction=H","UseDPDF=Y")</f>
        <v>—</v>
      </c>
      <c r="U88" s="13" t="str">
        <f>_xll.BDH("AMGN US Equity","BS_OPTIONS_OUTSTANDING","FQ2 2023","FQ2 2023","Currency=USD","Period=FQ","BEST_FPERIOD_OVERRIDE=FQ","FILING_STATUS=MR","Sort=A","Dates=H","DateFormat=P","Fill=—","Direction=H","UseDPDF=Y")</f>
        <v>—</v>
      </c>
      <c r="V88" s="13" t="str">
        <f>_xll.BDH("AMGN US Equity","BS_OPTIONS_OUTSTANDING","FQ3 2023","FQ3 2023","Currency=USD","Period=FQ","BEST_FPERIOD_OVERRIDE=FQ","FILING_STATUS=MR","Sort=A","Dates=H","DateFormat=P","Fill=—","Direction=H","UseDPDF=Y")</f>
        <v>—</v>
      </c>
      <c r="W88" s="13">
        <f>_xll.BDH("AMGN US Equity","BS_OPTIONS_OUTSTANDING","FQ4 2023","FQ4 2023","Currency=USD","Period=FQ","BEST_FPERIOD_OVERRIDE=FQ","FILING_STATUS=MR","Sort=A","Dates=H","DateFormat=P","Fill=—","Direction=H","UseDPDF=Y")</f>
        <v>5.9</v>
      </c>
      <c r="X88" s="13" t="str">
        <f>_xll.BDH("AMGN US Equity","BS_OPTIONS_OUTSTANDING","FQ1 2024","FQ1 2024","Currency=USD","Period=FQ","BEST_FPERIOD_OVERRIDE=FQ","FILING_STATUS=MR","Sort=A","Dates=H","DateFormat=P","Fill=—","Direction=H","UseDPDF=Y")</f>
        <v>—</v>
      </c>
      <c r="Y88" s="13" t="str">
        <f>_xll.BDH("AMGN US Equity","BS_OPTIONS_OUTSTANDING","FQ2 2024","FQ2 2024","Currency=USD","Period=FQ","BEST_FPERIOD_OVERRIDE=FQ","FILING_STATUS=MR","Sort=A","Dates=H","DateFormat=P","Fill=—","Direction=H","UseDPDF=Y")</f>
        <v>—</v>
      </c>
      <c r="Z88" s="13" t="str">
        <f>_xll.BDH("AMGN US Equity","BS_OPTIONS_OUTSTANDING","FQ3 2024","FQ3 2024","Currency=USD","Period=FQ","BEST_FPERIOD_OVERRIDE=FQ","FILING_STATUS=MR","Sort=A","Dates=H","DateFormat=P","Fill=—","Direction=H","UseDPDF=Y")</f>
        <v>—</v>
      </c>
      <c r="AA88" s="13">
        <f>_xll.BDH("AMGN US Equity","BS_OPTIONS_OUTSTANDING","FQ4 2024","FQ4 2024","Currency=USD","Period=FQ","BEST_FPERIOD_OVERRIDE=FQ","FILING_STATUS=MR","Sort=A","Dates=H","DateFormat=P","Fill=—","Direction=H","UseDPDF=Y")</f>
        <v>5.9</v>
      </c>
    </row>
    <row r="89" spans="1:27" x14ac:dyDescent="0.25">
      <c r="A89" s="10" t="s">
        <v>842</v>
      </c>
      <c r="B89" s="10" t="s">
        <v>843</v>
      </c>
      <c r="C89" s="13">
        <f>_xll.BDH("AMGN US Equity","NET_DEBT","FQ4 2018","FQ4 2018","Currency=USD","Period=FQ","BEST_FPERIOD_OVERRIDE=FQ","FILING_STATUS=MR","SCALING_FORMAT=MLN","Sort=A","Dates=H","DateFormat=P","Fill=—","Direction=H","UseDPDF=Y")</f>
        <v>4625</v>
      </c>
      <c r="D89" s="13">
        <f>_xll.BDH("AMGN US Equity","NET_DEBT","FQ1 2019","FQ1 2019","Currency=USD","Period=FQ","BEST_FPERIOD_OVERRIDE=FQ","FILING_STATUS=MR","SCALING_FORMAT=MLN","Sort=A","Dates=H","DateFormat=P","Fill=—","Direction=H","UseDPDF=Y")</f>
        <v>7211</v>
      </c>
      <c r="E89" s="13">
        <f>_xll.BDH("AMGN US Equity","NET_DEBT","FQ2 2019","FQ2 2019","Currency=USD","Period=FQ","BEST_FPERIOD_OVERRIDE=FQ","FILING_STATUS=MR","SCALING_FORMAT=MLN","Sort=A","Dates=H","DateFormat=P","Fill=—","Direction=H","UseDPDF=Y")</f>
        <v>9353</v>
      </c>
      <c r="F89" s="13">
        <f>_xll.BDH("AMGN US Equity","NET_DEBT","FQ3 2019","FQ3 2019","Currency=USD","Period=FQ","BEST_FPERIOD_OVERRIDE=FQ","FILING_STATUS=MR","SCALING_FORMAT=MLN","Sort=A","Dates=H","DateFormat=P","Fill=—","Direction=H","UseDPDF=Y")</f>
        <v>9424</v>
      </c>
      <c r="G89" s="13">
        <f>_xll.BDH("AMGN US Equity","NET_DEBT","FQ4 2019","FQ4 2019","Currency=USD","Period=FQ","BEST_FPERIOD_OVERRIDE=FQ","FILING_STATUS=MR","SCALING_FORMAT=MLN","Sort=A","Dates=H","DateFormat=P","Fill=—","Direction=H","UseDPDF=Y")</f>
        <v>21520</v>
      </c>
      <c r="H89" s="13">
        <f>_xll.BDH("AMGN US Equity","NET_DEBT","FQ1 2020","FQ1 2020","Currency=USD","Period=FQ","BEST_FPERIOD_OVERRIDE=FQ","FILING_STATUS=MR","SCALING_FORMAT=MLN","Sort=A","Dates=H","DateFormat=P","Fill=—","Direction=H","UseDPDF=Y")</f>
        <v>23836</v>
      </c>
      <c r="I89" s="13">
        <f>_xll.BDH("AMGN US Equity","NET_DEBT","FQ2 2020","FQ2 2020","Currency=USD","Period=FQ","BEST_FPERIOD_OVERRIDE=FQ","FILING_STATUS=MR","SCALING_FORMAT=MLN","Sort=A","Dates=H","DateFormat=P","Fill=—","Direction=H","UseDPDF=Y")</f>
        <v>22803</v>
      </c>
      <c r="J89" s="13">
        <f>_xll.BDH("AMGN US Equity","NET_DEBT","FQ3 2020","FQ3 2020","Currency=USD","Period=FQ","BEST_FPERIOD_OVERRIDE=FQ","FILING_STATUS=MR","SCALING_FORMAT=MLN","Sort=A","Dates=H","DateFormat=P","Fill=—","Direction=H","UseDPDF=Y")</f>
        <v>21927</v>
      </c>
      <c r="K89" s="13">
        <f>_xll.BDH("AMGN US Equity","NET_DEBT","FQ4 2020","FQ4 2020","Currency=USD","Period=FQ","BEST_FPERIOD_OVERRIDE=FQ","FILING_STATUS=MR","SCALING_FORMAT=MLN","Sort=A","Dates=H","DateFormat=P","Fill=—","Direction=H","UseDPDF=Y")</f>
        <v>22798</v>
      </c>
      <c r="L89" s="13">
        <f>_xll.BDH("AMGN US Equity","NET_DEBT","FQ1 2021","FQ1 2021","Currency=USD","Period=FQ","BEST_FPERIOD_OVERRIDE=FQ","FILING_STATUS=MR","SCALING_FORMAT=MLN","Sort=A","Dates=H","DateFormat=P","Fill=—","Direction=H","UseDPDF=Y")</f>
        <v>22119</v>
      </c>
      <c r="M89" s="13">
        <f>_xll.BDH("AMGN US Equity","NET_DEBT","FQ2 2021","FQ2 2021","Currency=USD","Period=FQ","BEST_FPERIOD_OVERRIDE=FQ","FILING_STATUS=MR","SCALING_FORMAT=MLN","Sort=A","Dates=H","DateFormat=P","Fill=—","Direction=H","UseDPDF=Y")</f>
        <v>24700</v>
      </c>
      <c r="N89" s="13">
        <f>_xll.BDH("AMGN US Equity","NET_DEBT","FQ3 2021","FQ3 2021","Currency=USD","Period=FQ","BEST_FPERIOD_OVERRIDE=FQ","FILING_STATUS=MR","SCALING_FORMAT=MLN","Sort=A","Dates=H","DateFormat=P","Fill=—","Direction=H","UseDPDF=Y")</f>
        <v>24658</v>
      </c>
      <c r="O89" s="13">
        <f>_xll.BDH("AMGN US Equity","NET_DEBT","FQ4 2021","FQ4 2021","Currency=USD","Period=FQ","BEST_FPERIOD_OVERRIDE=FQ","FILING_STATUS=MR","SCALING_FORMAT=MLN","Sort=A","Dates=H","DateFormat=P","Fill=—","Direction=H","UseDPDF=Y")</f>
        <v>25942</v>
      </c>
      <c r="P89" s="13">
        <f>_xll.BDH("AMGN US Equity","NET_DEBT","FQ1 2022","FQ1 2022","Currency=USD","Period=FQ","BEST_FPERIOD_OVERRIDE=FQ","FILING_STATUS=MR","SCALING_FORMAT=MLN","Sort=A","Dates=H","DateFormat=P","Fill=—","Direction=H","UseDPDF=Y")</f>
        <v>30310</v>
      </c>
      <c r="Q89" s="13">
        <f>_xll.BDH("AMGN US Equity","NET_DEBT","FQ2 2022","FQ2 2022","Currency=USD","Period=FQ","BEST_FPERIOD_OVERRIDE=FQ","FILING_STATUS=MR","SCALING_FORMAT=MLN","Sort=A","Dates=H","DateFormat=P","Fill=—","Direction=H","UseDPDF=Y")</f>
        <v>29339</v>
      </c>
      <c r="R89" s="13">
        <f>_xll.BDH("AMGN US Equity","NET_DEBT","FQ3 2022","FQ3 2022","Currency=USD","Period=FQ","BEST_FPERIOD_OVERRIDE=FQ","FILING_STATUS=MR","SCALING_FORMAT=MLN","Sort=A","Dates=H","DateFormat=P","Fill=—","Direction=H","UseDPDF=Y")</f>
        <v>27226</v>
      </c>
      <c r="S89" s="13">
        <f>_xll.BDH("AMGN US Equity","NET_DEBT","FQ4 2022","FQ4 2022","Currency=USD","Period=FQ","BEST_FPERIOD_OVERRIDE=FQ","FILING_STATUS=MR","SCALING_FORMAT=MLN","Sort=A","Dates=H","DateFormat=P","Fill=—","Direction=H","UseDPDF=Y")</f>
        <v>30335</v>
      </c>
      <c r="T89" s="13">
        <f>_xll.BDH("AMGN US Equity","NET_DEBT","FQ1 2023","FQ1 2023","Currency=USD","Period=FQ","BEST_FPERIOD_OVERRIDE=FQ","FILING_STATUS=MR","SCALING_FORMAT=MLN","Sort=A","Dates=H","DateFormat=P","Fill=—","Direction=H","UseDPDF=Y")</f>
        <v>30034</v>
      </c>
      <c r="U89" s="13">
        <f>_xll.BDH("AMGN US Equity","NET_DEBT","FQ2 2023","FQ2 2023","Currency=USD","Period=FQ","BEST_FPERIOD_OVERRIDE=FQ","FILING_STATUS=MR","SCALING_FORMAT=MLN","Sort=A","Dates=H","DateFormat=P","Fill=—","Direction=H","UseDPDF=Y")</f>
        <v>27296</v>
      </c>
      <c r="V89" s="13">
        <f>_xll.BDH("AMGN US Equity","NET_DEBT","FQ3 2023","FQ3 2023","Currency=USD","Period=FQ","BEST_FPERIOD_OVERRIDE=FQ","FILING_STATUS=MR","SCALING_FORMAT=MLN","Sort=A","Dates=H","DateFormat=P","Fill=—","Direction=H","UseDPDF=Y")</f>
        <v>25727</v>
      </c>
      <c r="W89" s="13">
        <f>_xll.BDH("AMGN US Equity","NET_DEBT","FQ4 2023","FQ4 2023","Currency=USD","Period=FQ","BEST_FPERIOD_OVERRIDE=FQ","FILING_STATUS=MR","SCALING_FORMAT=MLN","Sort=A","Dates=H","DateFormat=P","Fill=—","Direction=H","UseDPDF=Y")</f>
        <v>54479</v>
      </c>
      <c r="X89" s="13">
        <f>_xll.BDH("AMGN US Equity","NET_DEBT","FQ1 2024","FQ1 2024","Currency=USD","Period=FQ","BEST_FPERIOD_OVERRIDE=FQ","FILING_STATUS=MR","SCALING_FORMAT=MLN","Sort=A","Dates=H","DateFormat=P","Fill=—","Direction=H","UseDPDF=Y")</f>
        <v>54312</v>
      </c>
      <c r="Y89" s="13">
        <f>_xll.BDH("AMGN US Equity","NET_DEBT","FQ2 2024","FQ2 2024","Currency=USD","Period=FQ","BEST_FPERIOD_OVERRIDE=FQ","FILING_STATUS=MR","SCALING_FORMAT=MLN","Sort=A","Dates=H","DateFormat=P","Fill=—","Direction=H","UseDPDF=Y")</f>
        <v>53344</v>
      </c>
      <c r="Z89" s="13">
        <f>_xll.BDH("AMGN US Equity","NET_DEBT","FQ3 2024","FQ3 2024","Currency=USD","Period=FQ","BEST_FPERIOD_OVERRIDE=FQ","FILING_STATUS=MR","SCALING_FORMAT=MLN","Sort=A","Dates=H","DateFormat=P","Fill=—","Direction=H","UseDPDF=Y")</f>
        <v>51387</v>
      </c>
      <c r="AA89" s="13">
        <f>_xll.BDH("AMGN US Equity","NET_DEBT","FQ4 2024","FQ4 2024","Currency=USD","Period=FQ","BEST_FPERIOD_OVERRIDE=FQ","FILING_STATUS=MR","SCALING_FORMAT=MLN","Sort=A","Dates=H","DateFormat=P","Fill=—","Direction=H","UseDPDF=Y")</f>
        <v>48906</v>
      </c>
    </row>
    <row r="90" spans="1:27" x14ac:dyDescent="0.25">
      <c r="A90" s="10" t="s">
        <v>844</v>
      </c>
      <c r="B90" s="10" t="s">
        <v>845</v>
      </c>
      <c r="C90" s="14">
        <f>_xll.BDH("AMGN US Equity","NET_DEBT_TO_SHRHLDR_EQTY","FQ4 2018","FQ4 2018","Currency=USD","Period=FQ","BEST_FPERIOD_OVERRIDE=FQ","FILING_STATUS=MR","Sort=A","Dates=H","DateFormat=P","Fill=—","Direction=H","UseDPDF=Y")</f>
        <v>37</v>
      </c>
      <c r="D90" s="14">
        <f>_xll.BDH("AMGN US Equity","NET_DEBT_TO_SHRHLDR_EQTY","FQ1 2019","FQ1 2019","Currency=USD","Period=FQ","BEST_FPERIOD_OVERRIDE=FQ","FILING_STATUS=MR","Sort=A","Dates=H","DateFormat=P","Fill=—","Direction=H","UseDPDF=Y")</f>
        <v>66.571299999999994</v>
      </c>
      <c r="E90" s="14">
        <f>_xll.BDH("AMGN US Equity","NET_DEBT_TO_SHRHLDR_EQTY","FQ2 2019","FQ2 2019","Currency=USD","Period=FQ","BEST_FPERIOD_OVERRIDE=FQ","FILING_STATUS=MR","Sort=A","Dates=H","DateFormat=P","Fill=—","Direction=H","UseDPDF=Y")</f>
        <v>86.65</v>
      </c>
      <c r="F90" s="14">
        <f>_xll.BDH("AMGN US Equity","NET_DEBT_TO_SHRHLDR_EQTY","FQ3 2019","FQ3 2019","Currency=USD","Period=FQ","BEST_FPERIOD_OVERRIDE=FQ","FILING_STATUS=MR","Sort=A","Dates=H","DateFormat=P","Fill=—","Direction=H","UseDPDF=Y")</f>
        <v>86.245099999999994</v>
      </c>
      <c r="G90" s="14">
        <f>_xll.BDH("AMGN US Equity","NET_DEBT_TO_SHRHLDR_EQTY","FQ4 2019","FQ4 2019","Currency=USD","Period=FQ","BEST_FPERIOD_OVERRIDE=FQ","FILING_STATUS=MR","Sort=A","Dates=H","DateFormat=P","Fill=—","Direction=H","UseDPDF=Y")</f>
        <v>222.47489999999999</v>
      </c>
      <c r="H90" s="14">
        <f>_xll.BDH("AMGN US Equity","NET_DEBT_TO_SHRHLDR_EQTY","FQ1 2020","FQ1 2020","Currency=USD","Period=FQ","BEST_FPERIOD_OVERRIDE=FQ","FILING_STATUS=MR","Sort=A","Dates=H","DateFormat=P","Fill=—","Direction=H","UseDPDF=Y")</f>
        <v>251.3021</v>
      </c>
      <c r="I90" s="14">
        <f>_xll.BDH("AMGN US Equity","NET_DEBT_TO_SHRHLDR_EQTY","FQ2 2020","FQ2 2020","Currency=USD","Period=FQ","BEST_FPERIOD_OVERRIDE=FQ","FILING_STATUS=MR","Sort=A","Dates=H","DateFormat=P","Fill=—","Direction=H","UseDPDF=Y")</f>
        <v>213.93190000000001</v>
      </c>
      <c r="J90" s="14">
        <f>_xll.BDH("AMGN US Equity","NET_DEBT_TO_SHRHLDR_EQTY","FQ3 2020","FQ3 2020","Currency=USD","Period=FQ","BEST_FPERIOD_OVERRIDE=FQ","FILING_STATUS=MR","Sort=A","Dates=H","DateFormat=P","Fill=—","Direction=H","UseDPDF=Y")</f>
        <v>200.0821</v>
      </c>
      <c r="K90" s="14">
        <f>_xll.BDH("AMGN US Equity","NET_DEBT_TO_SHRHLDR_EQTY","FQ4 2020","FQ4 2020","Currency=USD","Period=FQ","BEST_FPERIOD_OVERRIDE=FQ","FILING_STATUS=MR","Sort=A","Dates=H","DateFormat=P","Fill=—","Direction=H","UseDPDF=Y")</f>
        <v>242.29990000000001</v>
      </c>
      <c r="L90" s="14">
        <f>_xll.BDH("AMGN US Equity","NET_DEBT_TO_SHRHLDR_EQTY","FQ1 2021","FQ1 2021","Currency=USD","Period=FQ","BEST_FPERIOD_OVERRIDE=FQ","FILING_STATUS=MR","Sort=A","Dates=H","DateFormat=P","Fill=—","Direction=H","UseDPDF=Y")</f>
        <v>236.97239999999999</v>
      </c>
      <c r="M90" s="14">
        <f>_xll.BDH("AMGN US Equity","NET_DEBT_TO_SHRHLDR_EQTY","FQ2 2021","FQ2 2021","Currency=USD","Period=FQ","BEST_FPERIOD_OVERRIDE=FQ","FILING_STATUS=MR","Sort=A","Dates=H","DateFormat=P","Fill=—","Direction=H","UseDPDF=Y")</f>
        <v>299.50279999999998</v>
      </c>
      <c r="N90" s="14">
        <f>_xll.BDH("AMGN US Equity","NET_DEBT_TO_SHRHLDR_EQTY","FQ3 2021","FQ3 2021","Currency=USD","Period=FQ","BEST_FPERIOD_OVERRIDE=FQ","FILING_STATUS=MR","Sort=A","Dates=H","DateFormat=P","Fill=—","Direction=H","UseDPDF=Y")</f>
        <v>300.08519999999999</v>
      </c>
      <c r="O90" s="14">
        <f>_xll.BDH("AMGN US Equity","NET_DEBT_TO_SHRHLDR_EQTY","FQ4 2021","FQ4 2021","Currency=USD","Period=FQ","BEST_FPERIOD_OVERRIDE=FQ","FILING_STATUS=MR","Sort=A","Dates=H","DateFormat=P","Fill=—","Direction=H","UseDPDF=Y")</f>
        <v>387.19400000000002</v>
      </c>
      <c r="P90" s="14">
        <f>_xll.BDH("AMGN US Equity","NET_DEBT_TO_SHRHLDR_EQTY","FQ1 2022","FQ1 2022","Currency=USD","Period=FQ","BEST_FPERIOD_OVERRIDE=FQ","FILING_STATUS=MR","Sort=A","Dates=H","DateFormat=P","Fill=—","Direction=H","UseDPDF=Y")</f>
        <v>3308.9520000000002</v>
      </c>
      <c r="Q90" s="14">
        <f>_xll.BDH("AMGN US Equity","NET_DEBT_TO_SHRHLDR_EQTY","FQ2 2022","FQ2 2022","Currency=USD","Period=FQ","BEST_FPERIOD_OVERRIDE=FQ","FILING_STATUS=MR","Sort=A","Dates=H","DateFormat=P","Fill=—","Direction=H","UseDPDF=Y")</f>
        <v>1212.8566000000001</v>
      </c>
      <c r="R90" s="14">
        <f>_xll.BDH("AMGN US Equity","NET_DEBT_TO_SHRHLDR_EQTY","FQ3 2022","FQ3 2022","Currency=USD","Period=FQ","BEST_FPERIOD_OVERRIDE=FQ","FILING_STATUS=MR","Sort=A","Dates=H","DateFormat=P","Fill=—","Direction=H","UseDPDF=Y")</f>
        <v>745.30520000000001</v>
      </c>
      <c r="S90" s="14">
        <f>_xll.BDH("AMGN US Equity","NET_DEBT_TO_SHRHLDR_EQTY","FQ4 2022","FQ4 2022","Currency=USD","Period=FQ","BEST_FPERIOD_OVERRIDE=FQ","FILING_STATUS=MR","Sort=A","Dates=H","DateFormat=P","Fill=—","Direction=H","UseDPDF=Y")</f>
        <v>828.59870000000001</v>
      </c>
      <c r="T90" s="14">
        <f>_xll.BDH("AMGN US Equity","NET_DEBT_TO_SHRHLDR_EQTY","FQ1 2023","FQ1 2023","Currency=USD","Period=FQ","BEST_FPERIOD_OVERRIDE=FQ","FILING_STATUS=MR","Sort=A","Dates=H","DateFormat=P","Fill=—","Direction=H","UseDPDF=Y")</f>
        <v>561.59310000000005</v>
      </c>
      <c r="U90" s="14">
        <f>_xll.BDH("AMGN US Equity","NET_DEBT_TO_SHRHLDR_EQTY","FQ2 2023","FQ2 2023","Currency=USD","Period=FQ","BEST_FPERIOD_OVERRIDE=FQ","FILING_STATUS=MR","Sort=A","Dates=H","DateFormat=P","Fill=—","Direction=H","UseDPDF=Y")</f>
        <v>402.53649999999999</v>
      </c>
      <c r="V90" s="14">
        <f>_xll.BDH("AMGN US Equity","NET_DEBT_TO_SHRHLDR_EQTY","FQ3 2023","FQ3 2023","Currency=USD","Period=FQ","BEST_FPERIOD_OVERRIDE=FQ","FILING_STATUS=MR","Sort=A","Dates=H","DateFormat=P","Fill=—","Direction=H","UseDPDF=Y")</f>
        <v>336.03710000000001</v>
      </c>
      <c r="W90" s="14">
        <f>_xll.BDH("AMGN US Equity","NET_DEBT_TO_SHRHLDR_EQTY","FQ4 2023","FQ4 2023","Currency=USD","Period=FQ","BEST_FPERIOD_OVERRIDE=FQ","FILING_STATUS=MR","Sort=A","Dates=H","DateFormat=P","Fill=—","Direction=H","UseDPDF=Y")</f>
        <v>874.1816</v>
      </c>
      <c r="X90" s="14">
        <f>_xll.BDH("AMGN US Equity","NET_DEBT_TO_SHRHLDR_EQTY","FQ1 2024","FQ1 2024","Currency=USD","Period=FQ","BEST_FPERIOD_OVERRIDE=FQ","FILING_STATUS=MR","Sort=A","Dates=H","DateFormat=P","Fill=—","Direction=H","UseDPDF=Y")</f>
        <v>1081.4815000000001</v>
      </c>
      <c r="Y90" s="14">
        <f>_xll.BDH("AMGN US Equity","NET_DEBT_TO_SHRHLDR_EQTY","FQ2 2024","FQ2 2024","Currency=USD","Period=FQ","BEST_FPERIOD_OVERRIDE=FQ","FILING_STATUS=MR","Sort=A","Dates=H","DateFormat=P","Fill=—","Direction=H","UseDPDF=Y")</f>
        <v>900.32069999999999</v>
      </c>
      <c r="Z90" s="14">
        <f>_xll.BDH("AMGN US Equity","NET_DEBT_TO_SHRHLDR_EQTY","FQ3 2024","FQ3 2024","Currency=USD","Period=FQ","BEST_FPERIOD_OVERRIDE=FQ","FILING_STATUS=MR","Sort=A","Dates=H","DateFormat=P","Fill=—","Direction=H","UseDPDF=Y")</f>
        <v>682.70230000000004</v>
      </c>
      <c r="AA90" s="14">
        <f>_xll.BDH("AMGN US Equity","NET_DEBT_TO_SHRHLDR_EQTY","FQ4 2024","FQ4 2024","Currency=USD","Period=FQ","BEST_FPERIOD_OVERRIDE=FQ","FILING_STATUS=MR","Sort=A","Dates=H","DateFormat=P","Fill=—","Direction=H","UseDPDF=Y")</f>
        <v>832.15930000000003</v>
      </c>
    </row>
    <row r="91" spans="1:27" x14ac:dyDescent="0.25">
      <c r="A91" s="10" t="s">
        <v>846</v>
      </c>
      <c r="B91" s="10" t="s">
        <v>847</v>
      </c>
      <c r="C91" s="14">
        <f>_xll.BDH("AMGN US Equity","TCE_RATIO","FQ4 2018","FQ4 2018","Currency=USD","Period=FQ","BEST_FPERIOD_OVERRIDE=FQ","FILING_STATUS=MR","Sort=A","Dates=H","DateFormat=P","Fill=—","Direction=H","UseDPDF=Y")</f>
        <v>-21.777999999999999</v>
      </c>
      <c r="D91" s="14">
        <f>_xll.BDH("AMGN US Equity","TCE_RATIO","FQ1 2019","FQ1 2019","Currency=USD","Period=FQ","BEST_FPERIOD_OVERRIDE=FQ","FILING_STATUS=MR","Sort=A","Dates=H","DateFormat=P","Fill=—","Direction=H","UseDPDF=Y")</f>
        <v>-26.040199999999999</v>
      </c>
      <c r="E91" s="14">
        <f>_xll.BDH("AMGN US Equity","TCE_RATIO","FQ2 2019","FQ2 2019","Currency=USD","Period=FQ","BEST_FPERIOD_OVERRIDE=FQ","FILING_STATUS=MR","Sort=A","Dates=H","DateFormat=P","Fill=—","Direction=H","UseDPDF=Y")</f>
        <v>-28.274899999999999</v>
      </c>
      <c r="F91" s="14">
        <f>_xll.BDH("AMGN US Equity","TCE_RATIO","FQ3 2019","FQ3 2019","Currency=USD","Period=FQ","BEST_FPERIOD_OVERRIDE=FQ","FILING_STATUS=MR","Sort=A","Dates=H","DateFormat=P","Fill=—","Direction=H","UseDPDF=Y")</f>
        <v>-27.4864</v>
      </c>
      <c r="G91" s="14">
        <f>_xll.BDH("AMGN US Equity","TCE_RATIO","FQ4 2019","FQ4 2019","Currency=USD","Period=FQ","BEST_FPERIOD_OVERRIDE=FQ","FILING_STATUS=MR","Sort=A","Dates=H","DateFormat=P","Fill=—","Direction=H","UseDPDF=Y")</f>
        <v>-95.513999999999996</v>
      </c>
      <c r="H91" s="14">
        <f>_xll.BDH("AMGN US Equity","TCE_RATIO","FQ1 2020","FQ1 2020","Currency=USD","Period=FQ","BEST_FPERIOD_OVERRIDE=FQ","FILING_STATUS=MR","Sort=A","Dates=H","DateFormat=P","Fill=—","Direction=H","UseDPDF=Y")</f>
        <v>-84.180999999999997</v>
      </c>
      <c r="I91" s="14">
        <f>_xll.BDH("AMGN US Equity","TCE_RATIO","FQ2 2020","FQ2 2020","Currency=USD","Period=FQ","BEST_FPERIOD_OVERRIDE=FQ","FILING_STATUS=MR","Sort=A","Dates=H","DateFormat=P","Fill=—","Direction=H","UseDPDF=Y")</f>
        <v>-67.830799999999996</v>
      </c>
      <c r="J91" s="14">
        <f>_xll.BDH("AMGN US Equity","TCE_RATIO","FQ3 2020","FQ3 2020","Currency=USD","Period=FQ","BEST_FPERIOD_OVERRIDE=FQ","FILING_STATUS=MR","Sort=A","Dates=H","DateFormat=P","Fill=—","Direction=H","UseDPDF=Y")</f>
        <v>-64.107699999999994</v>
      </c>
      <c r="K91" s="14">
        <f>_xll.BDH("AMGN US Equity","TCE_RATIO","FQ4 2020","FQ4 2020","Currency=USD","Period=FQ","BEST_FPERIOD_OVERRIDE=FQ","FILING_STATUS=MR","Sort=A","Dates=H","DateFormat=P","Fill=—","Direction=H","UseDPDF=Y")</f>
        <v>-69.042100000000005</v>
      </c>
      <c r="L91" s="14">
        <f>_xll.BDH("AMGN US Equity","TCE_RATIO","FQ1 2021","FQ1 2021","Currency=USD","Period=FQ","BEST_FPERIOD_OVERRIDE=FQ","FILING_STATUS=MR","Sort=A","Dates=H","DateFormat=P","Fill=—","Direction=H","UseDPDF=Y")</f>
        <v>-66.687600000000003</v>
      </c>
      <c r="M91" s="14">
        <f>_xll.BDH("AMGN US Equity","TCE_RATIO","FQ2 2021","FQ2 2021","Currency=USD","Period=FQ","BEST_FPERIOD_OVERRIDE=FQ","FILING_STATUS=MR","Sort=A","Dates=H","DateFormat=P","Fill=—","Direction=H","UseDPDF=Y")</f>
        <v>-72.969899999999996</v>
      </c>
      <c r="N91" s="14">
        <f>_xll.BDH("AMGN US Equity","TCE_RATIO","FQ3 2021","FQ3 2021","Currency=USD","Period=FQ","BEST_FPERIOD_OVERRIDE=FQ","FILING_STATUS=MR","Sort=A","Dates=H","DateFormat=P","Fill=—","Direction=H","UseDPDF=Y")</f>
        <v>-59.174599999999998</v>
      </c>
      <c r="O91" s="14">
        <f>_xll.BDH("AMGN US Equity","TCE_RATIO","FQ4 2021","FQ4 2021","Currency=USD","Period=FQ","BEST_FPERIOD_OVERRIDE=FQ","FILING_STATUS=MR","Sort=A","Dates=H","DateFormat=P","Fill=—","Direction=H","UseDPDF=Y")</f>
        <v>-75.168000000000006</v>
      </c>
      <c r="P91" s="14">
        <f>_xll.BDH("AMGN US Equity","TCE_RATIO","FQ1 2022","FQ1 2022","Currency=USD","Period=FQ","BEST_FPERIOD_OVERRIDE=FQ","FILING_STATUS=MR","Sort=A","Dates=H","DateFormat=P","Fill=—","Direction=H","UseDPDF=Y")</f>
        <v>-96.017799999999994</v>
      </c>
      <c r="Q91" s="14">
        <f>_xll.BDH("AMGN US Equity","TCE_RATIO","FQ2 2022","FQ2 2022","Currency=USD","Period=FQ","BEST_FPERIOD_OVERRIDE=FQ","FILING_STATUS=MR","Sort=A","Dates=H","DateFormat=P","Fill=—","Direction=H","UseDPDF=Y")</f>
        <v>-86.463200000000001</v>
      </c>
      <c r="R91" s="14">
        <f>_xll.BDH("AMGN US Equity","TCE_RATIO","FQ3 2022","FQ3 2022","Currency=USD","Period=FQ","BEST_FPERIOD_OVERRIDE=FQ","FILING_STATUS=MR","Sort=A","Dates=H","DateFormat=P","Fill=—","Direction=H","UseDPDF=Y")</f>
        <v>-68.723500000000001</v>
      </c>
      <c r="S91" s="14">
        <f>_xll.BDH("AMGN US Equity","TCE_RATIO","FQ4 2022","FQ4 2022","Currency=USD","Period=FQ","BEST_FPERIOD_OVERRIDE=FQ","FILING_STATUS=MR","Sort=A","Dates=H","DateFormat=P","Fill=—","Direction=H","UseDPDF=Y")</f>
        <v>-83.397000000000006</v>
      </c>
      <c r="T91" s="14">
        <f>_xll.BDH("AMGN US Equity","TCE_RATIO","FQ1 2023","FQ1 2023","Currency=USD","Period=FQ","BEST_FPERIOD_OVERRIDE=FQ","FILING_STATUS=MR","Sort=A","Dates=H","DateFormat=P","Fill=—","Direction=H","UseDPDF=Y")</f>
        <v>-44.252200000000002</v>
      </c>
      <c r="U91" s="14">
        <f>_xll.BDH("AMGN US Equity","TCE_RATIO","FQ2 2023","FQ2 2023","Currency=USD","Period=FQ","BEST_FPERIOD_OVERRIDE=FQ","FILING_STATUS=MR","Sort=A","Dates=H","DateFormat=P","Fill=—","Direction=H","UseDPDF=Y")</f>
        <v>-38.903599999999997</v>
      </c>
      <c r="V91" s="14">
        <f>_xll.BDH("AMGN US Equity","TCE_RATIO","FQ3 2023","FQ3 2023","Currency=USD","Period=FQ","BEST_FPERIOD_OVERRIDE=FQ","FILING_STATUS=MR","Sort=A","Dates=H","DateFormat=P","Fill=—","Direction=H","UseDPDF=Y")</f>
        <v>-33.944200000000002</v>
      </c>
      <c r="W91" s="14">
        <f>_xll.BDH("AMGN US Equity","TCE_RATIO","FQ4 2023","FQ4 2023","Currency=USD","Period=FQ","BEST_FPERIOD_OVERRIDE=FQ","FILING_STATUS=MR","Sort=A","Dates=H","DateFormat=P","Fill=—","Direction=H","UseDPDF=Y")</f>
        <v>-98.156199999999998</v>
      </c>
      <c r="X91" s="14">
        <f>_xll.BDH("AMGN US Equity","TCE_RATIO","FQ1 2024","FQ1 2024","Currency=USD","Period=FQ","BEST_FPERIOD_OVERRIDE=FQ","FILING_STATUS=MR","Sort=A","Dates=H","DateFormat=P","Fill=—","Direction=H","UseDPDF=Y")</f>
        <v>-104.3729</v>
      </c>
      <c r="Y91" s="14">
        <f>_xll.BDH("AMGN US Equity","TCE_RATIO","FQ2 2024","FQ2 2024","Currency=USD","Period=FQ","BEST_FPERIOD_OVERRIDE=FQ","FILING_STATUS=MR","Sort=A","Dates=H","DateFormat=P","Fill=—","Direction=H","UseDPDF=Y")</f>
        <v>-101.7664</v>
      </c>
      <c r="Z91" s="14">
        <f>_xll.BDH("AMGN US Equity","TCE_RATIO","FQ3 2024","FQ3 2024","Currency=USD","Period=FQ","BEST_FPERIOD_OVERRIDE=FQ","FILING_STATUS=MR","Sort=A","Dates=H","DateFormat=P","Fill=—","Direction=H","UseDPDF=Y")</f>
        <v>-92.485900000000001</v>
      </c>
      <c r="AA91" s="14">
        <f>_xll.BDH("AMGN US Equity","TCE_RATIO","FQ4 2024","FQ4 2024","Currency=USD","Period=FQ","BEST_FPERIOD_OVERRIDE=FQ","FILING_STATUS=MR","Sort=A","Dates=H","DateFormat=P","Fill=—","Direction=H","UseDPDF=Y")</f>
        <v>-88.915000000000006</v>
      </c>
    </row>
    <row r="92" spans="1:27" x14ac:dyDescent="0.25">
      <c r="A92" s="10" t="s">
        <v>848</v>
      </c>
      <c r="B92" s="10" t="s">
        <v>849</v>
      </c>
      <c r="C92" s="14">
        <f>_xll.BDH("AMGN US Equity","CUR_RATIO","FQ4 2018","FQ4 2018","Currency=USD","Period=FQ","BEST_FPERIOD_OVERRIDE=FQ","FILING_STATUS=MR","Sort=A","Dates=H","DateFormat=P","Fill=—","Direction=H","UseDPDF=Y")</f>
        <v>2.7890000000000001</v>
      </c>
      <c r="D92" s="14">
        <f>_xll.BDH("AMGN US Equity","CUR_RATIO","FQ1 2019","FQ1 2019","Currency=USD","Period=FQ","BEST_FPERIOD_OVERRIDE=FQ","FILING_STATUS=MR","Sort=A","Dates=H","DateFormat=P","Fill=—","Direction=H","UseDPDF=Y")</f>
        <v>2.7665000000000002</v>
      </c>
      <c r="E92" s="14">
        <f>_xll.BDH("AMGN US Equity","CUR_RATIO","FQ2 2019","FQ2 2019","Currency=USD","Period=FQ","BEST_FPERIOD_OVERRIDE=FQ","FILING_STATUS=MR","Sort=A","Dates=H","DateFormat=P","Fill=—","Direction=H","UseDPDF=Y")</f>
        <v>2.8946000000000001</v>
      </c>
      <c r="F92" s="14">
        <f>_xll.BDH("AMGN US Equity","CUR_RATIO","FQ3 2019","FQ3 2019","Currency=USD","Period=FQ","BEST_FPERIOD_OVERRIDE=FQ","FILING_STATUS=MR","Sort=A","Dates=H","DateFormat=P","Fill=—","Direction=H","UseDPDF=Y")</f>
        <v>2.8919999999999999</v>
      </c>
      <c r="G92" s="14">
        <f>_xll.BDH("AMGN US Equity","CUR_RATIO","FQ4 2019","FQ4 2019","Currency=USD","Period=FQ","BEST_FPERIOD_OVERRIDE=FQ","FILING_STATUS=MR","Sort=A","Dates=H","DateFormat=P","Fill=—","Direction=H","UseDPDF=Y")</f>
        <v>1.4367000000000001</v>
      </c>
      <c r="H92" s="14">
        <f>_xll.BDH("AMGN US Equity","CUR_RATIO","FQ1 2020","FQ1 2020","Currency=USD","Period=FQ","BEST_FPERIOD_OVERRIDE=FQ","FILING_STATUS=MR","Sort=A","Dates=H","DateFormat=P","Fill=—","Direction=H","UseDPDF=Y")</f>
        <v>1.5907</v>
      </c>
      <c r="I92" s="14">
        <f>_xll.BDH("AMGN US Equity","CUR_RATIO","FQ2 2020","FQ2 2020","Currency=USD","Period=FQ","BEST_FPERIOD_OVERRIDE=FQ","FILING_STATUS=MR","Sort=A","Dates=H","DateFormat=P","Fill=—","Direction=H","UseDPDF=Y")</f>
        <v>2.1757</v>
      </c>
      <c r="J92" s="14">
        <f>_xll.BDH("AMGN US Equity","CUR_RATIO","FQ3 2020","FQ3 2020","Currency=USD","Period=FQ","BEST_FPERIOD_OVERRIDE=FQ","FILING_STATUS=MR","Sort=A","Dates=H","DateFormat=P","Fill=—","Direction=H","UseDPDF=Y")</f>
        <v>2.2768000000000002</v>
      </c>
      <c r="K92" s="14">
        <f>_xll.BDH("AMGN US Equity","CUR_RATIO","FQ4 2020","FQ4 2020","Currency=USD","Period=FQ","BEST_FPERIOD_OVERRIDE=FQ","FILING_STATUS=MR","Sort=A","Dates=H","DateFormat=P","Fill=—","Direction=H","UseDPDF=Y")</f>
        <v>1.8145</v>
      </c>
      <c r="L92" s="14">
        <f>_xll.BDH("AMGN US Equity","CUR_RATIO","FQ1 2021","FQ1 2021","Currency=USD","Period=FQ","BEST_FPERIOD_OVERRIDE=FQ","FILING_STATUS=MR","Sort=A","Dates=H","DateFormat=P","Fill=—","Direction=H","UseDPDF=Y")</f>
        <v>1.6551</v>
      </c>
      <c r="M92" s="14">
        <f>_xll.BDH("AMGN US Equity","CUR_RATIO","FQ2 2021","FQ2 2021","Currency=USD","Period=FQ","BEST_FPERIOD_OVERRIDE=FQ","FILING_STATUS=MR","Sort=A","Dates=H","DateFormat=P","Fill=—","Direction=H","UseDPDF=Y")</f>
        <v>1.3095000000000001</v>
      </c>
      <c r="N92" s="14">
        <f>_xll.BDH("AMGN US Equity","CUR_RATIO","FQ3 2021","FQ3 2021","Currency=USD","Period=FQ","BEST_FPERIOD_OVERRIDE=FQ","FILING_STATUS=MR","Sort=A","Dates=H","DateFormat=P","Fill=—","Direction=H","UseDPDF=Y")</f>
        <v>1.6426000000000001</v>
      </c>
      <c r="O92" s="14">
        <f>_xll.BDH("AMGN US Equity","CUR_RATIO","FQ4 2021","FQ4 2021","Currency=USD","Period=FQ","BEST_FPERIOD_OVERRIDE=FQ","FILING_STATUS=MR","Sort=A","Dates=H","DateFormat=P","Fill=—","Direction=H","UseDPDF=Y")</f>
        <v>1.591</v>
      </c>
      <c r="P92" s="14">
        <f>_xll.BDH("AMGN US Equity","CUR_RATIO","FQ1 2022","FQ1 2022","Currency=USD","Period=FQ","BEST_FPERIOD_OVERRIDE=FQ","FILING_STATUS=MR","Sort=A","Dates=H","DateFormat=P","Fill=—","Direction=H","UseDPDF=Y")</f>
        <v>1.4372</v>
      </c>
      <c r="Q92" s="14">
        <f>_xll.BDH("AMGN US Equity","CUR_RATIO","FQ2 2022","FQ2 2022","Currency=USD","Period=FQ","BEST_FPERIOD_OVERRIDE=FQ","FILING_STATUS=MR","Sort=A","Dates=H","DateFormat=P","Fill=—","Direction=H","UseDPDF=Y")</f>
        <v>1.5313000000000001</v>
      </c>
      <c r="R92" s="14">
        <f>_xll.BDH("AMGN US Equity","CUR_RATIO","FQ3 2022","FQ3 2022","Currency=USD","Period=FQ","BEST_FPERIOD_OVERRIDE=FQ","FILING_STATUS=MR","Sort=A","Dates=H","DateFormat=P","Fill=—","Direction=H","UseDPDF=Y")</f>
        <v>1.679</v>
      </c>
      <c r="S92" s="14">
        <f>_xll.BDH("AMGN US Equity","CUR_RATIO","FQ4 2022","FQ4 2022","Currency=USD","Period=FQ","BEST_FPERIOD_OVERRIDE=FQ","FILING_STATUS=MR","Sort=A","Dates=H","DateFormat=P","Fill=—","Direction=H","UseDPDF=Y")</f>
        <v>1.4142999999999999</v>
      </c>
      <c r="T92" s="14">
        <f>_xll.BDH("AMGN US Equity","CUR_RATIO","FQ1 2023","FQ1 2023","Currency=USD","Period=FQ","BEST_FPERIOD_OVERRIDE=FQ","FILING_STATUS=MR","Sort=A","Dates=H","DateFormat=P","Fill=—","Direction=H","UseDPDF=Y")</f>
        <v>3.1448</v>
      </c>
      <c r="U92" s="14">
        <f>_xll.BDH("AMGN US Equity","CUR_RATIO","FQ2 2023","FQ2 2023","Currency=USD","Period=FQ","BEST_FPERIOD_OVERRIDE=FQ","FILING_STATUS=MR","Sort=A","Dates=H","DateFormat=P","Fill=—","Direction=H","UseDPDF=Y")</f>
        <v>2.7711999999999999</v>
      </c>
      <c r="V92" s="14">
        <f>_xll.BDH("AMGN US Equity","CUR_RATIO","FQ3 2023","FQ3 2023","Currency=USD","Period=FQ","BEST_FPERIOD_OVERRIDE=FQ","FILING_STATUS=MR","Sort=A","Dates=H","DateFormat=P","Fill=—","Direction=H","UseDPDF=Y")</f>
        <v>2.8593000000000002</v>
      </c>
      <c r="W92" s="14">
        <f>_xll.BDH("AMGN US Equity","CUR_RATIO","FQ4 2023","FQ4 2023","Currency=USD","Period=FQ","BEST_FPERIOD_OVERRIDE=FQ","FILING_STATUS=MR","Sort=A","Dates=H","DateFormat=P","Fill=—","Direction=H","UseDPDF=Y")</f>
        <v>1.6492</v>
      </c>
      <c r="X92" s="14">
        <f>_xll.BDH("AMGN US Equity","CUR_RATIO","FQ1 2024","FQ1 2024","Currency=USD","Period=FQ","BEST_FPERIOD_OVERRIDE=FQ","FILING_STATUS=MR","Sort=A","Dates=H","DateFormat=P","Fill=—","Direction=H","UseDPDF=Y")</f>
        <v>1.4218</v>
      </c>
      <c r="Y92" s="14">
        <f>_xll.BDH("AMGN US Equity","CUR_RATIO","FQ2 2024","FQ2 2024","Currency=USD","Period=FQ","BEST_FPERIOD_OVERRIDE=FQ","FILING_STATUS=MR","Sort=A","Dates=H","DateFormat=P","Fill=—","Direction=H","UseDPDF=Y")</f>
        <v>1.2644</v>
      </c>
      <c r="Z92" s="14">
        <f>_xll.BDH("AMGN US Equity","CUR_RATIO","FQ3 2024","FQ3 2024","Currency=USD","Period=FQ","BEST_FPERIOD_OVERRIDE=FQ","FILING_STATUS=MR","Sort=A","Dates=H","DateFormat=P","Fill=—","Direction=H","UseDPDF=Y")</f>
        <v>1.3177000000000001</v>
      </c>
      <c r="AA92" s="14">
        <f>_xll.BDH("AMGN US Equity","CUR_RATIO","FQ4 2024","FQ4 2024","Currency=USD","Period=FQ","BEST_FPERIOD_OVERRIDE=FQ","FILING_STATUS=MR","Sort=A","Dates=H","DateFormat=P","Fill=—","Direction=H","UseDPDF=Y")</f>
        <v>1.2567999999999999</v>
      </c>
    </row>
    <row r="93" spans="1:27" x14ac:dyDescent="0.25">
      <c r="A93" s="10" t="s">
        <v>850</v>
      </c>
      <c r="B93" s="10" t="s">
        <v>851</v>
      </c>
      <c r="C93" s="14">
        <f>_xll.BDH("AMGN US Equity","CASH_CONVERSION_CYCLE","FQ4 2018","FQ4 2018","Currency=USD","Period=FQ","BEST_FPERIOD_OVERRIDE=FQ","FILING_STATUS=MR","FA_ADJUSTED=GAAP","Sort=A","Dates=H","DateFormat=P","Fill=—","Direction=H","UseDPDF=Y")</f>
        <v>198.33099999999999</v>
      </c>
      <c r="D93" s="14">
        <f>_xll.BDH("AMGN US Equity","CASH_CONVERSION_CYCLE","FQ1 2019","FQ1 2019","Currency=USD","Period=FQ","BEST_FPERIOD_OVERRIDE=FQ","FILING_STATUS=MR","FA_ADJUSTED=GAAP","Sort=A","Dates=H","DateFormat=P","Fill=—","Direction=H","UseDPDF=Y")</f>
        <v>222.43629999999999</v>
      </c>
      <c r="E93" s="14">
        <f>_xll.BDH("AMGN US Equity","CASH_CONVERSION_CYCLE","FQ2 2019","FQ2 2019","Currency=USD","Period=FQ","BEST_FPERIOD_OVERRIDE=FQ","FILING_STATUS=MR","FA_ADJUSTED=GAAP","Sort=A","Dates=H","DateFormat=P","Fill=—","Direction=H","UseDPDF=Y")</f>
        <v>241.9101</v>
      </c>
      <c r="F93" s="14">
        <f>_xll.BDH("AMGN US Equity","CASH_CONVERSION_CYCLE","FQ3 2019","FQ3 2019","Currency=USD","Period=FQ","BEST_FPERIOD_OVERRIDE=FQ","FILING_STATUS=MR","FA_ADJUSTED=GAAP","Sort=A","Dates=H","DateFormat=P","Fill=—","Direction=H","UseDPDF=Y")</f>
        <v>242.62469999999999</v>
      </c>
      <c r="G93" s="14">
        <f>_xll.BDH("AMGN US Equity","CASH_CONVERSION_CYCLE","FQ4 2019","FQ4 2019","Currency=USD","Period=FQ","BEST_FPERIOD_OVERRIDE=FQ","FILING_STATUS=MR","FA_ADJUSTED=GAAP","Sort=A","Dates=H","DateFormat=P","Fill=—","Direction=H","UseDPDF=Y")</f>
        <v>238.893</v>
      </c>
      <c r="H93" s="14">
        <f>_xll.BDH("AMGN US Equity","CASH_CONVERSION_CYCLE","FQ1 2020","FQ1 2020","Currency=USD","Period=FQ","BEST_FPERIOD_OVERRIDE=FQ","FILING_STATUS=MR","FA_ADJUSTED=GAAP","Sort=A","Dates=H","DateFormat=P","Fill=—","Direction=H","UseDPDF=Y")</f>
        <v>240.54669999999999</v>
      </c>
      <c r="I93" s="14">
        <f>_xll.BDH("AMGN US Equity","CASH_CONVERSION_CYCLE","FQ2 2020","FQ2 2020","Currency=USD","Period=FQ","BEST_FPERIOD_OVERRIDE=FQ","FILING_STATUS=MR","FA_ADJUSTED=GAAP","Sort=A","Dates=H","DateFormat=P","Fill=—","Direction=H","UseDPDF=Y")</f>
        <v>245.62870000000001</v>
      </c>
      <c r="J93" s="14">
        <f>_xll.BDH("AMGN US Equity","CASH_CONVERSION_CYCLE","FQ3 2020","FQ3 2020","Currency=USD","Period=FQ","BEST_FPERIOD_OVERRIDE=FQ","FILING_STATUS=MR","FA_ADJUSTED=GAAP","Sort=A","Dates=H","DateFormat=P","Fill=—","Direction=H","UseDPDF=Y")</f>
        <v>221.6575</v>
      </c>
      <c r="K93" s="14">
        <f>_xll.BDH("AMGN US Equity","CASH_CONVERSION_CYCLE","FQ4 2020","FQ4 2020","Currency=USD","Period=FQ","BEST_FPERIOD_OVERRIDE=FQ","FILING_STATUS=MR","FA_ADJUSTED=GAAP","Sort=A","Dates=H","DateFormat=P","Fill=—","Direction=H","UseDPDF=Y")</f>
        <v>204.93940000000001</v>
      </c>
      <c r="L93" s="14">
        <f>_xll.BDH("AMGN US Equity","CASH_CONVERSION_CYCLE","FQ1 2021","FQ1 2021","Currency=USD","Period=FQ","BEST_FPERIOD_OVERRIDE=FQ","FILING_STATUS=MR","FA_ADJUSTED=GAAP","Sort=A","Dates=H","DateFormat=P","Fill=—","Direction=H","UseDPDF=Y")</f>
        <v>220.2861</v>
      </c>
      <c r="M93" s="14">
        <f>_xll.BDH("AMGN US Equity","CASH_CONVERSION_CYCLE","FQ2 2021","FQ2 2021","Currency=USD","Period=FQ","BEST_FPERIOD_OVERRIDE=FQ","FILING_STATUS=MR","FA_ADJUSTED=GAAP","Sort=A","Dates=H","DateFormat=P","Fill=—","Direction=H","UseDPDF=Y")</f>
        <v>233.97659999999999</v>
      </c>
      <c r="N93" s="14">
        <f>_xll.BDH("AMGN US Equity","CASH_CONVERSION_CYCLE","FQ3 2021","FQ3 2021","Currency=USD","Period=FQ","BEST_FPERIOD_OVERRIDE=FQ","FILING_STATUS=MR","FA_ADJUSTED=GAAP","Sort=A","Dates=H","DateFormat=P","Fill=—","Direction=H","UseDPDF=Y")</f>
        <v>230.9479</v>
      </c>
      <c r="O93" s="14">
        <f>_xll.BDH("AMGN US Equity","CASH_CONVERSION_CYCLE","FQ4 2021","FQ4 2021","Currency=USD","Period=FQ","BEST_FPERIOD_OVERRIDE=FQ","FILING_STATUS=MR","FA_ADJUSTED=GAAP","Sort=A","Dates=H","DateFormat=P","Fill=—","Direction=H","UseDPDF=Y")</f>
        <v>215.27719999999999</v>
      </c>
      <c r="P93" s="14">
        <f>_xll.BDH("AMGN US Equity","CASH_CONVERSION_CYCLE","FQ1 2022","FQ1 2022","Currency=USD","Period=FQ","BEST_FPERIOD_OVERRIDE=FQ","FILING_STATUS=MR","FA_ADJUSTED=GAAP","Sort=A","Dates=H","DateFormat=P","Fill=—","Direction=H","UseDPDF=Y")</f>
        <v>227.77940000000001</v>
      </c>
      <c r="Q93" s="14">
        <f>_xll.BDH("AMGN US Equity","CASH_CONVERSION_CYCLE","FQ2 2022","FQ2 2022","Currency=USD","Period=FQ","BEST_FPERIOD_OVERRIDE=FQ","FILING_STATUS=MR","FA_ADJUSTED=GAAP","Sort=A","Dates=H","DateFormat=P","Fill=—","Direction=H","UseDPDF=Y")</f>
        <v>247.49469999999999</v>
      </c>
      <c r="R93" s="14">
        <f>_xll.BDH("AMGN US Equity","CASH_CONVERSION_CYCLE","FQ3 2022","FQ3 2022","Currency=USD","Period=FQ","BEST_FPERIOD_OVERRIDE=FQ","FILING_STATUS=MR","FA_ADJUSTED=GAAP","Sort=A","Dates=H","DateFormat=P","Fill=—","Direction=H","UseDPDF=Y")</f>
        <v>262.82600000000002</v>
      </c>
      <c r="S93" s="14">
        <f>_xll.BDH("AMGN US Equity","CASH_CONVERSION_CYCLE","FQ4 2022","FQ4 2022","Currency=USD","Period=FQ","BEST_FPERIOD_OVERRIDE=FQ","FILING_STATUS=MR","FA_ADJUSTED=GAAP","Sort=A","Dates=H","DateFormat=P","Fill=—","Direction=H","UseDPDF=Y")</f>
        <v>255.4059</v>
      </c>
      <c r="T93" s="14">
        <f>_xll.BDH("AMGN US Equity","CASH_CONVERSION_CYCLE","FQ1 2023","FQ1 2023","Currency=USD","Period=FQ","BEST_FPERIOD_OVERRIDE=FQ","FILING_STATUS=MR","FA_ADJUSTED=GAAP","Sort=A","Dates=H","DateFormat=P","Fill=—","Direction=H","UseDPDF=Y")</f>
        <v>267.91219999999998</v>
      </c>
      <c r="U93" s="14">
        <f>_xll.BDH("AMGN US Equity","CASH_CONVERSION_CYCLE","FQ2 2023","FQ2 2023","Currency=USD","Period=FQ","BEST_FPERIOD_OVERRIDE=FQ","FILING_STATUS=MR","FA_ADJUSTED=GAAP","Sort=A","Dates=H","DateFormat=P","Fill=—","Direction=H","UseDPDF=Y")</f>
        <v>268.12040000000002</v>
      </c>
      <c r="V93" s="14">
        <f>_xll.BDH("AMGN US Equity","CASH_CONVERSION_CYCLE","FQ3 2023","FQ3 2023","Currency=USD","Period=FQ","BEST_FPERIOD_OVERRIDE=FQ","FILING_STATUS=MR","FA_ADJUSTED=GAAP","Sort=A","Dates=H","DateFormat=P","Fill=—","Direction=H","UseDPDF=Y")</f>
        <v>266.40820000000002</v>
      </c>
      <c r="W93" s="14">
        <f>_xll.BDH("AMGN US Equity","CASH_CONVERSION_CYCLE","FQ4 2023","FQ4 2023","Currency=USD","Period=FQ","BEST_FPERIOD_OVERRIDE=FQ","FILING_STATUS=MR","FA_ADJUSTED=GAAP","Sort=A","Dates=H","DateFormat=P","Fill=—","Direction=H","UseDPDF=Y")</f>
        <v>350.81580000000002</v>
      </c>
      <c r="X93" s="14">
        <f>_xll.BDH("AMGN US Equity","CASH_CONVERSION_CYCLE","FQ1 2024","FQ1 2024","Currency=USD","Period=FQ","BEST_FPERIOD_OVERRIDE=FQ","FILING_STATUS=MR","FA_ADJUSTED=GAAP","Sort=A","Dates=H","DateFormat=P","Fill=—","Direction=H","UseDPDF=Y")</f>
        <v>291.08960000000002</v>
      </c>
      <c r="Y93" s="14">
        <f>_xll.BDH("AMGN US Equity","CASH_CONVERSION_CYCLE","FQ2 2024","FQ2 2024","Currency=USD","Period=FQ","BEST_FPERIOD_OVERRIDE=FQ","FILING_STATUS=MR","FA_ADJUSTED=GAAP","Sort=A","Dates=H","DateFormat=P","Fill=—","Direction=H","UseDPDF=Y")</f>
        <v>240.30250000000001</v>
      </c>
      <c r="Z93" s="14">
        <f>_xll.BDH("AMGN US Equity","CASH_CONVERSION_CYCLE","FQ3 2024","FQ3 2024","Currency=USD","Period=FQ","BEST_FPERIOD_OVERRIDE=FQ","FILING_STATUS=MR","FA_ADJUSTED=GAAP","Sort=A","Dates=H","DateFormat=P","Fill=—","Direction=H","UseDPDF=Y")</f>
        <v>209.81800000000001</v>
      </c>
      <c r="AA93" s="14">
        <f>_xll.BDH("AMGN US Equity","CASH_CONVERSION_CYCLE","FQ4 2024","FQ4 2024","Currency=USD","Period=FQ","BEST_FPERIOD_OVERRIDE=FQ","FILING_STATUS=MR","FA_ADJUSTED=GAAP","Sort=A","Dates=H","DateFormat=P","Fill=—","Direction=H","UseDPDF=Y")</f>
        <v>250.0668</v>
      </c>
    </row>
    <row r="94" spans="1:27" x14ac:dyDescent="0.25">
      <c r="A94" s="10" t="s">
        <v>852</v>
      </c>
      <c r="B94" s="10" t="s">
        <v>853</v>
      </c>
      <c r="C94" s="13">
        <f>_xll.BDH("AMGN US Equity","BS_CASH_HELD_OVERSEAS","FQ4 2018","FQ4 2018","Currency=USD","Period=FQ","BEST_FPERIOD_OVERRIDE=FQ","FILING_STATUS=MR","SCALING_FORMAT=MLN","Sort=A","Dates=H","DateFormat=P","Fill=—","Direction=H","UseDPDF=Y")</f>
        <v>0</v>
      </c>
      <c r="D94" s="13">
        <f>_xll.BDH("AMGN US Equity","BS_CASH_HELD_OVERSEAS","FQ1 2019","FQ1 2019","Currency=USD","Period=FQ","BEST_FPERIOD_OVERRIDE=FQ","FILING_STATUS=MR","SCALING_FORMAT=MLN","Sort=A","Dates=H","DateFormat=P","Fill=—","Direction=H","UseDPDF=Y")</f>
        <v>0</v>
      </c>
      <c r="E94" s="13">
        <f>_xll.BDH("AMGN US Equity","BS_CASH_HELD_OVERSEAS","FQ2 2019","FQ2 2019","Currency=USD","Period=FQ","BEST_FPERIOD_OVERRIDE=FQ","FILING_STATUS=MR","SCALING_FORMAT=MLN","Sort=A","Dates=H","DateFormat=P","Fill=—","Direction=H","UseDPDF=Y")</f>
        <v>0</v>
      </c>
      <c r="F94" s="13">
        <f>_xll.BDH("AMGN US Equity","BS_CASH_HELD_OVERSEAS","FQ3 2019","FQ3 2019","Currency=USD","Period=FQ","BEST_FPERIOD_OVERRIDE=FQ","FILING_STATUS=MR","SCALING_FORMAT=MLN","Sort=A","Dates=H","DateFormat=P","Fill=—","Direction=H","UseDPDF=Y")</f>
        <v>0</v>
      </c>
      <c r="G94" s="13">
        <f>_xll.BDH("AMGN US Equity","BS_CASH_HELD_OVERSEAS","FQ4 2019","FQ4 2019","Currency=USD","Period=FQ","BEST_FPERIOD_OVERRIDE=FQ","FILING_STATUS=MR","SCALING_FORMAT=MLN","Sort=A","Dates=H","DateFormat=P","Fill=—","Direction=H","UseDPDF=Y")</f>
        <v>0</v>
      </c>
      <c r="H94" s="13">
        <f>_xll.BDH("AMGN US Equity","BS_CASH_HELD_OVERSEAS","FQ1 2020","FQ1 2020","Currency=USD","Period=FQ","BEST_FPERIOD_OVERRIDE=FQ","FILING_STATUS=MR","SCALING_FORMAT=MLN","Sort=A","Dates=H","DateFormat=P","Fill=—","Direction=H","UseDPDF=Y")</f>
        <v>0</v>
      </c>
      <c r="I94" s="13">
        <f>_xll.BDH("AMGN US Equity","BS_CASH_HELD_OVERSEAS","FQ2 2020","FQ2 2020","Currency=USD","Period=FQ","BEST_FPERIOD_OVERRIDE=FQ","FILING_STATUS=MR","SCALING_FORMAT=MLN","Sort=A","Dates=H","DateFormat=P","Fill=—","Direction=H","UseDPDF=Y")</f>
        <v>0</v>
      </c>
      <c r="J94" s="13">
        <f>_xll.BDH("AMGN US Equity","BS_CASH_HELD_OVERSEAS","FQ3 2020","FQ3 2020","Currency=USD","Period=FQ","BEST_FPERIOD_OVERRIDE=FQ","FILING_STATUS=MR","SCALING_FORMAT=MLN","Sort=A","Dates=H","DateFormat=P","Fill=—","Direction=H","UseDPDF=Y")</f>
        <v>0</v>
      </c>
      <c r="K94" s="13">
        <f>_xll.BDH("AMGN US Equity","BS_CASH_HELD_OVERSEAS","FQ4 2020","FQ4 2020","Currency=USD","Period=FQ","BEST_FPERIOD_OVERRIDE=FQ","FILING_STATUS=MR","SCALING_FORMAT=MLN","Sort=A","Dates=H","DateFormat=P","Fill=—","Direction=H","UseDPDF=Y")</f>
        <v>0</v>
      </c>
      <c r="L94" s="13">
        <f>_xll.BDH("AMGN US Equity","BS_CASH_HELD_OVERSEAS","FQ1 2021","FQ1 2021","Currency=USD","Period=FQ","BEST_FPERIOD_OVERRIDE=FQ","FILING_STATUS=MR","SCALING_FORMAT=MLN","Sort=A","Dates=H","DateFormat=P","Fill=—","Direction=H","UseDPDF=Y")</f>
        <v>0</v>
      </c>
      <c r="M94" s="13">
        <f>_xll.BDH("AMGN US Equity","BS_CASH_HELD_OVERSEAS","FQ2 2021","FQ2 2021","Currency=USD","Period=FQ","BEST_FPERIOD_OVERRIDE=FQ","FILING_STATUS=MR","SCALING_FORMAT=MLN","Sort=A","Dates=H","DateFormat=P","Fill=—","Direction=H","UseDPDF=Y")</f>
        <v>0</v>
      </c>
      <c r="N94" s="13">
        <f>_xll.BDH("AMGN US Equity","BS_CASH_HELD_OVERSEAS","FQ3 2021","FQ3 2021","Currency=USD","Period=FQ","BEST_FPERIOD_OVERRIDE=FQ","FILING_STATUS=MR","SCALING_FORMAT=MLN","Sort=A","Dates=H","DateFormat=P","Fill=—","Direction=H","UseDPDF=Y")</f>
        <v>0</v>
      </c>
      <c r="O94" s="13">
        <f>_xll.BDH("AMGN US Equity","BS_CASH_HELD_OVERSEAS","FQ4 2021","FQ4 2021","Currency=USD","Period=FQ","BEST_FPERIOD_OVERRIDE=FQ","FILING_STATUS=MR","SCALING_FORMAT=MLN","Sort=A","Dates=H","DateFormat=P","Fill=—","Direction=H","UseDPDF=Y")</f>
        <v>0</v>
      </c>
      <c r="P94" s="13">
        <f>_xll.BDH("AMGN US Equity","BS_CASH_HELD_OVERSEAS","FQ1 2022","FQ1 2022","Currency=USD","Period=FQ","BEST_FPERIOD_OVERRIDE=FQ","FILING_STATUS=MR","SCALING_FORMAT=MLN","Sort=A","Dates=H","DateFormat=P","Fill=—","Direction=H","UseDPDF=Y")</f>
        <v>0</v>
      </c>
      <c r="Q94" s="13">
        <f>_xll.BDH("AMGN US Equity","BS_CASH_HELD_OVERSEAS","FQ2 2022","FQ2 2022","Currency=USD","Period=FQ","BEST_FPERIOD_OVERRIDE=FQ","FILING_STATUS=MR","SCALING_FORMAT=MLN","Sort=A","Dates=H","DateFormat=P","Fill=—","Direction=H","UseDPDF=Y")</f>
        <v>0</v>
      </c>
      <c r="R94" s="13">
        <f>_xll.BDH("AMGN US Equity","BS_CASH_HELD_OVERSEAS","FQ3 2022","FQ3 2022","Currency=USD","Period=FQ","BEST_FPERIOD_OVERRIDE=FQ","FILING_STATUS=MR","SCALING_FORMAT=MLN","Sort=A","Dates=H","DateFormat=P","Fill=—","Direction=H","UseDPDF=Y")</f>
        <v>0</v>
      </c>
      <c r="S94" s="13">
        <f>_xll.BDH("AMGN US Equity","BS_CASH_HELD_OVERSEAS","FQ4 2022","FQ4 2022","Currency=USD","Period=FQ","BEST_FPERIOD_OVERRIDE=FQ","FILING_STATUS=MR","SCALING_FORMAT=MLN","Sort=A","Dates=H","DateFormat=P","Fill=—","Direction=H","UseDPDF=Y")</f>
        <v>0</v>
      </c>
      <c r="T94" s="13" t="str">
        <f>_xll.BDH("AMGN US Equity","BS_CASH_HELD_OVERSEAS","FQ1 2023","FQ1 2023","Currency=USD","Period=FQ","BEST_FPERIOD_OVERRIDE=FQ","FILING_STATUS=MR","SCALING_FORMAT=MLN","Sort=A","Dates=H","DateFormat=P","Fill=—","Direction=H","UseDPDF=Y")</f>
        <v>—</v>
      </c>
      <c r="U94" s="13" t="str">
        <f>_xll.BDH("AMGN US Equity","BS_CASH_HELD_OVERSEAS","FQ2 2023","FQ2 2023","Currency=USD","Period=FQ","BEST_FPERIOD_OVERRIDE=FQ","FILING_STATUS=MR","SCALING_FORMAT=MLN","Sort=A","Dates=H","DateFormat=P","Fill=—","Direction=H","UseDPDF=Y")</f>
        <v>—</v>
      </c>
      <c r="V94" s="13" t="str">
        <f>_xll.BDH("AMGN US Equity","BS_CASH_HELD_OVERSEAS","FQ3 2023","FQ3 2023","Currency=USD","Period=FQ","BEST_FPERIOD_OVERRIDE=FQ","FILING_STATUS=MR","SCALING_FORMAT=MLN","Sort=A","Dates=H","DateFormat=P","Fill=—","Direction=H","UseDPDF=Y")</f>
        <v>—</v>
      </c>
      <c r="W94" s="13">
        <f>_xll.BDH("AMGN US Equity","BS_CASH_HELD_OVERSEAS","FQ4 2023","FQ4 2023","Currency=USD","Period=FQ","BEST_FPERIOD_OVERRIDE=FQ","FILING_STATUS=MR","SCALING_FORMAT=MLN","Sort=A","Dates=H","DateFormat=P","Fill=—","Direction=H","UseDPDF=Y")</f>
        <v>0</v>
      </c>
      <c r="X94" s="13">
        <f>_xll.BDH("AMGN US Equity","BS_CASH_HELD_OVERSEAS","FQ1 2024","FQ1 2024","Currency=USD","Period=FQ","BEST_FPERIOD_OVERRIDE=FQ","FILING_STATUS=MR","SCALING_FORMAT=MLN","Sort=A","Dates=H","DateFormat=P","Fill=—","Direction=H","UseDPDF=Y")</f>
        <v>0</v>
      </c>
      <c r="Y94" s="13" t="str">
        <f>_xll.BDH("AMGN US Equity","BS_CASH_HELD_OVERSEAS","FQ2 2024","FQ2 2024","Currency=USD","Period=FQ","BEST_FPERIOD_OVERRIDE=FQ","FILING_STATUS=MR","SCALING_FORMAT=MLN","Sort=A","Dates=H","DateFormat=P","Fill=—","Direction=H","UseDPDF=Y")</f>
        <v>—</v>
      </c>
      <c r="Z94" s="13" t="str">
        <f>_xll.BDH("AMGN US Equity","BS_CASH_HELD_OVERSEAS","FQ3 2024","FQ3 2024","Currency=USD","Period=FQ","BEST_FPERIOD_OVERRIDE=FQ","FILING_STATUS=MR","SCALING_FORMAT=MLN","Sort=A","Dates=H","DateFormat=P","Fill=—","Direction=H","UseDPDF=Y")</f>
        <v>—</v>
      </c>
      <c r="AA94" s="13">
        <f>_xll.BDH("AMGN US Equity","BS_CASH_HELD_OVERSEAS","FQ4 2024","FQ4 2024","Currency=USD","Period=FQ","BEST_FPERIOD_OVERRIDE=FQ","FILING_STATUS=MR","SCALING_FORMAT=MLN","Sort=A","Dates=H","DateFormat=P","Fill=—","Direction=H","UseDPDF=Y")</f>
        <v>0</v>
      </c>
    </row>
    <row r="95" spans="1:27" x14ac:dyDescent="0.25">
      <c r="A95" s="10" t="s">
        <v>854</v>
      </c>
      <c r="B95" s="10" t="s">
        <v>855</v>
      </c>
      <c r="C95" s="14">
        <f>_xll.BDH("AMGN US Equity","NUM_OF_EMPLOYEES","FQ4 2018","FQ4 2018","Currency=USD","Period=FQ","BEST_FPERIOD_OVERRIDE=FQ","FILING_STATUS=MR","Sort=A","Dates=H","DateFormat=P","Fill=—","Direction=H","UseDPDF=Y")</f>
        <v>21500</v>
      </c>
      <c r="D95" s="14" t="str">
        <f>_xll.BDH("AMGN US Equity","NUM_OF_EMPLOYEES","FQ1 2019","FQ1 2019","Currency=USD","Period=FQ","BEST_FPERIOD_OVERRIDE=FQ","FILING_STATUS=MR","Sort=A","Dates=H","DateFormat=P","Fill=—","Direction=H","UseDPDF=Y")</f>
        <v>—</v>
      </c>
      <c r="E95" s="14" t="str">
        <f>_xll.BDH("AMGN US Equity","NUM_OF_EMPLOYEES","FQ2 2019","FQ2 2019","Currency=USD","Period=FQ","BEST_FPERIOD_OVERRIDE=FQ","FILING_STATUS=MR","Sort=A","Dates=H","DateFormat=P","Fill=—","Direction=H","UseDPDF=Y")</f>
        <v>—</v>
      </c>
      <c r="F95" s="14" t="str">
        <f>_xll.BDH("AMGN US Equity","NUM_OF_EMPLOYEES","FQ3 2019","FQ3 2019","Currency=USD","Period=FQ","BEST_FPERIOD_OVERRIDE=FQ","FILING_STATUS=MR","Sort=A","Dates=H","DateFormat=P","Fill=—","Direction=H","UseDPDF=Y")</f>
        <v>—</v>
      </c>
      <c r="G95" s="14">
        <f>_xll.BDH("AMGN US Equity","NUM_OF_EMPLOYEES","FQ4 2019","FQ4 2019","Currency=USD","Period=FQ","BEST_FPERIOD_OVERRIDE=FQ","FILING_STATUS=MR","Sort=A","Dates=H","DateFormat=P","Fill=—","Direction=H","UseDPDF=Y")</f>
        <v>23400</v>
      </c>
      <c r="H95" s="14" t="str">
        <f>_xll.BDH("AMGN US Equity","NUM_OF_EMPLOYEES","FQ1 2020","FQ1 2020","Currency=USD","Period=FQ","BEST_FPERIOD_OVERRIDE=FQ","FILING_STATUS=MR","Sort=A","Dates=H","DateFormat=P","Fill=—","Direction=H","UseDPDF=Y")</f>
        <v>—</v>
      </c>
      <c r="I95" s="14" t="str">
        <f>_xll.BDH("AMGN US Equity","NUM_OF_EMPLOYEES","FQ2 2020","FQ2 2020","Currency=USD","Period=FQ","BEST_FPERIOD_OVERRIDE=FQ","FILING_STATUS=MR","Sort=A","Dates=H","DateFormat=P","Fill=—","Direction=H","UseDPDF=Y")</f>
        <v>—</v>
      </c>
      <c r="J95" s="14" t="str">
        <f>_xll.BDH("AMGN US Equity","NUM_OF_EMPLOYEES","FQ3 2020","FQ3 2020","Currency=USD","Period=FQ","BEST_FPERIOD_OVERRIDE=FQ","FILING_STATUS=MR","Sort=A","Dates=H","DateFormat=P","Fill=—","Direction=H","UseDPDF=Y")</f>
        <v>—</v>
      </c>
      <c r="K95" s="14">
        <f>_xll.BDH("AMGN US Equity","NUM_OF_EMPLOYEES","FQ4 2020","FQ4 2020","Currency=USD","Period=FQ","BEST_FPERIOD_OVERRIDE=FQ","FILING_STATUS=MR","Sort=A","Dates=H","DateFormat=P","Fill=—","Direction=H","UseDPDF=Y")</f>
        <v>24200</v>
      </c>
      <c r="L95" s="14" t="str">
        <f>_xll.BDH("AMGN US Equity","NUM_OF_EMPLOYEES","FQ1 2021","FQ1 2021","Currency=USD","Period=FQ","BEST_FPERIOD_OVERRIDE=FQ","FILING_STATUS=MR","Sort=A","Dates=H","DateFormat=P","Fill=—","Direction=H","UseDPDF=Y")</f>
        <v>—</v>
      </c>
      <c r="M95" s="14" t="str">
        <f>_xll.BDH("AMGN US Equity","NUM_OF_EMPLOYEES","FQ2 2021","FQ2 2021","Currency=USD","Period=FQ","BEST_FPERIOD_OVERRIDE=FQ","FILING_STATUS=MR","Sort=A","Dates=H","DateFormat=P","Fill=—","Direction=H","UseDPDF=Y")</f>
        <v>—</v>
      </c>
      <c r="N95" s="14" t="str">
        <f>_xll.BDH("AMGN US Equity","NUM_OF_EMPLOYEES","FQ3 2021","FQ3 2021","Currency=USD","Period=FQ","BEST_FPERIOD_OVERRIDE=FQ","FILING_STATUS=MR","Sort=A","Dates=H","DateFormat=P","Fill=—","Direction=H","UseDPDF=Y")</f>
        <v>—</v>
      </c>
      <c r="O95" s="14">
        <f>_xll.BDH("AMGN US Equity","NUM_OF_EMPLOYEES","FQ4 2021","FQ4 2021","Currency=USD","Period=FQ","BEST_FPERIOD_OVERRIDE=FQ","FILING_STATUS=MR","Sort=A","Dates=H","DateFormat=P","Fill=—","Direction=H","UseDPDF=Y")</f>
        <v>24200</v>
      </c>
      <c r="P95" s="14" t="str">
        <f>_xll.BDH("AMGN US Equity","NUM_OF_EMPLOYEES","FQ1 2022","FQ1 2022","Currency=USD","Period=FQ","BEST_FPERIOD_OVERRIDE=FQ","FILING_STATUS=MR","Sort=A","Dates=H","DateFormat=P","Fill=—","Direction=H","UseDPDF=Y")</f>
        <v>—</v>
      </c>
      <c r="Q95" s="14" t="str">
        <f>_xll.BDH("AMGN US Equity","NUM_OF_EMPLOYEES","FQ2 2022","FQ2 2022","Currency=USD","Period=FQ","BEST_FPERIOD_OVERRIDE=FQ","FILING_STATUS=MR","Sort=A","Dates=H","DateFormat=P","Fill=—","Direction=H","UseDPDF=Y")</f>
        <v>—</v>
      </c>
      <c r="R95" s="14" t="str">
        <f>_xll.BDH("AMGN US Equity","NUM_OF_EMPLOYEES","FQ3 2022","FQ3 2022","Currency=USD","Period=FQ","BEST_FPERIOD_OVERRIDE=FQ","FILING_STATUS=MR","Sort=A","Dates=H","DateFormat=P","Fill=—","Direction=H","UseDPDF=Y")</f>
        <v>—</v>
      </c>
      <c r="S95" s="14">
        <f>_xll.BDH("AMGN US Equity","NUM_OF_EMPLOYEES","FQ4 2022","FQ4 2022","Currency=USD","Period=FQ","BEST_FPERIOD_OVERRIDE=FQ","FILING_STATUS=MR","Sort=A","Dates=H","DateFormat=P","Fill=—","Direction=H","UseDPDF=Y")</f>
        <v>25200</v>
      </c>
      <c r="T95" s="14" t="str">
        <f>_xll.BDH("AMGN US Equity","NUM_OF_EMPLOYEES","FQ1 2023","FQ1 2023","Currency=USD","Period=FQ","BEST_FPERIOD_OVERRIDE=FQ","FILING_STATUS=MR","Sort=A","Dates=H","DateFormat=P","Fill=—","Direction=H","UseDPDF=Y")</f>
        <v>—</v>
      </c>
      <c r="U95" s="14" t="str">
        <f>_xll.BDH("AMGN US Equity","NUM_OF_EMPLOYEES","FQ2 2023","FQ2 2023","Currency=USD","Period=FQ","BEST_FPERIOD_OVERRIDE=FQ","FILING_STATUS=MR","Sort=A","Dates=H","DateFormat=P","Fill=—","Direction=H","UseDPDF=Y")</f>
        <v>—</v>
      </c>
      <c r="V95" s="14" t="str">
        <f>_xll.BDH("AMGN US Equity","NUM_OF_EMPLOYEES","FQ3 2023","FQ3 2023","Currency=USD","Period=FQ","BEST_FPERIOD_OVERRIDE=FQ","FILING_STATUS=MR","Sort=A","Dates=H","DateFormat=P","Fill=—","Direction=H","UseDPDF=Y")</f>
        <v>—</v>
      </c>
      <c r="W95" s="14">
        <f>_xll.BDH("AMGN US Equity","NUM_OF_EMPLOYEES","FQ4 2023","FQ4 2023","Currency=USD","Period=FQ","BEST_FPERIOD_OVERRIDE=FQ","FILING_STATUS=MR","Sort=A","Dates=H","DateFormat=P","Fill=—","Direction=H","UseDPDF=Y")</f>
        <v>26700</v>
      </c>
      <c r="X95" s="14" t="str">
        <f>_xll.BDH("AMGN US Equity","NUM_OF_EMPLOYEES","FQ1 2024","FQ1 2024","Currency=USD","Period=FQ","BEST_FPERIOD_OVERRIDE=FQ","FILING_STATUS=MR","Sort=A","Dates=H","DateFormat=P","Fill=—","Direction=H","UseDPDF=Y")</f>
        <v>—</v>
      </c>
      <c r="Y95" s="14" t="str">
        <f>_xll.BDH("AMGN US Equity","NUM_OF_EMPLOYEES","FQ2 2024","FQ2 2024","Currency=USD","Period=FQ","BEST_FPERIOD_OVERRIDE=FQ","FILING_STATUS=MR","Sort=A","Dates=H","DateFormat=P","Fill=—","Direction=H","UseDPDF=Y")</f>
        <v>—</v>
      </c>
      <c r="Z95" s="14" t="str">
        <f>_xll.BDH("AMGN US Equity","NUM_OF_EMPLOYEES","FQ3 2024","FQ3 2024","Currency=USD","Period=FQ","BEST_FPERIOD_OVERRIDE=FQ","FILING_STATUS=MR","Sort=A","Dates=H","DateFormat=P","Fill=—","Direction=H","UseDPDF=Y")</f>
        <v>—</v>
      </c>
      <c r="AA95" s="14">
        <f>_xll.BDH("AMGN US Equity","NUM_OF_EMPLOYEES","FQ4 2024","FQ4 2024","Currency=USD","Period=FQ","BEST_FPERIOD_OVERRIDE=FQ","FILING_STATUS=MR","Sort=A","Dates=H","DateFormat=P","Fill=—","Direction=H","UseDPDF=Y")</f>
        <v>28000</v>
      </c>
    </row>
    <row r="96" spans="1:27" x14ac:dyDescent="0.25">
      <c r="A96" s="7" t="s">
        <v>90</v>
      </c>
      <c r="B96" s="7"/>
      <c r="C96" s="7" t="s">
        <v>5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12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412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856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857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109</v>
      </c>
      <c r="B8" s="10" t="s">
        <v>858</v>
      </c>
      <c r="C8" s="13">
        <f>_xll.BDH("AMGN US Equity","ARD_CASH_AND_EQUIVALENTS","FQ4 2018","FQ4 2018","Currency=USD","Period=FQ","BEST_FPERIOD_OVERRIDE=FQ","FILING_STATUS=MR","SCALING_FORMAT=MLN","Sort=A","Dates=H","DateFormat=P","Fill=—","Direction=H","UseDPDF=Y")</f>
        <v>6945</v>
      </c>
      <c r="D8" s="13">
        <f>_xll.BDH("AMGN US Equity","ARD_CASH_AND_EQUIVALENTS","FQ1 2019","FQ1 2019","Currency=USD","Period=FQ","BEST_FPERIOD_OVERRIDE=FQ","FILING_STATUS=MR","SCALING_FORMAT=MLN","Sort=A","Dates=H","DateFormat=P","Fill=—","Direction=H","UseDPDF=Y")</f>
        <v>7358</v>
      </c>
      <c r="E8" s="13">
        <f>_xll.BDH("AMGN US Equity","ARD_CASH_AND_EQUIVALENTS","FQ2 2019","FQ2 2019","Currency=USD","Period=FQ","BEST_FPERIOD_OVERRIDE=FQ","FILING_STATUS=MR","SCALING_FORMAT=MLN","Sort=A","Dates=H","DateFormat=P","Fill=—","Direction=H","UseDPDF=Y")</f>
        <v>5525</v>
      </c>
      <c r="F8" s="13">
        <f>_xll.BDH("AMGN US Equity","ARD_CASH_AND_EQUIVALENTS","FQ3 2019","FQ3 2019","Currency=USD","Period=FQ","BEST_FPERIOD_OVERRIDE=FQ","FILING_STATUS=MR","SCALING_FORMAT=MLN","Sort=A","Dates=H","DateFormat=P","Fill=—","Direction=H","UseDPDF=Y")</f>
        <v>11415</v>
      </c>
      <c r="G8" s="13">
        <f>_xll.BDH("AMGN US Equity","ARD_CASH_AND_EQUIVALENTS","FQ4 2019","FQ4 2019","Currency=USD","Period=FQ","BEST_FPERIOD_OVERRIDE=FQ","FILING_STATUS=MR","SCALING_FORMAT=MLN","Sort=A","Dates=H","DateFormat=P","Fill=—","Direction=H","UseDPDF=Y")</f>
        <v>6037</v>
      </c>
      <c r="H8" s="13">
        <f>_xll.BDH("AMGN US Equity","ARD_CASH_AND_EQUIVALENTS","FQ1 2020","FQ1 2020","Currency=USD","Period=FQ","BEST_FPERIOD_OVERRIDE=FQ","FILING_STATUS=MR","SCALING_FORMAT=MLN","Sort=A","Dates=H","DateFormat=P","Fill=—","Direction=H","UseDPDF=Y")</f>
        <v>7687</v>
      </c>
      <c r="I8" s="13">
        <f>_xll.BDH("AMGN US Equity","ARD_CASH_AND_EQUIVALENTS","FQ2 2020","FQ2 2020","Currency=USD","Period=FQ","BEST_FPERIOD_OVERRIDE=FQ","FILING_STATUS=MR","SCALING_FORMAT=MLN","Sort=A","Dates=H","DateFormat=P","Fill=—","Direction=H","UseDPDF=Y")</f>
        <v>9145</v>
      </c>
      <c r="J8" s="13">
        <f>_xll.BDH("AMGN US Equity","ARD_CASH_AND_EQUIVALENTS","FQ3 2020","FQ3 2020","Currency=USD","Period=FQ","BEST_FPERIOD_OVERRIDE=FQ","FILING_STATUS=MR","SCALING_FORMAT=MLN","Sort=A","Dates=H","DateFormat=P","Fill=—","Direction=H","UseDPDF=Y")</f>
        <v>9087</v>
      </c>
      <c r="K8" s="13">
        <f>_xll.BDH("AMGN US Equity","ARD_CASH_AND_EQUIVALENTS","FQ4 2020","FQ4 2020","Currency=USD","Period=FQ","BEST_FPERIOD_OVERRIDE=FQ","FILING_STATUS=MR","SCALING_FORMAT=MLN","Sort=A","Dates=H","DateFormat=P","Fill=—","Direction=H","UseDPDF=Y")</f>
        <v>6266</v>
      </c>
      <c r="L8" s="13">
        <f>_xll.BDH("AMGN US Equity","ARD_CASH_AND_EQUIVALENTS","FQ1 2021","FQ1 2021","Currency=USD","Period=FQ","BEST_FPERIOD_OVERRIDE=FQ","FILING_STATUS=MR","SCALING_FORMAT=MLN","Sort=A","Dates=H","DateFormat=P","Fill=—","Direction=H","UseDPDF=Y")</f>
        <v>6112</v>
      </c>
      <c r="M8" s="13">
        <f>_xll.BDH("AMGN US Equity","ARD_CASH_AND_EQUIVALENTS","FQ2 2021","FQ2 2021","Currency=USD","Period=FQ","BEST_FPERIOD_OVERRIDE=FQ","FILING_STATUS=MR","SCALING_FORMAT=MLN","Sort=A","Dates=H","DateFormat=P","Fill=—","Direction=H","UseDPDF=Y")</f>
        <v>6630</v>
      </c>
      <c r="N8" s="13">
        <f>_xll.BDH("AMGN US Equity","ARD_CASH_AND_EQUIVALENTS","FQ3 2021","FQ3 2021","Currency=USD","Period=FQ","BEST_FPERIOD_OVERRIDE=FQ","FILING_STATUS=MR","SCALING_FORMAT=MLN","Sort=A","Dates=H","DateFormat=P","Fill=—","Direction=H","UseDPDF=Y")</f>
        <v>11969</v>
      </c>
      <c r="O8" s="13">
        <f>_xll.BDH("AMGN US Equity","ARD_CASH_AND_EQUIVALENTS","FQ4 2021","FQ4 2021","Currency=USD","Period=FQ","BEST_FPERIOD_OVERRIDE=FQ","FILING_STATUS=MR","SCALING_FORMAT=MLN","Sort=A","Dates=H","DateFormat=P","Fill=—","Direction=H","UseDPDF=Y")</f>
        <v>7989</v>
      </c>
      <c r="P8" s="13">
        <f>_xll.BDH("AMGN US Equity","ARD_CASH_AND_EQUIVALENTS","FQ1 2022","FQ1 2022","Currency=USD","Period=FQ","BEST_FPERIOD_OVERRIDE=FQ","FILING_STATUS=MR","SCALING_FORMAT=MLN","Sort=A","Dates=H","DateFormat=P","Fill=—","Direction=H","UseDPDF=Y")</f>
        <v>6528</v>
      </c>
      <c r="Q8" s="13">
        <f>_xll.BDH("AMGN US Equity","ARD_CASH_AND_EQUIVALENTS","FQ2 2022","FQ2 2022","Currency=USD","Period=FQ","BEST_FPERIOD_OVERRIDE=FQ","FILING_STATUS=MR","SCALING_FORMAT=MLN","Sort=A","Dates=H","DateFormat=P","Fill=—","Direction=H","UseDPDF=Y")</f>
        <v>5203</v>
      </c>
      <c r="R8" s="13">
        <f>_xll.BDH("AMGN US Equity","ARD_CASH_AND_EQUIVALENTS","FQ3 2022","FQ3 2022","Currency=USD","Period=FQ","BEST_FPERIOD_OVERRIDE=FQ","FILING_STATUS=MR","SCALING_FORMAT=MLN","Sort=A","Dates=H","DateFormat=P","Fill=—","Direction=H","UseDPDF=Y")</f>
        <v>9502</v>
      </c>
      <c r="S8" s="13">
        <f>_xll.BDH("AMGN US Equity","ARD_CASH_AND_EQUIVALENTS","FQ4 2022","FQ4 2022","Currency=USD","Period=FQ","BEST_FPERIOD_OVERRIDE=FQ","FILING_STATUS=MR","SCALING_FORMAT=MLN","Sort=A","Dates=H","DateFormat=P","Fill=—","Direction=H","UseDPDF=Y")</f>
        <v>7629</v>
      </c>
      <c r="T8" s="13">
        <f>_xll.BDH("AMGN US Equity","ARD_CASH_AND_EQUIVALENTS","FQ1 2023","FQ1 2023","Currency=USD","Period=FQ","BEST_FPERIOD_OVERRIDE=FQ","FILING_STATUS=MR","SCALING_FORMAT=MLN","Sort=A","Dates=H","DateFormat=P","Fill=—","Direction=H","UseDPDF=Y")</f>
        <v>31560</v>
      </c>
      <c r="U8" s="13">
        <f>_xll.BDH("AMGN US Equity","ARD_CASH_AND_EQUIVALENTS","FQ2 2023","FQ2 2023","Currency=USD","Period=FQ","BEST_FPERIOD_OVERRIDE=FQ","FILING_STATUS=MR","SCALING_FORMAT=MLN","Sort=A","Dates=H","DateFormat=P","Fill=—","Direction=H","UseDPDF=Y")</f>
        <v>34248</v>
      </c>
      <c r="V8" s="13">
        <f>_xll.BDH("AMGN US Equity","ARD_CASH_AND_EQUIVALENTS","FQ3 2023","FQ3 2023","Currency=USD","Period=FQ","BEST_FPERIOD_OVERRIDE=FQ","FILING_STATUS=MR","SCALING_FORMAT=MLN","Sort=A","Dates=H","DateFormat=P","Fill=—","Direction=H","UseDPDF=Y")</f>
        <v>34741</v>
      </c>
      <c r="W8" s="13">
        <f>_xll.BDH("AMGN US Equity","ARD_CASH_AND_EQUIVALENTS","FQ4 2023","FQ4 2023","Currency=USD","Period=FQ","BEST_FPERIOD_OVERRIDE=FQ","FILING_STATUS=MR","SCALING_FORMAT=MLN","Sort=A","Dates=H","DateFormat=P","Fill=—","Direction=H","UseDPDF=Y")</f>
        <v>10944</v>
      </c>
      <c r="X8" s="13">
        <f>_xll.BDH("AMGN US Equity","ARD_CASH_AND_EQUIVALENTS","FQ1 2024","FQ1 2024","Currency=USD","Period=FQ","BEST_FPERIOD_OVERRIDE=FQ","FILING_STATUS=MR","SCALING_FORMAT=MLN","Sort=A","Dates=H","DateFormat=P","Fill=—","Direction=H","UseDPDF=Y")</f>
        <v>9708</v>
      </c>
      <c r="Y8" s="13">
        <f>_xll.BDH("AMGN US Equity","ARD_CASH_AND_EQUIVALENTS","FQ2 2024","FQ2 2024","Currency=USD","Period=FQ","BEST_FPERIOD_OVERRIDE=FQ","FILING_STATUS=MR","SCALING_FORMAT=MLN","Sort=A","Dates=H","DateFormat=P","Fill=—","Direction=H","UseDPDF=Y")</f>
        <v>9301</v>
      </c>
      <c r="Z8" s="13">
        <f>_xll.BDH("AMGN US Equity","ARD_CASH_AND_EQUIVALENTS","FQ3 2024","FQ3 2024","Currency=USD","Period=FQ","BEST_FPERIOD_OVERRIDE=FQ","FILING_STATUS=MR","SCALING_FORMAT=MLN","Sort=A","Dates=H","DateFormat=P","Fill=—","Direction=H","UseDPDF=Y")</f>
        <v>9011</v>
      </c>
      <c r="AA8" s="13">
        <f>_xll.BDH("AMGN US Equity","ARD_CASH_AND_EQUIVALENTS","FQ4 2024","FQ4 2024","Currency=USD","Period=FQ","BEST_FPERIOD_OVERRIDE=FQ","FILING_STATUS=MR","SCALING_FORMAT=MLN","Sort=A","Dates=H","DateFormat=P","Fill=—","Direction=H","UseDPDF=Y")</f>
        <v>11973</v>
      </c>
    </row>
    <row r="9" spans="1:27" x14ac:dyDescent="0.25">
      <c r="A9" s="10" t="s">
        <v>859</v>
      </c>
      <c r="B9" s="10" t="s">
        <v>860</v>
      </c>
      <c r="C9" s="13">
        <f>_xll.BDH("AMGN US Equity","ARD_MARKETABLE_SECURITIES","FQ4 2018","FQ4 2018","Currency=USD","Period=FQ","BEST_FPERIOD_OVERRIDE=FQ","FILING_STATUS=MR","SCALING_FORMAT=MLN","Sort=A","Dates=H","DateFormat=P","Fill=—","Direction=H","UseDPDF=Y")</f>
        <v>22359</v>
      </c>
      <c r="D9" s="13">
        <f>_xll.BDH("AMGN US Equity","ARD_MARKETABLE_SECURITIES","FQ1 2019","FQ1 2019","Currency=USD","Period=FQ","BEST_FPERIOD_OVERRIDE=FQ","FILING_STATUS=MR","SCALING_FORMAT=MLN","Sort=A","Dates=H","DateFormat=P","Fill=—","Direction=H","UseDPDF=Y")</f>
        <v>18943</v>
      </c>
      <c r="E9" s="13">
        <f>_xll.BDH("AMGN US Equity","ARD_MARKETABLE_SECURITIES","FQ2 2019","FQ2 2019","Currency=USD","Period=FQ","BEST_FPERIOD_OVERRIDE=FQ","FILING_STATUS=MR","SCALING_FORMAT=MLN","Sort=A","Dates=H","DateFormat=P","Fill=—","Direction=H","UseDPDF=Y")</f>
        <v>16233</v>
      </c>
      <c r="F9" s="13">
        <f>_xll.BDH("AMGN US Equity","ARD_MARKETABLE_SECURITIES","FQ3 2019","FQ3 2019","Currency=USD","Period=FQ","BEST_FPERIOD_OVERRIDE=FQ","FILING_STATUS=MR","SCALING_FORMAT=MLN","Sort=A","Dates=H","DateFormat=P","Fill=—","Direction=H","UseDPDF=Y")</f>
        <v>9438</v>
      </c>
      <c r="G9" s="13">
        <f>_xll.BDH("AMGN US Equity","ARD_MARKETABLE_SECURITIES","FQ4 2019","FQ4 2019","Currency=USD","Period=FQ","BEST_FPERIOD_OVERRIDE=FQ","FILING_STATUS=MR","SCALING_FORMAT=MLN","Sort=A","Dates=H","DateFormat=P","Fill=—","Direction=H","UseDPDF=Y")</f>
        <v>2874</v>
      </c>
      <c r="H9" s="13">
        <f>_xll.BDH("AMGN US Equity","ARD_MARKETABLE_SECURITIES","FQ1 2020","FQ1 2020","Currency=USD","Period=FQ","BEST_FPERIOD_OVERRIDE=FQ","FILING_STATUS=MR","SCALING_FORMAT=MLN","Sort=A","Dates=H","DateFormat=P","Fill=—","Direction=H","UseDPDF=Y")</f>
        <v>325</v>
      </c>
      <c r="I9" s="13">
        <f>_xll.BDH("AMGN US Equity","ARD_MARKETABLE_SECURITIES","FQ2 2020","FQ2 2020","Currency=USD","Period=FQ","BEST_FPERIOD_OVERRIDE=FQ","FILING_STATUS=MR","SCALING_FORMAT=MLN","Sort=A","Dates=H","DateFormat=P","Fill=—","Direction=H","UseDPDF=Y")</f>
        <v>2276</v>
      </c>
      <c r="J9" s="13">
        <f>_xll.BDH("AMGN US Equity","ARD_MARKETABLE_SECURITIES","FQ3 2020","FQ3 2020","Currency=USD","Period=FQ","BEST_FPERIOD_OVERRIDE=FQ","FILING_STATUS=MR","SCALING_FORMAT=MLN","Sort=A","Dates=H","DateFormat=P","Fill=—","Direction=H","UseDPDF=Y")</f>
        <v>3273</v>
      </c>
      <c r="K9" s="13">
        <f>_xll.BDH("AMGN US Equity","ARD_MARKETABLE_SECURITIES","FQ4 2020","FQ4 2020","Currency=USD","Period=FQ","BEST_FPERIOD_OVERRIDE=FQ","FILING_STATUS=MR","SCALING_FORMAT=MLN","Sort=A","Dates=H","DateFormat=P","Fill=—","Direction=H","UseDPDF=Y")</f>
        <v>4381</v>
      </c>
      <c r="L9" s="13">
        <f>_xll.BDH("AMGN US Equity","ARD_MARKETABLE_SECURITIES","FQ1 2021","FQ1 2021","Currency=USD","Period=FQ","BEST_FPERIOD_OVERRIDE=FQ","FILING_STATUS=MR","SCALING_FORMAT=MLN","Sort=A","Dates=H","DateFormat=P","Fill=—","Direction=H","UseDPDF=Y")</f>
        <v>4454</v>
      </c>
      <c r="M9" s="13">
        <f>_xll.BDH("AMGN US Equity","ARD_MARKETABLE_SECURITIES","FQ2 2021","FQ2 2021","Currency=USD","Period=FQ","BEST_FPERIOD_OVERRIDE=FQ","FILING_STATUS=MR","SCALING_FORMAT=MLN","Sort=A","Dates=H","DateFormat=P","Fill=—","Direction=H","UseDPDF=Y")</f>
        <v>1452</v>
      </c>
      <c r="N9" s="13">
        <f>_xll.BDH("AMGN US Equity","ARD_MARKETABLE_SECURITIES","FQ3 2021","FQ3 2021","Currency=USD","Period=FQ","BEST_FPERIOD_OVERRIDE=FQ","FILING_STATUS=MR","SCALING_FORMAT=MLN","Sort=A","Dates=H","DateFormat=P","Fill=—","Direction=H","UseDPDF=Y")</f>
        <v>952</v>
      </c>
      <c r="O9" s="13">
        <f>_xll.BDH("AMGN US Equity","ARD_MARKETABLE_SECURITIES","FQ4 2021","FQ4 2021","Currency=USD","Period=FQ","BEST_FPERIOD_OVERRIDE=FQ","FILING_STATUS=MR","SCALING_FORMAT=MLN","Sort=A","Dates=H","DateFormat=P","Fill=—","Direction=H","UseDPDF=Y")</f>
        <v>48</v>
      </c>
      <c r="P9" s="13">
        <f>_xll.BDH("AMGN US Equity","ARD_MARKETABLE_SECURITIES","FQ1 2022","FQ1 2022","Currency=USD","Period=FQ","BEST_FPERIOD_OVERRIDE=FQ","FILING_STATUS=MR","SCALING_FORMAT=MLN","Sort=A","Dates=H","DateFormat=P","Fill=—","Direction=H","UseDPDF=Y")</f>
        <v>16</v>
      </c>
      <c r="Q9" s="13">
        <f>_xll.BDH("AMGN US Equity","ARD_MARKETABLE_SECURITIES","FQ2 2022","FQ2 2022","Currency=USD","Period=FQ","BEST_FPERIOD_OVERRIDE=FQ","FILING_STATUS=MR","SCALING_FORMAT=MLN","Sort=A","Dates=H","DateFormat=P","Fill=—","Direction=H","UseDPDF=Y")</f>
        <v>1980</v>
      </c>
      <c r="R9" s="13">
        <f>_xll.BDH("AMGN US Equity","ARD_MARKETABLE_SECURITIES","FQ3 2022","FQ3 2022","Currency=USD","Period=FQ","BEST_FPERIOD_OVERRIDE=FQ","FILING_STATUS=MR","SCALING_FORMAT=MLN","Sort=A","Dates=H","DateFormat=P","Fill=—","Direction=H","UseDPDF=Y")</f>
        <v>1976</v>
      </c>
      <c r="S9" s="13">
        <f>_xll.BDH("AMGN US Equity","ARD_MARKETABLE_SECURITIES","FQ4 2022","FQ4 2022","Currency=USD","Period=FQ","BEST_FPERIOD_OVERRIDE=FQ","FILING_STATUS=MR","SCALING_FORMAT=MLN","Sort=A","Dates=H","DateFormat=P","Fill=—","Direction=H","UseDPDF=Y")</f>
        <v>1676</v>
      </c>
      <c r="T9" s="13">
        <f>_xll.BDH("AMGN US Equity","ARD_MARKETABLE_SECURITIES","FQ1 2023","FQ1 2023","Currency=USD","Period=FQ","BEST_FPERIOD_OVERRIDE=FQ","FILING_STATUS=MR","SCALING_FORMAT=MLN","Sort=A","Dates=H","DateFormat=P","Fill=—","Direction=H","UseDPDF=Y")</f>
        <v>1</v>
      </c>
      <c r="U9" s="13">
        <f>_xll.BDH("AMGN US Equity","ARD_MARKETABLE_SECURITIES","FQ2 2023","FQ2 2023","Currency=USD","Period=FQ","BEST_FPERIOD_OVERRIDE=FQ","FILING_STATUS=MR","SCALING_FORMAT=MLN","Sort=A","Dates=H","DateFormat=P","Fill=—","Direction=H","UseDPDF=Y")</f>
        <v>0</v>
      </c>
      <c r="V9" s="13">
        <f>_xll.BDH("AMGN US Equity","ARD_MARKETABLE_SECURITIES","FQ3 2023","FQ3 2023","Currency=USD","Period=FQ","BEST_FPERIOD_OVERRIDE=FQ","FILING_STATUS=MR","SCALING_FORMAT=MLN","Sort=A","Dates=H","DateFormat=P","Fill=—","Direction=H","UseDPDF=Y")</f>
        <v>0</v>
      </c>
      <c r="W9" s="13">
        <f>_xll.BDH("AMGN US Equity","ARD_MARKETABLE_SECURITIES","FQ4 2023","FQ4 2023","Currency=USD","Period=FQ","BEST_FPERIOD_OVERRIDE=FQ","FILING_STATUS=MR","SCALING_FORMAT=MLN","Sort=A","Dates=H","DateFormat=P","Fill=—","Direction=H","UseDPDF=Y")</f>
        <v>0</v>
      </c>
      <c r="X9" s="13" t="str">
        <f>_xll.BDH("AMGN US Equity","ARD_MARKETABLE_SECURITIES","FQ1 2024","FQ1 2024","Currency=USD","Period=FQ","BEST_FPERIOD_OVERRIDE=FQ","FILING_STATUS=MR","SCALING_FORMAT=MLN","Sort=A","Dates=H","DateFormat=P","Fill=—","Direction=H","UseDPDF=Y")</f>
        <v>—</v>
      </c>
      <c r="Y9" s="13" t="str">
        <f>_xll.BDH("AMGN US Equity","ARD_MARKETABLE_SECURITIES","FQ2 2024","FQ2 2024","Currency=USD","Period=FQ","BEST_FPERIOD_OVERRIDE=FQ","FILING_STATUS=MR","SCALING_FORMAT=MLN","Sort=A","Dates=H","DateFormat=P","Fill=—","Direction=H","UseDPDF=Y")</f>
        <v>—</v>
      </c>
      <c r="Z9" s="13" t="str">
        <f>_xll.BDH("AMGN US Equity","ARD_MARKETABLE_SECURITIES","FQ3 2024","FQ3 2024","Currency=USD","Period=FQ","BEST_FPERIOD_OVERRIDE=FQ","FILING_STATUS=MR","SCALING_FORMAT=MLN","Sort=A","Dates=H","DateFormat=P","Fill=—","Direction=H","UseDPDF=Y")</f>
        <v>—</v>
      </c>
      <c r="AA9" s="13" t="str">
        <f>_xll.BDH("AMGN US Equity","ARD_MARKETABLE_SECURITIES","FQ4 2024","FQ4 2024","Currency=USD","Period=FQ","BEST_FPERIOD_OVERRIDE=FQ","FILING_STATUS=MR","SCALING_FORMAT=MLN","Sort=A","Dates=H","DateFormat=P","Fill=—","Direction=H","UseDPDF=Y")</f>
        <v>—</v>
      </c>
    </row>
    <row r="10" spans="1:27" x14ac:dyDescent="0.25">
      <c r="A10" s="10" t="s">
        <v>861</v>
      </c>
      <c r="B10" s="10" t="s">
        <v>862</v>
      </c>
      <c r="C10" s="13">
        <f>_xll.BDH("AMGN US Equity","ARD_ACCTS_RECEIVABLE_TRADE","FQ4 2018","FQ4 2018","Currency=USD","Period=FQ","BEST_FPERIOD_OVERRIDE=FQ","FILING_STATUS=MR","SCALING_FORMAT=MLN","Sort=A","Dates=H","DateFormat=P","Fill=—","Direction=H","UseDPDF=Y")</f>
        <v>3580</v>
      </c>
      <c r="D10" s="13">
        <f>_xll.BDH("AMGN US Equity","ARD_ACCTS_RECEIVABLE_TRADE","FQ1 2019","FQ1 2019","Currency=USD","Period=FQ","BEST_FPERIOD_OVERRIDE=FQ","FILING_STATUS=MR","SCALING_FORMAT=MLN","Sort=A","Dates=H","DateFormat=P","Fill=—","Direction=H","UseDPDF=Y")</f>
        <v>3771</v>
      </c>
      <c r="E10" s="13">
        <f>_xll.BDH("AMGN US Equity","ARD_ACCTS_RECEIVABLE_TRADE","FQ2 2019","FQ2 2019","Currency=USD","Period=FQ","BEST_FPERIOD_OVERRIDE=FQ","FILING_STATUS=MR","SCALING_FORMAT=MLN","Sort=A","Dates=H","DateFormat=P","Fill=—","Direction=H","UseDPDF=Y")</f>
        <v>3801</v>
      </c>
      <c r="F10" s="13">
        <f>_xll.BDH("AMGN US Equity","ARD_ACCTS_RECEIVABLE_TRADE","FQ3 2019","FQ3 2019","Currency=USD","Period=FQ","BEST_FPERIOD_OVERRIDE=FQ","FILING_STATUS=MR","SCALING_FORMAT=MLN","Sort=A","Dates=H","DateFormat=P","Fill=—","Direction=H","UseDPDF=Y")</f>
        <v>3606</v>
      </c>
      <c r="G10" s="13">
        <f>_xll.BDH("AMGN US Equity","ARD_ACCTS_RECEIVABLE_TRADE","FQ4 2019","FQ4 2019","Currency=USD","Period=FQ","BEST_FPERIOD_OVERRIDE=FQ","FILING_STATUS=MR","SCALING_FORMAT=MLN","Sort=A","Dates=H","DateFormat=P","Fill=—","Direction=H","UseDPDF=Y")</f>
        <v>4057</v>
      </c>
      <c r="H10" s="13">
        <f>_xll.BDH("AMGN US Equity","ARD_ACCTS_RECEIVABLE_TRADE","FQ1 2020","FQ1 2020","Currency=USD","Period=FQ","BEST_FPERIOD_OVERRIDE=FQ","FILING_STATUS=MR","SCALING_FORMAT=MLN","Sort=A","Dates=H","DateFormat=P","Fill=—","Direction=H","UseDPDF=Y")</f>
        <v>5009</v>
      </c>
      <c r="I10" s="13">
        <f>_xll.BDH("AMGN US Equity","ARD_ACCTS_RECEIVABLE_TRADE","FQ2 2020","FQ2 2020","Currency=USD","Period=FQ","BEST_FPERIOD_OVERRIDE=FQ","FILING_STATUS=MR","SCALING_FORMAT=MLN","Sort=A","Dates=H","DateFormat=P","Fill=—","Direction=H","UseDPDF=Y")</f>
        <v>5366</v>
      </c>
      <c r="J10" s="13">
        <f>_xll.BDH("AMGN US Equity","ARD_ACCTS_RECEIVABLE_TRADE","FQ3 2020","FQ3 2020","Currency=USD","Period=FQ","BEST_FPERIOD_OVERRIDE=FQ","FILING_STATUS=MR","SCALING_FORMAT=MLN","Sort=A","Dates=H","DateFormat=P","Fill=—","Direction=H","UseDPDF=Y")</f>
        <v>4094</v>
      </c>
      <c r="K10" s="13">
        <f>_xll.BDH("AMGN US Equity","ARD_ACCTS_RECEIVABLE_TRADE","FQ4 2020","FQ4 2020","Currency=USD","Period=FQ","BEST_FPERIOD_OVERRIDE=FQ","FILING_STATUS=MR","SCALING_FORMAT=MLN","Sort=A","Dates=H","DateFormat=P","Fill=—","Direction=H","UseDPDF=Y")</f>
        <v>4525</v>
      </c>
      <c r="L10" s="13">
        <f>_xll.BDH("AMGN US Equity","ARD_ACCTS_RECEIVABLE_TRADE","FQ1 2021","FQ1 2021","Currency=USD","Period=FQ","BEST_FPERIOD_OVERRIDE=FQ","FILING_STATUS=MR","SCALING_FORMAT=MLN","Sort=A","Dates=H","DateFormat=P","Fill=—","Direction=H","UseDPDF=Y")</f>
        <v>4423</v>
      </c>
      <c r="M10" s="13">
        <f>_xll.BDH("AMGN US Equity","ARD_ACCTS_RECEIVABLE_TRADE","FQ2 2021","FQ2 2021","Currency=USD","Period=FQ","BEST_FPERIOD_OVERRIDE=FQ","FILING_STATUS=MR","SCALING_FORMAT=MLN","Sort=A","Dates=H","DateFormat=P","Fill=—","Direction=H","UseDPDF=Y")</f>
        <v>4479</v>
      </c>
      <c r="N10" s="13">
        <f>_xll.BDH("AMGN US Equity","ARD_ACCTS_RECEIVABLE_TRADE","FQ3 2021","FQ3 2021","Currency=USD","Period=FQ","BEST_FPERIOD_OVERRIDE=FQ","FILING_STATUS=MR","SCALING_FORMAT=MLN","Sort=A","Dates=H","DateFormat=P","Fill=—","Direction=H","UseDPDF=Y")</f>
        <v>4765</v>
      </c>
      <c r="O10" s="13">
        <f>_xll.BDH("AMGN US Equity","ARD_ACCTS_RECEIVABLE_TRADE","FQ4 2021","FQ4 2021","Currency=USD","Period=FQ","BEST_FPERIOD_OVERRIDE=FQ","FILING_STATUS=MR","SCALING_FORMAT=MLN","Sort=A","Dates=H","DateFormat=P","Fill=—","Direction=H","UseDPDF=Y")</f>
        <v>4895</v>
      </c>
      <c r="P10" s="13">
        <f>_xll.BDH("AMGN US Equity","ARD_ACCTS_RECEIVABLE_TRADE","FQ1 2022","FQ1 2022","Currency=USD","Period=FQ","BEST_FPERIOD_OVERRIDE=FQ","FILING_STATUS=MR","SCALING_FORMAT=MLN","Sort=A","Dates=H","DateFormat=P","Fill=—","Direction=H","UseDPDF=Y")</f>
        <v>5077</v>
      </c>
      <c r="Q10" s="13">
        <f>_xll.BDH("AMGN US Equity","ARD_ACCTS_RECEIVABLE_TRADE","FQ2 2022","FQ2 2022","Currency=USD","Period=FQ","BEST_FPERIOD_OVERRIDE=FQ","FILING_STATUS=MR","SCALING_FORMAT=MLN","Sort=A","Dates=H","DateFormat=P","Fill=—","Direction=H","UseDPDF=Y")</f>
        <v>5327</v>
      </c>
      <c r="R10" s="13">
        <f>_xll.BDH("AMGN US Equity","ARD_ACCTS_RECEIVABLE_TRADE","FQ3 2022","FQ3 2022","Currency=USD","Period=FQ","BEST_FPERIOD_OVERRIDE=FQ","FILING_STATUS=MR","SCALING_FORMAT=MLN","Sort=A","Dates=H","DateFormat=P","Fill=—","Direction=H","UseDPDF=Y")</f>
        <v>5326</v>
      </c>
      <c r="S10" s="13">
        <f>_xll.BDH("AMGN US Equity","ARD_ACCTS_RECEIVABLE_TRADE","FQ4 2022","FQ4 2022","Currency=USD","Period=FQ","BEST_FPERIOD_OVERRIDE=FQ","FILING_STATUS=MR","SCALING_FORMAT=MLN","Sort=A","Dates=H","DateFormat=P","Fill=—","Direction=H","UseDPDF=Y")</f>
        <v>5563</v>
      </c>
      <c r="T10" s="13">
        <f>_xll.BDH("AMGN US Equity","ARD_ACCTS_RECEIVABLE_TRADE","FQ1 2023","FQ1 2023","Currency=USD","Period=FQ","BEST_FPERIOD_OVERRIDE=FQ","FILING_STATUS=MR","SCALING_FORMAT=MLN","Sort=A","Dates=H","DateFormat=P","Fill=—","Direction=H","UseDPDF=Y")</f>
        <v>5736</v>
      </c>
      <c r="U10" s="13">
        <f>_xll.BDH("AMGN US Equity","ARD_ACCTS_RECEIVABLE_TRADE","FQ2 2023","FQ2 2023","Currency=USD","Period=FQ","BEST_FPERIOD_OVERRIDE=FQ","FILING_STATUS=MR","SCALING_FORMAT=MLN","Sort=A","Dates=H","DateFormat=P","Fill=—","Direction=H","UseDPDF=Y")</f>
        <v>5830</v>
      </c>
      <c r="V10" s="13">
        <f>_xll.BDH("AMGN US Equity","ARD_ACCTS_RECEIVABLE_TRADE","FQ3 2023","FQ3 2023","Currency=USD","Period=FQ","BEST_FPERIOD_OVERRIDE=FQ","FILING_STATUS=MR","SCALING_FORMAT=MLN","Sort=A","Dates=H","DateFormat=P","Fill=—","Direction=H","UseDPDF=Y")</f>
        <v>6145</v>
      </c>
      <c r="W10" s="13">
        <f>_xll.BDH("AMGN US Equity","ARD_ACCTS_RECEIVABLE_TRADE","FQ4 2023","FQ4 2023","Currency=USD","Period=FQ","BEST_FPERIOD_OVERRIDE=FQ","FILING_STATUS=MR","SCALING_FORMAT=MLN","Sort=A","Dates=H","DateFormat=P","Fill=—","Direction=H","UseDPDF=Y")</f>
        <v>7268</v>
      </c>
      <c r="X10" s="13">
        <f>_xll.BDH("AMGN US Equity","ARD_ACCTS_RECEIVABLE_TRADE","FQ1 2024","FQ1 2024","Currency=USD","Period=FQ","BEST_FPERIOD_OVERRIDE=FQ","FILING_STATUS=MR","SCALING_FORMAT=MLN","Sort=A","Dates=H","DateFormat=P","Fill=—","Direction=H","UseDPDF=Y")</f>
        <v>6776</v>
      </c>
      <c r="Y10" s="13">
        <f>_xll.BDH("AMGN US Equity","ARD_ACCTS_RECEIVABLE_TRADE","FQ2 2024","FQ2 2024","Currency=USD","Period=FQ","BEST_FPERIOD_OVERRIDE=FQ","FILING_STATUS=MR","SCALING_FORMAT=MLN","Sort=A","Dates=H","DateFormat=P","Fill=—","Direction=H","UseDPDF=Y")</f>
        <v>6934</v>
      </c>
      <c r="Z10" s="13">
        <f>_xll.BDH("AMGN US Equity","ARD_ACCTS_RECEIVABLE_TRADE","FQ3 2024","FQ3 2024","Currency=USD","Period=FQ","BEST_FPERIOD_OVERRIDE=FQ","FILING_STATUS=MR","SCALING_FORMAT=MLN","Sort=A","Dates=H","DateFormat=P","Fill=—","Direction=H","UseDPDF=Y")</f>
        <v>7317</v>
      </c>
      <c r="AA10" s="13">
        <f>_xll.BDH("AMGN US Equity","ARD_ACCTS_RECEIVABLE_TRADE","FQ4 2024","FQ4 2024","Currency=USD","Period=FQ","BEST_FPERIOD_OVERRIDE=FQ","FILING_STATUS=MR","SCALING_FORMAT=MLN","Sort=A","Dates=H","DateFormat=P","Fill=—","Direction=H","UseDPDF=Y")</f>
        <v>6782</v>
      </c>
    </row>
    <row r="11" spans="1:27" x14ac:dyDescent="0.25">
      <c r="A11" s="10" t="s">
        <v>863</v>
      </c>
      <c r="B11" s="10" t="s">
        <v>864</v>
      </c>
      <c r="C11" s="13">
        <f>_xll.BDH("AMGN US Equity","ARD_INVENTORY","FQ4 2018","FQ4 2018","Currency=USD","Period=FQ","BEST_FPERIOD_OVERRIDE=FQ","FILING_STATUS=MR","SCALING_FORMAT=MLN","Sort=A","Dates=H","DateFormat=P","Fill=—","Direction=H","UseDPDF=Y")</f>
        <v>2940</v>
      </c>
      <c r="D11" s="13">
        <f>_xll.BDH("AMGN US Equity","ARD_INVENTORY","FQ1 2019","FQ1 2019","Currency=USD","Period=FQ","BEST_FPERIOD_OVERRIDE=FQ","FILING_STATUS=MR","SCALING_FORMAT=MLN","Sort=A","Dates=H","DateFormat=P","Fill=—","Direction=H","UseDPDF=Y")</f>
        <v>3016</v>
      </c>
      <c r="E11" s="13">
        <f>_xll.BDH("AMGN US Equity","ARD_INVENTORY","FQ2 2019","FQ2 2019","Currency=USD","Period=FQ","BEST_FPERIOD_OVERRIDE=FQ","FILING_STATUS=MR","SCALING_FORMAT=MLN","Sort=A","Dates=H","DateFormat=P","Fill=—","Direction=H","UseDPDF=Y")</f>
        <v>3176</v>
      </c>
      <c r="F11" s="13">
        <f>_xll.BDH("AMGN US Equity","ARD_INVENTORY","FQ3 2019","FQ3 2019","Currency=USD","Period=FQ","BEST_FPERIOD_OVERRIDE=FQ","FILING_STATUS=MR","SCALING_FORMAT=MLN","Sort=A","Dates=H","DateFormat=P","Fill=—","Direction=H","UseDPDF=Y")</f>
        <v>3243</v>
      </c>
      <c r="G11" s="13">
        <f>_xll.BDH("AMGN US Equity","ARD_INVENTORY","FQ4 2019","FQ4 2019","Currency=USD","Period=FQ","BEST_FPERIOD_OVERRIDE=FQ","FILING_STATUS=MR","SCALING_FORMAT=MLN","Sort=A","Dates=H","DateFormat=P","Fill=—","Direction=H","UseDPDF=Y")</f>
        <v>3584</v>
      </c>
      <c r="H11" s="13">
        <f>_xll.BDH("AMGN US Equity","ARD_INVENTORY","FQ1 2020","FQ1 2020","Currency=USD","Period=FQ","BEST_FPERIOD_OVERRIDE=FQ","FILING_STATUS=MR","SCALING_FORMAT=MLN","Sort=A","Dates=H","DateFormat=P","Fill=—","Direction=H","UseDPDF=Y")</f>
        <v>3682</v>
      </c>
      <c r="I11" s="13">
        <f>_xll.BDH("AMGN US Equity","ARD_INVENTORY","FQ2 2020","FQ2 2020","Currency=USD","Period=FQ","BEST_FPERIOD_OVERRIDE=FQ","FILING_STATUS=MR","SCALING_FORMAT=MLN","Sort=A","Dates=H","DateFormat=P","Fill=—","Direction=H","UseDPDF=Y")</f>
        <v>3840</v>
      </c>
      <c r="J11" s="13">
        <f>_xll.BDH("AMGN US Equity","ARD_INVENTORY","FQ3 2020","FQ3 2020","Currency=USD","Period=FQ","BEST_FPERIOD_OVERRIDE=FQ","FILING_STATUS=MR","SCALING_FORMAT=MLN","Sort=A","Dates=H","DateFormat=P","Fill=—","Direction=H","UseDPDF=Y")</f>
        <v>3942</v>
      </c>
      <c r="K11" s="13">
        <f>_xll.BDH("AMGN US Equity","ARD_INVENTORY","FQ4 2020","FQ4 2020","Currency=USD","Period=FQ","BEST_FPERIOD_OVERRIDE=FQ","FILING_STATUS=MR","SCALING_FORMAT=MLN","Sort=A","Dates=H","DateFormat=P","Fill=—","Direction=H","UseDPDF=Y")</f>
        <v>3893</v>
      </c>
      <c r="L11" s="13">
        <f>_xll.BDH("AMGN US Equity","ARD_INVENTORY","FQ1 2021","FQ1 2021","Currency=USD","Period=FQ","BEST_FPERIOD_OVERRIDE=FQ","FILING_STATUS=MR","SCALING_FORMAT=MLN","Sort=A","Dates=H","DateFormat=P","Fill=—","Direction=H","UseDPDF=Y")</f>
        <v>4017</v>
      </c>
      <c r="M11" s="13">
        <f>_xll.BDH("AMGN US Equity","ARD_INVENTORY","FQ2 2021","FQ2 2021","Currency=USD","Period=FQ","BEST_FPERIOD_OVERRIDE=FQ","FILING_STATUS=MR","SCALING_FORMAT=MLN","Sort=A","Dates=H","DateFormat=P","Fill=—","Direction=H","UseDPDF=Y")</f>
        <v>4115</v>
      </c>
      <c r="N11" s="13">
        <f>_xll.BDH("AMGN US Equity","ARD_INVENTORY","FQ3 2021","FQ3 2021","Currency=USD","Period=FQ","BEST_FPERIOD_OVERRIDE=FQ","FILING_STATUS=MR","SCALING_FORMAT=MLN","Sort=A","Dates=H","DateFormat=P","Fill=—","Direction=H","UseDPDF=Y")</f>
        <v>4152</v>
      </c>
      <c r="O11" s="13">
        <f>_xll.BDH("AMGN US Equity","ARD_INVENTORY","FQ4 2021","FQ4 2021","Currency=USD","Period=FQ","BEST_FPERIOD_OVERRIDE=FQ","FILING_STATUS=MR","SCALING_FORMAT=MLN","Sort=A","Dates=H","DateFormat=P","Fill=—","Direction=H","UseDPDF=Y")</f>
        <v>4086</v>
      </c>
      <c r="P11" s="13">
        <f>_xll.BDH("AMGN US Equity","ARD_INVENTORY","FQ1 2022","FQ1 2022","Currency=USD","Period=FQ","BEST_FPERIOD_OVERRIDE=FQ","FILING_STATUS=MR","SCALING_FORMAT=MLN","Sort=A","Dates=H","DateFormat=P","Fill=—","Direction=H","UseDPDF=Y")</f>
        <v>4411</v>
      </c>
      <c r="Q11" s="13">
        <f>_xll.BDH("AMGN US Equity","ARD_INVENTORY","FQ2 2022","FQ2 2022","Currency=USD","Period=FQ","BEST_FPERIOD_OVERRIDE=FQ","FILING_STATUS=MR","SCALING_FORMAT=MLN","Sort=A","Dates=H","DateFormat=P","Fill=—","Direction=H","UseDPDF=Y")</f>
        <v>4554</v>
      </c>
      <c r="R11" s="13">
        <f>_xll.BDH("AMGN US Equity","ARD_INVENTORY","FQ3 2022","FQ3 2022","Currency=USD","Period=FQ","BEST_FPERIOD_OVERRIDE=FQ","FILING_STATUS=MR","SCALING_FORMAT=MLN","Sort=A","Dates=H","DateFormat=P","Fill=—","Direction=H","UseDPDF=Y")</f>
        <v>4757</v>
      </c>
      <c r="S11" s="13">
        <f>_xll.BDH("AMGN US Equity","ARD_INVENTORY","FQ4 2022","FQ4 2022","Currency=USD","Period=FQ","BEST_FPERIOD_OVERRIDE=FQ","FILING_STATUS=MR","SCALING_FORMAT=MLN","Sort=A","Dates=H","DateFormat=P","Fill=—","Direction=H","UseDPDF=Y")</f>
        <v>4930</v>
      </c>
      <c r="T11" s="13">
        <f>_xll.BDH("AMGN US Equity","ARD_INVENTORY","FQ1 2023","FQ1 2023","Currency=USD","Period=FQ","BEST_FPERIOD_OVERRIDE=FQ","FILING_STATUS=MR","SCALING_FORMAT=MLN","Sort=A","Dates=H","DateFormat=P","Fill=—","Direction=H","UseDPDF=Y")</f>
        <v>5011</v>
      </c>
      <c r="U11" s="13">
        <f>_xll.BDH("AMGN US Equity","ARD_INVENTORY","FQ2 2023","FQ2 2023","Currency=USD","Period=FQ","BEST_FPERIOD_OVERRIDE=FQ","FILING_STATUS=MR","SCALING_FORMAT=MLN","Sort=A","Dates=H","DateFormat=P","Fill=—","Direction=H","UseDPDF=Y")</f>
        <v>4978</v>
      </c>
      <c r="V11" s="13">
        <f>_xll.BDH("AMGN US Equity","ARD_INVENTORY","FQ3 2023","FQ3 2023","Currency=USD","Period=FQ","BEST_FPERIOD_OVERRIDE=FQ","FILING_STATUS=MR","SCALING_FORMAT=MLN","Sort=A","Dates=H","DateFormat=P","Fill=—","Direction=H","UseDPDF=Y")</f>
        <v>5026</v>
      </c>
      <c r="W11" s="13">
        <f>_xll.BDH("AMGN US Equity","ARD_INVENTORY","FQ4 2023","FQ4 2023","Currency=USD","Period=FQ","BEST_FPERIOD_OVERRIDE=FQ","FILING_STATUS=MR","SCALING_FORMAT=MLN","Sort=A","Dates=H","DateFormat=P","Fill=—","Direction=H","UseDPDF=Y")</f>
        <v>9518</v>
      </c>
      <c r="X11" s="13">
        <f>_xll.BDH("AMGN US Equity","ARD_INVENTORY","FQ1 2024","FQ1 2024","Currency=USD","Period=FQ","BEST_FPERIOD_OVERRIDE=FQ","FILING_STATUS=MR","SCALING_FORMAT=MLN","Sort=A","Dates=H","DateFormat=P","Fill=—","Direction=H","UseDPDF=Y")</f>
        <v>8724</v>
      </c>
      <c r="Y11" s="13">
        <f>_xll.BDH("AMGN US Equity","ARD_INVENTORY","FQ2 2024","FQ2 2024","Currency=USD","Period=FQ","BEST_FPERIOD_OVERRIDE=FQ","FILING_STATUS=MR","SCALING_FORMAT=MLN","Sort=A","Dates=H","DateFormat=P","Fill=—","Direction=H","UseDPDF=Y")</f>
        <v>7995</v>
      </c>
      <c r="Z11" s="13">
        <f>_xll.BDH("AMGN US Equity","ARD_INVENTORY","FQ3 2024","FQ3 2024","Currency=USD","Period=FQ","BEST_FPERIOD_OVERRIDE=FQ","FILING_STATUS=MR","SCALING_FORMAT=MLN","Sort=A","Dates=H","DateFormat=P","Fill=—","Direction=H","UseDPDF=Y")</f>
        <v>7362</v>
      </c>
      <c r="AA11" s="13">
        <f>_xll.BDH("AMGN US Equity","ARD_INVENTORY","FQ4 2024","FQ4 2024","Currency=USD","Period=FQ","BEST_FPERIOD_OVERRIDE=FQ","FILING_STATUS=MR","SCALING_FORMAT=MLN","Sort=A","Dates=H","DateFormat=P","Fill=—","Direction=H","UseDPDF=Y")</f>
        <v>6998</v>
      </c>
    </row>
    <row r="12" spans="1:27" x14ac:dyDescent="0.25">
      <c r="A12" s="10" t="s">
        <v>865</v>
      </c>
      <c r="B12" s="10" t="s">
        <v>866</v>
      </c>
      <c r="C12" s="13">
        <f>_xll.BDH("AMGN US Equity","ARD_OTHER_CURRENT_ASSETS","FQ4 2018","FQ4 2018","Currency=USD","Period=FQ","BEST_FPERIOD_OVERRIDE=FQ","FILING_STATUS=MR","SCALING_FORMAT=MLN","Sort=A","Dates=H","DateFormat=P","Fill=—","Direction=H","UseDPDF=Y")</f>
        <v>1794</v>
      </c>
      <c r="D12" s="13">
        <f>_xll.BDH("AMGN US Equity","ARD_OTHER_CURRENT_ASSETS","FQ1 2019","FQ1 2019","Currency=USD","Period=FQ","BEST_FPERIOD_OVERRIDE=FQ","FILING_STATUS=MR","SCALING_FORMAT=MLN","Sort=A","Dates=H","DateFormat=P","Fill=—","Direction=H","UseDPDF=Y")</f>
        <v>2063</v>
      </c>
      <c r="E12" s="13">
        <f>_xll.BDH("AMGN US Equity","ARD_OTHER_CURRENT_ASSETS","FQ2 2019","FQ2 2019","Currency=USD","Period=FQ","BEST_FPERIOD_OVERRIDE=FQ","FILING_STATUS=MR","SCALING_FORMAT=MLN","Sort=A","Dates=H","DateFormat=P","Fill=—","Direction=H","UseDPDF=Y")</f>
        <v>2011</v>
      </c>
      <c r="F12" s="13">
        <f>_xll.BDH("AMGN US Equity","ARD_OTHER_CURRENT_ASSETS","FQ3 2019","FQ3 2019","Currency=USD","Period=FQ","BEST_FPERIOD_OVERRIDE=FQ","FILING_STATUS=MR","SCALING_FORMAT=MLN","Sort=A","Dates=H","DateFormat=P","Fill=—","Direction=H","UseDPDF=Y")</f>
        <v>3349</v>
      </c>
      <c r="G12" s="13">
        <f>_xll.BDH("AMGN US Equity","ARD_OTHER_CURRENT_ASSETS","FQ4 2019","FQ4 2019","Currency=USD","Period=FQ","BEST_FPERIOD_OVERRIDE=FQ","FILING_STATUS=MR","SCALING_FORMAT=MLN","Sort=A","Dates=H","DateFormat=P","Fill=—","Direction=H","UseDPDF=Y")</f>
        <v>1888</v>
      </c>
      <c r="H12" s="13">
        <f>_xll.BDH("AMGN US Equity","ARD_OTHER_CURRENT_ASSETS","FQ1 2020","FQ1 2020","Currency=USD","Period=FQ","BEST_FPERIOD_OVERRIDE=FQ","FILING_STATUS=MR","SCALING_FORMAT=MLN","Sort=A","Dates=H","DateFormat=P","Fill=—","Direction=H","UseDPDF=Y")</f>
        <v>2110</v>
      </c>
      <c r="I12" s="13">
        <f>_xll.BDH("AMGN US Equity","ARD_OTHER_CURRENT_ASSETS","FQ2 2020","FQ2 2020","Currency=USD","Period=FQ","BEST_FPERIOD_OVERRIDE=FQ","FILING_STATUS=MR","SCALING_FORMAT=MLN","Sort=A","Dates=H","DateFormat=P","Fill=—","Direction=H","UseDPDF=Y")</f>
        <v>2268</v>
      </c>
      <c r="J12" s="13">
        <f>_xll.BDH("AMGN US Equity","ARD_OTHER_CURRENT_ASSETS","FQ3 2020","FQ3 2020","Currency=USD","Period=FQ","BEST_FPERIOD_OVERRIDE=FQ","FILING_STATUS=MR","SCALING_FORMAT=MLN","Sort=A","Dates=H","DateFormat=P","Fill=—","Direction=H","UseDPDF=Y")</f>
        <v>2265</v>
      </c>
      <c r="K12" s="13">
        <f>_xll.BDH("AMGN US Equity","ARD_OTHER_CURRENT_ASSETS","FQ4 2020","FQ4 2020","Currency=USD","Period=FQ","BEST_FPERIOD_OVERRIDE=FQ","FILING_STATUS=MR","SCALING_FORMAT=MLN","Sort=A","Dates=H","DateFormat=P","Fill=—","Direction=H","UseDPDF=Y")</f>
        <v>2079</v>
      </c>
      <c r="L12" s="13">
        <f>_xll.BDH("AMGN US Equity","ARD_OTHER_CURRENT_ASSETS","FQ1 2021","FQ1 2021","Currency=USD","Period=FQ","BEST_FPERIOD_OVERRIDE=FQ","FILING_STATUS=MR","SCALING_FORMAT=MLN","Sort=A","Dates=H","DateFormat=P","Fill=—","Direction=H","UseDPDF=Y")</f>
        <v>2293</v>
      </c>
      <c r="M12" s="13">
        <f>_xll.BDH("AMGN US Equity","ARD_OTHER_CURRENT_ASSETS","FQ2 2021","FQ2 2021","Currency=USD","Period=FQ","BEST_FPERIOD_OVERRIDE=FQ","FILING_STATUS=MR","SCALING_FORMAT=MLN","Sort=A","Dates=H","DateFormat=P","Fill=—","Direction=H","UseDPDF=Y")</f>
        <v>2423</v>
      </c>
      <c r="N12" s="13">
        <f>_xll.BDH("AMGN US Equity","ARD_OTHER_CURRENT_ASSETS","FQ3 2021","FQ3 2021","Currency=USD","Period=FQ","BEST_FPERIOD_OVERRIDE=FQ","FILING_STATUS=MR","SCALING_FORMAT=MLN","Sort=A","Dates=H","DateFormat=P","Fill=—","Direction=H","UseDPDF=Y")</f>
        <v>2542</v>
      </c>
      <c r="O12" s="13">
        <f>_xll.BDH("AMGN US Equity","ARD_OTHER_CURRENT_ASSETS","FQ4 2021","FQ4 2021","Currency=USD","Period=FQ","BEST_FPERIOD_OVERRIDE=FQ","FILING_STATUS=MR","SCALING_FORMAT=MLN","Sort=A","Dates=H","DateFormat=P","Fill=—","Direction=H","UseDPDF=Y")</f>
        <v>2367</v>
      </c>
      <c r="P12" s="13">
        <f>_xll.BDH("AMGN US Equity","ARD_OTHER_CURRENT_ASSETS","FQ1 2022","FQ1 2022","Currency=USD","Period=FQ","BEST_FPERIOD_OVERRIDE=FQ","FILING_STATUS=MR","SCALING_FORMAT=MLN","Sort=A","Dates=H","DateFormat=P","Fill=—","Direction=H","UseDPDF=Y")</f>
        <v>2488</v>
      </c>
      <c r="Q12" s="13">
        <f>_xll.BDH("AMGN US Equity","ARD_OTHER_CURRENT_ASSETS","FQ2 2022","FQ2 2022","Currency=USD","Period=FQ","BEST_FPERIOD_OVERRIDE=FQ","FILING_STATUS=MR","SCALING_FORMAT=MLN","Sort=A","Dates=H","DateFormat=P","Fill=—","Direction=H","UseDPDF=Y")</f>
        <v>2258</v>
      </c>
      <c r="R12" s="13">
        <f>_xll.BDH("AMGN US Equity","ARD_OTHER_CURRENT_ASSETS","FQ3 2022","FQ3 2022","Currency=USD","Period=FQ","BEST_FPERIOD_OVERRIDE=FQ","FILING_STATUS=MR","SCALING_FORMAT=MLN","Sort=A","Dates=H","DateFormat=P","Fill=—","Direction=H","UseDPDF=Y")</f>
        <v>2501</v>
      </c>
      <c r="S12" s="13">
        <f>_xll.BDH("AMGN US Equity","ARD_OTHER_CURRENT_ASSETS","FQ4 2022","FQ4 2022","Currency=USD","Period=FQ","BEST_FPERIOD_OVERRIDE=FQ","FILING_STATUS=MR","SCALING_FORMAT=MLN","Sort=A","Dates=H","DateFormat=P","Fill=—","Direction=H","UseDPDF=Y")</f>
        <v>2388</v>
      </c>
      <c r="T12" s="13">
        <f>_xll.BDH("AMGN US Equity","ARD_OTHER_CURRENT_ASSETS","FQ1 2023","FQ1 2023","Currency=USD","Period=FQ","BEST_FPERIOD_OVERRIDE=FQ","FILING_STATUS=MR","SCALING_FORMAT=MLN","Sort=A","Dates=H","DateFormat=P","Fill=—","Direction=H","UseDPDF=Y")</f>
        <v>2395</v>
      </c>
      <c r="U12" s="13">
        <f>_xll.BDH("AMGN US Equity","ARD_OTHER_CURRENT_ASSETS","FQ2 2023","FQ2 2023","Currency=USD","Period=FQ","BEST_FPERIOD_OVERRIDE=FQ","FILING_STATUS=MR","SCALING_FORMAT=MLN","Sort=A","Dates=H","DateFormat=P","Fill=—","Direction=H","UseDPDF=Y")</f>
        <v>2324</v>
      </c>
      <c r="V12" s="13">
        <f>_xll.BDH("AMGN US Equity","ARD_OTHER_CURRENT_ASSETS","FQ3 2023","FQ3 2023","Currency=USD","Period=FQ","BEST_FPERIOD_OVERRIDE=FQ","FILING_STATUS=MR","SCALING_FORMAT=MLN","Sort=A","Dates=H","DateFormat=P","Fill=—","Direction=H","UseDPDF=Y")</f>
        <v>2565</v>
      </c>
      <c r="W12" s="13">
        <f>_xll.BDH("AMGN US Equity","ARD_OTHER_CURRENT_ASSETS","FQ4 2023","FQ4 2023","Currency=USD","Period=FQ","BEST_FPERIOD_OVERRIDE=FQ","FILING_STATUS=MR","SCALING_FORMAT=MLN","Sort=A","Dates=H","DateFormat=P","Fill=—","Direction=H","UseDPDF=Y")</f>
        <v>2602</v>
      </c>
      <c r="X12" s="13">
        <f>_xll.BDH("AMGN US Equity","ARD_OTHER_CURRENT_ASSETS","FQ1 2024","FQ1 2024","Currency=USD","Period=FQ","BEST_FPERIOD_OVERRIDE=FQ","FILING_STATUS=MR","SCALING_FORMAT=MLN","Sort=A","Dates=H","DateFormat=P","Fill=—","Direction=H","UseDPDF=Y")</f>
        <v>2821</v>
      </c>
      <c r="Y12" s="13">
        <f>_xll.BDH("AMGN US Equity","ARD_OTHER_CURRENT_ASSETS","FQ2 2024","FQ2 2024","Currency=USD","Period=FQ","BEST_FPERIOD_OVERRIDE=FQ","FILING_STATUS=MR","SCALING_FORMAT=MLN","Sort=A","Dates=H","DateFormat=P","Fill=—","Direction=H","UseDPDF=Y")</f>
        <v>2976</v>
      </c>
      <c r="Z12" s="13">
        <f>_xll.BDH("AMGN US Equity","ARD_OTHER_CURRENT_ASSETS","FQ3 2024","FQ3 2024","Currency=USD","Period=FQ","BEST_FPERIOD_OVERRIDE=FQ","FILING_STATUS=MR","SCALING_FORMAT=MLN","Sort=A","Dates=H","DateFormat=P","Fill=—","Direction=H","UseDPDF=Y")</f>
        <v>3076</v>
      </c>
      <c r="AA12" s="13">
        <f>_xll.BDH("AMGN US Equity","ARD_OTHER_CURRENT_ASSETS","FQ4 2024","FQ4 2024","Currency=USD","Period=FQ","BEST_FPERIOD_OVERRIDE=FQ","FILING_STATUS=MR","SCALING_FORMAT=MLN","Sort=A","Dates=H","DateFormat=P","Fill=—","Direction=H","UseDPDF=Y")</f>
        <v>3277</v>
      </c>
    </row>
    <row r="13" spans="1:27" x14ac:dyDescent="0.25">
      <c r="A13" s="6" t="s">
        <v>110</v>
      </c>
      <c r="B13" s="6" t="s">
        <v>867</v>
      </c>
      <c r="C13" s="19">
        <f>_xll.BDH("AMGN US Equity","ARD_TOTAL_CUR_ASSETS","FQ4 2018","FQ4 2018","Currency=USD","Period=FQ","BEST_FPERIOD_OVERRIDE=FQ","FILING_STATUS=MR","SCALING_FORMAT=MLN","Sort=A","Dates=H","DateFormat=P","Fill=—","Direction=H","UseDPDF=Y")</f>
        <v>37618</v>
      </c>
      <c r="D13" s="19">
        <f>_xll.BDH("AMGN US Equity","ARD_TOTAL_CUR_ASSETS","FQ1 2019","FQ1 2019","Currency=USD","Period=FQ","BEST_FPERIOD_OVERRIDE=FQ","FILING_STATUS=MR","SCALING_FORMAT=MLN","Sort=A","Dates=H","DateFormat=P","Fill=—","Direction=H","UseDPDF=Y")</f>
        <v>35151</v>
      </c>
      <c r="E13" s="19">
        <f>_xll.BDH("AMGN US Equity","ARD_TOTAL_CUR_ASSETS","FQ2 2019","FQ2 2019","Currency=USD","Period=FQ","BEST_FPERIOD_OVERRIDE=FQ","FILING_STATUS=MR","SCALING_FORMAT=MLN","Sort=A","Dates=H","DateFormat=P","Fill=—","Direction=H","UseDPDF=Y")</f>
        <v>30746</v>
      </c>
      <c r="F13" s="19">
        <f>_xll.BDH("AMGN US Equity","ARD_TOTAL_CUR_ASSETS","FQ3 2019","FQ3 2019","Currency=USD","Period=FQ","BEST_FPERIOD_OVERRIDE=FQ","FILING_STATUS=MR","SCALING_FORMAT=MLN","Sort=A","Dates=H","DateFormat=P","Fill=—","Direction=H","UseDPDF=Y")</f>
        <v>31051</v>
      </c>
      <c r="G13" s="19">
        <f>_xll.BDH("AMGN US Equity","ARD_TOTAL_CUR_ASSETS","FQ4 2019","FQ4 2019","Currency=USD","Period=FQ","BEST_FPERIOD_OVERRIDE=FQ","FILING_STATUS=MR","SCALING_FORMAT=MLN","Sort=A","Dates=H","DateFormat=P","Fill=—","Direction=H","UseDPDF=Y")</f>
        <v>18440</v>
      </c>
      <c r="H13" s="19">
        <f>_xll.BDH("AMGN US Equity","ARD_TOTAL_CUR_ASSETS","FQ1 2020","FQ1 2020","Currency=USD","Period=FQ","BEST_FPERIOD_OVERRIDE=FQ","FILING_STATUS=MR","SCALING_FORMAT=MLN","Sort=A","Dates=H","DateFormat=P","Fill=—","Direction=H","UseDPDF=Y")</f>
        <v>18813</v>
      </c>
      <c r="I13" s="19">
        <f>_xll.BDH("AMGN US Equity","ARD_TOTAL_CUR_ASSETS","FQ2 2020","FQ2 2020","Currency=USD","Period=FQ","BEST_FPERIOD_OVERRIDE=FQ","FILING_STATUS=MR","SCALING_FORMAT=MLN","Sort=A","Dates=H","DateFormat=P","Fill=—","Direction=H","UseDPDF=Y")</f>
        <v>22895</v>
      </c>
      <c r="J13" s="19">
        <f>_xll.BDH("AMGN US Equity","ARD_TOTAL_CUR_ASSETS","FQ3 2020","FQ3 2020","Currency=USD","Period=FQ","BEST_FPERIOD_OVERRIDE=FQ","FILING_STATUS=MR","SCALING_FORMAT=MLN","Sort=A","Dates=H","DateFormat=P","Fill=—","Direction=H","UseDPDF=Y")</f>
        <v>22661</v>
      </c>
      <c r="K13" s="19">
        <f>_xll.BDH("AMGN US Equity","ARD_TOTAL_CUR_ASSETS","FQ4 2020","FQ4 2020","Currency=USD","Period=FQ","BEST_FPERIOD_OVERRIDE=FQ","FILING_STATUS=MR","SCALING_FORMAT=MLN","Sort=A","Dates=H","DateFormat=P","Fill=—","Direction=H","UseDPDF=Y")</f>
        <v>21144</v>
      </c>
      <c r="L13" s="19">
        <f>_xll.BDH("AMGN US Equity","ARD_TOTAL_CUR_ASSETS","FQ1 2021","FQ1 2021","Currency=USD","Period=FQ","BEST_FPERIOD_OVERRIDE=FQ","FILING_STATUS=MR","SCALING_FORMAT=MLN","Sort=A","Dates=H","DateFormat=P","Fill=—","Direction=H","UseDPDF=Y")</f>
        <v>21299</v>
      </c>
      <c r="M13" s="19">
        <f>_xll.BDH("AMGN US Equity","ARD_TOTAL_CUR_ASSETS","FQ2 2021","FQ2 2021","Currency=USD","Period=FQ","BEST_FPERIOD_OVERRIDE=FQ","FILING_STATUS=MR","SCALING_FORMAT=MLN","Sort=A","Dates=H","DateFormat=P","Fill=—","Direction=H","UseDPDF=Y")</f>
        <v>19099</v>
      </c>
      <c r="N13" s="19">
        <f>_xll.BDH("AMGN US Equity","ARD_TOTAL_CUR_ASSETS","FQ3 2021","FQ3 2021","Currency=USD","Period=FQ","BEST_FPERIOD_OVERRIDE=FQ","FILING_STATUS=MR","SCALING_FORMAT=MLN","Sort=A","Dates=H","DateFormat=P","Fill=—","Direction=H","UseDPDF=Y")</f>
        <v>24380</v>
      </c>
      <c r="O13" s="19">
        <f>_xll.BDH("AMGN US Equity","ARD_TOTAL_CUR_ASSETS","FQ4 2021","FQ4 2021","Currency=USD","Period=FQ","BEST_FPERIOD_OVERRIDE=FQ","FILING_STATUS=MR","SCALING_FORMAT=MLN","Sort=A","Dates=H","DateFormat=P","Fill=—","Direction=H","UseDPDF=Y")</f>
        <v>19385</v>
      </c>
      <c r="P13" s="19">
        <f>_xll.BDH("AMGN US Equity","ARD_TOTAL_CUR_ASSETS","FQ1 2022","FQ1 2022","Currency=USD","Period=FQ","BEST_FPERIOD_OVERRIDE=FQ","FILING_STATUS=MR","SCALING_FORMAT=MLN","Sort=A","Dates=H","DateFormat=P","Fill=—","Direction=H","UseDPDF=Y")</f>
        <v>18520</v>
      </c>
      <c r="Q13" s="19">
        <f>_xll.BDH("AMGN US Equity","ARD_TOTAL_CUR_ASSETS","FQ2 2022","FQ2 2022","Currency=USD","Period=FQ","BEST_FPERIOD_OVERRIDE=FQ","FILING_STATUS=MR","SCALING_FORMAT=MLN","Sort=A","Dates=H","DateFormat=P","Fill=—","Direction=H","UseDPDF=Y")</f>
        <v>19322</v>
      </c>
      <c r="R13" s="19">
        <f>_xll.BDH("AMGN US Equity","ARD_TOTAL_CUR_ASSETS","FQ3 2022","FQ3 2022","Currency=USD","Period=FQ","BEST_FPERIOD_OVERRIDE=FQ","FILING_STATUS=MR","SCALING_FORMAT=MLN","Sort=A","Dates=H","DateFormat=P","Fill=—","Direction=H","UseDPDF=Y")</f>
        <v>24062</v>
      </c>
      <c r="S13" s="19">
        <f>_xll.BDH("AMGN US Equity","ARD_TOTAL_CUR_ASSETS","FQ4 2022","FQ4 2022","Currency=USD","Period=FQ","BEST_FPERIOD_OVERRIDE=FQ","FILING_STATUS=MR","SCALING_FORMAT=MLN","Sort=A","Dates=H","DateFormat=P","Fill=—","Direction=H","UseDPDF=Y")</f>
        <v>22186</v>
      </c>
      <c r="T13" s="19">
        <f>_xll.BDH("AMGN US Equity","ARD_TOTAL_CUR_ASSETS","FQ1 2023","FQ1 2023","Currency=USD","Period=FQ","BEST_FPERIOD_OVERRIDE=FQ","FILING_STATUS=MR","SCALING_FORMAT=MLN","Sort=A","Dates=H","DateFormat=P","Fill=—","Direction=H","UseDPDF=Y")</f>
        <v>44703</v>
      </c>
      <c r="U13" s="19">
        <f>_xll.BDH("AMGN US Equity","ARD_TOTAL_CUR_ASSETS","FQ2 2023","FQ2 2023","Currency=USD","Period=FQ","BEST_FPERIOD_OVERRIDE=FQ","FILING_STATUS=MR","SCALING_FORMAT=MLN","Sort=A","Dates=H","DateFormat=P","Fill=—","Direction=H","UseDPDF=Y")</f>
        <v>47380</v>
      </c>
      <c r="V13" s="19">
        <f>_xll.BDH("AMGN US Equity","ARD_TOTAL_CUR_ASSETS","FQ3 2023","FQ3 2023","Currency=USD","Period=FQ","BEST_FPERIOD_OVERRIDE=FQ","FILING_STATUS=MR","SCALING_FORMAT=MLN","Sort=A","Dates=H","DateFormat=P","Fill=—","Direction=H","UseDPDF=Y")</f>
        <v>48477</v>
      </c>
      <c r="W13" s="19">
        <f>_xll.BDH("AMGN US Equity","ARD_TOTAL_CUR_ASSETS","FQ4 2023","FQ4 2023","Currency=USD","Period=FQ","BEST_FPERIOD_OVERRIDE=FQ","FILING_STATUS=MR","SCALING_FORMAT=MLN","Sort=A","Dates=H","DateFormat=P","Fill=—","Direction=H","UseDPDF=Y")</f>
        <v>30332</v>
      </c>
      <c r="X13" s="19">
        <f>_xll.BDH("AMGN US Equity","ARD_TOTAL_CUR_ASSETS","FQ1 2024","FQ1 2024","Currency=USD","Period=FQ","BEST_FPERIOD_OVERRIDE=FQ","FILING_STATUS=MR","SCALING_FORMAT=MLN","Sort=A","Dates=H","DateFormat=P","Fill=—","Direction=H","UseDPDF=Y")</f>
        <v>28029</v>
      </c>
      <c r="Y13" s="19">
        <f>_xll.BDH("AMGN US Equity","ARD_TOTAL_CUR_ASSETS","FQ2 2024","FQ2 2024","Currency=USD","Period=FQ","BEST_FPERIOD_OVERRIDE=FQ","FILING_STATUS=MR","SCALING_FORMAT=MLN","Sort=A","Dates=H","DateFormat=P","Fill=—","Direction=H","UseDPDF=Y")</f>
        <v>27206</v>
      </c>
      <c r="Z13" s="19">
        <f>_xll.BDH("AMGN US Equity","ARD_TOTAL_CUR_ASSETS","FQ3 2024","FQ3 2024","Currency=USD","Period=FQ","BEST_FPERIOD_OVERRIDE=FQ","FILING_STATUS=MR","SCALING_FORMAT=MLN","Sort=A","Dates=H","DateFormat=P","Fill=—","Direction=H","UseDPDF=Y")</f>
        <v>26766</v>
      </c>
      <c r="AA13" s="19">
        <f>_xll.BDH("AMGN US Equity","ARD_TOTAL_CUR_ASSETS","FQ4 2024","FQ4 2024","Currency=USD","Period=FQ","BEST_FPERIOD_OVERRIDE=FQ","FILING_STATUS=MR","SCALING_FORMAT=MLN","Sort=A","Dates=H","DateFormat=P","Fill=—","Direction=H","UseDPDF=Y")</f>
        <v>29030</v>
      </c>
    </row>
    <row r="14" spans="1:27" x14ac:dyDescent="0.25">
      <c r="A14" s="10" t="s">
        <v>868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5">
      <c r="A15" s="10" t="s">
        <v>869</v>
      </c>
      <c r="B15" s="10" t="s">
        <v>870</v>
      </c>
      <c r="C15" s="13">
        <f>_xll.BDH("AMGN US Equity","ARD_PROPERTY_PLANT_EQUIP_NET","FQ4 2018","FQ4 2018","Currency=USD","Period=FQ","BEST_FPERIOD_OVERRIDE=FQ","FILING_STATUS=MR","SCALING_FORMAT=MLN","Sort=A","Dates=H","DateFormat=P","Fill=—","Direction=H","UseDPDF=Y")</f>
        <v>4958</v>
      </c>
      <c r="D15" s="13">
        <f>_xll.BDH("AMGN US Equity","ARD_PROPERTY_PLANT_EQUIP_NET","FQ1 2019","FQ1 2019","Currency=USD","Period=FQ","BEST_FPERIOD_OVERRIDE=FQ","FILING_STATUS=MR","SCALING_FORMAT=MLN","Sort=A","Dates=H","DateFormat=P","Fill=—","Direction=H","UseDPDF=Y")</f>
        <v>4892</v>
      </c>
      <c r="E15" s="13">
        <f>_xll.BDH("AMGN US Equity","ARD_PROPERTY_PLANT_EQUIP_NET","FQ2 2019","FQ2 2019","Currency=USD","Period=FQ","BEST_FPERIOD_OVERRIDE=FQ","FILING_STATUS=MR","SCALING_FORMAT=MLN","Sort=A","Dates=H","DateFormat=P","Fill=—","Direction=H","UseDPDF=Y")</f>
        <v>4882</v>
      </c>
      <c r="F15" s="13">
        <f>_xll.BDH("AMGN US Equity","ARD_PROPERTY_PLANT_EQUIP_NET","FQ3 2019","FQ3 2019","Currency=USD","Period=FQ","BEST_FPERIOD_OVERRIDE=FQ","FILING_STATUS=MR","SCALING_FORMAT=MLN","Sort=A","Dates=H","DateFormat=P","Fill=—","Direction=H","UseDPDF=Y")</f>
        <v>4901</v>
      </c>
      <c r="G15" s="13">
        <f>_xll.BDH("AMGN US Equity","ARD_PROPERTY_PLANT_EQUIP_NET","FQ4 2019","FQ4 2019","Currency=USD","Period=FQ","BEST_FPERIOD_OVERRIDE=FQ","FILING_STATUS=MR","SCALING_FORMAT=MLN","Sort=A","Dates=H","DateFormat=P","Fill=—","Direction=H","UseDPDF=Y")</f>
        <v>4928</v>
      </c>
      <c r="H15" s="13">
        <f>_xll.BDH("AMGN US Equity","ARD_PROPERTY_PLANT_EQUIP_NET","FQ1 2020","FQ1 2020","Currency=USD","Period=FQ","BEST_FPERIOD_OVERRIDE=FQ","FILING_STATUS=MR","SCALING_FORMAT=MLN","Sort=A","Dates=H","DateFormat=P","Fill=—","Direction=H","UseDPDF=Y")</f>
        <v>4879</v>
      </c>
      <c r="I15" s="13">
        <f>_xll.BDH("AMGN US Equity","ARD_PROPERTY_PLANT_EQUIP_NET","FQ2 2020","FQ2 2020","Currency=USD","Period=FQ","BEST_FPERIOD_OVERRIDE=FQ","FILING_STATUS=MR","SCALING_FORMAT=MLN","Sort=A","Dates=H","DateFormat=P","Fill=—","Direction=H","UseDPDF=Y")</f>
        <v>4843</v>
      </c>
      <c r="J15" s="13">
        <f>_xll.BDH("AMGN US Equity","ARD_PROPERTY_PLANT_EQUIP_NET","FQ3 2020","FQ3 2020","Currency=USD","Period=FQ","BEST_FPERIOD_OVERRIDE=FQ","FILING_STATUS=MR","SCALING_FORMAT=MLN","Sort=A","Dates=H","DateFormat=P","Fill=—","Direction=H","UseDPDF=Y")</f>
        <v>4816</v>
      </c>
      <c r="K15" s="13">
        <f>_xll.BDH("AMGN US Equity","ARD_PROPERTY_PLANT_EQUIP_NET","FQ4 2020","FQ4 2020","Currency=USD","Period=FQ","BEST_FPERIOD_OVERRIDE=FQ","FILING_STATUS=MR","SCALING_FORMAT=MLN","Sort=A","Dates=H","DateFormat=P","Fill=—","Direction=H","UseDPDF=Y")</f>
        <v>4889</v>
      </c>
      <c r="L15" s="13">
        <f>_xll.BDH("AMGN US Equity","ARD_PROPERTY_PLANT_EQUIP_NET","FQ1 2021","FQ1 2021","Currency=USD","Period=FQ","BEST_FPERIOD_OVERRIDE=FQ","FILING_STATUS=MR","SCALING_FORMAT=MLN","Sort=A","Dates=H","DateFormat=P","Fill=—","Direction=H","UseDPDF=Y")</f>
        <v>4855</v>
      </c>
      <c r="M15" s="13">
        <f>_xll.BDH("AMGN US Equity","ARD_PROPERTY_PLANT_EQUIP_NET","FQ2 2021","FQ2 2021","Currency=USD","Period=FQ","BEST_FPERIOD_OVERRIDE=FQ","FILING_STATUS=MR","SCALING_FORMAT=MLN","Sort=A","Dates=H","DateFormat=P","Fill=—","Direction=H","UseDPDF=Y")</f>
        <v>4906</v>
      </c>
      <c r="N15" s="13">
        <f>_xll.BDH("AMGN US Equity","ARD_PROPERTY_PLANT_EQUIP_NET","FQ3 2021","FQ3 2021","Currency=USD","Period=FQ","BEST_FPERIOD_OVERRIDE=FQ","FILING_STATUS=MR","SCALING_FORMAT=MLN","Sort=A","Dates=H","DateFormat=P","Fill=—","Direction=H","UseDPDF=Y")</f>
        <v>4982</v>
      </c>
      <c r="O15" s="13">
        <f>_xll.BDH("AMGN US Equity","ARD_PROPERTY_PLANT_EQUIP_NET","FQ4 2021","FQ4 2021","Currency=USD","Period=FQ","BEST_FPERIOD_OVERRIDE=FQ","FILING_STATUS=MR","SCALING_FORMAT=MLN","Sort=A","Dates=H","DateFormat=P","Fill=—","Direction=H","UseDPDF=Y")</f>
        <v>5184</v>
      </c>
      <c r="P15" s="13">
        <f>_xll.BDH("AMGN US Equity","ARD_PROPERTY_PLANT_EQUIP_NET","FQ1 2022","FQ1 2022","Currency=USD","Period=FQ","BEST_FPERIOD_OVERRIDE=FQ","FILING_STATUS=MR","SCALING_FORMAT=MLN","Sort=A","Dates=H","DateFormat=P","Fill=—","Direction=H","UseDPDF=Y")</f>
        <v>5142</v>
      </c>
      <c r="Q15" s="13">
        <f>_xll.BDH("AMGN US Equity","ARD_PROPERTY_PLANT_EQUIP_NET","FQ2 2022","FQ2 2022","Currency=USD","Period=FQ","BEST_FPERIOD_OVERRIDE=FQ","FILING_STATUS=MR","SCALING_FORMAT=MLN","Sort=A","Dates=H","DateFormat=P","Fill=—","Direction=H","UseDPDF=Y")</f>
        <v>5158</v>
      </c>
      <c r="R15" s="13">
        <f>_xll.BDH("AMGN US Equity","ARD_PROPERTY_PLANT_EQUIP_NET","FQ3 2022","FQ3 2022","Currency=USD","Period=FQ","BEST_FPERIOD_OVERRIDE=FQ","FILING_STATUS=MR","SCALING_FORMAT=MLN","Sort=A","Dates=H","DateFormat=P","Fill=—","Direction=H","UseDPDF=Y")</f>
        <v>5188</v>
      </c>
      <c r="S15" s="13">
        <f>_xll.BDH("AMGN US Equity","ARD_PROPERTY_PLANT_EQUIP_NET","FQ4 2022","FQ4 2022","Currency=USD","Period=FQ","BEST_FPERIOD_OVERRIDE=FQ","FILING_STATUS=MR","SCALING_FORMAT=MLN","Sort=A","Dates=H","DateFormat=P","Fill=—","Direction=H","UseDPDF=Y")</f>
        <v>5427</v>
      </c>
      <c r="T15" s="13">
        <f>_xll.BDH("AMGN US Equity","ARD_PROPERTY_PLANT_EQUIP_NET","FQ1 2023","FQ1 2023","Currency=USD","Period=FQ","BEST_FPERIOD_OVERRIDE=FQ","FILING_STATUS=MR","SCALING_FORMAT=MLN","Sort=A","Dates=H","DateFormat=P","Fill=—","Direction=H","UseDPDF=Y")</f>
        <v>5460</v>
      </c>
      <c r="U15" s="13">
        <f>_xll.BDH("AMGN US Equity","ARD_PROPERTY_PLANT_EQUIP_NET","FQ2 2023","FQ2 2023","Currency=USD","Period=FQ","BEST_FPERIOD_OVERRIDE=FQ","FILING_STATUS=MR","SCALING_FORMAT=MLN","Sort=A","Dates=H","DateFormat=P","Fill=—","Direction=H","UseDPDF=Y")</f>
        <v>5532</v>
      </c>
      <c r="V15" s="13">
        <f>_xll.BDH("AMGN US Equity","ARD_PROPERTY_PLANT_EQUIP_NET","FQ3 2023","FQ3 2023","Currency=USD","Period=FQ","BEST_FPERIOD_OVERRIDE=FQ","FILING_STATUS=MR","SCALING_FORMAT=MLN","Sort=A","Dates=H","DateFormat=P","Fill=—","Direction=H","UseDPDF=Y")</f>
        <v>5563</v>
      </c>
      <c r="W15" s="13">
        <f>_xll.BDH("AMGN US Equity","ARD_PROPERTY_PLANT_EQUIP_NET","FQ4 2023","FQ4 2023","Currency=USD","Period=FQ","BEST_FPERIOD_OVERRIDE=FQ","FILING_STATUS=MR","SCALING_FORMAT=MLN","Sort=A","Dates=H","DateFormat=P","Fill=—","Direction=H","UseDPDF=Y")</f>
        <v>5941</v>
      </c>
      <c r="X15" s="13">
        <f>_xll.BDH("AMGN US Equity","ARD_PROPERTY_PLANT_EQUIP_NET","FQ1 2024","FQ1 2024","Currency=USD","Period=FQ","BEST_FPERIOD_OVERRIDE=FQ","FILING_STATUS=MR","SCALING_FORMAT=MLN","Sort=A","Dates=H","DateFormat=P","Fill=—","Direction=H","UseDPDF=Y")</f>
        <v>6002</v>
      </c>
      <c r="Y15" s="13">
        <f>_xll.BDH("AMGN US Equity","ARD_PROPERTY_PLANT_EQUIP_NET","FQ2 2024","FQ2 2024","Currency=USD","Period=FQ","BEST_FPERIOD_OVERRIDE=FQ","FILING_STATUS=MR","SCALING_FORMAT=MLN","Sort=A","Dates=H","DateFormat=P","Fill=—","Direction=H","UseDPDF=Y")</f>
        <v>6097</v>
      </c>
      <c r="Z15" s="13">
        <f>_xll.BDH("AMGN US Equity","ARD_PROPERTY_PLANT_EQUIP_NET","FQ3 2024","FQ3 2024","Currency=USD","Period=FQ","BEST_FPERIOD_OVERRIDE=FQ","FILING_STATUS=MR","SCALING_FORMAT=MLN","Sort=A","Dates=H","DateFormat=P","Fill=—","Direction=H","UseDPDF=Y")</f>
        <v>6156</v>
      </c>
      <c r="AA15" s="13">
        <f>_xll.BDH("AMGN US Equity","ARD_PROPERTY_PLANT_EQUIP_NET","FQ4 2024","FQ4 2024","Currency=USD","Period=FQ","BEST_FPERIOD_OVERRIDE=FQ","FILING_STATUS=MR","SCALING_FORMAT=MLN","Sort=A","Dates=H","DateFormat=P","Fill=—","Direction=H","UseDPDF=Y")</f>
        <v>6543</v>
      </c>
    </row>
    <row r="16" spans="1:27" x14ac:dyDescent="0.25">
      <c r="A16" s="10" t="s">
        <v>871</v>
      </c>
      <c r="B16" s="10" t="s">
        <v>872</v>
      </c>
      <c r="C16" s="13">
        <f>_xll.BDH("AMGN US Equity","ARD_OTHER_INTANGIBLE_ASSET","FQ4 2018","FQ4 2018","Currency=USD","Period=FQ","BEST_FPERIOD_OVERRIDE=FQ","FILING_STATUS=MR","SCALING_FORMAT=MLN","Sort=A","Dates=H","DateFormat=P","Fill=—","Direction=H","UseDPDF=Y")</f>
        <v>7443</v>
      </c>
      <c r="D16" s="13">
        <f>_xll.BDH("AMGN US Equity","ARD_OTHER_INTANGIBLE_ASSET","FQ1 2019","FQ1 2019","Currency=USD","Period=FQ","BEST_FPERIOD_OVERRIDE=FQ","FILING_STATUS=MR","SCALING_FORMAT=MLN","Sort=A","Dates=H","DateFormat=P","Fill=—","Direction=H","UseDPDF=Y")</f>
        <v>7124</v>
      </c>
      <c r="E16" s="13">
        <f>_xll.BDH("AMGN US Equity","ARD_OTHER_INTANGIBLE_ASSET","FQ2 2019","FQ2 2019","Currency=USD","Period=FQ","BEST_FPERIOD_OVERRIDE=FQ","FILING_STATUS=MR","SCALING_FORMAT=MLN","Sort=A","Dates=H","DateFormat=P","Fill=—","Direction=H","UseDPDF=Y")</f>
        <v>6813</v>
      </c>
      <c r="F16" s="13">
        <f>_xll.BDH("AMGN US Equity","ARD_OTHER_INTANGIBLE_ASSET","FQ3 2019","FQ3 2019","Currency=USD","Period=FQ","BEST_FPERIOD_OVERRIDE=FQ","FILING_STATUS=MR","SCALING_FORMAT=MLN","Sort=A","Dates=H","DateFormat=P","Fill=—","Direction=H","UseDPDF=Y")</f>
        <v>6702</v>
      </c>
      <c r="G16" s="13">
        <f>_xll.BDH("AMGN US Equity","ARD_OTHER_INTANGIBLE_ASSET","FQ4 2019","FQ4 2019","Currency=USD","Period=FQ","BEST_FPERIOD_OVERRIDE=FQ","FILING_STATUS=MR","SCALING_FORMAT=MLN","Sort=A","Dates=H","DateFormat=P","Fill=—","Direction=H","UseDPDF=Y")</f>
        <v>19413</v>
      </c>
      <c r="H16" s="13">
        <f>_xll.BDH("AMGN US Equity","ARD_OTHER_INTANGIBLE_ASSET","FQ1 2020","FQ1 2020","Currency=USD","Period=FQ","BEST_FPERIOD_OVERRIDE=FQ","FILING_STATUS=MR","SCALING_FORMAT=MLN","Sort=A","Dates=H","DateFormat=P","Fill=—","Direction=H","UseDPDF=Y")</f>
        <v>18653</v>
      </c>
      <c r="I16" s="13">
        <f>_xll.BDH("AMGN US Equity","ARD_OTHER_INTANGIBLE_ASSET","FQ2 2020","FQ2 2020","Currency=USD","Period=FQ","BEST_FPERIOD_OVERRIDE=FQ","FILING_STATUS=MR","SCALING_FORMAT=MLN","Sort=A","Dates=H","DateFormat=P","Fill=—","Direction=H","UseDPDF=Y")</f>
        <v>17948</v>
      </c>
      <c r="J16" s="13">
        <f>_xll.BDH("AMGN US Equity","ARD_OTHER_INTANGIBLE_ASSET","FQ3 2020","FQ3 2020","Currency=USD","Period=FQ","BEST_FPERIOD_OVERRIDE=FQ","FILING_STATUS=MR","SCALING_FORMAT=MLN","Sort=A","Dates=H","DateFormat=P","Fill=—","Direction=H","UseDPDF=Y")</f>
        <v>17254</v>
      </c>
      <c r="K16" s="13">
        <f>_xll.BDH("AMGN US Equity","ARD_OTHER_INTANGIBLE_ASSET","FQ4 2020","FQ4 2020","Currency=USD","Period=FQ","BEST_FPERIOD_OVERRIDE=FQ","FILING_STATUS=MR","SCALING_FORMAT=MLN","Sort=A","Dates=H","DateFormat=P","Fill=—","Direction=H","UseDPDF=Y")</f>
        <v>16587</v>
      </c>
      <c r="L16" s="13">
        <f>_xll.BDH("AMGN US Equity","ARD_OTHER_INTANGIBLE_ASSET","FQ1 2021","FQ1 2021","Currency=USD","Period=FQ","BEST_FPERIOD_OVERRIDE=FQ","FILING_STATUS=MR","SCALING_FORMAT=MLN","Sort=A","Dates=H","DateFormat=P","Fill=—","Direction=H","UseDPDF=Y")</f>
        <v>15947</v>
      </c>
      <c r="M16" s="13">
        <f>_xll.BDH("AMGN US Equity","ARD_OTHER_INTANGIBLE_ASSET","FQ2 2021","FQ2 2021","Currency=USD","Period=FQ","BEST_FPERIOD_OVERRIDE=FQ","FILING_STATUS=MR","SCALING_FORMAT=MLN","Sort=A","Dates=H","DateFormat=P","Fill=—","Direction=H","UseDPDF=Y")</f>
        <v>15308</v>
      </c>
      <c r="N16" s="13">
        <f>_xll.BDH("AMGN US Equity","ARD_OTHER_INTANGIBLE_ASSET","FQ3 2021","FQ3 2021","Currency=USD","Period=FQ","BEST_FPERIOD_OVERRIDE=FQ","FILING_STATUS=MR","SCALING_FORMAT=MLN","Sort=A","Dates=H","DateFormat=P","Fill=—","Direction=H","UseDPDF=Y")</f>
        <v>14659</v>
      </c>
      <c r="O16" s="13">
        <f>_xll.BDH("AMGN US Equity","ARD_OTHER_INTANGIBLE_ASSET","FQ4 2021","FQ4 2021","Currency=USD","Period=FQ","BEST_FPERIOD_OVERRIDE=FQ","FILING_STATUS=MR","SCALING_FORMAT=MLN","Sort=A","Dates=H","DateFormat=P","Fill=—","Direction=H","UseDPDF=Y")</f>
        <v>15182</v>
      </c>
      <c r="P16" s="13">
        <f>_xll.BDH("AMGN US Equity","ARD_OTHER_INTANGIBLE_ASSET","FQ1 2022","FQ1 2022","Currency=USD","Period=FQ","BEST_FPERIOD_OVERRIDE=FQ","FILING_STATUS=MR","SCALING_FORMAT=MLN","Sort=A","Dates=H","DateFormat=P","Fill=—","Direction=H","UseDPDF=Y")</f>
        <v>14567</v>
      </c>
      <c r="Q16" s="13">
        <f>_xll.BDH("AMGN US Equity","ARD_OTHER_INTANGIBLE_ASSET","FQ2 2022","FQ2 2022","Currency=USD","Period=FQ","BEST_FPERIOD_OVERRIDE=FQ","FILING_STATUS=MR","SCALING_FORMAT=MLN","Sort=A","Dates=H","DateFormat=P","Fill=—","Direction=H","UseDPDF=Y")</f>
        <v>13927</v>
      </c>
      <c r="R16" s="13">
        <f>_xll.BDH("AMGN US Equity","ARD_OTHER_INTANGIBLE_ASSET","FQ3 2022","FQ3 2022","Currency=USD","Period=FQ","BEST_FPERIOD_OVERRIDE=FQ","FILING_STATUS=MR","SCALING_FORMAT=MLN","Sort=A","Dates=H","DateFormat=P","Fill=—","Direction=H","UseDPDF=Y")</f>
        <v>13266</v>
      </c>
      <c r="S16" s="13">
        <f>_xll.BDH("AMGN US Equity","ARD_OTHER_INTANGIBLE_ASSET","FQ4 2022","FQ4 2022","Currency=USD","Period=FQ","BEST_FPERIOD_OVERRIDE=FQ","FILING_STATUS=MR","SCALING_FORMAT=MLN","Sort=A","Dates=H","DateFormat=P","Fill=—","Direction=H","UseDPDF=Y")</f>
        <v>16080</v>
      </c>
      <c r="T16" s="13">
        <f>_xll.BDH("AMGN US Equity","ARD_OTHER_INTANGIBLE_ASSET","FQ1 2023","FQ1 2023","Currency=USD","Period=FQ","BEST_FPERIOD_OVERRIDE=FQ","FILING_STATUS=MR","SCALING_FORMAT=MLN","Sort=A","Dates=H","DateFormat=P","Fill=—","Direction=H","UseDPDF=Y")</f>
        <v>15393</v>
      </c>
      <c r="U16" s="13">
        <f>_xll.BDH("AMGN US Equity","ARD_OTHER_INTANGIBLE_ASSET","FQ2 2023","FQ2 2023","Currency=USD","Period=FQ","BEST_FPERIOD_OVERRIDE=FQ","FILING_STATUS=MR","SCALING_FORMAT=MLN","Sort=A","Dates=H","DateFormat=P","Fill=—","Direction=H","UseDPDF=Y")</f>
        <v>14633</v>
      </c>
      <c r="V16" s="13">
        <f>_xll.BDH("AMGN US Equity","ARD_OTHER_INTANGIBLE_ASSET","FQ3 2023","FQ3 2023","Currency=USD","Period=FQ","BEST_FPERIOD_OVERRIDE=FQ","FILING_STATUS=MR","SCALING_FORMAT=MLN","Sort=A","Dates=H","DateFormat=P","Fill=—","Direction=H","UseDPDF=Y")</f>
        <v>13150</v>
      </c>
      <c r="W16" s="13">
        <f>_xll.BDH("AMGN US Equity","ARD_OTHER_INTANGIBLE_ASSET","FQ4 2023","FQ4 2023","Currency=USD","Period=FQ","BEST_FPERIOD_OVERRIDE=FQ","FILING_STATUS=MR","SCALING_FORMAT=MLN","Sort=A","Dates=H","DateFormat=P","Fill=—","Direction=H","UseDPDF=Y")</f>
        <v>32641</v>
      </c>
      <c r="X16" s="13">
        <f>_xll.BDH("AMGN US Equity","ARD_OTHER_INTANGIBLE_ASSET","FQ1 2024","FQ1 2024","Currency=USD","Period=FQ","BEST_FPERIOD_OVERRIDE=FQ","FILING_STATUS=MR","SCALING_FORMAT=MLN","Sort=A","Dates=H","DateFormat=P","Fill=—","Direction=H","UseDPDF=Y")</f>
        <v>31372</v>
      </c>
      <c r="Y16" s="13">
        <f>_xll.BDH("AMGN US Equity","ARD_OTHER_INTANGIBLE_ASSET","FQ2 2024","FQ2 2024","Currency=USD","Period=FQ","BEST_FPERIOD_OVERRIDE=FQ","FILING_STATUS=MR","SCALING_FORMAT=MLN","Sort=A","Dates=H","DateFormat=P","Fill=—","Direction=H","UseDPDF=Y")</f>
        <v>30172</v>
      </c>
      <c r="Z16" s="13">
        <f>_xll.BDH("AMGN US Equity","ARD_OTHER_INTANGIBLE_ASSET","FQ3 2024","FQ3 2024","Currency=USD","Period=FQ","BEST_FPERIOD_OVERRIDE=FQ","FILING_STATUS=MR","SCALING_FORMAT=MLN","Sort=A","Dates=H","DateFormat=P","Fill=—","Direction=H","UseDPDF=Y")</f>
        <v>28920</v>
      </c>
      <c r="AA16" s="13">
        <f>_xll.BDH("AMGN US Equity","ARD_OTHER_INTANGIBLE_ASSET","FQ4 2024","FQ4 2024","Currency=USD","Period=FQ","BEST_FPERIOD_OVERRIDE=FQ","FILING_STATUS=MR","SCALING_FORMAT=MLN","Sort=A","Dates=H","DateFormat=P","Fill=—","Direction=H","UseDPDF=Y")</f>
        <v>27699</v>
      </c>
    </row>
    <row r="17" spans="1:27" x14ac:dyDescent="0.25">
      <c r="A17" s="10" t="s">
        <v>873</v>
      </c>
      <c r="B17" s="10" t="s">
        <v>874</v>
      </c>
      <c r="C17" s="13">
        <f>_xll.BDH("AMGN US Equity","ARD_GOODWLL","FQ4 2018","FQ4 2018","Currency=USD","Period=FQ","BEST_FPERIOD_OVERRIDE=FQ","FILING_STATUS=MR","SCALING_FORMAT=MLN","Sort=A","Dates=H","DateFormat=P","Fill=—","Direction=H","UseDPDF=Y")</f>
        <v>14699</v>
      </c>
      <c r="D17" s="13">
        <f>_xll.BDH("AMGN US Equity","ARD_GOODWLL","FQ1 2019","FQ1 2019","Currency=USD","Period=FQ","BEST_FPERIOD_OVERRIDE=FQ","FILING_STATUS=MR","SCALING_FORMAT=MLN","Sort=A","Dates=H","DateFormat=P","Fill=—","Direction=H","UseDPDF=Y")</f>
        <v>14692</v>
      </c>
      <c r="E17" s="13">
        <f>_xll.BDH("AMGN US Equity","ARD_GOODWLL","FQ2 2019","FQ2 2019","Currency=USD","Period=FQ","BEST_FPERIOD_OVERRIDE=FQ","FILING_STATUS=MR","SCALING_FORMAT=MLN","Sort=A","Dates=H","DateFormat=P","Fill=—","Direction=H","UseDPDF=Y")</f>
        <v>14689</v>
      </c>
      <c r="F17" s="13">
        <f>_xll.BDH("AMGN US Equity","ARD_GOODWLL","FQ3 2019","FQ3 2019","Currency=USD","Period=FQ","BEST_FPERIOD_OVERRIDE=FQ","FILING_STATUS=MR","SCALING_FORMAT=MLN","Sort=A","Dates=H","DateFormat=P","Fill=—","Direction=H","UseDPDF=Y")</f>
        <v>14705</v>
      </c>
      <c r="G17" s="13">
        <f>_xll.BDH("AMGN US Equity","ARD_GOODWLL","FQ4 2019","FQ4 2019","Currency=USD","Period=FQ","BEST_FPERIOD_OVERRIDE=FQ","FILING_STATUS=MR","SCALING_FORMAT=MLN","Sort=A","Dates=H","DateFormat=P","Fill=—","Direction=H","UseDPDF=Y")</f>
        <v>14703</v>
      </c>
      <c r="H17" s="13">
        <f>_xll.BDH("AMGN US Equity","ARD_GOODWLL","FQ1 2020","FQ1 2020","Currency=USD","Period=FQ","BEST_FPERIOD_OVERRIDE=FQ","FILING_STATUS=MR","SCALING_FORMAT=MLN","Sort=A","Dates=H","DateFormat=P","Fill=—","Direction=H","UseDPDF=Y")</f>
        <v>14683</v>
      </c>
      <c r="I17" s="13">
        <f>_xll.BDH("AMGN US Equity","ARD_GOODWLL","FQ2 2020","FQ2 2020","Currency=USD","Period=FQ","BEST_FPERIOD_OVERRIDE=FQ","FILING_STATUS=MR","SCALING_FORMAT=MLN","Sort=A","Dates=H","DateFormat=P","Fill=—","Direction=H","UseDPDF=Y")</f>
        <v>14678</v>
      </c>
      <c r="J17" s="13">
        <f>_xll.BDH("AMGN US Equity","ARD_GOODWLL","FQ3 2020","FQ3 2020","Currency=USD","Period=FQ","BEST_FPERIOD_OVERRIDE=FQ","FILING_STATUS=MR","SCALING_FORMAT=MLN","Sort=A","Dates=H","DateFormat=P","Fill=—","Direction=H","UseDPDF=Y")</f>
        <v>14674</v>
      </c>
      <c r="K17" s="13">
        <f>_xll.BDH("AMGN US Equity","ARD_GOODWLL","FQ4 2020","FQ4 2020","Currency=USD","Period=FQ","BEST_FPERIOD_OVERRIDE=FQ","FILING_STATUS=MR","SCALING_FORMAT=MLN","Sort=A","Dates=H","DateFormat=P","Fill=—","Direction=H","UseDPDF=Y")</f>
        <v>14689</v>
      </c>
      <c r="L17" s="13">
        <f>_xll.BDH("AMGN US Equity","ARD_GOODWLL","FQ1 2021","FQ1 2021","Currency=USD","Period=FQ","BEST_FPERIOD_OVERRIDE=FQ","FILING_STATUS=MR","SCALING_FORMAT=MLN","Sort=A","Dates=H","DateFormat=P","Fill=—","Direction=H","UseDPDF=Y")</f>
        <v>14673</v>
      </c>
      <c r="M17" s="13">
        <f>_xll.BDH("AMGN US Equity","ARD_GOODWLL","FQ2 2021","FQ2 2021","Currency=USD","Period=FQ","BEST_FPERIOD_OVERRIDE=FQ","FILING_STATUS=MR","SCALING_FORMAT=MLN","Sort=A","Dates=H","DateFormat=P","Fill=—","Direction=H","UseDPDF=Y")</f>
        <v>14676</v>
      </c>
      <c r="N17" s="13">
        <f>_xll.BDH("AMGN US Equity","ARD_GOODWLL","FQ3 2021","FQ3 2021","Currency=USD","Period=FQ","BEST_FPERIOD_OVERRIDE=FQ","FILING_STATUS=MR","SCALING_FORMAT=MLN","Sort=A","Dates=H","DateFormat=P","Fill=—","Direction=H","UseDPDF=Y")</f>
        <v>14665</v>
      </c>
      <c r="O17" s="13">
        <f>_xll.BDH("AMGN US Equity","ARD_GOODWLL","FQ4 2021","FQ4 2021","Currency=USD","Period=FQ","BEST_FPERIOD_OVERRIDE=FQ","FILING_STATUS=MR","SCALING_FORMAT=MLN","Sort=A","Dates=H","DateFormat=P","Fill=—","Direction=H","UseDPDF=Y")</f>
        <v>14890</v>
      </c>
      <c r="P17" s="13">
        <f>_xll.BDH("AMGN US Equity","ARD_GOODWLL","FQ1 2022","FQ1 2022","Currency=USD","Period=FQ","BEST_FPERIOD_OVERRIDE=FQ","FILING_STATUS=MR","SCALING_FORMAT=MLN","Sort=A","Dates=H","DateFormat=P","Fill=—","Direction=H","UseDPDF=Y")</f>
        <v>14897</v>
      </c>
      <c r="Q17" s="13">
        <f>_xll.BDH("AMGN US Equity","ARD_GOODWLL","FQ2 2022","FQ2 2022","Currency=USD","Period=FQ","BEST_FPERIOD_OVERRIDE=FQ","FILING_STATUS=MR","SCALING_FORMAT=MLN","Sort=A","Dates=H","DateFormat=P","Fill=—","Direction=H","UseDPDF=Y")</f>
        <v>14865</v>
      </c>
      <c r="R17" s="13">
        <f>_xll.BDH("AMGN US Equity","ARD_GOODWLL","FQ3 2022","FQ3 2022","Currency=USD","Period=FQ","BEST_FPERIOD_OVERRIDE=FQ","FILING_STATUS=MR","SCALING_FORMAT=MLN","Sort=A","Dates=H","DateFormat=P","Fill=—","Direction=H","UseDPDF=Y")</f>
        <v>14845</v>
      </c>
      <c r="S17" s="13">
        <f>_xll.BDH("AMGN US Equity","ARD_GOODWLL","FQ4 2022","FQ4 2022","Currency=USD","Period=FQ","BEST_FPERIOD_OVERRIDE=FQ","FILING_STATUS=MR","SCALING_FORMAT=MLN","Sort=A","Dates=H","DateFormat=P","Fill=—","Direction=H","UseDPDF=Y")</f>
        <v>15529</v>
      </c>
      <c r="T17" s="13">
        <f>_xll.BDH("AMGN US Equity","ARD_GOODWLL","FQ1 2023","FQ1 2023","Currency=USD","Period=FQ","BEST_FPERIOD_OVERRIDE=FQ","FILING_STATUS=MR","SCALING_FORMAT=MLN","Sort=A","Dates=H","DateFormat=P","Fill=—","Direction=H","UseDPDF=Y")</f>
        <v>15531</v>
      </c>
      <c r="U17" s="13">
        <f>_xll.BDH("AMGN US Equity","ARD_GOODWLL","FQ2 2023","FQ2 2023","Currency=USD","Period=FQ","BEST_FPERIOD_OVERRIDE=FQ","FILING_STATUS=MR","SCALING_FORMAT=MLN","Sort=A","Dates=H","DateFormat=P","Fill=—","Direction=H","UseDPDF=Y")</f>
        <v>15531</v>
      </c>
      <c r="V17" s="13">
        <f>_xll.BDH("AMGN US Equity","ARD_GOODWLL","FQ3 2023","FQ3 2023","Currency=USD","Period=FQ","BEST_FPERIOD_OVERRIDE=FQ","FILING_STATUS=MR","SCALING_FORMAT=MLN","Sort=A","Dates=H","DateFormat=P","Fill=—","Direction=H","UseDPDF=Y")</f>
        <v>15509</v>
      </c>
      <c r="W17" s="13">
        <f>_xll.BDH("AMGN US Equity","ARD_GOODWLL","FQ4 2023","FQ4 2023","Currency=USD","Period=FQ","BEST_FPERIOD_OVERRIDE=FQ","FILING_STATUS=MR","SCALING_FORMAT=MLN","Sort=A","Dates=H","DateFormat=P","Fill=—","Direction=H","UseDPDF=Y")</f>
        <v>18629</v>
      </c>
      <c r="X17" s="13">
        <f>_xll.BDH("AMGN US Equity","ARD_GOODWLL","FQ1 2024","FQ1 2024","Currency=USD","Period=FQ","BEST_FPERIOD_OVERRIDE=FQ","FILING_STATUS=MR","SCALING_FORMAT=MLN","Sort=A","Dates=H","DateFormat=P","Fill=—","Direction=H","UseDPDF=Y")</f>
        <v>18570</v>
      </c>
      <c r="Y17" s="13">
        <f>_xll.BDH("AMGN US Equity","ARD_GOODWLL","FQ2 2024","FQ2 2024","Currency=USD","Period=FQ","BEST_FPERIOD_OVERRIDE=FQ","FILING_STATUS=MR","SCALING_FORMAT=MLN","Sort=A","Dates=H","DateFormat=P","Fill=—","Direction=H","UseDPDF=Y")</f>
        <v>18616</v>
      </c>
      <c r="Z17" s="13">
        <f>_xll.BDH("AMGN US Equity","ARD_GOODWLL","FQ3 2024","FQ3 2024","Currency=USD","Period=FQ","BEST_FPERIOD_OVERRIDE=FQ","FILING_STATUS=MR","SCALING_FORMAT=MLN","Sort=A","Dates=H","DateFormat=P","Fill=—","Direction=H","UseDPDF=Y")</f>
        <v>18658</v>
      </c>
      <c r="AA17" s="13">
        <f>_xll.BDH("AMGN US Equity","ARD_GOODWLL","FQ4 2024","FQ4 2024","Currency=USD","Period=FQ","BEST_FPERIOD_OVERRIDE=FQ","FILING_STATUS=MR","SCALING_FORMAT=MLN","Sort=A","Dates=H","DateFormat=P","Fill=—","Direction=H","UseDPDF=Y")</f>
        <v>18637</v>
      </c>
    </row>
    <row r="18" spans="1:27" x14ac:dyDescent="0.25">
      <c r="A18" s="10" t="s">
        <v>875</v>
      </c>
      <c r="B18" s="10" t="s">
        <v>876</v>
      </c>
      <c r="C18" s="13">
        <f>_xll.BDH("AMGN US Equity","ARD_OTHER_NONCURRENT_ASSET","FQ4 2018","FQ4 2018","Currency=USD","Period=FQ","BEST_FPERIOD_OVERRIDE=FQ","FILING_STATUS=MR","SCALING_FORMAT=MLN","Sort=A","Dates=H","DateFormat=P","Fill=—","Direction=H","UseDPDF=Y")</f>
        <v>1698</v>
      </c>
      <c r="D18" s="13">
        <f>_xll.BDH("AMGN US Equity","ARD_OTHER_NONCURRENT_ASSET","FQ1 2019","FQ1 2019","Currency=USD","Period=FQ","BEST_FPERIOD_OVERRIDE=FQ","FILING_STATUS=MR","SCALING_FORMAT=MLN","Sort=A","Dates=H","DateFormat=P","Fill=—","Direction=H","UseDPDF=Y")</f>
        <v>2138</v>
      </c>
      <c r="E18" s="13">
        <f>_xll.BDH("AMGN US Equity","ARD_OTHER_NONCURRENT_ASSET","FQ2 2019","FQ2 2019","Currency=USD","Period=FQ","BEST_FPERIOD_OVERRIDE=FQ","FILING_STATUS=MR","SCALING_FORMAT=MLN","Sort=A","Dates=H","DateFormat=P","Fill=—","Direction=H","UseDPDF=Y")</f>
        <v>2243</v>
      </c>
      <c r="F18" s="13">
        <f>_xll.BDH("AMGN US Equity","ARD_OTHER_NONCURRENT_ASSET","FQ3 2019","FQ3 2019","Currency=USD","Period=FQ","BEST_FPERIOD_OVERRIDE=FQ","FILING_STATUS=MR","SCALING_FORMAT=MLN","Sort=A","Dates=H","DateFormat=P","Fill=—","Direction=H","UseDPDF=Y")</f>
        <v>2176</v>
      </c>
      <c r="G18" s="13">
        <f>_xll.BDH("AMGN US Equity","ARD_OTHER_NONCURRENT_ASSET","FQ4 2019","FQ4 2019","Currency=USD","Period=FQ","BEST_FPERIOD_OVERRIDE=FQ","FILING_STATUS=MR","SCALING_FORMAT=MLN","Sort=A","Dates=H","DateFormat=P","Fill=—","Direction=H","UseDPDF=Y")</f>
        <v>2223</v>
      </c>
      <c r="H18" s="13">
        <f>_xll.BDH("AMGN US Equity","ARD_OTHER_NONCURRENT_ASSET","FQ1 2020","FQ1 2020","Currency=USD","Period=FQ","BEST_FPERIOD_OVERRIDE=FQ","FILING_STATUS=MR","SCALING_FORMAT=MLN","Sort=A","Dates=H","DateFormat=P","Fill=—","Direction=H","UseDPDF=Y")</f>
        <v>4641</v>
      </c>
      <c r="I18" s="13">
        <f>_xll.BDH("AMGN US Equity","ARD_OTHER_NONCURRENT_ASSET","FQ2 2020","FQ2 2020","Currency=USD","Period=FQ","BEST_FPERIOD_OVERRIDE=FQ","FILING_STATUS=MR","SCALING_FORMAT=MLN","Sort=A","Dates=H","DateFormat=P","Fill=—","Direction=H","UseDPDF=Y")</f>
        <v>4647</v>
      </c>
      <c r="J18" s="13">
        <f>_xll.BDH("AMGN US Equity","ARD_OTHER_NONCURRENT_ASSET","FQ3 2020","FQ3 2020","Currency=USD","Period=FQ","BEST_FPERIOD_OVERRIDE=FQ","FILING_STATUS=MR","SCALING_FORMAT=MLN","Sort=A","Dates=H","DateFormat=P","Fill=—","Direction=H","UseDPDF=Y")</f>
        <v>5232</v>
      </c>
      <c r="K18" s="13">
        <f>_xll.BDH("AMGN US Equity","ARD_OTHER_NONCURRENT_ASSET","FQ4 2020","FQ4 2020","Currency=USD","Period=FQ","BEST_FPERIOD_OVERRIDE=FQ","FILING_STATUS=MR","SCALING_FORMAT=MLN","Sort=A","Dates=H","DateFormat=P","Fill=—","Direction=H","UseDPDF=Y")</f>
        <v>5639</v>
      </c>
      <c r="L18" s="13">
        <f>_xll.BDH("AMGN US Equity","ARD_OTHER_NONCURRENT_ASSET","FQ1 2021","FQ1 2021","Currency=USD","Period=FQ","BEST_FPERIOD_OVERRIDE=FQ","FILING_STATUS=MR","SCALING_FORMAT=MLN","Sort=A","Dates=H","DateFormat=P","Fill=—","Direction=H","UseDPDF=Y")</f>
        <v>5765</v>
      </c>
      <c r="M18" s="13">
        <f>_xll.BDH("AMGN US Equity","ARD_OTHER_NONCURRENT_ASSET","FQ2 2021","FQ2 2021","Currency=USD","Period=FQ","BEST_FPERIOD_OVERRIDE=FQ","FILING_STATUS=MR","SCALING_FORMAT=MLN","Sort=A","Dates=H","DateFormat=P","Fill=—","Direction=H","UseDPDF=Y")</f>
        <v>5784</v>
      </c>
      <c r="N18" s="13">
        <f>_xll.BDH("AMGN US Equity","ARD_OTHER_NONCURRENT_ASSET","FQ3 2021","FQ3 2021","Currency=USD","Period=FQ","BEST_FPERIOD_OVERRIDE=FQ","FILING_STATUS=MR","SCALING_FORMAT=MLN","Sort=A","Dates=H","DateFormat=P","Fill=—","Direction=H","UseDPDF=Y")</f>
        <v>6307</v>
      </c>
      <c r="O18" s="13">
        <f>_xll.BDH("AMGN US Equity","ARD_OTHER_NONCURRENT_ASSET","FQ4 2021","FQ4 2021","Currency=USD","Period=FQ","BEST_FPERIOD_OVERRIDE=FQ","FILING_STATUS=MR","SCALING_FORMAT=MLN","Sort=A","Dates=H","DateFormat=P","Fill=—","Direction=H","UseDPDF=Y")</f>
        <v>6524</v>
      </c>
      <c r="P18" s="13">
        <f>_xll.BDH("AMGN US Equity","ARD_OTHER_NONCURRENT_ASSET","FQ1 2022","FQ1 2022","Currency=USD","Period=FQ","BEST_FPERIOD_OVERRIDE=FQ","FILING_STATUS=MR","SCALING_FORMAT=MLN","Sort=A","Dates=H","DateFormat=P","Fill=—","Direction=H","UseDPDF=Y")</f>
        <v>6070</v>
      </c>
      <c r="Q18" s="13">
        <f>_xll.BDH("AMGN US Equity","ARD_OTHER_NONCURRENT_ASSET","FQ2 2022","FQ2 2022","Currency=USD","Period=FQ","BEST_FPERIOD_OVERRIDE=FQ","FILING_STATUS=MR","SCALING_FORMAT=MLN","Sort=A","Dates=H","DateFormat=P","Fill=—","Direction=H","UseDPDF=Y")</f>
        <v>6022</v>
      </c>
      <c r="R18" s="13">
        <f>_xll.BDH("AMGN US Equity","ARD_OTHER_NONCURRENT_ASSET","FQ3 2022","FQ3 2022","Currency=USD","Period=FQ","BEST_FPERIOD_OVERRIDE=FQ","FILING_STATUS=MR","SCALING_FORMAT=MLN","Sort=A","Dates=H","DateFormat=P","Fill=—","Direction=H","UseDPDF=Y")</f>
        <v>6339</v>
      </c>
      <c r="S18" s="13">
        <f>_xll.BDH("AMGN US Equity","ARD_OTHER_NONCURRENT_ASSET","FQ4 2022","FQ4 2022","Currency=USD","Period=FQ","BEST_FPERIOD_OVERRIDE=FQ","FILING_STATUS=MR","SCALING_FORMAT=MLN","Sort=A","Dates=H","DateFormat=P","Fill=—","Direction=H","UseDPDF=Y")</f>
        <v>5899</v>
      </c>
      <c r="T18" s="13">
        <f>_xll.BDH("AMGN US Equity","ARD_OTHER_NONCURRENT_ASSET","FQ1 2023","FQ1 2023","Currency=USD","Period=FQ","BEST_FPERIOD_OVERRIDE=FQ","FILING_STATUS=MR","SCALING_FORMAT=MLN","Sort=A","Dates=H","DateFormat=P","Fill=—","Direction=H","UseDPDF=Y")</f>
        <v>7633</v>
      </c>
      <c r="U18" s="13">
        <f>_xll.BDH("AMGN US Equity","ARD_OTHER_NONCURRENT_ASSET","FQ2 2023","FQ2 2023","Currency=USD","Period=FQ","BEST_FPERIOD_OVERRIDE=FQ","FILING_STATUS=MR","SCALING_FORMAT=MLN","Sort=A","Dates=H","DateFormat=P","Fill=—","Direction=H","UseDPDF=Y")</f>
        <v>7193</v>
      </c>
      <c r="V18" s="13">
        <f>_xll.BDH("AMGN US Equity","ARD_OTHER_NONCURRENT_ASSET","FQ3 2023","FQ3 2023","Currency=USD","Period=FQ","BEST_FPERIOD_OVERRIDE=FQ","FILING_STATUS=MR","SCALING_FORMAT=MLN","Sort=A","Dates=H","DateFormat=P","Fill=—","Direction=H","UseDPDF=Y")</f>
        <v>7835</v>
      </c>
      <c r="W18" s="13">
        <f>_xll.BDH("AMGN US Equity","ARD_OTHER_NONCURRENT_ASSET","FQ4 2023","FQ4 2023","Currency=USD","Period=FQ","BEST_FPERIOD_OVERRIDE=FQ","FILING_STATUS=MR","SCALING_FORMAT=MLN","Sort=A","Dates=H","DateFormat=P","Fill=—","Direction=H","UseDPDF=Y")</f>
        <v>9611</v>
      </c>
      <c r="X18" s="13">
        <f>_xll.BDH("AMGN US Equity","ARD_OTHER_NONCURRENT_ASSET","FQ1 2024","FQ1 2024","Currency=USD","Period=FQ","BEST_FPERIOD_OVERRIDE=FQ","FILING_STATUS=MR","SCALING_FORMAT=MLN","Sort=A","Dates=H","DateFormat=P","Fill=—","Direction=H","UseDPDF=Y")</f>
        <v>9007</v>
      </c>
      <c r="Y18" s="13">
        <f>_xll.BDH("AMGN US Equity","ARD_OTHER_NONCURRENT_ASSET","FQ2 2024","FQ2 2024","Currency=USD","Period=FQ","BEST_FPERIOD_OVERRIDE=FQ","FILING_STATUS=MR","SCALING_FORMAT=MLN","Sort=A","Dates=H","DateFormat=P","Fill=—","Direction=H","UseDPDF=Y")</f>
        <v>8816</v>
      </c>
      <c r="Z18" s="13">
        <f>_xll.BDH("AMGN US Equity","ARD_OTHER_NONCURRENT_ASSET","FQ3 2024","FQ3 2024","Currency=USD","Period=FQ","BEST_FPERIOD_OVERRIDE=FQ","FILING_STATUS=MR","SCALING_FORMAT=MLN","Sort=A","Dates=H","DateFormat=P","Fill=—","Direction=H","UseDPDF=Y")</f>
        <v>10383</v>
      </c>
      <c r="AA18" s="13">
        <f>_xll.BDH("AMGN US Equity","ARD_OTHER_NONCURRENT_ASSET","FQ4 2024","FQ4 2024","Currency=USD","Period=FQ","BEST_FPERIOD_OVERRIDE=FQ","FILING_STATUS=MR","SCALING_FORMAT=MLN","Sort=A","Dates=H","DateFormat=P","Fill=—","Direction=H","UseDPDF=Y")</f>
        <v>9930</v>
      </c>
    </row>
    <row r="19" spans="1:27" x14ac:dyDescent="0.25">
      <c r="A19" s="10" t="s">
        <v>877</v>
      </c>
      <c r="B19" s="10" t="s">
        <v>878</v>
      </c>
      <c r="C19" s="13" t="str">
        <f>_xll.BDH("AMGN US Equity","ARD_TOTAL_NONCURRENT_ASSETS","FQ4 2018","FQ4 2018","Currency=USD","Period=FQ","BEST_FPERIOD_OVERRIDE=FQ","FILING_STATUS=MR","SCALING_FORMAT=MLN","Sort=A","Dates=H","DateFormat=P","Fill=—","Direction=H","UseDPDF=Y")</f>
        <v>—</v>
      </c>
      <c r="D19" s="13" t="str">
        <f>_xll.BDH("AMGN US Equity","ARD_TOTAL_NONCURRENT_ASSETS","FQ1 2019","FQ1 2019","Currency=USD","Period=FQ","BEST_FPERIOD_OVERRIDE=FQ","FILING_STATUS=MR","SCALING_FORMAT=MLN","Sort=A","Dates=H","DateFormat=P","Fill=—","Direction=H","UseDPDF=Y")</f>
        <v>—</v>
      </c>
      <c r="E19" s="13" t="str">
        <f>_xll.BDH("AMGN US Equity","ARD_TOTAL_NONCURRENT_ASSETS","FQ2 2019","FQ2 2019","Currency=USD","Period=FQ","BEST_FPERIOD_OVERRIDE=FQ","FILING_STATUS=MR","SCALING_FORMAT=MLN","Sort=A","Dates=H","DateFormat=P","Fill=—","Direction=H","UseDPDF=Y")</f>
        <v>—</v>
      </c>
      <c r="F19" s="13" t="str">
        <f>_xll.BDH("AMGN US Equity","ARD_TOTAL_NONCURRENT_ASSETS","FQ3 2019","FQ3 2019","Currency=USD","Period=FQ","BEST_FPERIOD_OVERRIDE=FQ","FILING_STATUS=MR","SCALING_FORMAT=MLN","Sort=A","Dates=H","DateFormat=P","Fill=—","Direction=H","UseDPDF=Y")</f>
        <v>—</v>
      </c>
      <c r="G19" s="13" t="str">
        <f>_xll.BDH("AMGN US Equity","ARD_TOTAL_NONCURRENT_ASSETS","FQ4 2019","FQ4 2019","Currency=USD","Period=FQ","BEST_FPERIOD_OVERRIDE=FQ","FILING_STATUS=MR","SCALING_FORMAT=MLN","Sort=A","Dates=H","DateFormat=P","Fill=—","Direction=H","UseDPDF=Y")</f>
        <v>—</v>
      </c>
      <c r="H19" s="13" t="str">
        <f>_xll.BDH("AMGN US Equity","ARD_TOTAL_NONCURRENT_ASSETS","FQ1 2020","FQ1 2020","Currency=USD","Period=FQ","BEST_FPERIOD_OVERRIDE=FQ","FILING_STATUS=MR","SCALING_FORMAT=MLN","Sort=A","Dates=H","DateFormat=P","Fill=—","Direction=H","UseDPDF=Y")</f>
        <v>—</v>
      </c>
      <c r="I19" s="13" t="str">
        <f>_xll.BDH("AMGN US Equity","ARD_TOTAL_NONCURRENT_ASSETS","FQ2 2020","FQ2 2020","Currency=USD","Period=FQ","BEST_FPERIOD_OVERRIDE=FQ","FILING_STATUS=MR","SCALING_FORMAT=MLN","Sort=A","Dates=H","DateFormat=P","Fill=—","Direction=H","UseDPDF=Y")</f>
        <v>—</v>
      </c>
      <c r="J19" s="13" t="str">
        <f>_xll.BDH("AMGN US Equity","ARD_TOTAL_NONCURRENT_ASSETS","FQ3 2020","FQ3 2020","Currency=USD","Period=FQ","BEST_FPERIOD_OVERRIDE=FQ","FILING_STATUS=MR","SCALING_FORMAT=MLN","Sort=A","Dates=H","DateFormat=P","Fill=—","Direction=H","UseDPDF=Y")</f>
        <v>—</v>
      </c>
      <c r="K19" s="13">
        <f>_xll.BDH("AMGN US Equity","ARD_TOTAL_NONCURRENT_ASSETS","FQ4 2020","FQ4 2020","Currency=USD","Period=FQ","BEST_FPERIOD_OVERRIDE=FQ","FILING_STATUS=MR","SCALING_FORMAT=MLN","Sort=A","Dates=H","DateFormat=P","Fill=—","Direction=H","UseDPDF=Y")</f>
        <v>41804</v>
      </c>
      <c r="L19" s="13" t="str">
        <f>_xll.BDH("AMGN US Equity","ARD_TOTAL_NONCURRENT_ASSETS","FQ1 2021","FQ1 2021","Currency=USD","Period=FQ","BEST_FPERIOD_OVERRIDE=FQ","FILING_STATUS=MR","SCALING_FORMAT=MLN","Sort=A","Dates=H","DateFormat=P","Fill=—","Direction=H","UseDPDF=Y")</f>
        <v>—</v>
      </c>
      <c r="M19" s="13" t="str">
        <f>_xll.BDH("AMGN US Equity","ARD_TOTAL_NONCURRENT_ASSETS","FQ2 2021","FQ2 2021","Currency=USD","Period=FQ","BEST_FPERIOD_OVERRIDE=FQ","FILING_STATUS=MR","SCALING_FORMAT=MLN","Sort=A","Dates=H","DateFormat=P","Fill=—","Direction=H","UseDPDF=Y")</f>
        <v>—</v>
      </c>
      <c r="N19" s="13">
        <f>_xll.BDH("AMGN US Equity","ARD_TOTAL_NONCURRENT_ASSETS","FQ3 2021","FQ3 2021","Currency=USD","Period=FQ","BEST_FPERIOD_OVERRIDE=FQ","FILING_STATUS=MR","SCALING_FORMAT=MLN","Sort=A","Dates=H","DateFormat=P","Fill=—","Direction=H","UseDPDF=Y")</f>
        <v>40613</v>
      </c>
      <c r="O19" s="13">
        <f>_xll.BDH("AMGN US Equity","ARD_TOTAL_NONCURRENT_ASSETS","FQ4 2021","FQ4 2021","Currency=USD","Period=FQ","BEST_FPERIOD_OVERRIDE=FQ","FILING_STATUS=MR","SCALING_FORMAT=MLN","Sort=A","Dates=H","DateFormat=P","Fill=—","Direction=H","UseDPDF=Y")</f>
        <v>41780</v>
      </c>
      <c r="P19" s="13" t="str">
        <f>_xll.BDH("AMGN US Equity","ARD_TOTAL_NONCURRENT_ASSETS","FQ1 2022","FQ1 2022","Currency=USD","Period=FQ","BEST_FPERIOD_OVERRIDE=FQ","FILING_STATUS=MR","SCALING_FORMAT=MLN","Sort=A","Dates=H","DateFormat=P","Fill=—","Direction=H","UseDPDF=Y")</f>
        <v>—</v>
      </c>
      <c r="Q19" s="13">
        <f>_xll.BDH("AMGN US Equity","ARD_TOTAL_NONCURRENT_ASSETS","FQ2 2022","FQ2 2022","Currency=USD","Period=FQ","BEST_FPERIOD_OVERRIDE=FQ","FILING_STATUS=MR","SCALING_FORMAT=MLN","Sort=A","Dates=H","DateFormat=P","Fill=—","Direction=H","UseDPDF=Y")</f>
        <v>39972</v>
      </c>
      <c r="R19" s="13">
        <f>_xll.BDH("AMGN US Equity","ARD_TOTAL_NONCURRENT_ASSETS","FQ3 2022","FQ3 2022","Currency=USD","Period=FQ","BEST_FPERIOD_OVERRIDE=FQ","FILING_STATUS=MR","SCALING_FORMAT=MLN","Sort=A","Dates=H","DateFormat=P","Fill=—","Direction=H","UseDPDF=Y")</f>
        <v>39638</v>
      </c>
      <c r="S19" s="13">
        <f>_xll.BDH("AMGN US Equity","ARD_TOTAL_NONCURRENT_ASSETS","FQ4 2022","FQ4 2022","Currency=USD","Period=FQ","BEST_FPERIOD_OVERRIDE=FQ","FILING_STATUS=MR","SCALING_FORMAT=MLN","Sort=A","Dates=H","DateFormat=P","Fill=—","Direction=H","UseDPDF=Y")</f>
        <v>42935</v>
      </c>
      <c r="T19" s="13">
        <f>_xll.BDH("AMGN US Equity","ARD_TOTAL_NONCURRENT_ASSETS","FQ1 2023","FQ1 2023","Currency=USD","Period=FQ","BEST_FPERIOD_OVERRIDE=FQ","FILING_STATUS=MR","SCALING_FORMAT=MLN","Sort=A","Dates=H","DateFormat=P","Fill=—","Direction=H","UseDPDF=Y")</f>
        <v>44017</v>
      </c>
      <c r="U19" s="13">
        <f>_xll.BDH("AMGN US Equity","ARD_TOTAL_NONCURRENT_ASSETS","FQ2 2023","FQ2 2023","Currency=USD","Period=FQ","BEST_FPERIOD_OVERRIDE=FQ","FILING_STATUS=MR","SCALING_FORMAT=MLN","Sort=A","Dates=H","DateFormat=P","Fill=—","Direction=H","UseDPDF=Y")</f>
        <v>42889</v>
      </c>
      <c r="V19" s="13">
        <f>_xll.BDH("AMGN US Equity","ARD_TOTAL_NONCURRENT_ASSETS","FQ3 2023","FQ3 2023","Currency=USD","Period=FQ","BEST_FPERIOD_OVERRIDE=FQ","FILING_STATUS=MR","SCALING_FORMAT=MLN","Sort=A","Dates=H","DateFormat=P","Fill=—","Direction=H","UseDPDF=Y")</f>
        <v>42057</v>
      </c>
      <c r="W19" s="13">
        <f>_xll.BDH("AMGN US Equity","ARD_TOTAL_NONCURRENT_ASSETS","FQ4 2023","FQ4 2023","Currency=USD","Period=FQ","BEST_FPERIOD_OVERRIDE=FQ","FILING_STATUS=MR","SCALING_FORMAT=MLN","Sort=A","Dates=H","DateFormat=P","Fill=—","Direction=H","UseDPDF=Y")</f>
        <v>66822</v>
      </c>
      <c r="X19" s="13">
        <f>_xll.BDH("AMGN US Equity","ARD_TOTAL_NONCURRENT_ASSETS","FQ1 2024","FQ1 2024","Currency=USD","Period=FQ","BEST_FPERIOD_OVERRIDE=FQ","FILING_STATUS=MR","SCALING_FORMAT=MLN","Sort=A","Dates=H","DateFormat=P","Fill=—","Direction=H","UseDPDF=Y")</f>
        <v>64951</v>
      </c>
      <c r="Y19" s="13">
        <f>_xll.BDH("AMGN US Equity","ARD_TOTAL_NONCURRENT_ASSETS","FQ2 2024","FQ2 2024","Currency=USD","Period=FQ","BEST_FPERIOD_OVERRIDE=FQ","FILING_STATUS=MR","SCALING_FORMAT=MLN","Sort=A","Dates=H","DateFormat=P","Fill=—","Direction=H","UseDPDF=Y")</f>
        <v>63701</v>
      </c>
      <c r="Z19" s="13" t="str">
        <f>_xll.BDH("AMGN US Equity","ARD_TOTAL_NONCURRENT_ASSETS","FQ3 2024","FQ3 2024","Currency=USD","Period=FQ","BEST_FPERIOD_OVERRIDE=FQ","FILING_STATUS=MR","SCALING_FORMAT=MLN","Sort=A","Dates=H","DateFormat=P","Fill=—","Direction=H","UseDPDF=Y")</f>
        <v>—</v>
      </c>
      <c r="AA19" s="13" t="str">
        <f>_xll.BDH("AMGN US Equity","ARD_TOTAL_NONCURRENT_ASSETS","FQ4 2024","FQ4 2024","Currency=USD","Period=FQ","BEST_FPERIOD_OVERRIDE=FQ","FILING_STATUS=MR","SCALING_FORMAT=MLN","Sort=A","Dates=H","DateFormat=P","Fill=—","Direction=H","UseDPDF=Y")</f>
        <v>—</v>
      </c>
    </row>
    <row r="20" spans="1:27" x14ac:dyDescent="0.25">
      <c r="A20" s="6" t="s">
        <v>112</v>
      </c>
      <c r="B20" s="6" t="s">
        <v>879</v>
      </c>
      <c r="C20" s="19">
        <f>_xll.BDH("AMGN US Equity","ARD_TOT_ASSETS","FQ4 2018","FQ4 2018","Currency=USD","Period=FQ","BEST_FPERIOD_OVERRIDE=FQ","FILING_STATUS=MR","SCALING_FORMAT=MLN","Sort=A","Dates=H","DateFormat=P","Fill=—","Direction=H","UseDPDF=Y")</f>
        <v>66416</v>
      </c>
      <c r="D20" s="19">
        <f>_xll.BDH("AMGN US Equity","ARD_TOT_ASSETS","FQ1 2019","FQ1 2019","Currency=USD","Period=FQ","BEST_FPERIOD_OVERRIDE=FQ","FILING_STATUS=MR","SCALING_FORMAT=MLN","Sort=A","Dates=H","DateFormat=P","Fill=—","Direction=H","UseDPDF=Y")</f>
        <v>63997</v>
      </c>
      <c r="E20" s="19">
        <f>_xll.BDH("AMGN US Equity","ARD_TOT_ASSETS","FQ2 2019","FQ2 2019","Currency=USD","Period=FQ","BEST_FPERIOD_OVERRIDE=FQ","FILING_STATUS=MR","SCALING_FORMAT=MLN","Sort=A","Dates=H","DateFormat=P","Fill=—","Direction=H","UseDPDF=Y")</f>
        <v>59373</v>
      </c>
      <c r="F20" s="19">
        <f>_xll.BDH("AMGN US Equity","ARD_TOT_ASSETS","FQ3 2019","FQ3 2019","Currency=USD","Period=FQ","BEST_FPERIOD_OVERRIDE=FQ","FILING_STATUS=MR","SCALING_FORMAT=MLN","Sort=A","Dates=H","DateFormat=P","Fill=—","Direction=H","UseDPDF=Y")</f>
        <v>59535</v>
      </c>
      <c r="G20" s="19">
        <f>_xll.BDH("AMGN US Equity","ARD_TOT_ASSETS","FQ4 2019","FQ4 2019","Currency=USD","Period=FQ","BEST_FPERIOD_OVERRIDE=FQ","FILING_STATUS=MR","SCALING_FORMAT=MLN","Sort=A","Dates=H","DateFormat=P","Fill=—","Direction=H","UseDPDF=Y")</f>
        <v>59707</v>
      </c>
      <c r="H20" s="19">
        <f>_xll.BDH("AMGN US Equity","ARD_TOT_ASSETS","FQ1 2020","FQ1 2020","Currency=USD","Period=FQ","BEST_FPERIOD_OVERRIDE=FQ","FILING_STATUS=MR","SCALING_FORMAT=MLN","Sort=A","Dates=H","DateFormat=P","Fill=—","Direction=H","UseDPDF=Y")</f>
        <v>61669</v>
      </c>
      <c r="I20" s="19">
        <f>_xll.BDH("AMGN US Equity","ARD_TOT_ASSETS","FQ2 2020","FQ2 2020","Currency=USD","Period=FQ","BEST_FPERIOD_OVERRIDE=FQ","FILING_STATUS=MR","SCALING_FORMAT=MLN","Sort=A","Dates=H","DateFormat=P","Fill=—","Direction=H","UseDPDF=Y")</f>
        <v>65011</v>
      </c>
      <c r="J20" s="19">
        <f>_xll.BDH("AMGN US Equity","ARD_TOT_ASSETS","FQ3 2020","FQ3 2020","Currency=USD","Period=FQ","BEST_FPERIOD_OVERRIDE=FQ","FILING_STATUS=MR","SCALING_FORMAT=MLN","Sort=A","Dates=H","DateFormat=P","Fill=—","Direction=H","UseDPDF=Y")</f>
        <v>64637</v>
      </c>
      <c r="K20" s="19">
        <f>_xll.BDH("AMGN US Equity","ARD_TOT_ASSETS","FQ4 2020","FQ4 2020","Currency=USD","Period=FQ","BEST_FPERIOD_OVERRIDE=FQ","FILING_STATUS=MR","SCALING_FORMAT=MLN","Sort=A","Dates=H","DateFormat=P","Fill=—","Direction=H","UseDPDF=Y")</f>
        <v>62948</v>
      </c>
      <c r="L20" s="19">
        <f>_xll.BDH("AMGN US Equity","ARD_TOT_ASSETS","FQ1 2021","FQ1 2021","Currency=USD","Period=FQ","BEST_FPERIOD_OVERRIDE=FQ","FILING_STATUS=MR","SCALING_FORMAT=MLN","Sort=A","Dates=H","DateFormat=P","Fill=—","Direction=H","UseDPDF=Y")</f>
        <v>62539</v>
      </c>
      <c r="M20" s="19">
        <f>_xll.BDH("AMGN US Equity","ARD_TOT_ASSETS","FQ2 2021","FQ2 2021","Currency=USD","Period=FQ","BEST_FPERIOD_OVERRIDE=FQ","FILING_STATUS=MR","SCALING_FORMAT=MLN","Sort=A","Dates=H","DateFormat=P","Fill=—","Direction=H","UseDPDF=Y")</f>
        <v>59773</v>
      </c>
      <c r="N20" s="19">
        <f>_xll.BDH("AMGN US Equity","ARD_TOT_ASSETS","FQ3 2021","FQ3 2021","Currency=USD","Period=FQ","BEST_FPERIOD_OVERRIDE=FQ","FILING_STATUS=MR","SCALING_FORMAT=MLN","Sort=A","Dates=H","DateFormat=P","Fill=—","Direction=H","UseDPDF=Y")</f>
        <v>64993</v>
      </c>
      <c r="O20" s="19">
        <f>_xll.BDH("AMGN US Equity","ARD_TOT_ASSETS","FQ4 2021","FQ4 2021","Currency=USD","Period=FQ","BEST_FPERIOD_OVERRIDE=FQ","FILING_STATUS=MR","SCALING_FORMAT=MLN","Sort=A","Dates=H","DateFormat=P","Fill=—","Direction=H","UseDPDF=Y")</f>
        <v>61165</v>
      </c>
      <c r="P20" s="19">
        <f>_xll.BDH("AMGN US Equity","ARD_TOT_ASSETS","FQ1 2022","FQ1 2022","Currency=USD","Period=FQ","BEST_FPERIOD_OVERRIDE=FQ","FILING_STATUS=MR","SCALING_FORMAT=MLN","Sort=A","Dates=H","DateFormat=P","Fill=—","Direction=H","UseDPDF=Y")</f>
        <v>59196</v>
      </c>
      <c r="Q20" s="19">
        <f>_xll.BDH("AMGN US Equity","ARD_TOT_ASSETS","FQ2 2022","FQ2 2022","Currency=USD","Period=FQ","BEST_FPERIOD_OVERRIDE=FQ","FILING_STATUS=MR","SCALING_FORMAT=MLN","Sort=A","Dates=H","DateFormat=P","Fill=—","Direction=H","UseDPDF=Y")</f>
        <v>59294</v>
      </c>
      <c r="R20" s="19">
        <f>_xll.BDH("AMGN US Equity","ARD_TOT_ASSETS","FQ3 2022","FQ3 2022","Currency=USD","Period=FQ","BEST_FPERIOD_OVERRIDE=FQ","FILING_STATUS=MR","SCALING_FORMAT=MLN","Sort=A","Dates=H","DateFormat=P","Fill=—","Direction=H","UseDPDF=Y")</f>
        <v>63700</v>
      </c>
      <c r="S20" s="19">
        <f>_xll.BDH("AMGN US Equity","ARD_TOT_ASSETS","FQ4 2022","FQ4 2022","Currency=USD","Period=FQ","BEST_FPERIOD_OVERRIDE=FQ","FILING_STATUS=MR","SCALING_FORMAT=MLN","Sort=A","Dates=H","DateFormat=P","Fill=—","Direction=H","UseDPDF=Y")</f>
        <v>65121</v>
      </c>
      <c r="T20" s="19">
        <f>_xll.BDH("AMGN US Equity","ARD_TOT_ASSETS","FQ1 2023","FQ1 2023","Currency=USD","Period=FQ","BEST_FPERIOD_OVERRIDE=FQ","FILING_STATUS=MR","SCALING_FORMAT=MLN","Sort=A","Dates=H","DateFormat=P","Fill=—","Direction=H","UseDPDF=Y")</f>
        <v>88720</v>
      </c>
      <c r="U20" s="19">
        <f>_xll.BDH("AMGN US Equity","ARD_TOT_ASSETS","FQ2 2023","FQ2 2023","Currency=USD","Period=FQ","BEST_FPERIOD_OVERRIDE=FQ","FILING_STATUS=MR","SCALING_FORMAT=MLN","Sort=A","Dates=H","DateFormat=P","Fill=—","Direction=H","UseDPDF=Y")</f>
        <v>90269</v>
      </c>
      <c r="V20" s="19">
        <f>_xll.BDH("AMGN US Equity","ARD_TOT_ASSETS","FQ3 2023","FQ3 2023","Currency=USD","Period=FQ","BEST_FPERIOD_OVERRIDE=FQ","FILING_STATUS=MR","SCALING_FORMAT=MLN","Sort=A","Dates=H","DateFormat=P","Fill=—","Direction=H","UseDPDF=Y")</f>
        <v>90534</v>
      </c>
      <c r="W20" s="19">
        <f>_xll.BDH("AMGN US Equity","ARD_TOT_ASSETS","FQ4 2023","FQ4 2023","Currency=USD","Period=FQ","BEST_FPERIOD_OVERRIDE=FQ","FILING_STATUS=MR","SCALING_FORMAT=MLN","Sort=A","Dates=H","DateFormat=P","Fill=—","Direction=H","UseDPDF=Y")</f>
        <v>97154</v>
      </c>
      <c r="X20" s="19">
        <f>_xll.BDH("AMGN US Equity","ARD_TOT_ASSETS","FQ1 2024","FQ1 2024","Currency=USD","Period=FQ","BEST_FPERIOD_OVERRIDE=FQ","FILING_STATUS=MR","SCALING_FORMAT=MLN","Sort=A","Dates=H","DateFormat=P","Fill=—","Direction=H","UseDPDF=Y")</f>
        <v>92980</v>
      </c>
      <c r="Y20" s="19">
        <f>_xll.BDH("AMGN US Equity","ARD_TOT_ASSETS","FQ2 2024","FQ2 2024","Currency=USD","Period=FQ","BEST_FPERIOD_OVERRIDE=FQ","FILING_STATUS=MR","SCALING_FORMAT=MLN","Sort=A","Dates=H","DateFormat=P","Fill=—","Direction=H","UseDPDF=Y")</f>
        <v>90907</v>
      </c>
      <c r="Z20" s="19">
        <f>_xll.BDH("AMGN US Equity","ARD_TOT_ASSETS","FQ3 2024","FQ3 2024","Currency=USD","Period=FQ","BEST_FPERIOD_OVERRIDE=FQ","FILING_STATUS=MR","SCALING_FORMAT=MLN","Sort=A","Dates=H","DateFormat=P","Fill=—","Direction=H","UseDPDF=Y")</f>
        <v>90883</v>
      </c>
      <c r="AA20" s="19">
        <f>_xll.BDH("AMGN US Equity","ARD_TOT_ASSETS","FQ4 2024","FQ4 2024","Currency=USD","Period=FQ","BEST_FPERIOD_OVERRIDE=FQ","FILING_STATUS=MR","SCALING_FORMAT=MLN","Sort=A","Dates=H","DateFormat=P","Fill=—","Direction=H","UseDPDF=Y")</f>
        <v>91839</v>
      </c>
    </row>
    <row r="21" spans="1:27" x14ac:dyDescent="0.25">
      <c r="A21" s="10" t="s">
        <v>880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10" t="s">
        <v>881</v>
      </c>
      <c r="B22" s="10" t="s">
        <v>882</v>
      </c>
      <c r="C22" s="13">
        <f>_xll.BDH("AMGN US Equity","ARD_ACCOUNTS_PAYABLE_TRADE","FQ4 2018","FQ4 2018","Currency=USD","Period=FQ","BEST_FPERIOD_OVERRIDE=FQ","FILING_STATUS=MR","SCALING_FORMAT=MLN","Sort=A","Dates=H","DateFormat=P","Fill=—","Direction=H","UseDPDF=Y")</f>
        <v>1207</v>
      </c>
      <c r="D22" s="13">
        <f>_xll.BDH("AMGN US Equity","ARD_ACCOUNTS_PAYABLE_TRADE","FQ1 2019","FQ1 2019","Currency=USD","Period=FQ","BEST_FPERIOD_OVERRIDE=FQ","FILING_STATUS=MR","SCALING_FORMAT=MLN","Sort=A","Dates=H","DateFormat=P","Fill=—","Direction=H","UseDPDF=Y")</f>
        <v>1091</v>
      </c>
      <c r="E22" s="13">
        <f>_xll.BDH("AMGN US Equity","ARD_ACCOUNTS_PAYABLE_TRADE","FQ2 2019","FQ2 2019","Currency=USD","Period=FQ","BEST_FPERIOD_OVERRIDE=FQ","FILING_STATUS=MR","SCALING_FORMAT=MLN","Sort=A","Dates=H","DateFormat=P","Fill=—","Direction=H","UseDPDF=Y")</f>
        <v>1001</v>
      </c>
      <c r="F22" s="13">
        <f>_xll.BDH("AMGN US Equity","ARD_ACCOUNTS_PAYABLE_TRADE","FQ3 2019","FQ3 2019","Currency=USD","Period=FQ","BEST_FPERIOD_OVERRIDE=FQ","FILING_STATUS=MR","SCALING_FORMAT=MLN","Sort=A","Dates=H","DateFormat=P","Fill=—","Direction=H","UseDPDF=Y")</f>
        <v>1005</v>
      </c>
      <c r="G22" s="13">
        <f>_xll.BDH("AMGN US Equity","ARD_ACCOUNTS_PAYABLE_TRADE","FQ4 2019","FQ4 2019","Currency=USD","Period=FQ","BEST_FPERIOD_OVERRIDE=FQ","FILING_STATUS=MR","SCALING_FORMAT=MLN","Sort=A","Dates=H","DateFormat=P","Fill=—","Direction=H","UseDPDF=Y")</f>
        <v>1371</v>
      </c>
      <c r="H22" s="13">
        <f>_xll.BDH("AMGN US Equity","ARD_ACCOUNTS_PAYABLE_TRADE","FQ1 2020","FQ1 2020","Currency=USD","Period=FQ","BEST_FPERIOD_OVERRIDE=FQ","FILING_STATUS=MR","SCALING_FORMAT=MLN","Sort=A","Dates=H","DateFormat=P","Fill=—","Direction=H","UseDPDF=Y")</f>
        <v>1338</v>
      </c>
      <c r="I22" s="13">
        <f>_xll.BDH("AMGN US Equity","ARD_ACCOUNTS_PAYABLE_TRADE","FQ2 2020","FQ2 2020","Currency=USD","Period=FQ","BEST_FPERIOD_OVERRIDE=FQ","FILING_STATUS=MR","SCALING_FORMAT=MLN","Sort=A","Dates=H","DateFormat=P","Fill=—","Direction=H","UseDPDF=Y")</f>
        <v>1150</v>
      </c>
      <c r="J22" s="13">
        <f>_xll.BDH("AMGN US Equity","ARD_ACCOUNTS_PAYABLE_TRADE","FQ3 2020","FQ3 2020","Currency=USD","Period=FQ","BEST_FPERIOD_OVERRIDE=FQ","FILING_STATUS=MR","SCALING_FORMAT=MLN","Sort=A","Dates=H","DateFormat=P","Fill=—","Direction=H","UseDPDF=Y")</f>
        <v>1161</v>
      </c>
      <c r="K22" s="13">
        <f>_xll.BDH("AMGN US Equity","ARD_ACCOUNTS_PAYABLE_TRADE","FQ4 2020","FQ4 2020","Currency=USD","Period=FQ","BEST_FPERIOD_OVERRIDE=FQ","FILING_STATUS=MR","SCALING_FORMAT=MLN","Sort=A","Dates=H","DateFormat=P","Fill=—","Direction=H","UseDPDF=Y")</f>
        <v>1421</v>
      </c>
      <c r="L22" s="13">
        <f>_xll.BDH("AMGN US Equity","ARD_ACCOUNTS_PAYABLE_TRADE","FQ1 2021","FQ1 2021","Currency=USD","Period=FQ","BEST_FPERIOD_OVERRIDE=FQ","FILING_STATUS=MR","SCALING_FORMAT=MLN","Sort=A","Dates=H","DateFormat=P","Fill=—","Direction=H","UseDPDF=Y")</f>
        <v>1396</v>
      </c>
      <c r="M22" s="13">
        <f>_xll.BDH("AMGN US Equity","ARD_ACCOUNTS_PAYABLE_TRADE","FQ2 2021","FQ2 2021","Currency=USD","Period=FQ","BEST_FPERIOD_OVERRIDE=FQ","FILING_STATUS=MR","SCALING_FORMAT=MLN","Sort=A","Dates=H","DateFormat=P","Fill=—","Direction=H","UseDPDF=Y")</f>
        <v>1277</v>
      </c>
      <c r="N22" s="13">
        <f>_xll.BDH("AMGN US Equity","ARD_ACCOUNTS_PAYABLE_TRADE","FQ3 2021","FQ3 2021","Currency=USD","Period=FQ","BEST_FPERIOD_OVERRIDE=FQ","FILING_STATUS=MR","SCALING_FORMAT=MLN","Sort=A","Dates=H","DateFormat=P","Fill=—","Direction=H","UseDPDF=Y")</f>
        <v>1171</v>
      </c>
      <c r="O22" s="13">
        <f>_xll.BDH("AMGN US Equity","ARD_ACCOUNTS_PAYABLE_TRADE","FQ4 2021","FQ4 2021","Currency=USD","Period=FQ","BEST_FPERIOD_OVERRIDE=FQ","FILING_STATUS=MR","SCALING_FORMAT=MLN","Sort=A","Dates=H","DateFormat=P","Fill=—","Direction=H","UseDPDF=Y")</f>
        <v>1366</v>
      </c>
      <c r="P22" s="13">
        <f>_xll.BDH("AMGN US Equity","ARD_ACCOUNTS_PAYABLE_TRADE","FQ1 2022","FQ1 2022","Currency=USD","Period=FQ","BEST_FPERIOD_OVERRIDE=FQ","FILING_STATUS=MR","SCALING_FORMAT=MLN","Sort=A","Dates=H","DateFormat=P","Fill=—","Direction=H","UseDPDF=Y")</f>
        <v>1403</v>
      </c>
      <c r="Q22" s="13">
        <f>_xll.BDH("AMGN US Equity","ARD_ACCOUNTS_PAYABLE_TRADE","FQ2 2022","FQ2 2022","Currency=USD","Period=FQ","BEST_FPERIOD_OVERRIDE=FQ","FILING_STATUS=MR","SCALING_FORMAT=MLN","Sort=A","Dates=H","DateFormat=P","Fill=—","Direction=H","UseDPDF=Y")</f>
        <v>1256</v>
      </c>
      <c r="R22" s="13">
        <f>_xll.BDH("AMGN US Equity","ARD_ACCOUNTS_PAYABLE_TRADE","FQ3 2022","FQ3 2022","Currency=USD","Period=FQ","BEST_FPERIOD_OVERRIDE=FQ","FILING_STATUS=MR","SCALING_FORMAT=MLN","Sort=A","Dates=H","DateFormat=P","Fill=—","Direction=H","UseDPDF=Y")</f>
        <v>1204</v>
      </c>
      <c r="S22" s="13">
        <f>_xll.BDH("AMGN US Equity","ARD_ACCOUNTS_PAYABLE_TRADE","FQ4 2022","FQ4 2022","Currency=USD","Period=FQ","BEST_FPERIOD_OVERRIDE=FQ","FILING_STATUS=MR","SCALING_FORMAT=MLN","Sort=A","Dates=H","DateFormat=P","Fill=—","Direction=H","UseDPDF=Y")</f>
        <v>1572</v>
      </c>
      <c r="T22" s="13">
        <f>_xll.BDH("AMGN US Equity","ARD_ACCOUNTS_PAYABLE_TRADE","FQ1 2023","FQ1 2023","Currency=USD","Period=FQ","BEST_FPERIOD_OVERRIDE=FQ","FILING_STATUS=MR","SCALING_FORMAT=MLN","Sort=A","Dates=H","DateFormat=P","Fill=—","Direction=H","UseDPDF=Y")</f>
        <v>1320</v>
      </c>
      <c r="U22" s="13">
        <f>_xll.BDH("AMGN US Equity","ARD_ACCOUNTS_PAYABLE_TRADE","FQ2 2023","FQ2 2023","Currency=USD","Period=FQ","BEST_FPERIOD_OVERRIDE=FQ","FILING_STATUS=MR","SCALING_FORMAT=MLN","Sort=A","Dates=H","DateFormat=P","Fill=—","Direction=H","UseDPDF=Y")</f>
        <v>1212</v>
      </c>
      <c r="V22" s="13">
        <f>_xll.BDH("AMGN US Equity","ARD_ACCOUNTS_PAYABLE_TRADE","FQ3 2023","FQ3 2023","Currency=USD","Period=FQ","BEST_FPERIOD_OVERRIDE=FQ","FILING_STATUS=MR","SCALING_FORMAT=MLN","Sort=A","Dates=H","DateFormat=P","Fill=—","Direction=H","UseDPDF=Y")</f>
        <v>1358</v>
      </c>
      <c r="W22" s="13">
        <f>_xll.BDH("AMGN US Equity","ARD_ACCOUNTS_PAYABLE_TRADE","FQ4 2023","FQ4 2023","Currency=USD","Period=FQ","BEST_FPERIOD_OVERRIDE=FQ","FILING_STATUS=MR","SCALING_FORMAT=MLN","Sort=A","Dates=H","DateFormat=P","Fill=—","Direction=H","UseDPDF=Y")</f>
        <v>1590</v>
      </c>
      <c r="X22" s="13">
        <f>_xll.BDH("AMGN US Equity","ARD_ACCOUNTS_PAYABLE_TRADE","FQ1 2024","FQ1 2024","Currency=USD","Period=FQ","BEST_FPERIOD_OVERRIDE=FQ","FILING_STATUS=MR","SCALING_FORMAT=MLN","Sort=A","Dates=H","DateFormat=P","Fill=—","Direction=H","UseDPDF=Y")</f>
        <v>1628</v>
      </c>
      <c r="Y22" s="13">
        <f>_xll.BDH("AMGN US Equity","ARD_ACCOUNTS_PAYABLE_TRADE","FQ2 2024","FQ2 2024","Currency=USD","Period=FQ","BEST_FPERIOD_OVERRIDE=FQ","FILING_STATUS=MR","SCALING_FORMAT=MLN","Sort=A","Dates=H","DateFormat=P","Fill=—","Direction=H","UseDPDF=Y")</f>
        <v>2267</v>
      </c>
      <c r="Z22" s="13">
        <f>_xll.BDH("AMGN US Equity","ARD_ACCOUNTS_PAYABLE_TRADE","FQ3 2024","FQ3 2024","Currency=USD","Period=FQ","BEST_FPERIOD_OVERRIDE=FQ","FILING_STATUS=MR","SCALING_FORMAT=MLN","Sort=A","Dates=H","DateFormat=P","Fill=—","Direction=H","UseDPDF=Y")</f>
        <v>2147</v>
      </c>
      <c r="AA22" s="13">
        <f>_xll.BDH("AMGN US Equity","ARD_ACCOUNTS_PAYABLE_TRADE","FQ4 2024","FQ4 2024","Currency=USD","Period=FQ","BEST_FPERIOD_OVERRIDE=FQ","FILING_STATUS=MR","SCALING_FORMAT=MLN","Sort=A","Dates=H","DateFormat=P","Fill=—","Direction=H","UseDPDF=Y")</f>
        <v>1908</v>
      </c>
    </row>
    <row r="23" spans="1:27" x14ac:dyDescent="0.25">
      <c r="A23" s="10" t="s">
        <v>883</v>
      </c>
      <c r="B23" s="10" t="s">
        <v>884</v>
      </c>
      <c r="C23" s="13">
        <f>_xll.BDH("AMGN US Equity","ARD_ACCT_PAYABLE_ACCRUED_EXP","FQ4 2018","FQ4 2018","Currency=USD","Period=FQ","BEST_FPERIOD_OVERRIDE=FQ","FILING_STATUS=MR","SCALING_FORMAT=MLN","Sort=A","Dates=H","DateFormat=P","Fill=—","Direction=H","UseDPDF=Y")</f>
        <v>9069</v>
      </c>
      <c r="D23" s="13">
        <f>_xll.BDH("AMGN US Equity","ARD_ACCT_PAYABLE_ACCRUED_EXP","FQ1 2019","FQ1 2019","Currency=USD","Period=FQ","BEST_FPERIOD_OVERRIDE=FQ","FILING_STATUS=MR","SCALING_FORMAT=MLN","Sort=A","Dates=H","DateFormat=P","Fill=—","Direction=H","UseDPDF=Y")</f>
        <v>9001</v>
      </c>
      <c r="E23" s="13">
        <f>_xll.BDH("AMGN US Equity","ARD_ACCT_PAYABLE_ACCRUED_EXP","FQ2 2019","FQ2 2019","Currency=USD","Period=FQ","BEST_FPERIOD_OVERRIDE=FQ","FILING_STATUS=MR","SCALING_FORMAT=MLN","Sort=A","Dates=H","DateFormat=P","Fill=—","Direction=H","UseDPDF=Y")</f>
        <v>7806</v>
      </c>
      <c r="F23" s="13">
        <f>_xll.BDH("AMGN US Equity","ARD_ACCT_PAYABLE_ACCRUED_EXP","FQ3 2019","FQ3 2019","Currency=USD","Period=FQ","BEST_FPERIOD_OVERRIDE=FQ","FILING_STATUS=MR","SCALING_FORMAT=MLN","Sort=A","Dates=H","DateFormat=P","Fill=—","Direction=H","UseDPDF=Y")</f>
        <v>8688</v>
      </c>
      <c r="G23" s="13" t="str">
        <f>_xll.BDH("AMGN US Equity","ARD_ACCT_PAYABLE_ACCRUED_EXP","FQ4 2019","FQ4 2019","Currency=USD","Period=FQ","BEST_FPERIOD_OVERRIDE=FQ","FILING_STATUS=MR","SCALING_FORMAT=MLN","Sort=A","Dates=H","DateFormat=P","Fill=—","Direction=H","UseDPDF=Y")</f>
        <v>—</v>
      </c>
      <c r="H23" s="13" t="str">
        <f>_xll.BDH("AMGN US Equity","ARD_ACCT_PAYABLE_ACCRUED_EXP","FQ1 2020","FQ1 2020","Currency=USD","Period=FQ","BEST_FPERIOD_OVERRIDE=FQ","FILING_STATUS=MR","SCALING_FORMAT=MLN","Sort=A","Dates=H","DateFormat=P","Fill=—","Direction=H","UseDPDF=Y")</f>
        <v>—</v>
      </c>
      <c r="I23" s="13" t="str">
        <f>_xll.BDH("AMGN US Equity","ARD_ACCT_PAYABLE_ACCRUED_EXP","FQ2 2020","FQ2 2020","Currency=USD","Period=FQ","BEST_FPERIOD_OVERRIDE=FQ","FILING_STATUS=MR","SCALING_FORMAT=MLN","Sort=A","Dates=H","DateFormat=P","Fill=—","Direction=H","UseDPDF=Y")</f>
        <v>—</v>
      </c>
      <c r="J23" s="13" t="str">
        <f>_xll.BDH("AMGN US Equity","ARD_ACCT_PAYABLE_ACCRUED_EXP","FQ3 2020","FQ3 2020","Currency=USD","Period=FQ","BEST_FPERIOD_OVERRIDE=FQ","FILING_STATUS=MR","SCALING_FORMAT=MLN","Sort=A","Dates=H","DateFormat=P","Fill=—","Direction=H","UseDPDF=Y")</f>
        <v>—</v>
      </c>
      <c r="K23" s="13" t="str">
        <f>_xll.BDH("AMGN US Equity","ARD_ACCT_PAYABLE_ACCRUED_EXP","FQ4 2020","FQ4 2020","Currency=USD","Period=FQ","BEST_FPERIOD_OVERRIDE=FQ","FILING_STATUS=MR","SCALING_FORMAT=MLN","Sort=A","Dates=H","DateFormat=P","Fill=—","Direction=H","UseDPDF=Y")</f>
        <v>—</v>
      </c>
      <c r="L23" s="13" t="str">
        <f>_xll.BDH("AMGN US Equity","ARD_ACCT_PAYABLE_ACCRUED_EXP","FQ1 2021","FQ1 2021","Currency=USD","Period=FQ","BEST_FPERIOD_OVERRIDE=FQ","FILING_STATUS=MR","SCALING_FORMAT=MLN","Sort=A","Dates=H","DateFormat=P","Fill=—","Direction=H","UseDPDF=Y")</f>
        <v>—</v>
      </c>
      <c r="M23" s="13" t="str">
        <f>_xll.BDH("AMGN US Equity","ARD_ACCT_PAYABLE_ACCRUED_EXP","FQ2 2021","FQ2 2021","Currency=USD","Period=FQ","BEST_FPERIOD_OVERRIDE=FQ","FILING_STATUS=MR","SCALING_FORMAT=MLN","Sort=A","Dates=H","DateFormat=P","Fill=—","Direction=H","UseDPDF=Y")</f>
        <v>—</v>
      </c>
      <c r="N23" s="13" t="str">
        <f>_xll.BDH("AMGN US Equity","ARD_ACCT_PAYABLE_ACCRUED_EXP","FQ3 2021","FQ3 2021","Currency=USD","Period=FQ","BEST_FPERIOD_OVERRIDE=FQ","FILING_STATUS=MR","SCALING_FORMAT=MLN","Sort=A","Dates=H","DateFormat=P","Fill=—","Direction=H","UseDPDF=Y")</f>
        <v>—</v>
      </c>
      <c r="O23" s="13" t="str">
        <f>_xll.BDH("AMGN US Equity","ARD_ACCT_PAYABLE_ACCRUED_EXP","FQ4 2021","FQ4 2021","Currency=USD","Period=FQ","BEST_FPERIOD_OVERRIDE=FQ","FILING_STATUS=MR","SCALING_FORMAT=MLN","Sort=A","Dates=H","DateFormat=P","Fill=—","Direction=H","UseDPDF=Y")</f>
        <v>—</v>
      </c>
      <c r="P23" s="13" t="str">
        <f>_xll.BDH("AMGN US Equity","ARD_ACCT_PAYABLE_ACCRUED_EXP","FQ1 2022","FQ1 2022","Currency=USD","Period=FQ","BEST_FPERIOD_OVERRIDE=FQ","FILING_STATUS=MR","SCALING_FORMAT=MLN","Sort=A","Dates=H","DateFormat=P","Fill=—","Direction=H","UseDPDF=Y")</f>
        <v>—</v>
      </c>
      <c r="Q23" s="13" t="str">
        <f>_xll.BDH("AMGN US Equity","ARD_ACCT_PAYABLE_ACCRUED_EXP","FQ2 2022","FQ2 2022","Currency=USD","Period=FQ","BEST_FPERIOD_OVERRIDE=FQ","FILING_STATUS=MR","SCALING_FORMAT=MLN","Sort=A","Dates=H","DateFormat=P","Fill=—","Direction=H","UseDPDF=Y")</f>
        <v>—</v>
      </c>
      <c r="R23" s="13" t="str">
        <f>_xll.BDH("AMGN US Equity","ARD_ACCT_PAYABLE_ACCRUED_EXP","FQ3 2022","FQ3 2022","Currency=USD","Period=FQ","BEST_FPERIOD_OVERRIDE=FQ","FILING_STATUS=MR","SCALING_FORMAT=MLN","Sort=A","Dates=H","DateFormat=P","Fill=—","Direction=H","UseDPDF=Y")</f>
        <v>—</v>
      </c>
      <c r="S23" s="13" t="str">
        <f>_xll.BDH("AMGN US Equity","ARD_ACCT_PAYABLE_ACCRUED_EXP","FQ4 2022","FQ4 2022","Currency=USD","Period=FQ","BEST_FPERIOD_OVERRIDE=FQ","FILING_STATUS=MR","SCALING_FORMAT=MLN","Sort=A","Dates=H","DateFormat=P","Fill=—","Direction=H","UseDPDF=Y")</f>
        <v>—</v>
      </c>
      <c r="T23" s="13" t="str">
        <f>_xll.BDH("AMGN US Equity","ARD_ACCT_PAYABLE_ACCRUED_EXP","FQ1 2023","FQ1 2023","Currency=USD","Period=FQ","BEST_FPERIOD_OVERRIDE=FQ","FILING_STATUS=MR","SCALING_FORMAT=MLN","Sort=A","Dates=H","DateFormat=P","Fill=—","Direction=H","UseDPDF=Y")</f>
        <v>—</v>
      </c>
      <c r="U23" s="13" t="str">
        <f>_xll.BDH("AMGN US Equity","ARD_ACCT_PAYABLE_ACCRUED_EXP","FQ2 2023","FQ2 2023","Currency=USD","Period=FQ","BEST_FPERIOD_OVERRIDE=FQ","FILING_STATUS=MR","SCALING_FORMAT=MLN","Sort=A","Dates=H","DateFormat=P","Fill=—","Direction=H","UseDPDF=Y")</f>
        <v>—</v>
      </c>
      <c r="V23" s="13" t="str">
        <f>_xll.BDH("AMGN US Equity","ARD_ACCT_PAYABLE_ACCRUED_EXP","FQ3 2023","FQ3 2023","Currency=USD","Period=FQ","BEST_FPERIOD_OVERRIDE=FQ","FILING_STATUS=MR","SCALING_FORMAT=MLN","Sort=A","Dates=H","DateFormat=P","Fill=—","Direction=H","UseDPDF=Y")</f>
        <v>—</v>
      </c>
      <c r="W23" s="13" t="str">
        <f>_xll.BDH("AMGN US Equity","ARD_ACCT_PAYABLE_ACCRUED_EXP","FQ4 2023","FQ4 2023","Currency=USD","Period=FQ","BEST_FPERIOD_OVERRIDE=FQ","FILING_STATUS=MR","SCALING_FORMAT=MLN","Sort=A","Dates=H","DateFormat=P","Fill=—","Direction=H","UseDPDF=Y")</f>
        <v>—</v>
      </c>
      <c r="X23" s="13" t="str">
        <f>_xll.BDH("AMGN US Equity","ARD_ACCT_PAYABLE_ACCRUED_EXP","FQ1 2024","FQ1 2024","Currency=USD","Period=FQ","BEST_FPERIOD_OVERRIDE=FQ","FILING_STATUS=MR","SCALING_FORMAT=MLN","Sort=A","Dates=H","DateFormat=P","Fill=—","Direction=H","UseDPDF=Y")</f>
        <v>—</v>
      </c>
      <c r="Y23" s="13" t="str">
        <f>_xll.BDH("AMGN US Equity","ARD_ACCT_PAYABLE_ACCRUED_EXP","FQ2 2024","FQ2 2024","Currency=USD","Period=FQ","BEST_FPERIOD_OVERRIDE=FQ","FILING_STATUS=MR","SCALING_FORMAT=MLN","Sort=A","Dates=H","DateFormat=P","Fill=—","Direction=H","UseDPDF=Y")</f>
        <v>—</v>
      </c>
      <c r="Z23" s="13" t="str">
        <f>_xll.BDH("AMGN US Equity","ARD_ACCT_PAYABLE_ACCRUED_EXP","FQ3 2024","FQ3 2024","Currency=USD","Period=FQ","BEST_FPERIOD_OVERRIDE=FQ","FILING_STATUS=MR","SCALING_FORMAT=MLN","Sort=A","Dates=H","DateFormat=P","Fill=—","Direction=H","UseDPDF=Y")</f>
        <v>—</v>
      </c>
      <c r="AA23" s="13" t="str">
        <f>_xll.BDH("AMGN US Equity","ARD_ACCT_PAYABLE_ACCRUED_EXP","FQ4 2024","FQ4 2024","Currency=USD","Period=FQ","BEST_FPERIOD_OVERRIDE=FQ","FILING_STATUS=MR","SCALING_FORMAT=MLN","Sort=A","Dates=H","DateFormat=P","Fill=—","Direction=H","UseDPDF=Y")</f>
        <v>—</v>
      </c>
    </row>
    <row r="24" spans="1:27" x14ac:dyDescent="0.25">
      <c r="A24" s="10" t="s">
        <v>885</v>
      </c>
      <c r="B24" s="10" t="s">
        <v>886</v>
      </c>
      <c r="C24" s="13">
        <f>_xll.BDH("AMGN US Equity","ARD_CURRENT_PORTION_OF_LT_DEBT","FQ4 2018","FQ4 2018","Currency=USD","Period=FQ","BEST_FPERIOD_OVERRIDE=FQ","FILING_STATUS=MR","SCALING_FORMAT=MLN","Sort=A","Dates=H","DateFormat=P","Fill=—","Direction=H","UseDPDF=Y")</f>
        <v>4419</v>
      </c>
      <c r="D24" s="13">
        <f>_xll.BDH("AMGN US Equity","ARD_CURRENT_PORTION_OF_LT_DEBT","FQ1 2019","FQ1 2019","Currency=USD","Period=FQ","BEST_FPERIOD_OVERRIDE=FQ","FILING_STATUS=MR","SCALING_FORMAT=MLN","Sort=A","Dates=H","DateFormat=P","Fill=—","Direction=H","UseDPDF=Y")</f>
        <v>3705</v>
      </c>
      <c r="E24" s="13">
        <f>_xll.BDH("AMGN US Equity","ARD_CURRENT_PORTION_OF_LT_DEBT","FQ2 2019","FQ2 2019","Currency=USD","Period=FQ","BEST_FPERIOD_OVERRIDE=FQ","FILING_STATUS=MR","SCALING_FORMAT=MLN","Sort=A","Dates=H","DateFormat=P","Fill=—","Direction=H","UseDPDF=Y")</f>
        <v>2816</v>
      </c>
      <c r="F24" s="13">
        <f>_xll.BDH("AMGN US Equity","ARD_CURRENT_PORTION_OF_LT_DEBT","FQ3 2019","FQ3 2019","Currency=USD","Period=FQ","BEST_FPERIOD_OVERRIDE=FQ","FILING_STATUS=MR","SCALING_FORMAT=MLN","Sort=A","Dates=H","DateFormat=P","Fill=—","Direction=H","UseDPDF=Y")</f>
        <v>2049</v>
      </c>
      <c r="G24" s="13">
        <f>_xll.BDH("AMGN US Equity","ARD_CURRENT_PORTION_OF_LT_DEBT","FQ4 2019","FQ4 2019","Currency=USD","Period=FQ","BEST_FPERIOD_OVERRIDE=FQ","FILING_STATUS=MR","SCALING_FORMAT=MLN","Sort=A","Dates=H","DateFormat=P","Fill=—","Direction=H","UseDPDF=Y")</f>
        <v>2953</v>
      </c>
      <c r="H24" s="13">
        <f>_xll.BDH("AMGN US Equity","ARD_CURRENT_PORTION_OF_LT_DEBT","FQ1 2020","FQ1 2020","Currency=USD","Period=FQ","BEST_FPERIOD_OVERRIDE=FQ","FILING_STATUS=MR","SCALING_FORMAT=MLN","Sort=A","Dates=H","DateFormat=P","Fill=—","Direction=H","UseDPDF=Y")</f>
        <v>1840</v>
      </c>
      <c r="I24" s="13">
        <f>_xll.BDH("AMGN US Equity","ARD_CURRENT_PORTION_OF_LT_DEBT","FQ2 2020","FQ2 2020","Currency=USD","Period=FQ","BEST_FPERIOD_OVERRIDE=FQ","FILING_STATUS=MR","SCALING_FORMAT=MLN","Sort=A","Dates=H","DateFormat=P","Fill=—","Direction=H","UseDPDF=Y")</f>
        <v>91</v>
      </c>
      <c r="J24" s="13">
        <f>_xll.BDH("AMGN US Equity","ARD_CURRENT_PORTION_OF_LT_DEBT","FQ3 2020","FQ3 2020","Currency=USD","Period=FQ","BEST_FPERIOD_OVERRIDE=FQ","FILING_STATUS=MR","SCALING_FORMAT=MLN","Sort=A","Dates=H","DateFormat=P","Fill=—","Direction=H","UseDPDF=Y")</f>
        <v>91</v>
      </c>
      <c r="K24" s="13">
        <f>_xll.BDH("AMGN US Equity","ARD_CURRENT_PORTION_OF_LT_DEBT","FQ4 2020","FQ4 2020","Currency=USD","Period=FQ","BEST_FPERIOD_OVERRIDE=FQ","FILING_STATUS=MR","SCALING_FORMAT=MLN","Sort=A","Dates=H","DateFormat=P","Fill=—","Direction=H","UseDPDF=Y")</f>
        <v>91</v>
      </c>
      <c r="L24" s="13">
        <f>_xll.BDH("AMGN US Equity","ARD_CURRENT_PORTION_OF_LT_DEBT","FQ1 2021","FQ1 2021","Currency=USD","Period=FQ","BEST_FPERIOD_OVERRIDE=FQ","FILING_STATUS=MR","SCALING_FORMAT=MLN","Sort=A","Dates=H","DateFormat=P","Fill=—","Direction=H","UseDPDF=Y")</f>
        <v>1556</v>
      </c>
      <c r="M24" s="13">
        <f>_xll.BDH("AMGN US Equity","ARD_CURRENT_PORTION_OF_LT_DEBT","FQ2 2021","FQ2 2021","Currency=USD","Period=FQ","BEST_FPERIOD_OVERRIDE=FQ","FILING_STATUS=MR","SCALING_FORMAT=MLN","Sort=A","Dates=H","DateFormat=P","Fill=—","Direction=H","UseDPDF=Y")</f>
        <v>4324</v>
      </c>
      <c r="N24" s="13">
        <f>_xll.BDH("AMGN US Equity","ARD_CURRENT_PORTION_OF_LT_DEBT","FQ3 2021","FQ3 2021","Currency=USD","Period=FQ","BEST_FPERIOD_OVERRIDE=FQ","FILING_STATUS=MR","SCALING_FORMAT=MLN","Sort=A","Dates=H","DateFormat=P","Fill=—","Direction=H","UseDPDF=Y")</f>
        <v>4288</v>
      </c>
      <c r="O24" s="13">
        <f>_xll.BDH("AMGN US Equity","ARD_CURRENT_PORTION_OF_LT_DEBT","FQ4 2021","FQ4 2021","Currency=USD","Period=FQ","BEST_FPERIOD_OVERRIDE=FQ","FILING_STATUS=MR","SCALING_FORMAT=MLN","Sort=A","Dates=H","DateFormat=P","Fill=—","Direction=H","UseDPDF=Y")</f>
        <v>87</v>
      </c>
      <c r="P24" s="13">
        <f>_xll.BDH("AMGN US Equity","ARD_CURRENT_PORTION_OF_LT_DEBT","FQ1 2022","FQ1 2022","Currency=USD","Period=FQ","BEST_FPERIOD_OVERRIDE=FQ","FILING_STATUS=MR","SCALING_FORMAT=MLN","Sort=A","Dates=H","DateFormat=P","Fill=—","Direction=H","UseDPDF=Y")</f>
        <v>844</v>
      </c>
      <c r="Q24" s="13">
        <f>_xll.BDH("AMGN US Equity","ARD_CURRENT_PORTION_OF_LT_DEBT","FQ2 2022","FQ2 2022","Currency=USD","Period=FQ","BEST_FPERIOD_OVERRIDE=FQ","FILING_STATUS=MR","SCALING_FORMAT=MLN","Sort=A","Dates=H","DateFormat=P","Fill=—","Direction=H","UseDPDF=Y")</f>
        <v>817</v>
      </c>
      <c r="R24" s="13">
        <f>_xll.BDH("AMGN US Equity","ARD_CURRENT_PORTION_OF_LT_DEBT","FQ3 2022","FQ3 2022","Currency=USD","Period=FQ","BEST_FPERIOD_OVERRIDE=FQ","FILING_STATUS=MR","SCALING_FORMAT=MLN","Sort=A","Dates=H","DateFormat=P","Fill=—","Direction=H","UseDPDF=Y")</f>
        <v>1543</v>
      </c>
      <c r="S24" s="13">
        <f>_xll.BDH("AMGN US Equity","ARD_CURRENT_PORTION_OF_LT_DEBT","FQ4 2022","FQ4 2022","Currency=USD","Period=FQ","BEST_FPERIOD_OVERRIDE=FQ","FILING_STATUS=MR","SCALING_FORMAT=MLN","Sort=A","Dates=H","DateFormat=P","Fill=—","Direction=H","UseDPDF=Y")</f>
        <v>1591</v>
      </c>
      <c r="T24" s="13">
        <f>_xll.BDH("AMGN US Equity","ARD_CURRENT_PORTION_OF_LT_DEBT","FQ1 2023","FQ1 2023","Currency=USD","Period=FQ","BEST_FPERIOD_OVERRIDE=FQ","FILING_STATUS=MR","SCALING_FORMAT=MLN","Sort=A","Dates=H","DateFormat=P","Fill=—","Direction=H","UseDPDF=Y")</f>
        <v>834</v>
      </c>
      <c r="U24" s="13">
        <f>_xll.BDH("AMGN US Equity","ARD_CURRENT_PORTION_OF_LT_DEBT","FQ2 2023","FQ2 2023","Currency=USD","Period=FQ","BEST_FPERIOD_OVERRIDE=FQ","FILING_STATUS=MR","SCALING_FORMAT=MLN","Sort=A","Dates=H","DateFormat=P","Fill=—","Direction=H","UseDPDF=Y")</f>
        <v>2167</v>
      </c>
      <c r="V24" s="13">
        <f>_xll.BDH("AMGN US Equity","ARD_CURRENT_PORTION_OF_LT_DEBT","FQ3 2023","FQ3 2023","Currency=USD","Period=FQ","BEST_FPERIOD_OVERRIDE=FQ","FILING_STATUS=MR","SCALING_FORMAT=MLN","Sort=A","Dates=H","DateFormat=P","Fill=—","Direction=H","UseDPDF=Y")</f>
        <v>1428</v>
      </c>
      <c r="W24" s="13">
        <f>_xll.BDH("AMGN US Equity","ARD_CURRENT_PORTION_OF_LT_DEBT","FQ4 2023","FQ4 2023","Currency=USD","Period=FQ","BEST_FPERIOD_OVERRIDE=FQ","FILING_STATUS=MR","SCALING_FORMAT=MLN","Sort=A","Dates=H","DateFormat=P","Fill=—","Direction=H","UseDPDF=Y")</f>
        <v>1443</v>
      </c>
      <c r="X24" s="13">
        <f>_xll.BDH("AMGN US Equity","ARD_CURRENT_PORTION_OF_LT_DEBT","FQ1 2024","FQ1 2024","Currency=USD","Period=FQ","BEST_FPERIOD_OVERRIDE=FQ","FILING_STATUS=MR","SCALING_FORMAT=MLN","Sort=A","Dates=H","DateFormat=P","Fill=—","Direction=H","UseDPDF=Y")</f>
        <v>3959</v>
      </c>
      <c r="Y24" s="13">
        <f>_xll.BDH("AMGN US Equity","ARD_CURRENT_PORTION_OF_LT_DEBT","FQ2 2024","FQ2 2024","Currency=USD","Period=FQ","BEST_FPERIOD_OVERRIDE=FQ","FILING_STATUS=MR","SCALING_FORMAT=MLN","Sort=A","Dates=H","DateFormat=P","Fill=—","Direction=H","UseDPDF=Y")</f>
        <v>5528</v>
      </c>
      <c r="Z24" s="13">
        <f>_xll.BDH("AMGN US Equity","ARD_CURRENT_PORTION_OF_LT_DEBT","FQ3 2024","FQ3 2024","Currency=USD","Period=FQ","BEST_FPERIOD_OVERRIDE=FQ","FILING_STATUS=MR","SCALING_FORMAT=MLN","Sort=A","Dates=H","DateFormat=P","Fill=—","Direction=H","UseDPDF=Y")</f>
        <v>3544</v>
      </c>
      <c r="AA24" s="13">
        <f>_xll.BDH("AMGN US Equity","ARD_CURRENT_PORTION_OF_LT_DEBT","FQ4 2024","FQ4 2024","Currency=USD","Period=FQ","BEST_FPERIOD_OVERRIDE=FQ","FILING_STATUS=MR","SCALING_FORMAT=MLN","Sort=A","Dates=H","DateFormat=P","Fill=—","Direction=H","UseDPDF=Y")</f>
        <v>3550</v>
      </c>
    </row>
    <row r="25" spans="1:27" x14ac:dyDescent="0.25">
      <c r="A25" s="10" t="s">
        <v>887</v>
      </c>
      <c r="B25" s="10" t="s">
        <v>888</v>
      </c>
      <c r="C25" s="13">
        <f>_xll.BDH("AMGN US Equity","ARD_ACCRUED_EXPENSES","FQ4 2018","FQ4 2018","Currency=USD","Period=FQ","BEST_FPERIOD_OVERRIDE=FQ","FILING_STATUS=MR","SCALING_FORMAT=MLN","Sort=A","Dates=H","DateFormat=P","Fill=—","Direction=H","UseDPDF=Y")</f>
        <v>7862</v>
      </c>
      <c r="D25" s="13">
        <f>_xll.BDH("AMGN US Equity","ARD_ACCRUED_EXPENSES","FQ1 2019","FQ1 2019","Currency=USD","Period=FQ","BEST_FPERIOD_OVERRIDE=FQ","FILING_STATUS=MR","SCALING_FORMAT=MLN","Sort=A","Dates=H","DateFormat=P","Fill=—","Direction=H","UseDPDF=Y")</f>
        <v>7910</v>
      </c>
      <c r="E25" s="13">
        <f>_xll.BDH("AMGN US Equity","ARD_ACCRUED_EXPENSES","FQ2 2019","FQ2 2019","Currency=USD","Period=FQ","BEST_FPERIOD_OVERRIDE=FQ","FILING_STATUS=MR","SCALING_FORMAT=MLN","Sort=A","Dates=H","DateFormat=P","Fill=—","Direction=H","UseDPDF=Y")</f>
        <v>6805</v>
      </c>
      <c r="F25" s="13">
        <f>_xll.BDH("AMGN US Equity","ARD_ACCRUED_EXPENSES","FQ3 2019","FQ3 2019","Currency=USD","Period=FQ","BEST_FPERIOD_OVERRIDE=FQ","FILING_STATUS=MR","SCALING_FORMAT=MLN","Sort=A","Dates=H","DateFormat=P","Fill=—","Direction=H","UseDPDF=Y")</f>
        <v>7683</v>
      </c>
      <c r="G25" s="13">
        <f>_xll.BDH("AMGN US Equity","ARD_ACCRUED_EXPENSES","FQ4 2019","FQ4 2019","Currency=USD","Period=FQ","BEST_FPERIOD_OVERRIDE=FQ","FILING_STATUS=MR","SCALING_FORMAT=MLN","Sort=A","Dates=H","DateFormat=P","Fill=—","Direction=H","UseDPDF=Y")</f>
        <v>8511</v>
      </c>
      <c r="H25" s="13">
        <f>_xll.BDH("AMGN US Equity","ARD_ACCRUED_EXPENSES","FQ1 2020","FQ1 2020","Currency=USD","Period=FQ","BEST_FPERIOD_OVERRIDE=FQ","FILING_STATUS=MR","SCALING_FORMAT=MLN","Sort=A","Dates=H","DateFormat=P","Fill=—","Direction=H","UseDPDF=Y")</f>
        <v>8649</v>
      </c>
      <c r="I25" s="13">
        <f>_xll.BDH("AMGN US Equity","ARD_ACCRUED_EXPENSES","FQ2 2020","FQ2 2020","Currency=USD","Period=FQ","BEST_FPERIOD_OVERRIDE=FQ","FILING_STATUS=MR","SCALING_FORMAT=MLN","Sort=A","Dates=H","DateFormat=P","Fill=—","Direction=H","UseDPDF=Y")</f>
        <v>9282</v>
      </c>
      <c r="J25" s="13">
        <f>_xll.BDH("AMGN US Equity","ARD_ACCRUED_EXPENSES","FQ3 2020","FQ3 2020","Currency=USD","Period=FQ","BEST_FPERIOD_OVERRIDE=FQ","FILING_STATUS=MR","SCALING_FORMAT=MLN","Sort=A","Dates=H","DateFormat=P","Fill=—","Direction=H","UseDPDF=Y")</f>
        <v>8701</v>
      </c>
      <c r="K25" s="13">
        <f>_xll.BDH("AMGN US Equity","ARD_ACCRUED_EXPENSES","FQ4 2020","FQ4 2020","Currency=USD","Period=FQ","BEST_FPERIOD_OVERRIDE=FQ","FILING_STATUS=MR","SCALING_FORMAT=MLN","Sort=A","Dates=H","DateFormat=P","Fill=—","Direction=H","UseDPDF=Y")</f>
        <v>10141</v>
      </c>
      <c r="L25" s="13">
        <f>_xll.BDH("AMGN US Equity","ARD_ACCRUED_EXPENSES","FQ1 2021","FQ1 2021","Currency=USD","Period=FQ","BEST_FPERIOD_OVERRIDE=FQ","FILING_STATUS=MR","SCALING_FORMAT=MLN","Sort=A","Dates=H","DateFormat=P","Fill=—","Direction=H","UseDPDF=Y")</f>
        <v>9917</v>
      </c>
      <c r="M25" s="13">
        <f>_xll.BDH("AMGN US Equity","ARD_ACCRUED_EXPENSES","FQ2 2021","FQ2 2021","Currency=USD","Period=FQ","BEST_FPERIOD_OVERRIDE=FQ","FILING_STATUS=MR","SCALING_FORMAT=MLN","Sort=A","Dates=H","DateFormat=P","Fill=—","Direction=H","UseDPDF=Y")</f>
        <v>8984</v>
      </c>
      <c r="N25" s="13">
        <f>_xll.BDH("AMGN US Equity","ARD_ACCRUED_EXPENSES","FQ3 2021","FQ3 2021","Currency=USD","Period=FQ","BEST_FPERIOD_OVERRIDE=FQ","FILING_STATUS=MR","SCALING_FORMAT=MLN","Sort=A","Dates=H","DateFormat=P","Fill=—","Direction=H","UseDPDF=Y")</f>
        <v>9383</v>
      </c>
      <c r="O25" s="13">
        <f>_xll.BDH("AMGN US Equity","ARD_ACCRUED_EXPENSES","FQ4 2021","FQ4 2021","Currency=USD","Period=FQ","BEST_FPERIOD_OVERRIDE=FQ","FILING_STATUS=MR","SCALING_FORMAT=MLN","Sort=A","Dates=H","DateFormat=P","Fill=—","Direction=H","UseDPDF=Y")</f>
        <v>10731</v>
      </c>
      <c r="P25" s="13">
        <f>_xll.BDH("AMGN US Equity","ARD_ACCRUED_EXPENSES","FQ1 2022","FQ1 2022","Currency=USD","Period=FQ","BEST_FPERIOD_OVERRIDE=FQ","FILING_STATUS=MR","SCALING_FORMAT=MLN","Sort=A","Dates=H","DateFormat=P","Fill=—","Direction=H","UseDPDF=Y")</f>
        <v>10639</v>
      </c>
      <c r="Q25" s="13">
        <f>_xll.BDH("AMGN US Equity","ARD_ACCRUED_EXPENSES","FQ2 2022","FQ2 2022","Currency=USD","Period=FQ","BEST_FPERIOD_OVERRIDE=FQ","FILING_STATUS=MR","SCALING_FORMAT=MLN","Sort=A","Dates=H","DateFormat=P","Fill=—","Direction=H","UseDPDF=Y")</f>
        <v>10545</v>
      </c>
      <c r="R25" s="13">
        <f>_xll.BDH("AMGN US Equity","ARD_ACCRUED_EXPENSES","FQ3 2022","FQ3 2022","Currency=USD","Period=FQ","BEST_FPERIOD_OVERRIDE=FQ","FILING_STATUS=MR","SCALING_FORMAT=MLN","Sort=A","Dates=H","DateFormat=P","Fill=—","Direction=H","UseDPDF=Y")</f>
        <v>11584</v>
      </c>
      <c r="S25" s="13">
        <f>_xll.BDH("AMGN US Equity","ARD_ACCRUED_EXPENSES","FQ4 2022","FQ4 2022","Currency=USD","Period=FQ","BEST_FPERIOD_OVERRIDE=FQ","FILING_STATUS=MR","SCALING_FORMAT=MLN","Sort=A","Dates=H","DateFormat=P","Fill=—","Direction=H","UseDPDF=Y")</f>
        <v>12524</v>
      </c>
      <c r="T25" s="13">
        <f>_xll.BDH("AMGN US Equity","ARD_ACCRUED_EXPENSES","FQ1 2023","FQ1 2023","Currency=USD","Period=FQ","BEST_FPERIOD_OVERRIDE=FQ","FILING_STATUS=MR","SCALING_FORMAT=MLN","Sort=A","Dates=H","DateFormat=P","Fill=—","Direction=H","UseDPDF=Y")</f>
        <v>12061</v>
      </c>
      <c r="U25" s="13">
        <f>_xll.BDH("AMGN US Equity","ARD_ACCRUED_EXPENSES","FQ2 2023","FQ2 2023","Currency=USD","Period=FQ","BEST_FPERIOD_OVERRIDE=FQ","FILING_STATUS=MR","SCALING_FORMAT=MLN","Sort=A","Dates=H","DateFormat=P","Fill=—","Direction=H","UseDPDF=Y")</f>
        <v>13718</v>
      </c>
      <c r="V25" s="13">
        <f>_xll.BDH("AMGN US Equity","ARD_ACCRUED_EXPENSES","FQ3 2023","FQ3 2023","Currency=USD","Period=FQ","BEST_FPERIOD_OVERRIDE=FQ","FILING_STATUS=MR","SCALING_FORMAT=MLN","Sort=A","Dates=H","DateFormat=P","Fill=—","Direction=H","UseDPDF=Y")</f>
        <v>14168</v>
      </c>
      <c r="W25" s="13">
        <f>_xll.BDH("AMGN US Equity","ARD_ACCRUED_EXPENSES","FQ4 2023","FQ4 2023","Currency=USD","Period=FQ","BEST_FPERIOD_OVERRIDE=FQ","FILING_STATUS=MR","SCALING_FORMAT=MLN","Sort=A","Dates=H","DateFormat=P","Fill=—","Direction=H","UseDPDF=Y")</f>
        <v>15359</v>
      </c>
      <c r="X25" s="13">
        <f>_xll.BDH("AMGN US Equity","ARD_ACCRUED_EXPENSES","FQ1 2024","FQ1 2024","Currency=USD","Period=FQ","BEST_FPERIOD_OVERRIDE=FQ","FILING_STATUS=MR","SCALING_FORMAT=MLN","Sort=A","Dates=H","DateFormat=P","Fill=—","Direction=H","UseDPDF=Y")</f>
        <v>14127</v>
      </c>
      <c r="Y25" s="13">
        <f>_xll.BDH("AMGN US Equity","ARD_ACCRUED_EXPENSES","FQ2 2024","FQ2 2024","Currency=USD","Period=FQ","BEST_FPERIOD_OVERRIDE=FQ","FILING_STATUS=MR","SCALING_FORMAT=MLN","Sort=A","Dates=H","DateFormat=P","Fill=—","Direction=H","UseDPDF=Y")</f>
        <v>13722</v>
      </c>
      <c r="Z25" s="13">
        <f>_xll.BDH("AMGN US Equity","ARD_ACCRUED_EXPENSES","FQ3 2024","FQ3 2024","Currency=USD","Period=FQ","BEST_FPERIOD_OVERRIDE=FQ","FILING_STATUS=MR","SCALING_FORMAT=MLN","Sort=A","Dates=H","DateFormat=P","Fill=—","Direction=H","UseDPDF=Y")</f>
        <v>14621</v>
      </c>
      <c r="AA25" s="13">
        <f>_xll.BDH("AMGN US Equity","ARD_ACCRUED_EXPENSES","FQ4 2024","FQ4 2024","Currency=USD","Period=FQ","BEST_FPERIOD_OVERRIDE=FQ","FILING_STATUS=MR","SCALING_FORMAT=MLN","Sort=A","Dates=H","DateFormat=P","Fill=—","Direction=H","UseDPDF=Y")</f>
        <v>17641</v>
      </c>
    </row>
    <row r="26" spans="1:27" x14ac:dyDescent="0.25">
      <c r="A26" s="6" t="s">
        <v>114</v>
      </c>
      <c r="B26" s="6" t="s">
        <v>889</v>
      </c>
      <c r="C26" s="19">
        <f>_xll.BDH("AMGN US Equity","ARD_TOTAL_CURRENT_LIABILITIES","FQ4 2018","FQ4 2018","Currency=USD","Period=FQ","BEST_FPERIOD_OVERRIDE=FQ","FILING_STATUS=MR","SCALING_FORMAT=MLN","Sort=A","Dates=H","DateFormat=P","Fill=—","Direction=H","UseDPDF=Y")</f>
        <v>13488</v>
      </c>
      <c r="D26" s="19">
        <f>_xll.BDH("AMGN US Equity","ARD_TOTAL_CURRENT_LIABILITIES","FQ1 2019","FQ1 2019","Currency=USD","Period=FQ","BEST_FPERIOD_OVERRIDE=FQ","FILING_STATUS=MR","SCALING_FORMAT=MLN","Sort=A","Dates=H","DateFormat=P","Fill=—","Direction=H","UseDPDF=Y")</f>
        <v>12706</v>
      </c>
      <c r="E26" s="19">
        <f>_xll.BDH("AMGN US Equity","ARD_TOTAL_CURRENT_LIABILITIES","FQ2 2019","FQ2 2019","Currency=USD","Period=FQ","BEST_FPERIOD_OVERRIDE=FQ","FILING_STATUS=MR","SCALING_FORMAT=MLN","Sort=A","Dates=H","DateFormat=P","Fill=—","Direction=H","UseDPDF=Y")</f>
        <v>10622</v>
      </c>
      <c r="F26" s="19">
        <f>_xll.BDH("AMGN US Equity","ARD_TOTAL_CURRENT_LIABILITIES","FQ3 2019","FQ3 2019","Currency=USD","Period=FQ","BEST_FPERIOD_OVERRIDE=FQ","FILING_STATUS=MR","SCALING_FORMAT=MLN","Sort=A","Dates=H","DateFormat=P","Fill=—","Direction=H","UseDPDF=Y")</f>
        <v>10737</v>
      </c>
      <c r="G26" s="19">
        <f>_xll.BDH("AMGN US Equity","ARD_TOTAL_CURRENT_LIABILITIES","FQ4 2019","FQ4 2019","Currency=USD","Period=FQ","BEST_FPERIOD_OVERRIDE=FQ","FILING_STATUS=MR","SCALING_FORMAT=MLN","Sort=A","Dates=H","DateFormat=P","Fill=—","Direction=H","UseDPDF=Y")</f>
        <v>12835</v>
      </c>
      <c r="H26" s="19">
        <f>_xll.BDH("AMGN US Equity","ARD_TOTAL_CURRENT_LIABILITIES","FQ1 2020","FQ1 2020","Currency=USD","Period=FQ","BEST_FPERIOD_OVERRIDE=FQ","FILING_STATUS=MR","SCALING_FORMAT=MLN","Sort=A","Dates=H","DateFormat=P","Fill=—","Direction=H","UseDPDF=Y")</f>
        <v>11827</v>
      </c>
      <c r="I26" s="19">
        <f>_xll.BDH("AMGN US Equity","ARD_TOTAL_CURRENT_LIABILITIES","FQ2 2020","FQ2 2020","Currency=USD","Period=FQ","BEST_FPERIOD_OVERRIDE=FQ","FILING_STATUS=MR","SCALING_FORMAT=MLN","Sort=A","Dates=H","DateFormat=P","Fill=—","Direction=H","UseDPDF=Y")</f>
        <v>10523</v>
      </c>
      <c r="J26" s="19">
        <f>_xll.BDH("AMGN US Equity","ARD_TOTAL_CURRENT_LIABILITIES","FQ3 2020","FQ3 2020","Currency=USD","Period=FQ","BEST_FPERIOD_OVERRIDE=FQ","FILING_STATUS=MR","SCALING_FORMAT=MLN","Sort=A","Dates=H","DateFormat=P","Fill=—","Direction=H","UseDPDF=Y")</f>
        <v>9953</v>
      </c>
      <c r="K26" s="19">
        <f>_xll.BDH("AMGN US Equity","ARD_TOTAL_CURRENT_LIABILITIES","FQ4 2020","FQ4 2020","Currency=USD","Period=FQ","BEST_FPERIOD_OVERRIDE=FQ","FILING_STATUS=MR","SCALING_FORMAT=MLN","Sort=A","Dates=H","DateFormat=P","Fill=—","Direction=H","UseDPDF=Y")</f>
        <v>11653</v>
      </c>
      <c r="L26" s="19">
        <f>_xll.BDH("AMGN US Equity","ARD_TOTAL_CURRENT_LIABILITIES","FQ1 2021","FQ1 2021","Currency=USD","Period=FQ","BEST_FPERIOD_OVERRIDE=FQ","FILING_STATUS=MR","SCALING_FORMAT=MLN","Sort=A","Dates=H","DateFormat=P","Fill=—","Direction=H","UseDPDF=Y")</f>
        <v>12869</v>
      </c>
      <c r="M26" s="19">
        <f>_xll.BDH("AMGN US Equity","ARD_TOTAL_CURRENT_LIABILITIES","FQ2 2021","FQ2 2021","Currency=USD","Period=FQ","BEST_FPERIOD_OVERRIDE=FQ","FILING_STATUS=MR","SCALING_FORMAT=MLN","Sort=A","Dates=H","DateFormat=P","Fill=—","Direction=H","UseDPDF=Y")</f>
        <v>14585</v>
      </c>
      <c r="N26" s="19">
        <f>_xll.BDH("AMGN US Equity","ARD_TOTAL_CURRENT_LIABILITIES","FQ3 2021","FQ3 2021","Currency=USD","Period=FQ","BEST_FPERIOD_OVERRIDE=FQ","FILING_STATUS=MR","SCALING_FORMAT=MLN","Sort=A","Dates=H","DateFormat=P","Fill=—","Direction=H","UseDPDF=Y")</f>
        <v>14842</v>
      </c>
      <c r="O26" s="19">
        <f>_xll.BDH("AMGN US Equity","ARD_TOTAL_CURRENT_LIABILITIES","FQ4 2021","FQ4 2021","Currency=USD","Period=FQ","BEST_FPERIOD_OVERRIDE=FQ","FILING_STATUS=MR","SCALING_FORMAT=MLN","Sort=A","Dates=H","DateFormat=P","Fill=—","Direction=H","UseDPDF=Y")</f>
        <v>12184</v>
      </c>
      <c r="P26" s="19">
        <f>_xll.BDH("AMGN US Equity","ARD_TOTAL_CURRENT_LIABILITIES","FQ1 2022","FQ1 2022","Currency=USD","Period=FQ","BEST_FPERIOD_OVERRIDE=FQ","FILING_STATUS=MR","SCALING_FORMAT=MLN","Sort=A","Dates=H","DateFormat=P","Fill=—","Direction=H","UseDPDF=Y")</f>
        <v>12886</v>
      </c>
      <c r="Q26" s="19">
        <f>_xll.BDH("AMGN US Equity","ARD_TOTAL_CURRENT_LIABILITIES","FQ2 2022","FQ2 2022","Currency=USD","Period=FQ","BEST_FPERIOD_OVERRIDE=FQ","FILING_STATUS=MR","SCALING_FORMAT=MLN","Sort=A","Dates=H","DateFormat=P","Fill=—","Direction=H","UseDPDF=Y")</f>
        <v>12618</v>
      </c>
      <c r="R26" s="19">
        <f>_xll.BDH("AMGN US Equity","ARD_TOTAL_CURRENT_LIABILITIES","FQ3 2022","FQ3 2022","Currency=USD","Period=FQ","BEST_FPERIOD_OVERRIDE=FQ","FILING_STATUS=MR","SCALING_FORMAT=MLN","Sort=A","Dates=H","DateFormat=P","Fill=—","Direction=H","UseDPDF=Y")</f>
        <v>14331</v>
      </c>
      <c r="S26" s="19">
        <f>_xll.BDH("AMGN US Equity","ARD_TOTAL_CURRENT_LIABILITIES","FQ4 2022","FQ4 2022","Currency=USD","Period=FQ","BEST_FPERIOD_OVERRIDE=FQ","FILING_STATUS=MR","SCALING_FORMAT=MLN","Sort=A","Dates=H","DateFormat=P","Fill=—","Direction=H","UseDPDF=Y")</f>
        <v>15687</v>
      </c>
      <c r="T26" s="19">
        <f>_xll.BDH("AMGN US Equity","ARD_TOTAL_CURRENT_LIABILITIES","FQ1 2023","FQ1 2023","Currency=USD","Period=FQ","BEST_FPERIOD_OVERRIDE=FQ","FILING_STATUS=MR","SCALING_FORMAT=MLN","Sort=A","Dates=H","DateFormat=P","Fill=—","Direction=H","UseDPDF=Y")</f>
        <v>14215</v>
      </c>
      <c r="U26" s="19">
        <f>_xll.BDH("AMGN US Equity","ARD_TOTAL_CURRENT_LIABILITIES","FQ2 2023","FQ2 2023","Currency=USD","Period=FQ","BEST_FPERIOD_OVERRIDE=FQ","FILING_STATUS=MR","SCALING_FORMAT=MLN","Sort=A","Dates=H","DateFormat=P","Fill=—","Direction=H","UseDPDF=Y")</f>
        <v>17097</v>
      </c>
      <c r="V26" s="19">
        <f>_xll.BDH("AMGN US Equity","ARD_TOTAL_CURRENT_LIABILITIES","FQ3 2023","FQ3 2023","Currency=USD","Period=FQ","BEST_FPERIOD_OVERRIDE=FQ","FILING_STATUS=MR","SCALING_FORMAT=MLN","Sort=A","Dates=H","DateFormat=P","Fill=—","Direction=H","UseDPDF=Y")</f>
        <v>16954</v>
      </c>
      <c r="W26" s="19">
        <f>_xll.BDH("AMGN US Equity","ARD_TOTAL_CURRENT_LIABILITIES","FQ4 2023","FQ4 2023","Currency=USD","Period=FQ","BEST_FPERIOD_OVERRIDE=FQ","FILING_STATUS=MR","SCALING_FORMAT=MLN","Sort=A","Dates=H","DateFormat=P","Fill=—","Direction=H","UseDPDF=Y")</f>
        <v>18392</v>
      </c>
      <c r="X26" s="19">
        <f>_xll.BDH("AMGN US Equity","ARD_TOTAL_CURRENT_LIABILITIES","FQ1 2024","FQ1 2024","Currency=USD","Period=FQ","BEST_FPERIOD_OVERRIDE=FQ","FILING_STATUS=MR","SCALING_FORMAT=MLN","Sort=A","Dates=H","DateFormat=P","Fill=—","Direction=H","UseDPDF=Y")</f>
        <v>19714</v>
      </c>
      <c r="Y26" s="19">
        <f>_xll.BDH("AMGN US Equity","ARD_TOTAL_CURRENT_LIABILITIES","FQ2 2024","FQ2 2024","Currency=USD","Period=FQ","BEST_FPERIOD_OVERRIDE=FQ","FILING_STATUS=MR","SCALING_FORMAT=MLN","Sort=A","Dates=H","DateFormat=P","Fill=—","Direction=H","UseDPDF=Y")</f>
        <v>21517</v>
      </c>
      <c r="Z26" s="19">
        <f>_xll.BDH("AMGN US Equity","ARD_TOTAL_CURRENT_LIABILITIES","FQ3 2024","FQ3 2024","Currency=USD","Period=FQ","BEST_FPERIOD_OVERRIDE=FQ","FILING_STATUS=MR","SCALING_FORMAT=MLN","Sort=A","Dates=H","DateFormat=P","Fill=—","Direction=H","UseDPDF=Y")</f>
        <v>20312</v>
      </c>
      <c r="AA26" s="19">
        <f>_xll.BDH("AMGN US Equity","ARD_TOTAL_CURRENT_LIABILITIES","FQ4 2024","FQ4 2024","Currency=USD","Period=FQ","BEST_FPERIOD_OVERRIDE=FQ","FILING_STATUS=MR","SCALING_FORMAT=MLN","Sort=A","Dates=H","DateFormat=P","Fill=—","Direction=H","UseDPDF=Y")</f>
        <v>23099</v>
      </c>
    </row>
    <row r="27" spans="1:27" x14ac:dyDescent="0.25">
      <c r="A27" s="10" t="s">
        <v>890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x14ac:dyDescent="0.25">
      <c r="A28" s="10" t="s">
        <v>809</v>
      </c>
      <c r="B28" s="10" t="s">
        <v>891</v>
      </c>
      <c r="C28" s="13" t="str">
        <f>_xll.BDH("AMGN US Equity","ARD_TOT_NONCURRENT_LIABILITIES","FQ4 2018","FQ4 2018","Currency=USD","Period=FQ","BEST_FPERIOD_OVERRIDE=FQ","FILING_STATUS=MR","SCALING_FORMAT=MLN","Sort=A","Dates=H","DateFormat=P","Fill=—","Direction=H","UseDPDF=Y")</f>
        <v>—</v>
      </c>
      <c r="D28" s="13" t="str">
        <f>_xll.BDH("AMGN US Equity","ARD_TOT_NONCURRENT_LIABILITIES","FQ1 2019","FQ1 2019","Currency=USD","Period=FQ","BEST_FPERIOD_OVERRIDE=FQ","FILING_STATUS=MR","SCALING_FORMAT=MLN","Sort=A","Dates=H","DateFormat=P","Fill=—","Direction=H","UseDPDF=Y")</f>
        <v>—</v>
      </c>
      <c r="E28" s="13" t="str">
        <f>_xll.BDH("AMGN US Equity","ARD_TOT_NONCURRENT_LIABILITIES","FQ2 2019","FQ2 2019","Currency=USD","Period=FQ","BEST_FPERIOD_OVERRIDE=FQ","FILING_STATUS=MR","SCALING_FORMAT=MLN","Sort=A","Dates=H","DateFormat=P","Fill=—","Direction=H","UseDPDF=Y")</f>
        <v>—</v>
      </c>
      <c r="F28" s="13" t="str">
        <f>_xll.BDH("AMGN US Equity","ARD_TOT_NONCURRENT_LIABILITIES","FQ3 2019","FQ3 2019","Currency=USD","Period=FQ","BEST_FPERIOD_OVERRIDE=FQ","FILING_STATUS=MR","SCALING_FORMAT=MLN","Sort=A","Dates=H","DateFormat=P","Fill=—","Direction=H","UseDPDF=Y")</f>
        <v>—</v>
      </c>
      <c r="G28" s="13" t="str">
        <f>_xll.BDH("AMGN US Equity","ARD_TOT_NONCURRENT_LIABILITIES","FQ4 2019","FQ4 2019","Currency=USD","Period=FQ","BEST_FPERIOD_OVERRIDE=FQ","FILING_STATUS=MR","SCALING_FORMAT=MLN","Sort=A","Dates=H","DateFormat=P","Fill=—","Direction=H","UseDPDF=Y")</f>
        <v>—</v>
      </c>
      <c r="H28" s="13" t="str">
        <f>_xll.BDH("AMGN US Equity","ARD_TOT_NONCURRENT_LIABILITIES","FQ1 2020","FQ1 2020","Currency=USD","Period=FQ","BEST_FPERIOD_OVERRIDE=FQ","FILING_STATUS=MR","SCALING_FORMAT=MLN","Sort=A","Dates=H","DateFormat=P","Fill=—","Direction=H","UseDPDF=Y")</f>
        <v>—</v>
      </c>
      <c r="I28" s="13" t="str">
        <f>_xll.BDH("AMGN US Equity","ARD_TOT_NONCURRENT_LIABILITIES","FQ2 2020","FQ2 2020","Currency=USD","Period=FQ","BEST_FPERIOD_OVERRIDE=FQ","FILING_STATUS=MR","SCALING_FORMAT=MLN","Sort=A","Dates=H","DateFormat=P","Fill=—","Direction=H","UseDPDF=Y")</f>
        <v>—</v>
      </c>
      <c r="J28" s="13" t="str">
        <f>_xll.BDH("AMGN US Equity","ARD_TOT_NONCURRENT_LIABILITIES","FQ3 2020","FQ3 2020","Currency=USD","Period=FQ","BEST_FPERIOD_OVERRIDE=FQ","FILING_STATUS=MR","SCALING_FORMAT=MLN","Sort=A","Dates=H","DateFormat=P","Fill=—","Direction=H","UseDPDF=Y")</f>
        <v>—</v>
      </c>
      <c r="K28" s="13">
        <f>_xll.BDH("AMGN US Equity","ARD_TOT_NONCURRENT_LIABILITIES","FQ4 2020","FQ4 2020","Currency=USD","Period=FQ","BEST_FPERIOD_OVERRIDE=FQ","FILING_STATUS=MR","SCALING_FORMAT=MLN","Sort=A","Dates=H","DateFormat=P","Fill=—","Direction=H","UseDPDF=Y")</f>
        <v>41886</v>
      </c>
      <c r="L28" s="13" t="str">
        <f>_xll.BDH("AMGN US Equity","ARD_TOT_NONCURRENT_LIABILITIES","FQ1 2021","FQ1 2021","Currency=USD","Period=FQ","BEST_FPERIOD_OVERRIDE=FQ","FILING_STATUS=MR","SCALING_FORMAT=MLN","Sort=A","Dates=H","DateFormat=P","Fill=—","Direction=H","UseDPDF=Y")</f>
        <v>—</v>
      </c>
      <c r="M28" s="13" t="str">
        <f>_xll.BDH("AMGN US Equity","ARD_TOT_NONCURRENT_LIABILITIES","FQ2 2021","FQ2 2021","Currency=USD","Period=FQ","BEST_FPERIOD_OVERRIDE=FQ","FILING_STATUS=MR","SCALING_FORMAT=MLN","Sort=A","Dates=H","DateFormat=P","Fill=—","Direction=H","UseDPDF=Y")</f>
        <v>—</v>
      </c>
      <c r="N28" s="13" t="str">
        <f>_xll.BDH("AMGN US Equity","ARD_TOT_NONCURRENT_LIABILITIES","FQ3 2021","FQ3 2021","Currency=USD","Period=FQ","BEST_FPERIOD_OVERRIDE=FQ","FILING_STATUS=MR","SCALING_FORMAT=MLN","Sort=A","Dates=H","DateFormat=P","Fill=—","Direction=H","UseDPDF=Y")</f>
        <v>—</v>
      </c>
      <c r="O28" s="13">
        <f>_xll.BDH("AMGN US Equity","ARD_TOT_NONCURRENT_LIABILITIES","FQ4 2021","FQ4 2021","Currency=USD","Period=FQ","BEST_FPERIOD_OVERRIDE=FQ","FILING_STATUS=MR","SCALING_FORMAT=MLN","Sort=A","Dates=H","DateFormat=P","Fill=—","Direction=H","UseDPDF=Y")</f>
        <v>42281</v>
      </c>
      <c r="P28" s="13" t="str">
        <f>_xll.BDH("AMGN US Equity","ARD_TOT_NONCURRENT_LIABILITIES","FQ1 2022","FQ1 2022","Currency=USD","Period=FQ","BEST_FPERIOD_OVERRIDE=FQ","FILING_STATUS=MR","SCALING_FORMAT=MLN","Sort=A","Dates=H","DateFormat=P","Fill=—","Direction=H","UseDPDF=Y")</f>
        <v>—</v>
      </c>
      <c r="Q28" s="13" t="str">
        <f>_xll.BDH("AMGN US Equity","ARD_TOT_NONCURRENT_LIABILITIES","FQ2 2022","FQ2 2022","Currency=USD","Period=FQ","BEST_FPERIOD_OVERRIDE=FQ","FILING_STATUS=MR","SCALING_FORMAT=MLN","Sort=A","Dates=H","DateFormat=P","Fill=—","Direction=H","UseDPDF=Y")</f>
        <v>—</v>
      </c>
      <c r="R28" s="13" t="str">
        <f>_xll.BDH("AMGN US Equity","ARD_TOT_NONCURRENT_LIABILITIES","FQ3 2022","FQ3 2022","Currency=USD","Period=FQ","BEST_FPERIOD_OVERRIDE=FQ","FILING_STATUS=MR","SCALING_FORMAT=MLN","Sort=A","Dates=H","DateFormat=P","Fill=—","Direction=H","UseDPDF=Y")</f>
        <v>—</v>
      </c>
      <c r="S28" s="13">
        <f>_xll.BDH("AMGN US Equity","ARD_TOT_NONCURRENT_LIABILITIES","FQ4 2022","FQ4 2022","Currency=USD","Period=FQ","BEST_FPERIOD_OVERRIDE=FQ","FILING_STATUS=MR","SCALING_FORMAT=MLN","Sort=A","Dates=H","DateFormat=P","Fill=—","Direction=H","UseDPDF=Y")</f>
        <v>45773</v>
      </c>
      <c r="T28" s="13">
        <f>_xll.BDH("AMGN US Equity","ARD_TOT_NONCURRENT_LIABILITIES","FQ1 2023","FQ1 2023","Currency=USD","Period=FQ","BEST_FPERIOD_OVERRIDE=FQ","FILING_STATUS=MR","SCALING_FORMAT=MLN","Sort=A","Dates=H","DateFormat=P","Fill=—","Direction=H","UseDPDF=Y")</f>
        <v>69157</v>
      </c>
      <c r="U28" s="13">
        <f>_xll.BDH("AMGN US Equity","ARD_TOT_NONCURRENT_LIABILITIES","FQ2 2023","FQ2 2023","Currency=USD","Period=FQ","BEST_FPERIOD_OVERRIDE=FQ","FILING_STATUS=MR","SCALING_FORMAT=MLN","Sort=A","Dates=H","DateFormat=P","Fill=—","Direction=H","UseDPDF=Y")</f>
        <v>66391</v>
      </c>
      <c r="V28" s="13">
        <f>_xll.BDH("AMGN US Equity","ARD_TOT_NONCURRENT_LIABILITIES","FQ3 2023","FQ3 2023","Currency=USD","Period=FQ","BEST_FPERIOD_OVERRIDE=FQ","FILING_STATUS=MR","SCALING_FORMAT=MLN","Sort=A","Dates=H","DateFormat=P","Fill=—","Direction=H","UseDPDF=Y")</f>
        <v>65924</v>
      </c>
      <c r="W28" s="13">
        <f>_xll.BDH("AMGN US Equity","ARD_TOT_NONCURRENT_LIABILITIES","FQ4 2023","FQ4 2023","Currency=USD","Period=FQ","BEST_FPERIOD_OVERRIDE=FQ","FILING_STATUS=MR","SCALING_FORMAT=MLN","Sort=A","Dates=H","DateFormat=P","Fill=—","Direction=H","UseDPDF=Y")</f>
        <v>72530</v>
      </c>
      <c r="X28" s="13">
        <f>_xll.BDH("AMGN US Equity","ARD_TOT_NONCURRENT_LIABILITIES","FQ1 2024","FQ1 2024","Currency=USD","Period=FQ","BEST_FPERIOD_OVERRIDE=FQ","FILING_STATUS=MR","SCALING_FORMAT=MLN","Sort=A","Dates=H","DateFormat=P","Fill=—","Direction=H","UseDPDF=Y")</f>
        <v>68244</v>
      </c>
      <c r="Y28" s="13">
        <f>_xll.BDH("AMGN US Equity","ARD_TOT_NONCURRENT_LIABILITIES","FQ2 2024","FQ2 2024","Currency=USD","Period=FQ","BEST_FPERIOD_OVERRIDE=FQ","FILING_STATUS=MR","SCALING_FORMAT=MLN","Sort=A","Dates=H","DateFormat=P","Fill=—","Direction=H","UseDPDF=Y")</f>
        <v>63465</v>
      </c>
      <c r="Z28" s="13" t="str">
        <f>_xll.BDH("AMGN US Equity","ARD_TOT_NONCURRENT_LIABILITIES","FQ3 2024","FQ3 2024","Currency=USD","Period=FQ","BEST_FPERIOD_OVERRIDE=FQ","FILING_STATUS=MR","SCALING_FORMAT=MLN","Sort=A","Dates=H","DateFormat=P","Fill=—","Direction=H","UseDPDF=Y")</f>
        <v>—</v>
      </c>
      <c r="AA28" s="13" t="str">
        <f>_xll.BDH("AMGN US Equity","ARD_TOT_NONCURRENT_LIABILITIES","FQ4 2024","FQ4 2024","Currency=USD","Period=FQ","BEST_FPERIOD_OVERRIDE=FQ","FILING_STATUS=MR","SCALING_FORMAT=MLN","Sort=A","Dates=H","DateFormat=P","Fill=—","Direction=H","UseDPDF=Y")</f>
        <v>—</v>
      </c>
    </row>
    <row r="29" spans="1:27" x14ac:dyDescent="0.25">
      <c r="A29" s="10" t="s">
        <v>892</v>
      </c>
      <c r="B29" s="10" t="s">
        <v>893</v>
      </c>
      <c r="C29" s="13">
        <f>_xll.BDH("AMGN US Equity","ARD_LT_DEBT","FQ4 2018","FQ4 2018","Currency=USD","Period=FQ","BEST_FPERIOD_OVERRIDE=FQ","FILING_STATUS=MR","SCALING_FORMAT=MLN","Sort=A","Dates=H","DateFormat=P","Fill=—","Direction=H","UseDPDF=Y")</f>
        <v>29510</v>
      </c>
      <c r="D29" s="13">
        <f>_xll.BDH("AMGN US Equity","ARD_LT_DEBT","FQ1 2019","FQ1 2019","Currency=USD","Period=FQ","BEST_FPERIOD_OVERRIDE=FQ","FILING_STATUS=MR","SCALING_FORMAT=MLN","Sort=A","Dates=H","DateFormat=P","Fill=—","Direction=H","UseDPDF=Y")</f>
        <v>29319</v>
      </c>
      <c r="E29" s="13">
        <f>_xll.BDH("AMGN US Equity","ARD_LT_DEBT","FQ2 2019","FQ2 2019","Currency=USD","Period=FQ","BEST_FPERIOD_OVERRIDE=FQ","FILING_STATUS=MR","SCALING_FORMAT=MLN","Sort=A","Dates=H","DateFormat=P","Fill=—","Direction=H","UseDPDF=Y")</f>
        <v>27798</v>
      </c>
      <c r="F29" s="13">
        <f>_xll.BDH("AMGN US Equity","ARD_LT_DEBT","FQ3 2019","FQ3 2019","Currency=USD","Period=FQ","BEST_FPERIOD_OVERRIDE=FQ","FILING_STATUS=MR","SCALING_FORMAT=MLN","Sort=A","Dates=H","DateFormat=P","Fill=—","Direction=H","UseDPDF=Y")</f>
        <v>27742</v>
      </c>
      <c r="G29" s="13">
        <f>_xll.BDH("AMGN US Equity","ARD_LT_DEBT","FQ4 2019","FQ4 2019","Currency=USD","Period=FQ","BEST_FPERIOD_OVERRIDE=FQ","FILING_STATUS=MR","SCALING_FORMAT=MLN","Sort=A","Dates=H","DateFormat=P","Fill=—","Direction=H","UseDPDF=Y")</f>
        <v>26950</v>
      </c>
      <c r="H29" s="13">
        <f>_xll.BDH("AMGN US Equity","ARD_LT_DEBT","FQ1 2020","FQ1 2020","Currency=USD","Period=FQ","BEST_FPERIOD_OVERRIDE=FQ","FILING_STATUS=MR","SCALING_FORMAT=MLN","Sort=A","Dates=H","DateFormat=P","Fill=—","Direction=H","UseDPDF=Y")</f>
        <v>30008</v>
      </c>
      <c r="I29" s="13">
        <f>_xll.BDH("AMGN US Equity","ARD_LT_DEBT","FQ2 2020","FQ2 2020","Currency=USD","Period=FQ","BEST_FPERIOD_OVERRIDE=FQ","FILING_STATUS=MR","SCALING_FORMAT=MLN","Sort=A","Dates=H","DateFormat=P","Fill=—","Direction=H","UseDPDF=Y")</f>
        <v>34133</v>
      </c>
      <c r="J29" s="13">
        <f>_xll.BDH("AMGN US Equity","ARD_LT_DEBT","FQ3 2020","FQ3 2020","Currency=USD","Period=FQ","BEST_FPERIOD_OVERRIDE=FQ","FILING_STATUS=MR","SCALING_FORMAT=MLN","Sort=A","Dates=H","DateFormat=P","Fill=—","Direction=H","UseDPDF=Y")</f>
        <v>34196</v>
      </c>
      <c r="K29" s="13">
        <f>_xll.BDH("AMGN US Equity","ARD_LT_DEBT","FQ4 2020","FQ4 2020","Currency=USD","Period=FQ","BEST_FPERIOD_OVERRIDE=FQ","FILING_STATUS=MR","SCALING_FORMAT=MLN","Sort=A","Dates=H","DateFormat=P","Fill=—","Direction=H","UseDPDF=Y")</f>
        <v>32895</v>
      </c>
      <c r="L29" s="13">
        <f>_xll.BDH("AMGN US Equity","ARD_LT_DEBT","FQ1 2021","FQ1 2021","Currency=USD","Period=FQ","BEST_FPERIOD_OVERRIDE=FQ","FILING_STATUS=MR","SCALING_FORMAT=MLN","Sort=A","Dates=H","DateFormat=P","Fill=—","Direction=H","UseDPDF=Y")</f>
        <v>31129</v>
      </c>
      <c r="M29" s="13">
        <f>_xll.BDH("AMGN US Equity","ARD_LT_DEBT","FQ2 2021","FQ2 2021","Currency=USD","Period=FQ","BEST_FPERIOD_OVERRIDE=FQ","FILING_STATUS=MR","SCALING_FORMAT=MLN","Sort=A","Dates=H","DateFormat=P","Fill=—","Direction=H","UseDPDF=Y")</f>
        <v>28458</v>
      </c>
      <c r="N29" s="13">
        <f>_xll.BDH("AMGN US Equity","ARD_LT_DEBT","FQ3 2021","FQ3 2021","Currency=USD","Period=FQ","BEST_FPERIOD_OVERRIDE=FQ","FILING_STATUS=MR","SCALING_FORMAT=MLN","Sort=A","Dates=H","DateFormat=P","Fill=—","Direction=H","UseDPDF=Y")</f>
        <v>33291</v>
      </c>
      <c r="O29" s="13">
        <f>_xll.BDH("AMGN US Equity","ARD_LT_DEBT","FQ4 2021","FQ4 2021","Currency=USD","Period=FQ","BEST_FPERIOD_OVERRIDE=FQ","FILING_STATUS=MR","SCALING_FORMAT=MLN","Sort=A","Dates=H","DateFormat=P","Fill=—","Direction=H","UseDPDF=Y")</f>
        <v>33222</v>
      </c>
      <c r="P29" s="13">
        <f>_xll.BDH("AMGN US Equity","ARD_LT_DEBT","FQ1 2022","FQ1 2022","Currency=USD","Period=FQ","BEST_FPERIOD_OVERRIDE=FQ","FILING_STATUS=MR","SCALING_FORMAT=MLN","Sort=A","Dates=H","DateFormat=P","Fill=—","Direction=H","UseDPDF=Y")</f>
        <v>36010</v>
      </c>
      <c r="Q29" s="13">
        <f>_xll.BDH("AMGN US Equity","ARD_LT_DEBT","FQ2 2022","FQ2 2022","Currency=USD","Period=FQ","BEST_FPERIOD_OVERRIDE=FQ","FILING_STATUS=MR","SCALING_FORMAT=MLN","Sort=A","Dates=H","DateFormat=P","Fill=—","Direction=H","UseDPDF=Y")</f>
        <v>35705</v>
      </c>
      <c r="R29" s="13">
        <f>_xll.BDH("AMGN US Equity","ARD_LT_DEBT","FQ3 2022","FQ3 2022","Currency=USD","Period=FQ","BEST_FPERIOD_OVERRIDE=FQ","FILING_STATUS=MR","SCALING_FORMAT=MLN","Sort=A","Dates=H","DateFormat=P","Fill=—","Direction=H","UseDPDF=Y")</f>
        <v>37161</v>
      </c>
      <c r="S29" s="13">
        <f>_xll.BDH("AMGN US Equity","ARD_LT_DEBT","FQ4 2022","FQ4 2022","Currency=USD","Period=FQ","BEST_FPERIOD_OVERRIDE=FQ","FILING_STATUS=MR","SCALING_FORMAT=MLN","Sort=A","Dates=H","DateFormat=P","Fill=—","Direction=H","UseDPDF=Y")</f>
        <v>37354</v>
      </c>
      <c r="T29" s="13">
        <f>_xll.BDH("AMGN US Equity","ARD_LT_DEBT","FQ1 2023","FQ1 2023","Currency=USD","Period=FQ","BEST_FPERIOD_OVERRIDE=FQ","FILING_STATUS=MR","SCALING_FORMAT=MLN","Sort=A","Dates=H","DateFormat=P","Fill=—","Direction=H","UseDPDF=Y")</f>
        <v>60761</v>
      </c>
      <c r="U29" s="13">
        <f>_xll.BDH("AMGN US Equity","ARD_LT_DEBT","FQ2 2023","FQ2 2023","Currency=USD","Period=FQ","BEST_FPERIOD_OVERRIDE=FQ","FILING_STATUS=MR","SCALING_FORMAT=MLN","Sort=A","Dates=H","DateFormat=P","Fill=—","Direction=H","UseDPDF=Y")</f>
        <v>59377</v>
      </c>
      <c r="V29" s="13">
        <f>_xll.BDH("AMGN US Equity","ARD_LT_DEBT","FQ3 2023","FQ3 2023","Currency=USD","Period=FQ","BEST_FPERIOD_OVERRIDE=FQ","FILING_STATUS=MR","SCALING_FORMAT=MLN","Sort=A","Dates=H","DateFormat=P","Fill=—","Direction=H","UseDPDF=Y")</f>
        <v>59040</v>
      </c>
      <c r="W29" s="13">
        <f>_xll.BDH("AMGN US Equity","ARD_LT_DEBT","FQ4 2023","FQ4 2023","Currency=USD","Period=FQ","BEST_FPERIOD_OVERRIDE=FQ","FILING_STATUS=MR","SCALING_FORMAT=MLN","Sort=A","Dates=H","DateFormat=P","Fill=—","Direction=H","UseDPDF=Y")</f>
        <v>63170</v>
      </c>
      <c r="X29" s="13">
        <f>_xll.BDH("AMGN US Equity","ARD_LT_DEBT","FQ1 2024","FQ1 2024","Currency=USD","Period=FQ","BEST_FPERIOD_OVERRIDE=FQ","FILING_STATUS=MR","SCALING_FORMAT=MLN","Sort=A","Dates=H","DateFormat=P","Fill=—","Direction=H","UseDPDF=Y")</f>
        <v>60061</v>
      </c>
      <c r="Y29" s="13">
        <f>_xll.BDH("AMGN US Equity","ARD_LT_DEBT","FQ2 2024","FQ2 2024","Currency=USD","Period=FQ","BEST_FPERIOD_OVERRIDE=FQ","FILING_STATUS=MR","SCALING_FORMAT=MLN","Sort=A","Dates=H","DateFormat=P","Fill=—","Direction=H","UseDPDF=Y")</f>
        <v>57117</v>
      </c>
      <c r="Z29" s="13">
        <f>_xll.BDH("AMGN US Equity","ARD_LT_DEBT","FQ3 2024","FQ3 2024","Currency=USD","Period=FQ","BEST_FPERIOD_OVERRIDE=FQ","FILING_STATUS=MR","SCALING_FORMAT=MLN","Sort=A","Dates=H","DateFormat=P","Fill=—","Direction=H","UseDPDF=Y")</f>
        <v>56854</v>
      </c>
      <c r="AA29" s="13">
        <f>_xll.BDH("AMGN US Equity","ARD_LT_DEBT","FQ4 2024","FQ4 2024","Currency=USD","Period=FQ","BEST_FPERIOD_OVERRIDE=FQ","FILING_STATUS=MR","SCALING_FORMAT=MLN","Sort=A","Dates=H","DateFormat=P","Fill=—","Direction=H","UseDPDF=Y")</f>
        <v>56549</v>
      </c>
    </row>
    <row r="30" spans="1:27" x14ac:dyDescent="0.25">
      <c r="A30" s="10" t="s">
        <v>894</v>
      </c>
      <c r="B30" s="10" t="s">
        <v>895</v>
      </c>
      <c r="C30" s="13">
        <f>_xll.BDH("AMGN US Equity","ARD_DEFERRED_INCOME_TAXES_LIAB","FQ4 2018","FQ4 2018","Currency=USD","Period=FQ","BEST_FPERIOD_OVERRIDE=FQ","FILING_STATUS=MR","SCALING_FORMAT=MLN","Sort=A","Dates=H","DateFormat=P","Fill=—","Direction=H","UseDPDF=Y")</f>
        <v>864</v>
      </c>
      <c r="D30" s="13">
        <f>_xll.BDH("AMGN US Equity","ARD_DEFERRED_INCOME_TAXES_LIAB","FQ1 2019","FQ1 2019","Currency=USD","Period=FQ","BEST_FPERIOD_OVERRIDE=FQ","FILING_STATUS=MR","SCALING_FORMAT=MLN","Sort=A","Dates=H","DateFormat=P","Fill=—","Direction=H","UseDPDF=Y")</f>
        <v>811</v>
      </c>
      <c r="E30" s="13">
        <f>_xll.BDH("AMGN US Equity","ARD_DEFERRED_INCOME_TAXES_LIAB","FQ2 2019","FQ2 2019","Currency=USD","Period=FQ","BEST_FPERIOD_OVERRIDE=FQ","FILING_STATUS=MR","SCALING_FORMAT=MLN","Sort=A","Dates=H","DateFormat=P","Fill=—","Direction=H","UseDPDF=Y")</f>
        <v>763</v>
      </c>
      <c r="F30" s="13">
        <f>_xll.BDH("AMGN US Equity","ARD_DEFERRED_INCOME_TAXES_LIAB","FQ3 2019","FQ3 2019","Currency=USD","Period=FQ","BEST_FPERIOD_OVERRIDE=FQ","FILING_STATUS=MR","SCALING_FORMAT=MLN","Sort=A","Dates=H","DateFormat=P","Fill=—","Direction=H","UseDPDF=Y")</f>
        <v>665</v>
      </c>
      <c r="G30" s="13" t="str">
        <f>_xll.BDH("AMGN US Equity","ARD_DEFERRED_INCOME_TAXES_LIAB","FQ4 2019","FQ4 2019","Currency=USD","Period=FQ","BEST_FPERIOD_OVERRIDE=FQ","FILING_STATUS=MR","SCALING_FORMAT=MLN","Sort=A","Dates=H","DateFormat=P","Fill=—","Direction=H","UseDPDF=Y")</f>
        <v>—</v>
      </c>
      <c r="H30" s="13">
        <f>_xll.BDH("AMGN US Equity","ARD_DEFERRED_INCOME_TAXES_LIAB","FQ1 2020","FQ1 2020","Currency=USD","Period=FQ","BEST_FPERIOD_OVERRIDE=FQ","FILING_STATUS=MR","SCALING_FORMAT=MLN","Sort=A","Dates=H","DateFormat=P","Fill=—","Direction=H","UseDPDF=Y")</f>
        <v>427</v>
      </c>
      <c r="I30" s="13">
        <f>_xll.BDH("AMGN US Equity","ARD_DEFERRED_INCOME_TAXES_LIAB","FQ2 2020","FQ2 2020","Currency=USD","Period=FQ","BEST_FPERIOD_OVERRIDE=FQ","FILING_STATUS=MR","SCALING_FORMAT=MLN","Sort=A","Dates=H","DateFormat=P","Fill=—","Direction=H","UseDPDF=Y")</f>
        <v>259</v>
      </c>
      <c r="J30" s="13">
        <f>_xll.BDH("AMGN US Equity","ARD_DEFERRED_INCOME_TAXES_LIAB","FQ3 2020","FQ3 2020","Currency=USD","Period=FQ","BEST_FPERIOD_OVERRIDE=FQ","FILING_STATUS=MR","SCALING_FORMAT=MLN","Sort=A","Dates=H","DateFormat=P","Fill=—","Direction=H","UseDPDF=Y")</f>
        <v>210</v>
      </c>
      <c r="K30" s="13" t="str">
        <f>_xll.BDH("AMGN US Equity","ARD_DEFERRED_INCOME_TAXES_LIAB","FQ4 2020","FQ4 2020","Currency=USD","Period=FQ","BEST_FPERIOD_OVERRIDE=FQ","FILING_STATUS=MR","SCALING_FORMAT=MLN","Sort=A","Dates=H","DateFormat=P","Fill=—","Direction=H","UseDPDF=Y")</f>
        <v>—</v>
      </c>
      <c r="L30" s="13" t="str">
        <f>_xll.BDH("AMGN US Equity","ARD_DEFERRED_INCOME_TAXES_LIAB","FQ1 2021","FQ1 2021","Currency=USD","Period=FQ","BEST_FPERIOD_OVERRIDE=FQ","FILING_STATUS=MR","SCALING_FORMAT=MLN","Sort=A","Dates=H","DateFormat=P","Fill=—","Direction=H","UseDPDF=Y")</f>
        <v>—</v>
      </c>
      <c r="M30" s="13" t="str">
        <f>_xll.BDH("AMGN US Equity","ARD_DEFERRED_INCOME_TAXES_LIAB","FQ2 2021","FQ2 2021","Currency=USD","Period=FQ","BEST_FPERIOD_OVERRIDE=FQ","FILING_STATUS=MR","SCALING_FORMAT=MLN","Sort=A","Dates=H","DateFormat=P","Fill=—","Direction=H","UseDPDF=Y")</f>
        <v>—</v>
      </c>
      <c r="N30" s="13" t="str">
        <f>_xll.BDH("AMGN US Equity","ARD_DEFERRED_INCOME_TAXES_LIAB","FQ3 2021","FQ3 2021","Currency=USD","Period=FQ","BEST_FPERIOD_OVERRIDE=FQ","FILING_STATUS=MR","SCALING_FORMAT=MLN","Sort=A","Dates=H","DateFormat=P","Fill=—","Direction=H","UseDPDF=Y")</f>
        <v>—</v>
      </c>
      <c r="O30" s="13" t="str">
        <f>_xll.BDH("AMGN US Equity","ARD_DEFERRED_INCOME_TAXES_LIAB","FQ4 2021","FQ4 2021","Currency=USD","Period=FQ","BEST_FPERIOD_OVERRIDE=FQ","FILING_STATUS=MR","SCALING_FORMAT=MLN","Sort=A","Dates=H","DateFormat=P","Fill=—","Direction=H","UseDPDF=Y")</f>
        <v>—</v>
      </c>
      <c r="P30" s="13" t="str">
        <f>_xll.BDH("AMGN US Equity","ARD_DEFERRED_INCOME_TAXES_LIAB","FQ1 2022","FQ1 2022","Currency=USD","Period=FQ","BEST_FPERIOD_OVERRIDE=FQ","FILING_STATUS=MR","SCALING_FORMAT=MLN","Sort=A","Dates=H","DateFormat=P","Fill=—","Direction=H","UseDPDF=Y")</f>
        <v>—</v>
      </c>
      <c r="Q30" s="13" t="str">
        <f>_xll.BDH("AMGN US Equity","ARD_DEFERRED_INCOME_TAXES_LIAB","FQ2 2022","FQ2 2022","Currency=USD","Period=FQ","BEST_FPERIOD_OVERRIDE=FQ","FILING_STATUS=MR","SCALING_FORMAT=MLN","Sort=A","Dates=H","DateFormat=P","Fill=—","Direction=H","UseDPDF=Y")</f>
        <v>—</v>
      </c>
      <c r="R30" s="13" t="str">
        <f>_xll.BDH("AMGN US Equity","ARD_DEFERRED_INCOME_TAXES_LIAB","FQ3 2022","FQ3 2022","Currency=USD","Period=FQ","BEST_FPERIOD_OVERRIDE=FQ","FILING_STATUS=MR","SCALING_FORMAT=MLN","Sort=A","Dates=H","DateFormat=P","Fill=—","Direction=H","UseDPDF=Y")</f>
        <v>—</v>
      </c>
      <c r="S30" s="13" t="str">
        <f>_xll.BDH("AMGN US Equity","ARD_DEFERRED_INCOME_TAXES_LIAB","FQ4 2022","FQ4 2022","Currency=USD","Period=FQ","BEST_FPERIOD_OVERRIDE=FQ","FILING_STATUS=MR","SCALING_FORMAT=MLN","Sort=A","Dates=H","DateFormat=P","Fill=—","Direction=H","UseDPDF=Y")</f>
        <v>—</v>
      </c>
      <c r="T30" s="13" t="str">
        <f>_xll.BDH("AMGN US Equity","ARD_DEFERRED_INCOME_TAXES_LIAB","FQ1 2023","FQ1 2023","Currency=USD","Period=FQ","BEST_FPERIOD_OVERRIDE=FQ","FILING_STATUS=MR","SCALING_FORMAT=MLN","Sort=A","Dates=H","DateFormat=P","Fill=—","Direction=H","UseDPDF=Y")</f>
        <v>—</v>
      </c>
      <c r="U30" s="13" t="str">
        <f>_xll.BDH("AMGN US Equity","ARD_DEFERRED_INCOME_TAXES_LIAB","FQ2 2023","FQ2 2023","Currency=USD","Period=FQ","BEST_FPERIOD_OVERRIDE=FQ","FILING_STATUS=MR","SCALING_FORMAT=MLN","Sort=A","Dates=H","DateFormat=P","Fill=—","Direction=H","UseDPDF=Y")</f>
        <v>—</v>
      </c>
      <c r="V30" s="13" t="str">
        <f>_xll.BDH("AMGN US Equity","ARD_DEFERRED_INCOME_TAXES_LIAB","FQ3 2023","FQ3 2023","Currency=USD","Period=FQ","BEST_FPERIOD_OVERRIDE=FQ","FILING_STATUS=MR","SCALING_FORMAT=MLN","Sort=A","Dates=H","DateFormat=P","Fill=—","Direction=H","UseDPDF=Y")</f>
        <v>—</v>
      </c>
      <c r="W30" s="13">
        <f>_xll.BDH("AMGN US Equity","ARD_DEFERRED_INCOME_TAXES_LIAB","FQ4 2023","FQ4 2023","Currency=USD","Period=FQ","BEST_FPERIOD_OVERRIDE=FQ","FILING_STATUS=MR","SCALING_FORMAT=MLN","Sort=A","Dates=H","DateFormat=P","Fill=—","Direction=H","UseDPDF=Y")</f>
        <v>2354</v>
      </c>
      <c r="X30" s="13">
        <f>_xll.BDH("AMGN US Equity","ARD_DEFERRED_INCOME_TAXES_LIAB","FQ1 2024","FQ1 2024","Currency=USD","Period=FQ","BEST_FPERIOD_OVERRIDE=FQ","FILING_STATUS=MR","SCALING_FORMAT=MLN","Sort=A","Dates=H","DateFormat=P","Fill=—","Direction=H","UseDPDF=Y")</f>
        <v>1862</v>
      </c>
      <c r="Y30" s="13">
        <f>_xll.BDH("AMGN US Equity","ARD_DEFERRED_INCOME_TAXES_LIAB","FQ2 2024","FQ2 2024","Currency=USD","Period=FQ","BEST_FPERIOD_OVERRIDE=FQ","FILING_STATUS=MR","SCALING_FORMAT=MLN","Sort=A","Dates=H","DateFormat=P","Fill=—","Direction=H","UseDPDF=Y")</f>
        <v>1780</v>
      </c>
      <c r="Z30" s="13">
        <f>_xll.BDH("AMGN US Equity","ARD_DEFERRED_INCOME_TAXES_LIAB","FQ3 2024","FQ3 2024","Currency=USD","Period=FQ","BEST_FPERIOD_OVERRIDE=FQ","FILING_STATUS=MR","SCALING_FORMAT=MLN","Sort=A","Dates=H","DateFormat=P","Fill=—","Direction=H","UseDPDF=Y")</f>
        <v>1711</v>
      </c>
      <c r="AA30" s="13">
        <f>_xll.BDH("AMGN US Equity","ARD_DEFERRED_INCOME_TAXES_LIAB","FQ4 2024","FQ4 2024","Currency=USD","Period=FQ","BEST_FPERIOD_OVERRIDE=FQ","FILING_STATUS=MR","SCALING_FORMAT=MLN","Sort=A","Dates=H","DateFormat=P","Fill=—","Direction=H","UseDPDF=Y")</f>
        <v>1616</v>
      </c>
    </row>
    <row r="31" spans="1:27" x14ac:dyDescent="0.25">
      <c r="A31" s="10" t="s">
        <v>896</v>
      </c>
      <c r="B31" s="10" t="s">
        <v>897</v>
      </c>
      <c r="C31" s="13">
        <f>_xll.BDH("AMGN US Equity","ARD_OTH_NONCURRENT_LIABILITIES","FQ4 2018","FQ4 2018","Currency=USD","Period=FQ","BEST_FPERIOD_OVERRIDE=FQ","FILING_STATUS=MR","SCALING_FORMAT=MLN","Sort=A","Dates=H","DateFormat=P","Fill=—","Direction=H","UseDPDF=Y")</f>
        <v>1284</v>
      </c>
      <c r="D31" s="13">
        <f>_xll.BDH("AMGN US Equity","ARD_OTH_NONCURRENT_LIABILITIES","FQ1 2019","FQ1 2019","Currency=USD","Period=FQ","BEST_FPERIOD_OVERRIDE=FQ","FILING_STATUS=MR","SCALING_FORMAT=MLN","Sort=A","Dates=H","DateFormat=P","Fill=—","Direction=H","UseDPDF=Y")</f>
        <v>1460</v>
      </c>
      <c r="E31" s="13">
        <f>_xll.BDH("AMGN US Equity","ARD_OTH_NONCURRENT_LIABILITIES","FQ2 2019","FQ2 2019","Currency=USD","Period=FQ","BEST_FPERIOD_OVERRIDE=FQ","FILING_STATUS=MR","SCALING_FORMAT=MLN","Sort=A","Dates=H","DateFormat=P","Fill=—","Direction=H","UseDPDF=Y")</f>
        <v>1535</v>
      </c>
      <c r="F31" s="13">
        <f>_xll.BDH("AMGN US Equity","ARD_OTH_NONCURRENT_LIABILITIES","FQ3 2019","FQ3 2019","Currency=USD","Period=FQ","BEST_FPERIOD_OVERRIDE=FQ","FILING_STATUS=MR","SCALING_FORMAT=MLN","Sort=A","Dates=H","DateFormat=P","Fill=—","Direction=H","UseDPDF=Y")</f>
        <v>1543</v>
      </c>
      <c r="G31" s="13">
        <f>_xll.BDH("AMGN US Equity","ARD_OTH_NONCURRENT_LIABILITIES","FQ4 2019","FQ4 2019","Currency=USD","Period=FQ","BEST_FPERIOD_OVERRIDE=FQ","FILING_STATUS=MR","SCALING_FORMAT=MLN","Sort=A","Dates=H","DateFormat=P","Fill=—","Direction=H","UseDPDF=Y")</f>
        <v>2212</v>
      </c>
      <c r="H31" s="13">
        <f>_xll.BDH("AMGN US Equity","ARD_OTH_NONCURRENT_LIABILITIES","FQ1 2020","FQ1 2020","Currency=USD","Period=FQ","BEST_FPERIOD_OVERRIDE=FQ","FILING_STATUS=MR","SCALING_FORMAT=MLN","Sort=A","Dates=H","DateFormat=P","Fill=—","Direction=H","UseDPDF=Y")</f>
        <v>1811</v>
      </c>
      <c r="I31" s="13">
        <f>_xll.BDH("AMGN US Equity","ARD_OTH_NONCURRENT_LIABILITIES","FQ2 2020","FQ2 2020","Currency=USD","Period=FQ","BEST_FPERIOD_OVERRIDE=FQ","FILING_STATUS=MR","SCALING_FORMAT=MLN","Sort=A","Dates=H","DateFormat=P","Fill=—","Direction=H","UseDPDF=Y")</f>
        <v>1881</v>
      </c>
      <c r="J31" s="13">
        <f>_xll.BDH("AMGN US Equity","ARD_OTH_NONCURRENT_LIABILITIES","FQ3 2020","FQ3 2020","Currency=USD","Period=FQ","BEST_FPERIOD_OVERRIDE=FQ","FILING_STATUS=MR","SCALING_FORMAT=MLN","Sort=A","Dates=H","DateFormat=P","Fill=—","Direction=H","UseDPDF=Y")</f>
        <v>1759</v>
      </c>
      <c r="K31" s="13">
        <f>_xll.BDH("AMGN US Equity","ARD_OTH_NONCURRENT_LIABILITIES","FQ4 2020","FQ4 2020","Currency=USD","Period=FQ","BEST_FPERIOD_OVERRIDE=FQ","FILING_STATUS=MR","SCALING_FORMAT=MLN","Sort=A","Dates=H","DateFormat=P","Fill=—","Direction=H","UseDPDF=Y")</f>
        <v>2023</v>
      </c>
      <c r="L31" s="13">
        <f>_xll.BDH("AMGN US Equity","ARD_OTH_NONCURRENT_LIABILITIES","FQ1 2021","FQ1 2021","Currency=USD","Period=FQ","BEST_FPERIOD_OVERRIDE=FQ","FILING_STATUS=MR","SCALING_FORMAT=MLN","Sort=A","Dates=H","DateFormat=P","Fill=—","Direction=H","UseDPDF=Y")</f>
        <v>2170</v>
      </c>
      <c r="M31" s="13">
        <f>_xll.BDH("AMGN US Equity","ARD_OTH_NONCURRENT_LIABILITIES","FQ2 2021","FQ2 2021","Currency=USD","Period=FQ","BEST_FPERIOD_OVERRIDE=FQ","FILING_STATUS=MR","SCALING_FORMAT=MLN","Sort=A","Dates=H","DateFormat=P","Fill=—","Direction=H","UseDPDF=Y")</f>
        <v>2055</v>
      </c>
      <c r="N31" s="13">
        <f>_xll.BDH("AMGN US Equity","ARD_OTH_NONCURRENT_LIABILITIES","FQ3 2021","FQ3 2021","Currency=USD","Period=FQ","BEST_FPERIOD_OVERRIDE=FQ","FILING_STATUS=MR","SCALING_FORMAT=MLN","Sort=A","Dates=H","DateFormat=P","Fill=—","Direction=H","UseDPDF=Y")</f>
        <v>2160</v>
      </c>
      <c r="O31" s="13">
        <f>_xll.BDH("AMGN US Equity","ARD_OTH_NONCURRENT_LIABILITIES","FQ4 2021","FQ4 2021","Currency=USD","Period=FQ","BEST_FPERIOD_OVERRIDE=FQ","FILING_STATUS=MR","SCALING_FORMAT=MLN","Sort=A","Dates=H","DateFormat=P","Fill=—","Direction=H","UseDPDF=Y")</f>
        <v>2465</v>
      </c>
      <c r="P31" s="13">
        <f>_xll.BDH("AMGN US Equity","ARD_OTH_NONCURRENT_LIABILITIES","FQ1 2022","FQ1 2022","Currency=USD","Period=FQ","BEST_FPERIOD_OVERRIDE=FQ","FILING_STATUS=MR","SCALING_FORMAT=MLN","Sort=A","Dates=H","DateFormat=P","Fill=—","Direction=H","UseDPDF=Y")</f>
        <v>2732</v>
      </c>
      <c r="Q31" s="13">
        <f>_xll.BDH("AMGN US Equity","ARD_OTH_NONCURRENT_LIABILITIES","FQ2 2022","FQ2 2022","Currency=USD","Period=FQ","BEST_FPERIOD_OVERRIDE=FQ","FILING_STATUS=MR","SCALING_FORMAT=MLN","Sort=A","Dates=H","DateFormat=P","Fill=—","Direction=H","UseDPDF=Y")</f>
        <v>2949</v>
      </c>
      <c r="R31" s="13">
        <f>_xll.BDH("AMGN US Equity","ARD_OTH_NONCURRENT_LIABILITIES","FQ3 2022","FQ3 2022","Currency=USD","Period=FQ","BEST_FPERIOD_OVERRIDE=FQ","FILING_STATUS=MR","SCALING_FORMAT=MLN","Sort=A","Dates=H","DateFormat=P","Fill=—","Direction=H","UseDPDF=Y")</f>
        <v>2875</v>
      </c>
      <c r="S31" s="13">
        <f>_xll.BDH("AMGN US Equity","ARD_OTH_NONCURRENT_LIABILITIES","FQ4 2022","FQ4 2022","Currency=USD","Period=FQ","BEST_FPERIOD_OVERRIDE=FQ","FILING_STATUS=MR","SCALING_FORMAT=MLN","Sort=A","Dates=H","DateFormat=P","Fill=—","Direction=H","UseDPDF=Y")</f>
        <v>2662</v>
      </c>
      <c r="T31" s="13">
        <f>_xll.BDH("AMGN US Equity","ARD_OTH_NONCURRENT_LIABILITIES","FQ1 2023","FQ1 2023","Currency=USD","Period=FQ","BEST_FPERIOD_OVERRIDE=FQ","FILING_STATUS=MR","SCALING_FORMAT=MLN","Sort=A","Dates=H","DateFormat=P","Fill=—","Direction=H","UseDPDF=Y")</f>
        <v>2532</v>
      </c>
      <c r="U31" s="13">
        <f>_xll.BDH("AMGN US Equity","ARD_OTH_NONCURRENT_LIABILITIES","FQ2 2023","FQ2 2023","Currency=USD","Period=FQ","BEST_FPERIOD_OVERRIDE=FQ","FILING_STATUS=MR","SCALING_FORMAT=MLN","Sort=A","Dates=H","DateFormat=P","Fill=—","Direction=H","UseDPDF=Y")</f>
        <v>2536</v>
      </c>
      <c r="V31" s="13">
        <f>_xll.BDH("AMGN US Equity","ARD_OTH_NONCURRENT_LIABILITIES","FQ3 2023","FQ3 2023","Currency=USD","Period=FQ","BEST_FPERIOD_OVERRIDE=FQ","FILING_STATUS=MR","SCALING_FORMAT=MLN","Sort=A","Dates=H","DateFormat=P","Fill=—","Direction=H","UseDPDF=Y")</f>
        <v>2305</v>
      </c>
      <c r="W31" s="13">
        <f>_xll.BDH("AMGN US Equity","ARD_OTH_NONCURRENT_LIABILITIES","FQ4 2023","FQ4 2023","Currency=USD","Period=FQ","BEST_FPERIOD_OVERRIDE=FQ","FILING_STATUS=MR","SCALING_FORMAT=MLN","Sort=A","Dates=H","DateFormat=P","Fill=—","Direction=H","UseDPDF=Y")</f>
        <v>2326</v>
      </c>
      <c r="X31" s="13">
        <f>_xll.BDH("AMGN US Equity","ARD_OTH_NONCURRENT_LIABILITIES","FQ1 2024","FQ1 2024","Currency=USD","Period=FQ","BEST_FPERIOD_OVERRIDE=FQ","FILING_STATUS=MR","SCALING_FORMAT=MLN","Sort=A","Dates=H","DateFormat=P","Fill=—","Direction=H","UseDPDF=Y")</f>
        <v>2357</v>
      </c>
      <c r="Y31" s="13">
        <f>_xll.BDH("AMGN US Equity","ARD_OTH_NONCURRENT_LIABILITIES","FQ2 2024","FQ2 2024","Currency=USD","Period=FQ","BEST_FPERIOD_OVERRIDE=FQ","FILING_STATUS=MR","SCALING_FORMAT=MLN","Sort=A","Dates=H","DateFormat=P","Fill=—","Direction=H","UseDPDF=Y")</f>
        <v>2363</v>
      </c>
      <c r="Z31" s="13">
        <f>_xll.BDH("AMGN US Equity","ARD_OTH_NONCURRENT_LIABILITIES","FQ3 2024","FQ3 2024","Currency=USD","Period=FQ","BEST_FPERIOD_OVERRIDE=FQ","FILING_STATUS=MR","SCALING_FORMAT=MLN","Sort=A","Dates=H","DateFormat=P","Fill=—","Direction=H","UseDPDF=Y")</f>
        <v>2199</v>
      </c>
      <c r="AA31" s="13">
        <f>_xll.BDH("AMGN US Equity","ARD_OTH_NONCURRENT_LIABILITIES","FQ4 2024","FQ4 2024","Currency=USD","Period=FQ","BEST_FPERIOD_OVERRIDE=FQ","FILING_STATUS=MR","SCALING_FORMAT=MLN","Sort=A","Dates=H","DateFormat=P","Fill=—","Direction=H","UseDPDF=Y")</f>
        <v>2349</v>
      </c>
    </row>
    <row r="32" spans="1:27" x14ac:dyDescent="0.25">
      <c r="A32" s="10" t="s">
        <v>898</v>
      </c>
      <c r="B32" s="10" t="s">
        <v>899</v>
      </c>
      <c r="C32" s="13">
        <f>_xll.BDH("AMGN US Equity","ARD_PROVISION_FOR_TAXATION","FQ4 2018","FQ4 2018","Currency=USD","Period=FQ","BEST_FPERIOD_OVERRIDE=FQ","FILING_STATUS=MR","SCALING_FORMAT=MLN","Sort=A","Dates=H","DateFormat=P","Fill=—","Direction=H","UseDPDF=Y")</f>
        <v>8770</v>
      </c>
      <c r="D32" s="13">
        <f>_xll.BDH("AMGN US Equity","ARD_PROVISION_FOR_TAXATION","FQ1 2019","FQ1 2019","Currency=USD","Period=FQ","BEST_FPERIOD_OVERRIDE=FQ","FILING_STATUS=MR","SCALING_FORMAT=MLN","Sort=A","Dates=H","DateFormat=P","Fill=—","Direction=H","UseDPDF=Y")</f>
        <v>8869</v>
      </c>
      <c r="E32" s="13">
        <f>_xll.BDH("AMGN US Equity","ARD_PROVISION_FOR_TAXATION","FQ2 2019","FQ2 2019","Currency=USD","Period=FQ","BEST_FPERIOD_OVERRIDE=FQ","FILING_STATUS=MR","SCALING_FORMAT=MLN","Sort=A","Dates=H","DateFormat=P","Fill=—","Direction=H","UseDPDF=Y")</f>
        <v>7861</v>
      </c>
      <c r="F32" s="13">
        <f>_xll.BDH("AMGN US Equity","ARD_PROVISION_FOR_TAXATION","FQ3 2019","FQ3 2019","Currency=USD","Period=FQ","BEST_FPERIOD_OVERRIDE=FQ","FILING_STATUS=MR","SCALING_FORMAT=MLN","Sort=A","Dates=H","DateFormat=P","Fill=—","Direction=H","UseDPDF=Y")</f>
        <v>7921</v>
      </c>
      <c r="G32" s="13">
        <f>_xll.BDH("AMGN US Equity","ARD_PROVISION_FOR_TAXATION","FQ4 2019","FQ4 2019","Currency=USD","Period=FQ","BEST_FPERIOD_OVERRIDE=FQ","FILING_STATUS=MR","SCALING_FORMAT=MLN","Sort=A","Dates=H","DateFormat=P","Fill=—","Direction=H","UseDPDF=Y")</f>
        <v>8037</v>
      </c>
      <c r="H32" s="13">
        <f>_xll.BDH("AMGN US Equity","ARD_PROVISION_FOR_TAXATION","FQ1 2020","FQ1 2020","Currency=USD","Period=FQ","BEST_FPERIOD_OVERRIDE=FQ","FILING_STATUS=MR","SCALING_FORMAT=MLN","Sort=A","Dates=H","DateFormat=P","Fill=—","Direction=H","UseDPDF=Y")</f>
        <v>8111</v>
      </c>
      <c r="I32" s="13">
        <f>_xll.BDH("AMGN US Equity","ARD_PROVISION_FOR_TAXATION","FQ2 2020","FQ2 2020","Currency=USD","Period=FQ","BEST_FPERIOD_OVERRIDE=FQ","FILING_STATUS=MR","SCALING_FORMAT=MLN","Sort=A","Dates=H","DateFormat=P","Fill=—","Direction=H","UseDPDF=Y")</f>
        <v>7556</v>
      </c>
      <c r="J32" s="13">
        <f>_xll.BDH("AMGN US Equity","ARD_PROVISION_FOR_TAXATION","FQ3 2020","FQ3 2020","Currency=USD","Period=FQ","BEST_FPERIOD_OVERRIDE=FQ","FILING_STATUS=MR","SCALING_FORMAT=MLN","Sort=A","Dates=H","DateFormat=P","Fill=—","Direction=H","UseDPDF=Y")</f>
        <v>7560</v>
      </c>
      <c r="K32" s="13">
        <f>_xll.BDH("AMGN US Equity","ARD_PROVISION_FOR_TAXATION","FQ4 2020","FQ4 2020","Currency=USD","Period=FQ","BEST_FPERIOD_OVERRIDE=FQ","FILING_STATUS=MR","SCALING_FORMAT=MLN","Sort=A","Dates=H","DateFormat=P","Fill=—","Direction=H","UseDPDF=Y")</f>
        <v>6968</v>
      </c>
      <c r="L32" s="13">
        <f>_xll.BDH("AMGN US Equity","ARD_PROVISION_FOR_TAXATION","FQ1 2021","FQ1 2021","Currency=USD","Period=FQ","BEST_FPERIOD_OVERRIDE=FQ","FILING_STATUS=MR","SCALING_FORMAT=MLN","Sort=A","Dates=H","DateFormat=P","Fill=—","Direction=H","UseDPDF=Y")</f>
        <v>7037</v>
      </c>
      <c r="M32" s="13">
        <f>_xll.BDH("AMGN US Equity","ARD_PROVISION_FOR_TAXATION","FQ2 2021","FQ2 2021","Currency=USD","Period=FQ","BEST_FPERIOD_OVERRIDE=FQ","FILING_STATUS=MR","SCALING_FORMAT=MLN","Sort=A","Dates=H","DateFormat=P","Fill=—","Direction=H","UseDPDF=Y")</f>
        <v>6428</v>
      </c>
      <c r="N32" s="13">
        <f>_xll.BDH("AMGN US Equity","ARD_PROVISION_FOR_TAXATION","FQ3 2021","FQ3 2021","Currency=USD","Period=FQ","BEST_FPERIOD_OVERRIDE=FQ","FILING_STATUS=MR","SCALING_FORMAT=MLN","Sort=A","Dates=H","DateFormat=P","Fill=—","Direction=H","UseDPDF=Y")</f>
        <v>6483</v>
      </c>
      <c r="O32" s="13">
        <f>_xll.BDH("AMGN US Equity","ARD_PROVISION_FOR_TAXATION","FQ4 2021","FQ4 2021","Currency=USD","Period=FQ","BEST_FPERIOD_OVERRIDE=FQ","FILING_STATUS=MR","SCALING_FORMAT=MLN","Sort=A","Dates=H","DateFormat=P","Fill=—","Direction=H","UseDPDF=Y")</f>
        <v>6594</v>
      </c>
      <c r="P32" s="13">
        <f>_xll.BDH("AMGN US Equity","ARD_PROVISION_FOR_TAXATION","FQ1 2022","FQ1 2022","Currency=USD","Period=FQ","BEST_FPERIOD_OVERRIDE=FQ","FILING_STATUS=MR","SCALING_FORMAT=MLN","Sort=A","Dates=H","DateFormat=P","Fill=—","Direction=H","UseDPDF=Y")</f>
        <v>6652</v>
      </c>
      <c r="Q32" s="13">
        <f>_xll.BDH("AMGN US Equity","ARD_PROVISION_FOR_TAXATION","FQ2 2022","FQ2 2022","Currency=USD","Period=FQ","BEST_FPERIOD_OVERRIDE=FQ","FILING_STATUS=MR","SCALING_FORMAT=MLN","Sort=A","Dates=H","DateFormat=P","Fill=—","Direction=H","UseDPDF=Y")</f>
        <v>5603</v>
      </c>
      <c r="R32" s="13">
        <f>_xll.BDH("AMGN US Equity","ARD_PROVISION_FOR_TAXATION","FQ3 2022","FQ3 2022","Currency=USD","Period=FQ","BEST_FPERIOD_OVERRIDE=FQ","FILING_STATUS=MR","SCALING_FORMAT=MLN","Sort=A","Dates=H","DateFormat=P","Fill=—","Direction=H","UseDPDF=Y")</f>
        <v>5680</v>
      </c>
      <c r="S32" s="13">
        <f>_xll.BDH("AMGN US Equity","ARD_PROVISION_FOR_TAXATION","FQ4 2022","FQ4 2022","Currency=USD","Period=FQ","BEST_FPERIOD_OVERRIDE=FQ","FILING_STATUS=MR","SCALING_FORMAT=MLN","Sort=A","Dates=H","DateFormat=P","Fill=—","Direction=H","UseDPDF=Y")</f>
        <v>5757</v>
      </c>
      <c r="T32" s="13">
        <f>_xll.BDH("AMGN US Equity","ARD_PROVISION_FOR_TAXATION","FQ1 2023","FQ1 2023","Currency=USD","Period=FQ","BEST_FPERIOD_OVERRIDE=FQ","FILING_STATUS=MR","SCALING_FORMAT=MLN","Sort=A","Dates=H","DateFormat=P","Fill=—","Direction=H","UseDPDF=Y")</f>
        <v>5864</v>
      </c>
      <c r="U32" s="13">
        <f>_xll.BDH("AMGN US Equity","ARD_PROVISION_FOR_TAXATION","FQ2 2023","FQ2 2023","Currency=USD","Period=FQ","BEST_FPERIOD_OVERRIDE=FQ","FILING_STATUS=MR","SCALING_FORMAT=MLN","Sort=A","Dates=H","DateFormat=P","Fill=—","Direction=H","UseDPDF=Y")</f>
        <v>4478</v>
      </c>
      <c r="V32" s="13">
        <f>_xll.BDH("AMGN US Equity","ARD_PROVISION_FOR_TAXATION","FQ3 2023","FQ3 2023","Currency=USD","Period=FQ","BEST_FPERIOD_OVERRIDE=FQ","FILING_STATUS=MR","SCALING_FORMAT=MLN","Sort=A","Dates=H","DateFormat=P","Fill=—","Direction=H","UseDPDF=Y")</f>
        <v>4579</v>
      </c>
      <c r="W32" s="13">
        <f>_xll.BDH("AMGN US Equity","ARD_PROVISION_FOR_TAXATION","FQ4 2023","FQ4 2023","Currency=USD","Period=FQ","BEST_FPERIOD_OVERRIDE=FQ","FILING_STATUS=MR","SCALING_FORMAT=MLN","Sort=A","Dates=H","DateFormat=P","Fill=—","Direction=H","UseDPDF=Y")</f>
        <v>4680</v>
      </c>
      <c r="X32" s="13">
        <f>_xll.BDH("AMGN US Equity","ARD_PROVISION_FOR_TAXATION","FQ1 2024","FQ1 2024","Currency=USD","Period=FQ","BEST_FPERIOD_OVERRIDE=FQ","FILING_STATUS=MR","SCALING_FORMAT=MLN","Sort=A","Dates=H","DateFormat=P","Fill=—","Direction=H","UseDPDF=Y")</f>
        <v>3964</v>
      </c>
      <c r="Y32" s="13">
        <f>_xll.BDH("AMGN US Equity","ARD_PROVISION_FOR_TAXATION","FQ2 2024","FQ2 2024","Currency=USD","Period=FQ","BEST_FPERIOD_OVERRIDE=FQ","FILING_STATUS=MR","SCALING_FORMAT=MLN","Sort=A","Dates=H","DateFormat=P","Fill=—","Direction=H","UseDPDF=Y")</f>
        <v>2205</v>
      </c>
      <c r="Z32" s="13">
        <f>_xll.BDH("AMGN US Equity","ARD_PROVISION_FOR_TAXATION","FQ3 2024","FQ3 2024","Currency=USD","Period=FQ","BEST_FPERIOD_OVERRIDE=FQ","FILING_STATUS=MR","SCALING_FORMAT=MLN","Sort=A","Dates=H","DateFormat=P","Fill=—","Direction=H","UseDPDF=Y")</f>
        <v>2280</v>
      </c>
      <c r="AA32" s="13">
        <f>_xll.BDH("AMGN US Equity","ARD_PROVISION_FOR_TAXATION","FQ4 2024","FQ4 2024","Currency=USD","Period=FQ","BEST_FPERIOD_OVERRIDE=FQ","FILING_STATUS=MR","SCALING_FORMAT=MLN","Sort=A","Dates=H","DateFormat=P","Fill=—","Direction=H","UseDPDF=Y")</f>
        <v>2349</v>
      </c>
    </row>
    <row r="33" spans="1:27" x14ac:dyDescent="0.25">
      <c r="A33" s="6" t="s">
        <v>116</v>
      </c>
      <c r="B33" s="6" t="s">
        <v>900</v>
      </c>
      <c r="C33" s="19" t="str">
        <f>_xll.BDH("AMGN US Equity","ARD_TOT_LIABILITIES","FQ4 2018","FQ4 2018","Currency=USD","Period=FQ","BEST_FPERIOD_OVERRIDE=FQ","FILING_STATUS=MR","SCALING_FORMAT=MLN","Sort=A","Dates=H","DateFormat=P","Fill=—","Direction=H","UseDPDF=Y")</f>
        <v>—</v>
      </c>
      <c r="D33" s="19" t="str">
        <f>_xll.BDH("AMGN US Equity","ARD_TOT_LIABILITIES","FQ1 2019","FQ1 2019","Currency=USD","Period=FQ","BEST_FPERIOD_OVERRIDE=FQ","FILING_STATUS=MR","SCALING_FORMAT=MLN","Sort=A","Dates=H","DateFormat=P","Fill=—","Direction=H","UseDPDF=Y")</f>
        <v>—</v>
      </c>
      <c r="E33" s="19" t="str">
        <f>_xll.BDH("AMGN US Equity","ARD_TOT_LIABILITIES","FQ2 2019","FQ2 2019","Currency=USD","Period=FQ","BEST_FPERIOD_OVERRIDE=FQ","FILING_STATUS=MR","SCALING_FORMAT=MLN","Sort=A","Dates=H","DateFormat=P","Fill=—","Direction=H","UseDPDF=Y")</f>
        <v>—</v>
      </c>
      <c r="F33" s="19" t="str">
        <f>_xll.BDH("AMGN US Equity","ARD_TOT_LIABILITIES","FQ3 2019","FQ3 2019","Currency=USD","Period=FQ","BEST_FPERIOD_OVERRIDE=FQ","FILING_STATUS=MR","SCALING_FORMAT=MLN","Sort=A","Dates=H","DateFormat=P","Fill=—","Direction=H","UseDPDF=Y")</f>
        <v>—</v>
      </c>
      <c r="G33" s="19" t="str">
        <f>_xll.BDH("AMGN US Equity","ARD_TOT_LIABILITIES","FQ4 2019","FQ4 2019","Currency=USD","Period=FQ","BEST_FPERIOD_OVERRIDE=FQ","FILING_STATUS=MR","SCALING_FORMAT=MLN","Sort=A","Dates=H","DateFormat=P","Fill=—","Direction=H","UseDPDF=Y")</f>
        <v>—</v>
      </c>
      <c r="H33" s="19" t="str">
        <f>_xll.BDH("AMGN US Equity","ARD_TOT_LIABILITIES","FQ1 2020","FQ1 2020","Currency=USD","Period=FQ","BEST_FPERIOD_OVERRIDE=FQ","FILING_STATUS=MR","SCALING_FORMAT=MLN","Sort=A","Dates=H","DateFormat=P","Fill=—","Direction=H","UseDPDF=Y")</f>
        <v>—</v>
      </c>
      <c r="I33" s="19" t="str">
        <f>_xll.BDH("AMGN US Equity","ARD_TOT_LIABILITIES","FQ2 2020","FQ2 2020","Currency=USD","Period=FQ","BEST_FPERIOD_OVERRIDE=FQ","FILING_STATUS=MR","SCALING_FORMAT=MLN","Sort=A","Dates=H","DateFormat=P","Fill=—","Direction=H","UseDPDF=Y")</f>
        <v>—</v>
      </c>
      <c r="J33" s="19" t="str">
        <f>_xll.BDH("AMGN US Equity","ARD_TOT_LIABILITIES","FQ3 2020","FQ3 2020","Currency=USD","Period=FQ","BEST_FPERIOD_OVERRIDE=FQ","FILING_STATUS=MR","SCALING_FORMAT=MLN","Sort=A","Dates=H","DateFormat=P","Fill=—","Direction=H","UseDPDF=Y")</f>
        <v>—</v>
      </c>
      <c r="K33" s="19">
        <f>_xll.BDH("AMGN US Equity","ARD_TOT_LIABILITIES","FQ4 2020","FQ4 2020","Currency=USD","Period=FQ","BEST_FPERIOD_OVERRIDE=FQ","FILING_STATUS=MR","SCALING_FORMAT=MLN","Sort=A","Dates=H","DateFormat=P","Fill=—","Direction=H","UseDPDF=Y")</f>
        <v>53539</v>
      </c>
      <c r="L33" s="19" t="str">
        <f>_xll.BDH("AMGN US Equity","ARD_TOT_LIABILITIES","FQ1 2021","FQ1 2021","Currency=USD","Period=FQ","BEST_FPERIOD_OVERRIDE=FQ","FILING_STATUS=MR","SCALING_FORMAT=MLN","Sort=A","Dates=H","DateFormat=P","Fill=—","Direction=H","UseDPDF=Y")</f>
        <v>—</v>
      </c>
      <c r="M33" s="19" t="str">
        <f>_xll.BDH("AMGN US Equity","ARD_TOT_LIABILITIES","FQ2 2021","FQ2 2021","Currency=USD","Period=FQ","BEST_FPERIOD_OVERRIDE=FQ","FILING_STATUS=MR","SCALING_FORMAT=MLN","Sort=A","Dates=H","DateFormat=P","Fill=—","Direction=H","UseDPDF=Y")</f>
        <v>—</v>
      </c>
      <c r="N33" s="19" t="str">
        <f>_xll.BDH("AMGN US Equity","ARD_TOT_LIABILITIES","FQ3 2021","FQ3 2021","Currency=USD","Period=FQ","BEST_FPERIOD_OVERRIDE=FQ","FILING_STATUS=MR","SCALING_FORMAT=MLN","Sort=A","Dates=H","DateFormat=P","Fill=—","Direction=H","UseDPDF=Y")</f>
        <v>—</v>
      </c>
      <c r="O33" s="19">
        <f>_xll.BDH("AMGN US Equity","ARD_TOT_LIABILITIES","FQ4 2021","FQ4 2021","Currency=USD","Period=FQ","BEST_FPERIOD_OVERRIDE=FQ","FILING_STATUS=MR","SCALING_FORMAT=MLN","Sort=A","Dates=H","DateFormat=P","Fill=—","Direction=H","UseDPDF=Y")</f>
        <v>54465</v>
      </c>
      <c r="P33" s="19" t="str">
        <f>_xll.BDH("AMGN US Equity","ARD_TOT_LIABILITIES","FQ1 2022","FQ1 2022","Currency=USD","Period=FQ","BEST_FPERIOD_OVERRIDE=FQ","FILING_STATUS=MR","SCALING_FORMAT=MLN","Sort=A","Dates=H","DateFormat=P","Fill=—","Direction=H","UseDPDF=Y")</f>
        <v>—</v>
      </c>
      <c r="Q33" s="19" t="str">
        <f>_xll.BDH("AMGN US Equity","ARD_TOT_LIABILITIES","FQ2 2022","FQ2 2022","Currency=USD","Period=FQ","BEST_FPERIOD_OVERRIDE=FQ","FILING_STATUS=MR","SCALING_FORMAT=MLN","Sort=A","Dates=H","DateFormat=P","Fill=—","Direction=H","UseDPDF=Y")</f>
        <v>—</v>
      </c>
      <c r="R33" s="19" t="str">
        <f>_xll.BDH("AMGN US Equity","ARD_TOT_LIABILITIES","FQ3 2022","FQ3 2022","Currency=USD","Period=FQ","BEST_FPERIOD_OVERRIDE=FQ","FILING_STATUS=MR","SCALING_FORMAT=MLN","Sort=A","Dates=H","DateFormat=P","Fill=—","Direction=H","UseDPDF=Y")</f>
        <v>—</v>
      </c>
      <c r="S33" s="19">
        <f>_xll.BDH("AMGN US Equity","ARD_TOT_LIABILITIES","FQ4 2022","FQ4 2022","Currency=USD","Period=FQ","BEST_FPERIOD_OVERRIDE=FQ","FILING_STATUS=MR","SCALING_FORMAT=MLN","Sort=A","Dates=H","DateFormat=P","Fill=—","Direction=H","UseDPDF=Y")</f>
        <v>61460</v>
      </c>
      <c r="T33" s="19">
        <f>_xll.BDH("AMGN US Equity","ARD_TOT_LIABILITIES","FQ1 2023","FQ1 2023","Currency=USD","Period=FQ","BEST_FPERIOD_OVERRIDE=FQ","FILING_STATUS=MR","SCALING_FORMAT=MLN","Sort=A","Dates=H","DateFormat=P","Fill=—","Direction=H","UseDPDF=Y")</f>
        <v>83372</v>
      </c>
      <c r="U33" s="19">
        <f>_xll.BDH("AMGN US Equity","ARD_TOT_LIABILITIES","FQ2 2023","FQ2 2023","Currency=USD","Period=FQ","BEST_FPERIOD_OVERRIDE=FQ","FILING_STATUS=MR","SCALING_FORMAT=MLN","Sort=A","Dates=H","DateFormat=P","Fill=—","Direction=H","UseDPDF=Y")</f>
        <v>83488</v>
      </c>
      <c r="V33" s="19">
        <f>_xll.BDH("AMGN US Equity","ARD_TOT_LIABILITIES","FQ3 2023","FQ3 2023","Currency=USD","Period=FQ","BEST_FPERIOD_OVERRIDE=FQ","FILING_STATUS=MR","SCALING_FORMAT=MLN","Sort=A","Dates=H","DateFormat=P","Fill=—","Direction=H","UseDPDF=Y")</f>
        <v>82878</v>
      </c>
      <c r="W33" s="19">
        <f>_xll.BDH("AMGN US Equity","ARD_TOT_LIABILITIES","FQ4 2023","FQ4 2023","Currency=USD","Period=FQ","BEST_FPERIOD_OVERRIDE=FQ","FILING_STATUS=MR","SCALING_FORMAT=MLN","Sort=A","Dates=H","DateFormat=P","Fill=—","Direction=H","UseDPDF=Y")</f>
        <v>90922</v>
      </c>
      <c r="X33" s="19">
        <f>_xll.BDH("AMGN US Equity","ARD_TOT_LIABILITIES","FQ1 2024","FQ1 2024","Currency=USD","Period=FQ","BEST_FPERIOD_OVERRIDE=FQ","FILING_STATUS=MR","SCALING_FORMAT=MLN","Sort=A","Dates=H","DateFormat=P","Fill=—","Direction=H","UseDPDF=Y")</f>
        <v>87958</v>
      </c>
      <c r="Y33" s="19">
        <f>_xll.BDH("AMGN US Equity","ARD_TOT_LIABILITIES","FQ2 2024","FQ2 2024","Currency=USD","Period=FQ","BEST_FPERIOD_OVERRIDE=FQ","FILING_STATUS=MR","SCALING_FORMAT=MLN","Sort=A","Dates=H","DateFormat=P","Fill=—","Direction=H","UseDPDF=Y")</f>
        <v>84982</v>
      </c>
      <c r="Z33" s="19" t="str">
        <f>_xll.BDH("AMGN US Equity","ARD_TOT_LIABILITIES","FQ3 2024","FQ3 2024","Currency=USD","Period=FQ","BEST_FPERIOD_OVERRIDE=FQ","FILING_STATUS=MR","SCALING_FORMAT=MLN","Sort=A","Dates=H","DateFormat=P","Fill=—","Direction=H","UseDPDF=Y")</f>
        <v>—</v>
      </c>
      <c r="AA33" s="19" t="str">
        <f>_xll.BDH("AMGN US Equity","ARD_TOT_LIABILITIES","FQ4 2024","FQ4 2024","Currency=USD","Period=FQ","BEST_FPERIOD_OVERRIDE=FQ","FILING_STATUS=MR","SCALING_FORMAT=MLN","Sort=A","Dates=H","DateFormat=P","Fill=—","Direction=H","UseDPDF=Y")</f>
        <v>—</v>
      </c>
    </row>
    <row r="34" spans="1:27" x14ac:dyDescent="0.25">
      <c r="A34" s="10" t="s">
        <v>901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x14ac:dyDescent="0.25">
      <c r="A35" s="10" t="s">
        <v>902</v>
      </c>
      <c r="B35" s="10" t="s">
        <v>903</v>
      </c>
      <c r="C35" s="13">
        <f>_xll.BDH("AMGN US Equity","ARD_ACC_OTH_COMPREHENSIVE_INC","FQ4 2018","FQ4 2018","Currency=USD","Period=FQ","BEST_FPERIOD_OVERRIDE=FQ","FILING_STATUS=MR","SCALING_FORMAT=MLN","Sort=A","Dates=H","DateFormat=P","Fill=—","Direction=H","UseDPDF=Y")</f>
        <v>-769</v>
      </c>
      <c r="D35" s="13">
        <f>_xll.BDH("AMGN US Equity","ARD_ACC_OTH_COMPREHENSIVE_INC","FQ1 2019","FQ1 2019","Currency=USD","Period=FQ","BEST_FPERIOD_OVERRIDE=FQ","FILING_STATUS=MR","SCALING_FORMAT=MLN","Sort=A","Dates=H","DateFormat=P","Fill=—","Direction=H","UseDPDF=Y")</f>
        <v>-516</v>
      </c>
      <c r="E35" s="13">
        <f>_xll.BDH("AMGN US Equity","ARD_ACC_OTH_COMPREHENSIVE_INC","FQ2 2019","FQ2 2019","Currency=USD","Period=FQ","BEST_FPERIOD_OVERRIDE=FQ","FILING_STATUS=MR","SCALING_FORMAT=MLN","Sort=A","Dates=H","DateFormat=P","Fill=—","Direction=H","UseDPDF=Y")</f>
        <v>-465</v>
      </c>
      <c r="F35" s="13">
        <f>_xll.BDH("AMGN US Equity","ARD_ACC_OTH_COMPREHENSIVE_INC","FQ3 2019","FQ3 2019","Currency=USD","Period=FQ","BEST_FPERIOD_OVERRIDE=FQ","FILING_STATUS=MR","SCALING_FORMAT=MLN","Sort=A","Dates=H","DateFormat=P","Fill=—","Direction=H","UseDPDF=Y")</f>
        <v>-388</v>
      </c>
      <c r="G35" s="13">
        <f>_xll.BDH("AMGN US Equity","ARD_ACC_OTH_COMPREHENSIVE_INC","FQ4 2019","FQ4 2019","Currency=USD","Period=FQ","BEST_FPERIOD_OVERRIDE=FQ","FILING_STATUS=MR","SCALING_FORMAT=MLN","Sort=A","Dates=H","DateFormat=P","Fill=—","Direction=H","UseDPDF=Y")</f>
        <v>-528</v>
      </c>
      <c r="H35" s="13">
        <f>_xll.BDH("AMGN US Equity","ARD_ACC_OTH_COMPREHENSIVE_INC","FQ1 2020","FQ1 2020","Currency=USD","Period=FQ","BEST_FPERIOD_OVERRIDE=FQ","FILING_STATUS=MR","SCALING_FORMAT=MLN","Sort=A","Dates=H","DateFormat=P","Fill=—","Direction=H","UseDPDF=Y")</f>
        <v>-662</v>
      </c>
      <c r="I35" s="13">
        <f>_xll.BDH("AMGN US Equity","ARD_ACC_OTH_COMPREHENSIVE_INC","FQ2 2020","FQ2 2020","Currency=USD","Period=FQ","BEST_FPERIOD_OVERRIDE=FQ","FILING_STATUS=MR","SCALING_FORMAT=MLN","Sort=A","Dates=H","DateFormat=P","Fill=—","Direction=H","UseDPDF=Y")</f>
        <v>-783</v>
      </c>
      <c r="J35" s="13">
        <f>_xll.BDH("AMGN US Equity","ARD_ACC_OTH_COMPREHENSIVE_INC","FQ3 2020","FQ3 2020","Currency=USD","Period=FQ","BEST_FPERIOD_OVERRIDE=FQ","FILING_STATUS=MR","SCALING_FORMAT=MLN","Sort=A","Dates=H","DateFormat=P","Fill=—","Direction=H","UseDPDF=Y")</f>
        <v>-903</v>
      </c>
      <c r="K35" s="13">
        <f>_xll.BDH("AMGN US Equity","ARD_ACC_OTH_COMPREHENSIVE_INC","FQ4 2020","FQ4 2020","Currency=USD","Period=FQ","BEST_FPERIOD_OVERRIDE=FQ","FILING_STATUS=MR","SCALING_FORMAT=MLN","Sort=A","Dates=H","DateFormat=P","Fill=—","Direction=H","UseDPDF=Y")</f>
        <v>-985</v>
      </c>
      <c r="L35" s="13">
        <f>_xll.BDH("AMGN US Equity","ARD_ACC_OTH_COMPREHENSIVE_INC","FQ1 2021","FQ1 2021","Currency=USD","Period=FQ","BEST_FPERIOD_OVERRIDE=FQ","FILING_STATUS=MR","SCALING_FORMAT=MLN","Sort=A","Dates=H","DateFormat=P","Fill=—","Direction=H","UseDPDF=Y")</f>
        <v>-833</v>
      </c>
      <c r="M35" s="13">
        <f>_xll.BDH("AMGN US Equity","ARD_ACC_OTH_COMPREHENSIVE_INC","FQ2 2021","FQ2 2021","Currency=USD","Period=FQ","BEST_FPERIOD_OVERRIDE=FQ","FILING_STATUS=MR","SCALING_FORMAT=MLN","Sort=A","Dates=H","DateFormat=P","Fill=—","Direction=H","UseDPDF=Y")</f>
        <v>-868</v>
      </c>
      <c r="N35" s="13">
        <f>_xll.BDH("AMGN US Equity","ARD_ACC_OTH_COMPREHENSIVE_INC","FQ3 2021","FQ3 2021","Currency=USD","Period=FQ","BEST_FPERIOD_OVERRIDE=FQ","FILING_STATUS=MR","SCALING_FORMAT=MLN","Sort=A","Dates=H","DateFormat=P","Fill=—","Direction=H","UseDPDF=Y")</f>
        <v>-808</v>
      </c>
      <c r="O35" s="13">
        <f>_xll.BDH("AMGN US Equity","ARD_ACC_OTH_COMPREHENSIVE_INC","FQ4 2021","FQ4 2021","Currency=USD","Period=FQ","BEST_FPERIOD_OVERRIDE=FQ","FILING_STATUS=MR","SCALING_FORMAT=MLN","Sort=A","Dates=H","DateFormat=P","Fill=—","Direction=H","UseDPDF=Y")</f>
        <v>-796</v>
      </c>
      <c r="P35" s="13">
        <f>_xll.BDH("AMGN US Equity","ARD_ACC_OTH_COMPREHENSIVE_INC","FQ1 2022","FQ1 2022","Currency=USD","Period=FQ","BEST_FPERIOD_OVERRIDE=FQ","FILING_STATUS=MR","SCALING_FORMAT=MLN","Sort=A","Dates=H","DateFormat=P","Fill=—","Direction=H","UseDPDF=Y")</f>
        <v>-763</v>
      </c>
      <c r="Q35" s="13">
        <f>_xll.BDH("AMGN US Equity","ARD_ACC_OTH_COMPREHENSIVE_INC","FQ2 2022","FQ2 2022","Currency=USD","Period=FQ","BEST_FPERIOD_OVERRIDE=FQ","FILING_STATUS=MR","SCALING_FORMAT=MLN","Sort=A","Dates=H","DateFormat=P","Fill=—","Direction=H","UseDPDF=Y")</f>
        <v>-672</v>
      </c>
      <c r="R35" s="13">
        <f>_xll.BDH("AMGN US Equity","ARD_ACC_OTH_COMPREHENSIVE_INC","FQ3 2022","FQ3 2022","Currency=USD","Period=FQ","BEST_FPERIOD_OVERRIDE=FQ","FILING_STATUS=MR","SCALING_FORMAT=MLN","Sort=A","Dates=H","DateFormat=P","Fill=—","Direction=H","UseDPDF=Y")</f>
        <v>-652</v>
      </c>
      <c r="S35" s="13">
        <f>_xll.BDH("AMGN US Equity","ARD_ACC_OTH_COMPREHENSIVE_INC","FQ4 2022","FQ4 2022","Currency=USD","Period=FQ","BEST_FPERIOD_OVERRIDE=FQ","FILING_STATUS=MR","SCALING_FORMAT=MLN","Sort=A","Dates=H","DateFormat=P","Fill=—","Direction=H","UseDPDF=Y")</f>
        <v>-231</v>
      </c>
      <c r="T35" s="13">
        <f>_xll.BDH("AMGN US Equity","ARD_ACC_OTH_COMPREHENSIVE_INC","FQ1 2023","FQ1 2023","Currency=USD","Period=FQ","BEST_FPERIOD_OVERRIDE=FQ","FILING_STATUS=MR","SCALING_FORMAT=MLN","Sort=A","Dates=H","DateFormat=P","Fill=—","Direction=H","UseDPDF=Y")</f>
        <v>-268</v>
      </c>
      <c r="U35" s="13">
        <f>_xll.BDH("AMGN US Equity","ARD_ACC_OTH_COMPREHENSIVE_INC","FQ2 2023","FQ2 2023","Currency=USD","Period=FQ","BEST_FPERIOD_OVERRIDE=FQ","FILING_STATUS=MR","SCALING_FORMAT=MLN","Sort=A","Dates=H","DateFormat=P","Fill=—","Direction=H","UseDPDF=Y")</f>
        <v>-280</v>
      </c>
      <c r="V35" s="13">
        <f>_xll.BDH("AMGN US Equity","ARD_ACC_OTH_COMPREHENSIVE_INC","FQ3 2023","FQ3 2023","Currency=USD","Period=FQ","BEST_FPERIOD_OVERRIDE=FQ","FILING_STATUS=MR","SCALING_FORMAT=MLN","Sort=A","Dates=H","DateFormat=P","Fill=—","Direction=H","UseDPDF=Y")</f>
        <v>-126</v>
      </c>
      <c r="W35" s="13">
        <f>_xll.BDH("AMGN US Equity","ARD_ACC_OTH_COMPREHENSIVE_INC","FQ4 2023","FQ4 2023","Currency=USD","Period=FQ","BEST_FPERIOD_OVERRIDE=FQ","FILING_STATUS=MR","SCALING_FORMAT=MLN","Sort=A","Dates=H","DateFormat=P","Fill=—","Direction=H","UseDPDF=Y")</f>
        <v>-289</v>
      </c>
      <c r="X35" s="13">
        <f>_xll.BDH("AMGN US Equity","ARD_ACC_OTH_COMPREHENSIVE_INC","FQ1 2024","FQ1 2024","Currency=USD","Period=FQ","BEST_FPERIOD_OVERRIDE=FQ","FILING_STATUS=MR","SCALING_FORMAT=MLN","Sort=A","Dates=H","DateFormat=P","Fill=—","Direction=H","UseDPDF=Y")</f>
        <v>-190</v>
      </c>
      <c r="Y35" s="13">
        <f>_xll.BDH("AMGN US Equity","ARD_ACC_OTH_COMPREHENSIVE_INC","FQ2 2024","FQ2 2024","Currency=USD","Period=FQ","BEST_FPERIOD_OVERRIDE=FQ","FILING_STATUS=MR","SCALING_FORMAT=MLN","Sort=A","Dates=H","DateFormat=P","Fill=—","Direction=H","UseDPDF=Y")</f>
        <v>-155</v>
      </c>
      <c r="Z35" s="13">
        <f>_xll.BDH("AMGN US Equity","ARD_ACC_OTH_COMPREHENSIVE_INC","FQ3 2024","FQ3 2024","Currency=USD","Period=FQ","BEST_FPERIOD_OVERRIDE=FQ","FILING_STATUS=MR","SCALING_FORMAT=MLN","Sort=A","Dates=H","DateFormat=P","Fill=—","Direction=H","UseDPDF=Y")</f>
        <v>-336</v>
      </c>
      <c r="AA35" s="13">
        <f>_xll.BDH("AMGN US Equity","ARD_ACC_OTH_COMPREHENSIVE_INC","FQ4 2024","FQ4 2024","Currency=USD","Period=FQ","BEST_FPERIOD_OVERRIDE=FQ","FILING_STATUS=MR","SCALING_FORMAT=MLN","Sort=A","Dates=H","DateFormat=P","Fill=—","Direction=H","UseDPDF=Y")</f>
        <v>-66</v>
      </c>
    </row>
    <row r="36" spans="1:27" x14ac:dyDescent="0.25">
      <c r="A36" s="10" t="s">
        <v>904</v>
      </c>
      <c r="B36" s="10" t="s">
        <v>905</v>
      </c>
      <c r="C36" s="13">
        <f>_xll.BDH("AMGN US Equity","ARD_RETAINED_EARN_ACC_DEFICIT","FQ4 2018","FQ4 2018","Currency=USD","Period=FQ","BEST_FPERIOD_OVERRIDE=FQ","FILING_STATUS=MR","SCALING_FORMAT=MLN","Sort=A","Dates=H","DateFormat=P","Fill=—","Direction=H","UseDPDF=Y")</f>
        <v>-17977</v>
      </c>
      <c r="D36" s="13">
        <f>_xll.BDH("AMGN US Equity","ARD_RETAINED_EARN_ACC_DEFICIT","FQ1 2019","FQ1 2019","Currency=USD","Period=FQ","BEST_FPERIOD_OVERRIDE=FQ","FILING_STATUS=MR","SCALING_FORMAT=MLN","Sort=A","Dates=H","DateFormat=P","Fill=—","Direction=H","UseDPDF=Y")</f>
        <v>-19895</v>
      </c>
      <c r="E36" s="13">
        <f>_xll.BDH("AMGN US Equity","ARD_RETAINED_EARN_ACC_DEFICIT","FQ2 2019","FQ2 2019","Currency=USD","Period=FQ","BEST_FPERIOD_OVERRIDE=FQ","FILING_STATUS=MR","SCALING_FORMAT=MLN","Sort=A","Dates=H","DateFormat=P","Fill=—","Direction=H","UseDPDF=Y")</f>
        <v>-20054</v>
      </c>
      <c r="F36" s="13">
        <f>_xll.BDH("AMGN US Equity","ARD_RETAINED_EARN_ACC_DEFICIT","FQ3 2019","FQ3 2019","Currency=USD","Period=FQ","BEST_FPERIOD_OVERRIDE=FQ","FILING_STATUS=MR","SCALING_FORMAT=MLN","Sort=A","Dates=H","DateFormat=P","Fill=—","Direction=H","UseDPDF=Y")</f>
        <v>-20136</v>
      </c>
      <c r="G36" s="13">
        <f>_xll.BDH("AMGN US Equity","ARD_RETAINED_EARN_ACC_DEFICIT","FQ4 2019","FQ4 2019","Currency=USD","Period=FQ","BEST_FPERIOD_OVERRIDE=FQ","FILING_STATUS=MR","SCALING_FORMAT=MLN","Sort=A","Dates=H","DateFormat=P","Fill=—","Direction=H","UseDPDF=Y")</f>
        <v>-21330</v>
      </c>
      <c r="H36" s="13">
        <f>_xll.BDH("AMGN US Equity","ARD_RETAINED_EARN_ACC_DEFICIT","FQ1 2020","FQ1 2020","Currency=USD","Period=FQ","BEST_FPERIOD_OVERRIDE=FQ","FILING_STATUS=MR","SCALING_FORMAT=MLN","Sort=A","Dates=H","DateFormat=P","Fill=—","Direction=H","UseDPDF=Y")</f>
        <v>-21378</v>
      </c>
      <c r="I36" s="13">
        <f>_xll.BDH("AMGN US Equity","ARD_RETAINED_EARN_ACC_DEFICIT","FQ2 2020","FQ2 2020","Currency=USD","Period=FQ","BEST_FPERIOD_OVERRIDE=FQ","FILING_STATUS=MR","SCALING_FORMAT=MLN","Sort=A","Dates=H","DateFormat=P","Fill=—","Direction=H","UseDPDF=Y")</f>
        <v>-20168</v>
      </c>
      <c r="J36" s="13">
        <f>_xll.BDH("AMGN US Equity","ARD_RETAINED_EARN_ACC_DEFICIT","FQ3 2020","FQ3 2020","Currency=USD","Period=FQ","BEST_FPERIOD_OVERRIDE=FQ","FILING_STATUS=MR","SCALING_FORMAT=MLN","Sort=A","Dates=H","DateFormat=P","Fill=—","Direction=H","UseDPDF=Y")</f>
        <v>-19851</v>
      </c>
      <c r="K36" s="13">
        <f>_xll.BDH("AMGN US Equity","ARD_RETAINED_EARN_ACC_DEFICIT","FQ4 2020","FQ4 2020","Currency=USD","Period=FQ","BEST_FPERIOD_OVERRIDE=FQ","FILING_STATUS=MR","SCALING_FORMAT=MLN","Sort=A","Dates=H","DateFormat=P","Fill=—","Direction=H","UseDPDF=Y")</f>
        <v>-21408</v>
      </c>
      <c r="L36" s="13">
        <f>_xll.BDH("AMGN US Equity","ARD_RETAINED_EARN_ACC_DEFICIT","FQ1 2021","FQ1 2021","Currency=USD","Period=FQ","BEST_FPERIOD_OVERRIDE=FQ","FILING_STATUS=MR","SCALING_FORMAT=MLN","Sort=A","Dates=H","DateFormat=P","Fill=—","Direction=H","UseDPDF=Y")</f>
        <v>-21639</v>
      </c>
      <c r="M36" s="13">
        <f>_xll.BDH("AMGN US Equity","ARD_RETAINED_EARN_ACC_DEFICIT","FQ2 2021","FQ2 2021","Currency=USD","Period=FQ","BEST_FPERIOD_OVERRIDE=FQ","FILING_STATUS=MR","SCALING_FORMAT=MLN","Sort=A","Dates=H","DateFormat=P","Fill=—","Direction=H","UseDPDF=Y")</f>
        <v>-22762</v>
      </c>
      <c r="N36" s="13">
        <f>_xll.BDH("AMGN US Equity","ARD_RETAINED_EARN_ACC_DEFICIT","FQ3 2021","FQ3 2021","Currency=USD","Period=FQ","BEST_FPERIOD_OVERRIDE=FQ","FILING_STATUS=MR","SCALING_FORMAT=MLN","Sort=A","Dates=H","DateFormat=P","Fill=—","Direction=H","UseDPDF=Y")</f>
        <v>-22964</v>
      </c>
      <c r="O36" s="13">
        <f>_xll.BDH("AMGN US Equity","ARD_RETAINED_EARN_ACC_DEFICIT","FQ4 2021","FQ4 2021","Currency=USD","Period=FQ","BEST_FPERIOD_OVERRIDE=FQ","FILING_STATUS=MR","SCALING_FORMAT=MLN","Sort=A","Dates=H","DateFormat=P","Fill=—","Direction=H","UseDPDF=Y")</f>
        <v>-24600</v>
      </c>
      <c r="P36" s="13">
        <f>_xll.BDH("AMGN US Equity","ARD_RETAINED_EARN_ACC_DEFICIT","FQ1 2022","FQ1 2022","Currency=USD","Period=FQ","BEST_FPERIOD_OVERRIDE=FQ","FILING_STATUS=MR","SCALING_FORMAT=MLN","Sort=A","Dates=H","DateFormat=P","Fill=—","Direction=H","UseDPDF=Y")</f>
        <v>-29568</v>
      </c>
      <c r="Q36" s="13">
        <f>_xll.BDH("AMGN US Equity","ARD_RETAINED_EARN_ACC_DEFICIT","FQ2 2022","FQ2 2022","Currency=USD","Period=FQ","BEST_FPERIOD_OVERRIDE=FQ","FILING_STATUS=MR","SCALING_FORMAT=MLN","Sort=A","Dates=H","DateFormat=P","Fill=—","Direction=H","UseDPDF=Y")</f>
        <v>-28252</v>
      </c>
      <c r="R36" s="13">
        <f>_xll.BDH("AMGN US Equity","ARD_RETAINED_EARN_ACC_DEFICIT","FQ3 2022","FQ3 2022","Currency=USD","Period=FQ","BEST_FPERIOD_OVERRIDE=FQ","FILING_STATUS=MR","SCALING_FORMAT=MLN","Sort=A","Dates=H","DateFormat=P","Fill=—","Direction=H","UseDPDF=Y")</f>
        <v>-28066</v>
      </c>
      <c r="S36" s="13">
        <f>_xll.BDH("AMGN US Equity","ARD_RETAINED_EARN_ACC_DEFICIT","FQ4 2022","FQ4 2022","Currency=USD","Period=FQ","BEST_FPERIOD_OVERRIDE=FQ","FILING_STATUS=MR","SCALING_FORMAT=MLN","Sort=A","Dates=H","DateFormat=P","Fill=—","Direction=H","UseDPDF=Y")</f>
        <v>-28622</v>
      </c>
      <c r="T36" s="13">
        <f>_xll.BDH("AMGN US Equity","ARD_RETAINED_EARN_ACC_DEFICIT","FQ1 2023","FQ1 2023","Currency=USD","Period=FQ","BEST_FPERIOD_OVERRIDE=FQ","FILING_STATUS=MR","SCALING_FORMAT=MLN","Sort=A","Dates=H","DateFormat=P","Fill=—","Direction=H","UseDPDF=Y")</f>
        <v>-26919</v>
      </c>
      <c r="U36" s="13">
        <f>_xll.BDH("AMGN US Equity","ARD_RETAINED_EARN_ACC_DEFICIT","FQ2 2023","FQ2 2023","Currency=USD","Period=FQ","BEST_FPERIOD_OVERRIDE=FQ","FILING_STATUS=MR","SCALING_FORMAT=MLN","Sort=A","Dates=H","DateFormat=P","Fill=—","Direction=H","UseDPDF=Y")</f>
        <v>-25540</v>
      </c>
      <c r="V36" s="13">
        <f>_xll.BDH("AMGN US Equity","ARD_RETAINED_EARN_ACC_DEFICIT","FQ3 2023","FQ3 2023","Currency=USD","Period=FQ","BEST_FPERIOD_OVERRIDE=FQ","FILING_STATUS=MR","SCALING_FORMAT=MLN","Sort=A","Dates=H","DateFormat=P","Fill=—","Direction=H","UseDPDF=Y")</f>
        <v>-24971</v>
      </c>
      <c r="W36" s="13">
        <f>_xll.BDH("AMGN US Equity","ARD_RETAINED_EARN_ACC_DEFICIT","FQ4 2023","FQ4 2023","Currency=USD","Period=FQ","BEST_FPERIOD_OVERRIDE=FQ","FILING_STATUS=MR","SCALING_FORMAT=MLN","Sort=A","Dates=H","DateFormat=P","Fill=—","Direction=H","UseDPDF=Y")</f>
        <v>-26549</v>
      </c>
      <c r="X36" s="13">
        <f>_xll.BDH("AMGN US Equity","ARD_RETAINED_EARN_ACC_DEFICIT","FQ1 2024","FQ1 2024","Currency=USD","Period=FQ","BEST_FPERIOD_OVERRIDE=FQ","FILING_STATUS=MR","SCALING_FORMAT=MLN","Sort=A","Dates=H","DateFormat=P","Fill=—","Direction=H","UseDPDF=Y")</f>
        <v>-27870</v>
      </c>
      <c r="Y36" s="13">
        <f>_xll.BDH("AMGN US Equity","ARD_RETAINED_EARN_ACC_DEFICIT","FQ2 2024","FQ2 2024","Currency=USD","Period=FQ","BEST_FPERIOD_OVERRIDE=FQ","FILING_STATUS=MR","SCALING_FORMAT=MLN","Sort=A","Dates=H","DateFormat=P","Fill=—","Direction=H","UseDPDF=Y")</f>
        <v>-27124</v>
      </c>
      <c r="Z36" s="13">
        <f>_xll.BDH("AMGN US Equity","ARD_RETAINED_EARN_ACC_DEFICIT","FQ3 2024","FQ3 2024","Currency=USD","Period=FQ","BEST_FPERIOD_OVERRIDE=FQ","FILING_STATUS=MR","SCALING_FORMAT=MLN","Sort=A","Dates=H","DateFormat=P","Fill=—","Direction=H","UseDPDF=Y")</f>
        <v>-25530</v>
      </c>
      <c r="AA36" s="13">
        <f>_xll.BDH("AMGN US Equity","ARD_RETAINED_EARN_ACC_DEFICIT","FQ4 2024","FQ4 2024","Currency=USD","Period=FQ","BEST_FPERIOD_OVERRIDE=FQ","FILING_STATUS=MR","SCALING_FORMAT=MLN","Sort=A","Dates=H","DateFormat=P","Fill=—","Direction=H","UseDPDF=Y")</f>
        <v>-27590</v>
      </c>
    </row>
    <row r="37" spans="1:27" x14ac:dyDescent="0.25">
      <c r="A37" s="10" t="s">
        <v>829</v>
      </c>
      <c r="B37" s="10" t="s">
        <v>906</v>
      </c>
      <c r="C37" s="13">
        <f>_xll.BDH("AMGN US Equity","ARD_SHARES_OUTSTANDING","FQ4 2018","FQ4 2018","Currency=USD","Period=FQ","BEST_FPERIOD_OVERRIDE=FQ","FILING_STATUS=MR","Sort=A","Dates=H","DateFormat=P","Fill=—","Direction=H","UseDPDF=Y")</f>
        <v>629.6</v>
      </c>
      <c r="D37" s="13">
        <f>_xll.BDH("AMGN US Equity","ARD_SHARES_OUTSTANDING","FQ1 2019","FQ1 2019","Currency=USD","Period=FQ","BEST_FPERIOD_OVERRIDE=FQ","FILING_STATUS=MR","Sort=A","Dates=H","DateFormat=P","Fill=—","Direction=H","UseDPDF=Y")</f>
        <v>614.4</v>
      </c>
      <c r="E37" s="13">
        <f>_xll.BDH("AMGN US Equity","ARD_SHARES_OUTSTANDING","FQ2 2019","FQ2 2019","Currency=USD","Period=FQ","BEST_FPERIOD_OVERRIDE=FQ","FILING_STATUS=MR","Sort=A","Dates=H","DateFormat=P","Fill=—","Direction=H","UseDPDF=Y")</f>
        <v>602.1</v>
      </c>
      <c r="F37" s="13">
        <f>_xll.BDH("AMGN US Equity","ARD_SHARES_OUTSTANDING","FQ3 2019","FQ3 2019","Currency=USD","Period=FQ","BEST_FPERIOD_OVERRIDE=FQ","FILING_STATUS=MR","Sort=A","Dates=H","DateFormat=P","Fill=—","Direction=H","UseDPDF=Y")</f>
        <v>596.20000000000005</v>
      </c>
      <c r="G37" s="13">
        <f>_xll.BDH("AMGN US Equity","ARD_SHARES_OUTSTANDING","FQ4 2019","FQ4 2019","Currency=USD","Period=FQ","BEST_FPERIOD_OVERRIDE=FQ","FILING_STATUS=MR","Sort=A","Dates=H","DateFormat=P","Fill=—","Direction=H","UseDPDF=Y")</f>
        <v>591.4</v>
      </c>
      <c r="H37" s="13">
        <f>_xll.BDH("AMGN US Equity","ARD_SHARES_OUTSTANDING","FQ1 2020","FQ1 2020","Currency=USD","Period=FQ","BEST_FPERIOD_OVERRIDE=FQ","FILING_STATUS=MR","Sort=A","Dates=H","DateFormat=P","Fill=—","Direction=H","UseDPDF=Y")</f>
        <v>588</v>
      </c>
      <c r="I37" s="13">
        <f>_xll.BDH("AMGN US Equity","ARD_SHARES_OUTSTANDING","FQ2 2020","FQ2 2020","Currency=USD","Period=FQ","BEST_FPERIOD_OVERRIDE=FQ","FILING_STATUS=MR","Sort=A","Dates=H","DateFormat=P","Fill=—","Direction=H","UseDPDF=Y")</f>
        <v>586.4</v>
      </c>
      <c r="J37" s="13">
        <f>_xll.BDH("AMGN US Equity","ARD_SHARES_OUTSTANDING","FQ3 2020","FQ3 2020","Currency=USD","Period=FQ","BEST_FPERIOD_OVERRIDE=FQ","FILING_STATUS=MR","Sort=A","Dates=H","DateFormat=P","Fill=—","Direction=H","UseDPDF=Y")</f>
        <v>583.5</v>
      </c>
      <c r="K37" s="13">
        <f>_xll.BDH("AMGN US Equity","ARD_SHARES_OUTSTANDING","FQ4 2020","FQ4 2020","Currency=USD","Period=FQ","BEST_FPERIOD_OVERRIDE=FQ","FILING_STATUS=MR","Sort=A","Dates=H","DateFormat=P","Fill=—","Direction=H","UseDPDF=Y")</f>
        <v>578.29999999999995</v>
      </c>
      <c r="L37" s="13">
        <f>_xll.BDH("AMGN US Equity","ARD_SHARES_OUTSTANDING","FQ1 2021","FQ1 2021","Currency=USD","Period=FQ","BEST_FPERIOD_OVERRIDE=FQ","FILING_STATUS=MR","Sort=A","Dates=H","DateFormat=P","Fill=—","Direction=H","UseDPDF=Y")</f>
        <v>575.29999999999995</v>
      </c>
      <c r="M37" s="13">
        <f>_xll.BDH("AMGN US Equity","ARD_SHARES_OUTSTANDING","FQ2 2021","FQ2 2021","Currency=USD","Period=FQ","BEST_FPERIOD_OVERRIDE=FQ","FILING_STATUS=MR","Sort=A","Dates=H","DateFormat=P","Fill=—","Direction=H","UseDPDF=Y")</f>
        <v>569.6</v>
      </c>
      <c r="N37" s="13">
        <f>_xll.BDH("AMGN US Equity","ARD_SHARES_OUTSTANDING","FQ3 2021","FQ3 2021","Currency=USD","Period=FQ","BEST_FPERIOD_OVERRIDE=FQ","FILING_STATUS=MR","Sort=A","Dates=H","DateFormat=P","Fill=—","Direction=H","UseDPDF=Y")</f>
        <v>565</v>
      </c>
      <c r="O37" s="13">
        <f>_xll.BDH("AMGN US Equity","ARD_SHARES_OUTSTANDING","FQ4 2021","FQ4 2021","Currency=USD","Period=FQ","BEST_FPERIOD_OVERRIDE=FQ","FILING_STATUS=MR","Sort=A","Dates=H","DateFormat=P","Fill=—","Direction=H","UseDPDF=Y")</f>
        <v>534</v>
      </c>
      <c r="P37" s="13">
        <f>_xll.BDH("AMGN US Equity","ARD_SHARES_OUTSTANDING","FQ1 2022","FQ1 2022","Currency=USD","Period=FQ","BEST_FPERIOD_OVERRIDE=FQ","FILING_STATUS=MR","Sort=A","Dates=H","DateFormat=P","Fill=—","Direction=H","UseDPDF=Y")</f>
        <v>534.20000000000005</v>
      </c>
      <c r="Q37" s="13">
        <f>_xll.BDH("AMGN US Equity","ARD_SHARES_OUTSTANDING","FQ2 2022","FQ2 2022","Currency=USD","Period=FQ","BEST_FPERIOD_OVERRIDE=FQ","FILING_STATUS=MR","Sort=A","Dates=H","DateFormat=P","Fill=—","Direction=H","UseDPDF=Y")</f>
        <v>534.9</v>
      </c>
      <c r="R37" s="13">
        <f>_xll.BDH("AMGN US Equity","ARD_SHARES_OUTSTANDING","FQ3 2022","FQ3 2022","Currency=USD","Period=FQ","BEST_FPERIOD_OVERRIDE=FQ","FILING_STATUS=MR","Sort=A","Dates=H","DateFormat=P","Fill=—","Direction=H","UseDPDF=Y")</f>
        <v>533.5</v>
      </c>
      <c r="S37" s="13">
        <f>_xll.BDH("AMGN US Equity","ARD_SHARES_OUTSTANDING","FQ4 2022","FQ4 2022","Currency=USD","Period=FQ","BEST_FPERIOD_OVERRIDE=FQ","FILING_STATUS=MR","Sort=A","Dates=H","DateFormat=P","Fill=—","Direction=H","UseDPDF=Y")</f>
        <v>534</v>
      </c>
      <c r="T37" s="13">
        <f>_xll.BDH("AMGN US Equity","ARD_SHARES_OUTSTANDING","FQ1 2023","FQ1 2023","Currency=USD","Period=FQ","BEST_FPERIOD_OVERRIDE=FQ","FILING_STATUS=MR","Sort=A","Dates=H","DateFormat=P","Fill=—","Direction=H","UseDPDF=Y")</f>
        <v>534.29999999999995</v>
      </c>
      <c r="U37" s="13">
        <f>_xll.BDH("AMGN US Equity","ARD_SHARES_OUTSTANDING","FQ2 2023","FQ2 2023","Currency=USD","Period=FQ","BEST_FPERIOD_OVERRIDE=FQ","FILING_STATUS=MR","Sort=A","Dates=H","DateFormat=P","Fill=—","Direction=H","UseDPDF=Y")</f>
        <v>534.9</v>
      </c>
      <c r="V37" s="13">
        <f>_xll.BDH("AMGN US Equity","ARD_SHARES_OUTSTANDING","FQ3 2023","FQ3 2023","Currency=USD","Period=FQ","BEST_FPERIOD_OVERRIDE=FQ","FILING_STATUS=MR","Sort=A","Dates=H","DateFormat=P","Fill=—","Direction=H","UseDPDF=Y")</f>
        <v>535.1</v>
      </c>
      <c r="W37" s="13">
        <f>_xll.BDH("AMGN US Equity","ARD_SHARES_OUTSTANDING","FQ4 2023","FQ4 2023","Currency=USD","Period=FQ","BEST_FPERIOD_OVERRIDE=FQ","FILING_STATUS=MR","Sort=A","Dates=H","DateFormat=P","Fill=—","Direction=H","UseDPDF=Y")</f>
        <v>535.4</v>
      </c>
      <c r="X37" s="13">
        <f>_xll.BDH("AMGN US Equity","ARD_SHARES_OUTSTANDING","FQ1 2024","FQ1 2024","Currency=USD","Period=FQ","BEST_FPERIOD_OVERRIDE=FQ","FILING_STATUS=MR","Sort=A","Dates=H","DateFormat=P","Fill=—","Direction=H","UseDPDF=Y")</f>
        <v>536.4</v>
      </c>
      <c r="Y37" s="13">
        <f>_xll.BDH("AMGN US Equity","ARD_SHARES_OUTSTANDING","FQ2 2024","FQ2 2024","Currency=USD","Period=FQ","BEST_FPERIOD_OVERRIDE=FQ","FILING_STATUS=MR","Sort=A","Dates=H","DateFormat=P","Fill=—","Direction=H","UseDPDF=Y")</f>
        <v>537.20000000000005</v>
      </c>
      <c r="Z37" s="13">
        <f>_xll.BDH("AMGN US Equity","ARD_SHARES_OUTSTANDING","FQ3 2024","FQ3 2024","Currency=USD","Period=FQ","BEST_FPERIOD_OVERRIDE=FQ","FILING_STATUS=MR","Sort=A","Dates=H","DateFormat=P","Fill=—","Direction=H","UseDPDF=Y")</f>
        <v>537.5</v>
      </c>
      <c r="AA37" s="13">
        <f>_xll.BDH("AMGN US Equity","ARD_SHARES_OUTSTANDING","FQ4 2024","FQ4 2024","Currency=USD","Period=FQ","BEST_FPERIOD_OVERRIDE=FQ","FILING_STATUS=MR","Sort=A","Dates=H","DateFormat=P","Fill=—","Direction=H","UseDPDF=Y")</f>
        <v>536.9</v>
      </c>
    </row>
    <row r="38" spans="1:27" x14ac:dyDescent="0.25">
      <c r="A38" s="10" t="s">
        <v>907</v>
      </c>
      <c r="B38" s="10" t="s">
        <v>908</v>
      </c>
      <c r="C38" s="14">
        <f>_xll.BDH("AMGN US Equity","ARD_PAR_VALUE","FQ4 2018","FQ4 2018","Currency=USD","Period=FQ","BEST_FPERIOD_OVERRIDE=FQ","FILING_STATUS=MR","Sort=A","Dates=H","DateFormat=P","Fill=—","Direction=H","UseDPDF=Y")</f>
        <v>1E-4</v>
      </c>
      <c r="D38" s="14">
        <f>_xll.BDH("AMGN US Equity","ARD_PAR_VALUE","FQ1 2019","FQ1 2019","Currency=USD","Period=FQ","BEST_FPERIOD_OVERRIDE=FQ","FILING_STATUS=MR","Sort=A","Dates=H","DateFormat=P","Fill=—","Direction=H","UseDPDF=Y")</f>
        <v>1E-4</v>
      </c>
      <c r="E38" s="14">
        <f>_xll.BDH("AMGN US Equity","ARD_PAR_VALUE","FQ2 2019","FQ2 2019","Currency=USD","Period=FQ","BEST_FPERIOD_OVERRIDE=FQ","FILING_STATUS=MR","Sort=A","Dates=H","DateFormat=P","Fill=—","Direction=H","UseDPDF=Y")</f>
        <v>1E-4</v>
      </c>
      <c r="F38" s="14">
        <f>_xll.BDH("AMGN US Equity","ARD_PAR_VALUE","FQ3 2019","FQ3 2019","Currency=USD","Period=FQ","BEST_FPERIOD_OVERRIDE=FQ","FILING_STATUS=MR","Sort=A","Dates=H","DateFormat=P","Fill=—","Direction=H","UseDPDF=Y")</f>
        <v>1E-4</v>
      </c>
      <c r="G38" s="14">
        <f>_xll.BDH("AMGN US Equity","ARD_PAR_VALUE","FQ4 2019","FQ4 2019","Currency=USD","Period=FQ","BEST_FPERIOD_OVERRIDE=FQ","FILING_STATUS=MR","Sort=A","Dates=H","DateFormat=P","Fill=—","Direction=H","UseDPDF=Y")</f>
        <v>1E-4</v>
      </c>
      <c r="H38" s="14">
        <f>_xll.BDH("AMGN US Equity","ARD_PAR_VALUE","FQ1 2020","FQ1 2020","Currency=USD","Period=FQ","BEST_FPERIOD_OVERRIDE=FQ","FILING_STATUS=MR","Sort=A","Dates=H","DateFormat=P","Fill=—","Direction=H","UseDPDF=Y")</f>
        <v>1E-4</v>
      </c>
      <c r="I38" s="14">
        <f>_xll.BDH("AMGN US Equity","ARD_PAR_VALUE","FQ2 2020","FQ2 2020","Currency=USD","Period=FQ","BEST_FPERIOD_OVERRIDE=FQ","FILING_STATUS=MR","Sort=A","Dates=H","DateFormat=P","Fill=—","Direction=H","UseDPDF=Y")</f>
        <v>1E-4</v>
      </c>
      <c r="J38" s="14">
        <f>_xll.BDH("AMGN US Equity","ARD_PAR_VALUE","FQ3 2020","FQ3 2020","Currency=USD","Period=FQ","BEST_FPERIOD_OVERRIDE=FQ","FILING_STATUS=MR","Sort=A","Dates=H","DateFormat=P","Fill=—","Direction=H","UseDPDF=Y")</f>
        <v>1E-4</v>
      </c>
      <c r="K38" s="14">
        <f>_xll.BDH("AMGN US Equity","ARD_PAR_VALUE","FQ4 2020","FQ4 2020","Currency=USD","Period=FQ","BEST_FPERIOD_OVERRIDE=FQ","FILING_STATUS=MR","Sort=A","Dates=H","DateFormat=P","Fill=—","Direction=H","UseDPDF=Y")</f>
        <v>1E-4</v>
      </c>
      <c r="L38" s="14">
        <f>_xll.BDH("AMGN US Equity","ARD_PAR_VALUE","FQ1 2021","FQ1 2021","Currency=USD","Period=FQ","BEST_FPERIOD_OVERRIDE=FQ","FILING_STATUS=MR","Sort=A","Dates=H","DateFormat=P","Fill=—","Direction=H","UseDPDF=Y")</f>
        <v>1E-4</v>
      </c>
      <c r="M38" s="14">
        <f>_xll.BDH("AMGN US Equity","ARD_PAR_VALUE","FQ2 2021","FQ2 2021","Currency=USD","Period=FQ","BEST_FPERIOD_OVERRIDE=FQ","FILING_STATUS=MR","Sort=A","Dates=H","DateFormat=P","Fill=—","Direction=H","UseDPDF=Y")</f>
        <v>1E-4</v>
      </c>
      <c r="N38" s="14">
        <f>_xll.BDH("AMGN US Equity","ARD_PAR_VALUE","FQ3 2021","FQ3 2021","Currency=USD","Period=FQ","BEST_FPERIOD_OVERRIDE=FQ","FILING_STATUS=MR","Sort=A","Dates=H","DateFormat=P","Fill=—","Direction=H","UseDPDF=Y")</f>
        <v>1E-4</v>
      </c>
      <c r="O38" s="14">
        <f>_xll.BDH("AMGN US Equity","ARD_PAR_VALUE","FQ4 2021","FQ4 2021","Currency=USD","Period=FQ","BEST_FPERIOD_OVERRIDE=FQ","FILING_STATUS=MR","Sort=A","Dates=H","DateFormat=P","Fill=—","Direction=H","UseDPDF=Y")</f>
        <v>1E-4</v>
      </c>
      <c r="P38" s="14">
        <f>_xll.BDH("AMGN US Equity","ARD_PAR_VALUE","FQ1 2022","FQ1 2022","Currency=USD","Period=FQ","BEST_FPERIOD_OVERRIDE=FQ","FILING_STATUS=MR","Sort=A","Dates=H","DateFormat=P","Fill=—","Direction=H","UseDPDF=Y")</f>
        <v>1E-4</v>
      </c>
      <c r="Q38" s="14">
        <f>_xll.BDH("AMGN US Equity","ARD_PAR_VALUE","FQ2 2022","FQ2 2022","Currency=USD","Period=FQ","BEST_FPERIOD_OVERRIDE=FQ","FILING_STATUS=MR","Sort=A","Dates=H","DateFormat=P","Fill=—","Direction=H","UseDPDF=Y")</f>
        <v>1E-4</v>
      </c>
      <c r="R38" s="14">
        <f>_xll.BDH("AMGN US Equity","ARD_PAR_VALUE","FQ3 2022","FQ3 2022","Currency=USD","Period=FQ","BEST_FPERIOD_OVERRIDE=FQ","FILING_STATUS=MR","Sort=A","Dates=H","DateFormat=P","Fill=—","Direction=H","UseDPDF=Y")</f>
        <v>1E-4</v>
      </c>
      <c r="S38" s="14">
        <f>_xll.BDH("AMGN US Equity","ARD_PAR_VALUE","FQ4 2022","FQ4 2022","Currency=USD","Period=FQ","BEST_FPERIOD_OVERRIDE=FQ","FILING_STATUS=MR","Sort=A","Dates=H","DateFormat=P","Fill=—","Direction=H","UseDPDF=Y")</f>
        <v>1E-4</v>
      </c>
      <c r="T38" s="14">
        <f>_xll.BDH("AMGN US Equity","ARD_PAR_VALUE","FQ1 2023","FQ1 2023","Currency=USD","Period=FQ","BEST_FPERIOD_OVERRIDE=FQ","FILING_STATUS=MR","Sort=A","Dates=H","DateFormat=P","Fill=—","Direction=H","UseDPDF=Y")</f>
        <v>1E-4</v>
      </c>
      <c r="U38" s="14">
        <f>_xll.BDH("AMGN US Equity","ARD_PAR_VALUE","FQ2 2023","FQ2 2023","Currency=USD","Period=FQ","BEST_FPERIOD_OVERRIDE=FQ","FILING_STATUS=MR","Sort=A","Dates=H","DateFormat=P","Fill=—","Direction=H","UseDPDF=Y")</f>
        <v>1E-4</v>
      </c>
      <c r="V38" s="14">
        <f>_xll.BDH("AMGN US Equity","ARD_PAR_VALUE","FQ3 2023","FQ3 2023","Currency=USD","Period=FQ","BEST_FPERIOD_OVERRIDE=FQ","FILING_STATUS=MR","Sort=A","Dates=H","DateFormat=P","Fill=—","Direction=H","UseDPDF=Y")</f>
        <v>1E-4</v>
      </c>
      <c r="W38" s="14">
        <f>_xll.BDH("AMGN US Equity","ARD_PAR_VALUE","FQ4 2023","FQ4 2023","Currency=USD","Period=FQ","BEST_FPERIOD_OVERRIDE=FQ","FILING_STATUS=MR","Sort=A","Dates=H","DateFormat=P","Fill=—","Direction=H","UseDPDF=Y")</f>
        <v>1E-4</v>
      </c>
      <c r="X38" s="14">
        <f>_xll.BDH("AMGN US Equity","ARD_PAR_VALUE","FQ1 2024","FQ1 2024","Currency=USD","Period=FQ","BEST_FPERIOD_OVERRIDE=FQ","FILING_STATUS=MR","Sort=A","Dates=H","DateFormat=P","Fill=—","Direction=H","UseDPDF=Y")</f>
        <v>1E-4</v>
      </c>
      <c r="Y38" s="14">
        <f>_xll.BDH("AMGN US Equity","ARD_PAR_VALUE","FQ2 2024","FQ2 2024","Currency=USD","Period=FQ","BEST_FPERIOD_OVERRIDE=FQ","FILING_STATUS=MR","Sort=A","Dates=H","DateFormat=P","Fill=—","Direction=H","UseDPDF=Y")</f>
        <v>1E-4</v>
      </c>
      <c r="Z38" s="14">
        <f>_xll.BDH("AMGN US Equity","ARD_PAR_VALUE","FQ3 2024","FQ3 2024","Currency=USD","Period=FQ","BEST_FPERIOD_OVERRIDE=FQ","FILING_STATUS=MR","Sort=A","Dates=H","DateFormat=P","Fill=—","Direction=H","UseDPDF=Y")</f>
        <v>1E-4</v>
      </c>
      <c r="AA38" s="14">
        <f>_xll.BDH("AMGN US Equity","ARD_PAR_VALUE","FQ4 2024","FQ4 2024","Currency=USD","Period=FQ","BEST_FPERIOD_OVERRIDE=FQ","FILING_STATUS=MR","Sort=A","Dates=H","DateFormat=P","Fill=—","Direction=H","UseDPDF=Y")</f>
        <v>1E-4</v>
      </c>
    </row>
    <row r="39" spans="1:27" x14ac:dyDescent="0.25">
      <c r="A39" s="10" t="s">
        <v>909</v>
      </c>
      <c r="B39" s="10" t="s">
        <v>910</v>
      </c>
      <c r="C39" s="13">
        <f>_xll.BDH("AMGN US Equity","ARD_COMMON_STOCK_AND_APIC","FQ4 2018","FQ4 2018","Currency=USD","Period=FQ","BEST_FPERIOD_OVERRIDE=FQ","FILING_STATUS=MR","SCALING_FORMAT=MLN","Sort=A","Dates=H","DateFormat=P","Fill=—","Direction=H","UseDPDF=Y")</f>
        <v>31246</v>
      </c>
      <c r="D39" s="13">
        <f>_xll.BDH("AMGN US Equity","ARD_COMMON_STOCK_AND_APIC","FQ1 2019","FQ1 2019","Currency=USD","Period=FQ","BEST_FPERIOD_OVERRIDE=FQ","FILING_STATUS=MR","SCALING_FORMAT=MLN","Sort=A","Dates=H","DateFormat=P","Fill=—","Direction=H","UseDPDF=Y")</f>
        <v>31243</v>
      </c>
      <c r="E39" s="13">
        <f>_xll.BDH("AMGN US Equity","ARD_COMMON_STOCK_AND_APIC","FQ2 2019","FQ2 2019","Currency=USD","Period=FQ","BEST_FPERIOD_OVERRIDE=FQ","FILING_STATUS=MR","SCALING_FORMAT=MLN","Sort=A","Dates=H","DateFormat=P","Fill=—","Direction=H","UseDPDF=Y")</f>
        <v>31313</v>
      </c>
      <c r="F39" s="13">
        <f>_xll.BDH("AMGN US Equity","ARD_COMMON_STOCK_AND_APIC","FQ3 2019","FQ3 2019","Currency=USD","Period=FQ","BEST_FPERIOD_OVERRIDE=FQ","FILING_STATUS=MR","SCALING_FORMAT=MLN","Sort=A","Dates=H","DateFormat=P","Fill=—","Direction=H","UseDPDF=Y")</f>
        <v>31451</v>
      </c>
      <c r="G39" s="13">
        <f>_xll.BDH("AMGN US Equity","ARD_COMMON_STOCK_AND_APIC","FQ4 2019","FQ4 2019","Currency=USD","Period=FQ","BEST_FPERIOD_OVERRIDE=FQ","FILING_STATUS=MR","SCALING_FORMAT=MLN","Sort=A","Dates=H","DateFormat=P","Fill=—","Direction=H","UseDPDF=Y")</f>
        <v>31531</v>
      </c>
      <c r="H39" s="13">
        <f>_xll.BDH("AMGN US Equity","ARD_COMMON_STOCK_AND_APIC","FQ1 2020","FQ1 2020","Currency=USD","Period=FQ","BEST_FPERIOD_OVERRIDE=FQ","FILING_STATUS=MR","SCALING_FORMAT=MLN","Sort=A","Dates=H","DateFormat=P","Fill=—","Direction=H","UseDPDF=Y")</f>
        <v>31525</v>
      </c>
      <c r="I39" s="13">
        <f>_xll.BDH("AMGN US Equity","ARD_COMMON_STOCK_AND_APIC","FQ2 2020","FQ2 2020","Currency=USD","Period=FQ","BEST_FPERIOD_OVERRIDE=FQ","FILING_STATUS=MR","SCALING_FORMAT=MLN","Sort=A","Dates=H","DateFormat=P","Fill=—","Direction=H","UseDPDF=Y")</f>
        <v>31610</v>
      </c>
      <c r="J39" s="13">
        <f>_xll.BDH("AMGN US Equity","ARD_COMMON_STOCK_AND_APIC","FQ3 2020","FQ3 2020","Currency=USD","Period=FQ","BEST_FPERIOD_OVERRIDE=FQ","FILING_STATUS=MR","SCALING_FORMAT=MLN","Sort=A","Dates=H","DateFormat=P","Fill=—","Direction=H","UseDPDF=Y")</f>
        <v>31713</v>
      </c>
      <c r="K39" s="13">
        <f>_xll.BDH("AMGN US Equity","ARD_COMMON_STOCK_AND_APIC","FQ4 2020","FQ4 2020","Currency=USD","Period=FQ","BEST_FPERIOD_OVERRIDE=FQ","FILING_STATUS=MR","SCALING_FORMAT=MLN","Sort=A","Dates=H","DateFormat=P","Fill=—","Direction=H","UseDPDF=Y")</f>
        <v>31802</v>
      </c>
      <c r="L39" s="13">
        <f>_xll.BDH("AMGN US Equity","ARD_COMMON_STOCK_AND_APIC","FQ1 2021","FQ1 2021","Currency=USD","Period=FQ","BEST_FPERIOD_OVERRIDE=FQ","FILING_STATUS=MR","SCALING_FORMAT=MLN","Sort=A","Dates=H","DateFormat=P","Fill=—","Direction=H","UseDPDF=Y")</f>
        <v>31806</v>
      </c>
      <c r="M39" s="13">
        <f>_xll.BDH("AMGN US Equity","ARD_COMMON_STOCK_AND_APIC","FQ2 2021","FQ2 2021","Currency=USD","Period=FQ","BEST_FPERIOD_OVERRIDE=FQ","FILING_STATUS=MR","SCALING_FORMAT=MLN","Sort=A","Dates=H","DateFormat=P","Fill=—","Direction=H","UseDPDF=Y")</f>
        <v>31877</v>
      </c>
      <c r="N39" s="13">
        <f>_xll.BDH("AMGN US Equity","ARD_COMMON_STOCK_AND_APIC","FQ3 2021","FQ3 2021","Currency=USD","Period=FQ","BEST_FPERIOD_OVERRIDE=FQ","FILING_STATUS=MR","SCALING_FORMAT=MLN","Sort=A","Dates=H","DateFormat=P","Fill=—","Direction=H","UseDPDF=Y")</f>
        <v>31989</v>
      </c>
      <c r="O39" s="13">
        <f>_xll.BDH("AMGN US Equity","ARD_COMMON_STOCK_AND_APIC","FQ4 2021","FQ4 2021","Currency=USD","Period=FQ","BEST_FPERIOD_OVERRIDE=FQ","FILING_STATUS=MR","SCALING_FORMAT=MLN","Sort=A","Dates=H","DateFormat=P","Fill=—","Direction=H","UseDPDF=Y")</f>
        <v>32096</v>
      </c>
      <c r="P39" s="13">
        <f>_xll.BDH("AMGN US Equity","ARD_COMMON_STOCK_AND_APIC","FQ1 2022","FQ1 2022","Currency=USD","Period=FQ","BEST_FPERIOD_OVERRIDE=FQ","FILING_STATUS=MR","SCALING_FORMAT=MLN","Sort=A","Dates=H","DateFormat=P","Fill=—","Direction=H","UseDPDF=Y")</f>
        <v>31247</v>
      </c>
      <c r="Q39" s="13">
        <f>_xll.BDH("AMGN US Equity","ARD_COMMON_STOCK_AND_APIC","FQ2 2022","FQ2 2022","Currency=USD","Period=FQ","BEST_FPERIOD_OVERRIDE=FQ","FILING_STATUS=MR","SCALING_FORMAT=MLN","Sort=A","Dates=H","DateFormat=P","Fill=—","Direction=H","UseDPDF=Y")</f>
        <v>31343</v>
      </c>
      <c r="R39" s="13">
        <f>_xll.BDH("AMGN US Equity","ARD_COMMON_STOCK_AND_APIC","FQ3 2022","FQ3 2022","Currency=USD","Period=FQ","BEST_FPERIOD_OVERRIDE=FQ","FILING_STATUS=MR","SCALING_FORMAT=MLN","Sort=A","Dates=H","DateFormat=P","Fill=—","Direction=H","UseDPDF=Y")</f>
        <v>32371</v>
      </c>
      <c r="S39" s="13">
        <f>_xll.BDH("AMGN US Equity","ARD_COMMON_STOCK_AND_APIC","FQ4 2022","FQ4 2022","Currency=USD","Period=FQ","BEST_FPERIOD_OVERRIDE=FQ","FILING_STATUS=MR","SCALING_FORMAT=MLN","Sort=A","Dates=H","DateFormat=P","Fill=—","Direction=H","UseDPDF=Y")</f>
        <v>32514</v>
      </c>
      <c r="T39" s="13">
        <f>_xll.BDH("AMGN US Equity","ARD_COMMON_STOCK_AND_APIC","FQ1 2023","FQ1 2023","Currency=USD","Period=FQ","BEST_FPERIOD_OVERRIDE=FQ","FILING_STATUS=MR","SCALING_FORMAT=MLN","Sort=A","Dates=H","DateFormat=P","Fill=—","Direction=H","UseDPDF=Y")</f>
        <v>32535</v>
      </c>
      <c r="U39" s="13">
        <f>_xll.BDH("AMGN US Equity","ARD_COMMON_STOCK_AND_APIC","FQ2 2023","FQ2 2023","Currency=USD","Period=FQ","BEST_FPERIOD_OVERRIDE=FQ","FILING_STATUS=MR","SCALING_FORMAT=MLN","Sort=A","Dates=H","DateFormat=P","Fill=—","Direction=H","UseDPDF=Y")</f>
        <v>32601</v>
      </c>
      <c r="V39" s="13">
        <f>_xll.BDH("AMGN US Equity","ARD_COMMON_STOCK_AND_APIC","FQ3 2023","FQ3 2023","Currency=USD","Period=FQ","BEST_FPERIOD_OVERRIDE=FQ","FILING_STATUS=MR","SCALING_FORMAT=MLN","Sort=A","Dates=H","DateFormat=P","Fill=—","Direction=H","UseDPDF=Y")</f>
        <v>32753</v>
      </c>
      <c r="W39" s="13">
        <f>_xll.BDH("AMGN US Equity","ARD_COMMON_STOCK_AND_APIC","FQ4 2023","FQ4 2023","Currency=USD","Period=FQ","BEST_FPERIOD_OVERRIDE=FQ","FILING_STATUS=MR","SCALING_FORMAT=MLN","Sort=A","Dates=H","DateFormat=P","Fill=—","Direction=H","UseDPDF=Y")</f>
        <v>33070</v>
      </c>
      <c r="X39" s="13">
        <f>_xll.BDH("AMGN US Equity","ARD_COMMON_STOCK_AND_APIC","FQ1 2024","FQ1 2024","Currency=USD","Period=FQ","BEST_FPERIOD_OVERRIDE=FQ","FILING_STATUS=MR","SCALING_FORMAT=MLN","Sort=A","Dates=H","DateFormat=P","Fill=—","Direction=H","UseDPDF=Y")</f>
        <v>33082</v>
      </c>
      <c r="Y39" s="13">
        <f>_xll.BDH("AMGN US Equity","ARD_COMMON_STOCK_AND_APIC","FQ2 2024","FQ2 2024","Currency=USD","Period=FQ","BEST_FPERIOD_OVERRIDE=FQ","FILING_STATUS=MR","SCALING_FORMAT=MLN","Sort=A","Dates=H","DateFormat=P","Fill=—","Direction=H","UseDPDF=Y")</f>
        <v>33204</v>
      </c>
      <c r="Z39" s="13">
        <f>_xll.BDH("AMGN US Equity","ARD_COMMON_STOCK_AND_APIC","FQ3 2024","FQ3 2024","Currency=USD","Period=FQ","BEST_FPERIOD_OVERRIDE=FQ","FILING_STATUS=MR","SCALING_FORMAT=MLN","Sort=A","Dates=H","DateFormat=P","Fill=—","Direction=H","UseDPDF=Y")</f>
        <v>33393</v>
      </c>
      <c r="AA39" s="13">
        <f>_xll.BDH("AMGN US Equity","ARD_COMMON_STOCK_AND_APIC","FQ4 2024","FQ4 2024","Currency=USD","Period=FQ","BEST_FPERIOD_OVERRIDE=FQ","FILING_STATUS=MR","SCALING_FORMAT=MLN","Sort=A","Dates=H","DateFormat=P","Fill=—","Direction=H","UseDPDF=Y")</f>
        <v>33533</v>
      </c>
    </row>
    <row r="40" spans="1:27" x14ac:dyDescent="0.25">
      <c r="A40" s="10" t="s">
        <v>911</v>
      </c>
      <c r="B40" s="10" t="s">
        <v>912</v>
      </c>
      <c r="C40" s="13">
        <f>_xll.BDH("AMGN US Equity","ARD_TOTAL_SHAREHOLDERS_EQUITY","FQ4 2018","FQ4 2018","Currency=USD","Period=FQ","BEST_FPERIOD_OVERRIDE=FQ","FILING_STATUS=MR","SCALING_FORMAT=MLN","Sort=A","Dates=H","DateFormat=P","Fill=—","Direction=H","UseDPDF=Y")</f>
        <v>12500</v>
      </c>
      <c r="D40" s="13">
        <f>_xll.BDH("AMGN US Equity","ARD_TOTAL_SHAREHOLDERS_EQUITY","FQ1 2019","FQ1 2019","Currency=USD","Period=FQ","BEST_FPERIOD_OVERRIDE=FQ","FILING_STATUS=MR","SCALING_FORMAT=MLN","Sort=A","Dates=H","DateFormat=P","Fill=—","Direction=H","UseDPDF=Y")</f>
        <v>10832</v>
      </c>
      <c r="E40" s="13">
        <f>_xll.BDH("AMGN US Equity","ARD_TOTAL_SHAREHOLDERS_EQUITY","FQ2 2019","FQ2 2019","Currency=USD","Period=FQ","BEST_FPERIOD_OVERRIDE=FQ","FILING_STATUS=MR","SCALING_FORMAT=MLN","Sort=A","Dates=H","DateFormat=P","Fill=—","Direction=H","UseDPDF=Y")</f>
        <v>10794</v>
      </c>
      <c r="F40" s="13">
        <f>_xll.BDH("AMGN US Equity","ARD_TOTAL_SHAREHOLDERS_EQUITY","FQ3 2019","FQ3 2019","Currency=USD","Period=FQ","BEST_FPERIOD_OVERRIDE=FQ","FILING_STATUS=MR","SCALING_FORMAT=MLN","Sort=A","Dates=H","DateFormat=P","Fill=—","Direction=H","UseDPDF=Y")</f>
        <v>10927</v>
      </c>
      <c r="G40" s="13">
        <f>_xll.BDH("AMGN US Equity","ARD_TOTAL_SHAREHOLDERS_EQUITY","FQ4 2019","FQ4 2019","Currency=USD","Period=FQ","BEST_FPERIOD_OVERRIDE=FQ","FILING_STATUS=MR","SCALING_FORMAT=MLN","Sort=A","Dates=H","DateFormat=P","Fill=—","Direction=H","UseDPDF=Y")</f>
        <v>9673</v>
      </c>
      <c r="H40" s="13">
        <f>_xll.BDH("AMGN US Equity","ARD_TOTAL_SHAREHOLDERS_EQUITY","FQ1 2020","FQ1 2020","Currency=USD","Period=FQ","BEST_FPERIOD_OVERRIDE=FQ","FILING_STATUS=MR","SCALING_FORMAT=MLN","Sort=A","Dates=H","DateFormat=P","Fill=—","Direction=H","UseDPDF=Y")</f>
        <v>9485</v>
      </c>
      <c r="I40" s="13">
        <f>_xll.BDH("AMGN US Equity","ARD_TOTAL_SHAREHOLDERS_EQUITY","FQ2 2020","FQ2 2020","Currency=USD","Period=FQ","BEST_FPERIOD_OVERRIDE=FQ","FILING_STATUS=MR","SCALING_FORMAT=MLN","Sort=A","Dates=H","DateFormat=P","Fill=—","Direction=H","UseDPDF=Y")</f>
        <v>10659</v>
      </c>
      <c r="J40" s="13">
        <f>_xll.BDH("AMGN US Equity","ARD_TOTAL_SHAREHOLDERS_EQUITY","FQ3 2020","FQ3 2020","Currency=USD","Period=FQ","BEST_FPERIOD_OVERRIDE=FQ","FILING_STATUS=MR","SCALING_FORMAT=MLN","Sort=A","Dates=H","DateFormat=P","Fill=—","Direction=H","UseDPDF=Y")</f>
        <v>10959</v>
      </c>
      <c r="K40" s="13">
        <f>_xll.BDH("AMGN US Equity","ARD_TOTAL_SHAREHOLDERS_EQUITY","FQ4 2020","FQ4 2020","Currency=USD","Period=FQ","BEST_FPERIOD_OVERRIDE=FQ","FILING_STATUS=MR","SCALING_FORMAT=MLN","Sort=A","Dates=H","DateFormat=P","Fill=—","Direction=H","UseDPDF=Y")</f>
        <v>9409</v>
      </c>
      <c r="L40" s="13">
        <f>_xll.BDH("AMGN US Equity","ARD_TOTAL_SHAREHOLDERS_EQUITY","FQ1 2021","FQ1 2021","Currency=USD","Period=FQ","BEST_FPERIOD_OVERRIDE=FQ","FILING_STATUS=MR","SCALING_FORMAT=MLN","Sort=A","Dates=H","DateFormat=P","Fill=—","Direction=H","UseDPDF=Y")</f>
        <v>9334</v>
      </c>
      <c r="M40" s="13">
        <f>_xll.BDH("AMGN US Equity","ARD_TOTAL_SHAREHOLDERS_EQUITY","FQ2 2021","FQ2 2021","Currency=USD","Period=FQ","BEST_FPERIOD_OVERRIDE=FQ","FILING_STATUS=MR","SCALING_FORMAT=MLN","Sort=A","Dates=H","DateFormat=P","Fill=—","Direction=H","UseDPDF=Y")</f>
        <v>8247</v>
      </c>
      <c r="N40" s="13">
        <f>_xll.BDH("AMGN US Equity","ARD_TOTAL_SHAREHOLDERS_EQUITY","FQ3 2021","FQ3 2021","Currency=USD","Period=FQ","BEST_FPERIOD_OVERRIDE=FQ","FILING_STATUS=MR","SCALING_FORMAT=MLN","Sort=A","Dates=H","DateFormat=P","Fill=—","Direction=H","UseDPDF=Y")</f>
        <v>8217</v>
      </c>
      <c r="O40" s="13">
        <f>_xll.BDH("AMGN US Equity","ARD_TOTAL_SHAREHOLDERS_EQUITY","FQ4 2021","FQ4 2021","Currency=USD","Period=FQ","BEST_FPERIOD_OVERRIDE=FQ","FILING_STATUS=MR","SCALING_FORMAT=MLN","Sort=A","Dates=H","DateFormat=P","Fill=—","Direction=H","UseDPDF=Y")</f>
        <v>6700</v>
      </c>
      <c r="P40" s="13">
        <f>_xll.BDH("AMGN US Equity","ARD_TOTAL_SHAREHOLDERS_EQUITY","FQ1 2022","FQ1 2022","Currency=USD","Period=FQ","BEST_FPERIOD_OVERRIDE=FQ","FILING_STATUS=MR","SCALING_FORMAT=MLN","Sort=A","Dates=H","DateFormat=P","Fill=—","Direction=H","UseDPDF=Y")</f>
        <v>916</v>
      </c>
      <c r="Q40" s="13">
        <f>_xll.BDH("AMGN US Equity","ARD_TOTAL_SHAREHOLDERS_EQUITY","FQ2 2022","FQ2 2022","Currency=USD","Period=FQ","BEST_FPERIOD_OVERRIDE=FQ","FILING_STATUS=MR","SCALING_FORMAT=MLN","Sort=A","Dates=H","DateFormat=P","Fill=—","Direction=H","UseDPDF=Y")</f>
        <v>2419</v>
      </c>
      <c r="R40" s="13">
        <f>_xll.BDH("AMGN US Equity","ARD_TOTAL_SHAREHOLDERS_EQUITY","FQ3 2022","FQ3 2022","Currency=USD","Period=FQ","BEST_FPERIOD_OVERRIDE=FQ","FILING_STATUS=MR","SCALING_FORMAT=MLN","Sort=A","Dates=H","DateFormat=P","Fill=—","Direction=H","UseDPDF=Y")</f>
        <v>3653</v>
      </c>
      <c r="S40" s="13">
        <f>_xll.BDH("AMGN US Equity","ARD_TOTAL_SHAREHOLDERS_EQUITY","FQ4 2022","FQ4 2022","Currency=USD","Period=FQ","BEST_FPERIOD_OVERRIDE=FQ","FILING_STATUS=MR","SCALING_FORMAT=MLN","Sort=A","Dates=H","DateFormat=P","Fill=—","Direction=H","UseDPDF=Y")</f>
        <v>3661</v>
      </c>
      <c r="T40" s="13">
        <f>_xll.BDH("AMGN US Equity","ARD_TOTAL_SHAREHOLDERS_EQUITY","FQ1 2023","FQ1 2023","Currency=USD","Period=FQ","BEST_FPERIOD_OVERRIDE=FQ","FILING_STATUS=MR","SCALING_FORMAT=MLN","Sort=A","Dates=H","DateFormat=P","Fill=—","Direction=H","UseDPDF=Y")</f>
        <v>5348</v>
      </c>
      <c r="U40" s="13">
        <f>_xll.BDH("AMGN US Equity","ARD_TOTAL_SHAREHOLDERS_EQUITY","FQ2 2023","FQ2 2023","Currency=USD","Period=FQ","BEST_FPERIOD_OVERRIDE=FQ","FILING_STATUS=MR","SCALING_FORMAT=MLN","Sort=A","Dates=H","DateFormat=P","Fill=—","Direction=H","UseDPDF=Y")</f>
        <v>6781</v>
      </c>
      <c r="V40" s="13">
        <f>_xll.BDH("AMGN US Equity","ARD_TOTAL_SHAREHOLDERS_EQUITY","FQ3 2023","FQ3 2023","Currency=USD","Period=FQ","BEST_FPERIOD_OVERRIDE=FQ","FILING_STATUS=MR","SCALING_FORMAT=MLN","Sort=A","Dates=H","DateFormat=P","Fill=—","Direction=H","UseDPDF=Y")</f>
        <v>7656</v>
      </c>
      <c r="W40" s="13">
        <f>_xll.BDH("AMGN US Equity","ARD_TOTAL_SHAREHOLDERS_EQUITY","FQ4 2023","FQ4 2023","Currency=USD","Period=FQ","BEST_FPERIOD_OVERRIDE=FQ","FILING_STATUS=MR","SCALING_FORMAT=MLN","Sort=A","Dates=H","DateFormat=P","Fill=—","Direction=H","UseDPDF=Y")</f>
        <v>6232</v>
      </c>
      <c r="X40" s="13">
        <f>_xll.BDH("AMGN US Equity","ARD_TOTAL_SHAREHOLDERS_EQUITY","FQ1 2024","FQ1 2024","Currency=USD","Period=FQ","BEST_FPERIOD_OVERRIDE=FQ","FILING_STATUS=MR","SCALING_FORMAT=MLN","Sort=A","Dates=H","DateFormat=P","Fill=—","Direction=H","UseDPDF=Y")</f>
        <v>5022</v>
      </c>
      <c r="Y40" s="13">
        <f>_xll.BDH("AMGN US Equity","ARD_TOTAL_SHAREHOLDERS_EQUITY","FQ2 2024","FQ2 2024","Currency=USD","Period=FQ","BEST_FPERIOD_OVERRIDE=FQ","FILING_STATUS=MR","SCALING_FORMAT=MLN","Sort=A","Dates=H","DateFormat=P","Fill=—","Direction=H","UseDPDF=Y")</f>
        <v>5925</v>
      </c>
      <c r="Z40" s="13">
        <f>_xll.BDH("AMGN US Equity","ARD_TOTAL_SHAREHOLDERS_EQUITY","FQ3 2024","FQ3 2024","Currency=USD","Period=FQ","BEST_FPERIOD_OVERRIDE=FQ","FILING_STATUS=MR","SCALING_FORMAT=MLN","Sort=A","Dates=H","DateFormat=P","Fill=—","Direction=H","UseDPDF=Y")</f>
        <v>7527</v>
      </c>
      <c r="AA40" s="13">
        <f>_xll.BDH("AMGN US Equity","ARD_TOTAL_SHAREHOLDERS_EQUITY","FQ4 2024","FQ4 2024","Currency=USD","Period=FQ","BEST_FPERIOD_OVERRIDE=FQ","FILING_STATUS=MR","SCALING_FORMAT=MLN","Sort=A","Dates=H","DateFormat=P","Fill=—","Direction=H","UseDPDF=Y")</f>
        <v>5877</v>
      </c>
    </row>
    <row r="41" spans="1:27" x14ac:dyDescent="0.25">
      <c r="A41" s="10" t="s">
        <v>913</v>
      </c>
      <c r="B41" s="10" t="s">
        <v>914</v>
      </c>
      <c r="C41" s="13">
        <f>_xll.BDH("AMGN US Equity","ARD_SHARES_AUTHORIZED","FQ4 2018","FQ4 2018","Currency=USD","Period=FQ","BEST_FPERIOD_OVERRIDE=FQ","FILING_STATUS=MR","SCALING_FORMAT=MLN","Sort=A","Dates=H","DateFormat=P","Fill=—","Direction=H","UseDPDF=Y")</f>
        <v>2750</v>
      </c>
      <c r="D41" s="13">
        <f>_xll.BDH("AMGN US Equity","ARD_SHARES_AUTHORIZED","FQ1 2019","FQ1 2019","Currency=USD","Period=FQ","BEST_FPERIOD_OVERRIDE=FQ","FILING_STATUS=MR","SCALING_FORMAT=MLN","Sort=A","Dates=H","DateFormat=P","Fill=—","Direction=H","UseDPDF=Y")</f>
        <v>2750</v>
      </c>
      <c r="E41" s="13">
        <f>_xll.BDH("AMGN US Equity","ARD_SHARES_AUTHORIZED","FQ2 2019","FQ2 2019","Currency=USD","Period=FQ","BEST_FPERIOD_OVERRIDE=FQ","FILING_STATUS=MR","SCALING_FORMAT=MLN","Sort=A","Dates=H","DateFormat=P","Fill=—","Direction=H","UseDPDF=Y")</f>
        <v>2750</v>
      </c>
      <c r="F41" s="13">
        <f>_xll.BDH("AMGN US Equity","ARD_SHARES_AUTHORIZED","FQ3 2019","FQ3 2019","Currency=USD","Period=FQ","BEST_FPERIOD_OVERRIDE=FQ","FILING_STATUS=MR","SCALING_FORMAT=MLN","Sort=A","Dates=H","DateFormat=P","Fill=—","Direction=H","UseDPDF=Y")</f>
        <v>2750</v>
      </c>
      <c r="G41" s="13">
        <f>_xll.BDH("AMGN US Equity","ARD_SHARES_AUTHORIZED","FQ4 2019","FQ4 2019","Currency=USD","Period=FQ","BEST_FPERIOD_OVERRIDE=FQ","FILING_STATUS=MR","SCALING_FORMAT=MLN","Sort=A","Dates=H","DateFormat=P","Fill=—","Direction=H","UseDPDF=Y")</f>
        <v>2750</v>
      </c>
      <c r="H41" s="13">
        <f>_xll.BDH("AMGN US Equity","ARD_SHARES_AUTHORIZED","FQ1 2020","FQ1 2020","Currency=USD","Period=FQ","BEST_FPERIOD_OVERRIDE=FQ","FILING_STATUS=MR","SCALING_FORMAT=MLN","Sort=A","Dates=H","DateFormat=P","Fill=—","Direction=H","UseDPDF=Y")</f>
        <v>2750</v>
      </c>
      <c r="I41" s="13">
        <f>_xll.BDH("AMGN US Equity","ARD_SHARES_AUTHORIZED","FQ2 2020","FQ2 2020","Currency=USD","Period=FQ","BEST_FPERIOD_OVERRIDE=FQ","FILING_STATUS=MR","SCALING_FORMAT=MLN","Sort=A","Dates=H","DateFormat=P","Fill=—","Direction=H","UseDPDF=Y")</f>
        <v>2750</v>
      </c>
      <c r="J41" s="13">
        <f>_xll.BDH("AMGN US Equity","ARD_SHARES_AUTHORIZED","FQ3 2020","FQ3 2020","Currency=USD","Period=FQ","BEST_FPERIOD_OVERRIDE=FQ","FILING_STATUS=MR","SCALING_FORMAT=MLN","Sort=A","Dates=H","DateFormat=P","Fill=—","Direction=H","UseDPDF=Y")</f>
        <v>2750</v>
      </c>
      <c r="K41" s="13">
        <f>_xll.BDH("AMGN US Equity","ARD_SHARES_AUTHORIZED","FQ4 2020","FQ4 2020","Currency=USD","Period=FQ","BEST_FPERIOD_OVERRIDE=FQ","FILING_STATUS=MR","SCALING_FORMAT=MLN","Sort=A","Dates=H","DateFormat=P","Fill=—","Direction=H","UseDPDF=Y")</f>
        <v>2750</v>
      </c>
      <c r="L41" s="13">
        <f>_xll.BDH("AMGN US Equity","ARD_SHARES_AUTHORIZED","FQ1 2021","FQ1 2021","Currency=USD","Period=FQ","BEST_FPERIOD_OVERRIDE=FQ","FILING_STATUS=MR","SCALING_FORMAT=MLN","Sort=A","Dates=H","DateFormat=P","Fill=—","Direction=H","UseDPDF=Y")</f>
        <v>2750</v>
      </c>
      <c r="M41" s="13">
        <f>_xll.BDH("AMGN US Equity","ARD_SHARES_AUTHORIZED","FQ2 2021","FQ2 2021","Currency=USD","Period=FQ","BEST_FPERIOD_OVERRIDE=FQ","FILING_STATUS=MR","SCALING_FORMAT=MLN","Sort=A","Dates=H","DateFormat=P","Fill=—","Direction=H","UseDPDF=Y")</f>
        <v>2750</v>
      </c>
      <c r="N41" s="13">
        <f>_xll.BDH("AMGN US Equity","ARD_SHARES_AUTHORIZED","FQ3 2021","FQ3 2021","Currency=USD","Period=FQ","BEST_FPERIOD_OVERRIDE=FQ","FILING_STATUS=MR","SCALING_FORMAT=MLN","Sort=A","Dates=H","DateFormat=P","Fill=—","Direction=H","UseDPDF=Y")</f>
        <v>2750</v>
      </c>
      <c r="O41" s="13">
        <f>_xll.BDH("AMGN US Equity","ARD_SHARES_AUTHORIZED","FQ4 2021","FQ4 2021","Currency=USD","Period=FQ","BEST_FPERIOD_OVERRIDE=FQ","FILING_STATUS=MR","SCALING_FORMAT=MLN","Sort=A","Dates=H","DateFormat=P","Fill=—","Direction=H","UseDPDF=Y")</f>
        <v>2750</v>
      </c>
      <c r="P41" s="13">
        <f>_xll.BDH("AMGN US Equity","ARD_SHARES_AUTHORIZED","FQ1 2022","FQ1 2022","Currency=USD","Period=FQ","BEST_FPERIOD_OVERRIDE=FQ","FILING_STATUS=MR","SCALING_FORMAT=MLN","Sort=A","Dates=H","DateFormat=P","Fill=—","Direction=H","UseDPDF=Y")</f>
        <v>2750</v>
      </c>
      <c r="Q41" s="13">
        <f>_xll.BDH("AMGN US Equity","ARD_SHARES_AUTHORIZED","FQ2 2022","FQ2 2022","Currency=USD","Period=FQ","BEST_FPERIOD_OVERRIDE=FQ","FILING_STATUS=MR","SCALING_FORMAT=MLN","Sort=A","Dates=H","DateFormat=P","Fill=—","Direction=H","UseDPDF=Y")</f>
        <v>2750</v>
      </c>
      <c r="R41" s="13">
        <f>_xll.BDH("AMGN US Equity","ARD_SHARES_AUTHORIZED","FQ3 2022","FQ3 2022","Currency=USD","Period=FQ","BEST_FPERIOD_OVERRIDE=FQ","FILING_STATUS=MR","SCALING_FORMAT=MLN","Sort=A","Dates=H","DateFormat=P","Fill=—","Direction=H","UseDPDF=Y")</f>
        <v>2750</v>
      </c>
      <c r="S41" s="13">
        <f>_xll.BDH("AMGN US Equity","ARD_SHARES_AUTHORIZED","FQ4 2022","FQ4 2022","Currency=USD","Period=FQ","BEST_FPERIOD_OVERRIDE=FQ","FILING_STATUS=MR","SCALING_FORMAT=MLN","Sort=A","Dates=H","DateFormat=P","Fill=—","Direction=H","UseDPDF=Y")</f>
        <v>2750</v>
      </c>
      <c r="T41" s="13">
        <f>_xll.BDH("AMGN US Equity","ARD_SHARES_AUTHORIZED","FQ1 2023","FQ1 2023","Currency=USD","Period=FQ","BEST_FPERIOD_OVERRIDE=FQ","FILING_STATUS=MR","SCALING_FORMAT=MLN","Sort=A","Dates=H","DateFormat=P","Fill=—","Direction=H","UseDPDF=Y")</f>
        <v>2750</v>
      </c>
      <c r="U41" s="13">
        <f>_xll.BDH("AMGN US Equity","ARD_SHARES_AUTHORIZED","FQ2 2023","FQ2 2023","Currency=USD","Period=FQ","BEST_FPERIOD_OVERRIDE=FQ","FILING_STATUS=MR","SCALING_FORMAT=MLN","Sort=A","Dates=H","DateFormat=P","Fill=—","Direction=H","UseDPDF=Y")</f>
        <v>2750</v>
      </c>
      <c r="V41" s="13">
        <f>_xll.BDH("AMGN US Equity","ARD_SHARES_AUTHORIZED","FQ3 2023","FQ3 2023","Currency=USD","Period=FQ","BEST_FPERIOD_OVERRIDE=FQ","FILING_STATUS=MR","SCALING_FORMAT=MLN","Sort=A","Dates=H","DateFormat=P","Fill=—","Direction=H","UseDPDF=Y")</f>
        <v>2750</v>
      </c>
      <c r="W41" s="13">
        <f>_xll.BDH("AMGN US Equity","ARD_SHARES_AUTHORIZED","FQ4 2023","FQ4 2023","Currency=USD","Period=FQ","BEST_FPERIOD_OVERRIDE=FQ","FILING_STATUS=MR","SCALING_FORMAT=MLN","Sort=A","Dates=H","DateFormat=P","Fill=—","Direction=H","UseDPDF=Y")</f>
        <v>2750</v>
      </c>
      <c r="X41" s="13">
        <f>_xll.BDH("AMGN US Equity","ARD_SHARES_AUTHORIZED","FQ1 2024","FQ1 2024","Currency=USD","Period=FQ","BEST_FPERIOD_OVERRIDE=FQ","FILING_STATUS=MR","SCALING_FORMAT=MLN","Sort=A","Dates=H","DateFormat=P","Fill=—","Direction=H","UseDPDF=Y")</f>
        <v>2750</v>
      </c>
      <c r="Y41" s="13">
        <f>_xll.BDH("AMGN US Equity","ARD_SHARES_AUTHORIZED","FQ2 2024","FQ2 2024","Currency=USD","Period=FQ","BEST_FPERIOD_OVERRIDE=FQ","FILING_STATUS=MR","SCALING_FORMAT=MLN","Sort=A","Dates=H","DateFormat=P","Fill=—","Direction=H","UseDPDF=Y")</f>
        <v>2750</v>
      </c>
      <c r="Z41" s="13">
        <f>_xll.BDH("AMGN US Equity","ARD_SHARES_AUTHORIZED","FQ3 2024","FQ3 2024","Currency=USD","Period=FQ","BEST_FPERIOD_OVERRIDE=FQ","FILING_STATUS=MR","SCALING_FORMAT=MLN","Sort=A","Dates=H","DateFormat=P","Fill=—","Direction=H","UseDPDF=Y")</f>
        <v>2750</v>
      </c>
      <c r="AA41" s="13">
        <f>_xll.BDH("AMGN US Equity","ARD_SHARES_AUTHORIZED","FQ4 2024","FQ4 2024","Currency=USD","Period=FQ","BEST_FPERIOD_OVERRIDE=FQ","FILING_STATUS=MR","SCALING_FORMAT=MLN","Sort=A","Dates=H","DateFormat=P","Fill=—","Direction=H","UseDPDF=Y")</f>
        <v>2750</v>
      </c>
    </row>
    <row r="42" spans="1:27" x14ac:dyDescent="0.25">
      <c r="A42" s="10" t="s">
        <v>915</v>
      </c>
      <c r="B42" s="10" t="s">
        <v>916</v>
      </c>
      <c r="C42" s="13" t="str">
        <f>_xll.BDH("AMGN US Equity","ARD_TOT_SHARE_EQY_EXCL_MINORITY","FQ4 2018","FQ4 2018","Currency=USD","Period=FQ","BEST_FPERIOD_OVERRIDE=FQ","FILING_STATUS=MR","SCALING_FORMAT=MLN","Sort=A","Dates=H","DateFormat=P","Fill=—","Direction=H","UseDPDF=Y")</f>
        <v>—</v>
      </c>
      <c r="D42" s="13" t="str">
        <f>_xll.BDH("AMGN US Equity","ARD_TOT_SHARE_EQY_EXCL_MINORITY","FQ1 2019","FQ1 2019","Currency=USD","Period=FQ","BEST_FPERIOD_OVERRIDE=FQ","FILING_STATUS=MR","SCALING_FORMAT=MLN","Sort=A","Dates=H","DateFormat=P","Fill=—","Direction=H","UseDPDF=Y")</f>
        <v>—</v>
      </c>
      <c r="E42" s="13" t="str">
        <f>_xll.BDH("AMGN US Equity","ARD_TOT_SHARE_EQY_EXCL_MINORITY","FQ2 2019","FQ2 2019","Currency=USD","Period=FQ","BEST_FPERIOD_OVERRIDE=FQ","FILING_STATUS=MR","SCALING_FORMAT=MLN","Sort=A","Dates=H","DateFormat=P","Fill=—","Direction=H","UseDPDF=Y")</f>
        <v>—</v>
      </c>
      <c r="F42" s="13" t="str">
        <f>_xll.BDH("AMGN US Equity","ARD_TOT_SHARE_EQY_EXCL_MINORITY","FQ3 2019","FQ3 2019","Currency=USD","Period=FQ","BEST_FPERIOD_OVERRIDE=FQ","FILING_STATUS=MR","SCALING_FORMAT=MLN","Sort=A","Dates=H","DateFormat=P","Fill=—","Direction=H","UseDPDF=Y")</f>
        <v>—</v>
      </c>
      <c r="G42" s="13" t="str">
        <f>_xll.BDH("AMGN US Equity","ARD_TOT_SHARE_EQY_EXCL_MINORITY","FQ4 2019","FQ4 2019","Currency=USD","Period=FQ","BEST_FPERIOD_OVERRIDE=FQ","FILING_STATUS=MR","SCALING_FORMAT=MLN","Sort=A","Dates=H","DateFormat=P","Fill=—","Direction=H","UseDPDF=Y")</f>
        <v>—</v>
      </c>
      <c r="H42" s="13" t="str">
        <f>_xll.BDH("AMGN US Equity","ARD_TOT_SHARE_EQY_EXCL_MINORITY","FQ1 2020","FQ1 2020","Currency=USD","Period=FQ","BEST_FPERIOD_OVERRIDE=FQ","FILING_STATUS=MR","SCALING_FORMAT=MLN","Sort=A","Dates=H","DateFormat=P","Fill=—","Direction=H","UseDPDF=Y")</f>
        <v>—</v>
      </c>
      <c r="I42" s="13" t="str">
        <f>_xll.BDH("AMGN US Equity","ARD_TOT_SHARE_EQY_EXCL_MINORITY","FQ2 2020","FQ2 2020","Currency=USD","Period=FQ","BEST_FPERIOD_OVERRIDE=FQ","FILING_STATUS=MR","SCALING_FORMAT=MLN","Sort=A","Dates=H","DateFormat=P","Fill=—","Direction=H","UseDPDF=Y")</f>
        <v>—</v>
      </c>
      <c r="J42" s="13" t="str">
        <f>_xll.BDH("AMGN US Equity","ARD_TOT_SHARE_EQY_EXCL_MINORITY","FQ3 2020","FQ3 2020","Currency=USD","Period=FQ","BEST_FPERIOD_OVERRIDE=FQ","FILING_STATUS=MR","SCALING_FORMAT=MLN","Sort=A","Dates=H","DateFormat=P","Fill=—","Direction=H","UseDPDF=Y")</f>
        <v>—</v>
      </c>
      <c r="K42" s="13" t="str">
        <f>_xll.BDH("AMGN US Equity","ARD_TOT_SHARE_EQY_EXCL_MINORITY","FQ4 2020","FQ4 2020","Currency=USD","Period=FQ","BEST_FPERIOD_OVERRIDE=FQ","FILING_STATUS=MR","SCALING_FORMAT=MLN","Sort=A","Dates=H","DateFormat=P","Fill=—","Direction=H","UseDPDF=Y")</f>
        <v>—</v>
      </c>
      <c r="L42" s="13" t="str">
        <f>_xll.BDH("AMGN US Equity","ARD_TOT_SHARE_EQY_EXCL_MINORITY","FQ1 2021","FQ1 2021","Currency=USD","Period=FQ","BEST_FPERIOD_OVERRIDE=FQ","FILING_STATUS=MR","SCALING_FORMAT=MLN","Sort=A","Dates=H","DateFormat=P","Fill=—","Direction=H","UseDPDF=Y")</f>
        <v>—</v>
      </c>
      <c r="M42" s="13" t="str">
        <f>_xll.BDH("AMGN US Equity","ARD_TOT_SHARE_EQY_EXCL_MINORITY","FQ2 2021","FQ2 2021","Currency=USD","Period=FQ","BEST_FPERIOD_OVERRIDE=FQ","FILING_STATUS=MR","SCALING_FORMAT=MLN","Sort=A","Dates=H","DateFormat=P","Fill=—","Direction=H","UseDPDF=Y")</f>
        <v>—</v>
      </c>
      <c r="N42" s="13" t="str">
        <f>_xll.BDH("AMGN US Equity","ARD_TOT_SHARE_EQY_EXCL_MINORITY","FQ3 2021","FQ3 2021","Currency=USD","Period=FQ","BEST_FPERIOD_OVERRIDE=FQ","FILING_STATUS=MR","SCALING_FORMAT=MLN","Sort=A","Dates=H","DateFormat=P","Fill=—","Direction=H","UseDPDF=Y")</f>
        <v>—</v>
      </c>
      <c r="O42" s="13" t="str">
        <f>_xll.BDH("AMGN US Equity","ARD_TOT_SHARE_EQY_EXCL_MINORITY","FQ4 2021","FQ4 2021","Currency=USD","Period=FQ","BEST_FPERIOD_OVERRIDE=FQ","FILING_STATUS=MR","SCALING_FORMAT=MLN","Sort=A","Dates=H","DateFormat=P","Fill=—","Direction=H","UseDPDF=Y")</f>
        <v>—</v>
      </c>
      <c r="P42" s="13" t="str">
        <f>_xll.BDH("AMGN US Equity","ARD_TOT_SHARE_EQY_EXCL_MINORITY","FQ1 2022","FQ1 2022","Currency=USD","Period=FQ","BEST_FPERIOD_OVERRIDE=FQ","FILING_STATUS=MR","SCALING_FORMAT=MLN","Sort=A","Dates=H","DateFormat=P","Fill=—","Direction=H","UseDPDF=Y")</f>
        <v>—</v>
      </c>
      <c r="Q42" s="13" t="str">
        <f>_xll.BDH("AMGN US Equity","ARD_TOT_SHARE_EQY_EXCL_MINORITY","FQ2 2022","FQ2 2022","Currency=USD","Period=FQ","BEST_FPERIOD_OVERRIDE=FQ","FILING_STATUS=MR","SCALING_FORMAT=MLN","Sort=A","Dates=H","DateFormat=P","Fill=—","Direction=H","UseDPDF=Y")</f>
        <v>—</v>
      </c>
      <c r="R42" s="13" t="str">
        <f>_xll.BDH("AMGN US Equity","ARD_TOT_SHARE_EQY_EXCL_MINORITY","FQ3 2022","FQ3 2022","Currency=USD","Period=FQ","BEST_FPERIOD_OVERRIDE=FQ","FILING_STATUS=MR","SCALING_FORMAT=MLN","Sort=A","Dates=H","DateFormat=P","Fill=—","Direction=H","UseDPDF=Y")</f>
        <v>—</v>
      </c>
      <c r="S42" s="13">
        <f>_xll.BDH("AMGN US Equity","ARD_TOT_SHARE_EQY_EXCL_MINORITY","FQ4 2022","FQ4 2022","Currency=USD","Period=FQ","BEST_FPERIOD_OVERRIDE=FQ","FILING_STATUS=MR","SCALING_FORMAT=MLN","Sort=A","Dates=H","DateFormat=P","Fill=—","Direction=H","UseDPDF=Y")</f>
        <v>3661</v>
      </c>
      <c r="T42" s="13">
        <f>_xll.BDH("AMGN US Equity","ARD_TOT_SHARE_EQY_EXCL_MINORITY","FQ1 2023","FQ1 2023","Currency=USD","Period=FQ","BEST_FPERIOD_OVERRIDE=FQ","FILING_STATUS=MR","SCALING_FORMAT=MLN","Sort=A","Dates=H","DateFormat=P","Fill=—","Direction=H","UseDPDF=Y")</f>
        <v>5348</v>
      </c>
      <c r="U42" s="13">
        <f>_xll.BDH("AMGN US Equity","ARD_TOT_SHARE_EQY_EXCL_MINORITY","FQ2 2023","FQ2 2023","Currency=USD","Period=FQ","BEST_FPERIOD_OVERRIDE=FQ","FILING_STATUS=MR","SCALING_FORMAT=MLN","Sort=A","Dates=H","DateFormat=P","Fill=—","Direction=H","UseDPDF=Y")</f>
        <v>6781</v>
      </c>
      <c r="V42" s="13" t="str">
        <f>_xll.BDH("AMGN US Equity","ARD_TOT_SHARE_EQY_EXCL_MINORITY","FQ3 2023","FQ3 2023","Currency=USD","Period=FQ","BEST_FPERIOD_OVERRIDE=FQ","FILING_STATUS=MR","SCALING_FORMAT=MLN","Sort=A","Dates=H","DateFormat=P","Fill=—","Direction=H","UseDPDF=Y")</f>
        <v>—</v>
      </c>
      <c r="W42" s="13">
        <f>_xll.BDH("AMGN US Equity","ARD_TOT_SHARE_EQY_EXCL_MINORITY","FQ4 2023","FQ4 2023","Currency=USD","Period=FQ","BEST_FPERIOD_OVERRIDE=FQ","FILING_STATUS=MR","SCALING_FORMAT=MLN","Sort=A","Dates=H","DateFormat=P","Fill=—","Direction=H","UseDPDF=Y")</f>
        <v>6232</v>
      </c>
      <c r="X42" s="13">
        <f>_xll.BDH("AMGN US Equity","ARD_TOT_SHARE_EQY_EXCL_MINORITY","FQ1 2024","FQ1 2024","Currency=USD","Period=FQ","BEST_FPERIOD_OVERRIDE=FQ","FILING_STATUS=MR","SCALING_FORMAT=MLN","Sort=A","Dates=H","DateFormat=P","Fill=—","Direction=H","UseDPDF=Y")</f>
        <v>5022</v>
      </c>
      <c r="Y42" s="13">
        <f>_xll.BDH("AMGN US Equity","ARD_TOT_SHARE_EQY_EXCL_MINORITY","FQ2 2024","FQ2 2024","Currency=USD","Period=FQ","BEST_FPERIOD_OVERRIDE=FQ","FILING_STATUS=MR","SCALING_FORMAT=MLN","Sort=A","Dates=H","DateFormat=P","Fill=—","Direction=H","UseDPDF=Y")</f>
        <v>5925</v>
      </c>
      <c r="Z42" s="13">
        <f>_xll.BDH("AMGN US Equity","ARD_TOT_SHARE_EQY_EXCL_MINORITY","FQ3 2024","FQ3 2024","Currency=USD","Period=FQ","BEST_FPERIOD_OVERRIDE=FQ","FILING_STATUS=MR","SCALING_FORMAT=MLN","Sort=A","Dates=H","DateFormat=P","Fill=—","Direction=H","UseDPDF=Y")</f>
        <v>7527</v>
      </c>
      <c r="AA42" s="13">
        <f>_xll.BDH("AMGN US Equity","ARD_TOT_SHARE_EQY_EXCL_MINORITY","FQ4 2024","FQ4 2024","Currency=USD","Period=FQ","BEST_FPERIOD_OVERRIDE=FQ","FILING_STATUS=MR","SCALING_FORMAT=MLN","Sort=A","Dates=H","DateFormat=P","Fill=—","Direction=H","UseDPDF=Y")</f>
        <v>5877</v>
      </c>
    </row>
    <row r="43" spans="1:27" x14ac:dyDescent="0.25">
      <c r="A43" s="6" t="s">
        <v>917</v>
      </c>
      <c r="B43" s="6" t="s">
        <v>918</v>
      </c>
      <c r="C43" s="19">
        <f>_xll.BDH("AMGN US Equity","ARD_TOT_LIAB_AND_SHAREHOLDER_EQY","FQ4 2018","FQ4 2018","Currency=USD","Period=FQ","BEST_FPERIOD_OVERRIDE=FQ","FILING_STATUS=MR","SCALING_FORMAT=MLN","Sort=A","Dates=H","DateFormat=P","Fill=—","Direction=H","UseDPDF=Y")</f>
        <v>66416</v>
      </c>
      <c r="D43" s="19">
        <f>_xll.BDH("AMGN US Equity","ARD_TOT_LIAB_AND_SHAREHOLDER_EQY","FQ1 2019","FQ1 2019","Currency=USD","Period=FQ","BEST_FPERIOD_OVERRIDE=FQ","FILING_STATUS=MR","SCALING_FORMAT=MLN","Sort=A","Dates=H","DateFormat=P","Fill=—","Direction=H","UseDPDF=Y")</f>
        <v>63997</v>
      </c>
      <c r="E43" s="19">
        <f>_xll.BDH("AMGN US Equity","ARD_TOT_LIAB_AND_SHAREHOLDER_EQY","FQ2 2019","FQ2 2019","Currency=USD","Period=FQ","BEST_FPERIOD_OVERRIDE=FQ","FILING_STATUS=MR","SCALING_FORMAT=MLN","Sort=A","Dates=H","DateFormat=P","Fill=—","Direction=H","UseDPDF=Y")</f>
        <v>59373</v>
      </c>
      <c r="F43" s="19">
        <f>_xll.BDH("AMGN US Equity","ARD_TOT_LIAB_AND_SHAREHOLDER_EQY","FQ3 2019","FQ3 2019","Currency=USD","Period=FQ","BEST_FPERIOD_OVERRIDE=FQ","FILING_STATUS=MR","SCALING_FORMAT=MLN","Sort=A","Dates=H","DateFormat=P","Fill=—","Direction=H","UseDPDF=Y")</f>
        <v>59535</v>
      </c>
      <c r="G43" s="19">
        <f>_xll.BDH("AMGN US Equity","ARD_TOT_LIAB_AND_SHAREHOLDER_EQY","FQ4 2019","FQ4 2019","Currency=USD","Period=FQ","BEST_FPERIOD_OVERRIDE=FQ","FILING_STATUS=MR","SCALING_FORMAT=MLN","Sort=A","Dates=H","DateFormat=P","Fill=—","Direction=H","UseDPDF=Y")</f>
        <v>59707</v>
      </c>
      <c r="H43" s="19">
        <f>_xll.BDH("AMGN US Equity","ARD_TOT_LIAB_AND_SHAREHOLDER_EQY","FQ1 2020","FQ1 2020","Currency=USD","Period=FQ","BEST_FPERIOD_OVERRIDE=FQ","FILING_STATUS=MR","SCALING_FORMAT=MLN","Sort=A","Dates=H","DateFormat=P","Fill=—","Direction=H","UseDPDF=Y")</f>
        <v>61669</v>
      </c>
      <c r="I43" s="19">
        <f>_xll.BDH("AMGN US Equity","ARD_TOT_LIAB_AND_SHAREHOLDER_EQY","FQ2 2020","FQ2 2020","Currency=USD","Period=FQ","BEST_FPERIOD_OVERRIDE=FQ","FILING_STATUS=MR","SCALING_FORMAT=MLN","Sort=A","Dates=H","DateFormat=P","Fill=—","Direction=H","UseDPDF=Y")</f>
        <v>65011</v>
      </c>
      <c r="J43" s="19">
        <f>_xll.BDH("AMGN US Equity","ARD_TOT_LIAB_AND_SHAREHOLDER_EQY","FQ3 2020","FQ3 2020","Currency=USD","Period=FQ","BEST_FPERIOD_OVERRIDE=FQ","FILING_STATUS=MR","SCALING_FORMAT=MLN","Sort=A","Dates=H","DateFormat=P","Fill=—","Direction=H","UseDPDF=Y")</f>
        <v>64637</v>
      </c>
      <c r="K43" s="19">
        <f>_xll.BDH("AMGN US Equity","ARD_TOT_LIAB_AND_SHAREHOLDER_EQY","FQ4 2020","FQ4 2020","Currency=USD","Period=FQ","BEST_FPERIOD_OVERRIDE=FQ","FILING_STATUS=MR","SCALING_FORMAT=MLN","Sort=A","Dates=H","DateFormat=P","Fill=—","Direction=H","UseDPDF=Y")</f>
        <v>62948</v>
      </c>
      <c r="L43" s="19">
        <f>_xll.BDH("AMGN US Equity","ARD_TOT_LIAB_AND_SHAREHOLDER_EQY","FQ1 2021","FQ1 2021","Currency=USD","Period=FQ","BEST_FPERIOD_OVERRIDE=FQ","FILING_STATUS=MR","SCALING_FORMAT=MLN","Sort=A","Dates=H","DateFormat=P","Fill=—","Direction=H","UseDPDF=Y")</f>
        <v>62539</v>
      </c>
      <c r="M43" s="19">
        <f>_xll.BDH("AMGN US Equity","ARD_TOT_LIAB_AND_SHAREHOLDER_EQY","FQ2 2021","FQ2 2021","Currency=USD","Period=FQ","BEST_FPERIOD_OVERRIDE=FQ","FILING_STATUS=MR","SCALING_FORMAT=MLN","Sort=A","Dates=H","DateFormat=P","Fill=—","Direction=H","UseDPDF=Y")</f>
        <v>59773</v>
      </c>
      <c r="N43" s="19">
        <f>_xll.BDH("AMGN US Equity","ARD_TOT_LIAB_AND_SHAREHOLDER_EQY","FQ3 2021","FQ3 2021","Currency=USD","Period=FQ","BEST_FPERIOD_OVERRIDE=FQ","FILING_STATUS=MR","SCALING_FORMAT=MLN","Sort=A","Dates=H","DateFormat=P","Fill=—","Direction=H","UseDPDF=Y")</f>
        <v>64993</v>
      </c>
      <c r="O43" s="19">
        <f>_xll.BDH("AMGN US Equity","ARD_TOT_LIAB_AND_SHAREHOLDER_EQY","FQ4 2021","FQ4 2021","Currency=USD","Period=FQ","BEST_FPERIOD_OVERRIDE=FQ","FILING_STATUS=MR","SCALING_FORMAT=MLN","Sort=A","Dates=H","DateFormat=P","Fill=—","Direction=H","UseDPDF=Y")</f>
        <v>61165</v>
      </c>
      <c r="P43" s="19">
        <f>_xll.BDH("AMGN US Equity","ARD_TOT_LIAB_AND_SHAREHOLDER_EQY","FQ1 2022","FQ1 2022","Currency=USD","Period=FQ","BEST_FPERIOD_OVERRIDE=FQ","FILING_STATUS=MR","SCALING_FORMAT=MLN","Sort=A","Dates=H","DateFormat=P","Fill=—","Direction=H","UseDPDF=Y")</f>
        <v>59196</v>
      </c>
      <c r="Q43" s="19">
        <f>_xll.BDH("AMGN US Equity","ARD_TOT_LIAB_AND_SHAREHOLDER_EQY","FQ2 2022","FQ2 2022","Currency=USD","Period=FQ","BEST_FPERIOD_OVERRIDE=FQ","FILING_STATUS=MR","SCALING_FORMAT=MLN","Sort=A","Dates=H","DateFormat=P","Fill=—","Direction=H","UseDPDF=Y")</f>
        <v>59294</v>
      </c>
      <c r="R43" s="19">
        <f>_xll.BDH("AMGN US Equity","ARD_TOT_LIAB_AND_SHAREHOLDER_EQY","FQ3 2022","FQ3 2022","Currency=USD","Period=FQ","BEST_FPERIOD_OVERRIDE=FQ","FILING_STATUS=MR","SCALING_FORMAT=MLN","Sort=A","Dates=H","DateFormat=P","Fill=—","Direction=H","UseDPDF=Y")</f>
        <v>63700</v>
      </c>
      <c r="S43" s="19">
        <f>_xll.BDH("AMGN US Equity","ARD_TOT_LIAB_AND_SHAREHOLDER_EQY","FQ4 2022","FQ4 2022","Currency=USD","Period=FQ","BEST_FPERIOD_OVERRIDE=FQ","FILING_STATUS=MR","SCALING_FORMAT=MLN","Sort=A","Dates=H","DateFormat=P","Fill=—","Direction=H","UseDPDF=Y")</f>
        <v>65121</v>
      </c>
      <c r="T43" s="19">
        <f>_xll.BDH("AMGN US Equity","ARD_TOT_LIAB_AND_SHAREHOLDER_EQY","FQ1 2023","FQ1 2023","Currency=USD","Period=FQ","BEST_FPERIOD_OVERRIDE=FQ","FILING_STATUS=MR","SCALING_FORMAT=MLN","Sort=A","Dates=H","DateFormat=P","Fill=—","Direction=H","UseDPDF=Y")</f>
        <v>88720</v>
      </c>
      <c r="U43" s="19">
        <f>_xll.BDH("AMGN US Equity","ARD_TOT_LIAB_AND_SHAREHOLDER_EQY","FQ2 2023","FQ2 2023","Currency=USD","Period=FQ","BEST_FPERIOD_OVERRIDE=FQ","FILING_STATUS=MR","SCALING_FORMAT=MLN","Sort=A","Dates=H","DateFormat=P","Fill=—","Direction=H","UseDPDF=Y")</f>
        <v>90269</v>
      </c>
      <c r="V43" s="19">
        <f>_xll.BDH("AMGN US Equity","ARD_TOT_LIAB_AND_SHAREHOLDER_EQY","FQ3 2023","FQ3 2023","Currency=USD","Period=FQ","BEST_FPERIOD_OVERRIDE=FQ","FILING_STATUS=MR","SCALING_FORMAT=MLN","Sort=A","Dates=H","DateFormat=P","Fill=—","Direction=H","UseDPDF=Y")</f>
        <v>90534</v>
      </c>
      <c r="W43" s="19">
        <f>_xll.BDH("AMGN US Equity","ARD_TOT_LIAB_AND_SHAREHOLDER_EQY","FQ4 2023","FQ4 2023","Currency=USD","Period=FQ","BEST_FPERIOD_OVERRIDE=FQ","FILING_STATUS=MR","SCALING_FORMAT=MLN","Sort=A","Dates=H","DateFormat=P","Fill=—","Direction=H","UseDPDF=Y")</f>
        <v>97154</v>
      </c>
      <c r="X43" s="19">
        <f>_xll.BDH("AMGN US Equity","ARD_TOT_LIAB_AND_SHAREHOLDER_EQY","FQ1 2024","FQ1 2024","Currency=USD","Period=FQ","BEST_FPERIOD_OVERRIDE=FQ","FILING_STATUS=MR","SCALING_FORMAT=MLN","Sort=A","Dates=H","DateFormat=P","Fill=—","Direction=H","UseDPDF=Y")</f>
        <v>92980</v>
      </c>
      <c r="Y43" s="19">
        <f>_xll.BDH("AMGN US Equity","ARD_TOT_LIAB_AND_SHAREHOLDER_EQY","FQ2 2024","FQ2 2024","Currency=USD","Period=FQ","BEST_FPERIOD_OVERRIDE=FQ","FILING_STATUS=MR","SCALING_FORMAT=MLN","Sort=A","Dates=H","DateFormat=P","Fill=—","Direction=H","UseDPDF=Y")</f>
        <v>90907</v>
      </c>
      <c r="Z43" s="19">
        <f>_xll.BDH("AMGN US Equity","ARD_TOT_LIAB_AND_SHAREHOLDER_EQY","FQ3 2024","FQ3 2024","Currency=USD","Period=FQ","BEST_FPERIOD_OVERRIDE=FQ","FILING_STATUS=MR","SCALING_FORMAT=MLN","Sort=A","Dates=H","DateFormat=P","Fill=—","Direction=H","UseDPDF=Y")</f>
        <v>90883</v>
      </c>
      <c r="AA43" s="19">
        <f>_xll.BDH("AMGN US Equity","ARD_TOT_LIAB_AND_SHAREHOLDER_EQY","FQ4 2024","FQ4 2024","Currency=USD","Period=FQ","BEST_FPERIOD_OVERRIDE=FQ","FILING_STATUS=MR","SCALING_FORMAT=MLN","Sort=A","Dates=H","DateFormat=P","Fill=—","Direction=H","UseDPDF=Y")</f>
        <v>91839</v>
      </c>
    </row>
    <row r="44" spans="1:27" x14ac:dyDescent="0.25">
      <c r="A44" s="10" t="s">
        <v>469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x14ac:dyDescent="0.25">
      <c r="A45" s="10" t="s">
        <v>919</v>
      </c>
      <c r="B45" s="10" t="s">
        <v>920</v>
      </c>
      <c r="C45" s="13" t="str">
        <f>_xll.BDH("AMGN US Equity","ARDR_NUM_OF_RSU_BEGIN_OF_PER","FQ4 2018","FQ4 2018","Currency=USD","Period=FQ","BEST_FPERIOD_OVERRIDE=FQ","FILING_STATUS=MR","Sort=A","Dates=H","DateFormat=P","Fill=—","Direction=H","UseDPDF=Y")</f>
        <v>—</v>
      </c>
      <c r="D45" s="13" t="str">
        <f>_xll.BDH("AMGN US Equity","ARDR_NUM_OF_RSU_BEGIN_OF_PER","FQ1 2019","FQ1 2019","Currency=USD","Period=FQ","BEST_FPERIOD_OVERRIDE=FQ","FILING_STATUS=MR","Sort=A","Dates=H","DateFormat=P","Fill=—","Direction=H","UseDPDF=Y")</f>
        <v>—</v>
      </c>
      <c r="E45" s="13" t="str">
        <f>_xll.BDH("AMGN US Equity","ARDR_NUM_OF_RSU_BEGIN_OF_PER","FQ2 2019","FQ2 2019","Currency=USD","Period=FQ","BEST_FPERIOD_OVERRIDE=FQ","FILING_STATUS=MR","Sort=A","Dates=H","DateFormat=P","Fill=—","Direction=H","UseDPDF=Y")</f>
        <v>—</v>
      </c>
      <c r="F45" s="13" t="str">
        <f>_xll.BDH("AMGN US Equity","ARDR_NUM_OF_RSU_BEGIN_OF_PER","FQ3 2019","FQ3 2019","Currency=USD","Period=FQ","BEST_FPERIOD_OVERRIDE=FQ","FILING_STATUS=MR","Sort=A","Dates=H","DateFormat=P","Fill=—","Direction=H","UseDPDF=Y")</f>
        <v>—</v>
      </c>
      <c r="G45" s="13" t="str">
        <f>_xll.BDH("AMGN US Equity","ARDR_NUM_OF_RSU_BEGIN_OF_PER","FQ4 2019","FQ4 2019","Currency=USD","Period=FQ","BEST_FPERIOD_OVERRIDE=FQ","FILING_STATUS=MR","Sort=A","Dates=H","DateFormat=P","Fill=—","Direction=H","UseDPDF=Y")</f>
        <v>—</v>
      </c>
      <c r="H45" s="13" t="str">
        <f>_xll.BDH("AMGN US Equity","ARDR_NUM_OF_RSU_BEGIN_OF_PER","FQ1 2020","FQ1 2020","Currency=USD","Period=FQ","BEST_FPERIOD_OVERRIDE=FQ","FILING_STATUS=MR","Sort=A","Dates=H","DateFormat=P","Fill=—","Direction=H","UseDPDF=Y")</f>
        <v>—</v>
      </c>
      <c r="I45" s="13" t="str">
        <f>_xll.BDH("AMGN US Equity","ARDR_NUM_OF_RSU_BEGIN_OF_PER","FQ2 2020","FQ2 2020","Currency=USD","Period=FQ","BEST_FPERIOD_OVERRIDE=FQ","FILING_STATUS=MR","Sort=A","Dates=H","DateFormat=P","Fill=—","Direction=H","UseDPDF=Y")</f>
        <v>—</v>
      </c>
      <c r="J45" s="13" t="str">
        <f>_xll.BDH("AMGN US Equity","ARDR_NUM_OF_RSU_BEGIN_OF_PER","FQ3 2020","FQ3 2020","Currency=USD","Period=FQ","BEST_FPERIOD_OVERRIDE=FQ","FILING_STATUS=MR","Sort=A","Dates=H","DateFormat=P","Fill=—","Direction=H","UseDPDF=Y")</f>
        <v>—</v>
      </c>
      <c r="K45" s="13" t="str">
        <f>_xll.BDH("AMGN US Equity","ARDR_NUM_OF_RSU_BEGIN_OF_PER","FQ4 2020","FQ4 2020","Currency=USD","Period=FQ","BEST_FPERIOD_OVERRIDE=FQ","FILING_STATUS=MR","Sort=A","Dates=H","DateFormat=P","Fill=—","Direction=H","UseDPDF=Y")</f>
        <v>—</v>
      </c>
      <c r="L45" s="13" t="str">
        <f>_xll.BDH("AMGN US Equity","ARDR_NUM_OF_RSU_BEGIN_OF_PER","FQ1 2021","FQ1 2021","Currency=USD","Period=FQ","BEST_FPERIOD_OVERRIDE=FQ","FILING_STATUS=MR","Sort=A","Dates=H","DateFormat=P","Fill=—","Direction=H","UseDPDF=Y")</f>
        <v>—</v>
      </c>
      <c r="M45" s="13" t="str">
        <f>_xll.BDH("AMGN US Equity","ARDR_NUM_OF_RSU_BEGIN_OF_PER","FQ2 2021","FQ2 2021","Currency=USD","Period=FQ","BEST_FPERIOD_OVERRIDE=FQ","FILING_STATUS=MR","Sort=A","Dates=H","DateFormat=P","Fill=—","Direction=H","UseDPDF=Y")</f>
        <v>—</v>
      </c>
      <c r="N45" s="13" t="str">
        <f>_xll.BDH("AMGN US Equity","ARDR_NUM_OF_RSU_BEGIN_OF_PER","FQ3 2021","FQ3 2021","Currency=USD","Period=FQ","BEST_FPERIOD_OVERRIDE=FQ","FILING_STATUS=MR","Sort=A","Dates=H","DateFormat=P","Fill=—","Direction=H","UseDPDF=Y")</f>
        <v>—</v>
      </c>
      <c r="O45" s="13">
        <f>_xll.BDH("AMGN US Equity","ARDR_NUM_OF_RSU_BEGIN_OF_PER","FQ4 2021","FQ4 2021","Currency=USD","Period=FQ","BEST_FPERIOD_OVERRIDE=FQ","FILING_STATUS=MR","Sort=A","Dates=H","DateFormat=P","Fill=—","Direction=H","UseDPDF=Y")</f>
        <v>3</v>
      </c>
      <c r="P45" s="13" t="str">
        <f>_xll.BDH("AMGN US Equity","ARDR_NUM_OF_RSU_BEGIN_OF_PER","FQ1 2022","FQ1 2022","Currency=USD","Period=FQ","BEST_FPERIOD_OVERRIDE=FQ","FILING_STATUS=MR","Sort=A","Dates=H","DateFormat=P","Fill=—","Direction=H","UseDPDF=Y")</f>
        <v>—</v>
      </c>
      <c r="Q45" s="13" t="str">
        <f>_xll.BDH("AMGN US Equity","ARDR_NUM_OF_RSU_BEGIN_OF_PER","FQ2 2022","FQ2 2022","Currency=USD","Period=FQ","BEST_FPERIOD_OVERRIDE=FQ","FILING_STATUS=MR","Sort=A","Dates=H","DateFormat=P","Fill=—","Direction=H","UseDPDF=Y")</f>
        <v>—</v>
      </c>
      <c r="R45" s="13" t="str">
        <f>_xll.BDH("AMGN US Equity","ARDR_NUM_OF_RSU_BEGIN_OF_PER","FQ3 2022","FQ3 2022","Currency=USD","Period=FQ","BEST_FPERIOD_OVERRIDE=FQ","FILING_STATUS=MR","Sort=A","Dates=H","DateFormat=P","Fill=—","Direction=H","UseDPDF=Y")</f>
        <v>—</v>
      </c>
      <c r="S45" s="13" t="str">
        <f>_xll.BDH("AMGN US Equity","ARDR_NUM_OF_RSU_BEGIN_OF_PER","FQ4 2022","FQ4 2022","Currency=USD","Period=FQ","BEST_FPERIOD_OVERRIDE=FQ","FILING_STATUS=MR","Sort=A","Dates=H","DateFormat=P","Fill=—","Direction=H","UseDPDF=Y")</f>
        <v>—</v>
      </c>
      <c r="T45" s="13" t="str">
        <f>_xll.BDH("AMGN US Equity","ARDR_NUM_OF_RSU_BEGIN_OF_PER","FQ1 2023","FQ1 2023","Currency=USD","Period=FQ","BEST_FPERIOD_OVERRIDE=FQ","FILING_STATUS=MR","Sort=A","Dates=H","DateFormat=P","Fill=—","Direction=H","UseDPDF=Y")</f>
        <v>—</v>
      </c>
      <c r="U45" s="13" t="str">
        <f>_xll.BDH("AMGN US Equity","ARDR_NUM_OF_RSU_BEGIN_OF_PER","FQ2 2023","FQ2 2023","Currency=USD","Period=FQ","BEST_FPERIOD_OVERRIDE=FQ","FILING_STATUS=MR","Sort=A","Dates=H","DateFormat=P","Fill=—","Direction=H","UseDPDF=Y")</f>
        <v>—</v>
      </c>
      <c r="V45" s="13" t="str">
        <f>_xll.BDH("AMGN US Equity","ARDR_NUM_OF_RSU_BEGIN_OF_PER","FQ3 2023","FQ3 2023","Currency=USD","Period=FQ","BEST_FPERIOD_OVERRIDE=FQ","FILING_STATUS=MR","Sort=A","Dates=H","DateFormat=P","Fill=—","Direction=H","UseDPDF=Y")</f>
        <v>—</v>
      </c>
      <c r="W45" s="13" t="str">
        <f>_xll.BDH("AMGN US Equity","ARDR_NUM_OF_RSU_BEGIN_OF_PER","FQ4 2023","FQ4 2023","Currency=USD","Period=FQ","BEST_FPERIOD_OVERRIDE=FQ","FILING_STATUS=MR","Sort=A","Dates=H","DateFormat=P","Fill=—","Direction=H","UseDPDF=Y")</f>
        <v>—</v>
      </c>
      <c r="X45" s="13" t="str">
        <f>_xll.BDH("AMGN US Equity","ARDR_NUM_OF_RSU_BEGIN_OF_PER","FQ1 2024","FQ1 2024","Currency=USD","Period=FQ","BEST_FPERIOD_OVERRIDE=FQ","FILING_STATUS=MR","Sort=A","Dates=H","DateFormat=P","Fill=—","Direction=H","UseDPDF=Y")</f>
        <v>—</v>
      </c>
      <c r="Y45" s="13" t="str">
        <f>_xll.BDH("AMGN US Equity","ARDR_NUM_OF_RSU_BEGIN_OF_PER","FQ2 2024","FQ2 2024","Currency=USD","Period=FQ","BEST_FPERIOD_OVERRIDE=FQ","FILING_STATUS=MR","Sort=A","Dates=H","DateFormat=P","Fill=—","Direction=H","UseDPDF=Y")</f>
        <v>—</v>
      </c>
      <c r="Z45" s="13" t="str">
        <f>_xll.BDH("AMGN US Equity","ARDR_NUM_OF_RSU_BEGIN_OF_PER","FQ3 2024","FQ3 2024","Currency=USD","Period=FQ","BEST_FPERIOD_OVERRIDE=FQ","FILING_STATUS=MR","Sort=A","Dates=H","DateFormat=P","Fill=—","Direction=H","UseDPDF=Y")</f>
        <v>—</v>
      </c>
      <c r="AA45" s="13" t="str">
        <f>_xll.BDH("AMGN US Equity","ARDR_NUM_OF_RSU_BEGIN_OF_PER","FQ4 2024","FQ4 2024","Currency=USD","Period=FQ","BEST_FPERIOD_OVERRIDE=FQ","FILING_STATUS=MR","Sort=A","Dates=H","DateFormat=P","Fill=—","Direction=H","UseDPDF=Y")</f>
        <v>—</v>
      </c>
    </row>
    <row r="46" spans="1:27" x14ac:dyDescent="0.25">
      <c r="A46" s="10" t="s">
        <v>921</v>
      </c>
      <c r="B46" s="10" t="s">
        <v>922</v>
      </c>
      <c r="C46" s="13" t="str">
        <f>_xll.BDH("AMGN US Equity","ARDR_NUMBER_OF_RSU_GRANTED","FQ4 2018","FQ4 2018","Currency=USD","Period=FQ","BEST_FPERIOD_OVERRIDE=FQ","FILING_STATUS=MR","Sort=A","Dates=H","DateFormat=P","Fill=—","Direction=H","UseDPDF=Y")</f>
        <v>—</v>
      </c>
      <c r="D46" s="13" t="str">
        <f>_xll.BDH("AMGN US Equity","ARDR_NUMBER_OF_RSU_GRANTED","FQ1 2019","FQ1 2019","Currency=USD","Period=FQ","BEST_FPERIOD_OVERRIDE=FQ","FILING_STATUS=MR","Sort=A","Dates=H","DateFormat=P","Fill=—","Direction=H","UseDPDF=Y")</f>
        <v>—</v>
      </c>
      <c r="E46" s="13" t="str">
        <f>_xll.BDH("AMGN US Equity","ARDR_NUMBER_OF_RSU_GRANTED","FQ2 2019","FQ2 2019","Currency=USD","Period=FQ","BEST_FPERIOD_OVERRIDE=FQ","FILING_STATUS=MR","Sort=A","Dates=H","DateFormat=P","Fill=—","Direction=H","UseDPDF=Y")</f>
        <v>—</v>
      </c>
      <c r="F46" s="13" t="str">
        <f>_xll.BDH("AMGN US Equity","ARDR_NUMBER_OF_RSU_GRANTED","FQ3 2019","FQ3 2019","Currency=USD","Period=FQ","BEST_FPERIOD_OVERRIDE=FQ","FILING_STATUS=MR","Sort=A","Dates=H","DateFormat=P","Fill=—","Direction=H","UseDPDF=Y")</f>
        <v>—</v>
      </c>
      <c r="G46" s="13" t="str">
        <f>_xll.BDH("AMGN US Equity","ARDR_NUMBER_OF_RSU_GRANTED","FQ4 2019","FQ4 2019","Currency=USD","Period=FQ","BEST_FPERIOD_OVERRIDE=FQ","FILING_STATUS=MR","Sort=A","Dates=H","DateFormat=P","Fill=—","Direction=H","UseDPDF=Y")</f>
        <v>—</v>
      </c>
      <c r="H46" s="13" t="str">
        <f>_xll.BDH("AMGN US Equity","ARDR_NUMBER_OF_RSU_GRANTED","FQ1 2020","FQ1 2020","Currency=USD","Period=FQ","BEST_FPERIOD_OVERRIDE=FQ","FILING_STATUS=MR","Sort=A","Dates=H","DateFormat=P","Fill=—","Direction=H","UseDPDF=Y")</f>
        <v>—</v>
      </c>
      <c r="I46" s="13" t="str">
        <f>_xll.BDH("AMGN US Equity","ARDR_NUMBER_OF_RSU_GRANTED","FQ2 2020","FQ2 2020","Currency=USD","Period=FQ","BEST_FPERIOD_OVERRIDE=FQ","FILING_STATUS=MR","Sort=A","Dates=H","DateFormat=P","Fill=—","Direction=H","UseDPDF=Y")</f>
        <v>—</v>
      </c>
      <c r="J46" s="13" t="str">
        <f>_xll.BDH("AMGN US Equity","ARDR_NUMBER_OF_RSU_GRANTED","FQ3 2020","FQ3 2020","Currency=USD","Period=FQ","BEST_FPERIOD_OVERRIDE=FQ","FILING_STATUS=MR","Sort=A","Dates=H","DateFormat=P","Fill=—","Direction=H","UseDPDF=Y")</f>
        <v>—</v>
      </c>
      <c r="K46" s="13" t="str">
        <f>_xll.BDH("AMGN US Equity","ARDR_NUMBER_OF_RSU_GRANTED","FQ4 2020","FQ4 2020","Currency=USD","Period=FQ","BEST_FPERIOD_OVERRIDE=FQ","FILING_STATUS=MR","Sort=A","Dates=H","DateFormat=P","Fill=—","Direction=H","UseDPDF=Y")</f>
        <v>—</v>
      </c>
      <c r="L46" s="13" t="str">
        <f>_xll.BDH("AMGN US Equity","ARDR_NUMBER_OF_RSU_GRANTED","FQ1 2021","FQ1 2021","Currency=USD","Period=FQ","BEST_FPERIOD_OVERRIDE=FQ","FILING_STATUS=MR","Sort=A","Dates=H","DateFormat=P","Fill=—","Direction=H","UseDPDF=Y")</f>
        <v>—</v>
      </c>
      <c r="M46" s="13" t="str">
        <f>_xll.BDH("AMGN US Equity","ARDR_NUMBER_OF_RSU_GRANTED","FQ2 2021","FQ2 2021","Currency=USD","Period=FQ","BEST_FPERIOD_OVERRIDE=FQ","FILING_STATUS=MR","Sort=A","Dates=H","DateFormat=P","Fill=—","Direction=H","UseDPDF=Y")</f>
        <v>—</v>
      </c>
      <c r="N46" s="13" t="str">
        <f>_xll.BDH("AMGN US Equity","ARDR_NUMBER_OF_RSU_GRANTED","FQ3 2021","FQ3 2021","Currency=USD","Period=FQ","BEST_FPERIOD_OVERRIDE=FQ","FILING_STATUS=MR","Sort=A","Dates=H","DateFormat=P","Fill=—","Direction=H","UseDPDF=Y")</f>
        <v>—</v>
      </c>
      <c r="O46" s="13">
        <f>_xll.BDH("AMGN US Equity","ARDR_NUMBER_OF_RSU_GRANTED","FQ4 2021","FQ4 2021","Currency=USD","Period=FQ","BEST_FPERIOD_OVERRIDE=FQ","FILING_STATUS=MR","Sort=A","Dates=H","DateFormat=P","Fill=—","Direction=H","UseDPDF=Y")</f>
        <v>1.3</v>
      </c>
      <c r="P46" s="13" t="str">
        <f>_xll.BDH("AMGN US Equity","ARDR_NUMBER_OF_RSU_GRANTED","FQ1 2022","FQ1 2022","Currency=USD","Period=FQ","BEST_FPERIOD_OVERRIDE=FQ","FILING_STATUS=MR","Sort=A","Dates=H","DateFormat=P","Fill=—","Direction=H","UseDPDF=Y")</f>
        <v>—</v>
      </c>
      <c r="Q46" s="13" t="str">
        <f>_xll.BDH("AMGN US Equity","ARDR_NUMBER_OF_RSU_GRANTED","FQ2 2022","FQ2 2022","Currency=USD","Period=FQ","BEST_FPERIOD_OVERRIDE=FQ","FILING_STATUS=MR","Sort=A","Dates=H","DateFormat=P","Fill=—","Direction=H","UseDPDF=Y")</f>
        <v>—</v>
      </c>
      <c r="R46" s="13" t="str">
        <f>_xll.BDH("AMGN US Equity","ARDR_NUMBER_OF_RSU_GRANTED","FQ3 2022","FQ3 2022","Currency=USD","Period=FQ","BEST_FPERIOD_OVERRIDE=FQ","FILING_STATUS=MR","Sort=A","Dates=H","DateFormat=P","Fill=—","Direction=H","UseDPDF=Y")</f>
        <v>—</v>
      </c>
      <c r="S46" s="13" t="str">
        <f>_xll.BDH("AMGN US Equity","ARDR_NUMBER_OF_RSU_GRANTED","FQ4 2022","FQ4 2022","Currency=USD","Period=FQ","BEST_FPERIOD_OVERRIDE=FQ","FILING_STATUS=MR","Sort=A","Dates=H","DateFormat=P","Fill=—","Direction=H","UseDPDF=Y")</f>
        <v>—</v>
      </c>
      <c r="T46" s="13" t="str">
        <f>_xll.BDH("AMGN US Equity","ARDR_NUMBER_OF_RSU_GRANTED","FQ1 2023","FQ1 2023","Currency=USD","Period=FQ","BEST_FPERIOD_OVERRIDE=FQ","FILING_STATUS=MR","Sort=A","Dates=H","DateFormat=P","Fill=—","Direction=H","UseDPDF=Y")</f>
        <v>—</v>
      </c>
      <c r="U46" s="13" t="str">
        <f>_xll.BDH("AMGN US Equity","ARDR_NUMBER_OF_RSU_GRANTED","FQ2 2023","FQ2 2023","Currency=USD","Period=FQ","BEST_FPERIOD_OVERRIDE=FQ","FILING_STATUS=MR","Sort=A","Dates=H","DateFormat=P","Fill=—","Direction=H","UseDPDF=Y")</f>
        <v>—</v>
      </c>
      <c r="V46" s="13" t="str">
        <f>_xll.BDH("AMGN US Equity","ARDR_NUMBER_OF_RSU_GRANTED","FQ3 2023","FQ3 2023","Currency=USD","Period=FQ","BEST_FPERIOD_OVERRIDE=FQ","FILING_STATUS=MR","Sort=A","Dates=H","DateFormat=P","Fill=—","Direction=H","UseDPDF=Y")</f>
        <v>—</v>
      </c>
      <c r="W46" s="13" t="str">
        <f>_xll.BDH("AMGN US Equity","ARDR_NUMBER_OF_RSU_GRANTED","FQ4 2023","FQ4 2023","Currency=USD","Period=FQ","BEST_FPERIOD_OVERRIDE=FQ","FILING_STATUS=MR","Sort=A","Dates=H","DateFormat=P","Fill=—","Direction=H","UseDPDF=Y")</f>
        <v>—</v>
      </c>
      <c r="X46" s="13" t="str">
        <f>_xll.BDH("AMGN US Equity","ARDR_NUMBER_OF_RSU_GRANTED","FQ1 2024","FQ1 2024","Currency=USD","Period=FQ","BEST_FPERIOD_OVERRIDE=FQ","FILING_STATUS=MR","Sort=A","Dates=H","DateFormat=P","Fill=—","Direction=H","UseDPDF=Y")</f>
        <v>—</v>
      </c>
      <c r="Y46" s="13" t="str">
        <f>_xll.BDH("AMGN US Equity","ARDR_NUMBER_OF_RSU_GRANTED","FQ2 2024","FQ2 2024","Currency=USD","Period=FQ","BEST_FPERIOD_OVERRIDE=FQ","FILING_STATUS=MR","Sort=A","Dates=H","DateFormat=P","Fill=—","Direction=H","UseDPDF=Y")</f>
        <v>—</v>
      </c>
      <c r="Z46" s="13" t="str">
        <f>_xll.BDH("AMGN US Equity","ARDR_NUMBER_OF_RSU_GRANTED","FQ3 2024","FQ3 2024","Currency=USD","Period=FQ","BEST_FPERIOD_OVERRIDE=FQ","FILING_STATUS=MR","Sort=A","Dates=H","DateFormat=P","Fill=—","Direction=H","UseDPDF=Y")</f>
        <v>—</v>
      </c>
      <c r="AA46" s="13" t="str">
        <f>_xll.BDH("AMGN US Equity","ARDR_NUMBER_OF_RSU_GRANTED","FQ4 2024","FQ4 2024","Currency=USD","Period=FQ","BEST_FPERIOD_OVERRIDE=FQ","FILING_STATUS=MR","Sort=A","Dates=H","DateFormat=P","Fill=—","Direction=H","UseDPDF=Y")</f>
        <v>—</v>
      </c>
    </row>
    <row r="47" spans="1:27" x14ac:dyDescent="0.25">
      <c r="A47" s="10" t="s">
        <v>923</v>
      </c>
      <c r="B47" s="10" t="s">
        <v>924</v>
      </c>
      <c r="C47" s="13" t="str">
        <f>_xll.BDH("AMGN US Equity","ARDR_NUMBER_OF_RSU_VESTED","FQ4 2018","FQ4 2018","Currency=USD","Period=FQ","BEST_FPERIOD_OVERRIDE=FQ","FILING_STATUS=MR","Sort=A","Dates=H","DateFormat=P","Fill=—","Direction=H","UseDPDF=Y")</f>
        <v>—</v>
      </c>
      <c r="D47" s="13" t="str">
        <f>_xll.BDH("AMGN US Equity","ARDR_NUMBER_OF_RSU_VESTED","FQ1 2019","FQ1 2019","Currency=USD","Period=FQ","BEST_FPERIOD_OVERRIDE=FQ","FILING_STATUS=MR","Sort=A","Dates=H","DateFormat=P","Fill=—","Direction=H","UseDPDF=Y")</f>
        <v>—</v>
      </c>
      <c r="E47" s="13" t="str">
        <f>_xll.BDH("AMGN US Equity","ARDR_NUMBER_OF_RSU_VESTED","FQ2 2019","FQ2 2019","Currency=USD","Period=FQ","BEST_FPERIOD_OVERRIDE=FQ","FILING_STATUS=MR","Sort=A","Dates=H","DateFormat=P","Fill=—","Direction=H","UseDPDF=Y")</f>
        <v>—</v>
      </c>
      <c r="F47" s="13" t="str">
        <f>_xll.BDH("AMGN US Equity","ARDR_NUMBER_OF_RSU_VESTED","FQ3 2019","FQ3 2019","Currency=USD","Period=FQ","BEST_FPERIOD_OVERRIDE=FQ","FILING_STATUS=MR","Sort=A","Dates=H","DateFormat=P","Fill=—","Direction=H","UseDPDF=Y")</f>
        <v>—</v>
      </c>
      <c r="G47" s="13" t="str">
        <f>_xll.BDH("AMGN US Equity","ARDR_NUMBER_OF_RSU_VESTED","FQ4 2019","FQ4 2019","Currency=USD","Period=FQ","BEST_FPERIOD_OVERRIDE=FQ","FILING_STATUS=MR","Sort=A","Dates=H","DateFormat=P","Fill=—","Direction=H","UseDPDF=Y")</f>
        <v>—</v>
      </c>
      <c r="H47" s="13" t="str">
        <f>_xll.BDH("AMGN US Equity","ARDR_NUMBER_OF_RSU_VESTED","FQ1 2020","FQ1 2020","Currency=USD","Period=FQ","BEST_FPERIOD_OVERRIDE=FQ","FILING_STATUS=MR","Sort=A","Dates=H","DateFormat=P","Fill=—","Direction=H","UseDPDF=Y")</f>
        <v>—</v>
      </c>
      <c r="I47" s="13" t="str">
        <f>_xll.BDH("AMGN US Equity","ARDR_NUMBER_OF_RSU_VESTED","FQ2 2020","FQ2 2020","Currency=USD","Period=FQ","BEST_FPERIOD_OVERRIDE=FQ","FILING_STATUS=MR","Sort=A","Dates=H","DateFormat=P","Fill=—","Direction=H","UseDPDF=Y")</f>
        <v>—</v>
      </c>
      <c r="J47" s="13" t="str">
        <f>_xll.BDH("AMGN US Equity","ARDR_NUMBER_OF_RSU_VESTED","FQ3 2020","FQ3 2020","Currency=USD","Period=FQ","BEST_FPERIOD_OVERRIDE=FQ","FILING_STATUS=MR","Sort=A","Dates=H","DateFormat=P","Fill=—","Direction=H","UseDPDF=Y")</f>
        <v>—</v>
      </c>
      <c r="K47" s="13" t="str">
        <f>_xll.BDH("AMGN US Equity","ARDR_NUMBER_OF_RSU_VESTED","FQ4 2020","FQ4 2020","Currency=USD","Period=FQ","BEST_FPERIOD_OVERRIDE=FQ","FILING_STATUS=MR","Sort=A","Dates=H","DateFormat=P","Fill=—","Direction=H","UseDPDF=Y")</f>
        <v>—</v>
      </c>
      <c r="L47" s="13" t="str">
        <f>_xll.BDH("AMGN US Equity","ARDR_NUMBER_OF_RSU_VESTED","FQ1 2021","FQ1 2021","Currency=USD","Period=FQ","BEST_FPERIOD_OVERRIDE=FQ","FILING_STATUS=MR","Sort=A","Dates=H","DateFormat=P","Fill=—","Direction=H","UseDPDF=Y")</f>
        <v>—</v>
      </c>
      <c r="M47" s="13" t="str">
        <f>_xll.BDH("AMGN US Equity","ARDR_NUMBER_OF_RSU_VESTED","FQ2 2021","FQ2 2021","Currency=USD","Period=FQ","BEST_FPERIOD_OVERRIDE=FQ","FILING_STATUS=MR","Sort=A","Dates=H","DateFormat=P","Fill=—","Direction=H","UseDPDF=Y")</f>
        <v>—</v>
      </c>
      <c r="N47" s="13" t="str">
        <f>_xll.BDH("AMGN US Equity","ARDR_NUMBER_OF_RSU_VESTED","FQ3 2021","FQ3 2021","Currency=USD","Period=FQ","BEST_FPERIOD_OVERRIDE=FQ","FILING_STATUS=MR","Sort=A","Dates=H","DateFormat=P","Fill=—","Direction=H","UseDPDF=Y")</f>
        <v>—</v>
      </c>
      <c r="O47" s="13">
        <f>_xll.BDH("AMGN US Equity","ARDR_NUMBER_OF_RSU_VESTED","FQ4 2021","FQ4 2021","Currency=USD","Period=FQ","BEST_FPERIOD_OVERRIDE=FQ","FILING_STATUS=MR","Sort=A","Dates=H","DateFormat=P","Fill=—","Direction=H","UseDPDF=Y")</f>
        <v>0.9</v>
      </c>
      <c r="P47" s="13" t="str">
        <f>_xll.BDH("AMGN US Equity","ARDR_NUMBER_OF_RSU_VESTED","FQ1 2022","FQ1 2022","Currency=USD","Period=FQ","BEST_FPERIOD_OVERRIDE=FQ","FILING_STATUS=MR","Sort=A","Dates=H","DateFormat=P","Fill=—","Direction=H","UseDPDF=Y")</f>
        <v>—</v>
      </c>
      <c r="Q47" s="13" t="str">
        <f>_xll.BDH("AMGN US Equity","ARDR_NUMBER_OF_RSU_VESTED","FQ2 2022","FQ2 2022","Currency=USD","Period=FQ","BEST_FPERIOD_OVERRIDE=FQ","FILING_STATUS=MR","Sort=A","Dates=H","DateFormat=P","Fill=—","Direction=H","UseDPDF=Y")</f>
        <v>—</v>
      </c>
      <c r="R47" s="13" t="str">
        <f>_xll.BDH("AMGN US Equity","ARDR_NUMBER_OF_RSU_VESTED","FQ3 2022","FQ3 2022","Currency=USD","Period=FQ","BEST_FPERIOD_OVERRIDE=FQ","FILING_STATUS=MR","Sort=A","Dates=H","DateFormat=P","Fill=—","Direction=H","UseDPDF=Y")</f>
        <v>—</v>
      </c>
      <c r="S47" s="13" t="str">
        <f>_xll.BDH("AMGN US Equity","ARDR_NUMBER_OF_RSU_VESTED","FQ4 2022","FQ4 2022","Currency=USD","Period=FQ","BEST_FPERIOD_OVERRIDE=FQ","FILING_STATUS=MR","Sort=A","Dates=H","DateFormat=P","Fill=—","Direction=H","UseDPDF=Y")</f>
        <v>—</v>
      </c>
      <c r="T47" s="13" t="str">
        <f>_xll.BDH("AMGN US Equity","ARDR_NUMBER_OF_RSU_VESTED","FQ1 2023","FQ1 2023","Currency=USD","Period=FQ","BEST_FPERIOD_OVERRIDE=FQ","FILING_STATUS=MR","Sort=A","Dates=H","DateFormat=P","Fill=—","Direction=H","UseDPDF=Y")</f>
        <v>—</v>
      </c>
      <c r="U47" s="13" t="str">
        <f>_xll.BDH("AMGN US Equity","ARDR_NUMBER_OF_RSU_VESTED","FQ2 2023","FQ2 2023","Currency=USD","Period=FQ","BEST_FPERIOD_OVERRIDE=FQ","FILING_STATUS=MR","Sort=A","Dates=H","DateFormat=P","Fill=—","Direction=H","UseDPDF=Y")</f>
        <v>—</v>
      </c>
      <c r="V47" s="13" t="str">
        <f>_xll.BDH("AMGN US Equity","ARDR_NUMBER_OF_RSU_VESTED","FQ3 2023","FQ3 2023","Currency=USD","Period=FQ","BEST_FPERIOD_OVERRIDE=FQ","FILING_STATUS=MR","Sort=A","Dates=H","DateFormat=P","Fill=—","Direction=H","UseDPDF=Y")</f>
        <v>—</v>
      </c>
      <c r="W47" s="13" t="str">
        <f>_xll.BDH("AMGN US Equity","ARDR_NUMBER_OF_RSU_VESTED","FQ4 2023","FQ4 2023","Currency=USD","Period=FQ","BEST_FPERIOD_OVERRIDE=FQ","FILING_STATUS=MR","Sort=A","Dates=H","DateFormat=P","Fill=—","Direction=H","UseDPDF=Y")</f>
        <v>—</v>
      </c>
      <c r="X47" s="13" t="str">
        <f>_xll.BDH("AMGN US Equity","ARDR_NUMBER_OF_RSU_VESTED","FQ1 2024","FQ1 2024","Currency=USD","Period=FQ","BEST_FPERIOD_OVERRIDE=FQ","FILING_STATUS=MR","Sort=A","Dates=H","DateFormat=P","Fill=—","Direction=H","UseDPDF=Y")</f>
        <v>—</v>
      </c>
      <c r="Y47" s="13" t="str">
        <f>_xll.BDH("AMGN US Equity","ARDR_NUMBER_OF_RSU_VESTED","FQ2 2024","FQ2 2024","Currency=USD","Period=FQ","BEST_FPERIOD_OVERRIDE=FQ","FILING_STATUS=MR","Sort=A","Dates=H","DateFormat=P","Fill=—","Direction=H","UseDPDF=Y")</f>
        <v>—</v>
      </c>
      <c r="Z47" s="13" t="str">
        <f>_xll.BDH("AMGN US Equity","ARDR_NUMBER_OF_RSU_VESTED","FQ3 2024","FQ3 2024","Currency=USD","Period=FQ","BEST_FPERIOD_OVERRIDE=FQ","FILING_STATUS=MR","Sort=A","Dates=H","DateFormat=P","Fill=—","Direction=H","UseDPDF=Y")</f>
        <v>—</v>
      </c>
      <c r="AA47" s="13" t="str">
        <f>_xll.BDH("AMGN US Equity","ARDR_NUMBER_OF_RSU_VESTED","FQ4 2024","FQ4 2024","Currency=USD","Period=FQ","BEST_FPERIOD_OVERRIDE=FQ","FILING_STATUS=MR","Sort=A","Dates=H","DateFormat=P","Fill=—","Direction=H","UseDPDF=Y")</f>
        <v>—</v>
      </c>
    </row>
    <row r="48" spans="1:27" x14ac:dyDescent="0.25">
      <c r="A48" s="10" t="s">
        <v>925</v>
      </c>
      <c r="B48" s="10" t="s">
        <v>926</v>
      </c>
      <c r="C48" s="13" t="str">
        <f>_xll.BDH("AMGN US Equity","ARDR_NUMBER_OF_RSU_FORFTD_CANCLD","FQ4 2018","FQ4 2018","Currency=USD","Period=FQ","BEST_FPERIOD_OVERRIDE=FQ","FILING_STATUS=MR","Sort=A","Dates=H","DateFormat=P","Fill=—","Direction=H","UseDPDF=Y")</f>
        <v>—</v>
      </c>
      <c r="D48" s="13" t="str">
        <f>_xll.BDH("AMGN US Equity","ARDR_NUMBER_OF_RSU_FORFTD_CANCLD","FQ1 2019","FQ1 2019","Currency=USD","Period=FQ","BEST_FPERIOD_OVERRIDE=FQ","FILING_STATUS=MR","Sort=A","Dates=H","DateFormat=P","Fill=—","Direction=H","UseDPDF=Y")</f>
        <v>—</v>
      </c>
      <c r="E48" s="13" t="str">
        <f>_xll.BDH("AMGN US Equity","ARDR_NUMBER_OF_RSU_FORFTD_CANCLD","FQ2 2019","FQ2 2019","Currency=USD","Period=FQ","BEST_FPERIOD_OVERRIDE=FQ","FILING_STATUS=MR","Sort=A","Dates=H","DateFormat=P","Fill=—","Direction=H","UseDPDF=Y")</f>
        <v>—</v>
      </c>
      <c r="F48" s="13" t="str">
        <f>_xll.BDH("AMGN US Equity","ARDR_NUMBER_OF_RSU_FORFTD_CANCLD","FQ3 2019","FQ3 2019","Currency=USD","Period=FQ","BEST_FPERIOD_OVERRIDE=FQ","FILING_STATUS=MR","Sort=A","Dates=H","DateFormat=P","Fill=—","Direction=H","UseDPDF=Y")</f>
        <v>—</v>
      </c>
      <c r="G48" s="13" t="str">
        <f>_xll.BDH("AMGN US Equity","ARDR_NUMBER_OF_RSU_FORFTD_CANCLD","FQ4 2019","FQ4 2019","Currency=USD","Period=FQ","BEST_FPERIOD_OVERRIDE=FQ","FILING_STATUS=MR","Sort=A","Dates=H","DateFormat=P","Fill=—","Direction=H","UseDPDF=Y")</f>
        <v>—</v>
      </c>
      <c r="H48" s="13" t="str">
        <f>_xll.BDH("AMGN US Equity","ARDR_NUMBER_OF_RSU_FORFTD_CANCLD","FQ1 2020","FQ1 2020","Currency=USD","Period=FQ","BEST_FPERIOD_OVERRIDE=FQ","FILING_STATUS=MR","Sort=A","Dates=H","DateFormat=P","Fill=—","Direction=H","UseDPDF=Y")</f>
        <v>—</v>
      </c>
      <c r="I48" s="13" t="str">
        <f>_xll.BDH("AMGN US Equity","ARDR_NUMBER_OF_RSU_FORFTD_CANCLD","FQ2 2020","FQ2 2020","Currency=USD","Period=FQ","BEST_FPERIOD_OVERRIDE=FQ","FILING_STATUS=MR","Sort=A","Dates=H","DateFormat=P","Fill=—","Direction=H","UseDPDF=Y")</f>
        <v>—</v>
      </c>
      <c r="J48" s="13" t="str">
        <f>_xll.BDH("AMGN US Equity","ARDR_NUMBER_OF_RSU_FORFTD_CANCLD","FQ3 2020","FQ3 2020","Currency=USD","Period=FQ","BEST_FPERIOD_OVERRIDE=FQ","FILING_STATUS=MR","Sort=A","Dates=H","DateFormat=P","Fill=—","Direction=H","UseDPDF=Y")</f>
        <v>—</v>
      </c>
      <c r="K48" s="13" t="str">
        <f>_xll.BDH("AMGN US Equity","ARDR_NUMBER_OF_RSU_FORFTD_CANCLD","FQ4 2020","FQ4 2020","Currency=USD","Period=FQ","BEST_FPERIOD_OVERRIDE=FQ","FILING_STATUS=MR","Sort=A","Dates=H","DateFormat=P","Fill=—","Direction=H","UseDPDF=Y")</f>
        <v>—</v>
      </c>
      <c r="L48" s="13" t="str">
        <f>_xll.BDH("AMGN US Equity","ARDR_NUMBER_OF_RSU_FORFTD_CANCLD","FQ1 2021","FQ1 2021","Currency=USD","Period=FQ","BEST_FPERIOD_OVERRIDE=FQ","FILING_STATUS=MR","Sort=A","Dates=H","DateFormat=P","Fill=—","Direction=H","UseDPDF=Y")</f>
        <v>—</v>
      </c>
      <c r="M48" s="13" t="str">
        <f>_xll.BDH("AMGN US Equity","ARDR_NUMBER_OF_RSU_FORFTD_CANCLD","FQ2 2021","FQ2 2021","Currency=USD","Period=FQ","BEST_FPERIOD_OVERRIDE=FQ","FILING_STATUS=MR","Sort=A","Dates=H","DateFormat=P","Fill=—","Direction=H","UseDPDF=Y")</f>
        <v>—</v>
      </c>
      <c r="N48" s="13" t="str">
        <f>_xll.BDH("AMGN US Equity","ARDR_NUMBER_OF_RSU_FORFTD_CANCLD","FQ3 2021","FQ3 2021","Currency=USD","Period=FQ","BEST_FPERIOD_OVERRIDE=FQ","FILING_STATUS=MR","Sort=A","Dates=H","DateFormat=P","Fill=—","Direction=H","UseDPDF=Y")</f>
        <v>—</v>
      </c>
      <c r="O48" s="13">
        <f>_xll.BDH("AMGN US Equity","ARDR_NUMBER_OF_RSU_FORFTD_CANCLD","FQ4 2021","FQ4 2021","Currency=USD","Period=FQ","BEST_FPERIOD_OVERRIDE=FQ","FILING_STATUS=MR","Sort=A","Dates=H","DateFormat=P","Fill=—","Direction=H","UseDPDF=Y")</f>
        <v>0.4</v>
      </c>
      <c r="P48" s="13" t="str">
        <f>_xll.BDH("AMGN US Equity","ARDR_NUMBER_OF_RSU_FORFTD_CANCLD","FQ1 2022","FQ1 2022","Currency=USD","Period=FQ","BEST_FPERIOD_OVERRIDE=FQ","FILING_STATUS=MR","Sort=A","Dates=H","DateFormat=P","Fill=—","Direction=H","UseDPDF=Y")</f>
        <v>—</v>
      </c>
      <c r="Q48" s="13" t="str">
        <f>_xll.BDH("AMGN US Equity","ARDR_NUMBER_OF_RSU_FORFTD_CANCLD","FQ2 2022","FQ2 2022","Currency=USD","Period=FQ","BEST_FPERIOD_OVERRIDE=FQ","FILING_STATUS=MR","Sort=A","Dates=H","DateFormat=P","Fill=—","Direction=H","UseDPDF=Y")</f>
        <v>—</v>
      </c>
      <c r="R48" s="13" t="str">
        <f>_xll.BDH("AMGN US Equity","ARDR_NUMBER_OF_RSU_FORFTD_CANCLD","FQ3 2022","FQ3 2022","Currency=USD","Period=FQ","BEST_FPERIOD_OVERRIDE=FQ","FILING_STATUS=MR","Sort=A","Dates=H","DateFormat=P","Fill=—","Direction=H","UseDPDF=Y")</f>
        <v>—</v>
      </c>
      <c r="S48" s="13" t="str">
        <f>_xll.BDH("AMGN US Equity","ARDR_NUMBER_OF_RSU_FORFTD_CANCLD","FQ4 2022","FQ4 2022","Currency=USD","Period=FQ","BEST_FPERIOD_OVERRIDE=FQ","FILING_STATUS=MR","Sort=A","Dates=H","DateFormat=P","Fill=—","Direction=H","UseDPDF=Y")</f>
        <v>—</v>
      </c>
      <c r="T48" s="13" t="str">
        <f>_xll.BDH("AMGN US Equity","ARDR_NUMBER_OF_RSU_FORFTD_CANCLD","FQ1 2023","FQ1 2023","Currency=USD","Period=FQ","BEST_FPERIOD_OVERRIDE=FQ","FILING_STATUS=MR","Sort=A","Dates=H","DateFormat=P","Fill=—","Direction=H","UseDPDF=Y")</f>
        <v>—</v>
      </c>
      <c r="U48" s="13" t="str">
        <f>_xll.BDH("AMGN US Equity","ARDR_NUMBER_OF_RSU_FORFTD_CANCLD","FQ2 2023","FQ2 2023","Currency=USD","Period=FQ","BEST_FPERIOD_OVERRIDE=FQ","FILING_STATUS=MR","Sort=A","Dates=H","DateFormat=P","Fill=—","Direction=H","UseDPDF=Y")</f>
        <v>—</v>
      </c>
      <c r="V48" s="13" t="str">
        <f>_xll.BDH("AMGN US Equity","ARDR_NUMBER_OF_RSU_FORFTD_CANCLD","FQ3 2023","FQ3 2023","Currency=USD","Period=FQ","BEST_FPERIOD_OVERRIDE=FQ","FILING_STATUS=MR","Sort=A","Dates=H","DateFormat=P","Fill=—","Direction=H","UseDPDF=Y")</f>
        <v>—</v>
      </c>
      <c r="W48" s="13" t="str">
        <f>_xll.BDH("AMGN US Equity","ARDR_NUMBER_OF_RSU_FORFTD_CANCLD","FQ4 2023","FQ4 2023","Currency=USD","Period=FQ","BEST_FPERIOD_OVERRIDE=FQ","FILING_STATUS=MR","Sort=A","Dates=H","DateFormat=P","Fill=—","Direction=H","UseDPDF=Y")</f>
        <v>—</v>
      </c>
      <c r="X48" s="13" t="str">
        <f>_xll.BDH("AMGN US Equity","ARDR_NUMBER_OF_RSU_FORFTD_CANCLD","FQ1 2024","FQ1 2024","Currency=USD","Period=FQ","BEST_FPERIOD_OVERRIDE=FQ","FILING_STATUS=MR","Sort=A","Dates=H","DateFormat=P","Fill=—","Direction=H","UseDPDF=Y")</f>
        <v>—</v>
      </c>
      <c r="Y48" s="13" t="str">
        <f>_xll.BDH("AMGN US Equity","ARDR_NUMBER_OF_RSU_FORFTD_CANCLD","FQ2 2024","FQ2 2024","Currency=USD","Period=FQ","BEST_FPERIOD_OVERRIDE=FQ","FILING_STATUS=MR","Sort=A","Dates=H","DateFormat=P","Fill=—","Direction=H","UseDPDF=Y")</f>
        <v>—</v>
      </c>
      <c r="Z48" s="13" t="str">
        <f>_xll.BDH("AMGN US Equity","ARDR_NUMBER_OF_RSU_FORFTD_CANCLD","FQ3 2024","FQ3 2024","Currency=USD","Period=FQ","BEST_FPERIOD_OVERRIDE=FQ","FILING_STATUS=MR","Sort=A","Dates=H","DateFormat=P","Fill=—","Direction=H","UseDPDF=Y")</f>
        <v>—</v>
      </c>
      <c r="AA48" s="13" t="str">
        <f>_xll.BDH("AMGN US Equity","ARDR_NUMBER_OF_RSU_FORFTD_CANCLD","FQ4 2024","FQ4 2024","Currency=USD","Period=FQ","BEST_FPERIOD_OVERRIDE=FQ","FILING_STATUS=MR","Sort=A","Dates=H","DateFormat=P","Fill=—","Direction=H","UseDPDF=Y")</f>
        <v>—</v>
      </c>
    </row>
    <row r="49" spans="1:27" x14ac:dyDescent="0.25">
      <c r="A49" s="10" t="s">
        <v>863</v>
      </c>
      <c r="B49" s="10" t="s">
        <v>927</v>
      </c>
      <c r="C49" s="13">
        <f>_xll.BDH("AMGN US Equity","ARDR_INVENTORY","FQ4 2018","FQ4 2018","Currency=USD","Period=FQ","BEST_FPERIOD_OVERRIDE=FQ","FILING_STATUS=MR","SCALING_FORMAT=MLN","Sort=A","Dates=H","DateFormat=P","Fill=—","Direction=H","UseDPDF=Y")</f>
        <v>2940</v>
      </c>
      <c r="D49" s="13">
        <f>_xll.BDH("AMGN US Equity","ARDR_INVENTORY","FQ1 2019","FQ1 2019","Currency=USD","Period=FQ","BEST_FPERIOD_OVERRIDE=FQ","FILING_STATUS=MR","SCALING_FORMAT=MLN","Sort=A","Dates=H","DateFormat=P","Fill=—","Direction=H","UseDPDF=Y")</f>
        <v>3016</v>
      </c>
      <c r="E49" s="13">
        <f>_xll.BDH("AMGN US Equity","ARDR_INVENTORY","FQ2 2019","FQ2 2019","Currency=USD","Period=FQ","BEST_FPERIOD_OVERRIDE=FQ","FILING_STATUS=MR","SCALING_FORMAT=MLN","Sort=A","Dates=H","DateFormat=P","Fill=—","Direction=H","UseDPDF=Y")</f>
        <v>3176</v>
      </c>
      <c r="F49" s="13">
        <f>_xll.BDH("AMGN US Equity","ARDR_INVENTORY","FQ3 2019","FQ3 2019","Currency=USD","Period=FQ","BEST_FPERIOD_OVERRIDE=FQ","FILING_STATUS=MR","SCALING_FORMAT=MLN","Sort=A","Dates=H","DateFormat=P","Fill=—","Direction=H","UseDPDF=Y")</f>
        <v>3243</v>
      </c>
      <c r="G49" s="13">
        <f>_xll.BDH("AMGN US Equity","ARDR_INVENTORY","FQ4 2019","FQ4 2019","Currency=USD","Period=FQ","BEST_FPERIOD_OVERRIDE=FQ","FILING_STATUS=MR","SCALING_FORMAT=MLN","Sort=A","Dates=H","DateFormat=P","Fill=—","Direction=H","UseDPDF=Y")</f>
        <v>3584</v>
      </c>
      <c r="H49" s="13">
        <f>_xll.BDH("AMGN US Equity","ARDR_INVENTORY","FQ1 2020","FQ1 2020","Currency=USD","Period=FQ","BEST_FPERIOD_OVERRIDE=FQ","FILING_STATUS=MR","SCALING_FORMAT=MLN","Sort=A","Dates=H","DateFormat=P","Fill=—","Direction=H","UseDPDF=Y")</f>
        <v>3682</v>
      </c>
      <c r="I49" s="13">
        <f>_xll.BDH("AMGN US Equity","ARDR_INVENTORY","FQ2 2020","FQ2 2020","Currency=USD","Period=FQ","BEST_FPERIOD_OVERRIDE=FQ","FILING_STATUS=MR","SCALING_FORMAT=MLN","Sort=A","Dates=H","DateFormat=P","Fill=—","Direction=H","UseDPDF=Y")</f>
        <v>3840</v>
      </c>
      <c r="J49" s="13">
        <f>_xll.BDH("AMGN US Equity","ARDR_INVENTORY","FQ3 2020","FQ3 2020","Currency=USD","Period=FQ","BEST_FPERIOD_OVERRIDE=FQ","FILING_STATUS=MR","SCALING_FORMAT=MLN","Sort=A","Dates=H","DateFormat=P","Fill=—","Direction=H","UseDPDF=Y")</f>
        <v>3942</v>
      </c>
      <c r="K49" s="13">
        <f>_xll.BDH("AMGN US Equity","ARDR_INVENTORY","FQ4 2020","FQ4 2020","Currency=USD","Period=FQ","BEST_FPERIOD_OVERRIDE=FQ","FILING_STATUS=MR","SCALING_FORMAT=MLN","Sort=A","Dates=H","DateFormat=P","Fill=—","Direction=H","UseDPDF=Y")</f>
        <v>3893</v>
      </c>
      <c r="L49" s="13">
        <f>_xll.BDH("AMGN US Equity","ARDR_INVENTORY","FQ1 2021","FQ1 2021","Currency=USD","Period=FQ","BEST_FPERIOD_OVERRIDE=FQ","FILING_STATUS=MR","SCALING_FORMAT=MLN","Sort=A","Dates=H","DateFormat=P","Fill=—","Direction=H","UseDPDF=Y")</f>
        <v>4017</v>
      </c>
      <c r="M49" s="13">
        <f>_xll.BDH("AMGN US Equity","ARDR_INVENTORY","FQ2 2021","FQ2 2021","Currency=USD","Period=FQ","BEST_FPERIOD_OVERRIDE=FQ","FILING_STATUS=MR","SCALING_FORMAT=MLN","Sort=A","Dates=H","DateFormat=P","Fill=—","Direction=H","UseDPDF=Y")</f>
        <v>4115</v>
      </c>
      <c r="N49" s="13">
        <f>_xll.BDH("AMGN US Equity","ARDR_INVENTORY","FQ3 2021","FQ3 2021","Currency=USD","Period=FQ","BEST_FPERIOD_OVERRIDE=FQ","FILING_STATUS=MR","SCALING_FORMAT=MLN","Sort=A","Dates=H","DateFormat=P","Fill=—","Direction=H","UseDPDF=Y")</f>
        <v>4152</v>
      </c>
      <c r="O49" s="13">
        <f>_xll.BDH("AMGN US Equity","ARDR_INVENTORY","FQ4 2021","FQ4 2021","Currency=USD","Period=FQ","BEST_FPERIOD_OVERRIDE=FQ","FILING_STATUS=MR","SCALING_FORMAT=MLN","Sort=A","Dates=H","DateFormat=P","Fill=—","Direction=H","UseDPDF=Y")</f>
        <v>4086</v>
      </c>
      <c r="P49" s="13">
        <f>_xll.BDH("AMGN US Equity","ARDR_INVENTORY","FQ1 2022","FQ1 2022","Currency=USD","Period=FQ","BEST_FPERIOD_OVERRIDE=FQ","FILING_STATUS=MR","SCALING_FORMAT=MLN","Sort=A","Dates=H","DateFormat=P","Fill=—","Direction=H","UseDPDF=Y")</f>
        <v>4411</v>
      </c>
      <c r="Q49" s="13">
        <f>_xll.BDH("AMGN US Equity","ARDR_INVENTORY","FQ2 2022","FQ2 2022","Currency=USD","Period=FQ","BEST_FPERIOD_OVERRIDE=FQ","FILING_STATUS=MR","SCALING_FORMAT=MLN","Sort=A","Dates=H","DateFormat=P","Fill=—","Direction=H","UseDPDF=Y")</f>
        <v>4554</v>
      </c>
      <c r="R49" s="13">
        <f>_xll.BDH("AMGN US Equity","ARDR_INVENTORY","FQ3 2022","FQ3 2022","Currency=USD","Period=FQ","BEST_FPERIOD_OVERRIDE=FQ","FILING_STATUS=MR","SCALING_FORMAT=MLN","Sort=A","Dates=H","DateFormat=P","Fill=—","Direction=H","UseDPDF=Y")</f>
        <v>4757</v>
      </c>
      <c r="S49" s="13">
        <f>_xll.BDH("AMGN US Equity","ARDR_INVENTORY","FQ4 2022","FQ4 2022","Currency=USD","Period=FQ","BEST_FPERIOD_OVERRIDE=FQ","FILING_STATUS=MR","SCALING_FORMAT=MLN","Sort=A","Dates=H","DateFormat=P","Fill=—","Direction=H","UseDPDF=Y")</f>
        <v>4930</v>
      </c>
      <c r="T49" s="13">
        <f>_xll.BDH("AMGN US Equity","ARDR_INVENTORY","FQ1 2023","FQ1 2023","Currency=USD","Period=FQ","BEST_FPERIOD_OVERRIDE=FQ","FILING_STATUS=MR","SCALING_FORMAT=MLN","Sort=A","Dates=H","DateFormat=P","Fill=—","Direction=H","UseDPDF=Y")</f>
        <v>5011</v>
      </c>
      <c r="U49" s="13">
        <f>_xll.BDH("AMGN US Equity","ARDR_INVENTORY","FQ2 2023","FQ2 2023","Currency=USD","Period=FQ","BEST_FPERIOD_OVERRIDE=FQ","FILING_STATUS=MR","SCALING_FORMAT=MLN","Sort=A","Dates=H","DateFormat=P","Fill=—","Direction=H","UseDPDF=Y")</f>
        <v>4978</v>
      </c>
      <c r="V49" s="13">
        <f>_xll.BDH("AMGN US Equity","ARDR_INVENTORY","FQ3 2023","FQ3 2023","Currency=USD","Period=FQ","BEST_FPERIOD_OVERRIDE=FQ","FILING_STATUS=MR","SCALING_FORMAT=MLN","Sort=A","Dates=H","DateFormat=P","Fill=—","Direction=H","UseDPDF=Y")</f>
        <v>5026</v>
      </c>
      <c r="W49" s="13">
        <f>_xll.BDH("AMGN US Equity","ARDR_INVENTORY","FQ4 2023","FQ4 2023","Currency=USD","Period=FQ","BEST_FPERIOD_OVERRIDE=FQ","FILING_STATUS=MR","SCALING_FORMAT=MLN","Sort=A","Dates=H","DateFormat=P","Fill=—","Direction=H","UseDPDF=Y")</f>
        <v>9518</v>
      </c>
      <c r="X49" s="13">
        <f>_xll.BDH("AMGN US Equity","ARDR_INVENTORY","FQ1 2024","FQ1 2024","Currency=USD","Period=FQ","BEST_FPERIOD_OVERRIDE=FQ","FILING_STATUS=MR","SCALING_FORMAT=MLN","Sort=A","Dates=H","DateFormat=P","Fill=—","Direction=H","UseDPDF=Y")</f>
        <v>8724</v>
      </c>
      <c r="Y49" s="13">
        <f>_xll.BDH("AMGN US Equity","ARDR_INVENTORY","FQ2 2024","FQ2 2024","Currency=USD","Period=FQ","BEST_FPERIOD_OVERRIDE=FQ","FILING_STATUS=MR","SCALING_FORMAT=MLN","Sort=A","Dates=H","DateFormat=P","Fill=—","Direction=H","UseDPDF=Y")</f>
        <v>7995</v>
      </c>
      <c r="Z49" s="13">
        <f>_xll.BDH("AMGN US Equity","ARDR_INVENTORY","FQ3 2024","FQ3 2024","Currency=USD","Period=FQ","BEST_FPERIOD_OVERRIDE=FQ","FILING_STATUS=MR","SCALING_FORMAT=MLN","Sort=A","Dates=H","DateFormat=P","Fill=—","Direction=H","UseDPDF=Y")</f>
        <v>7362</v>
      </c>
      <c r="AA49" s="13">
        <f>_xll.BDH("AMGN US Equity","ARDR_INVENTORY","FQ4 2024","FQ4 2024","Currency=USD","Period=FQ","BEST_FPERIOD_OVERRIDE=FQ","FILING_STATUS=MR","SCALING_FORMAT=MLN","Sort=A","Dates=H","DateFormat=P","Fill=—","Direction=H","UseDPDF=Y")</f>
        <v>6998</v>
      </c>
    </row>
    <row r="50" spans="1:27" x14ac:dyDescent="0.25">
      <c r="A50" s="10" t="s">
        <v>928</v>
      </c>
      <c r="B50" s="10" t="s">
        <v>929</v>
      </c>
      <c r="C50" s="13">
        <f>_xll.BDH("AMGN US Equity","ARDR_LAND","FQ4 2018","FQ4 2018","Currency=USD","Period=FQ","BEST_FPERIOD_OVERRIDE=FQ","FILING_STATUS=MR","SCALING_FORMAT=MLN","Sort=A","Dates=H","DateFormat=P","Fill=—","Direction=H","UseDPDF=Y")</f>
        <v>265</v>
      </c>
      <c r="D50" s="13" t="str">
        <f>_xll.BDH("AMGN US Equity","ARDR_LAND","FQ1 2019","FQ1 2019","Currency=USD","Period=FQ","BEST_FPERIOD_OVERRIDE=FQ","FILING_STATUS=MR","SCALING_FORMAT=MLN","Sort=A","Dates=H","DateFormat=P","Fill=—","Direction=H","UseDPDF=Y")</f>
        <v>—</v>
      </c>
      <c r="E50" s="13" t="str">
        <f>_xll.BDH("AMGN US Equity","ARDR_LAND","FQ2 2019","FQ2 2019","Currency=USD","Period=FQ","BEST_FPERIOD_OVERRIDE=FQ","FILING_STATUS=MR","SCALING_FORMAT=MLN","Sort=A","Dates=H","DateFormat=P","Fill=—","Direction=H","UseDPDF=Y")</f>
        <v>—</v>
      </c>
      <c r="F50" s="13" t="str">
        <f>_xll.BDH("AMGN US Equity","ARDR_LAND","FQ3 2019","FQ3 2019","Currency=USD","Period=FQ","BEST_FPERIOD_OVERRIDE=FQ","FILING_STATUS=MR","SCALING_FORMAT=MLN","Sort=A","Dates=H","DateFormat=P","Fill=—","Direction=H","UseDPDF=Y")</f>
        <v>—</v>
      </c>
      <c r="G50" s="13">
        <f>_xll.BDH("AMGN US Equity","ARDR_LAND","FQ4 2019","FQ4 2019","Currency=USD","Period=FQ","BEST_FPERIOD_OVERRIDE=FQ","FILING_STATUS=MR","SCALING_FORMAT=MLN","Sort=A","Dates=H","DateFormat=P","Fill=—","Direction=H","UseDPDF=Y")</f>
        <v>263</v>
      </c>
      <c r="H50" s="13" t="str">
        <f>_xll.BDH("AMGN US Equity","ARDR_LAND","FQ1 2020","FQ1 2020","Currency=USD","Period=FQ","BEST_FPERIOD_OVERRIDE=FQ","FILING_STATUS=MR","SCALING_FORMAT=MLN","Sort=A","Dates=H","DateFormat=P","Fill=—","Direction=H","UseDPDF=Y")</f>
        <v>—</v>
      </c>
      <c r="I50" s="13" t="str">
        <f>_xll.BDH("AMGN US Equity","ARDR_LAND","FQ2 2020","FQ2 2020","Currency=USD","Period=FQ","BEST_FPERIOD_OVERRIDE=FQ","FILING_STATUS=MR","SCALING_FORMAT=MLN","Sort=A","Dates=H","DateFormat=P","Fill=—","Direction=H","UseDPDF=Y")</f>
        <v>—</v>
      </c>
      <c r="J50" s="13" t="str">
        <f>_xll.BDH("AMGN US Equity","ARDR_LAND","FQ3 2020","FQ3 2020","Currency=USD","Period=FQ","BEST_FPERIOD_OVERRIDE=FQ","FILING_STATUS=MR","SCALING_FORMAT=MLN","Sort=A","Dates=H","DateFormat=P","Fill=—","Direction=H","UseDPDF=Y")</f>
        <v>—</v>
      </c>
      <c r="K50" s="13">
        <f>_xll.BDH("AMGN US Equity","ARDR_LAND","FQ4 2020","FQ4 2020","Currency=USD","Period=FQ","BEST_FPERIOD_OVERRIDE=FQ","FILING_STATUS=MR","SCALING_FORMAT=MLN","Sort=A","Dates=H","DateFormat=P","Fill=—","Direction=H","UseDPDF=Y")</f>
        <v>259</v>
      </c>
      <c r="L50" s="13" t="str">
        <f>_xll.BDH("AMGN US Equity","ARDR_LAND","FQ1 2021","FQ1 2021","Currency=USD","Period=FQ","BEST_FPERIOD_OVERRIDE=FQ","FILING_STATUS=MR","SCALING_FORMAT=MLN","Sort=A","Dates=H","DateFormat=P","Fill=—","Direction=H","UseDPDF=Y")</f>
        <v>—</v>
      </c>
      <c r="M50" s="13" t="str">
        <f>_xll.BDH("AMGN US Equity","ARDR_LAND","FQ2 2021","FQ2 2021","Currency=USD","Period=FQ","BEST_FPERIOD_OVERRIDE=FQ","FILING_STATUS=MR","SCALING_FORMAT=MLN","Sort=A","Dates=H","DateFormat=P","Fill=—","Direction=H","UseDPDF=Y")</f>
        <v>—</v>
      </c>
      <c r="N50" s="13" t="str">
        <f>_xll.BDH("AMGN US Equity","ARDR_LAND","FQ3 2021","FQ3 2021","Currency=USD","Period=FQ","BEST_FPERIOD_OVERRIDE=FQ","FILING_STATUS=MR","SCALING_FORMAT=MLN","Sort=A","Dates=H","DateFormat=P","Fill=—","Direction=H","UseDPDF=Y")</f>
        <v>—</v>
      </c>
      <c r="O50" s="13">
        <f>_xll.BDH("AMGN US Equity","ARDR_LAND","FQ4 2021","FQ4 2021","Currency=USD","Period=FQ","BEST_FPERIOD_OVERRIDE=FQ","FILING_STATUS=MR","SCALING_FORMAT=MLN","Sort=A","Dates=H","DateFormat=P","Fill=—","Direction=H","UseDPDF=Y")</f>
        <v>279</v>
      </c>
      <c r="P50" s="13" t="str">
        <f>_xll.BDH("AMGN US Equity","ARDR_LAND","FQ1 2022","FQ1 2022","Currency=USD","Period=FQ","BEST_FPERIOD_OVERRIDE=FQ","FILING_STATUS=MR","SCALING_FORMAT=MLN","Sort=A","Dates=H","DateFormat=P","Fill=—","Direction=H","UseDPDF=Y")</f>
        <v>—</v>
      </c>
      <c r="Q50" s="13" t="str">
        <f>_xll.BDH("AMGN US Equity","ARDR_LAND","FQ2 2022","FQ2 2022","Currency=USD","Period=FQ","BEST_FPERIOD_OVERRIDE=FQ","FILING_STATUS=MR","SCALING_FORMAT=MLN","Sort=A","Dates=H","DateFormat=P","Fill=—","Direction=H","UseDPDF=Y")</f>
        <v>—</v>
      </c>
      <c r="R50" s="13" t="str">
        <f>_xll.BDH("AMGN US Equity","ARDR_LAND","FQ3 2022","FQ3 2022","Currency=USD","Period=FQ","BEST_FPERIOD_OVERRIDE=FQ","FILING_STATUS=MR","SCALING_FORMAT=MLN","Sort=A","Dates=H","DateFormat=P","Fill=—","Direction=H","UseDPDF=Y")</f>
        <v>—</v>
      </c>
      <c r="S50" s="13">
        <f>_xll.BDH("AMGN US Equity","ARDR_LAND","FQ4 2022","FQ4 2022","Currency=USD","Period=FQ","BEST_FPERIOD_OVERRIDE=FQ","FILING_STATUS=MR","SCALING_FORMAT=MLN","Sort=A","Dates=H","DateFormat=P","Fill=—","Direction=H","UseDPDF=Y")</f>
        <v>292</v>
      </c>
      <c r="T50" s="13" t="str">
        <f>_xll.BDH("AMGN US Equity","ARDR_LAND","FQ1 2023","FQ1 2023","Currency=USD","Period=FQ","BEST_FPERIOD_OVERRIDE=FQ","FILING_STATUS=MR","SCALING_FORMAT=MLN","Sort=A","Dates=H","DateFormat=P","Fill=—","Direction=H","UseDPDF=Y")</f>
        <v>—</v>
      </c>
      <c r="U50" s="13" t="str">
        <f>_xll.BDH("AMGN US Equity","ARDR_LAND","FQ2 2023","FQ2 2023","Currency=USD","Period=FQ","BEST_FPERIOD_OVERRIDE=FQ","FILING_STATUS=MR","SCALING_FORMAT=MLN","Sort=A","Dates=H","DateFormat=P","Fill=—","Direction=H","UseDPDF=Y")</f>
        <v>—</v>
      </c>
      <c r="V50" s="13" t="str">
        <f>_xll.BDH("AMGN US Equity","ARDR_LAND","FQ3 2023","FQ3 2023","Currency=USD","Period=FQ","BEST_FPERIOD_OVERRIDE=FQ","FILING_STATUS=MR","SCALING_FORMAT=MLN","Sort=A","Dates=H","DateFormat=P","Fill=—","Direction=H","UseDPDF=Y")</f>
        <v>—</v>
      </c>
      <c r="W50" s="13">
        <f>_xll.BDH("AMGN US Equity","ARDR_LAND","FQ4 2023","FQ4 2023","Currency=USD","Period=FQ","BEST_FPERIOD_OVERRIDE=FQ","FILING_STATUS=MR","SCALING_FORMAT=MLN","Sort=A","Dates=H","DateFormat=P","Fill=—","Direction=H","UseDPDF=Y")</f>
        <v>339</v>
      </c>
      <c r="X50" s="13" t="str">
        <f>_xll.BDH("AMGN US Equity","ARDR_LAND","FQ1 2024","FQ1 2024","Currency=USD","Period=FQ","BEST_FPERIOD_OVERRIDE=FQ","FILING_STATUS=MR","SCALING_FORMAT=MLN","Sort=A","Dates=H","DateFormat=P","Fill=—","Direction=H","UseDPDF=Y")</f>
        <v>—</v>
      </c>
      <c r="Y50" s="13" t="str">
        <f>_xll.BDH("AMGN US Equity","ARDR_LAND","FQ2 2024","FQ2 2024","Currency=USD","Period=FQ","BEST_FPERIOD_OVERRIDE=FQ","FILING_STATUS=MR","SCALING_FORMAT=MLN","Sort=A","Dates=H","DateFormat=P","Fill=—","Direction=H","UseDPDF=Y")</f>
        <v>—</v>
      </c>
      <c r="Z50" s="13" t="str">
        <f>_xll.BDH("AMGN US Equity","ARDR_LAND","FQ3 2024","FQ3 2024","Currency=USD","Period=FQ","BEST_FPERIOD_OVERRIDE=FQ","FILING_STATUS=MR","SCALING_FORMAT=MLN","Sort=A","Dates=H","DateFormat=P","Fill=—","Direction=H","UseDPDF=Y")</f>
        <v>—</v>
      </c>
      <c r="AA50" s="13">
        <f>_xll.BDH("AMGN US Equity","ARDR_LAND","FQ4 2024","FQ4 2024","Currency=USD","Period=FQ","BEST_FPERIOD_OVERRIDE=FQ","FILING_STATUS=MR","SCALING_FORMAT=MLN","Sort=A","Dates=H","DateFormat=P","Fill=—","Direction=H","UseDPDF=Y")</f>
        <v>346</v>
      </c>
    </row>
    <row r="51" spans="1:27" x14ac:dyDescent="0.25">
      <c r="A51" s="10" t="s">
        <v>930</v>
      </c>
      <c r="B51" s="10" t="s">
        <v>931</v>
      </c>
      <c r="C51" s="13">
        <f>_xll.BDH("AMGN US Equity","ARDR_BUILDING","FQ4 2018","FQ4 2018","Currency=USD","Period=FQ","BEST_FPERIOD_OVERRIDE=FQ","FILING_STATUS=MR","SCALING_FORMAT=MLN","Sort=A","Dates=H","DateFormat=P","Fill=—","Direction=H","UseDPDF=Y")</f>
        <v>3616</v>
      </c>
      <c r="D51" s="13" t="str">
        <f>_xll.BDH("AMGN US Equity","ARDR_BUILDING","FQ1 2019","FQ1 2019","Currency=USD","Period=FQ","BEST_FPERIOD_OVERRIDE=FQ","FILING_STATUS=MR","SCALING_FORMAT=MLN","Sort=A","Dates=H","DateFormat=P","Fill=—","Direction=H","UseDPDF=Y")</f>
        <v>—</v>
      </c>
      <c r="E51" s="13" t="str">
        <f>_xll.BDH("AMGN US Equity","ARDR_BUILDING","FQ2 2019","FQ2 2019","Currency=USD","Period=FQ","BEST_FPERIOD_OVERRIDE=FQ","FILING_STATUS=MR","SCALING_FORMAT=MLN","Sort=A","Dates=H","DateFormat=P","Fill=—","Direction=H","UseDPDF=Y")</f>
        <v>—</v>
      </c>
      <c r="F51" s="13" t="str">
        <f>_xll.BDH("AMGN US Equity","ARDR_BUILDING","FQ3 2019","FQ3 2019","Currency=USD","Period=FQ","BEST_FPERIOD_OVERRIDE=FQ","FILING_STATUS=MR","SCALING_FORMAT=MLN","Sort=A","Dates=H","DateFormat=P","Fill=—","Direction=H","UseDPDF=Y")</f>
        <v>—</v>
      </c>
      <c r="G51" s="13">
        <f>_xll.BDH("AMGN US Equity","ARDR_BUILDING","FQ4 2019","FQ4 2019","Currency=USD","Period=FQ","BEST_FPERIOD_OVERRIDE=FQ","FILING_STATUS=MR","SCALING_FORMAT=MLN","Sort=A","Dates=H","DateFormat=P","Fill=—","Direction=H","UseDPDF=Y")</f>
        <v>3757</v>
      </c>
      <c r="H51" s="13" t="str">
        <f>_xll.BDH("AMGN US Equity","ARDR_BUILDING","FQ1 2020","FQ1 2020","Currency=USD","Period=FQ","BEST_FPERIOD_OVERRIDE=FQ","FILING_STATUS=MR","SCALING_FORMAT=MLN","Sort=A","Dates=H","DateFormat=P","Fill=—","Direction=H","UseDPDF=Y")</f>
        <v>—</v>
      </c>
      <c r="I51" s="13" t="str">
        <f>_xll.BDH("AMGN US Equity","ARDR_BUILDING","FQ2 2020","FQ2 2020","Currency=USD","Period=FQ","BEST_FPERIOD_OVERRIDE=FQ","FILING_STATUS=MR","SCALING_FORMAT=MLN","Sort=A","Dates=H","DateFormat=P","Fill=—","Direction=H","UseDPDF=Y")</f>
        <v>—</v>
      </c>
      <c r="J51" s="13" t="str">
        <f>_xll.BDH("AMGN US Equity","ARDR_BUILDING","FQ3 2020","FQ3 2020","Currency=USD","Period=FQ","BEST_FPERIOD_OVERRIDE=FQ","FILING_STATUS=MR","SCALING_FORMAT=MLN","Sort=A","Dates=H","DateFormat=P","Fill=—","Direction=H","UseDPDF=Y")</f>
        <v>—</v>
      </c>
      <c r="K51" s="13">
        <f>_xll.BDH("AMGN US Equity","ARDR_BUILDING","FQ4 2020","FQ4 2020","Currency=USD","Period=FQ","BEST_FPERIOD_OVERRIDE=FQ","FILING_STATUS=MR","SCALING_FORMAT=MLN","Sort=A","Dates=H","DateFormat=P","Fill=—","Direction=H","UseDPDF=Y")</f>
        <v>3857</v>
      </c>
      <c r="L51" s="13" t="str">
        <f>_xll.BDH("AMGN US Equity","ARDR_BUILDING","FQ1 2021","FQ1 2021","Currency=USD","Period=FQ","BEST_FPERIOD_OVERRIDE=FQ","FILING_STATUS=MR","SCALING_FORMAT=MLN","Sort=A","Dates=H","DateFormat=P","Fill=—","Direction=H","UseDPDF=Y")</f>
        <v>—</v>
      </c>
      <c r="M51" s="13" t="str">
        <f>_xll.BDH("AMGN US Equity","ARDR_BUILDING","FQ2 2021","FQ2 2021","Currency=USD","Period=FQ","BEST_FPERIOD_OVERRIDE=FQ","FILING_STATUS=MR","SCALING_FORMAT=MLN","Sort=A","Dates=H","DateFormat=P","Fill=—","Direction=H","UseDPDF=Y")</f>
        <v>—</v>
      </c>
      <c r="N51" s="13" t="str">
        <f>_xll.BDH("AMGN US Equity","ARDR_BUILDING","FQ3 2021","FQ3 2021","Currency=USD","Period=FQ","BEST_FPERIOD_OVERRIDE=FQ","FILING_STATUS=MR","SCALING_FORMAT=MLN","Sort=A","Dates=H","DateFormat=P","Fill=—","Direction=H","UseDPDF=Y")</f>
        <v>—</v>
      </c>
      <c r="O51" s="13">
        <f>_xll.BDH("AMGN US Equity","ARDR_BUILDING","FQ4 2021","FQ4 2021","Currency=USD","Period=FQ","BEST_FPERIOD_OVERRIDE=FQ","FILING_STATUS=MR","SCALING_FORMAT=MLN","Sort=A","Dates=H","DateFormat=P","Fill=—","Direction=H","UseDPDF=Y")</f>
        <v>4028</v>
      </c>
      <c r="P51" s="13" t="str">
        <f>_xll.BDH("AMGN US Equity","ARDR_BUILDING","FQ1 2022","FQ1 2022","Currency=USD","Period=FQ","BEST_FPERIOD_OVERRIDE=FQ","FILING_STATUS=MR","SCALING_FORMAT=MLN","Sort=A","Dates=H","DateFormat=P","Fill=—","Direction=H","UseDPDF=Y")</f>
        <v>—</v>
      </c>
      <c r="Q51" s="13" t="str">
        <f>_xll.BDH("AMGN US Equity","ARDR_BUILDING","FQ2 2022","FQ2 2022","Currency=USD","Period=FQ","BEST_FPERIOD_OVERRIDE=FQ","FILING_STATUS=MR","SCALING_FORMAT=MLN","Sort=A","Dates=H","DateFormat=P","Fill=—","Direction=H","UseDPDF=Y")</f>
        <v>—</v>
      </c>
      <c r="R51" s="13" t="str">
        <f>_xll.BDH("AMGN US Equity","ARDR_BUILDING","FQ3 2022","FQ3 2022","Currency=USD","Period=FQ","BEST_FPERIOD_OVERRIDE=FQ","FILING_STATUS=MR","SCALING_FORMAT=MLN","Sort=A","Dates=H","DateFormat=P","Fill=—","Direction=H","UseDPDF=Y")</f>
        <v>—</v>
      </c>
      <c r="S51" s="13">
        <f>_xll.BDH("AMGN US Equity","ARDR_BUILDING","FQ4 2022","FQ4 2022","Currency=USD","Period=FQ","BEST_FPERIOD_OVERRIDE=FQ","FILING_STATUS=MR","SCALING_FORMAT=MLN","Sort=A","Dates=H","DateFormat=P","Fill=—","Direction=H","UseDPDF=Y")</f>
        <v>4201</v>
      </c>
      <c r="T51" s="13" t="str">
        <f>_xll.BDH("AMGN US Equity","ARDR_BUILDING","FQ1 2023","FQ1 2023","Currency=USD","Period=FQ","BEST_FPERIOD_OVERRIDE=FQ","FILING_STATUS=MR","SCALING_FORMAT=MLN","Sort=A","Dates=H","DateFormat=P","Fill=—","Direction=H","UseDPDF=Y")</f>
        <v>—</v>
      </c>
      <c r="U51" s="13" t="str">
        <f>_xll.BDH("AMGN US Equity","ARDR_BUILDING","FQ2 2023","FQ2 2023","Currency=USD","Period=FQ","BEST_FPERIOD_OVERRIDE=FQ","FILING_STATUS=MR","SCALING_FORMAT=MLN","Sort=A","Dates=H","DateFormat=P","Fill=—","Direction=H","UseDPDF=Y")</f>
        <v>—</v>
      </c>
      <c r="V51" s="13" t="str">
        <f>_xll.BDH("AMGN US Equity","ARDR_BUILDING","FQ3 2023","FQ3 2023","Currency=USD","Period=FQ","BEST_FPERIOD_OVERRIDE=FQ","FILING_STATUS=MR","SCALING_FORMAT=MLN","Sort=A","Dates=H","DateFormat=P","Fill=—","Direction=H","UseDPDF=Y")</f>
        <v>—</v>
      </c>
      <c r="W51" s="13">
        <f>_xll.BDH("AMGN US Equity","ARDR_BUILDING","FQ4 2023","FQ4 2023","Currency=USD","Period=FQ","BEST_FPERIOD_OVERRIDE=FQ","FILING_STATUS=MR","SCALING_FORMAT=MLN","Sort=A","Dates=H","DateFormat=P","Fill=—","Direction=H","UseDPDF=Y")</f>
        <v>4507</v>
      </c>
      <c r="X51" s="13" t="str">
        <f>_xll.BDH("AMGN US Equity","ARDR_BUILDING","FQ1 2024","FQ1 2024","Currency=USD","Period=FQ","BEST_FPERIOD_OVERRIDE=FQ","FILING_STATUS=MR","SCALING_FORMAT=MLN","Sort=A","Dates=H","DateFormat=P","Fill=—","Direction=H","UseDPDF=Y")</f>
        <v>—</v>
      </c>
      <c r="Y51" s="13" t="str">
        <f>_xll.BDH("AMGN US Equity","ARDR_BUILDING","FQ2 2024","FQ2 2024","Currency=USD","Period=FQ","BEST_FPERIOD_OVERRIDE=FQ","FILING_STATUS=MR","SCALING_FORMAT=MLN","Sort=A","Dates=H","DateFormat=P","Fill=—","Direction=H","UseDPDF=Y")</f>
        <v>—</v>
      </c>
      <c r="Z51" s="13" t="str">
        <f>_xll.BDH("AMGN US Equity","ARDR_BUILDING","FQ3 2024","FQ3 2024","Currency=USD","Period=FQ","BEST_FPERIOD_OVERRIDE=FQ","FILING_STATUS=MR","SCALING_FORMAT=MLN","Sort=A","Dates=H","DateFormat=P","Fill=—","Direction=H","UseDPDF=Y")</f>
        <v>—</v>
      </c>
      <c r="AA51" s="13">
        <f>_xll.BDH("AMGN US Equity","ARDR_BUILDING","FQ4 2024","FQ4 2024","Currency=USD","Period=FQ","BEST_FPERIOD_OVERRIDE=FQ","FILING_STATUS=MR","SCALING_FORMAT=MLN","Sort=A","Dates=H","DateFormat=P","Fill=—","Direction=H","UseDPDF=Y")</f>
        <v>4803</v>
      </c>
    </row>
    <row r="52" spans="1:27" x14ac:dyDescent="0.25">
      <c r="A52" s="10" t="s">
        <v>932</v>
      </c>
      <c r="B52" s="10" t="s">
        <v>933</v>
      </c>
      <c r="C52" s="13">
        <f>_xll.BDH("AMGN US Equity","ARDR_CONSTRUCTION_IN_PROGRESS","FQ4 2018","FQ4 2018","Currency=USD","Period=FQ","BEST_FPERIOD_OVERRIDE=FQ","FILING_STATUS=MR","SCALING_FORMAT=MLN","Sort=A","Dates=H","DateFormat=P","Fill=—","Direction=H","UseDPDF=Y")</f>
        <v>953</v>
      </c>
      <c r="D52" s="13" t="str">
        <f>_xll.BDH("AMGN US Equity","ARDR_CONSTRUCTION_IN_PROGRESS","FQ1 2019","FQ1 2019","Currency=USD","Period=FQ","BEST_FPERIOD_OVERRIDE=FQ","FILING_STATUS=MR","SCALING_FORMAT=MLN","Sort=A","Dates=H","DateFormat=P","Fill=—","Direction=H","UseDPDF=Y")</f>
        <v>—</v>
      </c>
      <c r="E52" s="13" t="str">
        <f>_xll.BDH("AMGN US Equity","ARDR_CONSTRUCTION_IN_PROGRESS","FQ2 2019","FQ2 2019","Currency=USD","Period=FQ","BEST_FPERIOD_OVERRIDE=FQ","FILING_STATUS=MR","SCALING_FORMAT=MLN","Sort=A","Dates=H","DateFormat=P","Fill=—","Direction=H","UseDPDF=Y")</f>
        <v>—</v>
      </c>
      <c r="F52" s="13" t="str">
        <f>_xll.BDH("AMGN US Equity","ARDR_CONSTRUCTION_IN_PROGRESS","FQ3 2019","FQ3 2019","Currency=USD","Period=FQ","BEST_FPERIOD_OVERRIDE=FQ","FILING_STATUS=MR","SCALING_FORMAT=MLN","Sort=A","Dates=H","DateFormat=P","Fill=—","Direction=H","UseDPDF=Y")</f>
        <v>—</v>
      </c>
      <c r="G52" s="13">
        <f>_xll.BDH("AMGN US Equity","ARDR_CONSTRUCTION_IN_PROGRESS","FQ4 2019","FQ4 2019","Currency=USD","Period=FQ","BEST_FPERIOD_OVERRIDE=FQ","FILING_STATUS=MR","SCALING_FORMAT=MLN","Sort=A","Dates=H","DateFormat=P","Fill=—","Direction=H","UseDPDF=Y")</f>
        <v>907</v>
      </c>
      <c r="H52" s="13" t="str">
        <f>_xll.BDH("AMGN US Equity","ARDR_CONSTRUCTION_IN_PROGRESS","FQ1 2020","FQ1 2020","Currency=USD","Period=FQ","BEST_FPERIOD_OVERRIDE=FQ","FILING_STATUS=MR","SCALING_FORMAT=MLN","Sort=A","Dates=H","DateFormat=P","Fill=—","Direction=H","UseDPDF=Y")</f>
        <v>—</v>
      </c>
      <c r="I52" s="13" t="str">
        <f>_xll.BDH("AMGN US Equity","ARDR_CONSTRUCTION_IN_PROGRESS","FQ2 2020","FQ2 2020","Currency=USD","Period=FQ","BEST_FPERIOD_OVERRIDE=FQ","FILING_STATUS=MR","SCALING_FORMAT=MLN","Sort=A","Dates=H","DateFormat=P","Fill=—","Direction=H","UseDPDF=Y")</f>
        <v>—</v>
      </c>
      <c r="J52" s="13" t="str">
        <f>_xll.BDH("AMGN US Equity","ARDR_CONSTRUCTION_IN_PROGRESS","FQ3 2020","FQ3 2020","Currency=USD","Period=FQ","BEST_FPERIOD_OVERRIDE=FQ","FILING_STATUS=MR","SCALING_FORMAT=MLN","Sort=A","Dates=H","DateFormat=P","Fill=—","Direction=H","UseDPDF=Y")</f>
        <v>—</v>
      </c>
      <c r="K52" s="13">
        <f>_xll.BDH("AMGN US Equity","ARDR_CONSTRUCTION_IN_PROGRESS","FQ4 2020","FQ4 2020","Currency=USD","Period=FQ","BEST_FPERIOD_OVERRIDE=FQ","FILING_STATUS=MR","SCALING_FORMAT=MLN","Sort=A","Dates=H","DateFormat=P","Fill=—","Direction=H","UseDPDF=Y")</f>
        <v>915</v>
      </c>
      <c r="L52" s="13" t="str">
        <f>_xll.BDH("AMGN US Equity","ARDR_CONSTRUCTION_IN_PROGRESS","FQ1 2021","FQ1 2021","Currency=USD","Period=FQ","BEST_FPERIOD_OVERRIDE=FQ","FILING_STATUS=MR","SCALING_FORMAT=MLN","Sort=A","Dates=H","DateFormat=P","Fill=—","Direction=H","UseDPDF=Y")</f>
        <v>—</v>
      </c>
      <c r="M52" s="13" t="str">
        <f>_xll.BDH("AMGN US Equity","ARDR_CONSTRUCTION_IN_PROGRESS","FQ2 2021","FQ2 2021","Currency=USD","Period=FQ","BEST_FPERIOD_OVERRIDE=FQ","FILING_STATUS=MR","SCALING_FORMAT=MLN","Sort=A","Dates=H","DateFormat=P","Fill=—","Direction=H","UseDPDF=Y")</f>
        <v>—</v>
      </c>
      <c r="N52" s="13" t="str">
        <f>_xll.BDH("AMGN US Equity","ARDR_CONSTRUCTION_IN_PROGRESS","FQ3 2021","FQ3 2021","Currency=USD","Period=FQ","BEST_FPERIOD_OVERRIDE=FQ","FILING_STATUS=MR","SCALING_FORMAT=MLN","Sort=A","Dates=H","DateFormat=P","Fill=—","Direction=H","UseDPDF=Y")</f>
        <v>—</v>
      </c>
      <c r="O52" s="13">
        <f>_xll.BDH("AMGN US Equity","ARDR_CONSTRUCTION_IN_PROGRESS","FQ4 2021","FQ4 2021","Currency=USD","Period=FQ","BEST_FPERIOD_OVERRIDE=FQ","FILING_STATUS=MR","SCALING_FORMAT=MLN","Sort=A","Dates=H","DateFormat=P","Fill=—","Direction=H","UseDPDF=Y")</f>
        <v>987</v>
      </c>
      <c r="P52" s="13" t="str">
        <f>_xll.BDH("AMGN US Equity","ARDR_CONSTRUCTION_IN_PROGRESS","FQ1 2022","FQ1 2022","Currency=USD","Period=FQ","BEST_FPERIOD_OVERRIDE=FQ","FILING_STATUS=MR","SCALING_FORMAT=MLN","Sort=A","Dates=H","DateFormat=P","Fill=—","Direction=H","UseDPDF=Y")</f>
        <v>—</v>
      </c>
      <c r="Q52" s="13" t="str">
        <f>_xll.BDH("AMGN US Equity","ARDR_CONSTRUCTION_IN_PROGRESS","FQ2 2022","FQ2 2022","Currency=USD","Period=FQ","BEST_FPERIOD_OVERRIDE=FQ","FILING_STATUS=MR","SCALING_FORMAT=MLN","Sort=A","Dates=H","DateFormat=P","Fill=—","Direction=H","UseDPDF=Y")</f>
        <v>—</v>
      </c>
      <c r="R52" s="13" t="str">
        <f>_xll.BDH("AMGN US Equity","ARDR_CONSTRUCTION_IN_PROGRESS","FQ3 2022","FQ3 2022","Currency=USD","Period=FQ","BEST_FPERIOD_OVERRIDE=FQ","FILING_STATUS=MR","SCALING_FORMAT=MLN","Sort=A","Dates=H","DateFormat=P","Fill=—","Direction=H","UseDPDF=Y")</f>
        <v>—</v>
      </c>
      <c r="S52" s="13">
        <f>_xll.BDH("AMGN US Equity","ARDR_CONSTRUCTION_IN_PROGRESS","FQ4 2022","FQ4 2022","Currency=USD","Period=FQ","BEST_FPERIOD_OVERRIDE=FQ","FILING_STATUS=MR","SCALING_FORMAT=MLN","Sort=A","Dates=H","DateFormat=P","Fill=—","Direction=H","UseDPDF=Y")</f>
        <v>1213</v>
      </c>
      <c r="T52" s="13" t="str">
        <f>_xll.BDH("AMGN US Equity","ARDR_CONSTRUCTION_IN_PROGRESS","FQ1 2023","FQ1 2023","Currency=USD","Period=FQ","BEST_FPERIOD_OVERRIDE=FQ","FILING_STATUS=MR","SCALING_FORMAT=MLN","Sort=A","Dates=H","DateFormat=P","Fill=—","Direction=H","UseDPDF=Y")</f>
        <v>—</v>
      </c>
      <c r="U52" s="13" t="str">
        <f>_xll.BDH("AMGN US Equity","ARDR_CONSTRUCTION_IN_PROGRESS","FQ2 2023","FQ2 2023","Currency=USD","Period=FQ","BEST_FPERIOD_OVERRIDE=FQ","FILING_STATUS=MR","SCALING_FORMAT=MLN","Sort=A","Dates=H","DateFormat=P","Fill=—","Direction=H","UseDPDF=Y")</f>
        <v>—</v>
      </c>
      <c r="V52" s="13" t="str">
        <f>_xll.BDH("AMGN US Equity","ARDR_CONSTRUCTION_IN_PROGRESS","FQ3 2023","FQ3 2023","Currency=USD","Period=FQ","BEST_FPERIOD_OVERRIDE=FQ","FILING_STATUS=MR","SCALING_FORMAT=MLN","Sort=A","Dates=H","DateFormat=P","Fill=—","Direction=H","UseDPDF=Y")</f>
        <v>—</v>
      </c>
      <c r="W52" s="13">
        <f>_xll.BDH("AMGN US Equity","ARDR_CONSTRUCTION_IN_PROGRESS","FQ4 2023","FQ4 2023","Currency=USD","Period=FQ","BEST_FPERIOD_OVERRIDE=FQ","FILING_STATUS=MR","SCALING_FORMAT=MLN","Sort=A","Dates=H","DateFormat=P","Fill=—","Direction=H","UseDPDF=Y")</f>
        <v>1550</v>
      </c>
      <c r="X52" s="13" t="str">
        <f>_xll.BDH("AMGN US Equity","ARDR_CONSTRUCTION_IN_PROGRESS","FQ1 2024","FQ1 2024","Currency=USD","Period=FQ","BEST_FPERIOD_OVERRIDE=FQ","FILING_STATUS=MR","SCALING_FORMAT=MLN","Sort=A","Dates=H","DateFormat=P","Fill=—","Direction=H","UseDPDF=Y")</f>
        <v>—</v>
      </c>
      <c r="Y52" s="13" t="str">
        <f>_xll.BDH("AMGN US Equity","ARDR_CONSTRUCTION_IN_PROGRESS","FQ2 2024","FQ2 2024","Currency=USD","Period=FQ","BEST_FPERIOD_OVERRIDE=FQ","FILING_STATUS=MR","SCALING_FORMAT=MLN","Sort=A","Dates=H","DateFormat=P","Fill=—","Direction=H","UseDPDF=Y")</f>
        <v>—</v>
      </c>
      <c r="Z52" s="13" t="str">
        <f>_xll.BDH("AMGN US Equity","ARDR_CONSTRUCTION_IN_PROGRESS","FQ3 2024","FQ3 2024","Currency=USD","Period=FQ","BEST_FPERIOD_OVERRIDE=FQ","FILING_STATUS=MR","SCALING_FORMAT=MLN","Sort=A","Dates=H","DateFormat=P","Fill=—","Direction=H","UseDPDF=Y")</f>
        <v>—</v>
      </c>
      <c r="AA52" s="13">
        <f>_xll.BDH("AMGN US Equity","ARDR_CONSTRUCTION_IN_PROGRESS","FQ4 2024","FQ4 2024","Currency=USD","Period=FQ","BEST_FPERIOD_OVERRIDE=FQ","FILING_STATUS=MR","SCALING_FORMAT=MLN","Sort=A","Dates=H","DateFormat=P","Fill=—","Direction=H","UseDPDF=Y")</f>
        <v>2053</v>
      </c>
    </row>
    <row r="53" spans="1:27" x14ac:dyDescent="0.25">
      <c r="A53" s="10" t="s">
        <v>934</v>
      </c>
      <c r="B53" s="10" t="s">
        <v>935</v>
      </c>
      <c r="C53" s="13">
        <f>_xll.BDH("AMGN US Equity","ARDR_FURNITURE_MACHINERY_EQUIP","FQ4 2018","FQ4 2018","Currency=USD","Period=FQ","BEST_FPERIOD_OVERRIDE=FQ","FILING_STATUS=MR","SCALING_FORMAT=MLN","Sort=A","Dates=H","DateFormat=P","Fill=—","Direction=H","UseDPDF=Y")</f>
        <v>3592</v>
      </c>
      <c r="D53" s="13" t="str">
        <f>_xll.BDH("AMGN US Equity","ARDR_FURNITURE_MACHINERY_EQUIP","FQ1 2019","FQ1 2019","Currency=USD","Period=FQ","BEST_FPERIOD_OVERRIDE=FQ","FILING_STATUS=MR","SCALING_FORMAT=MLN","Sort=A","Dates=H","DateFormat=P","Fill=—","Direction=H","UseDPDF=Y")</f>
        <v>—</v>
      </c>
      <c r="E53" s="13" t="str">
        <f>_xll.BDH("AMGN US Equity","ARDR_FURNITURE_MACHINERY_EQUIP","FQ2 2019","FQ2 2019","Currency=USD","Period=FQ","BEST_FPERIOD_OVERRIDE=FQ","FILING_STATUS=MR","SCALING_FORMAT=MLN","Sort=A","Dates=H","DateFormat=P","Fill=—","Direction=H","UseDPDF=Y")</f>
        <v>—</v>
      </c>
      <c r="F53" s="13" t="str">
        <f>_xll.BDH("AMGN US Equity","ARDR_FURNITURE_MACHINERY_EQUIP","FQ3 2019","FQ3 2019","Currency=USD","Period=FQ","BEST_FPERIOD_OVERRIDE=FQ","FILING_STATUS=MR","SCALING_FORMAT=MLN","Sort=A","Dates=H","DateFormat=P","Fill=—","Direction=H","UseDPDF=Y")</f>
        <v>—</v>
      </c>
      <c r="G53" s="13">
        <f>_xll.BDH("AMGN US Equity","ARDR_FURNITURE_MACHINERY_EQUIP","FQ4 2019","FQ4 2019","Currency=USD","Period=FQ","BEST_FPERIOD_OVERRIDE=FQ","FILING_STATUS=MR","SCALING_FORMAT=MLN","Sort=A","Dates=H","DateFormat=P","Fill=—","Direction=H","UseDPDF=Y")</f>
        <v>3891</v>
      </c>
      <c r="H53" s="13" t="str">
        <f>_xll.BDH("AMGN US Equity","ARDR_FURNITURE_MACHINERY_EQUIP","FQ1 2020","FQ1 2020","Currency=USD","Period=FQ","BEST_FPERIOD_OVERRIDE=FQ","FILING_STATUS=MR","SCALING_FORMAT=MLN","Sort=A","Dates=H","DateFormat=P","Fill=—","Direction=H","UseDPDF=Y")</f>
        <v>—</v>
      </c>
      <c r="I53" s="13" t="str">
        <f>_xll.BDH("AMGN US Equity","ARDR_FURNITURE_MACHINERY_EQUIP","FQ2 2020","FQ2 2020","Currency=USD","Period=FQ","BEST_FPERIOD_OVERRIDE=FQ","FILING_STATUS=MR","SCALING_FORMAT=MLN","Sort=A","Dates=H","DateFormat=P","Fill=—","Direction=H","UseDPDF=Y")</f>
        <v>—</v>
      </c>
      <c r="J53" s="13" t="str">
        <f>_xll.BDH("AMGN US Equity","ARDR_FURNITURE_MACHINERY_EQUIP","FQ3 2020","FQ3 2020","Currency=USD","Period=FQ","BEST_FPERIOD_OVERRIDE=FQ","FILING_STATUS=MR","SCALING_FORMAT=MLN","Sort=A","Dates=H","DateFormat=P","Fill=—","Direction=H","UseDPDF=Y")</f>
        <v>—</v>
      </c>
      <c r="K53" s="13">
        <f>_xll.BDH("AMGN US Equity","ARDR_FURNITURE_MACHINERY_EQUIP","FQ4 2020","FQ4 2020","Currency=USD","Period=FQ","BEST_FPERIOD_OVERRIDE=FQ","FILING_STATUS=MR","SCALING_FORMAT=MLN","Sort=A","Dates=H","DateFormat=P","Fill=—","Direction=H","UseDPDF=Y")</f>
        <v>4122</v>
      </c>
      <c r="L53" s="13" t="str">
        <f>_xll.BDH("AMGN US Equity","ARDR_FURNITURE_MACHINERY_EQUIP","FQ1 2021","FQ1 2021","Currency=USD","Period=FQ","BEST_FPERIOD_OVERRIDE=FQ","FILING_STATUS=MR","SCALING_FORMAT=MLN","Sort=A","Dates=H","DateFormat=P","Fill=—","Direction=H","UseDPDF=Y")</f>
        <v>—</v>
      </c>
      <c r="M53" s="13" t="str">
        <f>_xll.BDH("AMGN US Equity","ARDR_FURNITURE_MACHINERY_EQUIP","FQ2 2021","FQ2 2021","Currency=USD","Period=FQ","BEST_FPERIOD_OVERRIDE=FQ","FILING_STATUS=MR","SCALING_FORMAT=MLN","Sort=A","Dates=H","DateFormat=P","Fill=—","Direction=H","UseDPDF=Y")</f>
        <v>—</v>
      </c>
      <c r="N53" s="13" t="str">
        <f>_xll.BDH("AMGN US Equity","ARDR_FURNITURE_MACHINERY_EQUIP","FQ3 2021","FQ3 2021","Currency=USD","Period=FQ","BEST_FPERIOD_OVERRIDE=FQ","FILING_STATUS=MR","SCALING_FORMAT=MLN","Sort=A","Dates=H","DateFormat=P","Fill=—","Direction=H","UseDPDF=Y")</f>
        <v>—</v>
      </c>
      <c r="O53" s="13">
        <f>_xll.BDH("AMGN US Equity","ARDR_FURNITURE_MACHINERY_EQUIP","FQ4 2021","FQ4 2021","Currency=USD","Period=FQ","BEST_FPERIOD_OVERRIDE=FQ","FILING_STATUS=MR","SCALING_FORMAT=MLN","Sort=A","Dates=H","DateFormat=P","Fill=—","Direction=H","UseDPDF=Y")</f>
        <v>4273</v>
      </c>
      <c r="P53" s="13" t="str">
        <f>_xll.BDH("AMGN US Equity","ARDR_FURNITURE_MACHINERY_EQUIP","FQ1 2022","FQ1 2022","Currency=USD","Period=FQ","BEST_FPERIOD_OVERRIDE=FQ","FILING_STATUS=MR","SCALING_FORMAT=MLN","Sort=A","Dates=H","DateFormat=P","Fill=—","Direction=H","UseDPDF=Y")</f>
        <v>—</v>
      </c>
      <c r="Q53" s="13" t="str">
        <f>_xll.BDH("AMGN US Equity","ARDR_FURNITURE_MACHINERY_EQUIP","FQ2 2022","FQ2 2022","Currency=USD","Period=FQ","BEST_FPERIOD_OVERRIDE=FQ","FILING_STATUS=MR","SCALING_FORMAT=MLN","Sort=A","Dates=H","DateFormat=P","Fill=—","Direction=H","UseDPDF=Y")</f>
        <v>—</v>
      </c>
      <c r="R53" s="13" t="str">
        <f>_xll.BDH("AMGN US Equity","ARDR_FURNITURE_MACHINERY_EQUIP","FQ3 2022","FQ3 2022","Currency=USD","Period=FQ","BEST_FPERIOD_OVERRIDE=FQ","FILING_STATUS=MR","SCALING_FORMAT=MLN","Sort=A","Dates=H","DateFormat=P","Fill=—","Direction=H","UseDPDF=Y")</f>
        <v>—</v>
      </c>
      <c r="S53" s="13">
        <f>_xll.BDH("AMGN US Equity","ARDR_FURNITURE_MACHINERY_EQUIP","FQ4 2022","FQ4 2022","Currency=USD","Period=FQ","BEST_FPERIOD_OVERRIDE=FQ","FILING_STATUS=MR","SCALING_FORMAT=MLN","Sort=A","Dates=H","DateFormat=P","Fill=—","Direction=H","UseDPDF=Y")</f>
        <v>4382</v>
      </c>
      <c r="T53" s="13" t="str">
        <f>_xll.BDH("AMGN US Equity","ARDR_FURNITURE_MACHINERY_EQUIP","FQ1 2023","FQ1 2023","Currency=USD","Period=FQ","BEST_FPERIOD_OVERRIDE=FQ","FILING_STATUS=MR","SCALING_FORMAT=MLN","Sort=A","Dates=H","DateFormat=P","Fill=—","Direction=H","UseDPDF=Y")</f>
        <v>—</v>
      </c>
      <c r="U53" s="13" t="str">
        <f>_xll.BDH("AMGN US Equity","ARDR_FURNITURE_MACHINERY_EQUIP","FQ2 2023","FQ2 2023","Currency=USD","Period=FQ","BEST_FPERIOD_OVERRIDE=FQ","FILING_STATUS=MR","SCALING_FORMAT=MLN","Sort=A","Dates=H","DateFormat=P","Fill=—","Direction=H","UseDPDF=Y")</f>
        <v>—</v>
      </c>
      <c r="V53" s="13" t="str">
        <f>_xll.BDH("AMGN US Equity","ARDR_FURNITURE_MACHINERY_EQUIP","FQ3 2023","FQ3 2023","Currency=USD","Period=FQ","BEST_FPERIOD_OVERRIDE=FQ","FILING_STATUS=MR","SCALING_FORMAT=MLN","Sort=A","Dates=H","DateFormat=P","Fill=—","Direction=H","UseDPDF=Y")</f>
        <v>—</v>
      </c>
      <c r="W53" s="13">
        <f>_xll.BDH("AMGN US Equity","ARDR_FURNITURE_MACHINERY_EQUIP","FQ4 2023","FQ4 2023","Currency=USD","Period=FQ","BEST_FPERIOD_OVERRIDE=FQ","FILING_STATUS=MR","SCALING_FORMAT=MLN","Sort=A","Dates=H","DateFormat=P","Fill=—","Direction=H","UseDPDF=Y")</f>
        <v>4566</v>
      </c>
      <c r="X53" s="13" t="str">
        <f>_xll.BDH("AMGN US Equity","ARDR_FURNITURE_MACHINERY_EQUIP","FQ1 2024","FQ1 2024","Currency=USD","Period=FQ","BEST_FPERIOD_OVERRIDE=FQ","FILING_STATUS=MR","SCALING_FORMAT=MLN","Sort=A","Dates=H","DateFormat=P","Fill=—","Direction=H","UseDPDF=Y")</f>
        <v>—</v>
      </c>
      <c r="Y53" s="13" t="str">
        <f>_xll.BDH("AMGN US Equity","ARDR_FURNITURE_MACHINERY_EQUIP","FQ2 2024","FQ2 2024","Currency=USD","Period=FQ","BEST_FPERIOD_OVERRIDE=FQ","FILING_STATUS=MR","SCALING_FORMAT=MLN","Sort=A","Dates=H","DateFormat=P","Fill=—","Direction=H","UseDPDF=Y")</f>
        <v>—</v>
      </c>
      <c r="Z53" s="13" t="str">
        <f>_xll.BDH("AMGN US Equity","ARDR_FURNITURE_MACHINERY_EQUIP","FQ3 2024","FQ3 2024","Currency=USD","Period=FQ","BEST_FPERIOD_OVERRIDE=FQ","FILING_STATUS=MR","SCALING_FORMAT=MLN","Sort=A","Dates=H","DateFormat=P","Fill=—","Direction=H","UseDPDF=Y")</f>
        <v>—</v>
      </c>
      <c r="AA53" s="13">
        <f>_xll.BDH("AMGN US Equity","ARDR_FURNITURE_MACHINERY_EQUIP","FQ4 2024","FQ4 2024","Currency=USD","Period=FQ","BEST_FPERIOD_OVERRIDE=FQ","FILING_STATUS=MR","SCALING_FORMAT=MLN","Sort=A","Dates=H","DateFormat=P","Fill=—","Direction=H","UseDPDF=Y")</f>
        <v>4636</v>
      </c>
    </row>
    <row r="54" spans="1:27" x14ac:dyDescent="0.25">
      <c r="A54" s="10" t="s">
        <v>936</v>
      </c>
      <c r="B54" s="10" t="s">
        <v>937</v>
      </c>
      <c r="C54" s="13">
        <f>_xll.BDH("AMGN US Equity","ARDR_PROPERTY_PLANT_EQUIP_GROSS","FQ4 2018","FQ4 2018","Currency=USD","Period=FQ","BEST_FPERIOD_OVERRIDE=FQ","FILING_STATUS=MR","SCALING_FORMAT=MLN","Sort=A","Dates=H","DateFormat=P","Fill=—","Direction=H","UseDPDF=Y")</f>
        <v>12754</v>
      </c>
      <c r="D54" s="13" t="str">
        <f>_xll.BDH("AMGN US Equity","ARDR_PROPERTY_PLANT_EQUIP_GROSS","FQ1 2019","FQ1 2019","Currency=USD","Period=FQ","BEST_FPERIOD_OVERRIDE=FQ","FILING_STATUS=MR","SCALING_FORMAT=MLN","Sort=A","Dates=H","DateFormat=P","Fill=—","Direction=H","UseDPDF=Y")</f>
        <v>—</v>
      </c>
      <c r="E54" s="13" t="str">
        <f>_xll.BDH("AMGN US Equity","ARDR_PROPERTY_PLANT_EQUIP_GROSS","FQ2 2019","FQ2 2019","Currency=USD","Period=FQ","BEST_FPERIOD_OVERRIDE=FQ","FILING_STATUS=MR","SCALING_FORMAT=MLN","Sort=A","Dates=H","DateFormat=P","Fill=—","Direction=H","UseDPDF=Y")</f>
        <v>—</v>
      </c>
      <c r="F54" s="13" t="str">
        <f>_xll.BDH("AMGN US Equity","ARDR_PROPERTY_PLANT_EQUIP_GROSS","FQ3 2019","FQ3 2019","Currency=USD","Period=FQ","BEST_FPERIOD_OVERRIDE=FQ","FILING_STATUS=MR","SCALING_FORMAT=MLN","Sort=A","Dates=H","DateFormat=P","Fill=—","Direction=H","UseDPDF=Y")</f>
        <v>—</v>
      </c>
      <c r="G54" s="13">
        <f>_xll.BDH("AMGN US Equity","ARDR_PROPERTY_PLANT_EQUIP_GROSS","FQ4 2019","FQ4 2019","Currency=USD","Period=FQ","BEST_FPERIOD_OVERRIDE=FQ","FILING_STATUS=MR","SCALING_FORMAT=MLN","Sort=A","Dates=H","DateFormat=P","Fill=—","Direction=H","UseDPDF=Y")</f>
        <v>13285</v>
      </c>
      <c r="H54" s="13" t="str">
        <f>_xll.BDH("AMGN US Equity","ARDR_PROPERTY_PLANT_EQUIP_GROSS","FQ1 2020","FQ1 2020","Currency=USD","Period=FQ","BEST_FPERIOD_OVERRIDE=FQ","FILING_STATUS=MR","SCALING_FORMAT=MLN","Sort=A","Dates=H","DateFormat=P","Fill=—","Direction=H","UseDPDF=Y")</f>
        <v>—</v>
      </c>
      <c r="I54" s="13" t="str">
        <f>_xll.BDH("AMGN US Equity","ARDR_PROPERTY_PLANT_EQUIP_GROSS","FQ2 2020","FQ2 2020","Currency=USD","Period=FQ","BEST_FPERIOD_OVERRIDE=FQ","FILING_STATUS=MR","SCALING_FORMAT=MLN","Sort=A","Dates=H","DateFormat=P","Fill=—","Direction=H","UseDPDF=Y")</f>
        <v>—</v>
      </c>
      <c r="J54" s="13" t="str">
        <f>_xll.BDH("AMGN US Equity","ARDR_PROPERTY_PLANT_EQUIP_GROSS","FQ3 2020","FQ3 2020","Currency=USD","Period=FQ","BEST_FPERIOD_OVERRIDE=FQ","FILING_STATUS=MR","SCALING_FORMAT=MLN","Sort=A","Dates=H","DateFormat=P","Fill=—","Direction=H","UseDPDF=Y")</f>
        <v>—</v>
      </c>
      <c r="K54" s="13">
        <f>_xll.BDH("AMGN US Equity","ARDR_PROPERTY_PLANT_EQUIP_GROSS","FQ4 2020","FQ4 2020","Currency=USD","Period=FQ","BEST_FPERIOD_OVERRIDE=FQ","FILING_STATUS=MR","SCALING_FORMAT=MLN","Sort=A","Dates=H","DateFormat=P","Fill=—","Direction=H","UseDPDF=Y")</f>
        <v>13866</v>
      </c>
      <c r="L54" s="13" t="str">
        <f>_xll.BDH("AMGN US Equity","ARDR_PROPERTY_PLANT_EQUIP_GROSS","FQ1 2021","FQ1 2021","Currency=USD","Period=FQ","BEST_FPERIOD_OVERRIDE=FQ","FILING_STATUS=MR","SCALING_FORMAT=MLN","Sort=A","Dates=H","DateFormat=P","Fill=—","Direction=H","UseDPDF=Y")</f>
        <v>—</v>
      </c>
      <c r="M54" s="13" t="str">
        <f>_xll.BDH("AMGN US Equity","ARDR_PROPERTY_PLANT_EQUIP_GROSS","FQ2 2021","FQ2 2021","Currency=USD","Period=FQ","BEST_FPERIOD_OVERRIDE=FQ","FILING_STATUS=MR","SCALING_FORMAT=MLN","Sort=A","Dates=H","DateFormat=P","Fill=—","Direction=H","UseDPDF=Y")</f>
        <v>—</v>
      </c>
      <c r="N54" s="13" t="str">
        <f>_xll.BDH("AMGN US Equity","ARDR_PROPERTY_PLANT_EQUIP_GROSS","FQ3 2021","FQ3 2021","Currency=USD","Period=FQ","BEST_FPERIOD_OVERRIDE=FQ","FILING_STATUS=MR","SCALING_FORMAT=MLN","Sort=A","Dates=H","DateFormat=P","Fill=—","Direction=H","UseDPDF=Y")</f>
        <v>—</v>
      </c>
      <c r="O54" s="13">
        <f>_xll.BDH("AMGN US Equity","ARDR_PROPERTY_PLANT_EQUIP_GROSS","FQ4 2021","FQ4 2021","Currency=USD","Period=FQ","BEST_FPERIOD_OVERRIDE=FQ","FILING_STATUS=MR","SCALING_FORMAT=MLN","Sort=A","Dates=H","DateFormat=P","Fill=—","Direction=H","UseDPDF=Y")</f>
        <v>13982</v>
      </c>
      <c r="P54" s="13" t="str">
        <f>_xll.BDH("AMGN US Equity","ARDR_PROPERTY_PLANT_EQUIP_GROSS","FQ1 2022","FQ1 2022","Currency=USD","Period=FQ","BEST_FPERIOD_OVERRIDE=FQ","FILING_STATUS=MR","SCALING_FORMAT=MLN","Sort=A","Dates=H","DateFormat=P","Fill=—","Direction=H","UseDPDF=Y")</f>
        <v>—</v>
      </c>
      <c r="Q54" s="13" t="str">
        <f>_xll.BDH("AMGN US Equity","ARDR_PROPERTY_PLANT_EQUIP_GROSS","FQ2 2022","FQ2 2022","Currency=USD","Period=FQ","BEST_FPERIOD_OVERRIDE=FQ","FILING_STATUS=MR","SCALING_FORMAT=MLN","Sort=A","Dates=H","DateFormat=P","Fill=—","Direction=H","UseDPDF=Y")</f>
        <v>—</v>
      </c>
      <c r="R54" s="13" t="str">
        <f>_xll.BDH("AMGN US Equity","ARDR_PROPERTY_PLANT_EQUIP_GROSS","FQ3 2022","FQ3 2022","Currency=USD","Period=FQ","BEST_FPERIOD_OVERRIDE=FQ","FILING_STATUS=MR","SCALING_FORMAT=MLN","Sort=A","Dates=H","DateFormat=P","Fill=—","Direction=H","UseDPDF=Y")</f>
        <v>—</v>
      </c>
      <c r="S54" s="13">
        <f>_xll.BDH("AMGN US Equity","ARDR_PROPERTY_PLANT_EQUIP_GROSS","FQ4 2022","FQ4 2022","Currency=USD","Period=FQ","BEST_FPERIOD_OVERRIDE=FQ","FILING_STATUS=MR","SCALING_FORMAT=MLN","Sort=A","Dates=H","DateFormat=P","Fill=—","Direction=H","UseDPDF=Y")</f>
        <v>14710</v>
      </c>
      <c r="T54" s="13" t="str">
        <f>_xll.BDH("AMGN US Equity","ARDR_PROPERTY_PLANT_EQUIP_GROSS","FQ1 2023","FQ1 2023","Currency=USD","Period=FQ","BEST_FPERIOD_OVERRIDE=FQ","FILING_STATUS=MR","SCALING_FORMAT=MLN","Sort=A","Dates=H","DateFormat=P","Fill=—","Direction=H","UseDPDF=Y")</f>
        <v>—</v>
      </c>
      <c r="U54" s="13" t="str">
        <f>_xll.BDH("AMGN US Equity","ARDR_PROPERTY_PLANT_EQUIP_GROSS","FQ2 2023","FQ2 2023","Currency=USD","Period=FQ","BEST_FPERIOD_OVERRIDE=FQ","FILING_STATUS=MR","SCALING_FORMAT=MLN","Sort=A","Dates=H","DateFormat=P","Fill=—","Direction=H","UseDPDF=Y")</f>
        <v>—</v>
      </c>
      <c r="V54" s="13" t="str">
        <f>_xll.BDH("AMGN US Equity","ARDR_PROPERTY_PLANT_EQUIP_GROSS","FQ3 2023","FQ3 2023","Currency=USD","Period=FQ","BEST_FPERIOD_OVERRIDE=FQ","FILING_STATUS=MR","SCALING_FORMAT=MLN","Sort=A","Dates=H","DateFormat=P","Fill=—","Direction=H","UseDPDF=Y")</f>
        <v>—</v>
      </c>
      <c r="W54" s="13">
        <f>_xll.BDH("AMGN US Equity","ARDR_PROPERTY_PLANT_EQUIP_GROSS","FQ4 2023","FQ4 2023","Currency=USD","Period=FQ","BEST_FPERIOD_OVERRIDE=FQ","FILING_STATUS=MR","SCALING_FORMAT=MLN","Sort=A","Dates=H","DateFormat=P","Fill=—","Direction=H","UseDPDF=Y")</f>
        <v>15749</v>
      </c>
      <c r="X54" s="13" t="str">
        <f>_xll.BDH("AMGN US Equity","ARDR_PROPERTY_PLANT_EQUIP_GROSS","FQ1 2024","FQ1 2024","Currency=USD","Period=FQ","BEST_FPERIOD_OVERRIDE=FQ","FILING_STATUS=MR","SCALING_FORMAT=MLN","Sort=A","Dates=H","DateFormat=P","Fill=—","Direction=H","UseDPDF=Y")</f>
        <v>—</v>
      </c>
      <c r="Y54" s="13" t="str">
        <f>_xll.BDH("AMGN US Equity","ARDR_PROPERTY_PLANT_EQUIP_GROSS","FQ2 2024","FQ2 2024","Currency=USD","Period=FQ","BEST_FPERIOD_OVERRIDE=FQ","FILING_STATUS=MR","SCALING_FORMAT=MLN","Sort=A","Dates=H","DateFormat=P","Fill=—","Direction=H","UseDPDF=Y")</f>
        <v>—</v>
      </c>
      <c r="Z54" s="13" t="str">
        <f>_xll.BDH("AMGN US Equity","ARDR_PROPERTY_PLANT_EQUIP_GROSS","FQ3 2024","FQ3 2024","Currency=USD","Period=FQ","BEST_FPERIOD_OVERRIDE=FQ","FILING_STATUS=MR","SCALING_FORMAT=MLN","Sort=A","Dates=H","DateFormat=P","Fill=—","Direction=H","UseDPDF=Y")</f>
        <v>—</v>
      </c>
      <c r="AA54" s="13">
        <f>_xll.BDH("AMGN US Equity","ARDR_PROPERTY_PLANT_EQUIP_GROSS","FQ4 2024","FQ4 2024","Currency=USD","Period=FQ","BEST_FPERIOD_OVERRIDE=FQ","FILING_STATUS=MR","SCALING_FORMAT=MLN","Sort=A","Dates=H","DateFormat=P","Fill=—","Direction=H","UseDPDF=Y")</f>
        <v>16931</v>
      </c>
    </row>
    <row r="55" spans="1:27" x14ac:dyDescent="0.25">
      <c r="A55" s="10" t="s">
        <v>938</v>
      </c>
      <c r="B55" s="10" t="s">
        <v>939</v>
      </c>
      <c r="C55" s="13">
        <f>_xll.BDH("AMGN US Equity","ARDR_ACCUMULATED_DEPREC","FQ4 2018","FQ4 2018","Currency=USD","Period=FQ","BEST_FPERIOD_OVERRIDE=FQ","FILING_STATUS=MR","SCALING_FORMAT=MLN","Sort=A","Dates=H","DateFormat=P","Fill=—","Direction=H","UseDPDF=Y")</f>
        <v>7796</v>
      </c>
      <c r="D55" s="13">
        <f>_xll.BDH("AMGN US Equity","ARDR_ACCUMULATED_DEPREC","FQ1 2019","FQ1 2019","Currency=USD","Period=FQ","BEST_FPERIOD_OVERRIDE=FQ","FILING_STATUS=MR","SCALING_FORMAT=MLN","Sort=A","Dates=H","DateFormat=P","Fill=—","Direction=H","UseDPDF=Y")</f>
        <v>7900</v>
      </c>
      <c r="E55" s="13">
        <f>_xll.BDH("AMGN US Equity","ARDR_ACCUMULATED_DEPREC","FQ2 2019","FQ2 2019","Currency=USD","Period=FQ","BEST_FPERIOD_OVERRIDE=FQ","FILING_STATUS=MR","SCALING_FORMAT=MLN","Sort=A","Dates=H","DateFormat=P","Fill=—","Direction=H","UseDPDF=Y")</f>
        <v>8100</v>
      </c>
      <c r="F55" s="13">
        <f>_xll.BDH("AMGN US Equity","ARDR_ACCUMULATED_DEPREC","FQ3 2019","FQ3 2019","Currency=USD","Period=FQ","BEST_FPERIOD_OVERRIDE=FQ","FILING_STATUS=MR","SCALING_FORMAT=MLN","Sort=A","Dates=H","DateFormat=P","Fill=—","Direction=H","UseDPDF=Y")</f>
        <v>8200</v>
      </c>
      <c r="G55" s="13">
        <f>_xll.BDH("AMGN US Equity","ARDR_ACCUMULATED_DEPREC","FQ4 2019","FQ4 2019","Currency=USD","Period=FQ","BEST_FPERIOD_OVERRIDE=FQ","FILING_STATUS=MR","SCALING_FORMAT=MLN","Sort=A","Dates=H","DateFormat=P","Fill=—","Direction=H","UseDPDF=Y")</f>
        <v>8357</v>
      </c>
      <c r="H55" s="13">
        <f>_xll.BDH("AMGN US Equity","ARDR_ACCUMULATED_DEPREC","FQ1 2020","FQ1 2020","Currency=USD","Period=FQ","BEST_FPERIOD_OVERRIDE=FQ","FILING_STATUS=MR","SCALING_FORMAT=MLN","Sort=A","Dates=H","DateFormat=P","Fill=—","Direction=H","UseDPDF=Y")</f>
        <v>8500</v>
      </c>
      <c r="I55" s="13">
        <f>_xll.BDH("AMGN US Equity","ARDR_ACCUMULATED_DEPREC","FQ2 2020","FQ2 2020","Currency=USD","Period=FQ","BEST_FPERIOD_OVERRIDE=FQ","FILING_STATUS=MR","SCALING_FORMAT=MLN","Sort=A","Dates=H","DateFormat=P","Fill=—","Direction=H","UseDPDF=Y")</f>
        <v>8700</v>
      </c>
      <c r="J55" s="13">
        <f>_xll.BDH("AMGN US Equity","ARDR_ACCUMULATED_DEPREC","FQ3 2020","FQ3 2020","Currency=USD","Period=FQ","BEST_FPERIOD_OVERRIDE=FQ","FILING_STATUS=MR","SCALING_FORMAT=MLN","Sort=A","Dates=H","DateFormat=P","Fill=—","Direction=H","UseDPDF=Y")</f>
        <v>8800</v>
      </c>
      <c r="K55" s="13">
        <f>_xll.BDH("AMGN US Equity","ARDR_ACCUMULATED_DEPREC","FQ4 2020","FQ4 2020","Currency=USD","Period=FQ","BEST_FPERIOD_OVERRIDE=FQ","FILING_STATUS=MR","SCALING_FORMAT=MLN","Sort=A","Dates=H","DateFormat=P","Fill=—","Direction=H","UseDPDF=Y")</f>
        <v>8977</v>
      </c>
      <c r="L55" s="13">
        <f>_xll.BDH("AMGN US Equity","ARDR_ACCUMULATED_DEPREC","FQ1 2021","FQ1 2021","Currency=USD","Period=FQ","BEST_FPERIOD_OVERRIDE=FQ","FILING_STATUS=MR","SCALING_FORMAT=MLN","Sort=A","Dates=H","DateFormat=P","Fill=—","Direction=H","UseDPDF=Y")</f>
        <v>9100</v>
      </c>
      <c r="M55" s="13">
        <f>_xll.BDH("AMGN US Equity","ARDR_ACCUMULATED_DEPREC","FQ2 2021","FQ2 2021","Currency=USD","Period=FQ","BEST_FPERIOD_OVERRIDE=FQ","FILING_STATUS=MR","SCALING_FORMAT=MLN","Sort=A","Dates=H","DateFormat=P","Fill=—","Direction=H","UseDPDF=Y")</f>
        <v>9100</v>
      </c>
      <c r="N55" s="13">
        <f>_xll.BDH("AMGN US Equity","ARDR_ACCUMULATED_DEPREC","FQ3 2021","FQ3 2021","Currency=USD","Period=FQ","BEST_FPERIOD_OVERRIDE=FQ","FILING_STATUS=MR","SCALING_FORMAT=MLN","Sort=A","Dates=H","DateFormat=P","Fill=—","Direction=H","UseDPDF=Y")</f>
        <v>9200</v>
      </c>
      <c r="O55" s="13">
        <f>_xll.BDH("AMGN US Equity","ARDR_ACCUMULATED_DEPREC","FQ4 2021","FQ4 2021","Currency=USD","Period=FQ","BEST_FPERIOD_OVERRIDE=FQ","FILING_STATUS=MR","SCALING_FORMAT=MLN","Sort=A","Dates=H","DateFormat=P","Fill=—","Direction=H","UseDPDF=Y")</f>
        <v>8798</v>
      </c>
      <c r="P55" s="13">
        <f>_xll.BDH("AMGN US Equity","ARDR_ACCUMULATED_DEPREC","FQ1 2022","FQ1 2022","Currency=USD","Period=FQ","BEST_FPERIOD_OVERRIDE=FQ","FILING_STATUS=MR","SCALING_FORMAT=MLN","Sort=A","Dates=H","DateFormat=P","Fill=—","Direction=H","UseDPDF=Y")</f>
        <v>8900</v>
      </c>
      <c r="Q55" s="13">
        <f>_xll.BDH("AMGN US Equity","ARDR_ACCUMULATED_DEPREC","FQ2 2022","FQ2 2022","Currency=USD","Period=FQ","BEST_FPERIOD_OVERRIDE=FQ","FILING_STATUS=MR","SCALING_FORMAT=MLN","Sort=A","Dates=H","DateFormat=P","Fill=—","Direction=H","UseDPDF=Y")</f>
        <v>9000</v>
      </c>
      <c r="R55" s="13">
        <f>_xll.BDH("AMGN US Equity","ARDR_ACCUMULATED_DEPREC","FQ3 2022","FQ3 2022","Currency=USD","Period=FQ","BEST_FPERIOD_OVERRIDE=FQ","FILING_STATUS=MR","SCALING_FORMAT=MLN","Sort=A","Dates=H","DateFormat=P","Fill=—","Direction=H","UseDPDF=Y")</f>
        <v>9200</v>
      </c>
      <c r="S55" s="13">
        <f>_xll.BDH("AMGN US Equity","ARDR_ACCUMULATED_DEPREC","FQ4 2022","FQ4 2022","Currency=USD","Period=FQ","BEST_FPERIOD_OVERRIDE=FQ","FILING_STATUS=MR","SCALING_FORMAT=MLN","Sort=A","Dates=H","DateFormat=P","Fill=—","Direction=H","UseDPDF=Y")</f>
        <v>9283</v>
      </c>
      <c r="T55" s="13">
        <f>_xll.BDH("AMGN US Equity","ARDR_ACCUMULATED_DEPREC","FQ1 2023","FQ1 2023","Currency=USD","Period=FQ","BEST_FPERIOD_OVERRIDE=FQ","FILING_STATUS=MR","SCALING_FORMAT=MLN","Sort=A","Dates=H","DateFormat=P","Fill=—","Direction=H","UseDPDF=Y")</f>
        <v>9400</v>
      </c>
      <c r="U55" s="13">
        <f>_xll.BDH("AMGN US Equity","ARDR_ACCUMULATED_DEPREC","FQ2 2023","FQ2 2023","Currency=USD","Period=FQ","BEST_FPERIOD_OVERRIDE=FQ","FILING_STATUS=MR","SCALING_FORMAT=MLN","Sort=A","Dates=H","DateFormat=P","Fill=—","Direction=H","UseDPDF=Y")</f>
        <v>9500</v>
      </c>
      <c r="V55" s="13">
        <f>_xll.BDH("AMGN US Equity","ARDR_ACCUMULATED_DEPREC","FQ3 2023","FQ3 2023","Currency=USD","Period=FQ","BEST_FPERIOD_OVERRIDE=FQ","FILING_STATUS=MR","SCALING_FORMAT=MLN","Sort=A","Dates=H","DateFormat=P","Fill=—","Direction=H","UseDPDF=Y")</f>
        <v>9700</v>
      </c>
      <c r="W55" s="13">
        <f>_xll.BDH("AMGN US Equity","ARDR_ACCUMULATED_DEPREC","FQ4 2023","FQ4 2023","Currency=USD","Period=FQ","BEST_FPERIOD_OVERRIDE=FQ","FILING_STATUS=MR","SCALING_FORMAT=MLN","Sort=A","Dates=H","DateFormat=P","Fill=—","Direction=H","UseDPDF=Y")</f>
        <v>9808</v>
      </c>
      <c r="X55" s="13">
        <f>_xll.BDH("AMGN US Equity","ARDR_ACCUMULATED_DEPREC","FQ1 2024","FQ1 2024","Currency=USD","Period=FQ","BEST_FPERIOD_OVERRIDE=FQ","FILING_STATUS=MR","SCALING_FORMAT=MLN","Sort=A","Dates=H","DateFormat=P","Fill=—","Direction=H","UseDPDF=Y")</f>
        <v>9900</v>
      </c>
      <c r="Y55" s="13">
        <f>_xll.BDH("AMGN US Equity","ARDR_ACCUMULATED_DEPREC","FQ2 2024","FQ2 2024","Currency=USD","Period=FQ","BEST_FPERIOD_OVERRIDE=FQ","FILING_STATUS=MR","SCALING_FORMAT=MLN","Sort=A","Dates=H","DateFormat=P","Fill=—","Direction=H","UseDPDF=Y")</f>
        <v>10100</v>
      </c>
      <c r="Z55" s="13">
        <f>_xll.BDH("AMGN US Equity","ARDR_ACCUMULATED_DEPREC","FQ3 2024","FQ3 2024","Currency=USD","Period=FQ","BEST_FPERIOD_OVERRIDE=FQ","FILING_STATUS=MR","SCALING_FORMAT=MLN","Sort=A","Dates=H","DateFormat=P","Fill=—","Direction=H","UseDPDF=Y")</f>
        <v>10300</v>
      </c>
      <c r="AA55" s="13">
        <f>_xll.BDH("AMGN US Equity","ARDR_ACCUMULATED_DEPREC","FQ4 2024","FQ4 2024","Currency=USD","Period=FQ","BEST_FPERIOD_OVERRIDE=FQ","FILING_STATUS=MR","SCALING_FORMAT=MLN","Sort=A","Dates=H","DateFormat=P","Fill=—","Direction=H","UseDPDF=Y")</f>
        <v>10388</v>
      </c>
    </row>
    <row r="56" spans="1:27" x14ac:dyDescent="0.25">
      <c r="A56" s="10" t="s">
        <v>869</v>
      </c>
      <c r="B56" s="10" t="s">
        <v>940</v>
      </c>
      <c r="C56" s="13">
        <f>_xll.BDH("AMGN US Equity","ARDR_PROPERTY_PLANT_EQUIP_NET","FQ4 2018","FQ4 2018","Currency=USD","Period=FQ","BEST_FPERIOD_OVERRIDE=FQ","FILING_STATUS=MR","SCALING_FORMAT=MLN","Sort=A","Dates=H","DateFormat=P","Fill=—","Direction=H","UseDPDF=Y")</f>
        <v>4958</v>
      </c>
      <c r="D56" s="13">
        <f>_xll.BDH("AMGN US Equity","ARDR_PROPERTY_PLANT_EQUIP_NET","FQ1 2019","FQ1 2019","Currency=USD","Period=FQ","BEST_FPERIOD_OVERRIDE=FQ","FILING_STATUS=MR","SCALING_FORMAT=MLN","Sort=A","Dates=H","DateFormat=P","Fill=—","Direction=H","UseDPDF=Y")</f>
        <v>4892</v>
      </c>
      <c r="E56" s="13">
        <f>_xll.BDH("AMGN US Equity","ARDR_PROPERTY_PLANT_EQUIP_NET","FQ2 2019","FQ2 2019","Currency=USD","Period=FQ","BEST_FPERIOD_OVERRIDE=FQ","FILING_STATUS=MR","SCALING_FORMAT=MLN","Sort=A","Dates=H","DateFormat=P","Fill=—","Direction=H","UseDPDF=Y")</f>
        <v>4882</v>
      </c>
      <c r="F56" s="13" t="str">
        <f>_xll.BDH("AMGN US Equity","ARDR_PROPERTY_PLANT_EQUIP_NET","FQ3 2019","FQ3 2019","Currency=USD","Period=FQ","BEST_FPERIOD_OVERRIDE=FQ","FILING_STATUS=MR","SCALING_FORMAT=MLN","Sort=A","Dates=H","DateFormat=P","Fill=—","Direction=H","UseDPDF=Y")</f>
        <v>—</v>
      </c>
      <c r="G56" s="13">
        <f>_xll.BDH("AMGN US Equity","ARDR_PROPERTY_PLANT_EQUIP_NET","FQ4 2019","FQ4 2019","Currency=USD","Period=FQ","BEST_FPERIOD_OVERRIDE=FQ","FILING_STATUS=MR","SCALING_FORMAT=MLN","Sort=A","Dates=H","DateFormat=P","Fill=—","Direction=H","UseDPDF=Y")</f>
        <v>4928</v>
      </c>
      <c r="H56" s="13">
        <f>_xll.BDH("AMGN US Equity","ARDR_PROPERTY_PLANT_EQUIP_NET","FQ1 2020","FQ1 2020","Currency=USD","Period=FQ","BEST_FPERIOD_OVERRIDE=FQ","FILING_STATUS=MR","SCALING_FORMAT=MLN","Sort=A","Dates=H","DateFormat=P","Fill=—","Direction=H","UseDPDF=Y")</f>
        <v>4879</v>
      </c>
      <c r="I56" s="13" t="str">
        <f>_xll.BDH("AMGN US Equity","ARDR_PROPERTY_PLANT_EQUIP_NET","FQ2 2020","FQ2 2020","Currency=USD","Period=FQ","BEST_FPERIOD_OVERRIDE=FQ","FILING_STATUS=MR","SCALING_FORMAT=MLN","Sort=A","Dates=H","DateFormat=P","Fill=—","Direction=H","UseDPDF=Y")</f>
        <v>—</v>
      </c>
      <c r="J56" s="13" t="str">
        <f>_xll.BDH("AMGN US Equity","ARDR_PROPERTY_PLANT_EQUIP_NET","FQ3 2020","FQ3 2020","Currency=USD","Period=FQ","BEST_FPERIOD_OVERRIDE=FQ","FILING_STATUS=MR","SCALING_FORMAT=MLN","Sort=A","Dates=H","DateFormat=P","Fill=—","Direction=H","UseDPDF=Y")</f>
        <v>—</v>
      </c>
      <c r="K56" s="13">
        <f>_xll.BDH("AMGN US Equity","ARDR_PROPERTY_PLANT_EQUIP_NET","FQ4 2020","FQ4 2020","Currency=USD","Period=FQ","BEST_FPERIOD_OVERRIDE=FQ","FILING_STATUS=MR","SCALING_FORMAT=MLN","Sort=A","Dates=H","DateFormat=P","Fill=—","Direction=H","UseDPDF=Y")</f>
        <v>4889</v>
      </c>
      <c r="L56" s="13">
        <f>_xll.BDH("AMGN US Equity","ARDR_PROPERTY_PLANT_EQUIP_NET","FQ1 2021","FQ1 2021","Currency=USD","Period=FQ","BEST_FPERIOD_OVERRIDE=FQ","FILING_STATUS=MR","SCALING_FORMAT=MLN","Sort=A","Dates=H","DateFormat=P","Fill=—","Direction=H","UseDPDF=Y")</f>
        <v>4855</v>
      </c>
      <c r="M56" s="13">
        <f>_xll.BDH("AMGN US Equity","ARDR_PROPERTY_PLANT_EQUIP_NET","FQ2 2021","FQ2 2021","Currency=USD","Period=FQ","BEST_FPERIOD_OVERRIDE=FQ","FILING_STATUS=MR","SCALING_FORMAT=MLN","Sort=A","Dates=H","DateFormat=P","Fill=—","Direction=H","UseDPDF=Y")</f>
        <v>4906</v>
      </c>
      <c r="N56" s="13" t="str">
        <f>_xll.BDH("AMGN US Equity","ARDR_PROPERTY_PLANT_EQUIP_NET","FQ3 2021","FQ3 2021","Currency=USD","Period=FQ","BEST_FPERIOD_OVERRIDE=FQ","FILING_STATUS=MR","SCALING_FORMAT=MLN","Sort=A","Dates=H","DateFormat=P","Fill=—","Direction=H","UseDPDF=Y")</f>
        <v>—</v>
      </c>
      <c r="O56" s="13">
        <f>_xll.BDH("AMGN US Equity","ARDR_PROPERTY_PLANT_EQUIP_NET","FQ4 2021","FQ4 2021","Currency=USD","Period=FQ","BEST_FPERIOD_OVERRIDE=FQ","FILING_STATUS=MR","SCALING_FORMAT=MLN","Sort=A","Dates=H","DateFormat=P","Fill=—","Direction=H","UseDPDF=Y")</f>
        <v>5184</v>
      </c>
      <c r="P56" s="13">
        <f>_xll.BDH("AMGN US Equity","ARDR_PROPERTY_PLANT_EQUIP_NET","FQ1 2022","FQ1 2022","Currency=USD","Period=FQ","BEST_FPERIOD_OVERRIDE=FQ","FILING_STATUS=MR","SCALING_FORMAT=MLN","Sort=A","Dates=H","DateFormat=P","Fill=—","Direction=H","UseDPDF=Y")</f>
        <v>5142</v>
      </c>
      <c r="Q56" s="13">
        <f>_xll.BDH("AMGN US Equity","ARDR_PROPERTY_PLANT_EQUIP_NET","FQ2 2022","FQ2 2022","Currency=USD","Period=FQ","BEST_FPERIOD_OVERRIDE=FQ","FILING_STATUS=MR","SCALING_FORMAT=MLN","Sort=A","Dates=H","DateFormat=P","Fill=—","Direction=H","UseDPDF=Y")</f>
        <v>5158</v>
      </c>
      <c r="R56" s="13">
        <f>_xll.BDH("AMGN US Equity","ARDR_PROPERTY_PLANT_EQUIP_NET","FQ3 2022","FQ3 2022","Currency=USD","Period=FQ","BEST_FPERIOD_OVERRIDE=FQ","FILING_STATUS=MR","SCALING_FORMAT=MLN","Sort=A","Dates=H","DateFormat=P","Fill=—","Direction=H","UseDPDF=Y")</f>
        <v>5188</v>
      </c>
      <c r="S56" s="13">
        <f>_xll.BDH("AMGN US Equity","ARDR_PROPERTY_PLANT_EQUIP_NET","FQ4 2022","FQ4 2022","Currency=USD","Period=FQ","BEST_FPERIOD_OVERRIDE=FQ","FILING_STATUS=MR","SCALING_FORMAT=MLN","Sort=A","Dates=H","DateFormat=P","Fill=—","Direction=H","UseDPDF=Y")</f>
        <v>5427</v>
      </c>
      <c r="T56" s="13">
        <f>_xll.BDH("AMGN US Equity","ARDR_PROPERTY_PLANT_EQUIP_NET","FQ1 2023","FQ1 2023","Currency=USD","Period=FQ","BEST_FPERIOD_OVERRIDE=FQ","FILING_STATUS=MR","SCALING_FORMAT=MLN","Sort=A","Dates=H","DateFormat=P","Fill=—","Direction=H","UseDPDF=Y")</f>
        <v>5460</v>
      </c>
      <c r="U56" s="13">
        <f>_xll.BDH("AMGN US Equity","ARDR_PROPERTY_PLANT_EQUIP_NET","FQ2 2023","FQ2 2023","Currency=USD","Period=FQ","BEST_FPERIOD_OVERRIDE=FQ","FILING_STATUS=MR","SCALING_FORMAT=MLN","Sort=A","Dates=H","DateFormat=P","Fill=—","Direction=H","UseDPDF=Y")</f>
        <v>5532</v>
      </c>
      <c r="V56" s="13">
        <f>_xll.BDH("AMGN US Equity","ARDR_PROPERTY_PLANT_EQUIP_NET","FQ3 2023","FQ3 2023","Currency=USD","Period=FQ","BEST_FPERIOD_OVERRIDE=FQ","FILING_STATUS=MR","SCALING_FORMAT=MLN","Sort=A","Dates=H","DateFormat=P","Fill=—","Direction=H","UseDPDF=Y")</f>
        <v>5563</v>
      </c>
      <c r="W56" s="13">
        <f>_xll.BDH("AMGN US Equity","ARDR_PROPERTY_PLANT_EQUIP_NET","FQ4 2023","FQ4 2023","Currency=USD","Period=FQ","BEST_FPERIOD_OVERRIDE=FQ","FILING_STATUS=MR","SCALING_FORMAT=MLN","Sort=A","Dates=H","DateFormat=P","Fill=—","Direction=H","UseDPDF=Y")</f>
        <v>5941</v>
      </c>
      <c r="X56" s="13">
        <f>_xll.BDH("AMGN US Equity","ARDR_PROPERTY_PLANT_EQUIP_NET","FQ1 2024","FQ1 2024","Currency=USD","Period=FQ","BEST_FPERIOD_OVERRIDE=FQ","FILING_STATUS=MR","SCALING_FORMAT=MLN","Sort=A","Dates=H","DateFormat=P","Fill=—","Direction=H","UseDPDF=Y")</f>
        <v>6002</v>
      </c>
      <c r="Y56" s="13">
        <f>_xll.BDH("AMGN US Equity","ARDR_PROPERTY_PLANT_EQUIP_NET","FQ2 2024","FQ2 2024","Currency=USD","Period=FQ","BEST_FPERIOD_OVERRIDE=FQ","FILING_STATUS=MR","SCALING_FORMAT=MLN","Sort=A","Dates=H","DateFormat=P","Fill=—","Direction=H","UseDPDF=Y")</f>
        <v>6097</v>
      </c>
      <c r="Z56" s="13">
        <f>_xll.BDH("AMGN US Equity","ARDR_PROPERTY_PLANT_EQUIP_NET","FQ3 2024","FQ3 2024","Currency=USD","Period=FQ","BEST_FPERIOD_OVERRIDE=FQ","FILING_STATUS=MR","SCALING_FORMAT=MLN","Sort=A","Dates=H","DateFormat=P","Fill=—","Direction=H","UseDPDF=Y")</f>
        <v>6156</v>
      </c>
      <c r="AA56" s="13">
        <f>_xll.BDH("AMGN US Equity","ARDR_PROPERTY_PLANT_EQUIP_NET","FQ4 2024","FQ4 2024","Currency=USD","Period=FQ","BEST_FPERIOD_OVERRIDE=FQ","FILING_STATUS=MR","SCALING_FORMAT=MLN","Sort=A","Dates=H","DateFormat=P","Fill=—","Direction=H","UseDPDF=Y")</f>
        <v>6543</v>
      </c>
    </row>
    <row r="57" spans="1:27" x14ac:dyDescent="0.25">
      <c r="A57" s="10" t="s">
        <v>941</v>
      </c>
      <c r="B57" s="10" t="s">
        <v>942</v>
      </c>
      <c r="C57" s="13">
        <f>_xll.BDH("AMGN US Equity","ARDR_DEFERRED_INC_TAX_ASSET_LT","FQ4 2018","FQ4 2018","Currency=USD","Period=FQ","BEST_FPERIOD_OVERRIDE=FQ","FILING_STATUS=MR","SCALING_FORMAT=MLN","Sort=A","Dates=H","DateFormat=P","Fill=—","Direction=H","UseDPDF=Y")</f>
        <v>1183</v>
      </c>
      <c r="D57" s="13" t="str">
        <f>_xll.BDH("AMGN US Equity","ARDR_DEFERRED_INC_TAX_ASSET_LT","FQ1 2019","FQ1 2019","Currency=USD","Period=FQ","BEST_FPERIOD_OVERRIDE=FQ","FILING_STATUS=MR","SCALING_FORMAT=MLN","Sort=A","Dates=H","DateFormat=P","Fill=—","Direction=H","UseDPDF=Y")</f>
        <v>—</v>
      </c>
      <c r="E57" s="13" t="str">
        <f>_xll.BDH("AMGN US Equity","ARDR_DEFERRED_INC_TAX_ASSET_LT","FQ2 2019","FQ2 2019","Currency=USD","Period=FQ","BEST_FPERIOD_OVERRIDE=FQ","FILING_STATUS=MR","SCALING_FORMAT=MLN","Sort=A","Dates=H","DateFormat=P","Fill=—","Direction=H","UseDPDF=Y")</f>
        <v>—</v>
      </c>
      <c r="F57" s="13" t="str">
        <f>_xll.BDH("AMGN US Equity","ARDR_DEFERRED_INC_TAX_ASSET_LT","FQ3 2019","FQ3 2019","Currency=USD","Period=FQ","BEST_FPERIOD_OVERRIDE=FQ","FILING_STATUS=MR","SCALING_FORMAT=MLN","Sort=A","Dates=H","DateFormat=P","Fill=—","Direction=H","UseDPDF=Y")</f>
        <v>—</v>
      </c>
      <c r="G57" s="13">
        <f>_xll.BDH("AMGN US Equity","ARDR_DEFERRED_INC_TAX_ASSET_LT","FQ4 2019","FQ4 2019","Currency=USD","Period=FQ","BEST_FPERIOD_OVERRIDE=FQ","FILING_STATUS=MR","SCALING_FORMAT=MLN","Sort=A","Dates=H","DateFormat=P","Fill=—","Direction=H","UseDPDF=Y")</f>
        <v>1270</v>
      </c>
      <c r="H57" s="13" t="str">
        <f>_xll.BDH("AMGN US Equity","ARDR_DEFERRED_INC_TAX_ASSET_LT","FQ1 2020","FQ1 2020","Currency=USD","Period=FQ","BEST_FPERIOD_OVERRIDE=FQ","FILING_STATUS=MR","SCALING_FORMAT=MLN","Sort=A","Dates=H","DateFormat=P","Fill=—","Direction=H","UseDPDF=Y")</f>
        <v>—</v>
      </c>
      <c r="I57" s="13" t="str">
        <f>_xll.BDH("AMGN US Equity","ARDR_DEFERRED_INC_TAX_ASSET_LT","FQ2 2020","FQ2 2020","Currency=USD","Period=FQ","BEST_FPERIOD_OVERRIDE=FQ","FILING_STATUS=MR","SCALING_FORMAT=MLN","Sort=A","Dates=H","DateFormat=P","Fill=—","Direction=H","UseDPDF=Y")</f>
        <v>—</v>
      </c>
      <c r="J57" s="13" t="str">
        <f>_xll.BDH("AMGN US Equity","ARDR_DEFERRED_INC_TAX_ASSET_LT","FQ3 2020","FQ3 2020","Currency=USD","Period=FQ","BEST_FPERIOD_OVERRIDE=FQ","FILING_STATUS=MR","SCALING_FORMAT=MLN","Sort=A","Dates=H","DateFormat=P","Fill=—","Direction=H","UseDPDF=Y")</f>
        <v>—</v>
      </c>
      <c r="K57" s="13">
        <f>_xll.BDH("AMGN US Equity","ARDR_DEFERRED_INC_TAX_ASSET_LT","FQ4 2020","FQ4 2020","Currency=USD","Period=FQ","BEST_FPERIOD_OVERRIDE=FQ","FILING_STATUS=MR","SCALING_FORMAT=MLN","Sort=A","Dates=H","DateFormat=P","Fill=—","Direction=H","UseDPDF=Y")</f>
        <v>1321</v>
      </c>
      <c r="L57" s="13" t="str">
        <f>_xll.BDH("AMGN US Equity","ARDR_DEFERRED_INC_TAX_ASSET_LT","FQ1 2021","FQ1 2021","Currency=USD","Period=FQ","BEST_FPERIOD_OVERRIDE=FQ","FILING_STATUS=MR","SCALING_FORMAT=MLN","Sort=A","Dates=H","DateFormat=P","Fill=—","Direction=H","UseDPDF=Y")</f>
        <v>—</v>
      </c>
      <c r="M57" s="13" t="str">
        <f>_xll.BDH("AMGN US Equity","ARDR_DEFERRED_INC_TAX_ASSET_LT","FQ2 2021","FQ2 2021","Currency=USD","Period=FQ","BEST_FPERIOD_OVERRIDE=FQ","FILING_STATUS=MR","SCALING_FORMAT=MLN","Sort=A","Dates=H","DateFormat=P","Fill=—","Direction=H","UseDPDF=Y")</f>
        <v>—</v>
      </c>
      <c r="N57" s="13" t="str">
        <f>_xll.BDH("AMGN US Equity","ARDR_DEFERRED_INC_TAX_ASSET_LT","FQ3 2021","FQ3 2021","Currency=USD","Period=FQ","BEST_FPERIOD_OVERRIDE=FQ","FILING_STATUS=MR","SCALING_FORMAT=MLN","Sort=A","Dates=H","DateFormat=P","Fill=—","Direction=H","UseDPDF=Y")</f>
        <v>—</v>
      </c>
      <c r="O57" s="13">
        <f>_xll.BDH("AMGN US Equity","ARDR_DEFERRED_INC_TAX_ASSET_LT","FQ4 2021","FQ4 2021","Currency=USD","Period=FQ","BEST_FPERIOD_OVERRIDE=FQ","FILING_STATUS=MR","SCALING_FORMAT=MLN","Sort=A","Dates=H","DateFormat=P","Fill=—","Direction=H","UseDPDF=Y")</f>
        <v>1668</v>
      </c>
      <c r="P57" s="13" t="str">
        <f>_xll.BDH("AMGN US Equity","ARDR_DEFERRED_INC_TAX_ASSET_LT","FQ1 2022","FQ1 2022","Currency=USD","Period=FQ","BEST_FPERIOD_OVERRIDE=FQ","FILING_STATUS=MR","SCALING_FORMAT=MLN","Sort=A","Dates=H","DateFormat=P","Fill=—","Direction=H","UseDPDF=Y")</f>
        <v>—</v>
      </c>
      <c r="Q57" s="13" t="str">
        <f>_xll.BDH("AMGN US Equity","ARDR_DEFERRED_INC_TAX_ASSET_LT","FQ2 2022","FQ2 2022","Currency=USD","Period=FQ","BEST_FPERIOD_OVERRIDE=FQ","FILING_STATUS=MR","SCALING_FORMAT=MLN","Sort=A","Dates=H","DateFormat=P","Fill=—","Direction=H","UseDPDF=Y")</f>
        <v>—</v>
      </c>
      <c r="R57" s="13" t="str">
        <f>_xll.BDH("AMGN US Equity","ARDR_DEFERRED_INC_TAX_ASSET_LT","FQ3 2022","FQ3 2022","Currency=USD","Period=FQ","BEST_FPERIOD_OVERRIDE=FQ","FILING_STATUS=MR","SCALING_FORMAT=MLN","Sort=A","Dates=H","DateFormat=P","Fill=—","Direction=H","UseDPDF=Y")</f>
        <v>—</v>
      </c>
      <c r="S57" s="13">
        <f>_xll.BDH("AMGN US Equity","ARDR_DEFERRED_INC_TAX_ASSET_LT","FQ4 2022","FQ4 2022","Currency=USD","Period=FQ","BEST_FPERIOD_OVERRIDE=FQ","FILING_STATUS=MR","SCALING_FORMAT=MLN","Sort=A","Dates=H","DateFormat=P","Fill=—","Direction=H","UseDPDF=Y")</f>
        <v>2819</v>
      </c>
      <c r="T57" s="13" t="str">
        <f>_xll.BDH("AMGN US Equity","ARDR_DEFERRED_INC_TAX_ASSET_LT","FQ1 2023","FQ1 2023","Currency=USD","Period=FQ","BEST_FPERIOD_OVERRIDE=FQ","FILING_STATUS=MR","SCALING_FORMAT=MLN","Sort=A","Dates=H","DateFormat=P","Fill=—","Direction=H","UseDPDF=Y")</f>
        <v>—</v>
      </c>
      <c r="U57" s="13" t="str">
        <f>_xll.BDH("AMGN US Equity","ARDR_DEFERRED_INC_TAX_ASSET_LT","FQ2 2023","FQ2 2023","Currency=USD","Period=FQ","BEST_FPERIOD_OVERRIDE=FQ","FILING_STATUS=MR","SCALING_FORMAT=MLN","Sort=A","Dates=H","DateFormat=P","Fill=—","Direction=H","UseDPDF=Y")</f>
        <v>—</v>
      </c>
      <c r="V57" s="13" t="str">
        <f>_xll.BDH("AMGN US Equity","ARDR_DEFERRED_INC_TAX_ASSET_LT","FQ3 2023","FQ3 2023","Currency=USD","Period=FQ","BEST_FPERIOD_OVERRIDE=FQ","FILING_STATUS=MR","SCALING_FORMAT=MLN","Sort=A","Dates=H","DateFormat=P","Fill=—","Direction=H","UseDPDF=Y")</f>
        <v>—</v>
      </c>
      <c r="W57" s="13">
        <f>_xll.BDH("AMGN US Equity","ARDR_DEFERRED_INC_TAX_ASSET_LT","FQ4 2023","FQ4 2023","Currency=USD","Period=FQ","BEST_FPERIOD_OVERRIDE=FQ","FILING_STATUS=MR","SCALING_FORMAT=MLN","Sort=A","Dates=H","DateFormat=P","Fill=—","Direction=H","UseDPDF=Y")</f>
        <v>4554</v>
      </c>
      <c r="X57" s="13" t="str">
        <f>_xll.BDH("AMGN US Equity","ARDR_DEFERRED_INC_TAX_ASSET_LT","FQ1 2024","FQ1 2024","Currency=USD","Period=FQ","BEST_FPERIOD_OVERRIDE=FQ","FILING_STATUS=MR","SCALING_FORMAT=MLN","Sort=A","Dates=H","DateFormat=P","Fill=—","Direction=H","UseDPDF=Y")</f>
        <v>—</v>
      </c>
      <c r="Y57" s="13" t="str">
        <f>_xll.BDH("AMGN US Equity","ARDR_DEFERRED_INC_TAX_ASSET_LT","FQ2 2024","FQ2 2024","Currency=USD","Period=FQ","BEST_FPERIOD_OVERRIDE=FQ","FILING_STATUS=MR","SCALING_FORMAT=MLN","Sort=A","Dates=H","DateFormat=P","Fill=—","Direction=H","UseDPDF=Y")</f>
        <v>—</v>
      </c>
      <c r="Z57" s="13" t="str">
        <f>_xll.BDH("AMGN US Equity","ARDR_DEFERRED_INC_TAX_ASSET_LT","FQ3 2024","FQ3 2024","Currency=USD","Period=FQ","BEST_FPERIOD_OVERRIDE=FQ","FILING_STATUS=MR","SCALING_FORMAT=MLN","Sort=A","Dates=H","DateFormat=P","Fill=—","Direction=H","UseDPDF=Y")</f>
        <v>—</v>
      </c>
      <c r="AA57" s="13">
        <f>_xll.BDH("AMGN US Equity","ARDR_DEFERRED_INC_TAX_ASSET_LT","FQ4 2024","FQ4 2024","Currency=USD","Period=FQ","BEST_FPERIOD_OVERRIDE=FQ","FILING_STATUS=MR","SCALING_FORMAT=MLN","Sort=A","Dates=H","DateFormat=P","Fill=—","Direction=H","UseDPDF=Y")</f>
        <v>4976</v>
      </c>
    </row>
    <row r="58" spans="1:27" x14ac:dyDescent="0.25">
      <c r="A58" s="10" t="s">
        <v>943</v>
      </c>
      <c r="B58" s="10" t="s">
        <v>944</v>
      </c>
      <c r="C58" s="13" t="str">
        <f>_xll.BDH("AMGN US Equity","ARDR_TOTAL_INTANGIBLE_ASSET_NET","FQ4 2018","FQ4 2018","Currency=USD","Period=FQ","BEST_FPERIOD_OVERRIDE=FQ","FILING_STATUS=MR","SCALING_FORMAT=MLN","Sort=A","Dates=H","DateFormat=P","Fill=—","Direction=H","UseDPDF=Y")</f>
        <v>—</v>
      </c>
      <c r="D58" s="13" t="str">
        <f>_xll.BDH("AMGN US Equity","ARDR_TOTAL_INTANGIBLE_ASSET_NET","FQ1 2019","FQ1 2019","Currency=USD","Period=FQ","BEST_FPERIOD_OVERRIDE=FQ","FILING_STATUS=MR","SCALING_FORMAT=MLN","Sort=A","Dates=H","DateFormat=P","Fill=—","Direction=H","UseDPDF=Y")</f>
        <v>—</v>
      </c>
      <c r="E58" s="13" t="str">
        <f>_xll.BDH("AMGN US Equity","ARDR_TOTAL_INTANGIBLE_ASSET_NET","FQ2 2019","FQ2 2019","Currency=USD","Period=FQ","BEST_FPERIOD_OVERRIDE=FQ","FILING_STATUS=MR","SCALING_FORMAT=MLN","Sort=A","Dates=H","DateFormat=P","Fill=—","Direction=H","UseDPDF=Y")</f>
        <v>—</v>
      </c>
      <c r="F58" s="13" t="str">
        <f>_xll.BDH("AMGN US Equity","ARDR_TOTAL_INTANGIBLE_ASSET_NET","FQ3 2019","FQ3 2019","Currency=USD","Period=FQ","BEST_FPERIOD_OVERRIDE=FQ","FILING_STATUS=MR","SCALING_FORMAT=MLN","Sort=A","Dates=H","DateFormat=P","Fill=—","Direction=H","UseDPDF=Y")</f>
        <v>—</v>
      </c>
      <c r="G58" s="13">
        <f>_xll.BDH("AMGN US Equity","ARDR_TOTAL_INTANGIBLE_ASSET_NET","FQ4 2019","FQ4 2019","Currency=USD","Period=FQ","BEST_FPERIOD_OVERRIDE=FQ","FILING_STATUS=MR","SCALING_FORMAT=MLN","Sort=A","Dates=H","DateFormat=P","Fill=—","Direction=H","UseDPDF=Y")</f>
        <v>19413</v>
      </c>
      <c r="H58" s="13" t="str">
        <f>_xll.BDH("AMGN US Equity","ARDR_TOTAL_INTANGIBLE_ASSET_NET","FQ1 2020","FQ1 2020","Currency=USD","Period=FQ","BEST_FPERIOD_OVERRIDE=FQ","FILING_STATUS=MR","SCALING_FORMAT=MLN","Sort=A","Dates=H","DateFormat=P","Fill=—","Direction=H","UseDPDF=Y")</f>
        <v>—</v>
      </c>
      <c r="I58" s="13" t="str">
        <f>_xll.BDH("AMGN US Equity","ARDR_TOTAL_INTANGIBLE_ASSET_NET","FQ2 2020","FQ2 2020","Currency=USD","Period=FQ","BEST_FPERIOD_OVERRIDE=FQ","FILING_STATUS=MR","SCALING_FORMAT=MLN","Sort=A","Dates=H","DateFormat=P","Fill=—","Direction=H","UseDPDF=Y")</f>
        <v>—</v>
      </c>
      <c r="J58" s="13">
        <f>_xll.BDH("AMGN US Equity","ARDR_TOTAL_INTANGIBLE_ASSET_NET","FQ3 2020","FQ3 2020","Currency=USD","Period=FQ","BEST_FPERIOD_OVERRIDE=FQ","FILING_STATUS=MR","SCALING_FORMAT=MLN","Sort=A","Dates=H","DateFormat=P","Fill=—","Direction=H","UseDPDF=Y")</f>
        <v>17254</v>
      </c>
      <c r="K58" s="13">
        <f>_xll.BDH("AMGN US Equity","ARDR_TOTAL_INTANGIBLE_ASSET_NET","FQ4 2020","FQ4 2020","Currency=USD","Period=FQ","BEST_FPERIOD_OVERRIDE=FQ","FILING_STATUS=MR","SCALING_FORMAT=MLN","Sort=A","Dates=H","DateFormat=P","Fill=—","Direction=H","UseDPDF=Y")</f>
        <v>16587</v>
      </c>
      <c r="L58" s="13">
        <f>_xll.BDH("AMGN US Equity","ARDR_TOTAL_INTANGIBLE_ASSET_NET","FQ1 2021","FQ1 2021","Currency=USD","Period=FQ","BEST_FPERIOD_OVERRIDE=FQ","FILING_STATUS=MR","SCALING_FORMAT=MLN","Sort=A","Dates=H","DateFormat=P","Fill=—","Direction=H","UseDPDF=Y")</f>
        <v>30620</v>
      </c>
      <c r="M58" s="13">
        <f>_xll.BDH("AMGN US Equity","ARDR_TOTAL_INTANGIBLE_ASSET_NET","FQ2 2021","FQ2 2021","Currency=USD","Period=FQ","BEST_FPERIOD_OVERRIDE=FQ","FILING_STATUS=MR","SCALING_FORMAT=MLN","Sort=A","Dates=H","DateFormat=P","Fill=—","Direction=H","UseDPDF=Y")</f>
        <v>15308</v>
      </c>
      <c r="N58" s="13">
        <f>_xll.BDH("AMGN US Equity","ARDR_TOTAL_INTANGIBLE_ASSET_NET","FQ3 2021","FQ3 2021","Currency=USD","Period=FQ","BEST_FPERIOD_OVERRIDE=FQ","FILING_STATUS=MR","SCALING_FORMAT=MLN","Sort=A","Dates=H","DateFormat=P","Fill=—","Direction=H","UseDPDF=Y")</f>
        <v>29324</v>
      </c>
      <c r="O58" s="13">
        <f>_xll.BDH("AMGN US Equity","ARDR_TOTAL_INTANGIBLE_ASSET_NET","FQ4 2021","FQ4 2021","Currency=USD","Period=FQ","BEST_FPERIOD_OVERRIDE=FQ","FILING_STATUS=MR","SCALING_FORMAT=MLN","Sort=A","Dates=H","DateFormat=P","Fill=—","Direction=H","UseDPDF=Y")</f>
        <v>15182</v>
      </c>
      <c r="P58" s="13">
        <f>_xll.BDH("AMGN US Equity","ARDR_TOTAL_INTANGIBLE_ASSET_NET","FQ1 2022","FQ1 2022","Currency=USD","Period=FQ","BEST_FPERIOD_OVERRIDE=FQ","FILING_STATUS=MR","SCALING_FORMAT=MLN","Sort=A","Dates=H","DateFormat=P","Fill=—","Direction=H","UseDPDF=Y")</f>
        <v>29464</v>
      </c>
      <c r="Q58" s="13">
        <f>_xll.BDH("AMGN US Equity","ARDR_TOTAL_INTANGIBLE_ASSET_NET","FQ2 2022","FQ2 2022","Currency=USD","Period=FQ","BEST_FPERIOD_OVERRIDE=FQ","FILING_STATUS=MR","SCALING_FORMAT=MLN","Sort=A","Dates=H","DateFormat=P","Fill=—","Direction=H","UseDPDF=Y")</f>
        <v>28792</v>
      </c>
      <c r="R58" s="13">
        <f>_xll.BDH("AMGN US Equity","ARDR_TOTAL_INTANGIBLE_ASSET_NET","FQ3 2022","FQ3 2022","Currency=USD","Period=FQ","BEST_FPERIOD_OVERRIDE=FQ","FILING_STATUS=MR","SCALING_FORMAT=MLN","Sort=A","Dates=H","DateFormat=P","Fill=—","Direction=H","UseDPDF=Y")</f>
        <v>28111</v>
      </c>
      <c r="S58" s="13">
        <f>_xll.BDH("AMGN US Equity","ARDR_TOTAL_INTANGIBLE_ASSET_NET","FQ4 2022","FQ4 2022","Currency=USD","Period=FQ","BEST_FPERIOD_OVERRIDE=FQ","FILING_STATUS=MR","SCALING_FORMAT=MLN","Sort=A","Dates=H","DateFormat=P","Fill=—","Direction=H","UseDPDF=Y")</f>
        <v>31609</v>
      </c>
      <c r="T58" s="13">
        <f>_xll.BDH("AMGN US Equity","ARDR_TOTAL_INTANGIBLE_ASSET_NET","FQ1 2023","FQ1 2023","Currency=USD","Period=FQ","BEST_FPERIOD_OVERRIDE=FQ","FILING_STATUS=MR","SCALING_FORMAT=MLN","Sort=A","Dates=H","DateFormat=P","Fill=—","Direction=H","UseDPDF=Y")</f>
        <v>30924</v>
      </c>
      <c r="U58" s="13">
        <f>_xll.BDH("AMGN US Equity","ARDR_TOTAL_INTANGIBLE_ASSET_NET","FQ2 2023","FQ2 2023","Currency=USD","Period=FQ","BEST_FPERIOD_OVERRIDE=FQ","FILING_STATUS=MR","SCALING_FORMAT=MLN","Sort=A","Dates=H","DateFormat=P","Fill=—","Direction=H","UseDPDF=Y")</f>
        <v>30164</v>
      </c>
      <c r="V58" s="13">
        <f>_xll.BDH("AMGN US Equity","ARDR_TOTAL_INTANGIBLE_ASSET_NET","FQ3 2023","FQ3 2023","Currency=USD","Period=FQ","BEST_FPERIOD_OVERRIDE=FQ","FILING_STATUS=MR","SCALING_FORMAT=MLN","Sort=A","Dates=H","DateFormat=P","Fill=—","Direction=H","UseDPDF=Y")</f>
        <v>28659</v>
      </c>
      <c r="W58" s="13">
        <f>_xll.BDH("AMGN US Equity","ARDR_TOTAL_INTANGIBLE_ASSET_NET","FQ4 2023","FQ4 2023","Currency=USD","Period=FQ","BEST_FPERIOD_OVERRIDE=FQ","FILING_STATUS=MR","SCALING_FORMAT=MLN","Sort=A","Dates=H","DateFormat=P","Fill=—","Direction=H","UseDPDF=Y")</f>
        <v>51270</v>
      </c>
      <c r="X58" s="13">
        <f>_xll.BDH("AMGN US Equity","ARDR_TOTAL_INTANGIBLE_ASSET_NET","FQ1 2024","FQ1 2024","Currency=USD","Period=FQ","BEST_FPERIOD_OVERRIDE=FQ","FILING_STATUS=MR","SCALING_FORMAT=MLN","Sort=A","Dates=H","DateFormat=P","Fill=—","Direction=H","UseDPDF=Y")</f>
        <v>49942</v>
      </c>
      <c r="Y58" s="13">
        <f>_xll.BDH("AMGN US Equity","ARDR_TOTAL_INTANGIBLE_ASSET_NET","FQ2 2024","FQ2 2024","Currency=USD","Period=FQ","BEST_FPERIOD_OVERRIDE=FQ","FILING_STATUS=MR","SCALING_FORMAT=MLN","Sort=A","Dates=H","DateFormat=P","Fill=—","Direction=H","UseDPDF=Y")</f>
        <v>48788</v>
      </c>
      <c r="Z58" s="13">
        <f>_xll.BDH("AMGN US Equity","ARDR_TOTAL_INTANGIBLE_ASSET_NET","FQ3 2024","FQ3 2024","Currency=USD","Period=FQ","BEST_FPERIOD_OVERRIDE=FQ","FILING_STATUS=MR","SCALING_FORMAT=MLN","Sort=A","Dates=H","DateFormat=P","Fill=—","Direction=H","UseDPDF=Y")</f>
        <v>47578</v>
      </c>
      <c r="AA58" s="13">
        <f>_xll.BDH("AMGN US Equity","ARDR_TOTAL_INTANGIBLE_ASSET_NET","FQ4 2024","FQ4 2024","Currency=USD","Period=FQ","BEST_FPERIOD_OVERRIDE=FQ","FILING_STATUS=MR","SCALING_FORMAT=MLN","Sort=A","Dates=H","DateFormat=P","Fill=—","Direction=H","UseDPDF=Y")</f>
        <v>46336</v>
      </c>
    </row>
    <row r="59" spans="1:27" x14ac:dyDescent="0.25">
      <c r="A59" s="10" t="s">
        <v>871</v>
      </c>
      <c r="B59" s="10" t="s">
        <v>945</v>
      </c>
      <c r="C59" s="13">
        <f>_xll.BDH("AMGN US Equity","ARDR_OTHER_INTANGIBLE_ASSET","FQ4 2018","FQ4 2018","Currency=USD","Period=FQ","BEST_FPERIOD_OVERRIDE=FQ","FILING_STATUS=MR","SCALING_FORMAT=MLN","Sort=A","Dates=H","DateFormat=P","Fill=—","Direction=H","UseDPDF=Y")</f>
        <v>55</v>
      </c>
      <c r="D59" s="13">
        <f>_xll.BDH("AMGN US Equity","ARDR_OTHER_INTANGIBLE_ASSET","FQ1 2019","FQ1 2019","Currency=USD","Period=FQ","BEST_FPERIOD_OVERRIDE=FQ","FILING_STATUS=MR","SCALING_FORMAT=MLN","Sort=A","Dates=H","DateFormat=P","Fill=—","Direction=H","UseDPDF=Y")</f>
        <v>55</v>
      </c>
      <c r="E59" s="13">
        <f>_xll.BDH("AMGN US Equity","ARDR_OTHER_INTANGIBLE_ASSET","FQ2 2019","FQ2 2019","Currency=USD","Period=FQ","BEST_FPERIOD_OVERRIDE=FQ","FILING_STATUS=MR","SCALING_FORMAT=MLN","Sort=A","Dates=H","DateFormat=P","Fill=—","Direction=H","UseDPDF=Y")</f>
        <v>55</v>
      </c>
      <c r="F59" s="13">
        <f>_xll.BDH("AMGN US Equity","ARDR_OTHER_INTANGIBLE_ASSET","FQ3 2019","FQ3 2019","Currency=USD","Period=FQ","BEST_FPERIOD_OVERRIDE=FQ","FILING_STATUS=MR","SCALING_FORMAT=MLN","Sort=A","Dates=H","DateFormat=P","Fill=—","Direction=H","UseDPDF=Y")</f>
        <v>76</v>
      </c>
      <c r="G59" s="13">
        <f>_xll.BDH("AMGN US Equity","ARDR_OTHER_INTANGIBLE_ASSET","FQ4 2019","FQ4 2019","Currency=USD","Period=FQ","BEST_FPERIOD_OVERRIDE=FQ","FILING_STATUS=MR","SCALING_FORMAT=MLN","Sort=A","Dates=H","DateFormat=P","Fill=—","Direction=H","UseDPDF=Y")</f>
        <v>54</v>
      </c>
      <c r="H59" s="13">
        <f>_xll.BDH("AMGN US Equity","ARDR_OTHER_INTANGIBLE_ASSET","FQ1 2020","FQ1 2020","Currency=USD","Period=FQ","BEST_FPERIOD_OVERRIDE=FQ","FILING_STATUS=MR","SCALING_FORMAT=MLN","Sort=A","Dates=H","DateFormat=P","Fill=—","Direction=H","UseDPDF=Y")</f>
        <v>30</v>
      </c>
      <c r="I59" s="13">
        <f>_xll.BDH("AMGN US Equity","ARDR_OTHER_INTANGIBLE_ASSET","FQ2 2020","FQ2 2020","Currency=USD","Period=FQ","BEST_FPERIOD_OVERRIDE=FQ","FILING_STATUS=MR","SCALING_FORMAT=MLN","Sort=A","Dates=H","DateFormat=P","Fill=—","Direction=H","UseDPDF=Y")</f>
        <v>30</v>
      </c>
      <c r="J59" s="13">
        <f>_xll.BDH("AMGN US Equity","ARDR_OTHER_INTANGIBLE_ASSET","FQ3 2020","FQ3 2020","Currency=USD","Period=FQ","BEST_FPERIOD_OVERRIDE=FQ","FILING_STATUS=MR","SCALING_FORMAT=MLN","Sort=A","Dates=H","DateFormat=P","Fill=—","Direction=H","UseDPDF=Y")</f>
        <v>30</v>
      </c>
      <c r="K59" s="13">
        <f>_xll.BDH("AMGN US Equity","ARDR_OTHER_INTANGIBLE_ASSET","FQ4 2020","FQ4 2020","Currency=USD","Period=FQ","BEST_FPERIOD_OVERRIDE=FQ","FILING_STATUS=MR","SCALING_FORMAT=MLN","Sort=A","Dates=H","DateFormat=P","Fill=—","Direction=H","UseDPDF=Y")</f>
        <v>30</v>
      </c>
      <c r="L59" s="13">
        <f>_xll.BDH("AMGN US Equity","ARDR_OTHER_INTANGIBLE_ASSET","FQ1 2021","FQ1 2021","Currency=USD","Period=FQ","BEST_FPERIOD_OVERRIDE=FQ","FILING_STATUS=MR","SCALING_FORMAT=MLN","Sort=A","Dates=H","DateFormat=P","Fill=—","Direction=H","UseDPDF=Y")</f>
        <v>30</v>
      </c>
      <c r="M59" s="13">
        <f>_xll.BDH("AMGN US Equity","ARDR_OTHER_INTANGIBLE_ASSET","FQ2 2021","FQ2 2021","Currency=USD","Period=FQ","BEST_FPERIOD_OVERRIDE=FQ","FILING_STATUS=MR","SCALING_FORMAT=MLN","Sort=A","Dates=H","DateFormat=P","Fill=—","Direction=H","UseDPDF=Y")</f>
        <v>30</v>
      </c>
      <c r="N59" s="13">
        <f>_xll.BDH("AMGN US Equity","ARDR_OTHER_INTANGIBLE_ASSET","FQ3 2021","FQ3 2021","Currency=USD","Period=FQ","BEST_FPERIOD_OVERRIDE=FQ","FILING_STATUS=MR","SCALING_FORMAT=MLN","Sort=A","Dates=H","DateFormat=P","Fill=—","Direction=H","UseDPDF=Y")</f>
        <v>30</v>
      </c>
      <c r="O59" s="13">
        <f>_xll.BDH("AMGN US Equity","ARDR_OTHER_INTANGIBLE_ASSET","FQ4 2021","FQ4 2021","Currency=USD","Period=FQ","BEST_FPERIOD_OVERRIDE=FQ","FILING_STATUS=MR","SCALING_FORMAT=MLN","Sort=A","Dates=H","DateFormat=P","Fill=—","Direction=H","UseDPDF=Y")</f>
        <v>1070</v>
      </c>
      <c r="P59" s="13">
        <f>_xll.BDH("AMGN US Equity","ARDR_OTHER_INTANGIBLE_ASSET","FQ1 2022","FQ1 2022","Currency=USD","Period=FQ","BEST_FPERIOD_OVERRIDE=FQ","FILING_STATUS=MR","SCALING_FORMAT=MLN","Sort=A","Dates=H","DateFormat=P","Fill=—","Direction=H","UseDPDF=Y")</f>
        <v>1021</v>
      </c>
      <c r="Q59" s="13">
        <f>_xll.BDH("AMGN US Equity","ARDR_OTHER_INTANGIBLE_ASSET","FQ2 2022","FQ2 2022","Currency=USD","Period=FQ","BEST_FPERIOD_OVERRIDE=FQ","FILING_STATUS=MR","SCALING_FORMAT=MLN","Sort=A","Dates=H","DateFormat=P","Fill=—","Direction=H","UseDPDF=Y")</f>
        <v>1020</v>
      </c>
      <c r="R59" s="13">
        <f>_xll.BDH("AMGN US Equity","ARDR_OTHER_INTANGIBLE_ASSET","FQ3 2022","FQ3 2022","Currency=USD","Period=FQ","BEST_FPERIOD_OVERRIDE=FQ","FILING_STATUS=MR","SCALING_FORMAT=MLN","Sort=A","Dates=H","DateFormat=P","Fill=—","Direction=H","UseDPDF=Y")</f>
        <v>1009</v>
      </c>
      <c r="S59" s="13">
        <f>_xll.BDH("AMGN US Equity","ARDR_OTHER_INTANGIBLE_ASSET","FQ4 2022","FQ4 2022","Currency=USD","Period=FQ","BEST_FPERIOD_OVERRIDE=FQ","FILING_STATUS=MR","SCALING_FORMAT=MLN","Sort=A","Dates=H","DateFormat=P","Fill=—","Direction=H","UseDPDF=Y")</f>
        <v>1009</v>
      </c>
      <c r="T59" s="13">
        <f>_xll.BDH("AMGN US Equity","ARDR_OTHER_INTANGIBLE_ASSET","FQ1 2023","FQ1 2023","Currency=USD","Period=FQ","BEST_FPERIOD_OVERRIDE=FQ","FILING_STATUS=MR","SCALING_FORMAT=MLN","Sort=A","Dates=H","DateFormat=P","Fill=—","Direction=H","UseDPDF=Y")</f>
        <v>1009</v>
      </c>
      <c r="U59" s="13">
        <f>_xll.BDH("AMGN US Equity","ARDR_OTHER_INTANGIBLE_ASSET","FQ2 2023","FQ2 2023","Currency=USD","Period=FQ","BEST_FPERIOD_OVERRIDE=FQ","FILING_STATUS=MR","SCALING_FORMAT=MLN","Sort=A","Dates=H","DateFormat=P","Fill=—","Direction=H","UseDPDF=Y")</f>
        <v>13849</v>
      </c>
      <c r="V59" s="13">
        <f>_xll.BDH("AMGN US Equity","ARDR_OTHER_INTANGIBLE_ASSET","FQ3 2023","FQ3 2023","Currency=USD","Period=FQ","BEST_FPERIOD_OVERRIDE=FQ","FILING_STATUS=MR","SCALING_FORMAT=MLN","Sort=A","Dates=H","DateFormat=P","Fill=—","Direction=H","UseDPDF=Y")</f>
        <v>158</v>
      </c>
      <c r="W59" s="13">
        <f>_xll.BDH("AMGN US Equity","ARDR_OTHER_INTANGIBLE_ASSET","FQ4 2023","FQ4 2023","Currency=USD","Period=FQ","BEST_FPERIOD_OVERRIDE=FQ","FILING_STATUS=MR","SCALING_FORMAT=MLN","Sort=A","Dates=H","DateFormat=P","Fill=—","Direction=H","UseDPDF=Y")</f>
        <v>1218</v>
      </c>
      <c r="X59" s="13">
        <f>_xll.BDH("AMGN US Equity","ARDR_OTHER_INTANGIBLE_ASSET","FQ1 2024","FQ1 2024","Currency=USD","Period=FQ","BEST_FPERIOD_OVERRIDE=FQ","FILING_STATUS=MR","SCALING_FORMAT=MLN","Sort=A","Dates=H","DateFormat=P","Fill=—","Direction=H","UseDPDF=Y")</f>
        <v>1150</v>
      </c>
      <c r="Y59" s="13">
        <f>_xll.BDH("AMGN US Equity","ARDR_OTHER_INTANGIBLE_ASSET","FQ2 2024","FQ2 2024","Currency=USD","Period=FQ","BEST_FPERIOD_OVERRIDE=FQ","FILING_STATUS=MR","SCALING_FORMAT=MLN","Sort=A","Dates=H","DateFormat=P","Fill=—","Direction=H","UseDPDF=Y")</f>
        <v>1150</v>
      </c>
      <c r="Z59" s="13">
        <f>_xll.BDH("AMGN US Equity","ARDR_OTHER_INTANGIBLE_ASSET","FQ3 2024","FQ3 2024","Currency=USD","Period=FQ","BEST_FPERIOD_OVERRIDE=FQ","FILING_STATUS=MR","SCALING_FORMAT=MLN","Sort=A","Dates=H","DateFormat=P","Fill=—","Direction=H","UseDPDF=Y")</f>
        <v>1090</v>
      </c>
      <c r="AA59" s="13">
        <f>_xll.BDH("AMGN US Equity","ARDR_OTHER_INTANGIBLE_ASSET","FQ4 2024","FQ4 2024","Currency=USD","Period=FQ","BEST_FPERIOD_OVERRIDE=FQ","FILING_STATUS=MR","SCALING_FORMAT=MLN","Sort=A","Dates=H","DateFormat=P","Fill=—","Direction=H","UseDPDF=Y")</f>
        <v>1060</v>
      </c>
    </row>
    <row r="60" spans="1:27" x14ac:dyDescent="0.25">
      <c r="A60" s="10" t="s">
        <v>946</v>
      </c>
      <c r="B60" s="10" t="s">
        <v>947</v>
      </c>
      <c r="C60" s="13" t="str">
        <f>_xll.BDH("AMGN US Equity","ARDR_INVESTMENT_IN_AFFILIATE_JV","FQ4 2018","FQ4 2018","Currency=USD","Period=FQ","BEST_FPERIOD_OVERRIDE=FQ","FILING_STATUS=MR","SCALING_FORMAT=MLN","Sort=A","Dates=H","DateFormat=P","Fill=—","Direction=H","UseDPDF=Y")</f>
        <v>—</v>
      </c>
      <c r="D60" s="13" t="str">
        <f>_xll.BDH("AMGN US Equity","ARDR_INVESTMENT_IN_AFFILIATE_JV","FQ1 2019","FQ1 2019","Currency=USD","Period=FQ","BEST_FPERIOD_OVERRIDE=FQ","FILING_STATUS=MR","SCALING_FORMAT=MLN","Sort=A","Dates=H","DateFormat=P","Fill=—","Direction=H","UseDPDF=Y")</f>
        <v>—</v>
      </c>
      <c r="E60" s="13" t="str">
        <f>_xll.BDH("AMGN US Equity","ARDR_INVESTMENT_IN_AFFILIATE_JV","FQ2 2019","FQ2 2019","Currency=USD","Period=FQ","BEST_FPERIOD_OVERRIDE=FQ","FILING_STATUS=MR","SCALING_FORMAT=MLN","Sort=A","Dates=H","DateFormat=P","Fill=—","Direction=H","UseDPDF=Y")</f>
        <v>—</v>
      </c>
      <c r="F60" s="13" t="str">
        <f>_xll.BDH("AMGN US Equity","ARDR_INVESTMENT_IN_AFFILIATE_JV","FQ3 2019","FQ3 2019","Currency=USD","Period=FQ","BEST_FPERIOD_OVERRIDE=FQ","FILING_STATUS=MR","SCALING_FORMAT=MLN","Sort=A","Dates=H","DateFormat=P","Fill=—","Direction=H","UseDPDF=Y")</f>
        <v>—</v>
      </c>
      <c r="G60" s="13" t="str">
        <f>_xll.BDH("AMGN US Equity","ARDR_INVESTMENT_IN_AFFILIATE_JV","FQ4 2019","FQ4 2019","Currency=USD","Period=FQ","BEST_FPERIOD_OVERRIDE=FQ","FILING_STATUS=MR","SCALING_FORMAT=MLN","Sort=A","Dates=H","DateFormat=P","Fill=—","Direction=H","UseDPDF=Y")</f>
        <v>—</v>
      </c>
      <c r="H60" s="13" t="str">
        <f>_xll.BDH("AMGN US Equity","ARDR_INVESTMENT_IN_AFFILIATE_JV","FQ1 2020","FQ1 2020","Currency=USD","Period=FQ","BEST_FPERIOD_OVERRIDE=FQ","FILING_STATUS=MR","SCALING_FORMAT=MLN","Sort=A","Dates=H","DateFormat=P","Fill=—","Direction=H","UseDPDF=Y")</f>
        <v>—</v>
      </c>
      <c r="I60" s="13" t="str">
        <f>_xll.BDH("AMGN US Equity","ARDR_INVESTMENT_IN_AFFILIATE_JV","FQ2 2020","FQ2 2020","Currency=USD","Period=FQ","BEST_FPERIOD_OVERRIDE=FQ","FILING_STATUS=MR","SCALING_FORMAT=MLN","Sort=A","Dates=H","DateFormat=P","Fill=—","Direction=H","UseDPDF=Y")</f>
        <v>—</v>
      </c>
      <c r="J60" s="13" t="str">
        <f>_xll.BDH("AMGN US Equity","ARDR_INVESTMENT_IN_AFFILIATE_JV","FQ3 2020","FQ3 2020","Currency=USD","Period=FQ","BEST_FPERIOD_OVERRIDE=FQ","FILING_STATUS=MR","SCALING_FORMAT=MLN","Sort=A","Dates=H","DateFormat=P","Fill=—","Direction=H","UseDPDF=Y")</f>
        <v>—</v>
      </c>
      <c r="K60" s="13">
        <f>_xll.BDH("AMGN US Equity","ARDR_INVESTMENT_IN_AFFILIATE_JV","FQ4 2020","FQ4 2020","Currency=USD","Period=FQ","BEST_FPERIOD_OVERRIDE=FQ","FILING_STATUS=MR","SCALING_FORMAT=MLN","Sort=A","Dates=H","DateFormat=P","Fill=—","Direction=H","UseDPDF=Y")</f>
        <v>496</v>
      </c>
      <c r="L60" s="13" t="str">
        <f>_xll.BDH("AMGN US Equity","ARDR_INVESTMENT_IN_AFFILIATE_JV","FQ1 2021","FQ1 2021","Currency=USD","Period=FQ","BEST_FPERIOD_OVERRIDE=FQ","FILING_STATUS=MR","SCALING_FORMAT=MLN","Sort=A","Dates=H","DateFormat=P","Fill=—","Direction=H","UseDPDF=Y")</f>
        <v>—</v>
      </c>
      <c r="M60" s="13" t="str">
        <f>_xll.BDH("AMGN US Equity","ARDR_INVESTMENT_IN_AFFILIATE_JV","FQ2 2021","FQ2 2021","Currency=USD","Period=FQ","BEST_FPERIOD_OVERRIDE=FQ","FILING_STATUS=MR","SCALING_FORMAT=MLN","Sort=A","Dates=H","DateFormat=P","Fill=—","Direction=H","UseDPDF=Y")</f>
        <v>—</v>
      </c>
      <c r="N60" s="13" t="str">
        <f>_xll.BDH("AMGN US Equity","ARDR_INVESTMENT_IN_AFFILIATE_JV","FQ3 2021","FQ3 2021","Currency=USD","Period=FQ","BEST_FPERIOD_OVERRIDE=FQ","FILING_STATUS=MR","SCALING_FORMAT=MLN","Sort=A","Dates=H","DateFormat=P","Fill=—","Direction=H","UseDPDF=Y")</f>
        <v>—</v>
      </c>
      <c r="O60" s="13" t="str">
        <f>_xll.BDH("AMGN US Equity","ARDR_INVESTMENT_IN_AFFILIATE_JV","FQ4 2021","FQ4 2021","Currency=USD","Period=FQ","BEST_FPERIOD_OVERRIDE=FQ","FILING_STATUS=MR","SCALING_FORMAT=MLN","Sort=A","Dates=H","DateFormat=P","Fill=—","Direction=H","UseDPDF=Y")</f>
        <v>—</v>
      </c>
      <c r="P60" s="13" t="str">
        <f>_xll.BDH("AMGN US Equity","ARDR_INVESTMENT_IN_AFFILIATE_JV","FQ1 2022","FQ1 2022","Currency=USD","Period=FQ","BEST_FPERIOD_OVERRIDE=FQ","FILING_STATUS=MR","SCALING_FORMAT=MLN","Sort=A","Dates=H","DateFormat=P","Fill=—","Direction=H","UseDPDF=Y")</f>
        <v>—</v>
      </c>
      <c r="Q60" s="13" t="str">
        <f>_xll.BDH("AMGN US Equity","ARDR_INVESTMENT_IN_AFFILIATE_JV","FQ2 2022","FQ2 2022","Currency=USD","Period=FQ","BEST_FPERIOD_OVERRIDE=FQ","FILING_STATUS=MR","SCALING_FORMAT=MLN","Sort=A","Dates=H","DateFormat=P","Fill=—","Direction=H","UseDPDF=Y")</f>
        <v>—</v>
      </c>
      <c r="R60" s="13" t="str">
        <f>_xll.BDH("AMGN US Equity","ARDR_INVESTMENT_IN_AFFILIATE_JV","FQ3 2022","FQ3 2022","Currency=USD","Period=FQ","BEST_FPERIOD_OVERRIDE=FQ","FILING_STATUS=MR","SCALING_FORMAT=MLN","Sort=A","Dates=H","DateFormat=P","Fill=—","Direction=H","UseDPDF=Y")</f>
        <v>—</v>
      </c>
      <c r="S60" s="13">
        <f>_xll.BDH("AMGN US Equity","ARDR_INVESTMENT_IN_AFFILIATE_JV","FQ4 2022","FQ4 2022","Currency=USD","Period=FQ","BEST_FPERIOD_OVERRIDE=FQ","FILING_STATUS=MR","SCALING_FORMAT=MLN","Sort=A","Dates=H","DateFormat=P","Fill=—","Direction=H","UseDPDF=Y")</f>
        <v>249</v>
      </c>
      <c r="T60" s="13" t="str">
        <f>_xll.BDH("AMGN US Equity","ARDR_INVESTMENT_IN_AFFILIATE_JV","FQ1 2023","FQ1 2023","Currency=USD","Period=FQ","BEST_FPERIOD_OVERRIDE=FQ","FILING_STATUS=MR","SCALING_FORMAT=MLN","Sort=A","Dates=H","DateFormat=P","Fill=—","Direction=H","UseDPDF=Y")</f>
        <v>—</v>
      </c>
      <c r="U60" s="13" t="str">
        <f>_xll.BDH("AMGN US Equity","ARDR_INVESTMENT_IN_AFFILIATE_JV","FQ2 2023","FQ2 2023","Currency=USD","Period=FQ","BEST_FPERIOD_OVERRIDE=FQ","FILING_STATUS=MR","SCALING_FORMAT=MLN","Sort=A","Dates=H","DateFormat=P","Fill=—","Direction=H","UseDPDF=Y")</f>
        <v>—</v>
      </c>
      <c r="V60" s="13" t="str">
        <f>_xll.BDH("AMGN US Equity","ARDR_INVESTMENT_IN_AFFILIATE_JV","FQ3 2023","FQ3 2023","Currency=USD","Period=FQ","BEST_FPERIOD_OVERRIDE=FQ","FILING_STATUS=MR","SCALING_FORMAT=MLN","Sort=A","Dates=H","DateFormat=P","Fill=—","Direction=H","UseDPDF=Y")</f>
        <v>—</v>
      </c>
      <c r="W60" s="13">
        <f>_xll.BDH("AMGN US Equity","ARDR_INVESTMENT_IN_AFFILIATE_JV","FQ4 2023","FQ4 2023","Currency=USD","Period=FQ","BEST_FPERIOD_OVERRIDE=FQ","FILING_STATUS=MR","SCALING_FORMAT=MLN","Sort=A","Dates=H","DateFormat=P","Fill=—","Direction=H","UseDPDF=Y")</f>
        <v>251</v>
      </c>
      <c r="X60" s="13" t="str">
        <f>_xll.BDH("AMGN US Equity","ARDR_INVESTMENT_IN_AFFILIATE_JV","FQ1 2024","FQ1 2024","Currency=USD","Period=FQ","BEST_FPERIOD_OVERRIDE=FQ","FILING_STATUS=MR","SCALING_FORMAT=MLN","Sort=A","Dates=H","DateFormat=P","Fill=—","Direction=H","UseDPDF=Y")</f>
        <v>—</v>
      </c>
      <c r="Y60" s="13" t="str">
        <f>_xll.BDH("AMGN US Equity","ARDR_INVESTMENT_IN_AFFILIATE_JV","FQ2 2024","FQ2 2024","Currency=USD","Period=FQ","BEST_FPERIOD_OVERRIDE=FQ","FILING_STATUS=MR","SCALING_FORMAT=MLN","Sort=A","Dates=H","DateFormat=P","Fill=—","Direction=H","UseDPDF=Y")</f>
        <v>—</v>
      </c>
      <c r="Z60" s="13" t="str">
        <f>_xll.BDH("AMGN US Equity","ARDR_INVESTMENT_IN_AFFILIATE_JV","FQ3 2024","FQ3 2024","Currency=USD","Period=FQ","BEST_FPERIOD_OVERRIDE=FQ","FILING_STATUS=MR","SCALING_FORMAT=MLN","Sort=A","Dates=H","DateFormat=P","Fill=—","Direction=H","UseDPDF=Y")</f>
        <v>—</v>
      </c>
      <c r="AA60" s="13">
        <f>_xll.BDH("AMGN US Equity","ARDR_INVESTMENT_IN_AFFILIATE_JV","FQ4 2024","FQ4 2024","Currency=USD","Period=FQ","BEST_FPERIOD_OVERRIDE=FQ","FILING_STATUS=MR","SCALING_FORMAT=MLN","Sort=A","Dates=H","DateFormat=P","Fill=—","Direction=H","UseDPDF=Y")</f>
        <v>262</v>
      </c>
    </row>
    <row r="61" spans="1:27" x14ac:dyDescent="0.25">
      <c r="A61" s="10" t="s">
        <v>873</v>
      </c>
      <c r="B61" s="10" t="s">
        <v>948</v>
      </c>
      <c r="C61" s="13">
        <f>_xll.BDH("AMGN US Equity","ARDR_GOODWLL","FQ4 2018","FQ4 2018","Currency=USD","Period=FQ","BEST_FPERIOD_OVERRIDE=FQ","FILING_STATUS=MR","SCALING_FORMAT=MLN","Sort=A","Dates=H","DateFormat=P","Fill=—","Direction=H","UseDPDF=Y")</f>
        <v>14699</v>
      </c>
      <c r="D61" s="13">
        <f>_xll.BDH("AMGN US Equity","ARDR_GOODWLL","FQ1 2019","FQ1 2019","Currency=USD","Period=FQ","BEST_FPERIOD_OVERRIDE=FQ","FILING_STATUS=MR","SCALING_FORMAT=MLN","Sort=A","Dates=H","DateFormat=P","Fill=—","Direction=H","UseDPDF=Y")</f>
        <v>14692</v>
      </c>
      <c r="E61" s="13">
        <f>_xll.BDH("AMGN US Equity","ARDR_GOODWLL","FQ2 2019","FQ2 2019","Currency=USD","Period=FQ","BEST_FPERIOD_OVERRIDE=FQ","FILING_STATUS=MR","SCALING_FORMAT=MLN","Sort=A","Dates=H","DateFormat=P","Fill=—","Direction=H","UseDPDF=Y")</f>
        <v>14689</v>
      </c>
      <c r="F61" s="13">
        <f>_xll.BDH("AMGN US Equity","ARDR_GOODWLL","FQ3 2019","FQ3 2019","Currency=USD","Period=FQ","BEST_FPERIOD_OVERRIDE=FQ","FILING_STATUS=MR","SCALING_FORMAT=MLN","Sort=A","Dates=H","DateFormat=P","Fill=—","Direction=H","UseDPDF=Y")</f>
        <v>14705</v>
      </c>
      <c r="G61" s="13">
        <f>_xll.BDH("AMGN US Equity","ARDR_GOODWLL","FQ4 2019","FQ4 2019","Currency=USD","Period=FQ","BEST_FPERIOD_OVERRIDE=FQ","FILING_STATUS=MR","SCALING_FORMAT=MLN","Sort=A","Dates=H","DateFormat=P","Fill=—","Direction=H","UseDPDF=Y")</f>
        <v>14703</v>
      </c>
      <c r="H61" s="13">
        <f>_xll.BDH("AMGN US Equity","ARDR_GOODWLL","FQ1 2020","FQ1 2020","Currency=USD","Period=FQ","BEST_FPERIOD_OVERRIDE=FQ","FILING_STATUS=MR","SCALING_FORMAT=MLN","Sort=A","Dates=H","DateFormat=P","Fill=—","Direction=H","UseDPDF=Y")</f>
        <v>14683</v>
      </c>
      <c r="I61" s="13">
        <f>_xll.BDH("AMGN US Equity","ARDR_GOODWLL","FQ2 2020","FQ2 2020","Currency=USD","Period=FQ","BEST_FPERIOD_OVERRIDE=FQ","FILING_STATUS=MR","SCALING_FORMAT=MLN","Sort=A","Dates=H","DateFormat=P","Fill=—","Direction=H","UseDPDF=Y")</f>
        <v>14678</v>
      </c>
      <c r="J61" s="13">
        <f>_xll.BDH("AMGN US Equity","ARDR_GOODWLL","FQ3 2020","FQ3 2020","Currency=USD","Period=FQ","BEST_FPERIOD_OVERRIDE=FQ","FILING_STATUS=MR","SCALING_FORMAT=MLN","Sort=A","Dates=H","DateFormat=P","Fill=—","Direction=H","UseDPDF=Y")</f>
        <v>14674</v>
      </c>
      <c r="K61" s="13">
        <f>_xll.BDH("AMGN US Equity","ARDR_GOODWLL","FQ4 2020","FQ4 2020","Currency=USD","Period=FQ","BEST_FPERIOD_OVERRIDE=FQ","FILING_STATUS=MR","SCALING_FORMAT=MLN","Sort=A","Dates=H","DateFormat=P","Fill=—","Direction=H","UseDPDF=Y")</f>
        <v>14689</v>
      </c>
      <c r="L61" s="13">
        <f>_xll.BDH("AMGN US Equity","ARDR_GOODWLL","FQ1 2021","FQ1 2021","Currency=USD","Period=FQ","BEST_FPERIOD_OVERRIDE=FQ","FILING_STATUS=MR","SCALING_FORMAT=MLN","Sort=A","Dates=H","DateFormat=P","Fill=—","Direction=H","UseDPDF=Y")</f>
        <v>14673</v>
      </c>
      <c r="M61" s="13">
        <f>_xll.BDH("AMGN US Equity","ARDR_GOODWLL","FQ2 2021","FQ2 2021","Currency=USD","Period=FQ","BEST_FPERIOD_OVERRIDE=FQ","FILING_STATUS=MR","SCALING_FORMAT=MLN","Sort=A","Dates=H","DateFormat=P","Fill=—","Direction=H","UseDPDF=Y")</f>
        <v>14676</v>
      </c>
      <c r="N61" s="13">
        <f>_xll.BDH("AMGN US Equity","ARDR_GOODWLL","FQ3 2021","FQ3 2021","Currency=USD","Period=FQ","BEST_FPERIOD_OVERRIDE=FQ","FILING_STATUS=MR","SCALING_FORMAT=MLN","Sort=A","Dates=H","DateFormat=P","Fill=—","Direction=H","UseDPDF=Y")</f>
        <v>14665</v>
      </c>
      <c r="O61" s="13">
        <f>_xll.BDH("AMGN US Equity","ARDR_GOODWLL","FQ4 2021","FQ4 2021","Currency=USD","Period=FQ","BEST_FPERIOD_OVERRIDE=FQ","FILING_STATUS=MR","SCALING_FORMAT=MLN","Sort=A","Dates=H","DateFormat=P","Fill=—","Direction=H","UseDPDF=Y")</f>
        <v>14890</v>
      </c>
      <c r="P61" s="13">
        <f>_xll.BDH("AMGN US Equity","ARDR_GOODWLL","FQ1 2022","FQ1 2022","Currency=USD","Period=FQ","BEST_FPERIOD_OVERRIDE=FQ","FILING_STATUS=MR","SCALING_FORMAT=MLN","Sort=A","Dates=H","DateFormat=P","Fill=—","Direction=H","UseDPDF=Y")</f>
        <v>14897</v>
      </c>
      <c r="Q61" s="13">
        <f>_xll.BDH("AMGN US Equity","ARDR_GOODWLL","FQ2 2022","FQ2 2022","Currency=USD","Period=FQ","BEST_FPERIOD_OVERRIDE=FQ","FILING_STATUS=MR","SCALING_FORMAT=MLN","Sort=A","Dates=H","DateFormat=P","Fill=—","Direction=H","UseDPDF=Y")</f>
        <v>14865</v>
      </c>
      <c r="R61" s="13">
        <f>_xll.BDH("AMGN US Equity","ARDR_GOODWLL","FQ3 2022","FQ3 2022","Currency=USD","Period=FQ","BEST_FPERIOD_OVERRIDE=FQ","FILING_STATUS=MR","SCALING_FORMAT=MLN","Sort=A","Dates=H","DateFormat=P","Fill=—","Direction=H","UseDPDF=Y")</f>
        <v>14845</v>
      </c>
      <c r="S61" s="13">
        <f>_xll.BDH("AMGN US Equity","ARDR_GOODWLL","FQ4 2022","FQ4 2022","Currency=USD","Period=FQ","BEST_FPERIOD_OVERRIDE=FQ","FILING_STATUS=MR","SCALING_FORMAT=MLN","Sort=A","Dates=H","DateFormat=P","Fill=—","Direction=H","UseDPDF=Y")</f>
        <v>15529</v>
      </c>
      <c r="T61" s="13">
        <f>_xll.BDH("AMGN US Equity","ARDR_GOODWLL","FQ1 2023","FQ1 2023","Currency=USD","Period=FQ","BEST_FPERIOD_OVERRIDE=FQ","FILING_STATUS=MR","SCALING_FORMAT=MLN","Sort=A","Dates=H","DateFormat=P","Fill=—","Direction=H","UseDPDF=Y")</f>
        <v>15531</v>
      </c>
      <c r="U61" s="13">
        <f>_xll.BDH("AMGN US Equity","ARDR_GOODWLL","FQ2 2023","FQ2 2023","Currency=USD","Period=FQ","BEST_FPERIOD_OVERRIDE=FQ","FILING_STATUS=MR","SCALING_FORMAT=MLN","Sort=A","Dates=H","DateFormat=P","Fill=—","Direction=H","UseDPDF=Y")</f>
        <v>15531</v>
      </c>
      <c r="V61" s="13">
        <f>_xll.BDH("AMGN US Equity","ARDR_GOODWLL","FQ3 2023","FQ3 2023","Currency=USD","Period=FQ","BEST_FPERIOD_OVERRIDE=FQ","FILING_STATUS=MR","SCALING_FORMAT=MLN","Sort=A","Dates=H","DateFormat=P","Fill=—","Direction=H","UseDPDF=Y")</f>
        <v>15509</v>
      </c>
      <c r="W61" s="13">
        <f>_xll.BDH("AMGN US Equity","ARDR_GOODWLL","FQ4 2023","FQ4 2023","Currency=USD","Period=FQ","BEST_FPERIOD_OVERRIDE=FQ","FILING_STATUS=MR","SCALING_FORMAT=MLN","Sort=A","Dates=H","DateFormat=P","Fill=—","Direction=H","UseDPDF=Y")</f>
        <v>18629</v>
      </c>
      <c r="X61" s="13">
        <f>_xll.BDH("AMGN US Equity","ARDR_GOODWLL","FQ1 2024","FQ1 2024","Currency=USD","Period=FQ","BEST_FPERIOD_OVERRIDE=FQ","FILING_STATUS=MR","SCALING_FORMAT=MLN","Sort=A","Dates=H","DateFormat=P","Fill=—","Direction=H","UseDPDF=Y")</f>
        <v>18570</v>
      </c>
      <c r="Y61" s="13">
        <f>_xll.BDH("AMGN US Equity","ARDR_GOODWLL","FQ2 2024","FQ2 2024","Currency=USD","Period=FQ","BEST_FPERIOD_OVERRIDE=FQ","FILING_STATUS=MR","SCALING_FORMAT=MLN","Sort=A","Dates=H","DateFormat=P","Fill=—","Direction=H","UseDPDF=Y")</f>
        <v>18616</v>
      </c>
      <c r="Z61" s="13">
        <f>_xll.BDH("AMGN US Equity","ARDR_GOODWLL","FQ3 2024","FQ3 2024","Currency=USD","Period=FQ","BEST_FPERIOD_OVERRIDE=FQ","FILING_STATUS=MR","SCALING_FORMAT=MLN","Sort=A","Dates=H","DateFormat=P","Fill=—","Direction=H","UseDPDF=Y")</f>
        <v>18658</v>
      </c>
      <c r="AA61" s="13">
        <f>_xll.BDH("AMGN US Equity","ARDR_GOODWLL","FQ4 2024","FQ4 2024","Currency=USD","Period=FQ","BEST_FPERIOD_OVERRIDE=FQ","FILING_STATUS=MR","SCALING_FORMAT=MLN","Sort=A","Dates=H","DateFormat=P","Fill=—","Direction=H","UseDPDF=Y")</f>
        <v>18637</v>
      </c>
    </row>
    <row r="62" spans="1:27" x14ac:dyDescent="0.25">
      <c r="A62" s="10" t="s">
        <v>949</v>
      </c>
      <c r="B62" s="10" t="s">
        <v>950</v>
      </c>
      <c r="C62" s="13">
        <f>_xll.BDH("AMGN US Equity","ARDR_PATENTS_TRADEMRK_COPYRIGHT","FQ4 2018","FQ4 2018","Currency=USD","Period=FQ","BEST_FPERIOD_OVERRIDE=FQ","FILING_STATUS=MR","SCALING_FORMAT=MLN","Sort=A","Dates=H","DateFormat=P","Fill=—","Direction=H","UseDPDF=Y")</f>
        <v>7388</v>
      </c>
      <c r="D62" s="13">
        <f>_xll.BDH("AMGN US Equity","ARDR_PATENTS_TRADEMRK_COPYRIGHT","FQ1 2019","FQ1 2019","Currency=USD","Period=FQ","BEST_FPERIOD_OVERRIDE=FQ","FILING_STATUS=MR","SCALING_FORMAT=MLN","Sort=A","Dates=H","DateFormat=P","Fill=—","Direction=H","UseDPDF=Y")</f>
        <v>7069</v>
      </c>
      <c r="E62" s="13">
        <f>_xll.BDH("AMGN US Equity","ARDR_PATENTS_TRADEMRK_COPYRIGHT","FQ2 2019","FQ2 2019","Currency=USD","Period=FQ","BEST_FPERIOD_OVERRIDE=FQ","FILING_STATUS=MR","SCALING_FORMAT=MLN","Sort=A","Dates=H","DateFormat=P","Fill=—","Direction=H","UseDPDF=Y")</f>
        <v>6758</v>
      </c>
      <c r="F62" s="13">
        <f>_xll.BDH("AMGN US Equity","ARDR_PATENTS_TRADEMRK_COPYRIGHT","FQ3 2019","FQ3 2019","Currency=USD","Period=FQ","BEST_FPERIOD_OVERRIDE=FQ","FILING_STATUS=MR","SCALING_FORMAT=MLN","Sort=A","Dates=H","DateFormat=P","Fill=—","Direction=H","UseDPDF=Y")</f>
        <v>6626</v>
      </c>
      <c r="G62" s="13">
        <f>_xll.BDH("AMGN US Equity","ARDR_PATENTS_TRADEMRK_COPYRIGHT","FQ4 2019","FQ4 2019","Currency=USD","Period=FQ","BEST_FPERIOD_OVERRIDE=FQ","FILING_STATUS=MR","SCALING_FORMAT=MLN","Sort=A","Dates=H","DateFormat=P","Fill=—","Direction=H","UseDPDF=Y")</f>
        <v>19359</v>
      </c>
      <c r="H62" s="13">
        <f>_xll.BDH("AMGN US Equity","ARDR_PATENTS_TRADEMRK_COPYRIGHT","FQ1 2020","FQ1 2020","Currency=USD","Period=FQ","BEST_FPERIOD_OVERRIDE=FQ","FILING_STATUS=MR","SCALING_FORMAT=MLN","Sort=A","Dates=H","DateFormat=P","Fill=—","Direction=H","UseDPDF=Y")</f>
        <v>18623</v>
      </c>
      <c r="I62" s="13">
        <f>_xll.BDH("AMGN US Equity","ARDR_PATENTS_TRADEMRK_COPYRIGHT","FQ2 2020","FQ2 2020","Currency=USD","Period=FQ","BEST_FPERIOD_OVERRIDE=FQ","FILING_STATUS=MR","SCALING_FORMAT=MLN","Sort=A","Dates=H","DateFormat=P","Fill=—","Direction=H","UseDPDF=Y")</f>
        <v>17918</v>
      </c>
      <c r="J62" s="13">
        <f>_xll.BDH("AMGN US Equity","ARDR_PATENTS_TRADEMRK_COPYRIGHT","FQ3 2020","FQ3 2020","Currency=USD","Period=FQ","BEST_FPERIOD_OVERRIDE=FQ","FILING_STATUS=MR","SCALING_FORMAT=MLN","Sort=A","Dates=H","DateFormat=P","Fill=—","Direction=H","UseDPDF=Y")</f>
        <v>16187</v>
      </c>
      <c r="K62" s="13">
        <f>_xll.BDH("AMGN US Equity","ARDR_PATENTS_TRADEMRK_COPYRIGHT","FQ4 2020","FQ4 2020","Currency=USD","Period=FQ","BEST_FPERIOD_OVERRIDE=FQ","FILING_STATUS=MR","SCALING_FORMAT=MLN","Sort=A","Dates=H","DateFormat=P","Fill=—","Direction=H","UseDPDF=Y")</f>
        <v>16557</v>
      </c>
      <c r="L62" s="13">
        <f>_xll.BDH("AMGN US Equity","ARDR_PATENTS_TRADEMRK_COPYRIGHT","FQ1 2021","FQ1 2021","Currency=USD","Period=FQ","BEST_FPERIOD_OVERRIDE=FQ","FILING_STATUS=MR","SCALING_FORMAT=MLN","Sort=A","Dates=H","DateFormat=P","Fill=—","Direction=H","UseDPDF=Y")</f>
        <v>15917</v>
      </c>
      <c r="M62" s="13">
        <f>_xll.BDH("AMGN US Equity","ARDR_PATENTS_TRADEMRK_COPYRIGHT","FQ2 2021","FQ2 2021","Currency=USD","Period=FQ","BEST_FPERIOD_OVERRIDE=FQ","FILING_STATUS=MR","SCALING_FORMAT=MLN","Sort=A","Dates=H","DateFormat=P","Fill=—","Direction=H","UseDPDF=Y")</f>
        <v>15278</v>
      </c>
      <c r="N62" s="13">
        <f>_xll.BDH("AMGN US Equity","ARDR_PATENTS_TRADEMRK_COPYRIGHT","FQ3 2021","FQ3 2021","Currency=USD","Period=FQ","BEST_FPERIOD_OVERRIDE=FQ","FILING_STATUS=MR","SCALING_FORMAT=MLN","Sort=A","Dates=H","DateFormat=P","Fill=—","Direction=H","UseDPDF=Y")</f>
        <v>13794</v>
      </c>
      <c r="O62" s="13">
        <f>_xll.BDH("AMGN US Equity","ARDR_PATENTS_TRADEMRK_COPYRIGHT","FQ4 2021","FQ4 2021","Currency=USD","Period=FQ","BEST_FPERIOD_OVERRIDE=FQ","FILING_STATUS=MR","SCALING_FORMAT=MLN","Sort=A","Dates=H","DateFormat=P","Fill=—","Direction=H","UseDPDF=Y")</f>
        <v>14112</v>
      </c>
      <c r="P62" s="13">
        <f>_xll.BDH("AMGN US Equity","ARDR_PATENTS_TRADEMRK_COPYRIGHT","FQ1 2022","FQ1 2022","Currency=USD","Period=FQ","BEST_FPERIOD_OVERRIDE=FQ","FILING_STATUS=MR","SCALING_FORMAT=MLN","Sort=A","Dates=H","DateFormat=P","Fill=—","Direction=H","UseDPDF=Y")</f>
        <v>13546</v>
      </c>
      <c r="Q62" s="13">
        <f>_xll.BDH("AMGN US Equity","ARDR_PATENTS_TRADEMRK_COPYRIGHT","FQ2 2022","FQ2 2022","Currency=USD","Period=FQ","BEST_FPERIOD_OVERRIDE=FQ","FILING_STATUS=MR","SCALING_FORMAT=MLN","Sort=A","Dates=H","DateFormat=P","Fill=—","Direction=H","UseDPDF=Y")</f>
        <v>12907</v>
      </c>
      <c r="R62" s="13">
        <f>_xll.BDH("AMGN US Equity","ARDR_PATENTS_TRADEMRK_COPYRIGHT","FQ3 2022","FQ3 2022","Currency=USD","Period=FQ","BEST_FPERIOD_OVERRIDE=FQ","FILING_STATUS=MR","SCALING_FORMAT=MLN","Sort=A","Dates=H","DateFormat=P","Fill=—","Direction=H","UseDPDF=Y")</f>
        <v>11480</v>
      </c>
      <c r="S62" s="13">
        <f>_xll.BDH("AMGN US Equity","ARDR_PATENTS_TRADEMRK_COPYRIGHT","FQ4 2022","FQ4 2022","Currency=USD","Period=FQ","BEST_FPERIOD_OVERRIDE=FQ","FILING_STATUS=MR","SCALING_FORMAT=MLN","Sort=A","Dates=H","DateFormat=P","Fill=—","Direction=H","UseDPDF=Y")</f>
        <v>15071</v>
      </c>
      <c r="T62" s="13">
        <f>_xll.BDH("AMGN US Equity","ARDR_PATENTS_TRADEMRK_COPYRIGHT","FQ1 2023","FQ1 2023","Currency=USD","Period=FQ","BEST_FPERIOD_OVERRIDE=FQ","FILING_STATUS=MR","SCALING_FORMAT=MLN","Sort=A","Dates=H","DateFormat=P","Fill=—","Direction=H","UseDPDF=Y")</f>
        <v>14384</v>
      </c>
      <c r="U62" s="13">
        <f>_xll.BDH("AMGN US Equity","ARDR_PATENTS_TRADEMRK_COPYRIGHT","FQ2 2023","FQ2 2023","Currency=USD","Period=FQ","BEST_FPERIOD_OVERRIDE=FQ","FILING_STATUS=MR","SCALING_FORMAT=MLN","Sort=A","Dates=H","DateFormat=P","Fill=—","Direction=H","UseDPDF=Y")</f>
        <v>117</v>
      </c>
      <c r="V62" s="13">
        <f>_xll.BDH("AMGN US Equity","ARDR_PATENTS_TRADEMRK_COPYRIGHT","FQ3 2023","FQ3 2023","Currency=USD","Period=FQ","BEST_FPERIOD_OVERRIDE=FQ","FILING_STATUS=MR","SCALING_FORMAT=MLN","Sort=A","Dates=H","DateFormat=P","Fill=—","Direction=H","UseDPDF=Y")</f>
        <v>12992</v>
      </c>
      <c r="W62" s="13">
        <f>_xll.BDH("AMGN US Equity","ARDR_PATENTS_TRADEMRK_COPYRIGHT","FQ4 2023","FQ4 2023","Currency=USD","Period=FQ","BEST_FPERIOD_OVERRIDE=FQ","FILING_STATUS=MR","SCALING_FORMAT=MLN","Sort=A","Dates=H","DateFormat=P","Fill=—","Direction=H","UseDPDF=Y")</f>
        <v>31423</v>
      </c>
      <c r="X62" s="13">
        <f>_xll.BDH("AMGN US Equity","ARDR_PATENTS_TRADEMRK_COPYRIGHT","FQ1 2024","FQ1 2024","Currency=USD","Period=FQ","BEST_FPERIOD_OVERRIDE=FQ","FILING_STATUS=MR","SCALING_FORMAT=MLN","Sort=A","Dates=H","DateFormat=P","Fill=—","Direction=H","UseDPDF=Y")</f>
        <v>30222</v>
      </c>
      <c r="Y62" s="13">
        <f>_xll.BDH("AMGN US Equity","ARDR_PATENTS_TRADEMRK_COPYRIGHT","FQ2 2024","FQ2 2024","Currency=USD","Period=FQ","BEST_FPERIOD_OVERRIDE=FQ","FILING_STATUS=MR","SCALING_FORMAT=MLN","Sort=A","Dates=H","DateFormat=P","Fill=—","Direction=H","UseDPDF=Y")</f>
        <v>29022</v>
      </c>
      <c r="Z62" s="13">
        <f>_xll.BDH("AMGN US Equity","ARDR_PATENTS_TRADEMRK_COPYRIGHT","FQ3 2024","FQ3 2024","Currency=USD","Period=FQ","BEST_FPERIOD_OVERRIDE=FQ","FILING_STATUS=MR","SCALING_FORMAT=MLN","Sort=A","Dates=H","DateFormat=P","Fill=—","Direction=H","UseDPDF=Y")</f>
        <v>27830</v>
      </c>
      <c r="AA62" s="13">
        <f>_xll.BDH("AMGN US Equity","ARDR_PATENTS_TRADEMRK_COPYRIGHT","FQ4 2024","FQ4 2024","Currency=USD","Period=FQ","BEST_FPERIOD_OVERRIDE=FQ","FILING_STATUS=MR","SCALING_FORMAT=MLN","Sort=A","Dates=H","DateFormat=P","Fill=—","Direction=H","UseDPDF=Y")</f>
        <v>26639</v>
      </c>
    </row>
    <row r="63" spans="1:27" x14ac:dyDescent="0.25">
      <c r="A63" s="10" t="s">
        <v>885</v>
      </c>
      <c r="B63" s="10" t="s">
        <v>951</v>
      </c>
      <c r="C63" s="13">
        <f>_xll.BDH("AMGN US Equity","ARDR_CURRENT_PORTION_OF_LT_DEBT","FQ4 2018","FQ4 2018","Currency=USD","Period=FQ","BEST_FPERIOD_OVERRIDE=FQ","FILING_STATUS=MR","SCALING_FORMAT=MLN","Sort=A","Dates=H","DateFormat=P","Fill=—","Direction=H","UseDPDF=Y")</f>
        <v>4419</v>
      </c>
      <c r="D63" s="13">
        <f>_xll.BDH("AMGN US Equity","ARDR_CURRENT_PORTION_OF_LT_DEBT","FQ1 2019","FQ1 2019","Currency=USD","Period=FQ","BEST_FPERIOD_OVERRIDE=FQ","FILING_STATUS=MR","SCALING_FORMAT=MLN","Sort=A","Dates=H","DateFormat=P","Fill=—","Direction=H","UseDPDF=Y")</f>
        <v>3705</v>
      </c>
      <c r="E63" s="13">
        <f>_xll.BDH("AMGN US Equity","ARDR_CURRENT_PORTION_OF_LT_DEBT","FQ2 2019","FQ2 2019","Currency=USD","Period=FQ","BEST_FPERIOD_OVERRIDE=FQ","FILING_STATUS=MR","SCALING_FORMAT=MLN","Sort=A","Dates=H","DateFormat=P","Fill=—","Direction=H","UseDPDF=Y")</f>
        <v>2816</v>
      </c>
      <c r="F63" s="13">
        <f>_xll.BDH("AMGN US Equity","ARDR_CURRENT_PORTION_OF_LT_DEBT","FQ3 2019","FQ3 2019","Currency=USD","Period=FQ","BEST_FPERIOD_OVERRIDE=FQ","FILING_STATUS=MR","SCALING_FORMAT=MLN","Sort=A","Dates=H","DateFormat=P","Fill=—","Direction=H","UseDPDF=Y")</f>
        <v>2049</v>
      </c>
      <c r="G63" s="13">
        <f>_xll.BDH("AMGN US Equity","ARDR_CURRENT_PORTION_OF_LT_DEBT","FQ4 2019","FQ4 2019","Currency=USD","Period=FQ","BEST_FPERIOD_OVERRIDE=FQ","FILING_STATUS=MR","SCALING_FORMAT=MLN","Sort=A","Dates=H","DateFormat=P","Fill=—","Direction=H","UseDPDF=Y")</f>
        <v>2953</v>
      </c>
      <c r="H63" s="13">
        <f>_xll.BDH("AMGN US Equity","ARDR_CURRENT_PORTION_OF_LT_DEBT","FQ1 2020","FQ1 2020","Currency=USD","Period=FQ","BEST_FPERIOD_OVERRIDE=FQ","FILING_STATUS=MR","SCALING_FORMAT=MLN","Sort=A","Dates=H","DateFormat=P","Fill=—","Direction=H","UseDPDF=Y")</f>
        <v>1840</v>
      </c>
      <c r="I63" s="13">
        <f>_xll.BDH("AMGN US Equity","ARDR_CURRENT_PORTION_OF_LT_DEBT","FQ2 2020","FQ2 2020","Currency=USD","Period=FQ","BEST_FPERIOD_OVERRIDE=FQ","FILING_STATUS=MR","SCALING_FORMAT=MLN","Sort=A","Dates=H","DateFormat=P","Fill=—","Direction=H","UseDPDF=Y")</f>
        <v>91</v>
      </c>
      <c r="J63" s="13">
        <f>_xll.BDH("AMGN US Equity","ARDR_CURRENT_PORTION_OF_LT_DEBT","FQ3 2020","FQ3 2020","Currency=USD","Period=FQ","BEST_FPERIOD_OVERRIDE=FQ","FILING_STATUS=MR","SCALING_FORMAT=MLN","Sort=A","Dates=H","DateFormat=P","Fill=—","Direction=H","UseDPDF=Y")</f>
        <v>91</v>
      </c>
      <c r="K63" s="13">
        <f>_xll.BDH("AMGN US Equity","ARDR_CURRENT_PORTION_OF_LT_DEBT","FQ4 2020","FQ4 2020","Currency=USD","Period=FQ","BEST_FPERIOD_OVERRIDE=FQ","FILING_STATUS=MR","SCALING_FORMAT=MLN","Sort=A","Dates=H","DateFormat=P","Fill=—","Direction=H","UseDPDF=Y")</f>
        <v>91</v>
      </c>
      <c r="L63" s="13">
        <f>_xll.BDH("AMGN US Equity","ARDR_CURRENT_PORTION_OF_LT_DEBT","FQ1 2021","FQ1 2021","Currency=USD","Period=FQ","BEST_FPERIOD_OVERRIDE=FQ","FILING_STATUS=MR","SCALING_FORMAT=MLN","Sort=A","Dates=H","DateFormat=P","Fill=—","Direction=H","UseDPDF=Y")</f>
        <v>1556</v>
      </c>
      <c r="M63" s="13">
        <f>_xll.BDH("AMGN US Equity","ARDR_CURRENT_PORTION_OF_LT_DEBT","FQ2 2021","FQ2 2021","Currency=USD","Period=FQ","BEST_FPERIOD_OVERRIDE=FQ","FILING_STATUS=MR","SCALING_FORMAT=MLN","Sort=A","Dates=H","DateFormat=P","Fill=—","Direction=H","UseDPDF=Y")</f>
        <v>4324</v>
      </c>
      <c r="N63" s="13">
        <f>_xll.BDH("AMGN US Equity","ARDR_CURRENT_PORTION_OF_LT_DEBT","FQ3 2021","FQ3 2021","Currency=USD","Period=FQ","BEST_FPERIOD_OVERRIDE=FQ","FILING_STATUS=MR","SCALING_FORMAT=MLN","Sort=A","Dates=H","DateFormat=P","Fill=—","Direction=H","UseDPDF=Y")</f>
        <v>4288</v>
      </c>
      <c r="O63" s="13">
        <f>_xll.BDH("AMGN US Equity","ARDR_CURRENT_PORTION_OF_LT_DEBT","FQ4 2021","FQ4 2021","Currency=USD","Period=FQ","BEST_FPERIOD_OVERRIDE=FQ","FILING_STATUS=MR","SCALING_FORMAT=MLN","Sort=A","Dates=H","DateFormat=P","Fill=—","Direction=H","UseDPDF=Y")</f>
        <v>87</v>
      </c>
      <c r="P63" s="13">
        <f>_xll.BDH("AMGN US Equity","ARDR_CURRENT_PORTION_OF_LT_DEBT","FQ1 2022","FQ1 2022","Currency=USD","Period=FQ","BEST_FPERIOD_OVERRIDE=FQ","FILING_STATUS=MR","SCALING_FORMAT=MLN","Sort=A","Dates=H","DateFormat=P","Fill=—","Direction=H","UseDPDF=Y")</f>
        <v>844</v>
      </c>
      <c r="Q63" s="13">
        <f>_xll.BDH("AMGN US Equity","ARDR_CURRENT_PORTION_OF_LT_DEBT","FQ2 2022","FQ2 2022","Currency=USD","Period=FQ","BEST_FPERIOD_OVERRIDE=FQ","FILING_STATUS=MR","SCALING_FORMAT=MLN","Sort=A","Dates=H","DateFormat=P","Fill=—","Direction=H","UseDPDF=Y")</f>
        <v>817</v>
      </c>
      <c r="R63" s="13">
        <f>_xll.BDH("AMGN US Equity","ARDR_CURRENT_PORTION_OF_LT_DEBT","FQ3 2022","FQ3 2022","Currency=USD","Period=FQ","BEST_FPERIOD_OVERRIDE=FQ","FILING_STATUS=MR","SCALING_FORMAT=MLN","Sort=A","Dates=H","DateFormat=P","Fill=—","Direction=H","UseDPDF=Y")</f>
        <v>1543</v>
      </c>
      <c r="S63" s="13">
        <f>_xll.BDH("AMGN US Equity","ARDR_CURRENT_PORTION_OF_LT_DEBT","FQ4 2022","FQ4 2022","Currency=USD","Period=FQ","BEST_FPERIOD_OVERRIDE=FQ","FILING_STATUS=MR","SCALING_FORMAT=MLN","Sort=A","Dates=H","DateFormat=P","Fill=—","Direction=H","UseDPDF=Y")</f>
        <v>1591</v>
      </c>
      <c r="T63" s="13">
        <f>_xll.BDH("AMGN US Equity","ARDR_CURRENT_PORTION_OF_LT_DEBT","FQ1 2023","FQ1 2023","Currency=USD","Period=FQ","BEST_FPERIOD_OVERRIDE=FQ","FILING_STATUS=MR","SCALING_FORMAT=MLN","Sort=A","Dates=H","DateFormat=P","Fill=—","Direction=H","UseDPDF=Y")</f>
        <v>834</v>
      </c>
      <c r="U63" s="13">
        <f>_xll.BDH("AMGN US Equity","ARDR_CURRENT_PORTION_OF_LT_DEBT","FQ2 2023","FQ2 2023","Currency=USD","Period=FQ","BEST_FPERIOD_OVERRIDE=FQ","FILING_STATUS=MR","SCALING_FORMAT=MLN","Sort=A","Dates=H","DateFormat=P","Fill=—","Direction=H","UseDPDF=Y")</f>
        <v>2167</v>
      </c>
      <c r="V63" s="13">
        <f>_xll.BDH("AMGN US Equity","ARDR_CURRENT_PORTION_OF_LT_DEBT","FQ3 2023","FQ3 2023","Currency=USD","Period=FQ","BEST_FPERIOD_OVERRIDE=FQ","FILING_STATUS=MR","SCALING_FORMAT=MLN","Sort=A","Dates=H","DateFormat=P","Fill=—","Direction=H","UseDPDF=Y")</f>
        <v>1428</v>
      </c>
      <c r="W63" s="13">
        <f>_xll.BDH("AMGN US Equity","ARDR_CURRENT_PORTION_OF_LT_DEBT","FQ4 2023","FQ4 2023","Currency=USD","Period=FQ","BEST_FPERIOD_OVERRIDE=FQ","FILING_STATUS=MR","SCALING_FORMAT=MLN","Sort=A","Dates=H","DateFormat=P","Fill=—","Direction=H","UseDPDF=Y")</f>
        <v>1443</v>
      </c>
      <c r="X63" s="13">
        <f>_xll.BDH("AMGN US Equity","ARDR_CURRENT_PORTION_OF_LT_DEBT","FQ1 2024","FQ1 2024","Currency=USD","Period=FQ","BEST_FPERIOD_OVERRIDE=FQ","FILING_STATUS=MR","SCALING_FORMAT=MLN","Sort=A","Dates=H","DateFormat=P","Fill=—","Direction=H","UseDPDF=Y")</f>
        <v>3959</v>
      </c>
      <c r="Y63" s="13">
        <f>_xll.BDH("AMGN US Equity","ARDR_CURRENT_PORTION_OF_LT_DEBT","FQ2 2024","FQ2 2024","Currency=USD","Period=FQ","BEST_FPERIOD_OVERRIDE=FQ","FILING_STATUS=MR","SCALING_FORMAT=MLN","Sort=A","Dates=H","DateFormat=P","Fill=—","Direction=H","UseDPDF=Y")</f>
        <v>5528</v>
      </c>
      <c r="Z63" s="13">
        <f>_xll.BDH("AMGN US Equity","ARDR_CURRENT_PORTION_OF_LT_DEBT","FQ3 2024","FQ3 2024","Currency=USD","Period=FQ","BEST_FPERIOD_OVERRIDE=FQ","FILING_STATUS=MR","SCALING_FORMAT=MLN","Sort=A","Dates=H","DateFormat=P","Fill=—","Direction=H","UseDPDF=Y")</f>
        <v>3544</v>
      </c>
      <c r="AA63" s="13">
        <f>_xll.BDH("AMGN US Equity","ARDR_CURRENT_PORTION_OF_LT_DEBT","FQ4 2024","FQ4 2024","Currency=USD","Period=FQ","BEST_FPERIOD_OVERRIDE=FQ","FILING_STATUS=MR","SCALING_FORMAT=MLN","Sort=A","Dates=H","DateFormat=P","Fill=—","Direction=H","UseDPDF=Y")</f>
        <v>3550</v>
      </c>
    </row>
    <row r="64" spans="1:27" x14ac:dyDescent="0.25">
      <c r="A64" s="10" t="s">
        <v>894</v>
      </c>
      <c r="B64" s="10" t="s">
        <v>952</v>
      </c>
      <c r="C64" s="13">
        <f>_xll.BDH("AMGN US Equity","ARDR_DEFERRED_INCOME_TAXES_LIAB","FQ4 2018","FQ4 2018","Currency=USD","Period=FQ","BEST_FPERIOD_OVERRIDE=FQ","FILING_STATUS=MR","SCALING_FORMAT=MLN","Sort=A","Dates=H","DateFormat=P","Fill=—","Direction=H","UseDPDF=Y")</f>
        <v>1960</v>
      </c>
      <c r="D64" s="13" t="str">
        <f>_xll.BDH("AMGN US Equity","ARDR_DEFERRED_INCOME_TAXES_LIAB","FQ1 2019","FQ1 2019","Currency=USD","Period=FQ","BEST_FPERIOD_OVERRIDE=FQ","FILING_STATUS=MR","SCALING_FORMAT=MLN","Sort=A","Dates=H","DateFormat=P","Fill=—","Direction=H","UseDPDF=Y")</f>
        <v>—</v>
      </c>
      <c r="E64" s="13" t="str">
        <f>_xll.BDH("AMGN US Equity","ARDR_DEFERRED_INCOME_TAXES_LIAB","FQ2 2019","FQ2 2019","Currency=USD","Period=FQ","BEST_FPERIOD_OVERRIDE=FQ","FILING_STATUS=MR","SCALING_FORMAT=MLN","Sort=A","Dates=H","DateFormat=P","Fill=—","Direction=H","UseDPDF=Y")</f>
        <v>—</v>
      </c>
      <c r="F64" s="13" t="str">
        <f>_xll.BDH("AMGN US Equity","ARDR_DEFERRED_INCOME_TAXES_LIAB","FQ3 2019","FQ3 2019","Currency=USD","Period=FQ","BEST_FPERIOD_OVERRIDE=FQ","FILING_STATUS=MR","SCALING_FORMAT=MLN","Sort=A","Dates=H","DateFormat=P","Fill=—","Direction=H","UseDPDF=Y")</f>
        <v>—</v>
      </c>
      <c r="G64" s="13">
        <f>_xll.BDH("AMGN US Equity","ARDR_DEFERRED_INCOME_TAXES_LIAB","FQ4 2019","FQ4 2019","Currency=USD","Period=FQ","BEST_FPERIOD_OVERRIDE=FQ","FILING_STATUS=MR","SCALING_FORMAT=MLN","Sort=A","Dates=H","DateFormat=P","Fill=—","Direction=H","UseDPDF=Y")</f>
        <v>1784</v>
      </c>
      <c r="H64" s="13" t="str">
        <f>_xll.BDH("AMGN US Equity","ARDR_DEFERRED_INCOME_TAXES_LIAB","FQ1 2020","FQ1 2020","Currency=USD","Period=FQ","BEST_FPERIOD_OVERRIDE=FQ","FILING_STATUS=MR","SCALING_FORMAT=MLN","Sort=A","Dates=H","DateFormat=P","Fill=—","Direction=H","UseDPDF=Y")</f>
        <v>—</v>
      </c>
      <c r="I64" s="13" t="str">
        <f>_xll.BDH("AMGN US Equity","ARDR_DEFERRED_INCOME_TAXES_LIAB","FQ2 2020","FQ2 2020","Currency=USD","Period=FQ","BEST_FPERIOD_OVERRIDE=FQ","FILING_STATUS=MR","SCALING_FORMAT=MLN","Sort=A","Dates=H","DateFormat=P","Fill=—","Direction=H","UseDPDF=Y")</f>
        <v>—</v>
      </c>
      <c r="J64" s="13" t="str">
        <f>_xll.BDH("AMGN US Equity","ARDR_DEFERRED_INCOME_TAXES_LIAB","FQ3 2020","FQ3 2020","Currency=USD","Period=FQ","BEST_FPERIOD_OVERRIDE=FQ","FILING_STATUS=MR","SCALING_FORMAT=MLN","Sort=A","Dates=H","DateFormat=P","Fill=—","Direction=H","UseDPDF=Y")</f>
        <v>—</v>
      </c>
      <c r="K64" s="13">
        <f>_xll.BDH("AMGN US Equity","ARDR_DEFERRED_INCOME_TAXES_LIAB","FQ4 2020","FQ4 2020","Currency=USD","Period=FQ","BEST_FPERIOD_OVERRIDE=FQ","FILING_STATUS=MR","SCALING_FORMAT=MLN","Sort=A","Dates=H","DateFormat=P","Fill=—","Direction=H","UseDPDF=Y")</f>
        <v>1522</v>
      </c>
      <c r="L64" s="13" t="str">
        <f>_xll.BDH("AMGN US Equity","ARDR_DEFERRED_INCOME_TAXES_LIAB","FQ1 2021","FQ1 2021","Currency=USD","Period=FQ","BEST_FPERIOD_OVERRIDE=FQ","FILING_STATUS=MR","SCALING_FORMAT=MLN","Sort=A","Dates=H","DateFormat=P","Fill=—","Direction=H","UseDPDF=Y")</f>
        <v>—</v>
      </c>
      <c r="M64" s="13" t="str">
        <f>_xll.BDH("AMGN US Equity","ARDR_DEFERRED_INCOME_TAXES_LIAB","FQ2 2021","FQ2 2021","Currency=USD","Period=FQ","BEST_FPERIOD_OVERRIDE=FQ","FILING_STATUS=MR","SCALING_FORMAT=MLN","Sort=A","Dates=H","DateFormat=P","Fill=—","Direction=H","UseDPDF=Y")</f>
        <v>—</v>
      </c>
      <c r="N64" s="13" t="str">
        <f>_xll.BDH("AMGN US Equity","ARDR_DEFERRED_INCOME_TAXES_LIAB","FQ3 2021","FQ3 2021","Currency=USD","Period=FQ","BEST_FPERIOD_OVERRIDE=FQ","FILING_STATUS=MR","SCALING_FORMAT=MLN","Sort=A","Dates=H","DateFormat=P","Fill=—","Direction=H","UseDPDF=Y")</f>
        <v>—</v>
      </c>
      <c r="O64" s="13">
        <f>_xll.BDH("AMGN US Equity","ARDR_DEFERRED_INCOME_TAXES_LIAB","FQ4 2021","FQ4 2021","Currency=USD","Period=FQ","BEST_FPERIOD_OVERRIDE=FQ","FILING_STATUS=MR","SCALING_FORMAT=MLN","Sort=A","Dates=H","DateFormat=P","Fill=—","Direction=H","UseDPDF=Y")</f>
        <v>1449</v>
      </c>
      <c r="P64" s="13" t="str">
        <f>_xll.BDH("AMGN US Equity","ARDR_DEFERRED_INCOME_TAXES_LIAB","FQ1 2022","FQ1 2022","Currency=USD","Period=FQ","BEST_FPERIOD_OVERRIDE=FQ","FILING_STATUS=MR","SCALING_FORMAT=MLN","Sort=A","Dates=H","DateFormat=P","Fill=—","Direction=H","UseDPDF=Y")</f>
        <v>—</v>
      </c>
      <c r="Q64" s="13" t="str">
        <f>_xll.BDH("AMGN US Equity","ARDR_DEFERRED_INCOME_TAXES_LIAB","FQ2 2022","FQ2 2022","Currency=USD","Period=FQ","BEST_FPERIOD_OVERRIDE=FQ","FILING_STATUS=MR","SCALING_FORMAT=MLN","Sort=A","Dates=H","DateFormat=P","Fill=—","Direction=H","UseDPDF=Y")</f>
        <v>—</v>
      </c>
      <c r="R64" s="13" t="str">
        <f>_xll.BDH("AMGN US Equity","ARDR_DEFERRED_INCOME_TAXES_LIAB","FQ3 2022","FQ3 2022","Currency=USD","Period=FQ","BEST_FPERIOD_OVERRIDE=FQ","FILING_STATUS=MR","SCALING_FORMAT=MLN","Sort=A","Dates=H","DateFormat=P","Fill=—","Direction=H","UseDPDF=Y")</f>
        <v>—</v>
      </c>
      <c r="S64" s="13">
        <f>_xll.BDH("AMGN US Equity","ARDR_DEFERRED_INCOME_TAXES_LIAB","FQ4 2022","FQ4 2022","Currency=USD","Period=FQ","BEST_FPERIOD_OVERRIDE=FQ","FILING_STATUS=MR","SCALING_FORMAT=MLN","Sort=A","Dates=H","DateFormat=P","Fill=—","Direction=H","UseDPDF=Y")</f>
        <v>1876</v>
      </c>
      <c r="T64" s="13" t="str">
        <f>_xll.BDH("AMGN US Equity","ARDR_DEFERRED_INCOME_TAXES_LIAB","FQ1 2023","FQ1 2023","Currency=USD","Period=FQ","BEST_FPERIOD_OVERRIDE=FQ","FILING_STATUS=MR","SCALING_FORMAT=MLN","Sort=A","Dates=H","DateFormat=P","Fill=—","Direction=H","UseDPDF=Y")</f>
        <v>—</v>
      </c>
      <c r="U64" s="13" t="str">
        <f>_xll.BDH("AMGN US Equity","ARDR_DEFERRED_INCOME_TAXES_LIAB","FQ2 2023","FQ2 2023","Currency=USD","Period=FQ","BEST_FPERIOD_OVERRIDE=FQ","FILING_STATUS=MR","SCALING_FORMAT=MLN","Sort=A","Dates=H","DateFormat=P","Fill=—","Direction=H","UseDPDF=Y")</f>
        <v>—</v>
      </c>
      <c r="V64" s="13" t="str">
        <f>_xll.BDH("AMGN US Equity","ARDR_DEFERRED_INCOME_TAXES_LIAB","FQ3 2023","FQ3 2023","Currency=USD","Period=FQ","BEST_FPERIOD_OVERRIDE=FQ","FILING_STATUS=MR","SCALING_FORMAT=MLN","Sort=A","Dates=H","DateFormat=P","Fill=—","Direction=H","UseDPDF=Y")</f>
        <v>—</v>
      </c>
      <c r="W64" s="13">
        <f>_xll.BDH("AMGN US Equity","ARDR_DEFERRED_INCOME_TAXES_LIAB","FQ4 2023","FQ4 2023","Currency=USD","Period=FQ","BEST_FPERIOD_OVERRIDE=FQ","FILING_STATUS=MR","SCALING_FORMAT=MLN","Sort=A","Dates=H","DateFormat=P","Fill=—","Direction=H","UseDPDF=Y")</f>
        <v>4108</v>
      </c>
      <c r="X64" s="13" t="str">
        <f>_xll.BDH("AMGN US Equity","ARDR_DEFERRED_INCOME_TAXES_LIAB","FQ1 2024","FQ1 2024","Currency=USD","Period=FQ","BEST_FPERIOD_OVERRIDE=FQ","FILING_STATUS=MR","SCALING_FORMAT=MLN","Sort=A","Dates=H","DateFormat=P","Fill=—","Direction=H","UseDPDF=Y")</f>
        <v>—</v>
      </c>
      <c r="Y64" s="13" t="str">
        <f>_xll.BDH("AMGN US Equity","ARDR_DEFERRED_INCOME_TAXES_LIAB","FQ2 2024","FQ2 2024","Currency=USD","Period=FQ","BEST_FPERIOD_OVERRIDE=FQ","FILING_STATUS=MR","SCALING_FORMAT=MLN","Sort=A","Dates=H","DateFormat=P","Fill=—","Direction=H","UseDPDF=Y")</f>
        <v>—</v>
      </c>
      <c r="Z64" s="13" t="str">
        <f>_xll.BDH("AMGN US Equity","ARDR_DEFERRED_INCOME_TAXES_LIAB","FQ3 2024","FQ3 2024","Currency=USD","Period=FQ","BEST_FPERIOD_OVERRIDE=FQ","FILING_STATUS=MR","SCALING_FORMAT=MLN","Sort=A","Dates=H","DateFormat=P","Fill=—","Direction=H","UseDPDF=Y")</f>
        <v>—</v>
      </c>
      <c r="AA64" s="13">
        <f>_xll.BDH("AMGN US Equity","ARDR_DEFERRED_INCOME_TAXES_LIAB","FQ4 2024","FQ4 2024","Currency=USD","Period=FQ","BEST_FPERIOD_OVERRIDE=FQ","FILING_STATUS=MR","SCALING_FORMAT=MLN","Sort=A","Dates=H","DateFormat=P","Fill=—","Direction=H","UseDPDF=Y")</f>
        <v>3338</v>
      </c>
    </row>
    <row r="65" spans="1:27" x14ac:dyDescent="0.25">
      <c r="A65" s="10" t="s">
        <v>902</v>
      </c>
      <c r="B65" s="10" t="s">
        <v>953</v>
      </c>
      <c r="C65" s="13">
        <f>_xll.BDH("AMGN US Equity","ARDR_ACC_OTH_COMPREHENSIVE_INC","FQ4 2018","FQ4 2018","Currency=USD","Period=FQ","BEST_FPERIOD_OVERRIDE=FQ","FILING_STATUS=MR","SCALING_FORMAT=MLN","Sort=A","Dates=H","DateFormat=P","Fill=—","Direction=H","UseDPDF=Y")</f>
        <v>-769</v>
      </c>
      <c r="D65" s="13">
        <f>_xll.BDH("AMGN US Equity","ARDR_ACC_OTH_COMPREHENSIVE_INC","FQ1 2019","FQ1 2019","Currency=USD","Period=FQ","BEST_FPERIOD_OVERRIDE=FQ","FILING_STATUS=MR","SCALING_FORMAT=MLN","Sort=A","Dates=H","DateFormat=P","Fill=—","Direction=H","UseDPDF=Y")</f>
        <v>-516</v>
      </c>
      <c r="E65" s="13">
        <f>_xll.BDH("AMGN US Equity","ARDR_ACC_OTH_COMPREHENSIVE_INC","FQ2 2019","FQ2 2019","Currency=USD","Period=FQ","BEST_FPERIOD_OVERRIDE=FQ","FILING_STATUS=MR","SCALING_FORMAT=MLN","Sort=A","Dates=H","DateFormat=P","Fill=—","Direction=H","UseDPDF=Y")</f>
        <v>-465</v>
      </c>
      <c r="F65" s="13">
        <f>_xll.BDH("AMGN US Equity","ARDR_ACC_OTH_COMPREHENSIVE_INC","FQ3 2019","FQ3 2019","Currency=USD","Period=FQ","BEST_FPERIOD_OVERRIDE=FQ","FILING_STATUS=MR","SCALING_FORMAT=MLN","Sort=A","Dates=H","DateFormat=P","Fill=—","Direction=H","UseDPDF=Y")</f>
        <v>-311</v>
      </c>
      <c r="G65" s="13">
        <f>_xll.BDH("AMGN US Equity","ARDR_ACC_OTH_COMPREHENSIVE_INC","FQ4 2019","FQ4 2019","Currency=USD","Period=FQ","BEST_FPERIOD_OVERRIDE=FQ","FILING_STATUS=MR","SCALING_FORMAT=MLN","Sort=A","Dates=H","DateFormat=P","Fill=—","Direction=H","UseDPDF=Y")</f>
        <v>-528</v>
      </c>
      <c r="H65" s="13">
        <f>_xll.BDH("AMGN US Equity","ARDR_ACC_OTH_COMPREHENSIVE_INC","FQ1 2020","FQ1 2020","Currency=USD","Period=FQ","BEST_FPERIOD_OVERRIDE=FQ","FILING_STATUS=MR","SCALING_FORMAT=MLN","Sort=A","Dates=H","DateFormat=P","Fill=—","Direction=H","UseDPDF=Y")</f>
        <v>-662</v>
      </c>
      <c r="I65" s="13">
        <f>_xll.BDH("AMGN US Equity","ARDR_ACC_OTH_COMPREHENSIVE_INC","FQ2 2020","FQ2 2020","Currency=USD","Period=FQ","BEST_FPERIOD_OVERRIDE=FQ","FILING_STATUS=MR","SCALING_FORMAT=MLN","Sort=A","Dates=H","DateFormat=P","Fill=—","Direction=H","UseDPDF=Y")</f>
        <v>-783</v>
      </c>
      <c r="J65" s="13">
        <f>_xll.BDH("AMGN US Equity","ARDR_ACC_OTH_COMPREHENSIVE_INC","FQ3 2020","FQ3 2020","Currency=USD","Period=FQ","BEST_FPERIOD_OVERRIDE=FQ","FILING_STATUS=MR","SCALING_FORMAT=MLN","Sort=A","Dates=H","DateFormat=P","Fill=—","Direction=H","UseDPDF=Y")</f>
        <v>-903</v>
      </c>
      <c r="K65" s="13">
        <f>_xll.BDH("AMGN US Equity","ARDR_ACC_OTH_COMPREHENSIVE_INC","FQ4 2020","FQ4 2020","Currency=USD","Period=FQ","BEST_FPERIOD_OVERRIDE=FQ","FILING_STATUS=MR","SCALING_FORMAT=MLN","Sort=A","Dates=H","DateFormat=P","Fill=—","Direction=H","UseDPDF=Y")</f>
        <v>-985</v>
      </c>
      <c r="L65" s="13">
        <f>_xll.BDH("AMGN US Equity","ARDR_ACC_OTH_COMPREHENSIVE_INC","FQ1 2021","FQ1 2021","Currency=USD","Period=FQ","BEST_FPERIOD_OVERRIDE=FQ","FILING_STATUS=MR","SCALING_FORMAT=MLN","Sort=A","Dates=H","DateFormat=P","Fill=—","Direction=H","UseDPDF=Y")</f>
        <v>-833</v>
      </c>
      <c r="M65" s="13">
        <f>_xll.BDH("AMGN US Equity","ARDR_ACC_OTH_COMPREHENSIVE_INC","FQ2 2021","FQ2 2021","Currency=USD","Period=FQ","BEST_FPERIOD_OVERRIDE=FQ","FILING_STATUS=MR","SCALING_FORMAT=MLN","Sort=A","Dates=H","DateFormat=P","Fill=—","Direction=H","UseDPDF=Y")</f>
        <v>-868</v>
      </c>
      <c r="N65" s="13">
        <f>_xll.BDH("AMGN US Equity","ARDR_ACC_OTH_COMPREHENSIVE_INC","FQ3 2021","FQ3 2021","Currency=USD","Period=FQ","BEST_FPERIOD_OVERRIDE=FQ","FILING_STATUS=MR","SCALING_FORMAT=MLN","Sort=A","Dates=H","DateFormat=P","Fill=—","Direction=H","UseDPDF=Y")</f>
        <v>-808</v>
      </c>
      <c r="O65" s="13">
        <f>_xll.BDH("AMGN US Equity","ARDR_ACC_OTH_COMPREHENSIVE_INC","FQ4 2021","FQ4 2021","Currency=USD","Period=FQ","BEST_FPERIOD_OVERRIDE=FQ","FILING_STATUS=MR","SCALING_FORMAT=MLN","Sort=A","Dates=H","DateFormat=P","Fill=—","Direction=H","UseDPDF=Y")</f>
        <v>-796</v>
      </c>
      <c r="P65" s="13">
        <f>_xll.BDH("AMGN US Equity","ARDR_ACC_OTH_COMPREHENSIVE_INC","FQ1 2022","FQ1 2022","Currency=USD","Period=FQ","BEST_FPERIOD_OVERRIDE=FQ","FILING_STATUS=MR","SCALING_FORMAT=MLN","Sort=A","Dates=H","DateFormat=P","Fill=—","Direction=H","UseDPDF=Y")</f>
        <v>-763</v>
      </c>
      <c r="Q65" s="13">
        <f>_xll.BDH("AMGN US Equity","ARDR_ACC_OTH_COMPREHENSIVE_INC","FQ2 2022","FQ2 2022","Currency=USD","Period=FQ","BEST_FPERIOD_OVERRIDE=FQ","FILING_STATUS=MR","SCALING_FORMAT=MLN","Sort=A","Dates=H","DateFormat=P","Fill=—","Direction=H","UseDPDF=Y")</f>
        <v>-672</v>
      </c>
      <c r="R65" s="13">
        <f>_xll.BDH("AMGN US Equity","ARDR_ACC_OTH_COMPREHENSIVE_INC","FQ3 2022","FQ3 2022","Currency=USD","Period=FQ","BEST_FPERIOD_OVERRIDE=FQ","FILING_STATUS=MR","SCALING_FORMAT=MLN","Sort=A","Dates=H","DateFormat=P","Fill=—","Direction=H","UseDPDF=Y")</f>
        <v>-652</v>
      </c>
      <c r="S65" s="13">
        <f>_xll.BDH("AMGN US Equity","ARDR_ACC_OTH_COMPREHENSIVE_INC","FQ4 2022","FQ4 2022","Currency=USD","Period=FQ","BEST_FPERIOD_OVERRIDE=FQ","FILING_STATUS=MR","SCALING_FORMAT=MLN","Sort=A","Dates=H","DateFormat=P","Fill=—","Direction=H","UseDPDF=Y")</f>
        <v>-231</v>
      </c>
      <c r="T65" s="13">
        <f>_xll.BDH("AMGN US Equity","ARDR_ACC_OTH_COMPREHENSIVE_INC","FQ1 2023","FQ1 2023","Currency=USD","Period=FQ","BEST_FPERIOD_OVERRIDE=FQ","FILING_STATUS=MR","SCALING_FORMAT=MLN","Sort=A","Dates=H","DateFormat=P","Fill=—","Direction=H","UseDPDF=Y")</f>
        <v>268</v>
      </c>
      <c r="U65" s="13">
        <f>_xll.BDH("AMGN US Equity","ARDR_ACC_OTH_COMPREHENSIVE_INC","FQ2 2023","FQ2 2023","Currency=USD","Period=FQ","BEST_FPERIOD_OVERRIDE=FQ","FILING_STATUS=MR","SCALING_FORMAT=MLN","Sort=A","Dates=H","DateFormat=P","Fill=—","Direction=H","UseDPDF=Y")</f>
        <v>-280</v>
      </c>
      <c r="V65" s="13">
        <f>_xll.BDH("AMGN US Equity","ARDR_ACC_OTH_COMPREHENSIVE_INC","FQ3 2023","FQ3 2023","Currency=USD","Period=FQ","BEST_FPERIOD_OVERRIDE=FQ","FILING_STATUS=MR","SCALING_FORMAT=MLN","Sort=A","Dates=H","DateFormat=P","Fill=—","Direction=H","UseDPDF=Y")</f>
        <v>-126</v>
      </c>
      <c r="W65" s="13">
        <f>_xll.BDH("AMGN US Equity","ARDR_ACC_OTH_COMPREHENSIVE_INC","FQ4 2023","FQ4 2023","Currency=USD","Period=FQ","BEST_FPERIOD_OVERRIDE=FQ","FILING_STATUS=MR","SCALING_FORMAT=MLN","Sort=A","Dates=H","DateFormat=P","Fill=—","Direction=H","UseDPDF=Y")</f>
        <v>-289</v>
      </c>
      <c r="X65" s="13">
        <f>_xll.BDH("AMGN US Equity","ARDR_ACC_OTH_COMPREHENSIVE_INC","FQ1 2024","FQ1 2024","Currency=USD","Period=FQ","BEST_FPERIOD_OVERRIDE=FQ","FILING_STATUS=MR","SCALING_FORMAT=MLN","Sort=A","Dates=H","DateFormat=P","Fill=—","Direction=H","UseDPDF=Y")</f>
        <v>-190</v>
      </c>
      <c r="Y65" s="13">
        <f>_xll.BDH("AMGN US Equity","ARDR_ACC_OTH_COMPREHENSIVE_INC","FQ2 2024","FQ2 2024","Currency=USD","Period=FQ","BEST_FPERIOD_OVERRIDE=FQ","FILING_STATUS=MR","SCALING_FORMAT=MLN","Sort=A","Dates=H","DateFormat=P","Fill=—","Direction=H","UseDPDF=Y")</f>
        <v>-155</v>
      </c>
      <c r="Z65" s="13">
        <f>_xll.BDH("AMGN US Equity","ARDR_ACC_OTH_COMPREHENSIVE_INC","FQ3 2024","FQ3 2024","Currency=USD","Period=FQ","BEST_FPERIOD_OVERRIDE=FQ","FILING_STATUS=MR","SCALING_FORMAT=MLN","Sort=A","Dates=H","DateFormat=P","Fill=—","Direction=H","UseDPDF=Y")</f>
        <v>-336</v>
      </c>
      <c r="AA65" s="13">
        <f>_xll.BDH("AMGN US Equity","ARDR_ACC_OTH_COMPREHENSIVE_INC","FQ4 2024","FQ4 2024","Currency=USD","Period=FQ","BEST_FPERIOD_OVERRIDE=FQ","FILING_STATUS=MR","SCALING_FORMAT=MLN","Sort=A","Dates=H","DateFormat=P","Fill=—","Direction=H","UseDPDF=Y")</f>
        <v>-66</v>
      </c>
    </row>
    <row r="66" spans="1:27" x14ac:dyDescent="0.25">
      <c r="A66" s="10" t="s">
        <v>904</v>
      </c>
      <c r="B66" s="10" t="s">
        <v>954</v>
      </c>
      <c r="C66" s="13">
        <f>_xll.BDH("AMGN US Equity","ARDR_RETAINED_EARN_ACC_DEFICIT","FQ4 2018","FQ4 2018","Currency=USD","Period=FQ","BEST_FPERIOD_OVERRIDE=FQ","FILING_STATUS=MR","SCALING_FORMAT=MLN","Sort=A","Dates=H","DateFormat=P","Fill=—","Direction=H","UseDPDF=Y")</f>
        <v>-17977</v>
      </c>
      <c r="D66" s="13" t="str">
        <f>_xll.BDH("AMGN US Equity","ARDR_RETAINED_EARN_ACC_DEFICIT","FQ1 2019","FQ1 2019","Currency=USD","Period=FQ","BEST_FPERIOD_OVERRIDE=FQ","FILING_STATUS=MR","SCALING_FORMAT=MLN","Sort=A","Dates=H","DateFormat=P","Fill=—","Direction=H","UseDPDF=Y")</f>
        <v>—</v>
      </c>
      <c r="E66" s="13">
        <f>_xll.BDH("AMGN US Equity","ARDR_RETAINED_EARN_ACC_DEFICIT","FQ2 2019","FQ2 2019","Currency=USD","Period=FQ","BEST_FPERIOD_OVERRIDE=FQ","FILING_STATUS=MR","SCALING_FORMAT=MLN","Sort=A","Dates=H","DateFormat=P","Fill=—","Direction=H","UseDPDF=Y")</f>
        <v>-20054</v>
      </c>
      <c r="F66" s="13">
        <f>_xll.BDH("AMGN US Equity","ARDR_RETAINED_EARN_ACC_DEFICIT","FQ3 2019","FQ3 2019","Currency=USD","Period=FQ","BEST_FPERIOD_OVERRIDE=FQ","FILING_STATUS=MR","SCALING_FORMAT=MLN","Sort=A","Dates=H","DateFormat=P","Fill=—","Direction=H","UseDPDF=Y")</f>
        <v>-20136</v>
      </c>
      <c r="G66" s="13">
        <f>_xll.BDH("AMGN US Equity","ARDR_RETAINED_EARN_ACC_DEFICIT","FQ4 2019","FQ4 2019","Currency=USD","Period=FQ","BEST_FPERIOD_OVERRIDE=FQ","FILING_STATUS=MR","SCALING_FORMAT=MLN","Sort=A","Dates=H","DateFormat=P","Fill=—","Direction=H","UseDPDF=Y")</f>
        <v>-21330</v>
      </c>
      <c r="H66" s="13">
        <f>_xll.BDH("AMGN US Equity","ARDR_RETAINED_EARN_ACC_DEFICIT","FQ1 2020","FQ1 2020","Currency=USD","Period=FQ","BEST_FPERIOD_OVERRIDE=FQ","FILING_STATUS=MR","SCALING_FORMAT=MLN","Sort=A","Dates=H","DateFormat=P","Fill=—","Direction=H","UseDPDF=Y")</f>
        <v>-21378</v>
      </c>
      <c r="I66" s="13">
        <f>_xll.BDH("AMGN US Equity","ARDR_RETAINED_EARN_ACC_DEFICIT","FQ2 2020","FQ2 2020","Currency=USD","Period=FQ","BEST_FPERIOD_OVERRIDE=FQ","FILING_STATUS=MR","SCALING_FORMAT=MLN","Sort=A","Dates=H","DateFormat=P","Fill=—","Direction=H","UseDPDF=Y")</f>
        <v>-20168</v>
      </c>
      <c r="J66" s="13">
        <f>_xll.BDH("AMGN US Equity","ARDR_RETAINED_EARN_ACC_DEFICIT","FQ3 2020","FQ3 2020","Currency=USD","Period=FQ","BEST_FPERIOD_OVERRIDE=FQ","FILING_STATUS=MR","SCALING_FORMAT=MLN","Sort=A","Dates=H","DateFormat=P","Fill=—","Direction=H","UseDPDF=Y")</f>
        <v>-19851</v>
      </c>
      <c r="K66" s="13">
        <f>_xll.BDH("AMGN US Equity","ARDR_RETAINED_EARN_ACC_DEFICIT","FQ4 2020","FQ4 2020","Currency=USD","Period=FQ","BEST_FPERIOD_OVERRIDE=FQ","FILING_STATUS=MR","SCALING_FORMAT=MLN","Sort=A","Dates=H","DateFormat=P","Fill=—","Direction=H","UseDPDF=Y")</f>
        <v>-21408</v>
      </c>
      <c r="L66" s="13">
        <f>_xll.BDH("AMGN US Equity","ARDR_RETAINED_EARN_ACC_DEFICIT","FQ1 2021","FQ1 2021","Currency=USD","Period=FQ","BEST_FPERIOD_OVERRIDE=FQ","FILING_STATUS=MR","SCALING_FORMAT=MLN","Sort=A","Dates=H","DateFormat=P","Fill=—","Direction=H","UseDPDF=Y")</f>
        <v>-21639</v>
      </c>
      <c r="M66" s="13">
        <f>_xll.BDH("AMGN US Equity","ARDR_RETAINED_EARN_ACC_DEFICIT","FQ2 2021","FQ2 2021","Currency=USD","Period=FQ","BEST_FPERIOD_OVERRIDE=FQ","FILING_STATUS=MR","SCALING_FORMAT=MLN","Sort=A","Dates=H","DateFormat=P","Fill=—","Direction=H","UseDPDF=Y")</f>
        <v>-22762</v>
      </c>
      <c r="N66" s="13">
        <f>_xll.BDH("AMGN US Equity","ARDR_RETAINED_EARN_ACC_DEFICIT","FQ3 2021","FQ3 2021","Currency=USD","Period=FQ","BEST_FPERIOD_OVERRIDE=FQ","FILING_STATUS=MR","SCALING_FORMAT=MLN","Sort=A","Dates=H","DateFormat=P","Fill=—","Direction=H","UseDPDF=Y")</f>
        <v>-22964</v>
      </c>
      <c r="O66" s="13">
        <f>_xll.BDH("AMGN US Equity","ARDR_RETAINED_EARN_ACC_DEFICIT","FQ4 2021","FQ4 2021","Currency=USD","Period=FQ","BEST_FPERIOD_OVERRIDE=FQ","FILING_STATUS=MR","SCALING_FORMAT=MLN","Sort=A","Dates=H","DateFormat=P","Fill=—","Direction=H","UseDPDF=Y")</f>
        <v>-24600</v>
      </c>
      <c r="P66" s="13">
        <f>_xll.BDH("AMGN US Equity","ARDR_RETAINED_EARN_ACC_DEFICIT","FQ1 2022","FQ1 2022","Currency=USD","Period=FQ","BEST_FPERIOD_OVERRIDE=FQ","FILING_STATUS=MR","SCALING_FORMAT=MLN","Sort=A","Dates=H","DateFormat=P","Fill=—","Direction=H","UseDPDF=Y")</f>
        <v>-29568</v>
      </c>
      <c r="Q66" s="13">
        <f>_xll.BDH("AMGN US Equity","ARDR_RETAINED_EARN_ACC_DEFICIT","FQ2 2022","FQ2 2022","Currency=USD","Period=FQ","BEST_FPERIOD_OVERRIDE=FQ","FILING_STATUS=MR","SCALING_FORMAT=MLN","Sort=A","Dates=H","DateFormat=P","Fill=—","Direction=H","UseDPDF=Y")</f>
        <v>-28252</v>
      </c>
      <c r="R66" s="13">
        <f>_xll.BDH("AMGN US Equity","ARDR_RETAINED_EARN_ACC_DEFICIT","FQ3 2022","FQ3 2022","Currency=USD","Period=FQ","BEST_FPERIOD_OVERRIDE=FQ","FILING_STATUS=MR","SCALING_FORMAT=MLN","Sort=A","Dates=H","DateFormat=P","Fill=—","Direction=H","UseDPDF=Y")</f>
        <v>-28066</v>
      </c>
      <c r="S66" s="13">
        <f>_xll.BDH("AMGN US Equity","ARDR_RETAINED_EARN_ACC_DEFICIT","FQ4 2022","FQ4 2022","Currency=USD","Period=FQ","BEST_FPERIOD_OVERRIDE=FQ","FILING_STATUS=MR","SCALING_FORMAT=MLN","Sort=A","Dates=H","DateFormat=P","Fill=—","Direction=H","UseDPDF=Y")</f>
        <v>-28622</v>
      </c>
      <c r="T66" s="13">
        <f>_xll.BDH("AMGN US Equity","ARDR_RETAINED_EARN_ACC_DEFICIT","FQ1 2023","FQ1 2023","Currency=USD","Period=FQ","BEST_FPERIOD_OVERRIDE=FQ","FILING_STATUS=MR","SCALING_FORMAT=MLN","Sort=A","Dates=H","DateFormat=P","Fill=—","Direction=H","UseDPDF=Y")</f>
        <v>26919</v>
      </c>
      <c r="U66" s="13">
        <f>_xll.BDH("AMGN US Equity","ARDR_RETAINED_EARN_ACC_DEFICIT","FQ2 2023","FQ2 2023","Currency=USD","Period=FQ","BEST_FPERIOD_OVERRIDE=FQ","FILING_STATUS=MR","SCALING_FORMAT=MLN","Sort=A","Dates=H","DateFormat=P","Fill=—","Direction=H","UseDPDF=Y")</f>
        <v>-25540</v>
      </c>
      <c r="V66" s="13">
        <f>_xll.BDH("AMGN US Equity","ARDR_RETAINED_EARN_ACC_DEFICIT","FQ3 2023","FQ3 2023","Currency=USD","Period=FQ","BEST_FPERIOD_OVERRIDE=FQ","FILING_STATUS=MR","SCALING_FORMAT=MLN","Sort=A","Dates=H","DateFormat=P","Fill=—","Direction=H","UseDPDF=Y")</f>
        <v>-24971</v>
      </c>
      <c r="W66" s="13">
        <f>_xll.BDH("AMGN US Equity","ARDR_RETAINED_EARN_ACC_DEFICIT","FQ4 2023","FQ4 2023","Currency=USD","Period=FQ","BEST_FPERIOD_OVERRIDE=FQ","FILING_STATUS=MR","SCALING_FORMAT=MLN","Sort=A","Dates=H","DateFormat=P","Fill=—","Direction=H","UseDPDF=Y")</f>
        <v>-26549</v>
      </c>
      <c r="X66" s="13">
        <f>_xll.BDH("AMGN US Equity","ARDR_RETAINED_EARN_ACC_DEFICIT","FQ1 2024","FQ1 2024","Currency=USD","Period=FQ","BEST_FPERIOD_OVERRIDE=FQ","FILING_STATUS=MR","SCALING_FORMAT=MLN","Sort=A","Dates=H","DateFormat=P","Fill=—","Direction=H","UseDPDF=Y")</f>
        <v>-27870</v>
      </c>
      <c r="Y66" s="13">
        <f>_xll.BDH("AMGN US Equity","ARDR_RETAINED_EARN_ACC_DEFICIT","FQ2 2024","FQ2 2024","Currency=USD","Period=FQ","BEST_FPERIOD_OVERRIDE=FQ","FILING_STATUS=MR","SCALING_FORMAT=MLN","Sort=A","Dates=H","DateFormat=P","Fill=—","Direction=H","UseDPDF=Y")</f>
        <v>-27124</v>
      </c>
      <c r="Z66" s="13">
        <f>_xll.BDH("AMGN US Equity","ARDR_RETAINED_EARN_ACC_DEFICIT","FQ3 2024","FQ3 2024","Currency=USD","Period=FQ","BEST_FPERIOD_OVERRIDE=FQ","FILING_STATUS=MR","SCALING_FORMAT=MLN","Sort=A","Dates=H","DateFormat=P","Fill=—","Direction=H","UseDPDF=Y")</f>
        <v>-25530</v>
      </c>
      <c r="AA66" s="13">
        <f>_xll.BDH("AMGN US Equity","ARDR_RETAINED_EARN_ACC_DEFICIT","FQ4 2024","FQ4 2024","Currency=USD","Period=FQ","BEST_FPERIOD_OVERRIDE=FQ","FILING_STATUS=MR","SCALING_FORMAT=MLN","Sort=A","Dates=H","DateFormat=P","Fill=—","Direction=H","UseDPDF=Y")</f>
        <v>-27590</v>
      </c>
    </row>
    <row r="67" spans="1:27" x14ac:dyDescent="0.25">
      <c r="A67" s="10" t="s">
        <v>829</v>
      </c>
      <c r="B67" s="10" t="s">
        <v>955</v>
      </c>
      <c r="C67" s="13">
        <f>_xll.BDH("AMGN US Equity","ARDR_SHARES_OUTSTANDING","FQ4 2018","FQ4 2018","Currency=USD","Period=FQ","BEST_FPERIOD_OVERRIDE=FQ","FILING_STATUS=MR","Sort=A","Dates=H","DateFormat=P","Fill=—","Direction=H","UseDPDF=Y")</f>
        <v>629.6</v>
      </c>
      <c r="D67" s="13">
        <f>_xll.BDH("AMGN US Equity","ARDR_SHARES_OUTSTANDING","FQ1 2019","FQ1 2019","Currency=USD","Period=FQ","BEST_FPERIOD_OVERRIDE=FQ","FILING_STATUS=MR","Sort=A","Dates=H","DateFormat=P","Fill=—","Direction=H","UseDPDF=Y")</f>
        <v>614.4</v>
      </c>
      <c r="E67" s="13">
        <f>_xll.BDH("AMGN US Equity","ARDR_SHARES_OUTSTANDING","FQ2 2019","FQ2 2019","Currency=USD","Period=FQ","BEST_FPERIOD_OVERRIDE=FQ","FILING_STATUS=MR","Sort=A","Dates=H","DateFormat=P","Fill=—","Direction=H","UseDPDF=Y")</f>
        <v>602.1</v>
      </c>
      <c r="F67" s="13" t="str">
        <f>_xll.BDH("AMGN US Equity","ARDR_SHARES_OUTSTANDING","FQ3 2019","FQ3 2019","Currency=USD","Period=FQ","BEST_FPERIOD_OVERRIDE=FQ","FILING_STATUS=MR","Sort=A","Dates=H","DateFormat=P","Fill=—","Direction=H","UseDPDF=Y")</f>
        <v>—</v>
      </c>
      <c r="G67" s="13">
        <f>_xll.BDH("AMGN US Equity","ARDR_SHARES_OUTSTANDING","FQ4 2019","FQ4 2019","Currency=USD","Period=FQ","BEST_FPERIOD_OVERRIDE=FQ","FILING_STATUS=MR","Sort=A","Dates=H","DateFormat=P","Fill=—","Direction=H","UseDPDF=Y")</f>
        <v>591.4</v>
      </c>
      <c r="H67" s="13">
        <f>_xll.BDH("AMGN US Equity","ARDR_SHARES_OUTSTANDING","FQ1 2020","FQ1 2020","Currency=USD","Period=FQ","BEST_FPERIOD_OVERRIDE=FQ","FILING_STATUS=MR","Sort=A","Dates=H","DateFormat=P","Fill=—","Direction=H","UseDPDF=Y")</f>
        <v>588</v>
      </c>
      <c r="I67" s="13" t="str">
        <f>_xll.BDH("AMGN US Equity","ARDR_SHARES_OUTSTANDING","FQ2 2020","FQ2 2020","Currency=USD","Period=FQ","BEST_FPERIOD_OVERRIDE=FQ","FILING_STATUS=MR","Sort=A","Dates=H","DateFormat=P","Fill=—","Direction=H","UseDPDF=Y")</f>
        <v>—</v>
      </c>
      <c r="J67" s="13">
        <f>_xll.BDH("AMGN US Equity","ARDR_SHARES_OUTSTANDING","FQ3 2020","FQ3 2020","Currency=USD","Period=FQ","BEST_FPERIOD_OVERRIDE=FQ","FILING_STATUS=MR","Sort=A","Dates=H","DateFormat=P","Fill=—","Direction=H","UseDPDF=Y")</f>
        <v>583.5</v>
      </c>
      <c r="K67" s="13">
        <f>_xll.BDH("AMGN US Equity","ARDR_SHARES_OUTSTANDING","FQ4 2020","FQ4 2020","Currency=USD","Period=FQ","BEST_FPERIOD_OVERRIDE=FQ","FILING_STATUS=MR","Sort=A","Dates=H","DateFormat=P","Fill=—","Direction=H","UseDPDF=Y")</f>
        <v>578.29999999999995</v>
      </c>
      <c r="L67" s="13">
        <f>_xll.BDH("AMGN US Equity","ARDR_SHARES_OUTSTANDING","FQ1 2021","FQ1 2021","Currency=USD","Period=FQ","BEST_FPERIOD_OVERRIDE=FQ","FILING_STATUS=MR","Sort=A","Dates=H","DateFormat=P","Fill=—","Direction=H","UseDPDF=Y")</f>
        <v>575.29999999999995</v>
      </c>
      <c r="M67" s="13">
        <f>_xll.BDH("AMGN US Equity","ARDR_SHARES_OUTSTANDING","FQ2 2021","FQ2 2021","Currency=USD","Period=FQ","BEST_FPERIOD_OVERRIDE=FQ","FILING_STATUS=MR","Sort=A","Dates=H","DateFormat=P","Fill=—","Direction=H","UseDPDF=Y")</f>
        <v>569.6</v>
      </c>
      <c r="N67" s="13">
        <f>_xll.BDH("AMGN US Equity","ARDR_SHARES_OUTSTANDING","FQ3 2021","FQ3 2021","Currency=USD","Period=FQ","BEST_FPERIOD_OVERRIDE=FQ","FILING_STATUS=MR","Sort=A","Dates=H","DateFormat=P","Fill=—","Direction=H","UseDPDF=Y")</f>
        <v>565</v>
      </c>
      <c r="O67" s="13">
        <f>_xll.BDH("AMGN US Equity","ARDR_SHARES_OUTSTANDING","FQ4 2021","FQ4 2021","Currency=USD","Period=FQ","BEST_FPERIOD_OVERRIDE=FQ","FILING_STATUS=MR","Sort=A","Dates=H","DateFormat=P","Fill=—","Direction=H","UseDPDF=Y")</f>
        <v>558.29999999999995</v>
      </c>
      <c r="P67" s="13">
        <f>_xll.BDH("AMGN US Equity","ARDR_SHARES_OUTSTANDING","FQ1 2022","FQ1 2022","Currency=USD","Period=FQ","BEST_FPERIOD_OVERRIDE=FQ","FILING_STATUS=MR","Sort=A","Dates=H","DateFormat=P","Fill=—","Direction=H","UseDPDF=Y")</f>
        <v>534.20000000000005</v>
      </c>
      <c r="Q67" s="13">
        <f>_xll.BDH("AMGN US Equity","ARDR_SHARES_OUTSTANDING","FQ2 2022","FQ2 2022","Currency=USD","Period=FQ","BEST_FPERIOD_OVERRIDE=FQ","FILING_STATUS=MR","Sort=A","Dates=H","DateFormat=P","Fill=—","Direction=H","UseDPDF=Y")</f>
        <v>534.9</v>
      </c>
      <c r="R67" s="13">
        <f>_xll.BDH("AMGN US Equity","ARDR_SHARES_OUTSTANDING","FQ3 2022","FQ3 2022","Currency=USD","Period=FQ","BEST_FPERIOD_OVERRIDE=FQ","FILING_STATUS=MR","Sort=A","Dates=H","DateFormat=P","Fill=—","Direction=H","UseDPDF=Y")</f>
        <v>533.5</v>
      </c>
      <c r="S67" s="13">
        <f>_xll.BDH("AMGN US Equity","ARDR_SHARES_OUTSTANDING","FQ4 2022","FQ4 2022","Currency=USD","Period=FQ","BEST_FPERIOD_OVERRIDE=FQ","FILING_STATUS=MR","Sort=A","Dates=H","DateFormat=P","Fill=—","Direction=H","UseDPDF=Y")</f>
        <v>534</v>
      </c>
      <c r="T67" s="13">
        <f>_xll.BDH("AMGN US Equity","ARDR_SHARES_OUTSTANDING","FQ1 2023","FQ1 2023","Currency=USD","Period=FQ","BEST_FPERIOD_OVERRIDE=FQ","FILING_STATUS=MR","Sort=A","Dates=H","DateFormat=P","Fill=—","Direction=H","UseDPDF=Y")</f>
        <v>534.29999999999995</v>
      </c>
      <c r="U67" s="13">
        <f>_xll.BDH("AMGN US Equity","ARDR_SHARES_OUTSTANDING","FQ2 2023","FQ2 2023","Currency=USD","Period=FQ","BEST_FPERIOD_OVERRIDE=FQ","FILING_STATUS=MR","Sort=A","Dates=H","DateFormat=P","Fill=—","Direction=H","UseDPDF=Y")</f>
        <v>534.9</v>
      </c>
      <c r="V67" s="13">
        <f>_xll.BDH("AMGN US Equity","ARDR_SHARES_OUTSTANDING","FQ3 2023","FQ3 2023","Currency=USD","Period=FQ","BEST_FPERIOD_OVERRIDE=FQ","FILING_STATUS=MR","Sort=A","Dates=H","DateFormat=P","Fill=—","Direction=H","UseDPDF=Y")</f>
        <v>535.1</v>
      </c>
      <c r="W67" s="13">
        <f>_xll.BDH("AMGN US Equity","ARDR_SHARES_OUTSTANDING","FQ4 2023","FQ4 2023","Currency=USD","Period=FQ","BEST_FPERIOD_OVERRIDE=FQ","FILING_STATUS=MR","Sort=A","Dates=H","DateFormat=P","Fill=—","Direction=H","UseDPDF=Y")</f>
        <v>535.4</v>
      </c>
      <c r="X67" s="13">
        <f>_xll.BDH("AMGN US Equity","ARDR_SHARES_OUTSTANDING","FQ1 2024","FQ1 2024","Currency=USD","Period=FQ","BEST_FPERIOD_OVERRIDE=FQ","FILING_STATUS=MR","Sort=A","Dates=H","DateFormat=P","Fill=—","Direction=H","UseDPDF=Y")</f>
        <v>536.4</v>
      </c>
      <c r="Y67" s="13">
        <f>_xll.BDH("AMGN US Equity","ARDR_SHARES_OUTSTANDING","FQ2 2024","FQ2 2024","Currency=USD","Period=FQ","BEST_FPERIOD_OVERRIDE=FQ","FILING_STATUS=MR","Sort=A","Dates=H","DateFormat=P","Fill=—","Direction=H","UseDPDF=Y")</f>
        <v>537.20000000000005</v>
      </c>
      <c r="Z67" s="13">
        <f>_xll.BDH("AMGN US Equity","ARDR_SHARES_OUTSTANDING","FQ3 2024","FQ3 2024","Currency=USD","Period=FQ","BEST_FPERIOD_OVERRIDE=FQ","FILING_STATUS=MR","Sort=A","Dates=H","DateFormat=P","Fill=—","Direction=H","UseDPDF=Y")</f>
        <v>537.5</v>
      </c>
      <c r="AA67" s="13">
        <f>_xll.BDH("AMGN US Equity","ARDR_SHARES_OUTSTANDING","FQ4 2024","FQ4 2024","Currency=USD","Period=FQ","BEST_FPERIOD_OVERRIDE=FQ","FILING_STATUS=MR","Sort=A","Dates=H","DateFormat=P","Fill=—","Direction=H","UseDPDF=Y")</f>
        <v>536.9</v>
      </c>
    </row>
    <row r="68" spans="1:27" x14ac:dyDescent="0.25">
      <c r="A68" s="10" t="s">
        <v>907</v>
      </c>
      <c r="B68" s="10" t="s">
        <v>956</v>
      </c>
      <c r="C68" s="14">
        <f>_xll.BDH("AMGN US Equity","ARDR_PAR_VALUE","FQ4 2018","FQ4 2018","Currency=USD","Period=FQ","BEST_FPERIOD_OVERRIDE=FQ","FILING_STATUS=MR","Sort=A","Dates=H","DateFormat=P","Fill=—","Direction=H","UseDPDF=Y")</f>
        <v>1E-4</v>
      </c>
      <c r="D68" s="14">
        <f>_xll.BDH("AMGN US Equity","ARDR_PAR_VALUE","FQ1 2019","FQ1 2019","Currency=USD","Period=FQ","BEST_FPERIOD_OVERRIDE=FQ","FILING_STATUS=MR","Sort=A","Dates=H","DateFormat=P","Fill=—","Direction=H","UseDPDF=Y")</f>
        <v>1E-4</v>
      </c>
      <c r="E68" s="14">
        <f>_xll.BDH("AMGN US Equity","ARDR_PAR_VALUE","FQ2 2019","FQ2 2019","Currency=USD","Period=FQ","BEST_FPERIOD_OVERRIDE=FQ","FILING_STATUS=MR","Sort=A","Dates=H","DateFormat=P","Fill=—","Direction=H","UseDPDF=Y")</f>
        <v>1E-4</v>
      </c>
      <c r="F68" s="14">
        <f>_xll.BDH("AMGN US Equity","ARDR_PAR_VALUE","FQ3 2019","FQ3 2019","Currency=USD","Period=FQ","BEST_FPERIOD_OVERRIDE=FQ","FILING_STATUS=MR","Sort=A","Dates=H","DateFormat=P","Fill=—","Direction=H","UseDPDF=Y")</f>
        <v>1E-4</v>
      </c>
      <c r="G68" s="14">
        <f>_xll.BDH("AMGN US Equity","ARDR_PAR_VALUE","FQ4 2019","FQ4 2019","Currency=USD","Period=FQ","BEST_FPERIOD_OVERRIDE=FQ","FILING_STATUS=MR","Sort=A","Dates=H","DateFormat=P","Fill=—","Direction=H","UseDPDF=Y")</f>
        <v>1E-4</v>
      </c>
      <c r="H68" s="14">
        <f>_xll.BDH("AMGN US Equity","ARDR_PAR_VALUE","FQ1 2020","FQ1 2020","Currency=USD","Period=FQ","BEST_FPERIOD_OVERRIDE=FQ","FILING_STATUS=MR","Sort=A","Dates=H","DateFormat=P","Fill=—","Direction=H","UseDPDF=Y")</f>
        <v>1E-4</v>
      </c>
      <c r="I68" s="14">
        <f>_xll.BDH("AMGN US Equity","ARDR_PAR_VALUE","FQ2 2020","FQ2 2020","Currency=USD","Period=FQ","BEST_FPERIOD_OVERRIDE=FQ","FILING_STATUS=MR","Sort=A","Dates=H","DateFormat=P","Fill=—","Direction=H","UseDPDF=Y")</f>
        <v>1E-4</v>
      </c>
      <c r="J68" s="14">
        <f>_xll.BDH("AMGN US Equity","ARDR_PAR_VALUE","FQ3 2020","FQ3 2020","Currency=USD","Period=FQ","BEST_FPERIOD_OVERRIDE=FQ","FILING_STATUS=MR","Sort=A","Dates=H","DateFormat=P","Fill=—","Direction=H","UseDPDF=Y")</f>
        <v>1E-4</v>
      </c>
      <c r="K68" s="14">
        <f>_xll.BDH("AMGN US Equity","ARDR_PAR_VALUE","FQ4 2020","FQ4 2020","Currency=USD","Period=FQ","BEST_FPERIOD_OVERRIDE=FQ","FILING_STATUS=MR","Sort=A","Dates=H","DateFormat=P","Fill=—","Direction=H","UseDPDF=Y")</f>
        <v>1E-4</v>
      </c>
      <c r="L68" s="14">
        <f>_xll.BDH("AMGN US Equity","ARDR_PAR_VALUE","FQ1 2021","FQ1 2021","Currency=USD","Period=FQ","BEST_FPERIOD_OVERRIDE=FQ","FILING_STATUS=MR","Sort=A","Dates=H","DateFormat=P","Fill=—","Direction=H","UseDPDF=Y")</f>
        <v>1E-4</v>
      </c>
      <c r="M68" s="14">
        <f>_xll.BDH("AMGN US Equity","ARDR_PAR_VALUE","FQ2 2021","FQ2 2021","Currency=USD","Period=FQ","BEST_FPERIOD_OVERRIDE=FQ","FILING_STATUS=MR","Sort=A","Dates=H","DateFormat=P","Fill=—","Direction=H","UseDPDF=Y")</f>
        <v>1E-4</v>
      </c>
      <c r="N68" s="14">
        <f>_xll.BDH("AMGN US Equity","ARDR_PAR_VALUE","FQ3 2021","FQ3 2021","Currency=USD","Period=FQ","BEST_FPERIOD_OVERRIDE=FQ","FILING_STATUS=MR","Sort=A","Dates=H","DateFormat=P","Fill=—","Direction=H","UseDPDF=Y")</f>
        <v>1E-4</v>
      </c>
      <c r="O68" s="14">
        <f>_xll.BDH("AMGN US Equity","ARDR_PAR_VALUE","FQ4 2021","FQ4 2021","Currency=USD","Period=FQ","BEST_FPERIOD_OVERRIDE=FQ","FILING_STATUS=MR","Sort=A","Dates=H","DateFormat=P","Fill=—","Direction=H","UseDPDF=Y")</f>
        <v>1E-4</v>
      </c>
      <c r="P68" s="14">
        <f>_xll.BDH("AMGN US Equity","ARDR_PAR_VALUE","FQ1 2022","FQ1 2022","Currency=USD","Period=FQ","BEST_FPERIOD_OVERRIDE=FQ","FILING_STATUS=MR","Sort=A","Dates=H","DateFormat=P","Fill=—","Direction=H","UseDPDF=Y")</f>
        <v>1E-4</v>
      </c>
      <c r="Q68" s="14">
        <f>_xll.BDH("AMGN US Equity","ARDR_PAR_VALUE","FQ2 2022","FQ2 2022","Currency=USD","Period=FQ","BEST_FPERIOD_OVERRIDE=FQ","FILING_STATUS=MR","Sort=A","Dates=H","DateFormat=P","Fill=—","Direction=H","UseDPDF=Y")</f>
        <v>1E-4</v>
      </c>
      <c r="R68" s="14">
        <f>_xll.BDH("AMGN US Equity","ARDR_PAR_VALUE","FQ3 2022","FQ3 2022","Currency=USD","Period=FQ","BEST_FPERIOD_OVERRIDE=FQ","FILING_STATUS=MR","Sort=A","Dates=H","DateFormat=P","Fill=—","Direction=H","UseDPDF=Y")</f>
        <v>1E-4</v>
      </c>
      <c r="S68" s="14">
        <f>_xll.BDH("AMGN US Equity","ARDR_PAR_VALUE","FQ4 2022","FQ4 2022","Currency=USD","Period=FQ","BEST_FPERIOD_OVERRIDE=FQ","FILING_STATUS=MR","Sort=A","Dates=H","DateFormat=P","Fill=—","Direction=H","UseDPDF=Y")</f>
        <v>1E-4</v>
      </c>
      <c r="T68" s="14">
        <f>_xll.BDH("AMGN US Equity","ARDR_PAR_VALUE","FQ1 2023","FQ1 2023","Currency=USD","Period=FQ","BEST_FPERIOD_OVERRIDE=FQ","FILING_STATUS=MR","Sort=A","Dates=H","DateFormat=P","Fill=—","Direction=H","UseDPDF=Y")</f>
        <v>1E-4</v>
      </c>
      <c r="U68" s="14">
        <f>_xll.BDH("AMGN US Equity","ARDR_PAR_VALUE","FQ2 2023","FQ2 2023","Currency=USD","Period=FQ","BEST_FPERIOD_OVERRIDE=FQ","FILING_STATUS=MR","Sort=A","Dates=H","DateFormat=P","Fill=—","Direction=H","UseDPDF=Y")</f>
        <v>1E-4</v>
      </c>
      <c r="V68" s="14">
        <f>_xll.BDH("AMGN US Equity","ARDR_PAR_VALUE","FQ3 2023","FQ3 2023","Currency=USD","Period=FQ","BEST_FPERIOD_OVERRIDE=FQ","FILING_STATUS=MR","Sort=A","Dates=H","DateFormat=P","Fill=—","Direction=H","UseDPDF=Y")</f>
        <v>1E-4</v>
      </c>
      <c r="W68" s="14">
        <f>_xll.BDH("AMGN US Equity","ARDR_PAR_VALUE","FQ4 2023","FQ4 2023","Currency=USD","Period=FQ","BEST_FPERIOD_OVERRIDE=FQ","FILING_STATUS=MR","Sort=A","Dates=H","DateFormat=P","Fill=—","Direction=H","UseDPDF=Y")</f>
        <v>1E-4</v>
      </c>
      <c r="X68" s="14">
        <f>_xll.BDH("AMGN US Equity","ARDR_PAR_VALUE","FQ1 2024","FQ1 2024","Currency=USD","Period=FQ","BEST_FPERIOD_OVERRIDE=FQ","FILING_STATUS=MR","Sort=A","Dates=H","DateFormat=P","Fill=—","Direction=H","UseDPDF=Y")</f>
        <v>1E-4</v>
      </c>
      <c r="Y68" s="14">
        <f>_xll.BDH("AMGN US Equity","ARDR_PAR_VALUE","FQ2 2024","FQ2 2024","Currency=USD","Period=FQ","BEST_FPERIOD_OVERRIDE=FQ","FILING_STATUS=MR","Sort=A","Dates=H","DateFormat=P","Fill=—","Direction=H","UseDPDF=Y")</f>
        <v>1E-4</v>
      </c>
      <c r="Z68" s="14">
        <f>_xll.BDH("AMGN US Equity","ARDR_PAR_VALUE","FQ3 2024","FQ3 2024","Currency=USD","Period=FQ","BEST_FPERIOD_OVERRIDE=FQ","FILING_STATUS=MR","Sort=A","Dates=H","DateFormat=P","Fill=—","Direction=H","UseDPDF=Y")</f>
        <v>1E-4</v>
      </c>
      <c r="AA68" s="14">
        <f>_xll.BDH("AMGN US Equity","ARDR_PAR_VALUE","FQ4 2024","FQ4 2024","Currency=USD","Period=FQ","BEST_FPERIOD_OVERRIDE=FQ","FILING_STATUS=MR","Sort=A","Dates=H","DateFormat=P","Fill=—","Direction=H","UseDPDF=Y")</f>
        <v>1E-4</v>
      </c>
    </row>
    <row r="69" spans="1:27" x14ac:dyDescent="0.25">
      <c r="A69" s="10" t="s">
        <v>957</v>
      </c>
      <c r="B69" s="10" t="s">
        <v>958</v>
      </c>
      <c r="C69" s="13">
        <f>_xll.BDH("AMGN US Equity","ARDR_RAW_MATERIAL","FQ4 2018","FQ4 2018","Currency=USD","Period=FQ","BEST_FPERIOD_OVERRIDE=FQ","FILING_STATUS=MR","SCALING_FORMAT=MLN","Sort=A","Dates=H","DateFormat=P","Fill=—","Direction=H","UseDPDF=Y")</f>
        <v>257</v>
      </c>
      <c r="D69" s="13">
        <f>_xll.BDH("AMGN US Equity","ARDR_RAW_MATERIAL","FQ1 2019","FQ1 2019","Currency=USD","Period=FQ","BEST_FPERIOD_OVERRIDE=FQ","FILING_STATUS=MR","SCALING_FORMAT=MLN","Sort=A","Dates=H","DateFormat=P","Fill=—","Direction=H","UseDPDF=Y")</f>
        <v>276</v>
      </c>
      <c r="E69" s="13">
        <f>_xll.BDH("AMGN US Equity","ARDR_RAW_MATERIAL","FQ2 2019","FQ2 2019","Currency=USD","Period=FQ","BEST_FPERIOD_OVERRIDE=FQ","FILING_STATUS=MR","SCALING_FORMAT=MLN","Sort=A","Dates=H","DateFormat=P","Fill=—","Direction=H","UseDPDF=Y")</f>
        <v>294</v>
      </c>
      <c r="F69" s="13">
        <f>_xll.BDH("AMGN US Equity","ARDR_RAW_MATERIAL","FQ3 2019","FQ3 2019","Currency=USD","Period=FQ","BEST_FPERIOD_OVERRIDE=FQ","FILING_STATUS=MR","SCALING_FORMAT=MLN","Sort=A","Dates=H","DateFormat=P","Fill=—","Direction=H","UseDPDF=Y")</f>
        <v>324</v>
      </c>
      <c r="G69" s="13">
        <f>_xll.BDH("AMGN US Equity","ARDR_RAW_MATERIAL","FQ4 2019","FQ4 2019","Currency=USD","Period=FQ","BEST_FPERIOD_OVERRIDE=FQ","FILING_STATUS=MR","SCALING_FORMAT=MLN","Sort=A","Dates=H","DateFormat=P","Fill=—","Direction=H","UseDPDF=Y")</f>
        <v>358</v>
      </c>
      <c r="H69" s="13">
        <f>_xll.BDH("AMGN US Equity","ARDR_RAW_MATERIAL","FQ1 2020","FQ1 2020","Currency=USD","Period=FQ","BEST_FPERIOD_OVERRIDE=FQ","FILING_STATUS=MR","SCALING_FORMAT=MLN","Sort=A","Dates=H","DateFormat=P","Fill=—","Direction=H","UseDPDF=Y")</f>
        <v>446</v>
      </c>
      <c r="I69" s="13">
        <f>_xll.BDH("AMGN US Equity","ARDR_RAW_MATERIAL","FQ2 2020","FQ2 2020","Currency=USD","Period=FQ","BEST_FPERIOD_OVERRIDE=FQ","FILING_STATUS=MR","SCALING_FORMAT=MLN","Sort=A","Dates=H","DateFormat=P","Fill=—","Direction=H","UseDPDF=Y")</f>
        <v>463</v>
      </c>
      <c r="J69" s="13">
        <f>_xll.BDH("AMGN US Equity","ARDR_RAW_MATERIAL","FQ3 2020","FQ3 2020","Currency=USD","Period=FQ","BEST_FPERIOD_OVERRIDE=FQ","FILING_STATUS=MR","SCALING_FORMAT=MLN","Sort=A","Dates=H","DateFormat=P","Fill=—","Direction=H","UseDPDF=Y")</f>
        <v>496</v>
      </c>
      <c r="K69" s="13">
        <f>_xll.BDH("AMGN US Equity","ARDR_RAW_MATERIAL","FQ4 2020","FQ4 2020","Currency=USD","Period=FQ","BEST_FPERIOD_OVERRIDE=FQ","FILING_STATUS=MR","SCALING_FORMAT=MLN","Sort=A","Dates=H","DateFormat=P","Fill=—","Direction=H","UseDPDF=Y")</f>
        <v>486</v>
      </c>
      <c r="L69" s="13">
        <f>_xll.BDH("AMGN US Equity","ARDR_RAW_MATERIAL","FQ1 2021","FQ1 2021","Currency=USD","Period=FQ","BEST_FPERIOD_OVERRIDE=FQ","FILING_STATUS=MR","SCALING_FORMAT=MLN","Sort=A","Dates=H","DateFormat=P","Fill=—","Direction=H","UseDPDF=Y")</f>
        <v>605</v>
      </c>
      <c r="M69" s="13">
        <f>_xll.BDH("AMGN US Equity","ARDR_RAW_MATERIAL","FQ2 2021","FQ2 2021","Currency=USD","Period=FQ","BEST_FPERIOD_OVERRIDE=FQ","FILING_STATUS=MR","SCALING_FORMAT=MLN","Sort=A","Dates=H","DateFormat=P","Fill=—","Direction=H","UseDPDF=Y")</f>
        <v>641</v>
      </c>
      <c r="N69" s="13">
        <f>_xll.BDH("AMGN US Equity","ARDR_RAW_MATERIAL","FQ3 2021","FQ3 2021","Currency=USD","Period=FQ","BEST_FPERIOD_OVERRIDE=FQ","FILING_STATUS=MR","SCALING_FORMAT=MLN","Sort=A","Dates=H","DateFormat=P","Fill=—","Direction=H","UseDPDF=Y")</f>
        <v>667</v>
      </c>
      <c r="O69" s="13">
        <f>_xll.BDH("AMGN US Equity","ARDR_RAW_MATERIAL","FQ4 2021","FQ4 2021","Currency=USD","Period=FQ","BEST_FPERIOD_OVERRIDE=FQ","FILING_STATUS=MR","SCALING_FORMAT=MLN","Sort=A","Dates=H","DateFormat=P","Fill=—","Direction=H","UseDPDF=Y")</f>
        <v>647</v>
      </c>
      <c r="P69" s="13">
        <f>_xll.BDH("AMGN US Equity","ARDR_RAW_MATERIAL","FQ1 2022","FQ1 2022","Currency=USD","Period=FQ","BEST_FPERIOD_OVERRIDE=FQ","FILING_STATUS=MR","SCALING_FORMAT=MLN","Sort=A","Dates=H","DateFormat=P","Fill=—","Direction=H","UseDPDF=Y")</f>
        <v>750</v>
      </c>
      <c r="Q69" s="13">
        <f>_xll.BDH("AMGN US Equity","ARDR_RAW_MATERIAL","FQ2 2022","FQ2 2022","Currency=USD","Period=FQ","BEST_FPERIOD_OVERRIDE=FQ","FILING_STATUS=MR","SCALING_FORMAT=MLN","Sort=A","Dates=H","DateFormat=P","Fill=—","Direction=H","UseDPDF=Y")</f>
        <v>779</v>
      </c>
      <c r="R69" s="13">
        <f>_xll.BDH("AMGN US Equity","ARDR_RAW_MATERIAL","FQ3 2022","FQ3 2022","Currency=USD","Period=FQ","BEST_FPERIOD_OVERRIDE=FQ","FILING_STATUS=MR","SCALING_FORMAT=MLN","Sort=A","Dates=H","DateFormat=P","Fill=—","Direction=H","UseDPDF=Y")</f>
        <v>801</v>
      </c>
      <c r="S69" s="13">
        <f>_xll.BDH("AMGN US Equity","ARDR_RAW_MATERIAL","FQ4 2022","FQ4 2022","Currency=USD","Period=FQ","BEST_FPERIOD_OVERRIDE=FQ","FILING_STATUS=MR","SCALING_FORMAT=MLN","Sort=A","Dates=H","DateFormat=P","Fill=—","Direction=H","UseDPDF=Y")</f>
        <v>828</v>
      </c>
      <c r="T69" s="13">
        <f>_xll.BDH("AMGN US Equity","ARDR_RAW_MATERIAL","FQ1 2023","FQ1 2023","Currency=USD","Period=FQ","BEST_FPERIOD_OVERRIDE=FQ","FILING_STATUS=MR","SCALING_FORMAT=MLN","Sort=A","Dates=H","DateFormat=P","Fill=—","Direction=H","UseDPDF=Y")</f>
        <v>903</v>
      </c>
      <c r="U69" s="13">
        <f>_xll.BDH("AMGN US Equity","ARDR_RAW_MATERIAL","FQ2 2023","FQ2 2023","Currency=USD","Period=FQ","BEST_FPERIOD_OVERRIDE=FQ","FILING_STATUS=MR","SCALING_FORMAT=MLN","Sort=A","Dates=H","DateFormat=P","Fill=—","Direction=H","UseDPDF=Y")</f>
        <v>855</v>
      </c>
      <c r="V69" s="13">
        <f>_xll.BDH("AMGN US Equity","ARDR_RAW_MATERIAL","FQ3 2023","FQ3 2023","Currency=USD","Period=FQ","BEST_FPERIOD_OVERRIDE=FQ","FILING_STATUS=MR","SCALING_FORMAT=MLN","Sort=A","Dates=H","DateFormat=P","Fill=—","Direction=H","UseDPDF=Y")</f>
        <v>849</v>
      </c>
      <c r="W69" s="13">
        <f>_xll.BDH("AMGN US Equity","ARDR_RAW_MATERIAL","FQ4 2023","FQ4 2023","Currency=USD","Period=FQ","BEST_FPERIOD_OVERRIDE=FQ","FILING_STATUS=MR","SCALING_FORMAT=MLN","Sort=A","Dates=H","DateFormat=P","Fill=—","Direction=H","UseDPDF=Y")</f>
        <v>993</v>
      </c>
      <c r="X69" s="13">
        <f>_xll.BDH("AMGN US Equity","ARDR_RAW_MATERIAL","FQ1 2024","FQ1 2024","Currency=USD","Period=FQ","BEST_FPERIOD_OVERRIDE=FQ","FILING_STATUS=MR","SCALING_FORMAT=MLN","Sort=A","Dates=H","DateFormat=P","Fill=—","Direction=H","UseDPDF=Y")</f>
        <v>928</v>
      </c>
      <c r="Y69" s="13">
        <f>_xll.BDH("AMGN US Equity","ARDR_RAW_MATERIAL","FQ2 2024","FQ2 2024","Currency=USD","Period=FQ","BEST_FPERIOD_OVERRIDE=FQ","FILING_STATUS=MR","SCALING_FORMAT=MLN","Sort=A","Dates=H","DateFormat=P","Fill=—","Direction=H","UseDPDF=Y")</f>
        <v>884</v>
      </c>
      <c r="Z69" s="13">
        <f>_xll.BDH("AMGN US Equity","ARDR_RAW_MATERIAL","FQ3 2024","FQ3 2024","Currency=USD","Period=FQ","BEST_FPERIOD_OVERRIDE=FQ","FILING_STATUS=MR","SCALING_FORMAT=MLN","Sort=A","Dates=H","DateFormat=P","Fill=—","Direction=H","UseDPDF=Y")</f>
        <v>788</v>
      </c>
      <c r="AA69" s="13">
        <f>_xll.BDH("AMGN US Equity","ARDR_RAW_MATERIAL","FQ4 2024","FQ4 2024","Currency=USD","Period=FQ","BEST_FPERIOD_OVERRIDE=FQ","FILING_STATUS=MR","SCALING_FORMAT=MLN","Sort=A","Dates=H","DateFormat=P","Fill=—","Direction=H","UseDPDF=Y")</f>
        <v>818</v>
      </c>
    </row>
    <row r="70" spans="1:27" x14ac:dyDescent="0.25">
      <c r="A70" s="10" t="s">
        <v>959</v>
      </c>
      <c r="B70" s="10" t="s">
        <v>960</v>
      </c>
      <c r="C70" s="13">
        <f>_xll.BDH("AMGN US Equity","ARDR_WORK_IN_PROGRESS","FQ4 2018","FQ4 2018","Currency=USD","Period=FQ","BEST_FPERIOD_OVERRIDE=FQ","FILING_STATUS=MR","SCALING_FORMAT=MLN","Sort=A","Dates=H","DateFormat=P","Fill=—","Direction=H","UseDPDF=Y")</f>
        <v>1660</v>
      </c>
      <c r="D70" s="13">
        <f>_xll.BDH("AMGN US Equity","ARDR_WORK_IN_PROGRESS","FQ1 2019","FQ1 2019","Currency=USD","Period=FQ","BEST_FPERIOD_OVERRIDE=FQ","FILING_STATUS=MR","SCALING_FORMAT=MLN","Sort=A","Dates=H","DateFormat=P","Fill=—","Direction=H","UseDPDF=Y")</f>
        <v>1770</v>
      </c>
      <c r="E70" s="13">
        <f>_xll.BDH("AMGN US Equity","ARDR_WORK_IN_PROGRESS","FQ2 2019","FQ2 2019","Currency=USD","Period=FQ","BEST_FPERIOD_OVERRIDE=FQ","FILING_STATUS=MR","SCALING_FORMAT=MLN","Sort=A","Dates=H","DateFormat=P","Fill=—","Direction=H","UseDPDF=Y")</f>
        <v>1788</v>
      </c>
      <c r="F70" s="13">
        <f>_xll.BDH("AMGN US Equity","ARDR_WORK_IN_PROGRESS","FQ3 2019","FQ3 2019","Currency=USD","Period=FQ","BEST_FPERIOD_OVERRIDE=FQ","FILING_STATUS=MR","SCALING_FORMAT=MLN","Sort=A","Dates=H","DateFormat=P","Fill=—","Direction=H","UseDPDF=Y")</f>
        <v>1923</v>
      </c>
      <c r="G70" s="13">
        <f>_xll.BDH("AMGN US Equity","ARDR_WORK_IN_PROGRESS","FQ4 2019","FQ4 2019","Currency=USD","Period=FQ","BEST_FPERIOD_OVERRIDE=FQ","FILING_STATUS=MR","SCALING_FORMAT=MLN","Sort=A","Dates=H","DateFormat=P","Fill=—","Direction=H","UseDPDF=Y")</f>
        <v>2227</v>
      </c>
      <c r="H70" s="13">
        <f>_xll.BDH("AMGN US Equity","ARDR_WORK_IN_PROGRESS","FQ1 2020","FQ1 2020","Currency=USD","Period=FQ","BEST_FPERIOD_OVERRIDE=FQ","FILING_STATUS=MR","SCALING_FORMAT=MLN","Sort=A","Dates=H","DateFormat=P","Fill=—","Direction=H","UseDPDF=Y")</f>
        <v>2192</v>
      </c>
      <c r="I70" s="13">
        <f>_xll.BDH("AMGN US Equity","ARDR_WORK_IN_PROGRESS","FQ2 2020","FQ2 2020","Currency=USD","Period=FQ","BEST_FPERIOD_OVERRIDE=FQ","FILING_STATUS=MR","SCALING_FORMAT=MLN","Sort=A","Dates=H","DateFormat=P","Fill=—","Direction=H","UseDPDF=Y")</f>
        <v>2376</v>
      </c>
      <c r="J70" s="13">
        <f>_xll.BDH("AMGN US Equity","ARDR_WORK_IN_PROGRESS","FQ3 2020","FQ3 2020","Currency=USD","Period=FQ","BEST_FPERIOD_OVERRIDE=FQ","FILING_STATUS=MR","SCALING_FORMAT=MLN","Sort=A","Dates=H","DateFormat=P","Fill=—","Direction=H","UseDPDF=Y")</f>
        <v>2551</v>
      </c>
      <c r="K70" s="13">
        <f>_xll.BDH("AMGN US Equity","ARDR_WORK_IN_PROGRESS","FQ4 2020","FQ4 2020","Currency=USD","Period=FQ","BEST_FPERIOD_OVERRIDE=FQ","FILING_STATUS=MR","SCALING_FORMAT=MLN","Sort=A","Dates=H","DateFormat=P","Fill=—","Direction=H","UseDPDF=Y")</f>
        <v>2437</v>
      </c>
      <c r="L70" s="13">
        <f>_xll.BDH("AMGN US Equity","ARDR_WORK_IN_PROGRESS","FQ1 2021","FQ1 2021","Currency=USD","Period=FQ","BEST_FPERIOD_OVERRIDE=FQ","FILING_STATUS=MR","SCALING_FORMAT=MLN","Sort=A","Dates=H","DateFormat=P","Fill=—","Direction=H","UseDPDF=Y")</f>
        <v>2463</v>
      </c>
      <c r="M70" s="13">
        <f>_xll.BDH("AMGN US Equity","ARDR_WORK_IN_PROGRESS","FQ2 2021","FQ2 2021","Currency=USD","Period=FQ","BEST_FPERIOD_OVERRIDE=FQ","FILING_STATUS=MR","SCALING_FORMAT=MLN","Sort=A","Dates=H","DateFormat=P","Fill=—","Direction=H","UseDPDF=Y")</f>
        <v>2443</v>
      </c>
      <c r="N70" s="13">
        <f>_xll.BDH("AMGN US Equity","ARDR_WORK_IN_PROGRESS","FQ3 2021","FQ3 2021","Currency=USD","Period=FQ","BEST_FPERIOD_OVERRIDE=FQ","FILING_STATUS=MR","SCALING_FORMAT=MLN","Sort=A","Dates=H","DateFormat=P","Fill=—","Direction=H","UseDPDF=Y")</f>
        <v>2313</v>
      </c>
      <c r="O70" s="13">
        <f>_xll.BDH("AMGN US Equity","ARDR_WORK_IN_PROGRESS","FQ4 2021","FQ4 2021","Currency=USD","Period=FQ","BEST_FPERIOD_OVERRIDE=FQ","FILING_STATUS=MR","SCALING_FORMAT=MLN","Sort=A","Dates=H","DateFormat=P","Fill=—","Direction=H","UseDPDF=Y")</f>
        <v>2367</v>
      </c>
      <c r="P70" s="13">
        <f>_xll.BDH("AMGN US Equity","ARDR_WORK_IN_PROGRESS","FQ1 2022","FQ1 2022","Currency=USD","Period=FQ","BEST_FPERIOD_OVERRIDE=FQ","FILING_STATUS=MR","SCALING_FORMAT=MLN","Sort=A","Dates=H","DateFormat=P","Fill=—","Direction=H","UseDPDF=Y")</f>
        <v>2582</v>
      </c>
      <c r="Q70" s="13">
        <f>_xll.BDH("AMGN US Equity","ARDR_WORK_IN_PROGRESS","FQ2 2022","FQ2 2022","Currency=USD","Period=FQ","BEST_FPERIOD_OVERRIDE=FQ","FILING_STATUS=MR","SCALING_FORMAT=MLN","Sort=A","Dates=H","DateFormat=P","Fill=—","Direction=H","UseDPDF=Y")</f>
        <v>2763</v>
      </c>
      <c r="R70" s="13">
        <f>_xll.BDH("AMGN US Equity","ARDR_WORK_IN_PROGRESS","FQ3 2022","FQ3 2022","Currency=USD","Period=FQ","BEST_FPERIOD_OVERRIDE=FQ","FILING_STATUS=MR","SCALING_FORMAT=MLN","Sort=A","Dates=H","DateFormat=P","Fill=—","Direction=H","UseDPDF=Y")</f>
        <v>2929</v>
      </c>
      <c r="S70" s="13">
        <f>_xll.BDH("AMGN US Equity","ARDR_WORK_IN_PROGRESS","FQ4 2022","FQ4 2022","Currency=USD","Period=FQ","BEST_FPERIOD_OVERRIDE=FQ","FILING_STATUS=MR","SCALING_FORMAT=MLN","Sort=A","Dates=H","DateFormat=P","Fill=—","Direction=H","UseDPDF=Y")</f>
        <v>3098</v>
      </c>
      <c r="T70" s="13">
        <f>_xll.BDH("AMGN US Equity","ARDR_WORK_IN_PROGRESS","FQ1 2023","FQ1 2023","Currency=USD","Period=FQ","BEST_FPERIOD_OVERRIDE=FQ","FILING_STATUS=MR","SCALING_FORMAT=MLN","Sort=A","Dates=H","DateFormat=P","Fill=—","Direction=H","UseDPDF=Y")</f>
        <v>2978</v>
      </c>
      <c r="U70" s="13">
        <f>_xll.BDH("AMGN US Equity","ARDR_WORK_IN_PROGRESS","FQ2 2023","FQ2 2023","Currency=USD","Period=FQ","BEST_FPERIOD_OVERRIDE=FQ","FILING_STATUS=MR","SCALING_FORMAT=MLN","Sort=A","Dates=H","DateFormat=P","Fill=—","Direction=H","UseDPDF=Y")</f>
        <v>3048</v>
      </c>
      <c r="V70" s="13">
        <f>_xll.BDH("AMGN US Equity","ARDR_WORK_IN_PROGRESS","FQ3 2023","FQ3 2023","Currency=USD","Period=FQ","BEST_FPERIOD_OVERRIDE=FQ","FILING_STATUS=MR","SCALING_FORMAT=MLN","Sort=A","Dates=H","DateFormat=P","Fill=—","Direction=H","UseDPDF=Y")</f>
        <v>2992</v>
      </c>
      <c r="W70" s="13">
        <f>_xll.BDH("AMGN US Equity","ARDR_WORK_IN_PROGRESS","FQ4 2023","FQ4 2023","Currency=USD","Period=FQ","BEST_FPERIOD_OVERRIDE=FQ","FILING_STATUS=MR","SCALING_FORMAT=MLN","Sort=A","Dates=H","DateFormat=P","Fill=—","Direction=H","UseDPDF=Y")</f>
        <v>5747</v>
      </c>
      <c r="X70" s="13">
        <f>_xll.BDH("AMGN US Equity","ARDR_WORK_IN_PROGRESS","FQ1 2024","FQ1 2024","Currency=USD","Period=FQ","BEST_FPERIOD_OVERRIDE=FQ","FILING_STATUS=MR","SCALING_FORMAT=MLN","Sort=A","Dates=H","DateFormat=P","Fill=—","Direction=H","UseDPDF=Y")</f>
        <v>5270</v>
      </c>
      <c r="Y70" s="13">
        <f>_xll.BDH("AMGN US Equity","ARDR_WORK_IN_PROGRESS","FQ2 2024","FQ2 2024","Currency=USD","Period=FQ","BEST_FPERIOD_OVERRIDE=FQ","FILING_STATUS=MR","SCALING_FORMAT=MLN","Sort=A","Dates=H","DateFormat=P","Fill=—","Direction=H","UseDPDF=Y")</f>
        <v>4476</v>
      </c>
      <c r="Z70" s="13">
        <f>_xll.BDH("AMGN US Equity","ARDR_WORK_IN_PROGRESS","FQ3 2024","FQ3 2024","Currency=USD","Period=FQ","BEST_FPERIOD_OVERRIDE=FQ","FILING_STATUS=MR","SCALING_FORMAT=MLN","Sort=A","Dates=H","DateFormat=P","Fill=—","Direction=H","UseDPDF=Y")</f>
        <v>4339</v>
      </c>
      <c r="AA70" s="13">
        <f>_xll.BDH("AMGN US Equity","ARDR_WORK_IN_PROGRESS","FQ4 2024","FQ4 2024","Currency=USD","Period=FQ","BEST_FPERIOD_OVERRIDE=FQ","FILING_STATUS=MR","SCALING_FORMAT=MLN","Sort=A","Dates=H","DateFormat=P","Fill=—","Direction=H","UseDPDF=Y")</f>
        <v>4120</v>
      </c>
    </row>
    <row r="71" spans="1:27" x14ac:dyDescent="0.25">
      <c r="A71" s="10" t="s">
        <v>961</v>
      </c>
      <c r="B71" s="10" t="s">
        <v>962</v>
      </c>
      <c r="C71" s="13">
        <f>_xll.BDH("AMGN US Equity","ARDR_FINISHED_GOOD","FQ4 2018","FQ4 2018","Currency=USD","Period=FQ","BEST_FPERIOD_OVERRIDE=FQ","FILING_STATUS=MR","SCALING_FORMAT=MLN","Sort=A","Dates=H","DateFormat=P","Fill=—","Direction=H","UseDPDF=Y")</f>
        <v>1023</v>
      </c>
      <c r="D71" s="13">
        <f>_xll.BDH("AMGN US Equity","ARDR_FINISHED_GOOD","FQ1 2019","FQ1 2019","Currency=USD","Period=FQ","BEST_FPERIOD_OVERRIDE=FQ","FILING_STATUS=MR","SCALING_FORMAT=MLN","Sort=A","Dates=H","DateFormat=P","Fill=—","Direction=H","UseDPDF=Y")</f>
        <v>970</v>
      </c>
      <c r="E71" s="13">
        <f>_xll.BDH("AMGN US Equity","ARDR_FINISHED_GOOD","FQ2 2019","FQ2 2019","Currency=USD","Period=FQ","BEST_FPERIOD_OVERRIDE=FQ","FILING_STATUS=MR","SCALING_FORMAT=MLN","Sort=A","Dates=H","DateFormat=P","Fill=—","Direction=H","UseDPDF=Y")</f>
        <v>1094</v>
      </c>
      <c r="F71" s="13">
        <f>_xll.BDH("AMGN US Equity","ARDR_FINISHED_GOOD","FQ3 2019","FQ3 2019","Currency=USD","Period=FQ","BEST_FPERIOD_OVERRIDE=FQ","FILING_STATUS=MR","SCALING_FORMAT=MLN","Sort=A","Dates=H","DateFormat=P","Fill=—","Direction=H","UseDPDF=Y")</f>
        <v>996</v>
      </c>
      <c r="G71" s="13">
        <f>_xll.BDH("AMGN US Equity","ARDR_FINISHED_GOOD","FQ4 2019","FQ4 2019","Currency=USD","Period=FQ","BEST_FPERIOD_OVERRIDE=FQ","FILING_STATUS=MR","SCALING_FORMAT=MLN","Sort=A","Dates=H","DateFormat=P","Fill=—","Direction=H","UseDPDF=Y")</f>
        <v>999</v>
      </c>
      <c r="H71" s="13">
        <f>_xll.BDH("AMGN US Equity","ARDR_FINISHED_GOOD","FQ1 2020","FQ1 2020","Currency=USD","Period=FQ","BEST_FPERIOD_OVERRIDE=FQ","FILING_STATUS=MR","SCALING_FORMAT=MLN","Sort=A","Dates=H","DateFormat=P","Fill=—","Direction=H","UseDPDF=Y")</f>
        <v>1044</v>
      </c>
      <c r="I71" s="13">
        <f>_xll.BDH("AMGN US Equity","ARDR_FINISHED_GOOD","FQ2 2020","FQ2 2020","Currency=USD","Period=FQ","BEST_FPERIOD_OVERRIDE=FQ","FILING_STATUS=MR","SCALING_FORMAT=MLN","Sort=A","Dates=H","DateFormat=P","Fill=—","Direction=H","UseDPDF=Y")</f>
        <v>1001</v>
      </c>
      <c r="J71" s="13">
        <f>_xll.BDH("AMGN US Equity","ARDR_FINISHED_GOOD","FQ3 2020","FQ3 2020","Currency=USD","Period=FQ","BEST_FPERIOD_OVERRIDE=FQ","FILING_STATUS=MR","SCALING_FORMAT=MLN","Sort=A","Dates=H","DateFormat=P","Fill=—","Direction=H","UseDPDF=Y")</f>
        <v>895</v>
      </c>
      <c r="K71" s="13">
        <f>_xll.BDH("AMGN US Equity","ARDR_FINISHED_GOOD","FQ4 2020","FQ4 2020","Currency=USD","Period=FQ","BEST_FPERIOD_OVERRIDE=FQ","FILING_STATUS=MR","SCALING_FORMAT=MLN","Sort=A","Dates=H","DateFormat=P","Fill=—","Direction=H","UseDPDF=Y")</f>
        <v>970</v>
      </c>
      <c r="L71" s="13">
        <f>_xll.BDH("AMGN US Equity","ARDR_FINISHED_GOOD","FQ1 2021","FQ1 2021","Currency=USD","Period=FQ","BEST_FPERIOD_OVERRIDE=FQ","FILING_STATUS=MR","SCALING_FORMAT=MLN","Sort=A","Dates=H","DateFormat=P","Fill=—","Direction=H","UseDPDF=Y")</f>
        <v>949</v>
      </c>
      <c r="M71" s="13">
        <f>_xll.BDH("AMGN US Equity","ARDR_FINISHED_GOOD","FQ2 2021","FQ2 2021","Currency=USD","Period=FQ","BEST_FPERIOD_OVERRIDE=FQ","FILING_STATUS=MR","SCALING_FORMAT=MLN","Sort=A","Dates=H","DateFormat=P","Fill=—","Direction=H","UseDPDF=Y")</f>
        <v>1031</v>
      </c>
      <c r="N71" s="13">
        <f>_xll.BDH("AMGN US Equity","ARDR_FINISHED_GOOD","FQ3 2021","FQ3 2021","Currency=USD","Period=FQ","BEST_FPERIOD_OVERRIDE=FQ","FILING_STATUS=MR","SCALING_FORMAT=MLN","Sort=A","Dates=H","DateFormat=P","Fill=—","Direction=H","UseDPDF=Y")</f>
        <v>1172</v>
      </c>
      <c r="O71" s="13">
        <f>_xll.BDH("AMGN US Equity","ARDR_FINISHED_GOOD","FQ4 2021","FQ4 2021","Currency=USD","Period=FQ","BEST_FPERIOD_OVERRIDE=FQ","FILING_STATUS=MR","SCALING_FORMAT=MLN","Sort=A","Dates=H","DateFormat=P","Fill=—","Direction=H","UseDPDF=Y")</f>
        <v>1072</v>
      </c>
      <c r="P71" s="13">
        <f>_xll.BDH("AMGN US Equity","ARDR_FINISHED_GOOD","FQ1 2022","FQ1 2022","Currency=USD","Period=FQ","BEST_FPERIOD_OVERRIDE=FQ","FILING_STATUS=MR","SCALING_FORMAT=MLN","Sort=A","Dates=H","DateFormat=P","Fill=—","Direction=H","UseDPDF=Y")</f>
        <v>1079</v>
      </c>
      <c r="Q71" s="13">
        <f>_xll.BDH("AMGN US Equity","ARDR_FINISHED_GOOD","FQ2 2022","FQ2 2022","Currency=USD","Period=FQ","BEST_FPERIOD_OVERRIDE=FQ","FILING_STATUS=MR","SCALING_FORMAT=MLN","Sort=A","Dates=H","DateFormat=P","Fill=—","Direction=H","UseDPDF=Y")</f>
        <v>1012</v>
      </c>
      <c r="R71" s="13">
        <f>_xll.BDH("AMGN US Equity","ARDR_FINISHED_GOOD","FQ3 2022","FQ3 2022","Currency=USD","Period=FQ","BEST_FPERIOD_OVERRIDE=FQ","FILING_STATUS=MR","SCALING_FORMAT=MLN","Sort=A","Dates=H","DateFormat=P","Fill=—","Direction=H","UseDPDF=Y")</f>
        <v>1027</v>
      </c>
      <c r="S71" s="13">
        <f>_xll.BDH("AMGN US Equity","ARDR_FINISHED_GOOD","FQ4 2022","FQ4 2022","Currency=USD","Period=FQ","BEST_FPERIOD_OVERRIDE=FQ","FILING_STATUS=MR","SCALING_FORMAT=MLN","Sort=A","Dates=H","DateFormat=P","Fill=—","Direction=H","UseDPDF=Y")</f>
        <v>1004</v>
      </c>
      <c r="T71" s="13">
        <f>_xll.BDH("AMGN US Equity","ARDR_FINISHED_GOOD","FQ1 2023","FQ1 2023","Currency=USD","Period=FQ","BEST_FPERIOD_OVERRIDE=FQ","FILING_STATUS=MR","SCALING_FORMAT=MLN","Sort=A","Dates=H","DateFormat=P","Fill=—","Direction=H","UseDPDF=Y")</f>
        <v>1130</v>
      </c>
      <c r="U71" s="13">
        <f>_xll.BDH("AMGN US Equity","ARDR_FINISHED_GOOD","FQ2 2023","FQ2 2023","Currency=USD","Period=FQ","BEST_FPERIOD_OVERRIDE=FQ","FILING_STATUS=MR","SCALING_FORMAT=MLN","Sort=A","Dates=H","DateFormat=P","Fill=—","Direction=H","UseDPDF=Y")</f>
        <v>1075</v>
      </c>
      <c r="V71" s="13">
        <f>_xll.BDH("AMGN US Equity","ARDR_FINISHED_GOOD","FQ3 2023","FQ3 2023","Currency=USD","Period=FQ","BEST_FPERIOD_OVERRIDE=FQ","FILING_STATUS=MR","SCALING_FORMAT=MLN","Sort=A","Dates=H","DateFormat=P","Fill=—","Direction=H","UseDPDF=Y")</f>
        <v>1185</v>
      </c>
      <c r="W71" s="13">
        <f>_xll.BDH("AMGN US Equity","ARDR_FINISHED_GOOD","FQ4 2023","FQ4 2023","Currency=USD","Period=FQ","BEST_FPERIOD_OVERRIDE=FQ","FILING_STATUS=MR","SCALING_FORMAT=MLN","Sort=A","Dates=H","DateFormat=P","Fill=—","Direction=H","UseDPDF=Y")</f>
        <v>2778</v>
      </c>
      <c r="X71" s="13">
        <f>_xll.BDH("AMGN US Equity","ARDR_FINISHED_GOOD","FQ1 2024","FQ1 2024","Currency=USD","Period=FQ","BEST_FPERIOD_OVERRIDE=FQ","FILING_STATUS=MR","SCALING_FORMAT=MLN","Sort=A","Dates=H","DateFormat=P","Fill=—","Direction=H","UseDPDF=Y")</f>
        <v>2526</v>
      </c>
      <c r="Y71" s="13">
        <f>_xll.BDH("AMGN US Equity","ARDR_FINISHED_GOOD","FQ2 2024","FQ2 2024","Currency=USD","Period=FQ","BEST_FPERIOD_OVERRIDE=FQ","FILING_STATUS=MR","SCALING_FORMAT=MLN","Sort=A","Dates=H","DateFormat=P","Fill=—","Direction=H","UseDPDF=Y")</f>
        <v>2635</v>
      </c>
      <c r="Z71" s="13">
        <f>_xll.BDH("AMGN US Equity","ARDR_FINISHED_GOOD","FQ3 2024","FQ3 2024","Currency=USD","Period=FQ","BEST_FPERIOD_OVERRIDE=FQ","FILING_STATUS=MR","SCALING_FORMAT=MLN","Sort=A","Dates=H","DateFormat=P","Fill=—","Direction=H","UseDPDF=Y")</f>
        <v>2235</v>
      </c>
      <c r="AA71" s="13">
        <f>_xll.BDH("AMGN US Equity","ARDR_FINISHED_GOOD","FQ4 2024","FQ4 2024","Currency=USD","Period=FQ","BEST_FPERIOD_OVERRIDE=FQ","FILING_STATUS=MR","SCALING_FORMAT=MLN","Sort=A","Dates=H","DateFormat=P","Fill=—","Direction=H","UseDPDF=Y")</f>
        <v>2060</v>
      </c>
    </row>
    <row r="72" spans="1:27" x14ac:dyDescent="0.25">
      <c r="A72" s="10" t="s">
        <v>909</v>
      </c>
      <c r="B72" s="10" t="s">
        <v>963</v>
      </c>
      <c r="C72" s="13">
        <f>_xll.BDH("AMGN US Equity","ARDR_COMMON_STOCK_AND_APIC","FQ4 2018","FQ4 2018","Currency=USD","Period=FQ","BEST_FPERIOD_OVERRIDE=FQ","FILING_STATUS=MR","SCALING_FORMAT=MLN","Sort=A","Dates=H","DateFormat=P","Fill=—","Direction=H","UseDPDF=Y")</f>
        <v>31246</v>
      </c>
      <c r="D72" s="13" t="str">
        <f>_xll.BDH("AMGN US Equity","ARDR_COMMON_STOCK_AND_APIC","FQ1 2019","FQ1 2019","Currency=USD","Period=FQ","BEST_FPERIOD_OVERRIDE=FQ","FILING_STATUS=MR","SCALING_FORMAT=MLN","Sort=A","Dates=H","DateFormat=P","Fill=—","Direction=H","UseDPDF=Y")</f>
        <v>—</v>
      </c>
      <c r="E72" s="13">
        <f>_xll.BDH("AMGN US Equity","ARDR_COMMON_STOCK_AND_APIC","FQ2 2019","FQ2 2019","Currency=USD","Period=FQ","BEST_FPERIOD_OVERRIDE=FQ","FILING_STATUS=MR","SCALING_FORMAT=MLN","Sort=A","Dates=H","DateFormat=P","Fill=—","Direction=H","UseDPDF=Y")</f>
        <v>31313</v>
      </c>
      <c r="F72" s="13">
        <f>_xll.BDH("AMGN US Equity","ARDR_COMMON_STOCK_AND_APIC","FQ3 2019","FQ3 2019","Currency=USD","Period=FQ","BEST_FPERIOD_OVERRIDE=FQ","FILING_STATUS=MR","SCALING_FORMAT=MLN","Sort=A","Dates=H","DateFormat=P","Fill=—","Direction=H","UseDPDF=Y")</f>
        <v>31451</v>
      </c>
      <c r="G72" s="13">
        <f>_xll.BDH("AMGN US Equity","ARDR_COMMON_STOCK_AND_APIC","FQ4 2019","FQ4 2019","Currency=USD","Period=FQ","BEST_FPERIOD_OVERRIDE=FQ","FILING_STATUS=MR","SCALING_FORMAT=MLN","Sort=A","Dates=H","DateFormat=P","Fill=—","Direction=H","UseDPDF=Y")</f>
        <v>31531</v>
      </c>
      <c r="H72" s="13">
        <f>_xll.BDH("AMGN US Equity","ARDR_COMMON_STOCK_AND_APIC","FQ1 2020","FQ1 2020","Currency=USD","Period=FQ","BEST_FPERIOD_OVERRIDE=FQ","FILING_STATUS=MR","SCALING_FORMAT=MLN","Sort=A","Dates=H","DateFormat=P","Fill=—","Direction=H","UseDPDF=Y")</f>
        <v>31525</v>
      </c>
      <c r="I72" s="13">
        <f>_xll.BDH("AMGN US Equity","ARDR_COMMON_STOCK_AND_APIC","FQ2 2020","FQ2 2020","Currency=USD","Period=FQ","BEST_FPERIOD_OVERRIDE=FQ","FILING_STATUS=MR","SCALING_FORMAT=MLN","Sort=A","Dates=H","DateFormat=P","Fill=—","Direction=H","UseDPDF=Y")</f>
        <v>31610</v>
      </c>
      <c r="J72" s="13">
        <f>_xll.BDH("AMGN US Equity","ARDR_COMMON_STOCK_AND_APIC","FQ3 2020","FQ3 2020","Currency=USD","Period=FQ","BEST_FPERIOD_OVERRIDE=FQ","FILING_STATUS=MR","SCALING_FORMAT=MLN","Sort=A","Dates=H","DateFormat=P","Fill=—","Direction=H","UseDPDF=Y")</f>
        <v>31713</v>
      </c>
      <c r="K72" s="13">
        <f>_xll.BDH("AMGN US Equity","ARDR_COMMON_STOCK_AND_APIC","FQ4 2020","FQ4 2020","Currency=USD","Period=FQ","BEST_FPERIOD_OVERRIDE=FQ","FILING_STATUS=MR","SCALING_FORMAT=MLN","Sort=A","Dates=H","DateFormat=P","Fill=—","Direction=H","UseDPDF=Y")</f>
        <v>31802</v>
      </c>
      <c r="L72" s="13">
        <f>_xll.BDH("AMGN US Equity","ARDR_COMMON_STOCK_AND_APIC","FQ1 2021","FQ1 2021","Currency=USD","Period=FQ","BEST_FPERIOD_OVERRIDE=FQ","FILING_STATUS=MR","SCALING_FORMAT=MLN","Sort=A","Dates=H","DateFormat=P","Fill=—","Direction=H","UseDPDF=Y")</f>
        <v>31806</v>
      </c>
      <c r="M72" s="13">
        <f>_xll.BDH("AMGN US Equity","ARDR_COMMON_STOCK_AND_APIC","FQ2 2021","FQ2 2021","Currency=USD","Period=FQ","BEST_FPERIOD_OVERRIDE=FQ","FILING_STATUS=MR","SCALING_FORMAT=MLN","Sort=A","Dates=H","DateFormat=P","Fill=—","Direction=H","UseDPDF=Y")</f>
        <v>31877</v>
      </c>
      <c r="N72" s="13">
        <f>_xll.BDH("AMGN US Equity","ARDR_COMMON_STOCK_AND_APIC","FQ3 2021","FQ3 2021","Currency=USD","Period=FQ","BEST_FPERIOD_OVERRIDE=FQ","FILING_STATUS=MR","SCALING_FORMAT=MLN","Sort=A","Dates=H","DateFormat=P","Fill=—","Direction=H","UseDPDF=Y")</f>
        <v>31989</v>
      </c>
      <c r="O72" s="13">
        <f>_xll.BDH("AMGN US Equity","ARDR_COMMON_STOCK_AND_APIC","FQ4 2021","FQ4 2021","Currency=USD","Period=FQ","BEST_FPERIOD_OVERRIDE=FQ","FILING_STATUS=MR","SCALING_FORMAT=MLN","Sort=A","Dates=H","DateFormat=P","Fill=—","Direction=H","UseDPDF=Y")</f>
        <v>32096</v>
      </c>
      <c r="P72" s="13">
        <f>_xll.BDH("AMGN US Equity","ARDR_COMMON_STOCK_AND_APIC","FQ1 2022","FQ1 2022","Currency=USD","Period=FQ","BEST_FPERIOD_OVERRIDE=FQ","FILING_STATUS=MR","SCALING_FORMAT=MLN","Sort=A","Dates=H","DateFormat=P","Fill=—","Direction=H","UseDPDF=Y")</f>
        <v>31247</v>
      </c>
      <c r="Q72" s="13">
        <f>_xll.BDH("AMGN US Equity","ARDR_COMMON_STOCK_AND_APIC","FQ2 2022","FQ2 2022","Currency=USD","Period=FQ","BEST_FPERIOD_OVERRIDE=FQ","FILING_STATUS=MR","SCALING_FORMAT=MLN","Sort=A","Dates=H","DateFormat=P","Fill=—","Direction=H","UseDPDF=Y")</f>
        <v>31343</v>
      </c>
      <c r="R72" s="13">
        <f>_xll.BDH("AMGN US Equity","ARDR_COMMON_STOCK_AND_APIC","FQ3 2022","FQ3 2022","Currency=USD","Period=FQ","BEST_FPERIOD_OVERRIDE=FQ","FILING_STATUS=MR","SCALING_FORMAT=MLN","Sort=A","Dates=H","DateFormat=P","Fill=—","Direction=H","UseDPDF=Y")</f>
        <v>32371</v>
      </c>
      <c r="S72" s="13">
        <f>_xll.BDH("AMGN US Equity","ARDR_COMMON_STOCK_AND_APIC","FQ4 2022","FQ4 2022","Currency=USD","Period=FQ","BEST_FPERIOD_OVERRIDE=FQ","FILING_STATUS=MR","SCALING_FORMAT=MLN","Sort=A","Dates=H","DateFormat=P","Fill=—","Direction=H","UseDPDF=Y")</f>
        <v>32514</v>
      </c>
      <c r="T72" s="13">
        <f>_xll.BDH("AMGN US Equity","ARDR_COMMON_STOCK_AND_APIC","FQ1 2023","FQ1 2023","Currency=USD","Period=FQ","BEST_FPERIOD_OVERRIDE=FQ","FILING_STATUS=MR","SCALING_FORMAT=MLN","Sort=A","Dates=H","DateFormat=P","Fill=—","Direction=H","UseDPDF=Y")</f>
        <v>32535</v>
      </c>
      <c r="U72" s="13">
        <f>_xll.BDH("AMGN US Equity","ARDR_COMMON_STOCK_AND_APIC","FQ2 2023","FQ2 2023","Currency=USD","Period=FQ","BEST_FPERIOD_OVERRIDE=FQ","FILING_STATUS=MR","SCALING_FORMAT=MLN","Sort=A","Dates=H","DateFormat=P","Fill=—","Direction=H","UseDPDF=Y")</f>
        <v>32601</v>
      </c>
      <c r="V72" s="13">
        <f>_xll.BDH("AMGN US Equity","ARDR_COMMON_STOCK_AND_APIC","FQ3 2023","FQ3 2023","Currency=USD","Period=FQ","BEST_FPERIOD_OVERRIDE=FQ","FILING_STATUS=MR","SCALING_FORMAT=MLN","Sort=A","Dates=H","DateFormat=P","Fill=—","Direction=H","UseDPDF=Y")</f>
        <v>32753</v>
      </c>
      <c r="W72" s="13">
        <f>_xll.BDH("AMGN US Equity","ARDR_COMMON_STOCK_AND_APIC","FQ4 2023","FQ4 2023","Currency=USD","Period=FQ","BEST_FPERIOD_OVERRIDE=FQ","FILING_STATUS=MR","SCALING_FORMAT=MLN","Sort=A","Dates=H","DateFormat=P","Fill=—","Direction=H","UseDPDF=Y")</f>
        <v>33070</v>
      </c>
      <c r="X72" s="13">
        <f>_xll.BDH("AMGN US Equity","ARDR_COMMON_STOCK_AND_APIC","FQ1 2024","FQ1 2024","Currency=USD","Period=FQ","BEST_FPERIOD_OVERRIDE=FQ","FILING_STATUS=MR","SCALING_FORMAT=MLN","Sort=A","Dates=H","DateFormat=P","Fill=—","Direction=H","UseDPDF=Y")</f>
        <v>33082</v>
      </c>
      <c r="Y72" s="13">
        <f>_xll.BDH("AMGN US Equity","ARDR_COMMON_STOCK_AND_APIC","FQ2 2024","FQ2 2024","Currency=USD","Period=FQ","BEST_FPERIOD_OVERRIDE=FQ","FILING_STATUS=MR","SCALING_FORMAT=MLN","Sort=A","Dates=H","DateFormat=P","Fill=—","Direction=H","UseDPDF=Y")</f>
        <v>33204</v>
      </c>
      <c r="Z72" s="13">
        <f>_xll.BDH("AMGN US Equity","ARDR_COMMON_STOCK_AND_APIC","FQ3 2024","FQ3 2024","Currency=USD","Period=FQ","BEST_FPERIOD_OVERRIDE=FQ","FILING_STATUS=MR","SCALING_FORMAT=MLN","Sort=A","Dates=H","DateFormat=P","Fill=—","Direction=H","UseDPDF=Y")</f>
        <v>33393</v>
      </c>
      <c r="AA72" s="13">
        <f>_xll.BDH("AMGN US Equity","ARDR_COMMON_STOCK_AND_APIC","FQ4 2024","FQ4 2024","Currency=USD","Period=FQ","BEST_FPERIOD_OVERRIDE=FQ","FILING_STATUS=MR","SCALING_FORMAT=MLN","Sort=A","Dates=H","DateFormat=P","Fill=—","Direction=H","UseDPDF=Y")</f>
        <v>33533</v>
      </c>
    </row>
    <row r="73" spans="1:27" x14ac:dyDescent="0.25">
      <c r="A73" s="10" t="s">
        <v>964</v>
      </c>
      <c r="B73" s="10" t="s">
        <v>965</v>
      </c>
      <c r="C73" s="13">
        <f>_xll.BDH("AMGN US Equity","ARDR_OTHER_GROSS_FIXED_ASSETS","FQ4 2018","FQ4 2018","Currency=USD","Period=FQ","BEST_FPERIOD_OVERRIDE=FQ","FILING_STATUS=MR","SCALING_FORMAT=MLN","Sort=A","Dates=H","DateFormat=P","Fill=—","Direction=H","UseDPDF=Y")</f>
        <v>3204</v>
      </c>
      <c r="D73" s="13" t="str">
        <f>_xll.BDH("AMGN US Equity","ARDR_OTHER_GROSS_FIXED_ASSETS","FQ1 2019","FQ1 2019","Currency=USD","Period=FQ","BEST_FPERIOD_OVERRIDE=FQ","FILING_STATUS=MR","SCALING_FORMAT=MLN","Sort=A","Dates=H","DateFormat=P","Fill=—","Direction=H","UseDPDF=Y")</f>
        <v>—</v>
      </c>
      <c r="E73" s="13" t="str">
        <f>_xll.BDH("AMGN US Equity","ARDR_OTHER_GROSS_FIXED_ASSETS","FQ2 2019","FQ2 2019","Currency=USD","Period=FQ","BEST_FPERIOD_OVERRIDE=FQ","FILING_STATUS=MR","SCALING_FORMAT=MLN","Sort=A","Dates=H","DateFormat=P","Fill=—","Direction=H","UseDPDF=Y")</f>
        <v>—</v>
      </c>
      <c r="F73" s="13" t="str">
        <f>_xll.BDH("AMGN US Equity","ARDR_OTHER_GROSS_FIXED_ASSETS","FQ3 2019","FQ3 2019","Currency=USD","Period=FQ","BEST_FPERIOD_OVERRIDE=FQ","FILING_STATUS=MR","SCALING_FORMAT=MLN","Sort=A","Dates=H","DateFormat=P","Fill=—","Direction=H","UseDPDF=Y")</f>
        <v>—</v>
      </c>
      <c r="G73" s="13">
        <f>_xll.BDH("AMGN US Equity","ARDR_OTHER_GROSS_FIXED_ASSETS","FQ4 2019","FQ4 2019","Currency=USD","Period=FQ","BEST_FPERIOD_OVERRIDE=FQ","FILING_STATUS=MR","SCALING_FORMAT=MLN","Sort=A","Dates=H","DateFormat=P","Fill=—","Direction=H","UseDPDF=Y")</f>
        <v>3313</v>
      </c>
      <c r="H73" s="13" t="str">
        <f>_xll.BDH("AMGN US Equity","ARDR_OTHER_GROSS_FIXED_ASSETS","FQ1 2020","FQ1 2020","Currency=USD","Period=FQ","BEST_FPERIOD_OVERRIDE=FQ","FILING_STATUS=MR","SCALING_FORMAT=MLN","Sort=A","Dates=H","DateFormat=P","Fill=—","Direction=H","UseDPDF=Y")</f>
        <v>—</v>
      </c>
      <c r="I73" s="13" t="str">
        <f>_xll.BDH("AMGN US Equity","ARDR_OTHER_GROSS_FIXED_ASSETS","FQ2 2020","FQ2 2020","Currency=USD","Period=FQ","BEST_FPERIOD_OVERRIDE=FQ","FILING_STATUS=MR","SCALING_FORMAT=MLN","Sort=A","Dates=H","DateFormat=P","Fill=—","Direction=H","UseDPDF=Y")</f>
        <v>—</v>
      </c>
      <c r="J73" s="13" t="str">
        <f>_xll.BDH("AMGN US Equity","ARDR_OTHER_GROSS_FIXED_ASSETS","FQ3 2020","FQ3 2020","Currency=USD","Period=FQ","BEST_FPERIOD_OVERRIDE=FQ","FILING_STATUS=MR","SCALING_FORMAT=MLN","Sort=A","Dates=H","DateFormat=P","Fill=—","Direction=H","UseDPDF=Y")</f>
        <v>—</v>
      </c>
      <c r="K73" s="13">
        <f>_xll.BDH("AMGN US Equity","ARDR_OTHER_GROSS_FIXED_ASSETS","FQ4 2020","FQ4 2020","Currency=USD","Period=FQ","BEST_FPERIOD_OVERRIDE=FQ","FILING_STATUS=MR","SCALING_FORMAT=MLN","Sort=A","Dates=H","DateFormat=P","Fill=—","Direction=H","UseDPDF=Y")</f>
        <v>3497</v>
      </c>
      <c r="L73" s="13" t="str">
        <f>_xll.BDH("AMGN US Equity","ARDR_OTHER_GROSS_FIXED_ASSETS","FQ1 2021","FQ1 2021","Currency=USD","Period=FQ","BEST_FPERIOD_OVERRIDE=FQ","FILING_STATUS=MR","SCALING_FORMAT=MLN","Sort=A","Dates=H","DateFormat=P","Fill=—","Direction=H","UseDPDF=Y")</f>
        <v>—</v>
      </c>
      <c r="M73" s="13" t="str">
        <f>_xll.BDH("AMGN US Equity","ARDR_OTHER_GROSS_FIXED_ASSETS","FQ2 2021","FQ2 2021","Currency=USD","Period=FQ","BEST_FPERIOD_OVERRIDE=FQ","FILING_STATUS=MR","SCALING_FORMAT=MLN","Sort=A","Dates=H","DateFormat=P","Fill=—","Direction=H","UseDPDF=Y")</f>
        <v>—</v>
      </c>
      <c r="N73" s="13" t="str">
        <f>_xll.BDH("AMGN US Equity","ARDR_OTHER_GROSS_FIXED_ASSETS","FQ3 2021","FQ3 2021","Currency=USD","Period=FQ","BEST_FPERIOD_OVERRIDE=FQ","FILING_STATUS=MR","SCALING_FORMAT=MLN","Sort=A","Dates=H","DateFormat=P","Fill=—","Direction=H","UseDPDF=Y")</f>
        <v>—</v>
      </c>
      <c r="O73" s="13">
        <f>_xll.BDH("AMGN US Equity","ARDR_OTHER_GROSS_FIXED_ASSETS","FQ4 2021","FQ4 2021","Currency=USD","Period=FQ","BEST_FPERIOD_OVERRIDE=FQ","FILING_STATUS=MR","SCALING_FORMAT=MLN","Sort=A","Dates=H","DateFormat=P","Fill=—","Direction=H","UseDPDF=Y")</f>
        <v>3264</v>
      </c>
      <c r="P73" s="13" t="str">
        <f>_xll.BDH("AMGN US Equity","ARDR_OTHER_GROSS_FIXED_ASSETS","FQ1 2022","FQ1 2022","Currency=USD","Period=FQ","BEST_FPERIOD_OVERRIDE=FQ","FILING_STATUS=MR","SCALING_FORMAT=MLN","Sort=A","Dates=H","DateFormat=P","Fill=—","Direction=H","UseDPDF=Y")</f>
        <v>—</v>
      </c>
      <c r="Q73" s="13" t="str">
        <f>_xll.BDH("AMGN US Equity","ARDR_OTHER_GROSS_FIXED_ASSETS","FQ2 2022","FQ2 2022","Currency=USD","Period=FQ","BEST_FPERIOD_OVERRIDE=FQ","FILING_STATUS=MR","SCALING_FORMAT=MLN","Sort=A","Dates=H","DateFormat=P","Fill=—","Direction=H","UseDPDF=Y")</f>
        <v>—</v>
      </c>
      <c r="R73" s="13" t="str">
        <f>_xll.BDH("AMGN US Equity","ARDR_OTHER_GROSS_FIXED_ASSETS","FQ3 2022","FQ3 2022","Currency=USD","Period=FQ","BEST_FPERIOD_OVERRIDE=FQ","FILING_STATUS=MR","SCALING_FORMAT=MLN","Sort=A","Dates=H","DateFormat=P","Fill=—","Direction=H","UseDPDF=Y")</f>
        <v>—</v>
      </c>
      <c r="S73" s="13">
        <f>_xll.BDH("AMGN US Equity","ARDR_OTHER_GROSS_FIXED_ASSETS","FQ4 2022","FQ4 2022","Currency=USD","Period=FQ","BEST_FPERIOD_OVERRIDE=FQ","FILING_STATUS=MR","SCALING_FORMAT=MLN","Sort=A","Dates=H","DateFormat=P","Fill=—","Direction=H","UseDPDF=Y")</f>
        <v>3407</v>
      </c>
      <c r="T73" s="13" t="str">
        <f>_xll.BDH("AMGN US Equity","ARDR_OTHER_GROSS_FIXED_ASSETS","FQ1 2023","FQ1 2023","Currency=USD","Period=FQ","BEST_FPERIOD_OVERRIDE=FQ","FILING_STATUS=MR","SCALING_FORMAT=MLN","Sort=A","Dates=H","DateFormat=P","Fill=—","Direction=H","UseDPDF=Y")</f>
        <v>—</v>
      </c>
      <c r="U73" s="13" t="str">
        <f>_xll.BDH("AMGN US Equity","ARDR_OTHER_GROSS_FIXED_ASSETS","FQ2 2023","FQ2 2023","Currency=USD","Period=FQ","BEST_FPERIOD_OVERRIDE=FQ","FILING_STATUS=MR","SCALING_FORMAT=MLN","Sort=A","Dates=H","DateFormat=P","Fill=—","Direction=H","UseDPDF=Y")</f>
        <v>—</v>
      </c>
      <c r="V73" s="13" t="str">
        <f>_xll.BDH("AMGN US Equity","ARDR_OTHER_GROSS_FIXED_ASSETS","FQ3 2023","FQ3 2023","Currency=USD","Period=FQ","BEST_FPERIOD_OVERRIDE=FQ","FILING_STATUS=MR","SCALING_FORMAT=MLN","Sort=A","Dates=H","DateFormat=P","Fill=—","Direction=H","UseDPDF=Y")</f>
        <v>—</v>
      </c>
      <c r="W73" s="13">
        <f>_xll.BDH("AMGN US Equity","ARDR_OTHER_GROSS_FIXED_ASSETS","FQ4 2023","FQ4 2023","Currency=USD","Period=FQ","BEST_FPERIOD_OVERRIDE=FQ","FILING_STATUS=MR","SCALING_FORMAT=MLN","Sort=A","Dates=H","DateFormat=P","Fill=—","Direction=H","UseDPDF=Y")</f>
        <v>3467</v>
      </c>
      <c r="X73" s="13" t="str">
        <f>_xll.BDH("AMGN US Equity","ARDR_OTHER_GROSS_FIXED_ASSETS","FQ1 2024","FQ1 2024","Currency=USD","Period=FQ","BEST_FPERIOD_OVERRIDE=FQ","FILING_STATUS=MR","SCALING_FORMAT=MLN","Sort=A","Dates=H","DateFormat=P","Fill=—","Direction=H","UseDPDF=Y")</f>
        <v>—</v>
      </c>
      <c r="Y73" s="13" t="str">
        <f>_xll.BDH("AMGN US Equity","ARDR_OTHER_GROSS_FIXED_ASSETS","FQ2 2024","FQ2 2024","Currency=USD","Period=FQ","BEST_FPERIOD_OVERRIDE=FQ","FILING_STATUS=MR","SCALING_FORMAT=MLN","Sort=A","Dates=H","DateFormat=P","Fill=—","Direction=H","UseDPDF=Y")</f>
        <v>—</v>
      </c>
      <c r="Z73" s="13" t="str">
        <f>_xll.BDH("AMGN US Equity","ARDR_OTHER_GROSS_FIXED_ASSETS","FQ3 2024","FQ3 2024","Currency=USD","Period=FQ","BEST_FPERIOD_OVERRIDE=FQ","FILING_STATUS=MR","SCALING_FORMAT=MLN","Sort=A","Dates=H","DateFormat=P","Fill=—","Direction=H","UseDPDF=Y")</f>
        <v>—</v>
      </c>
      <c r="AA73" s="13">
        <f>_xll.BDH("AMGN US Equity","ARDR_OTHER_GROSS_FIXED_ASSETS","FQ4 2024","FQ4 2024","Currency=USD","Period=FQ","BEST_FPERIOD_OVERRIDE=FQ","FILING_STATUS=MR","SCALING_FORMAT=MLN","Sort=A","Dates=H","DateFormat=P","Fill=—","Direction=H","UseDPDF=Y")</f>
        <v>3651</v>
      </c>
    </row>
    <row r="74" spans="1:27" x14ac:dyDescent="0.25">
      <c r="A74" s="10" t="s">
        <v>966</v>
      </c>
      <c r="B74" s="10" t="s">
        <v>967</v>
      </c>
      <c r="C74" s="13">
        <f>_xll.BDH("AMGN US Equity","ARDR_TOTAL_LINE_OF_CREDIT","FQ4 2018","FQ4 2018","Currency=USD","Period=FQ","BEST_FPERIOD_OVERRIDE=FQ","FILING_STATUS=MR","SCALING_FORMAT=MLN","Sort=A","Dates=H","DateFormat=P","Fill=—","Direction=H","UseDPDF=Y")</f>
        <v>2500</v>
      </c>
      <c r="D74" s="13" t="str">
        <f>_xll.BDH("AMGN US Equity","ARDR_TOTAL_LINE_OF_CREDIT","FQ1 2019","FQ1 2019","Currency=USD","Period=FQ","BEST_FPERIOD_OVERRIDE=FQ","FILING_STATUS=MR","SCALING_FORMAT=MLN","Sort=A","Dates=H","DateFormat=P","Fill=—","Direction=H","UseDPDF=Y")</f>
        <v>—</v>
      </c>
      <c r="E74" s="13" t="str">
        <f>_xll.BDH("AMGN US Equity","ARDR_TOTAL_LINE_OF_CREDIT","FQ2 2019","FQ2 2019","Currency=USD","Period=FQ","BEST_FPERIOD_OVERRIDE=FQ","FILING_STATUS=MR","SCALING_FORMAT=MLN","Sort=A","Dates=H","DateFormat=P","Fill=—","Direction=H","UseDPDF=Y")</f>
        <v>—</v>
      </c>
      <c r="F74" s="13" t="str">
        <f>_xll.BDH("AMGN US Equity","ARDR_TOTAL_LINE_OF_CREDIT","FQ3 2019","FQ3 2019","Currency=USD","Period=FQ","BEST_FPERIOD_OVERRIDE=FQ","FILING_STATUS=MR","SCALING_FORMAT=MLN","Sort=A","Dates=H","DateFormat=P","Fill=—","Direction=H","UseDPDF=Y")</f>
        <v>—</v>
      </c>
      <c r="G74" s="13">
        <f>_xll.BDH("AMGN US Equity","ARDR_TOTAL_LINE_OF_CREDIT","FQ4 2019","FQ4 2019","Currency=USD","Period=FQ","BEST_FPERIOD_OVERRIDE=FQ","FILING_STATUS=MR","SCALING_FORMAT=MLN","Sort=A","Dates=H","DateFormat=P","Fill=—","Direction=H","UseDPDF=Y")</f>
        <v>2500</v>
      </c>
      <c r="H74" s="13" t="str">
        <f>_xll.BDH("AMGN US Equity","ARDR_TOTAL_LINE_OF_CREDIT","FQ1 2020","FQ1 2020","Currency=USD","Period=FQ","BEST_FPERIOD_OVERRIDE=FQ","FILING_STATUS=MR","SCALING_FORMAT=MLN","Sort=A","Dates=H","DateFormat=P","Fill=—","Direction=H","UseDPDF=Y")</f>
        <v>—</v>
      </c>
      <c r="I74" s="13" t="str">
        <f>_xll.BDH("AMGN US Equity","ARDR_TOTAL_LINE_OF_CREDIT","FQ2 2020","FQ2 2020","Currency=USD","Period=FQ","BEST_FPERIOD_OVERRIDE=FQ","FILING_STATUS=MR","SCALING_FORMAT=MLN","Sort=A","Dates=H","DateFormat=P","Fill=—","Direction=H","UseDPDF=Y")</f>
        <v>—</v>
      </c>
      <c r="J74" s="13" t="str">
        <f>_xll.BDH("AMGN US Equity","ARDR_TOTAL_LINE_OF_CREDIT","FQ3 2020","FQ3 2020","Currency=USD","Period=FQ","BEST_FPERIOD_OVERRIDE=FQ","FILING_STATUS=MR","SCALING_FORMAT=MLN","Sort=A","Dates=H","DateFormat=P","Fill=—","Direction=H","UseDPDF=Y")</f>
        <v>—</v>
      </c>
      <c r="K74" s="13">
        <f>_xll.BDH("AMGN US Equity","ARDR_TOTAL_LINE_OF_CREDIT","FQ4 2020","FQ4 2020","Currency=USD","Period=FQ","BEST_FPERIOD_OVERRIDE=FQ","FILING_STATUS=MR","SCALING_FORMAT=MLN","Sort=A","Dates=H","DateFormat=P","Fill=—","Direction=H","UseDPDF=Y")</f>
        <v>2500</v>
      </c>
      <c r="L74" s="13" t="str">
        <f>_xll.BDH("AMGN US Equity","ARDR_TOTAL_LINE_OF_CREDIT","FQ1 2021","FQ1 2021","Currency=USD","Period=FQ","BEST_FPERIOD_OVERRIDE=FQ","FILING_STATUS=MR","SCALING_FORMAT=MLN","Sort=A","Dates=H","DateFormat=P","Fill=—","Direction=H","UseDPDF=Y")</f>
        <v>—</v>
      </c>
      <c r="M74" s="13" t="str">
        <f>_xll.BDH("AMGN US Equity","ARDR_TOTAL_LINE_OF_CREDIT","FQ2 2021","FQ2 2021","Currency=USD","Period=FQ","BEST_FPERIOD_OVERRIDE=FQ","FILING_STATUS=MR","SCALING_FORMAT=MLN","Sort=A","Dates=H","DateFormat=P","Fill=—","Direction=H","UseDPDF=Y")</f>
        <v>—</v>
      </c>
      <c r="N74" s="13" t="str">
        <f>_xll.BDH("AMGN US Equity","ARDR_TOTAL_LINE_OF_CREDIT","FQ3 2021","FQ3 2021","Currency=USD","Period=FQ","BEST_FPERIOD_OVERRIDE=FQ","FILING_STATUS=MR","SCALING_FORMAT=MLN","Sort=A","Dates=H","DateFormat=P","Fill=—","Direction=H","UseDPDF=Y")</f>
        <v>—</v>
      </c>
      <c r="O74" s="13">
        <f>_xll.BDH("AMGN US Equity","ARDR_TOTAL_LINE_OF_CREDIT","FQ4 2021","FQ4 2021","Currency=USD","Period=FQ","BEST_FPERIOD_OVERRIDE=FQ","FILING_STATUS=MR","SCALING_FORMAT=MLN","Sort=A","Dates=H","DateFormat=P","Fill=—","Direction=H","UseDPDF=Y")</f>
        <v>2500</v>
      </c>
      <c r="P74" s="13" t="str">
        <f>_xll.BDH("AMGN US Equity","ARDR_TOTAL_LINE_OF_CREDIT","FQ1 2022","FQ1 2022","Currency=USD","Period=FQ","BEST_FPERIOD_OVERRIDE=FQ","FILING_STATUS=MR","SCALING_FORMAT=MLN","Sort=A","Dates=H","DateFormat=P","Fill=—","Direction=H","UseDPDF=Y")</f>
        <v>—</v>
      </c>
      <c r="Q74" s="13" t="str">
        <f>_xll.BDH("AMGN US Equity","ARDR_TOTAL_LINE_OF_CREDIT","FQ2 2022","FQ2 2022","Currency=USD","Period=FQ","BEST_FPERIOD_OVERRIDE=FQ","FILING_STATUS=MR","SCALING_FORMAT=MLN","Sort=A","Dates=H","DateFormat=P","Fill=—","Direction=H","UseDPDF=Y")</f>
        <v>—</v>
      </c>
      <c r="R74" s="13" t="str">
        <f>_xll.BDH("AMGN US Equity","ARDR_TOTAL_LINE_OF_CREDIT","FQ3 2022","FQ3 2022","Currency=USD","Period=FQ","BEST_FPERIOD_OVERRIDE=FQ","FILING_STATUS=MR","SCALING_FORMAT=MLN","Sort=A","Dates=H","DateFormat=P","Fill=—","Direction=H","UseDPDF=Y")</f>
        <v>—</v>
      </c>
      <c r="S74" s="13">
        <f>_xll.BDH("AMGN US Equity","ARDR_TOTAL_LINE_OF_CREDIT","FQ4 2022","FQ4 2022","Currency=USD","Period=FQ","BEST_FPERIOD_OVERRIDE=FQ","FILING_STATUS=MR","SCALING_FORMAT=MLN","Sort=A","Dates=H","DateFormat=P","Fill=—","Direction=H","UseDPDF=Y")</f>
        <v>2500</v>
      </c>
      <c r="T74" s="13" t="str">
        <f>_xll.BDH("AMGN US Equity","ARDR_TOTAL_LINE_OF_CREDIT","FQ1 2023","FQ1 2023","Currency=USD","Period=FQ","BEST_FPERIOD_OVERRIDE=FQ","FILING_STATUS=MR","SCALING_FORMAT=MLN","Sort=A","Dates=H","DateFormat=P","Fill=—","Direction=H","UseDPDF=Y")</f>
        <v>—</v>
      </c>
      <c r="U74" s="13" t="str">
        <f>_xll.BDH("AMGN US Equity","ARDR_TOTAL_LINE_OF_CREDIT","FQ2 2023","FQ2 2023","Currency=USD","Period=FQ","BEST_FPERIOD_OVERRIDE=FQ","FILING_STATUS=MR","SCALING_FORMAT=MLN","Sort=A","Dates=H","DateFormat=P","Fill=—","Direction=H","UseDPDF=Y")</f>
        <v>—</v>
      </c>
      <c r="V74" s="13" t="str">
        <f>_xll.BDH("AMGN US Equity","ARDR_TOTAL_LINE_OF_CREDIT","FQ3 2023","FQ3 2023","Currency=USD","Period=FQ","BEST_FPERIOD_OVERRIDE=FQ","FILING_STATUS=MR","SCALING_FORMAT=MLN","Sort=A","Dates=H","DateFormat=P","Fill=—","Direction=H","UseDPDF=Y")</f>
        <v>—</v>
      </c>
      <c r="W74" s="13">
        <f>_xll.BDH("AMGN US Equity","ARDR_TOTAL_LINE_OF_CREDIT","FQ4 2023","FQ4 2023","Currency=USD","Period=FQ","BEST_FPERIOD_OVERRIDE=FQ","FILING_STATUS=MR","SCALING_FORMAT=MLN","Sort=A","Dates=H","DateFormat=P","Fill=—","Direction=H","UseDPDF=Y")</f>
        <v>2500</v>
      </c>
      <c r="X74" s="13" t="str">
        <f>_xll.BDH("AMGN US Equity","ARDR_TOTAL_LINE_OF_CREDIT","FQ1 2024","FQ1 2024","Currency=USD","Period=FQ","BEST_FPERIOD_OVERRIDE=FQ","FILING_STATUS=MR","SCALING_FORMAT=MLN","Sort=A","Dates=H","DateFormat=P","Fill=—","Direction=H","UseDPDF=Y")</f>
        <v>—</v>
      </c>
      <c r="Y74" s="13" t="str">
        <f>_xll.BDH("AMGN US Equity","ARDR_TOTAL_LINE_OF_CREDIT","FQ2 2024","FQ2 2024","Currency=USD","Period=FQ","BEST_FPERIOD_OVERRIDE=FQ","FILING_STATUS=MR","SCALING_FORMAT=MLN","Sort=A","Dates=H","DateFormat=P","Fill=—","Direction=H","UseDPDF=Y")</f>
        <v>—</v>
      </c>
      <c r="Z74" s="13" t="str">
        <f>_xll.BDH("AMGN US Equity","ARDR_TOTAL_LINE_OF_CREDIT","FQ3 2024","FQ3 2024","Currency=USD","Period=FQ","BEST_FPERIOD_OVERRIDE=FQ","FILING_STATUS=MR","SCALING_FORMAT=MLN","Sort=A","Dates=H","DateFormat=P","Fill=—","Direction=H","UseDPDF=Y")</f>
        <v>—</v>
      </c>
      <c r="AA74" s="13">
        <f>_xll.BDH("AMGN US Equity","ARDR_TOTAL_LINE_OF_CREDIT","FQ4 2024","FQ4 2024","Currency=USD","Period=FQ","BEST_FPERIOD_OVERRIDE=FQ","FILING_STATUS=MR","SCALING_FORMAT=MLN","Sort=A","Dates=H","DateFormat=P","Fill=—","Direction=H","UseDPDF=Y")</f>
        <v>2500</v>
      </c>
    </row>
    <row r="75" spans="1:27" x14ac:dyDescent="0.25">
      <c r="A75" s="10" t="s">
        <v>968</v>
      </c>
      <c r="B75" s="10" t="s">
        <v>969</v>
      </c>
      <c r="C75" s="13">
        <f>_xll.BDH("AMGN US Equity","ARDR_TOTAL_AVAIL_LINE_OF_CREDIT","FQ4 2018","FQ4 2018","Currency=USD","Period=FQ","BEST_FPERIOD_OVERRIDE=FQ","FILING_STATUS=MR","SCALING_FORMAT=MLN","Sort=A","Dates=H","DateFormat=P","Fill=—","Direction=H","UseDPDF=Y")</f>
        <v>2500</v>
      </c>
      <c r="D75" s="13" t="str">
        <f>_xll.BDH("AMGN US Equity","ARDR_TOTAL_AVAIL_LINE_OF_CREDIT","FQ1 2019","FQ1 2019","Currency=USD","Period=FQ","BEST_FPERIOD_OVERRIDE=FQ","FILING_STATUS=MR","SCALING_FORMAT=MLN","Sort=A","Dates=H","DateFormat=P","Fill=—","Direction=H","UseDPDF=Y")</f>
        <v>—</v>
      </c>
      <c r="E75" s="13" t="str">
        <f>_xll.BDH("AMGN US Equity","ARDR_TOTAL_AVAIL_LINE_OF_CREDIT","FQ2 2019","FQ2 2019","Currency=USD","Period=FQ","BEST_FPERIOD_OVERRIDE=FQ","FILING_STATUS=MR","SCALING_FORMAT=MLN","Sort=A","Dates=H","DateFormat=P","Fill=—","Direction=H","UseDPDF=Y")</f>
        <v>—</v>
      </c>
      <c r="F75" s="13" t="str">
        <f>_xll.BDH("AMGN US Equity","ARDR_TOTAL_AVAIL_LINE_OF_CREDIT","FQ3 2019","FQ3 2019","Currency=USD","Period=FQ","BEST_FPERIOD_OVERRIDE=FQ","FILING_STATUS=MR","SCALING_FORMAT=MLN","Sort=A","Dates=H","DateFormat=P","Fill=—","Direction=H","UseDPDF=Y")</f>
        <v>—</v>
      </c>
      <c r="G75" s="13">
        <f>_xll.BDH("AMGN US Equity","ARDR_TOTAL_AVAIL_LINE_OF_CREDIT","FQ4 2019","FQ4 2019","Currency=USD","Period=FQ","BEST_FPERIOD_OVERRIDE=FQ","FILING_STATUS=MR","SCALING_FORMAT=MLN","Sort=A","Dates=H","DateFormat=P","Fill=—","Direction=H","UseDPDF=Y")</f>
        <v>2500</v>
      </c>
      <c r="H75" s="13" t="str">
        <f>_xll.BDH("AMGN US Equity","ARDR_TOTAL_AVAIL_LINE_OF_CREDIT","FQ1 2020","FQ1 2020","Currency=USD","Period=FQ","BEST_FPERIOD_OVERRIDE=FQ","FILING_STATUS=MR","SCALING_FORMAT=MLN","Sort=A","Dates=H","DateFormat=P","Fill=—","Direction=H","UseDPDF=Y")</f>
        <v>—</v>
      </c>
      <c r="I75" s="13" t="str">
        <f>_xll.BDH("AMGN US Equity","ARDR_TOTAL_AVAIL_LINE_OF_CREDIT","FQ2 2020","FQ2 2020","Currency=USD","Period=FQ","BEST_FPERIOD_OVERRIDE=FQ","FILING_STATUS=MR","SCALING_FORMAT=MLN","Sort=A","Dates=H","DateFormat=P","Fill=—","Direction=H","UseDPDF=Y")</f>
        <v>—</v>
      </c>
      <c r="J75" s="13" t="str">
        <f>_xll.BDH("AMGN US Equity","ARDR_TOTAL_AVAIL_LINE_OF_CREDIT","FQ3 2020","FQ3 2020","Currency=USD","Period=FQ","BEST_FPERIOD_OVERRIDE=FQ","FILING_STATUS=MR","SCALING_FORMAT=MLN","Sort=A","Dates=H","DateFormat=P","Fill=—","Direction=H","UseDPDF=Y")</f>
        <v>—</v>
      </c>
      <c r="K75" s="13">
        <f>_xll.BDH("AMGN US Equity","ARDR_TOTAL_AVAIL_LINE_OF_CREDIT","FQ4 2020","FQ4 2020","Currency=USD","Period=FQ","BEST_FPERIOD_OVERRIDE=FQ","FILING_STATUS=MR","SCALING_FORMAT=MLN","Sort=A","Dates=H","DateFormat=P","Fill=—","Direction=H","UseDPDF=Y")</f>
        <v>2500</v>
      </c>
      <c r="L75" s="13" t="str">
        <f>_xll.BDH("AMGN US Equity","ARDR_TOTAL_AVAIL_LINE_OF_CREDIT","FQ1 2021","FQ1 2021","Currency=USD","Period=FQ","BEST_FPERIOD_OVERRIDE=FQ","FILING_STATUS=MR","SCALING_FORMAT=MLN","Sort=A","Dates=H","DateFormat=P","Fill=—","Direction=H","UseDPDF=Y")</f>
        <v>—</v>
      </c>
      <c r="M75" s="13" t="str">
        <f>_xll.BDH("AMGN US Equity","ARDR_TOTAL_AVAIL_LINE_OF_CREDIT","FQ2 2021","FQ2 2021","Currency=USD","Period=FQ","BEST_FPERIOD_OVERRIDE=FQ","FILING_STATUS=MR","SCALING_FORMAT=MLN","Sort=A","Dates=H","DateFormat=P","Fill=—","Direction=H","UseDPDF=Y")</f>
        <v>—</v>
      </c>
      <c r="N75" s="13" t="str">
        <f>_xll.BDH("AMGN US Equity","ARDR_TOTAL_AVAIL_LINE_OF_CREDIT","FQ3 2021","FQ3 2021","Currency=USD","Period=FQ","BEST_FPERIOD_OVERRIDE=FQ","FILING_STATUS=MR","SCALING_FORMAT=MLN","Sort=A","Dates=H","DateFormat=P","Fill=—","Direction=H","UseDPDF=Y")</f>
        <v>—</v>
      </c>
      <c r="O75" s="13">
        <f>_xll.BDH("AMGN US Equity","ARDR_TOTAL_AVAIL_LINE_OF_CREDIT","FQ4 2021","FQ4 2021","Currency=USD","Period=FQ","BEST_FPERIOD_OVERRIDE=FQ","FILING_STATUS=MR","SCALING_FORMAT=MLN","Sort=A","Dates=H","DateFormat=P","Fill=—","Direction=H","UseDPDF=Y")</f>
        <v>2500</v>
      </c>
      <c r="P75" s="13" t="str">
        <f>_xll.BDH("AMGN US Equity","ARDR_TOTAL_AVAIL_LINE_OF_CREDIT","FQ1 2022","FQ1 2022","Currency=USD","Period=FQ","BEST_FPERIOD_OVERRIDE=FQ","FILING_STATUS=MR","SCALING_FORMAT=MLN","Sort=A","Dates=H","DateFormat=P","Fill=—","Direction=H","UseDPDF=Y")</f>
        <v>—</v>
      </c>
      <c r="Q75" s="13" t="str">
        <f>_xll.BDH("AMGN US Equity","ARDR_TOTAL_AVAIL_LINE_OF_CREDIT","FQ2 2022","FQ2 2022","Currency=USD","Period=FQ","BEST_FPERIOD_OVERRIDE=FQ","FILING_STATUS=MR","SCALING_FORMAT=MLN","Sort=A","Dates=H","DateFormat=P","Fill=—","Direction=H","UseDPDF=Y")</f>
        <v>—</v>
      </c>
      <c r="R75" s="13" t="str">
        <f>_xll.BDH("AMGN US Equity","ARDR_TOTAL_AVAIL_LINE_OF_CREDIT","FQ3 2022","FQ3 2022","Currency=USD","Period=FQ","BEST_FPERIOD_OVERRIDE=FQ","FILING_STATUS=MR","SCALING_FORMAT=MLN","Sort=A","Dates=H","DateFormat=P","Fill=—","Direction=H","UseDPDF=Y")</f>
        <v>—</v>
      </c>
      <c r="S75" s="13">
        <f>_xll.BDH("AMGN US Equity","ARDR_TOTAL_AVAIL_LINE_OF_CREDIT","FQ4 2022","FQ4 2022","Currency=USD","Period=FQ","BEST_FPERIOD_OVERRIDE=FQ","FILING_STATUS=MR","SCALING_FORMAT=MLN","Sort=A","Dates=H","DateFormat=P","Fill=—","Direction=H","UseDPDF=Y")</f>
        <v>2500</v>
      </c>
      <c r="T75" s="13" t="str">
        <f>_xll.BDH("AMGN US Equity","ARDR_TOTAL_AVAIL_LINE_OF_CREDIT","FQ1 2023","FQ1 2023","Currency=USD","Period=FQ","BEST_FPERIOD_OVERRIDE=FQ","FILING_STATUS=MR","SCALING_FORMAT=MLN","Sort=A","Dates=H","DateFormat=P","Fill=—","Direction=H","UseDPDF=Y")</f>
        <v>—</v>
      </c>
      <c r="U75" s="13" t="str">
        <f>_xll.BDH("AMGN US Equity","ARDR_TOTAL_AVAIL_LINE_OF_CREDIT","FQ2 2023","FQ2 2023","Currency=USD","Period=FQ","BEST_FPERIOD_OVERRIDE=FQ","FILING_STATUS=MR","SCALING_FORMAT=MLN","Sort=A","Dates=H","DateFormat=P","Fill=—","Direction=H","UseDPDF=Y")</f>
        <v>—</v>
      </c>
      <c r="V75" s="13" t="str">
        <f>_xll.BDH("AMGN US Equity","ARDR_TOTAL_AVAIL_LINE_OF_CREDIT","FQ3 2023","FQ3 2023","Currency=USD","Period=FQ","BEST_FPERIOD_OVERRIDE=FQ","FILING_STATUS=MR","SCALING_FORMAT=MLN","Sort=A","Dates=H","DateFormat=P","Fill=—","Direction=H","UseDPDF=Y")</f>
        <v>—</v>
      </c>
      <c r="W75" s="13">
        <f>_xll.BDH("AMGN US Equity","ARDR_TOTAL_AVAIL_LINE_OF_CREDIT","FQ4 2023","FQ4 2023","Currency=USD","Period=FQ","BEST_FPERIOD_OVERRIDE=FQ","FILING_STATUS=MR","SCALING_FORMAT=MLN","Sort=A","Dates=H","DateFormat=P","Fill=—","Direction=H","UseDPDF=Y")</f>
        <v>2500</v>
      </c>
      <c r="X75" s="13" t="str">
        <f>_xll.BDH("AMGN US Equity","ARDR_TOTAL_AVAIL_LINE_OF_CREDIT","FQ1 2024","FQ1 2024","Currency=USD","Period=FQ","BEST_FPERIOD_OVERRIDE=FQ","FILING_STATUS=MR","SCALING_FORMAT=MLN","Sort=A","Dates=H","DateFormat=P","Fill=—","Direction=H","UseDPDF=Y")</f>
        <v>—</v>
      </c>
      <c r="Y75" s="13" t="str">
        <f>_xll.BDH("AMGN US Equity","ARDR_TOTAL_AVAIL_LINE_OF_CREDIT","FQ2 2024","FQ2 2024","Currency=USD","Period=FQ","BEST_FPERIOD_OVERRIDE=FQ","FILING_STATUS=MR","SCALING_FORMAT=MLN","Sort=A","Dates=H","DateFormat=P","Fill=—","Direction=H","UseDPDF=Y")</f>
        <v>—</v>
      </c>
      <c r="Z75" s="13" t="str">
        <f>_xll.BDH("AMGN US Equity","ARDR_TOTAL_AVAIL_LINE_OF_CREDIT","FQ3 2024","FQ3 2024","Currency=USD","Period=FQ","BEST_FPERIOD_OVERRIDE=FQ","FILING_STATUS=MR","SCALING_FORMAT=MLN","Sort=A","Dates=H","DateFormat=P","Fill=—","Direction=H","UseDPDF=Y")</f>
        <v>—</v>
      </c>
      <c r="AA75" s="13">
        <f>_xll.BDH("AMGN US Equity","ARDR_TOTAL_AVAIL_LINE_OF_CREDIT","FQ4 2024","FQ4 2024","Currency=USD","Period=FQ","BEST_FPERIOD_OVERRIDE=FQ","FILING_STATUS=MR","SCALING_FORMAT=MLN","Sort=A","Dates=H","DateFormat=P","Fill=—","Direction=H","UseDPDF=Y")</f>
        <v>2500</v>
      </c>
    </row>
    <row r="76" spans="1:27" x14ac:dyDescent="0.25">
      <c r="A76" s="10" t="s">
        <v>834</v>
      </c>
      <c r="B76" s="10" t="s">
        <v>970</v>
      </c>
      <c r="C76" s="13">
        <f>_xll.BDH("AMGN US Equity","ARDR_FUT_MIN_OPER_LEASE_OBLIG","FQ4 2018","FQ4 2018","Currency=USD","Period=FQ","BEST_FPERIOD_OVERRIDE=FQ","FILING_STATUS=MR","SCALING_FORMAT=MLN","Sort=A","Dates=H","DateFormat=P","Fill=—","Direction=H","UseDPDF=Y")</f>
        <v>569</v>
      </c>
      <c r="D76" s="13">
        <f>_xll.BDH("AMGN US Equity","ARDR_FUT_MIN_OPER_LEASE_OBLIG","FQ1 2019","FQ1 2019","Currency=USD","Period=FQ","BEST_FPERIOD_OVERRIDE=FQ","FILING_STATUS=MR","SCALING_FORMAT=MLN","Sort=A","Dates=H","DateFormat=P","Fill=—","Direction=H","UseDPDF=Y")</f>
        <v>527</v>
      </c>
      <c r="E76" s="13">
        <f>_xll.BDH("AMGN US Equity","ARDR_FUT_MIN_OPER_LEASE_OBLIG","FQ2 2019","FQ2 2019","Currency=USD","Period=FQ","BEST_FPERIOD_OVERRIDE=FQ","FILING_STATUS=MR","SCALING_FORMAT=MLN","Sort=A","Dates=H","DateFormat=P","Fill=—","Direction=H","UseDPDF=Y")</f>
        <v>536</v>
      </c>
      <c r="F76" s="13">
        <f>_xll.BDH("AMGN US Equity","ARDR_FUT_MIN_OPER_LEASE_OBLIG","FQ3 2019","FQ3 2019","Currency=USD","Period=FQ","BEST_FPERIOD_OVERRIDE=FQ","FILING_STATUS=MR","SCALING_FORMAT=MLN","Sort=A","Dates=H","DateFormat=P","Fill=—","Direction=H","UseDPDF=Y")</f>
        <v>522</v>
      </c>
      <c r="G76" s="13">
        <f>_xll.BDH("AMGN US Equity","ARDR_FUT_MIN_OPER_LEASE_OBLIG","FQ4 2019","FQ4 2019","Currency=USD","Period=FQ","BEST_FPERIOD_OVERRIDE=FQ","FILING_STATUS=MR","SCALING_FORMAT=MLN","Sort=A","Dates=H","DateFormat=P","Fill=—","Direction=H","UseDPDF=Y")</f>
        <v>567</v>
      </c>
      <c r="H76" s="13" t="str">
        <f>_xll.BDH("AMGN US Equity","ARDR_FUT_MIN_OPER_LEASE_OBLIG","FQ1 2020","FQ1 2020","Currency=USD","Period=FQ","BEST_FPERIOD_OVERRIDE=FQ","FILING_STATUS=MR","SCALING_FORMAT=MLN","Sort=A","Dates=H","DateFormat=P","Fill=—","Direction=H","UseDPDF=Y")</f>
        <v>—</v>
      </c>
      <c r="I76" s="13" t="str">
        <f>_xll.BDH("AMGN US Equity","ARDR_FUT_MIN_OPER_LEASE_OBLIG","FQ2 2020","FQ2 2020","Currency=USD","Period=FQ","BEST_FPERIOD_OVERRIDE=FQ","FILING_STATUS=MR","SCALING_FORMAT=MLN","Sort=A","Dates=H","DateFormat=P","Fill=—","Direction=H","UseDPDF=Y")</f>
        <v>—</v>
      </c>
      <c r="J76" s="13" t="str">
        <f>_xll.BDH("AMGN US Equity","ARDR_FUT_MIN_OPER_LEASE_OBLIG","FQ3 2020","FQ3 2020","Currency=USD","Period=FQ","BEST_FPERIOD_OVERRIDE=FQ","FILING_STATUS=MR","SCALING_FORMAT=MLN","Sort=A","Dates=H","DateFormat=P","Fill=—","Direction=H","UseDPDF=Y")</f>
        <v>—</v>
      </c>
      <c r="K76" s="13">
        <f>_xll.BDH("AMGN US Equity","ARDR_FUT_MIN_OPER_LEASE_OBLIG","FQ4 2020","FQ4 2020","Currency=USD","Period=FQ","BEST_FPERIOD_OVERRIDE=FQ","FILING_STATUS=MR","SCALING_FORMAT=MLN","Sort=A","Dates=H","DateFormat=P","Fill=—","Direction=H","UseDPDF=Y")</f>
        <v>488</v>
      </c>
      <c r="L76" s="13" t="str">
        <f>_xll.BDH("AMGN US Equity","ARDR_FUT_MIN_OPER_LEASE_OBLIG","FQ1 2021","FQ1 2021","Currency=USD","Period=FQ","BEST_FPERIOD_OVERRIDE=FQ","FILING_STATUS=MR","SCALING_FORMAT=MLN","Sort=A","Dates=H","DateFormat=P","Fill=—","Direction=H","UseDPDF=Y")</f>
        <v>—</v>
      </c>
      <c r="M76" s="13" t="str">
        <f>_xll.BDH("AMGN US Equity","ARDR_FUT_MIN_OPER_LEASE_OBLIG","FQ2 2021","FQ2 2021","Currency=USD","Period=FQ","BEST_FPERIOD_OVERRIDE=FQ","FILING_STATUS=MR","SCALING_FORMAT=MLN","Sort=A","Dates=H","DateFormat=P","Fill=—","Direction=H","UseDPDF=Y")</f>
        <v>—</v>
      </c>
      <c r="N76" s="13" t="str">
        <f>_xll.BDH("AMGN US Equity","ARDR_FUT_MIN_OPER_LEASE_OBLIG","FQ3 2021","FQ3 2021","Currency=USD","Period=FQ","BEST_FPERIOD_OVERRIDE=FQ","FILING_STATUS=MR","SCALING_FORMAT=MLN","Sort=A","Dates=H","DateFormat=P","Fill=—","Direction=H","UseDPDF=Y")</f>
        <v>—</v>
      </c>
      <c r="O76" s="13">
        <f>_xll.BDH("AMGN US Equity","ARDR_FUT_MIN_OPER_LEASE_OBLIG","FQ4 2021","FQ4 2021","Currency=USD","Period=FQ","BEST_FPERIOD_OVERRIDE=FQ","FILING_STATUS=MR","SCALING_FORMAT=MLN","Sort=A","Dates=H","DateFormat=P","Fill=—","Direction=H","UseDPDF=Y")</f>
        <v>753</v>
      </c>
      <c r="P76" s="13" t="str">
        <f>_xll.BDH("AMGN US Equity","ARDR_FUT_MIN_OPER_LEASE_OBLIG","FQ1 2022","FQ1 2022","Currency=USD","Period=FQ","BEST_FPERIOD_OVERRIDE=FQ","FILING_STATUS=MR","SCALING_FORMAT=MLN","Sort=A","Dates=H","DateFormat=P","Fill=—","Direction=H","UseDPDF=Y")</f>
        <v>—</v>
      </c>
      <c r="Q76" s="13" t="str">
        <f>_xll.BDH("AMGN US Equity","ARDR_FUT_MIN_OPER_LEASE_OBLIG","FQ2 2022","FQ2 2022","Currency=USD","Period=FQ","BEST_FPERIOD_OVERRIDE=FQ","FILING_STATUS=MR","SCALING_FORMAT=MLN","Sort=A","Dates=H","DateFormat=P","Fill=—","Direction=H","UseDPDF=Y")</f>
        <v>—</v>
      </c>
      <c r="R76" s="13" t="str">
        <f>_xll.BDH("AMGN US Equity","ARDR_FUT_MIN_OPER_LEASE_OBLIG","FQ3 2022","FQ3 2022","Currency=USD","Period=FQ","BEST_FPERIOD_OVERRIDE=FQ","FILING_STATUS=MR","SCALING_FORMAT=MLN","Sort=A","Dates=H","DateFormat=P","Fill=—","Direction=H","UseDPDF=Y")</f>
        <v>—</v>
      </c>
      <c r="S76" s="13">
        <f>_xll.BDH("AMGN US Equity","ARDR_FUT_MIN_OPER_LEASE_OBLIG","FQ4 2022","FQ4 2022","Currency=USD","Period=FQ","BEST_FPERIOD_OVERRIDE=FQ","FILING_STATUS=MR","SCALING_FORMAT=MLN","Sort=A","Dates=H","DateFormat=P","Fill=—","Direction=H","UseDPDF=Y")</f>
        <v>781</v>
      </c>
      <c r="T76" s="13" t="str">
        <f>_xll.BDH("AMGN US Equity","ARDR_FUT_MIN_OPER_LEASE_OBLIG","FQ1 2023","FQ1 2023","Currency=USD","Period=FQ","BEST_FPERIOD_OVERRIDE=FQ","FILING_STATUS=MR","SCALING_FORMAT=MLN","Sort=A","Dates=H","DateFormat=P","Fill=—","Direction=H","UseDPDF=Y")</f>
        <v>—</v>
      </c>
      <c r="U76" s="13" t="str">
        <f>_xll.BDH("AMGN US Equity","ARDR_FUT_MIN_OPER_LEASE_OBLIG","FQ2 2023","FQ2 2023","Currency=USD","Period=FQ","BEST_FPERIOD_OVERRIDE=FQ","FILING_STATUS=MR","SCALING_FORMAT=MLN","Sort=A","Dates=H","DateFormat=P","Fill=—","Direction=H","UseDPDF=Y")</f>
        <v>—</v>
      </c>
      <c r="V76" s="13" t="str">
        <f>_xll.BDH("AMGN US Equity","ARDR_FUT_MIN_OPER_LEASE_OBLIG","FQ3 2023","FQ3 2023","Currency=USD","Period=FQ","BEST_FPERIOD_OVERRIDE=FQ","FILING_STATUS=MR","SCALING_FORMAT=MLN","Sort=A","Dates=H","DateFormat=P","Fill=—","Direction=H","UseDPDF=Y")</f>
        <v>—</v>
      </c>
      <c r="W76" s="13">
        <f>_xll.BDH("AMGN US Equity","ARDR_FUT_MIN_OPER_LEASE_OBLIG","FQ4 2023","FQ4 2023","Currency=USD","Period=FQ","BEST_FPERIOD_OVERRIDE=FQ","FILING_STATUS=MR","SCALING_FORMAT=MLN","Sort=A","Dates=H","DateFormat=P","Fill=—","Direction=H","UseDPDF=Y")</f>
        <v>977</v>
      </c>
      <c r="X76" s="13" t="str">
        <f>_xll.BDH("AMGN US Equity","ARDR_FUT_MIN_OPER_LEASE_OBLIG","FQ1 2024","FQ1 2024","Currency=USD","Period=FQ","BEST_FPERIOD_OVERRIDE=FQ","FILING_STATUS=MR","SCALING_FORMAT=MLN","Sort=A","Dates=H","DateFormat=P","Fill=—","Direction=H","UseDPDF=Y")</f>
        <v>—</v>
      </c>
      <c r="Y76" s="13" t="str">
        <f>_xll.BDH("AMGN US Equity","ARDR_FUT_MIN_OPER_LEASE_OBLIG","FQ2 2024","FQ2 2024","Currency=USD","Period=FQ","BEST_FPERIOD_OVERRIDE=FQ","FILING_STATUS=MR","SCALING_FORMAT=MLN","Sort=A","Dates=H","DateFormat=P","Fill=—","Direction=H","UseDPDF=Y")</f>
        <v>—</v>
      </c>
      <c r="Z76" s="13" t="str">
        <f>_xll.BDH("AMGN US Equity","ARDR_FUT_MIN_OPER_LEASE_OBLIG","FQ3 2024","FQ3 2024","Currency=USD","Period=FQ","BEST_FPERIOD_OVERRIDE=FQ","FILING_STATUS=MR","SCALING_FORMAT=MLN","Sort=A","Dates=H","DateFormat=P","Fill=—","Direction=H","UseDPDF=Y")</f>
        <v>—</v>
      </c>
      <c r="AA76" s="13">
        <f>_xll.BDH("AMGN US Equity","ARDR_FUT_MIN_OPER_LEASE_OBLIG","FQ4 2024","FQ4 2024","Currency=USD","Period=FQ","BEST_FPERIOD_OVERRIDE=FQ","FILING_STATUS=MR","SCALING_FORMAT=MLN","Sort=A","Dates=H","DateFormat=P","Fill=—","Direction=H","UseDPDF=Y")</f>
        <v>941</v>
      </c>
    </row>
    <row r="77" spans="1:27" x14ac:dyDescent="0.25">
      <c r="A77" s="10" t="s">
        <v>971</v>
      </c>
      <c r="B77" s="10" t="s">
        <v>972</v>
      </c>
      <c r="C77" s="13">
        <f>_xll.BDH("AMGN US Equity","ARDR_RENTAL_EXP_YR1","FQ4 2018","FQ4 2018","Currency=USD","Period=FQ","BEST_FPERIOD_OVERRIDE=FQ","FILING_STATUS=MR","SCALING_FORMAT=MLN","Sort=A","Dates=H","DateFormat=P","Fill=—","Direction=H","UseDPDF=Y")</f>
        <v>164</v>
      </c>
      <c r="D77" s="13">
        <f>_xll.BDH("AMGN US Equity","ARDR_RENTAL_EXP_YR1","FQ1 2019","FQ1 2019","Currency=USD","Period=FQ","BEST_FPERIOD_OVERRIDE=FQ","FILING_STATUS=MR","SCALING_FORMAT=MLN","Sort=A","Dates=H","DateFormat=P","Fill=—","Direction=H","UseDPDF=Y")</f>
        <v>135</v>
      </c>
      <c r="E77" s="13">
        <f>_xll.BDH("AMGN US Equity","ARDR_RENTAL_EXP_YR1","FQ2 2019","FQ2 2019","Currency=USD","Period=FQ","BEST_FPERIOD_OVERRIDE=FQ","FILING_STATUS=MR","SCALING_FORMAT=MLN","Sort=A","Dates=H","DateFormat=P","Fill=—","Direction=H","UseDPDF=Y")</f>
        <v>69</v>
      </c>
      <c r="F77" s="13">
        <f>_xll.BDH("AMGN US Equity","ARDR_RENTAL_EXP_YR1","FQ3 2019","FQ3 2019","Currency=USD","Period=FQ","BEST_FPERIOD_OVERRIDE=FQ","FILING_STATUS=MR","SCALING_FORMAT=MLN","Sort=A","Dates=H","DateFormat=P","Fill=—","Direction=H","UseDPDF=Y")</f>
        <v>31</v>
      </c>
      <c r="G77" s="13">
        <f>_xll.BDH("AMGN US Equity","ARDR_RENTAL_EXP_YR1","FQ4 2019","FQ4 2019","Currency=USD","Period=FQ","BEST_FPERIOD_OVERRIDE=FQ","FILING_STATUS=MR","SCALING_FORMAT=MLN","Sort=A","Dates=H","DateFormat=P","Fill=—","Direction=H","UseDPDF=Y")</f>
        <v>157</v>
      </c>
      <c r="H77" s="13" t="str">
        <f>_xll.BDH("AMGN US Equity","ARDR_RENTAL_EXP_YR1","FQ1 2020","FQ1 2020","Currency=USD","Period=FQ","BEST_FPERIOD_OVERRIDE=FQ","FILING_STATUS=MR","SCALING_FORMAT=MLN","Sort=A","Dates=H","DateFormat=P","Fill=—","Direction=H","UseDPDF=Y")</f>
        <v>—</v>
      </c>
      <c r="I77" s="13" t="str">
        <f>_xll.BDH("AMGN US Equity","ARDR_RENTAL_EXP_YR1","FQ2 2020","FQ2 2020","Currency=USD","Period=FQ","BEST_FPERIOD_OVERRIDE=FQ","FILING_STATUS=MR","SCALING_FORMAT=MLN","Sort=A","Dates=H","DateFormat=P","Fill=—","Direction=H","UseDPDF=Y")</f>
        <v>—</v>
      </c>
      <c r="J77" s="13" t="str">
        <f>_xll.BDH("AMGN US Equity","ARDR_RENTAL_EXP_YR1","FQ3 2020","FQ3 2020","Currency=USD","Period=FQ","BEST_FPERIOD_OVERRIDE=FQ","FILING_STATUS=MR","SCALING_FORMAT=MLN","Sort=A","Dates=H","DateFormat=P","Fill=—","Direction=H","UseDPDF=Y")</f>
        <v>—</v>
      </c>
      <c r="K77" s="13">
        <f>_xll.BDH("AMGN US Equity","ARDR_RENTAL_EXP_YR1","FQ4 2020","FQ4 2020","Currency=USD","Period=FQ","BEST_FPERIOD_OVERRIDE=FQ","FILING_STATUS=MR","SCALING_FORMAT=MLN","Sort=A","Dates=H","DateFormat=P","Fill=—","Direction=H","UseDPDF=Y")</f>
        <v>164</v>
      </c>
      <c r="L77" s="13" t="str">
        <f>_xll.BDH("AMGN US Equity","ARDR_RENTAL_EXP_YR1","FQ1 2021","FQ1 2021","Currency=USD","Period=FQ","BEST_FPERIOD_OVERRIDE=FQ","FILING_STATUS=MR","SCALING_FORMAT=MLN","Sort=A","Dates=H","DateFormat=P","Fill=—","Direction=H","UseDPDF=Y")</f>
        <v>—</v>
      </c>
      <c r="M77" s="13" t="str">
        <f>_xll.BDH("AMGN US Equity","ARDR_RENTAL_EXP_YR1","FQ2 2021","FQ2 2021","Currency=USD","Period=FQ","BEST_FPERIOD_OVERRIDE=FQ","FILING_STATUS=MR","SCALING_FORMAT=MLN","Sort=A","Dates=H","DateFormat=P","Fill=—","Direction=H","UseDPDF=Y")</f>
        <v>—</v>
      </c>
      <c r="N77" s="13" t="str">
        <f>_xll.BDH("AMGN US Equity","ARDR_RENTAL_EXP_YR1","FQ3 2021","FQ3 2021","Currency=USD","Period=FQ","BEST_FPERIOD_OVERRIDE=FQ","FILING_STATUS=MR","SCALING_FORMAT=MLN","Sort=A","Dates=H","DateFormat=P","Fill=—","Direction=H","UseDPDF=Y")</f>
        <v>—</v>
      </c>
      <c r="O77" s="13">
        <f>_xll.BDH("AMGN US Equity","ARDR_RENTAL_EXP_YR1","FQ4 2021","FQ4 2021","Currency=USD","Period=FQ","BEST_FPERIOD_OVERRIDE=FQ","FILING_STATUS=MR","SCALING_FORMAT=MLN","Sort=A","Dates=H","DateFormat=P","Fill=—","Direction=H","UseDPDF=Y")</f>
        <v>148</v>
      </c>
      <c r="P77" s="13" t="str">
        <f>_xll.BDH("AMGN US Equity","ARDR_RENTAL_EXP_YR1","FQ1 2022","FQ1 2022","Currency=USD","Period=FQ","BEST_FPERIOD_OVERRIDE=FQ","FILING_STATUS=MR","SCALING_FORMAT=MLN","Sort=A","Dates=H","DateFormat=P","Fill=—","Direction=H","UseDPDF=Y")</f>
        <v>—</v>
      </c>
      <c r="Q77" s="13" t="str">
        <f>_xll.BDH("AMGN US Equity","ARDR_RENTAL_EXP_YR1","FQ2 2022","FQ2 2022","Currency=USD","Period=FQ","BEST_FPERIOD_OVERRIDE=FQ","FILING_STATUS=MR","SCALING_FORMAT=MLN","Sort=A","Dates=H","DateFormat=P","Fill=—","Direction=H","UseDPDF=Y")</f>
        <v>—</v>
      </c>
      <c r="R77" s="13" t="str">
        <f>_xll.BDH("AMGN US Equity","ARDR_RENTAL_EXP_YR1","FQ3 2022","FQ3 2022","Currency=USD","Period=FQ","BEST_FPERIOD_OVERRIDE=FQ","FILING_STATUS=MR","SCALING_FORMAT=MLN","Sort=A","Dates=H","DateFormat=P","Fill=—","Direction=H","UseDPDF=Y")</f>
        <v>—</v>
      </c>
      <c r="S77" s="13">
        <f>_xll.BDH("AMGN US Equity","ARDR_RENTAL_EXP_YR1","FQ4 2022","FQ4 2022","Currency=USD","Period=FQ","BEST_FPERIOD_OVERRIDE=FQ","FILING_STATUS=MR","SCALING_FORMAT=MLN","Sort=A","Dates=H","DateFormat=P","Fill=—","Direction=H","UseDPDF=Y")</f>
        <v>172</v>
      </c>
      <c r="T77" s="13" t="str">
        <f>_xll.BDH("AMGN US Equity","ARDR_RENTAL_EXP_YR1","FQ1 2023","FQ1 2023","Currency=USD","Period=FQ","BEST_FPERIOD_OVERRIDE=FQ","FILING_STATUS=MR","SCALING_FORMAT=MLN","Sort=A","Dates=H","DateFormat=P","Fill=—","Direction=H","UseDPDF=Y")</f>
        <v>—</v>
      </c>
      <c r="U77" s="13" t="str">
        <f>_xll.BDH("AMGN US Equity","ARDR_RENTAL_EXP_YR1","FQ2 2023","FQ2 2023","Currency=USD","Period=FQ","BEST_FPERIOD_OVERRIDE=FQ","FILING_STATUS=MR","SCALING_FORMAT=MLN","Sort=A","Dates=H","DateFormat=P","Fill=—","Direction=H","UseDPDF=Y")</f>
        <v>—</v>
      </c>
      <c r="V77" s="13" t="str">
        <f>_xll.BDH("AMGN US Equity","ARDR_RENTAL_EXP_YR1","FQ3 2023","FQ3 2023","Currency=USD","Period=FQ","BEST_FPERIOD_OVERRIDE=FQ","FILING_STATUS=MR","SCALING_FORMAT=MLN","Sort=A","Dates=H","DateFormat=P","Fill=—","Direction=H","UseDPDF=Y")</f>
        <v>—</v>
      </c>
      <c r="W77" s="13">
        <f>_xll.BDH("AMGN US Equity","ARDR_RENTAL_EXP_YR1","FQ4 2023","FQ4 2023","Currency=USD","Period=FQ","BEST_FPERIOD_OVERRIDE=FQ","FILING_STATUS=MR","SCALING_FORMAT=MLN","Sort=A","Dates=H","DateFormat=P","Fill=—","Direction=H","UseDPDF=Y")</f>
        <v>138</v>
      </c>
      <c r="X77" s="13" t="str">
        <f>_xll.BDH("AMGN US Equity","ARDR_RENTAL_EXP_YR1","FQ1 2024","FQ1 2024","Currency=USD","Period=FQ","BEST_FPERIOD_OVERRIDE=FQ","FILING_STATUS=MR","SCALING_FORMAT=MLN","Sort=A","Dates=H","DateFormat=P","Fill=—","Direction=H","UseDPDF=Y")</f>
        <v>—</v>
      </c>
      <c r="Y77" s="13" t="str">
        <f>_xll.BDH("AMGN US Equity","ARDR_RENTAL_EXP_YR1","FQ2 2024","FQ2 2024","Currency=USD","Period=FQ","BEST_FPERIOD_OVERRIDE=FQ","FILING_STATUS=MR","SCALING_FORMAT=MLN","Sort=A","Dates=H","DateFormat=P","Fill=—","Direction=H","UseDPDF=Y")</f>
        <v>—</v>
      </c>
      <c r="Z77" s="13" t="str">
        <f>_xll.BDH("AMGN US Equity","ARDR_RENTAL_EXP_YR1","FQ3 2024","FQ3 2024","Currency=USD","Period=FQ","BEST_FPERIOD_OVERRIDE=FQ","FILING_STATUS=MR","SCALING_FORMAT=MLN","Sort=A","Dates=H","DateFormat=P","Fill=—","Direction=H","UseDPDF=Y")</f>
        <v>—</v>
      </c>
      <c r="AA77" s="13">
        <f>_xll.BDH("AMGN US Equity","ARDR_RENTAL_EXP_YR1","FQ4 2024","FQ4 2024","Currency=USD","Period=FQ","BEST_FPERIOD_OVERRIDE=FQ","FILING_STATUS=MR","SCALING_FORMAT=MLN","Sort=A","Dates=H","DateFormat=P","Fill=—","Direction=H","UseDPDF=Y")</f>
        <v>110</v>
      </c>
    </row>
    <row r="78" spans="1:27" x14ac:dyDescent="0.25">
      <c r="A78" s="10" t="s">
        <v>973</v>
      </c>
      <c r="B78" s="10" t="s">
        <v>974</v>
      </c>
      <c r="C78" s="13">
        <f>_xll.BDH("AMGN US Equity","ARDR_RENTAL_EXP_YR2","FQ4 2018","FQ4 2018","Currency=USD","Period=FQ","BEST_FPERIOD_OVERRIDE=FQ","FILING_STATUS=MR","SCALING_FORMAT=MLN","Sort=A","Dates=H","DateFormat=P","Fill=—","Direction=H","UseDPDF=Y")</f>
        <v>126</v>
      </c>
      <c r="D78" s="13">
        <f>_xll.BDH("AMGN US Equity","ARDR_RENTAL_EXP_YR2","FQ1 2019","FQ1 2019","Currency=USD","Period=FQ","BEST_FPERIOD_OVERRIDE=FQ","FILING_STATUS=MR","SCALING_FORMAT=MLN","Sort=A","Dates=H","DateFormat=P","Fill=—","Direction=H","UseDPDF=Y")</f>
        <v>133</v>
      </c>
      <c r="E78" s="13">
        <f>_xll.BDH("AMGN US Equity","ARDR_RENTAL_EXP_YR2","FQ2 2019","FQ2 2019","Currency=USD","Period=FQ","BEST_FPERIOD_OVERRIDE=FQ","FILING_STATUS=MR","SCALING_FORMAT=MLN","Sort=A","Dates=H","DateFormat=P","Fill=—","Direction=H","UseDPDF=Y")</f>
        <v>152</v>
      </c>
      <c r="F78" s="13">
        <f>_xll.BDH("AMGN US Equity","ARDR_RENTAL_EXP_YR2","FQ3 2019","FQ3 2019","Currency=USD","Period=FQ","BEST_FPERIOD_OVERRIDE=FQ","FILING_STATUS=MR","SCALING_FORMAT=MLN","Sort=A","Dates=H","DateFormat=P","Fill=—","Direction=H","UseDPDF=Y")</f>
        <v>157</v>
      </c>
      <c r="G78" s="13">
        <f>_xll.BDH("AMGN US Equity","ARDR_RENTAL_EXP_YR2","FQ4 2019","FQ4 2019","Currency=USD","Period=FQ","BEST_FPERIOD_OVERRIDE=FQ","FILING_STATUS=MR","SCALING_FORMAT=MLN","Sort=A","Dates=H","DateFormat=P","Fill=—","Direction=H","UseDPDF=Y")</f>
        <v>150</v>
      </c>
      <c r="H78" s="13" t="str">
        <f>_xll.BDH("AMGN US Equity","ARDR_RENTAL_EXP_YR2","FQ1 2020","FQ1 2020","Currency=USD","Period=FQ","BEST_FPERIOD_OVERRIDE=FQ","FILING_STATUS=MR","SCALING_FORMAT=MLN","Sort=A","Dates=H","DateFormat=P","Fill=—","Direction=H","UseDPDF=Y")</f>
        <v>—</v>
      </c>
      <c r="I78" s="13" t="str">
        <f>_xll.BDH("AMGN US Equity","ARDR_RENTAL_EXP_YR2","FQ2 2020","FQ2 2020","Currency=USD","Period=FQ","BEST_FPERIOD_OVERRIDE=FQ","FILING_STATUS=MR","SCALING_FORMAT=MLN","Sort=A","Dates=H","DateFormat=P","Fill=—","Direction=H","UseDPDF=Y")</f>
        <v>—</v>
      </c>
      <c r="J78" s="13" t="str">
        <f>_xll.BDH("AMGN US Equity","ARDR_RENTAL_EXP_YR2","FQ3 2020","FQ3 2020","Currency=USD","Period=FQ","BEST_FPERIOD_OVERRIDE=FQ","FILING_STATUS=MR","SCALING_FORMAT=MLN","Sort=A","Dates=H","DateFormat=P","Fill=—","Direction=H","UseDPDF=Y")</f>
        <v>—</v>
      </c>
      <c r="K78" s="13">
        <f>_xll.BDH("AMGN US Equity","ARDR_RENTAL_EXP_YR2","FQ4 2020","FQ4 2020","Currency=USD","Period=FQ","BEST_FPERIOD_OVERRIDE=FQ","FILING_STATUS=MR","SCALING_FORMAT=MLN","Sort=A","Dates=H","DateFormat=P","Fill=—","Direction=H","UseDPDF=Y")</f>
        <v>132</v>
      </c>
      <c r="L78" s="13" t="str">
        <f>_xll.BDH("AMGN US Equity","ARDR_RENTAL_EXP_YR2","FQ1 2021","FQ1 2021","Currency=USD","Period=FQ","BEST_FPERIOD_OVERRIDE=FQ","FILING_STATUS=MR","SCALING_FORMAT=MLN","Sort=A","Dates=H","DateFormat=P","Fill=—","Direction=H","UseDPDF=Y")</f>
        <v>—</v>
      </c>
      <c r="M78" s="13" t="str">
        <f>_xll.BDH("AMGN US Equity","ARDR_RENTAL_EXP_YR2","FQ2 2021","FQ2 2021","Currency=USD","Period=FQ","BEST_FPERIOD_OVERRIDE=FQ","FILING_STATUS=MR","SCALING_FORMAT=MLN","Sort=A","Dates=H","DateFormat=P","Fill=—","Direction=H","UseDPDF=Y")</f>
        <v>—</v>
      </c>
      <c r="N78" s="13" t="str">
        <f>_xll.BDH("AMGN US Equity","ARDR_RENTAL_EXP_YR2","FQ3 2021","FQ3 2021","Currency=USD","Period=FQ","BEST_FPERIOD_OVERRIDE=FQ","FILING_STATUS=MR","SCALING_FORMAT=MLN","Sort=A","Dates=H","DateFormat=P","Fill=—","Direction=H","UseDPDF=Y")</f>
        <v>—</v>
      </c>
      <c r="O78" s="13">
        <f>_xll.BDH("AMGN US Equity","ARDR_RENTAL_EXP_YR2","FQ4 2021","FQ4 2021","Currency=USD","Period=FQ","BEST_FPERIOD_OVERRIDE=FQ","FILING_STATUS=MR","SCALING_FORMAT=MLN","Sort=A","Dates=H","DateFormat=P","Fill=—","Direction=H","UseDPDF=Y")</f>
        <v>148</v>
      </c>
      <c r="P78" s="13" t="str">
        <f>_xll.BDH("AMGN US Equity","ARDR_RENTAL_EXP_YR2","FQ1 2022","FQ1 2022","Currency=USD","Period=FQ","BEST_FPERIOD_OVERRIDE=FQ","FILING_STATUS=MR","SCALING_FORMAT=MLN","Sort=A","Dates=H","DateFormat=P","Fill=—","Direction=H","UseDPDF=Y")</f>
        <v>—</v>
      </c>
      <c r="Q78" s="13" t="str">
        <f>_xll.BDH("AMGN US Equity","ARDR_RENTAL_EXP_YR2","FQ2 2022","FQ2 2022","Currency=USD","Period=FQ","BEST_FPERIOD_OVERRIDE=FQ","FILING_STATUS=MR","SCALING_FORMAT=MLN","Sort=A","Dates=H","DateFormat=P","Fill=—","Direction=H","UseDPDF=Y")</f>
        <v>—</v>
      </c>
      <c r="R78" s="13" t="str">
        <f>_xll.BDH("AMGN US Equity","ARDR_RENTAL_EXP_YR2","FQ3 2022","FQ3 2022","Currency=USD","Period=FQ","BEST_FPERIOD_OVERRIDE=FQ","FILING_STATUS=MR","SCALING_FORMAT=MLN","Sort=A","Dates=H","DateFormat=P","Fill=—","Direction=H","UseDPDF=Y")</f>
        <v>—</v>
      </c>
      <c r="S78" s="13">
        <f>_xll.BDH("AMGN US Equity","ARDR_RENTAL_EXP_YR2","FQ4 2022","FQ4 2022","Currency=USD","Period=FQ","BEST_FPERIOD_OVERRIDE=FQ","FILING_STATUS=MR","SCALING_FORMAT=MLN","Sort=A","Dates=H","DateFormat=P","Fill=—","Direction=H","UseDPDF=Y")</f>
        <v>109</v>
      </c>
      <c r="T78" s="13" t="str">
        <f>_xll.BDH("AMGN US Equity","ARDR_RENTAL_EXP_YR2","FQ1 2023","FQ1 2023","Currency=USD","Period=FQ","BEST_FPERIOD_OVERRIDE=FQ","FILING_STATUS=MR","SCALING_FORMAT=MLN","Sort=A","Dates=H","DateFormat=P","Fill=—","Direction=H","UseDPDF=Y")</f>
        <v>—</v>
      </c>
      <c r="U78" s="13" t="str">
        <f>_xll.BDH("AMGN US Equity","ARDR_RENTAL_EXP_YR2","FQ2 2023","FQ2 2023","Currency=USD","Period=FQ","BEST_FPERIOD_OVERRIDE=FQ","FILING_STATUS=MR","SCALING_FORMAT=MLN","Sort=A","Dates=H","DateFormat=P","Fill=—","Direction=H","UseDPDF=Y")</f>
        <v>—</v>
      </c>
      <c r="V78" s="13" t="str">
        <f>_xll.BDH("AMGN US Equity","ARDR_RENTAL_EXP_YR2","FQ3 2023","FQ3 2023","Currency=USD","Period=FQ","BEST_FPERIOD_OVERRIDE=FQ","FILING_STATUS=MR","SCALING_FORMAT=MLN","Sort=A","Dates=H","DateFormat=P","Fill=—","Direction=H","UseDPDF=Y")</f>
        <v>—</v>
      </c>
      <c r="W78" s="13">
        <f>_xll.BDH("AMGN US Equity","ARDR_RENTAL_EXP_YR2","FQ4 2023","FQ4 2023","Currency=USD","Period=FQ","BEST_FPERIOD_OVERRIDE=FQ","FILING_STATUS=MR","SCALING_FORMAT=MLN","Sort=A","Dates=H","DateFormat=P","Fill=—","Direction=H","UseDPDF=Y")</f>
        <v>121</v>
      </c>
      <c r="X78" s="13" t="str">
        <f>_xll.BDH("AMGN US Equity","ARDR_RENTAL_EXP_YR2","FQ1 2024","FQ1 2024","Currency=USD","Period=FQ","BEST_FPERIOD_OVERRIDE=FQ","FILING_STATUS=MR","SCALING_FORMAT=MLN","Sort=A","Dates=H","DateFormat=P","Fill=—","Direction=H","UseDPDF=Y")</f>
        <v>—</v>
      </c>
      <c r="Y78" s="13" t="str">
        <f>_xll.BDH("AMGN US Equity","ARDR_RENTAL_EXP_YR2","FQ2 2024","FQ2 2024","Currency=USD","Period=FQ","BEST_FPERIOD_OVERRIDE=FQ","FILING_STATUS=MR","SCALING_FORMAT=MLN","Sort=A","Dates=H","DateFormat=P","Fill=—","Direction=H","UseDPDF=Y")</f>
        <v>—</v>
      </c>
      <c r="Z78" s="13" t="str">
        <f>_xll.BDH("AMGN US Equity","ARDR_RENTAL_EXP_YR2","FQ3 2024","FQ3 2024","Currency=USD","Period=FQ","BEST_FPERIOD_OVERRIDE=FQ","FILING_STATUS=MR","SCALING_FORMAT=MLN","Sort=A","Dates=H","DateFormat=P","Fill=—","Direction=H","UseDPDF=Y")</f>
        <v>—</v>
      </c>
      <c r="AA78" s="13">
        <f>_xll.BDH("AMGN US Equity","ARDR_RENTAL_EXP_YR2","FQ4 2024","FQ4 2024","Currency=USD","Period=FQ","BEST_FPERIOD_OVERRIDE=FQ","FILING_STATUS=MR","SCALING_FORMAT=MLN","Sort=A","Dates=H","DateFormat=P","Fill=—","Direction=H","UseDPDF=Y")</f>
        <v>129</v>
      </c>
    </row>
    <row r="79" spans="1:27" x14ac:dyDescent="0.25">
      <c r="A79" s="10" t="s">
        <v>975</v>
      </c>
      <c r="B79" s="10" t="s">
        <v>976</v>
      </c>
      <c r="C79" s="13">
        <f>_xll.BDH("AMGN US Equity","ARDR_RENTAL_EXP_YR3","FQ4 2018","FQ4 2018","Currency=USD","Period=FQ","BEST_FPERIOD_OVERRIDE=FQ","FILING_STATUS=MR","SCALING_FORMAT=MLN","Sort=A","Dates=H","DateFormat=P","Fill=—","Direction=H","UseDPDF=Y")</f>
        <v>113</v>
      </c>
      <c r="D79" s="13">
        <f>_xll.BDH("AMGN US Equity","ARDR_RENTAL_EXP_YR3","FQ1 2019","FQ1 2019","Currency=USD","Period=FQ","BEST_FPERIOD_OVERRIDE=FQ","FILING_STATUS=MR","SCALING_FORMAT=MLN","Sort=A","Dates=H","DateFormat=P","Fill=—","Direction=H","UseDPDF=Y")</f>
        <v>107</v>
      </c>
      <c r="E79" s="13">
        <f>_xll.BDH("AMGN US Equity","ARDR_RENTAL_EXP_YR3","FQ2 2019","FQ2 2019","Currency=USD","Period=FQ","BEST_FPERIOD_OVERRIDE=FQ","FILING_STATUS=MR","SCALING_FORMAT=MLN","Sort=A","Dates=H","DateFormat=P","Fill=—","Direction=H","UseDPDF=Y")</f>
        <v>132</v>
      </c>
      <c r="F79" s="13">
        <f>_xll.BDH("AMGN US Equity","ARDR_RENTAL_EXP_YR3","FQ3 2019","FQ3 2019","Currency=USD","Period=FQ","BEST_FPERIOD_OVERRIDE=FQ","FILING_STATUS=MR","SCALING_FORMAT=MLN","Sort=A","Dates=H","DateFormat=P","Fill=—","Direction=H","UseDPDF=Y")</f>
        <v>137</v>
      </c>
      <c r="G79" s="13">
        <f>_xll.BDH("AMGN US Equity","ARDR_RENTAL_EXP_YR3","FQ4 2019","FQ4 2019","Currency=USD","Period=FQ","BEST_FPERIOD_OVERRIDE=FQ","FILING_STATUS=MR","SCALING_FORMAT=MLN","Sort=A","Dates=H","DateFormat=P","Fill=—","Direction=H","UseDPDF=Y")</f>
        <v>110</v>
      </c>
      <c r="H79" s="13" t="str">
        <f>_xll.BDH("AMGN US Equity","ARDR_RENTAL_EXP_YR3","FQ1 2020","FQ1 2020","Currency=USD","Period=FQ","BEST_FPERIOD_OVERRIDE=FQ","FILING_STATUS=MR","SCALING_FORMAT=MLN","Sort=A","Dates=H","DateFormat=P","Fill=—","Direction=H","UseDPDF=Y")</f>
        <v>—</v>
      </c>
      <c r="I79" s="13" t="str">
        <f>_xll.BDH("AMGN US Equity","ARDR_RENTAL_EXP_YR3","FQ2 2020","FQ2 2020","Currency=USD","Period=FQ","BEST_FPERIOD_OVERRIDE=FQ","FILING_STATUS=MR","SCALING_FORMAT=MLN","Sort=A","Dates=H","DateFormat=P","Fill=—","Direction=H","UseDPDF=Y")</f>
        <v>—</v>
      </c>
      <c r="J79" s="13" t="str">
        <f>_xll.BDH("AMGN US Equity","ARDR_RENTAL_EXP_YR3","FQ3 2020","FQ3 2020","Currency=USD","Period=FQ","BEST_FPERIOD_OVERRIDE=FQ","FILING_STATUS=MR","SCALING_FORMAT=MLN","Sort=A","Dates=H","DateFormat=P","Fill=—","Direction=H","UseDPDF=Y")</f>
        <v>—</v>
      </c>
      <c r="K79" s="13">
        <f>_xll.BDH("AMGN US Equity","ARDR_RENTAL_EXP_YR3","FQ4 2020","FQ4 2020","Currency=USD","Period=FQ","BEST_FPERIOD_OVERRIDE=FQ","FILING_STATUS=MR","SCALING_FORMAT=MLN","Sort=A","Dates=H","DateFormat=P","Fill=—","Direction=H","UseDPDF=Y")</f>
        <v>105</v>
      </c>
      <c r="L79" s="13" t="str">
        <f>_xll.BDH("AMGN US Equity","ARDR_RENTAL_EXP_YR3","FQ1 2021","FQ1 2021","Currency=USD","Period=FQ","BEST_FPERIOD_OVERRIDE=FQ","FILING_STATUS=MR","SCALING_FORMAT=MLN","Sort=A","Dates=H","DateFormat=P","Fill=—","Direction=H","UseDPDF=Y")</f>
        <v>—</v>
      </c>
      <c r="M79" s="13" t="str">
        <f>_xll.BDH("AMGN US Equity","ARDR_RENTAL_EXP_YR3","FQ2 2021","FQ2 2021","Currency=USD","Period=FQ","BEST_FPERIOD_OVERRIDE=FQ","FILING_STATUS=MR","SCALING_FORMAT=MLN","Sort=A","Dates=H","DateFormat=P","Fill=—","Direction=H","UseDPDF=Y")</f>
        <v>—</v>
      </c>
      <c r="N79" s="13" t="str">
        <f>_xll.BDH("AMGN US Equity","ARDR_RENTAL_EXP_YR3","FQ3 2021","FQ3 2021","Currency=USD","Period=FQ","BEST_FPERIOD_OVERRIDE=FQ","FILING_STATUS=MR","SCALING_FORMAT=MLN","Sort=A","Dates=H","DateFormat=P","Fill=—","Direction=H","UseDPDF=Y")</f>
        <v>—</v>
      </c>
      <c r="O79" s="13">
        <f>_xll.BDH("AMGN US Equity","ARDR_RENTAL_EXP_YR3","FQ4 2021","FQ4 2021","Currency=USD","Period=FQ","BEST_FPERIOD_OVERRIDE=FQ","FILING_STATUS=MR","SCALING_FORMAT=MLN","Sort=A","Dates=H","DateFormat=P","Fill=—","Direction=H","UseDPDF=Y")</f>
        <v>75</v>
      </c>
      <c r="P79" s="13" t="str">
        <f>_xll.BDH("AMGN US Equity","ARDR_RENTAL_EXP_YR3","FQ1 2022","FQ1 2022","Currency=USD","Period=FQ","BEST_FPERIOD_OVERRIDE=FQ","FILING_STATUS=MR","SCALING_FORMAT=MLN","Sort=A","Dates=H","DateFormat=P","Fill=—","Direction=H","UseDPDF=Y")</f>
        <v>—</v>
      </c>
      <c r="Q79" s="13" t="str">
        <f>_xll.BDH("AMGN US Equity","ARDR_RENTAL_EXP_YR3","FQ2 2022","FQ2 2022","Currency=USD","Period=FQ","BEST_FPERIOD_OVERRIDE=FQ","FILING_STATUS=MR","SCALING_FORMAT=MLN","Sort=A","Dates=H","DateFormat=P","Fill=—","Direction=H","UseDPDF=Y")</f>
        <v>—</v>
      </c>
      <c r="R79" s="13" t="str">
        <f>_xll.BDH("AMGN US Equity","ARDR_RENTAL_EXP_YR3","FQ3 2022","FQ3 2022","Currency=USD","Period=FQ","BEST_FPERIOD_OVERRIDE=FQ","FILING_STATUS=MR","SCALING_FORMAT=MLN","Sort=A","Dates=H","DateFormat=P","Fill=—","Direction=H","UseDPDF=Y")</f>
        <v>—</v>
      </c>
      <c r="S79" s="13">
        <f>_xll.BDH("AMGN US Equity","ARDR_RENTAL_EXP_YR3","FQ4 2022","FQ4 2022","Currency=USD","Period=FQ","BEST_FPERIOD_OVERRIDE=FQ","FILING_STATUS=MR","SCALING_FORMAT=MLN","Sort=A","Dates=H","DateFormat=P","Fill=—","Direction=H","UseDPDF=Y")</f>
        <v>80</v>
      </c>
      <c r="T79" s="13" t="str">
        <f>_xll.BDH("AMGN US Equity","ARDR_RENTAL_EXP_YR3","FQ1 2023","FQ1 2023","Currency=USD","Period=FQ","BEST_FPERIOD_OVERRIDE=FQ","FILING_STATUS=MR","SCALING_FORMAT=MLN","Sort=A","Dates=H","DateFormat=P","Fill=—","Direction=H","UseDPDF=Y")</f>
        <v>—</v>
      </c>
      <c r="U79" s="13" t="str">
        <f>_xll.BDH("AMGN US Equity","ARDR_RENTAL_EXP_YR3","FQ2 2023","FQ2 2023","Currency=USD","Period=FQ","BEST_FPERIOD_OVERRIDE=FQ","FILING_STATUS=MR","SCALING_FORMAT=MLN","Sort=A","Dates=H","DateFormat=P","Fill=—","Direction=H","UseDPDF=Y")</f>
        <v>—</v>
      </c>
      <c r="V79" s="13" t="str">
        <f>_xll.BDH("AMGN US Equity","ARDR_RENTAL_EXP_YR3","FQ3 2023","FQ3 2023","Currency=USD","Period=FQ","BEST_FPERIOD_OVERRIDE=FQ","FILING_STATUS=MR","SCALING_FORMAT=MLN","Sort=A","Dates=H","DateFormat=P","Fill=—","Direction=H","UseDPDF=Y")</f>
        <v>—</v>
      </c>
      <c r="W79" s="13">
        <f>_xll.BDH("AMGN US Equity","ARDR_RENTAL_EXP_YR3","FQ4 2023","FQ4 2023","Currency=USD","Period=FQ","BEST_FPERIOD_OVERRIDE=FQ","FILING_STATUS=MR","SCALING_FORMAT=MLN","Sort=A","Dates=H","DateFormat=P","Fill=—","Direction=H","UseDPDF=Y")</f>
        <v>109</v>
      </c>
      <c r="X79" s="13" t="str">
        <f>_xll.BDH("AMGN US Equity","ARDR_RENTAL_EXP_YR3","FQ1 2024","FQ1 2024","Currency=USD","Period=FQ","BEST_FPERIOD_OVERRIDE=FQ","FILING_STATUS=MR","SCALING_FORMAT=MLN","Sort=A","Dates=H","DateFormat=P","Fill=—","Direction=H","UseDPDF=Y")</f>
        <v>—</v>
      </c>
      <c r="Y79" s="13" t="str">
        <f>_xll.BDH("AMGN US Equity","ARDR_RENTAL_EXP_YR3","FQ2 2024","FQ2 2024","Currency=USD","Period=FQ","BEST_FPERIOD_OVERRIDE=FQ","FILING_STATUS=MR","SCALING_FORMAT=MLN","Sort=A","Dates=H","DateFormat=P","Fill=—","Direction=H","UseDPDF=Y")</f>
        <v>—</v>
      </c>
      <c r="Z79" s="13" t="str">
        <f>_xll.BDH("AMGN US Equity","ARDR_RENTAL_EXP_YR3","FQ3 2024","FQ3 2024","Currency=USD","Period=FQ","BEST_FPERIOD_OVERRIDE=FQ","FILING_STATUS=MR","SCALING_FORMAT=MLN","Sort=A","Dates=H","DateFormat=P","Fill=—","Direction=H","UseDPDF=Y")</f>
        <v>—</v>
      </c>
      <c r="AA79" s="13">
        <f>_xll.BDH("AMGN US Equity","ARDR_RENTAL_EXP_YR3","FQ4 2024","FQ4 2024","Currency=USD","Period=FQ","BEST_FPERIOD_OVERRIDE=FQ","FILING_STATUS=MR","SCALING_FORMAT=MLN","Sort=A","Dates=H","DateFormat=P","Fill=—","Direction=H","UseDPDF=Y")</f>
        <v>112</v>
      </c>
    </row>
    <row r="80" spans="1:27" x14ac:dyDescent="0.25">
      <c r="A80" s="10" t="s">
        <v>977</v>
      </c>
      <c r="B80" s="10" t="s">
        <v>978</v>
      </c>
      <c r="C80" s="13">
        <f>_xll.BDH("AMGN US Equity","ARDR_RENTAL_EXP_YR4","FQ4 2018","FQ4 2018","Currency=USD","Period=FQ","BEST_FPERIOD_OVERRIDE=FQ","FILING_STATUS=MR","SCALING_FORMAT=MLN","Sort=A","Dates=H","DateFormat=P","Fill=—","Direction=H","UseDPDF=Y")</f>
        <v>64</v>
      </c>
      <c r="D80" s="13">
        <f>_xll.BDH("AMGN US Equity","ARDR_RENTAL_EXP_YR4","FQ1 2019","FQ1 2019","Currency=USD","Period=FQ","BEST_FPERIOD_OVERRIDE=FQ","FILING_STATUS=MR","SCALING_FORMAT=MLN","Sort=A","Dates=H","DateFormat=P","Fill=—","Direction=H","UseDPDF=Y")</f>
        <v>63</v>
      </c>
      <c r="E80" s="13">
        <f>_xll.BDH("AMGN US Equity","ARDR_RENTAL_EXP_YR4","FQ2 2019","FQ2 2019","Currency=USD","Period=FQ","BEST_FPERIOD_OVERRIDE=FQ","FILING_STATUS=MR","SCALING_FORMAT=MLN","Sort=A","Dates=H","DateFormat=P","Fill=—","Direction=H","UseDPDF=Y")</f>
        <v>73</v>
      </c>
      <c r="F80" s="13">
        <f>_xll.BDH("AMGN US Equity","ARDR_RENTAL_EXP_YR4","FQ3 2019","FQ3 2019","Currency=USD","Period=FQ","BEST_FPERIOD_OVERRIDE=FQ","FILING_STATUS=MR","SCALING_FORMAT=MLN","Sort=A","Dates=H","DateFormat=P","Fill=—","Direction=H","UseDPDF=Y")</f>
        <v>77</v>
      </c>
      <c r="G80" s="13">
        <f>_xll.BDH("AMGN US Equity","ARDR_RENTAL_EXP_YR4","FQ4 2019","FQ4 2019","Currency=USD","Period=FQ","BEST_FPERIOD_OVERRIDE=FQ","FILING_STATUS=MR","SCALING_FORMAT=MLN","Sort=A","Dates=H","DateFormat=P","Fill=—","Direction=H","UseDPDF=Y")</f>
        <v>88</v>
      </c>
      <c r="H80" s="13" t="str">
        <f>_xll.BDH("AMGN US Equity","ARDR_RENTAL_EXP_YR4","FQ1 2020","FQ1 2020","Currency=USD","Period=FQ","BEST_FPERIOD_OVERRIDE=FQ","FILING_STATUS=MR","SCALING_FORMAT=MLN","Sort=A","Dates=H","DateFormat=P","Fill=—","Direction=H","UseDPDF=Y")</f>
        <v>—</v>
      </c>
      <c r="I80" s="13" t="str">
        <f>_xll.BDH("AMGN US Equity","ARDR_RENTAL_EXP_YR4","FQ2 2020","FQ2 2020","Currency=USD","Period=FQ","BEST_FPERIOD_OVERRIDE=FQ","FILING_STATUS=MR","SCALING_FORMAT=MLN","Sort=A","Dates=H","DateFormat=P","Fill=—","Direction=H","UseDPDF=Y")</f>
        <v>—</v>
      </c>
      <c r="J80" s="13" t="str">
        <f>_xll.BDH("AMGN US Equity","ARDR_RENTAL_EXP_YR4","FQ3 2020","FQ3 2020","Currency=USD","Period=FQ","BEST_FPERIOD_OVERRIDE=FQ","FILING_STATUS=MR","SCALING_FORMAT=MLN","Sort=A","Dates=H","DateFormat=P","Fill=—","Direction=H","UseDPDF=Y")</f>
        <v>—</v>
      </c>
      <c r="K80" s="13">
        <f>_xll.BDH("AMGN US Equity","ARDR_RENTAL_EXP_YR4","FQ4 2020","FQ4 2020","Currency=USD","Period=FQ","BEST_FPERIOD_OVERRIDE=FQ","FILING_STATUS=MR","SCALING_FORMAT=MLN","Sort=A","Dates=H","DateFormat=P","Fill=—","Direction=H","UseDPDF=Y")</f>
        <v>36</v>
      </c>
      <c r="L80" s="13" t="str">
        <f>_xll.BDH("AMGN US Equity","ARDR_RENTAL_EXP_YR4","FQ1 2021","FQ1 2021","Currency=USD","Period=FQ","BEST_FPERIOD_OVERRIDE=FQ","FILING_STATUS=MR","SCALING_FORMAT=MLN","Sort=A","Dates=H","DateFormat=P","Fill=—","Direction=H","UseDPDF=Y")</f>
        <v>—</v>
      </c>
      <c r="M80" s="13" t="str">
        <f>_xll.BDH("AMGN US Equity","ARDR_RENTAL_EXP_YR4","FQ2 2021","FQ2 2021","Currency=USD","Period=FQ","BEST_FPERIOD_OVERRIDE=FQ","FILING_STATUS=MR","SCALING_FORMAT=MLN","Sort=A","Dates=H","DateFormat=P","Fill=—","Direction=H","UseDPDF=Y")</f>
        <v>—</v>
      </c>
      <c r="N80" s="13" t="str">
        <f>_xll.BDH("AMGN US Equity","ARDR_RENTAL_EXP_YR4","FQ3 2021","FQ3 2021","Currency=USD","Period=FQ","BEST_FPERIOD_OVERRIDE=FQ","FILING_STATUS=MR","SCALING_FORMAT=MLN","Sort=A","Dates=H","DateFormat=P","Fill=—","Direction=H","UseDPDF=Y")</f>
        <v>—</v>
      </c>
      <c r="O80" s="13">
        <f>_xll.BDH("AMGN US Equity","ARDR_RENTAL_EXP_YR4","FQ4 2021","FQ4 2021","Currency=USD","Period=FQ","BEST_FPERIOD_OVERRIDE=FQ","FILING_STATUS=MR","SCALING_FORMAT=MLN","Sort=A","Dates=H","DateFormat=P","Fill=—","Direction=H","UseDPDF=Y")</f>
        <v>49</v>
      </c>
      <c r="P80" s="13" t="str">
        <f>_xll.BDH("AMGN US Equity","ARDR_RENTAL_EXP_YR4","FQ1 2022","FQ1 2022","Currency=USD","Period=FQ","BEST_FPERIOD_OVERRIDE=FQ","FILING_STATUS=MR","SCALING_FORMAT=MLN","Sort=A","Dates=H","DateFormat=P","Fill=—","Direction=H","UseDPDF=Y")</f>
        <v>—</v>
      </c>
      <c r="Q80" s="13" t="str">
        <f>_xll.BDH("AMGN US Equity","ARDR_RENTAL_EXP_YR4","FQ2 2022","FQ2 2022","Currency=USD","Period=FQ","BEST_FPERIOD_OVERRIDE=FQ","FILING_STATUS=MR","SCALING_FORMAT=MLN","Sort=A","Dates=H","DateFormat=P","Fill=—","Direction=H","UseDPDF=Y")</f>
        <v>—</v>
      </c>
      <c r="R80" s="13" t="str">
        <f>_xll.BDH("AMGN US Equity","ARDR_RENTAL_EXP_YR4","FQ3 2022","FQ3 2022","Currency=USD","Period=FQ","BEST_FPERIOD_OVERRIDE=FQ","FILING_STATUS=MR","SCALING_FORMAT=MLN","Sort=A","Dates=H","DateFormat=P","Fill=—","Direction=H","UseDPDF=Y")</f>
        <v>—</v>
      </c>
      <c r="S80" s="13">
        <f>_xll.BDH("AMGN US Equity","ARDR_RENTAL_EXP_YR4","FQ4 2022","FQ4 2022","Currency=USD","Period=FQ","BEST_FPERIOD_OVERRIDE=FQ","FILING_STATUS=MR","SCALING_FORMAT=MLN","Sort=A","Dates=H","DateFormat=P","Fill=—","Direction=H","UseDPDF=Y")</f>
        <v>70</v>
      </c>
      <c r="T80" s="13" t="str">
        <f>_xll.BDH("AMGN US Equity","ARDR_RENTAL_EXP_YR4","FQ1 2023","FQ1 2023","Currency=USD","Period=FQ","BEST_FPERIOD_OVERRIDE=FQ","FILING_STATUS=MR","SCALING_FORMAT=MLN","Sort=A","Dates=H","DateFormat=P","Fill=—","Direction=H","UseDPDF=Y")</f>
        <v>—</v>
      </c>
      <c r="U80" s="13" t="str">
        <f>_xll.BDH("AMGN US Equity","ARDR_RENTAL_EXP_YR4","FQ2 2023","FQ2 2023","Currency=USD","Period=FQ","BEST_FPERIOD_OVERRIDE=FQ","FILING_STATUS=MR","SCALING_FORMAT=MLN","Sort=A","Dates=H","DateFormat=P","Fill=—","Direction=H","UseDPDF=Y")</f>
        <v>—</v>
      </c>
      <c r="V80" s="13" t="str">
        <f>_xll.BDH("AMGN US Equity","ARDR_RENTAL_EXP_YR4","FQ3 2023","FQ3 2023","Currency=USD","Period=FQ","BEST_FPERIOD_OVERRIDE=FQ","FILING_STATUS=MR","SCALING_FORMAT=MLN","Sort=A","Dates=H","DateFormat=P","Fill=—","Direction=H","UseDPDF=Y")</f>
        <v>—</v>
      </c>
      <c r="W80" s="13">
        <f>_xll.BDH("AMGN US Equity","ARDR_RENTAL_EXP_YR4","FQ4 2023","FQ4 2023","Currency=USD","Period=FQ","BEST_FPERIOD_OVERRIDE=FQ","FILING_STATUS=MR","SCALING_FORMAT=MLN","Sort=A","Dates=H","DateFormat=P","Fill=—","Direction=H","UseDPDF=Y")</f>
        <v>95</v>
      </c>
      <c r="X80" s="13" t="str">
        <f>_xll.BDH("AMGN US Equity","ARDR_RENTAL_EXP_YR4","FQ1 2024","FQ1 2024","Currency=USD","Period=FQ","BEST_FPERIOD_OVERRIDE=FQ","FILING_STATUS=MR","SCALING_FORMAT=MLN","Sort=A","Dates=H","DateFormat=P","Fill=—","Direction=H","UseDPDF=Y")</f>
        <v>—</v>
      </c>
      <c r="Y80" s="13" t="str">
        <f>_xll.BDH("AMGN US Equity","ARDR_RENTAL_EXP_YR4","FQ2 2024","FQ2 2024","Currency=USD","Period=FQ","BEST_FPERIOD_OVERRIDE=FQ","FILING_STATUS=MR","SCALING_FORMAT=MLN","Sort=A","Dates=H","DateFormat=P","Fill=—","Direction=H","UseDPDF=Y")</f>
        <v>—</v>
      </c>
      <c r="Z80" s="13" t="str">
        <f>_xll.BDH("AMGN US Equity","ARDR_RENTAL_EXP_YR4","FQ3 2024","FQ3 2024","Currency=USD","Period=FQ","BEST_FPERIOD_OVERRIDE=FQ","FILING_STATUS=MR","SCALING_FORMAT=MLN","Sort=A","Dates=H","DateFormat=P","Fill=—","Direction=H","UseDPDF=Y")</f>
        <v>—</v>
      </c>
      <c r="AA80" s="13">
        <f>_xll.BDH("AMGN US Equity","ARDR_RENTAL_EXP_YR4","FQ4 2024","FQ4 2024","Currency=USD","Period=FQ","BEST_FPERIOD_OVERRIDE=FQ","FILING_STATUS=MR","SCALING_FORMAT=MLN","Sort=A","Dates=H","DateFormat=P","Fill=—","Direction=H","UseDPDF=Y")</f>
        <v>91</v>
      </c>
    </row>
    <row r="81" spans="1:27" x14ac:dyDescent="0.25">
      <c r="A81" s="10" t="s">
        <v>979</v>
      </c>
      <c r="B81" s="10" t="s">
        <v>980</v>
      </c>
      <c r="C81" s="13">
        <f>_xll.BDH("AMGN US Equity","ARDR_RENTAL_EXP_YR5","FQ4 2018","FQ4 2018","Currency=USD","Period=FQ","BEST_FPERIOD_OVERRIDE=FQ","FILING_STATUS=MR","SCALING_FORMAT=MLN","Sort=A","Dates=H","DateFormat=P","Fill=—","Direction=H","UseDPDF=Y")</f>
        <v>56</v>
      </c>
      <c r="D81" s="13">
        <f>_xll.BDH("AMGN US Equity","ARDR_RENTAL_EXP_YR5","FQ1 2019","FQ1 2019","Currency=USD","Period=FQ","BEST_FPERIOD_OVERRIDE=FQ","FILING_STATUS=MR","SCALING_FORMAT=MLN","Sort=A","Dates=H","DateFormat=P","Fill=—","Direction=H","UseDPDF=Y")</f>
        <v>48</v>
      </c>
      <c r="E81" s="13">
        <f>_xll.BDH("AMGN US Equity","ARDR_RENTAL_EXP_YR5","FQ2 2019","FQ2 2019","Currency=USD","Period=FQ","BEST_FPERIOD_OVERRIDE=FQ","FILING_STATUS=MR","SCALING_FORMAT=MLN","Sort=A","Dates=H","DateFormat=P","Fill=—","Direction=H","UseDPDF=Y")</f>
        <v>62</v>
      </c>
      <c r="F81" s="13">
        <f>_xll.BDH("AMGN US Equity","ARDR_RENTAL_EXP_YR5","FQ3 2019","FQ3 2019","Currency=USD","Period=FQ","BEST_FPERIOD_OVERRIDE=FQ","FILING_STATUS=MR","SCALING_FORMAT=MLN","Sort=A","Dates=H","DateFormat=P","Fill=—","Direction=H","UseDPDF=Y")</f>
        <v>65</v>
      </c>
      <c r="G81" s="13">
        <f>_xll.BDH("AMGN US Equity","ARDR_RENTAL_EXP_YR5","FQ4 2019","FQ4 2019","Currency=USD","Period=FQ","BEST_FPERIOD_OVERRIDE=FQ","FILING_STATUS=MR","SCALING_FORMAT=MLN","Sort=A","Dates=H","DateFormat=P","Fill=—","Direction=H","UseDPDF=Y")</f>
        <v>30</v>
      </c>
      <c r="H81" s="13" t="str">
        <f>_xll.BDH("AMGN US Equity","ARDR_RENTAL_EXP_YR5","FQ1 2020","FQ1 2020","Currency=USD","Period=FQ","BEST_FPERIOD_OVERRIDE=FQ","FILING_STATUS=MR","SCALING_FORMAT=MLN","Sort=A","Dates=H","DateFormat=P","Fill=—","Direction=H","UseDPDF=Y")</f>
        <v>—</v>
      </c>
      <c r="I81" s="13" t="str">
        <f>_xll.BDH("AMGN US Equity","ARDR_RENTAL_EXP_YR5","FQ2 2020","FQ2 2020","Currency=USD","Period=FQ","BEST_FPERIOD_OVERRIDE=FQ","FILING_STATUS=MR","SCALING_FORMAT=MLN","Sort=A","Dates=H","DateFormat=P","Fill=—","Direction=H","UseDPDF=Y")</f>
        <v>—</v>
      </c>
      <c r="J81" s="13" t="str">
        <f>_xll.BDH("AMGN US Equity","ARDR_RENTAL_EXP_YR5","FQ3 2020","FQ3 2020","Currency=USD","Period=FQ","BEST_FPERIOD_OVERRIDE=FQ","FILING_STATUS=MR","SCALING_FORMAT=MLN","Sort=A","Dates=H","DateFormat=P","Fill=—","Direction=H","UseDPDF=Y")</f>
        <v>—</v>
      </c>
      <c r="K81" s="13">
        <f>_xll.BDH("AMGN US Equity","ARDR_RENTAL_EXP_YR5","FQ4 2020","FQ4 2020","Currency=USD","Period=FQ","BEST_FPERIOD_OVERRIDE=FQ","FILING_STATUS=MR","SCALING_FORMAT=MLN","Sort=A","Dates=H","DateFormat=P","Fill=—","Direction=H","UseDPDF=Y")</f>
        <v>15</v>
      </c>
      <c r="L81" s="13" t="str">
        <f>_xll.BDH("AMGN US Equity","ARDR_RENTAL_EXP_YR5","FQ1 2021","FQ1 2021","Currency=USD","Period=FQ","BEST_FPERIOD_OVERRIDE=FQ","FILING_STATUS=MR","SCALING_FORMAT=MLN","Sort=A","Dates=H","DateFormat=P","Fill=—","Direction=H","UseDPDF=Y")</f>
        <v>—</v>
      </c>
      <c r="M81" s="13" t="str">
        <f>_xll.BDH("AMGN US Equity","ARDR_RENTAL_EXP_YR5","FQ2 2021","FQ2 2021","Currency=USD","Period=FQ","BEST_FPERIOD_OVERRIDE=FQ","FILING_STATUS=MR","SCALING_FORMAT=MLN","Sort=A","Dates=H","DateFormat=P","Fill=—","Direction=H","UseDPDF=Y")</f>
        <v>—</v>
      </c>
      <c r="N81" s="13" t="str">
        <f>_xll.BDH("AMGN US Equity","ARDR_RENTAL_EXP_YR5","FQ3 2021","FQ3 2021","Currency=USD","Period=FQ","BEST_FPERIOD_OVERRIDE=FQ","FILING_STATUS=MR","SCALING_FORMAT=MLN","Sort=A","Dates=H","DateFormat=P","Fill=—","Direction=H","UseDPDF=Y")</f>
        <v>—</v>
      </c>
      <c r="O81" s="13">
        <f>_xll.BDH("AMGN US Equity","ARDR_RENTAL_EXP_YR5","FQ4 2021","FQ4 2021","Currency=USD","Period=FQ","BEST_FPERIOD_OVERRIDE=FQ","FILING_STATUS=MR","SCALING_FORMAT=MLN","Sort=A","Dates=H","DateFormat=P","Fill=—","Direction=H","UseDPDF=Y")</f>
        <v>44</v>
      </c>
      <c r="P81" s="13" t="str">
        <f>_xll.BDH("AMGN US Equity","ARDR_RENTAL_EXP_YR5","FQ1 2022","FQ1 2022","Currency=USD","Period=FQ","BEST_FPERIOD_OVERRIDE=FQ","FILING_STATUS=MR","SCALING_FORMAT=MLN","Sort=A","Dates=H","DateFormat=P","Fill=—","Direction=H","UseDPDF=Y")</f>
        <v>—</v>
      </c>
      <c r="Q81" s="13" t="str">
        <f>_xll.BDH("AMGN US Equity","ARDR_RENTAL_EXP_YR5","FQ2 2022","FQ2 2022","Currency=USD","Period=FQ","BEST_FPERIOD_OVERRIDE=FQ","FILING_STATUS=MR","SCALING_FORMAT=MLN","Sort=A","Dates=H","DateFormat=P","Fill=—","Direction=H","UseDPDF=Y")</f>
        <v>—</v>
      </c>
      <c r="R81" s="13" t="str">
        <f>_xll.BDH("AMGN US Equity","ARDR_RENTAL_EXP_YR5","FQ3 2022","FQ3 2022","Currency=USD","Period=FQ","BEST_FPERIOD_OVERRIDE=FQ","FILING_STATUS=MR","SCALING_FORMAT=MLN","Sort=A","Dates=H","DateFormat=P","Fill=—","Direction=H","UseDPDF=Y")</f>
        <v>—</v>
      </c>
      <c r="S81" s="13">
        <f>_xll.BDH("AMGN US Equity","ARDR_RENTAL_EXP_YR5","FQ4 2022","FQ4 2022","Currency=USD","Period=FQ","BEST_FPERIOD_OVERRIDE=FQ","FILING_STATUS=MR","SCALING_FORMAT=MLN","Sort=A","Dates=H","DateFormat=P","Fill=—","Direction=H","UseDPDF=Y")</f>
        <v>64</v>
      </c>
      <c r="T81" s="13" t="str">
        <f>_xll.BDH("AMGN US Equity","ARDR_RENTAL_EXP_YR5","FQ1 2023","FQ1 2023","Currency=USD","Period=FQ","BEST_FPERIOD_OVERRIDE=FQ","FILING_STATUS=MR","SCALING_FORMAT=MLN","Sort=A","Dates=H","DateFormat=P","Fill=—","Direction=H","UseDPDF=Y")</f>
        <v>—</v>
      </c>
      <c r="U81" s="13" t="str">
        <f>_xll.BDH("AMGN US Equity","ARDR_RENTAL_EXP_YR5","FQ2 2023","FQ2 2023","Currency=USD","Period=FQ","BEST_FPERIOD_OVERRIDE=FQ","FILING_STATUS=MR","SCALING_FORMAT=MLN","Sort=A","Dates=H","DateFormat=P","Fill=—","Direction=H","UseDPDF=Y")</f>
        <v>—</v>
      </c>
      <c r="V81" s="13" t="str">
        <f>_xll.BDH("AMGN US Equity","ARDR_RENTAL_EXP_YR5","FQ3 2023","FQ3 2023","Currency=USD","Period=FQ","BEST_FPERIOD_OVERRIDE=FQ","FILING_STATUS=MR","SCALING_FORMAT=MLN","Sort=A","Dates=H","DateFormat=P","Fill=—","Direction=H","UseDPDF=Y")</f>
        <v>—</v>
      </c>
      <c r="W81" s="13">
        <f>_xll.BDH("AMGN US Equity","ARDR_RENTAL_EXP_YR5","FQ4 2023","FQ4 2023","Currency=USD","Period=FQ","BEST_FPERIOD_OVERRIDE=FQ","FILING_STATUS=MR","SCALING_FORMAT=MLN","Sort=A","Dates=H","DateFormat=P","Fill=—","Direction=H","UseDPDF=Y")</f>
        <v>74</v>
      </c>
      <c r="X81" s="13" t="str">
        <f>_xll.BDH("AMGN US Equity","ARDR_RENTAL_EXP_YR5","FQ1 2024","FQ1 2024","Currency=USD","Period=FQ","BEST_FPERIOD_OVERRIDE=FQ","FILING_STATUS=MR","SCALING_FORMAT=MLN","Sort=A","Dates=H","DateFormat=P","Fill=—","Direction=H","UseDPDF=Y")</f>
        <v>—</v>
      </c>
      <c r="Y81" s="13" t="str">
        <f>_xll.BDH("AMGN US Equity","ARDR_RENTAL_EXP_YR5","FQ2 2024","FQ2 2024","Currency=USD","Period=FQ","BEST_FPERIOD_OVERRIDE=FQ","FILING_STATUS=MR","SCALING_FORMAT=MLN","Sort=A","Dates=H","DateFormat=P","Fill=—","Direction=H","UseDPDF=Y")</f>
        <v>—</v>
      </c>
      <c r="Z81" s="13" t="str">
        <f>_xll.BDH("AMGN US Equity","ARDR_RENTAL_EXP_YR5","FQ3 2024","FQ3 2024","Currency=USD","Period=FQ","BEST_FPERIOD_OVERRIDE=FQ","FILING_STATUS=MR","SCALING_FORMAT=MLN","Sort=A","Dates=H","DateFormat=P","Fill=—","Direction=H","UseDPDF=Y")</f>
        <v>—</v>
      </c>
      <c r="AA81" s="13">
        <f>_xll.BDH("AMGN US Equity","ARDR_RENTAL_EXP_YR5","FQ4 2024","FQ4 2024","Currency=USD","Period=FQ","BEST_FPERIOD_OVERRIDE=FQ","FILING_STATUS=MR","SCALING_FORMAT=MLN","Sort=A","Dates=H","DateFormat=P","Fill=—","Direction=H","UseDPDF=Y")</f>
        <v>73</v>
      </c>
    </row>
    <row r="82" spans="1:27" x14ac:dyDescent="0.25">
      <c r="A82" s="10" t="s">
        <v>981</v>
      </c>
      <c r="B82" s="10" t="s">
        <v>982</v>
      </c>
      <c r="C82" s="13">
        <f>_xll.BDH("AMGN US Equity","ARDR_RENTAL_EXP_BEYOND_YR5","FQ4 2018","FQ4 2018","Currency=USD","Period=FQ","BEST_FPERIOD_OVERRIDE=FQ","FILING_STATUS=MR","SCALING_FORMAT=MLN","Sort=A","Dates=H","DateFormat=P","Fill=—","Direction=H","UseDPDF=Y")</f>
        <v>46</v>
      </c>
      <c r="D82" s="13">
        <f>_xll.BDH("AMGN US Equity","ARDR_RENTAL_EXP_BEYOND_YR5","FQ1 2019","FQ1 2019","Currency=USD","Period=FQ","BEST_FPERIOD_OVERRIDE=FQ","FILING_STATUS=MR","SCALING_FORMAT=MLN","Sort=A","Dates=H","DateFormat=P","Fill=—","Direction=H","UseDPDF=Y")</f>
        <v>41</v>
      </c>
      <c r="E82" s="13">
        <f>_xll.BDH("AMGN US Equity","ARDR_RENTAL_EXP_BEYOND_YR5","FQ2 2019","FQ2 2019","Currency=USD","Period=FQ","BEST_FPERIOD_OVERRIDE=FQ","FILING_STATUS=MR","SCALING_FORMAT=MLN","Sort=A","Dates=H","DateFormat=P","Fill=—","Direction=H","UseDPDF=Y")</f>
        <v>48</v>
      </c>
      <c r="F82" s="13">
        <f>_xll.BDH("AMGN US Equity","ARDR_RENTAL_EXP_BEYOND_YR5","FQ3 2019","FQ3 2019","Currency=USD","Period=FQ","BEST_FPERIOD_OVERRIDE=FQ","FILING_STATUS=MR","SCALING_FORMAT=MLN","Sort=A","Dates=H","DateFormat=P","Fill=—","Direction=H","UseDPDF=Y")</f>
        <v>55</v>
      </c>
      <c r="G82" s="13">
        <f>_xll.BDH("AMGN US Equity","ARDR_RENTAL_EXP_BEYOND_YR5","FQ4 2019","FQ4 2019","Currency=USD","Period=FQ","BEST_FPERIOD_OVERRIDE=FQ","FILING_STATUS=MR","SCALING_FORMAT=MLN","Sort=A","Dates=H","DateFormat=P","Fill=—","Direction=H","UseDPDF=Y")</f>
        <v>32</v>
      </c>
      <c r="H82" s="13" t="str">
        <f>_xll.BDH("AMGN US Equity","ARDR_RENTAL_EXP_BEYOND_YR5","FQ1 2020","FQ1 2020","Currency=USD","Period=FQ","BEST_FPERIOD_OVERRIDE=FQ","FILING_STATUS=MR","SCALING_FORMAT=MLN","Sort=A","Dates=H","DateFormat=P","Fill=—","Direction=H","UseDPDF=Y")</f>
        <v>—</v>
      </c>
      <c r="I82" s="13" t="str">
        <f>_xll.BDH("AMGN US Equity","ARDR_RENTAL_EXP_BEYOND_YR5","FQ2 2020","FQ2 2020","Currency=USD","Period=FQ","BEST_FPERIOD_OVERRIDE=FQ","FILING_STATUS=MR","SCALING_FORMAT=MLN","Sort=A","Dates=H","DateFormat=P","Fill=—","Direction=H","UseDPDF=Y")</f>
        <v>—</v>
      </c>
      <c r="J82" s="13" t="str">
        <f>_xll.BDH("AMGN US Equity","ARDR_RENTAL_EXP_BEYOND_YR5","FQ3 2020","FQ3 2020","Currency=USD","Period=FQ","BEST_FPERIOD_OVERRIDE=FQ","FILING_STATUS=MR","SCALING_FORMAT=MLN","Sort=A","Dates=H","DateFormat=P","Fill=—","Direction=H","UseDPDF=Y")</f>
        <v>—</v>
      </c>
      <c r="K82" s="13">
        <f>_xll.BDH("AMGN US Equity","ARDR_RENTAL_EXP_BEYOND_YR5","FQ4 2020","FQ4 2020","Currency=USD","Period=FQ","BEST_FPERIOD_OVERRIDE=FQ","FILING_STATUS=MR","SCALING_FORMAT=MLN","Sort=A","Dates=H","DateFormat=P","Fill=—","Direction=H","UseDPDF=Y")</f>
        <v>36</v>
      </c>
      <c r="L82" s="13" t="str">
        <f>_xll.BDH("AMGN US Equity","ARDR_RENTAL_EXP_BEYOND_YR5","FQ1 2021","FQ1 2021","Currency=USD","Period=FQ","BEST_FPERIOD_OVERRIDE=FQ","FILING_STATUS=MR","SCALING_FORMAT=MLN","Sort=A","Dates=H","DateFormat=P","Fill=—","Direction=H","UseDPDF=Y")</f>
        <v>—</v>
      </c>
      <c r="M82" s="13" t="str">
        <f>_xll.BDH("AMGN US Equity","ARDR_RENTAL_EXP_BEYOND_YR5","FQ2 2021","FQ2 2021","Currency=USD","Period=FQ","BEST_FPERIOD_OVERRIDE=FQ","FILING_STATUS=MR","SCALING_FORMAT=MLN","Sort=A","Dates=H","DateFormat=P","Fill=—","Direction=H","UseDPDF=Y")</f>
        <v>—</v>
      </c>
      <c r="N82" s="13" t="str">
        <f>_xll.BDH("AMGN US Equity","ARDR_RENTAL_EXP_BEYOND_YR5","FQ3 2021","FQ3 2021","Currency=USD","Period=FQ","BEST_FPERIOD_OVERRIDE=FQ","FILING_STATUS=MR","SCALING_FORMAT=MLN","Sort=A","Dates=H","DateFormat=P","Fill=—","Direction=H","UseDPDF=Y")</f>
        <v>—</v>
      </c>
      <c r="O82" s="13">
        <f>_xll.BDH("AMGN US Equity","ARDR_RENTAL_EXP_BEYOND_YR5","FQ4 2021","FQ4 2021","Currency=USD","Period=FQ","BEST_FPERIOD_OVERRIDE=FQ","FILING_STATUS=MR","SCALING_FORMAT=MLN","Sort=A","Dates=H","DateFormat=P","Fill=—","Direction=H","UseDPDF=Y")</f>
        <v>289</v>
      </c>
      <c r="P82" s="13" t="str">
        <f>_xll.BDH("AMGN US Equity","ARDR_RENTAL_EXP_BEYOND_YR5","FQ1 2022","FQ1 2022","Currency=USD","Period=FQ","BEST_FPERIOD_OVERRIDE=FQ","FILING_STATUS=MR","SCALING_FORMAT=MLN","Sort=A","Dates=H","DateFormat=P","Fill=—","Direction=H","UseDPDF=Y")</f>
        <v>—</v>
      </c>
      <c r="Q82" s="13" t="str">
        <f>_xll.BDH("AMGN US Equity","ARDR_RENTAL_EXP_BEYOND_YR5","FQ2 2022","FQ2 2022","Currency=USD","Period=FQ","BEST_FPERIOD_OVERRIDE=FQ","FILING_STATUS=MR","SCALING_FORMAT=MLN","Sort=A","Dates=H","DateFormat=P","Fill=—","Direction=H","UseDPDF=Y")</f>
        <v>—</v>
      </c>
      <c r="R82" s="13" t="str">
        <f>_xll.BDH("AMGN US Equity","ARDR_RENTAL_EXP_BEYOND_YR5","FQ3 2022","FQ3 2022","Currency=USD","Period=FQ","BEST_FPERIOD_OVERRIDE=FQ","FILING_STATUS=MR","SCALING_FORMAT=MLN","Sort=A","Dates=H","DateFormat=P","Fill=—","Direction=H","UseDPDF=Y")</f>
        <v>—</v>
      </c>
      <c r="S82" s="13">
        <f>_xll.BDH("AMGN US Equity","ARDR_RENTAL_EXP_BEYOND_YR5","FQ4 2022","FQ4 2022","Currency=USD","Period=FQ","BEST_FPERIOD_OVERRIDE=FQ","FILING_STATUS=MR","SCALING_FORMAT=MLN","Sort=A","Dates=H","DateFormat=P","Fill=—","Direction=H","UseDPDF=Y")</f>
        <v>286</v>
      </c>
      <c r="T82" s="13" t="str">
        <f>_xll.BDH("AMGN US Equity","ARDR_RENTAL_EXP_BEYOND_YR5","FQ1 2023","FQ1 2023","Currency=USD","Period=FQ","BEST_FPERIOD_OVERRIDE=FQ","FILING_STATUS=MR","SCALING_FORMAT=MLN","Sort=A","Dates=H","DateFormat=P","Fill=—","Direction=H","UseDPDF=Y")</f>
        <v>—</v>
      </c>
      <c r="U82" s="13" t="str">
        <f>_xll.BDH("AMGN US Equity","ARDR_RENTAL_EXP_BEYOND_YR5","FQ2 2023","FQ2 2023","Currency=USD","Period=FQ","BEST_FPERIOD_OVERRIDE=FQ","FILING_STATUS=MR","SCALING_FORMAT=MLN","Sort=A","Dates=H","DateFormat=P","Fill=—","Direction=H","UseDPDF=Y")</f>
        <v>—</v>
      </c>
      <c r="V82" s="13" t="str">
        <f>_xll.BDH("AMGN US Equity","ARDR_RENTAL_EXP_BEYOND_YR5","FQ3 2023","FQ3 2023","Currency=USD","Period=FQ","BEST_FPERIOD_OVERRIDE=FQ","FILING_STATUS=MR","SCALING_FORMAT=MLN","Sort=A","Dates=H","DateFormat=P","Fill=—","Direction=H","UseDPDF=Y")</f>
        <v>—</v>
      </c>
      <c r="W82" s="13">
        <f>_xll.BDH("AMGN US Equity","ARDR_RENTAL_EXP_BEYOND_YR5","FQ4 2023","FQ4 2023","Currency=USD","Period=FQ","BEST_FPERIOD_OVERRIDE=FQ","FILING_STATUS=MR","SCALING_FORMAT=MLN","Sort=A","Dates=H","DateFormat=P","Fill=—","Direction=H","UseDPDF=Y")</f>
        <v>440</v>
      </c>
      <c r="X82" s="13" t="str">
        <f>_xll.BDH("AMGN US Equity","ARDR_RENTAL_EXP_BEYOND_YR5","FQ1 2024","FQ1 2024","Currency=USD","Period=FQ","BEST_FPERIOD_OVERRIDE=FQ","FILING_STATUS=MR","SCALING_FORMAT=MLN","Sort=A","Dates=H","DateFormat=P","Fill=—","Direction=H","UseDPDF=Y")</f>
        <v>—</v>
      </c>
      <c r="Y82" s="13" t="str">
        <f>_xll.BDH("AMGN US Equity","ARDR_RENTAL_EXP_BEYOND_YR5","FQ2 2024","FQ2 2024","Currency=USD","Period=FQ","BEST_FPERIOD_OVERRIDE=FQ","FILING_STATUS=MR","SCALING_FORMAT=MLN","Sort=A","Dates=H","DateFormat=P","Fill=—","Direction=H","UseDPDF=Y")</f>
        <v>—</v>
      </c>
      <c r="Z82" s="13" t="str">
        <f>_xll.BDH("AMGN US Equity","ARDR_RENTAL_EXP_BEYOND_YR5","FQ3 2024","FQ3 2024","Currency=USD","Period=FQ","BEST_FPERIOD_OVERRIDE=FQ","FILING_STATUS=MR","SCALING_FORMAT=MLN","Sort=A","Dates=H","DateFormat=P","Fill=—","Direction=H","UseDPDF=Y")</f>
        <v>—</v>
      </c>
      <c r="AA82" s="13">
        <f>_xll.BDH("AMGN US Equity","ARDR_RENTAL_EXP_BEYOND_YR5","FQ4 2024","FQ4 2024","Currency=USD","Period=FQ","BEST_FPERIOD_OVERRIDE=FQ","FILING_STATUS=MR","SCALING_FORMAT=MLN","Sort=A","Dates=H","DateFormat=P","Fill=—","Direction=H","UseDPDF=Y")</f>
        <v>426</v>
      </c>
    </row>
    <row r="83" spans="1:27" x14ac:dyDescent="0.25">
      <c r="A83" s="10" t="s">
        <v>983</v>
      </c>
      <c r="B83" s="10" t="s">
        <v>984</v>
      </c>
      <c r="C83" s="13">
        <f>_xll.BDH("AMGN US Equity","ARDR_ALLOW_FOR_DOUBTFUL_ACCTS","FQ4 2018","FQ4 2018","Currency=USD","Period=FQ","BEST_FPERIOD_OVERRIDE=FQ","FILING_STATUS=MR","SCALING_FORMAT=MLN","Sort=A","Dates=H","DateFormat=P","Fill=—","Direction=H","UseDPDF=Y")</f>
        <v>48</v>
      </c>
      <c r="D83" s="13" t="str">
        <f>_xll.BDH("AMGN US Equity","ARDR_ALLOW_FOR_DOUBTFUL_ACCTS","FQ1 2019","FQ1 2019","Currency=USD","Period=FQ","BEST_FPERIOD_OVERRIDE=FQ","FILING_STATUS=MR","SCALING_FORMAT=MLN","Sort=A","Dates=H","DateFormat=P","Fill=—","Direction=H","UseDPDF=Y")</f>
        <v>—</v>
      </c>
      <c r="E83" s="13" t="str">
        <f>_xll.BDH("AMGN US Equity","ARDR_ALLOW_FOR_DOUBTFUL_ACCTS","FQ2 2019","FQ2 2019","Currency=USD","Period=FQ","BEST_FPERIOD_OVERRIDE=FQ","FILING_STATUS=MR","SCALING_FORMAT=MLN","Sort=A","Dates=H","DateFormat=P","Fill=—","Direction=H","UseDPDF=Y")</f>
        <v>—</v>
      </c>
      <c r="F83" s="13" t="str">
        <f>_xll.BDH("AMGN US Equity","ARDR_ALLOW_FOR_DOUBTFUL_ACCTS","FQ3 2019","FQ3 2019","Currency=USD","Period=FQ","BEST_FPERIOD_OVERRIDE=FQ","FILING_STATUS=MR","SCALING_FORMAT=MLN","Sort=A","Dates=H","DateFormat=P","Fill=—","Direction=H","UseDPDF=Y")</f>
        <v>—</v>
      </c>
      <c r="G83" s="13">
        <f>_xll.BDH("AMGN US Equity","ARDR_ALLOW_FOR_DOUBTFUL_ACCTS","FQ4 2019","FQ4 2019","Currency=USD","Period=FQ","BEST_FPERIOD_OVERRIDE=FQ","FILING_STATUS=MR","SCALING_FORMAT=MLN","Sort=A","Dates=H","DateFormat=P","Fill=—","Direction=H","UseDPDF=Y")</f>
        <v>26</v>
      </c>
      <c r="H83" s="13" t="str">
        <f>_xll.BDH("AMGN US Equity","ARDR_ALLOW_FOR_DOUBTFUL_ACCTS","FQ1 2020","FQ1 2020","Currency=USD","Period=FQ","BEST_FPERIOD_OVERRIDE=FQ","FILING_STATUS=MR","SCALING_FORMAT=MLN","Sort=A","Dates=H","DateFormat=P","Fill=—","Direction=H","UseDPDF=Y")</f>
        <v>—</v>
      </c>
      <c r="I83" s="13" t="str">
        <f>_xll.BDH("AMGN US Equity","ARDR_ALLOW_FOR_DOUBTFUL_ACCTS","FQ2 2020","FQ2 2020","Currency=USD","Period=FQ","BEST_FPERIOD_OVERRIDE=FQ","FILING_STATUS=MR","SCALING_FORMAT=MLN","Sort=A","Dates=H","DateFormat=P","Fill=—","Direction=H","UseDPDF=Y")</f>
        <v>—</v>
      </c>
      <c r="J83" s="13" t="str">
        <f>_xll.BDH("AMGN US Equity","ARDR_ALLOW_FOR_DOUBTFUL_ACCTS","FQ3 2020","FQ3 2020","Currency=USD","Period=FQ","BEST_FPERIOD_OVERRIDE=FQ","FILING_STATUS=MR","SCALING_FORMAT=MLN","Sort=A","Dates=H","DateFormat=P","Fill=—","Direction=H","UseDPDF=Y")</f>
        <v>—</v>
      </c>
      <c r="K83" s="13">
        <f>_xll.BDH("AMGN US Equity","ARDR_ALLOW_FOR_DOUBTFUL_ACCTS","FQ4 2020","FQ4 2020","Currency=USD","Period=FQ","BEST_FPERIOD_OVERRIDE=FQ","FILING_STATUS=MR","SCALING_FORMAT=MLN","Sort=A","Dates=H","DateFormat=P","Fill=—","Direction=H","UseDPDF=Y")</f>
        <v>32</v>
      </c>
      <c r="L83" s="13" t="str">
        <f>_xll.BDH("AMGN US Equity","ARDR_ALLOW_FOR_DOUBTFUL_ACCTS","FQ1 2021","FQ1 2021","Currency=USD","Period=FQ","BEST_FPERIOD_OVERRIDE=FQ","FILING_STATUS=MR","SCALING_FORMAT=MLN","Sort=A","Dates=H","DateFormat=P","Fill=—","Direction=H","UseDPDF=Y")</f>
        <v>—</v>
      </c>
      <c r="M83" s="13" t="str">
        <f>_xll.BDH("AMGN US Equity","ARDR_ALLOW_FOR_DOUBTFUL_ACCTS","FQ2 2021","FQ2 2021","Currency=USD","Period=FQ","BEST_FPERIOD_OVERRIDE=FQ","FILING_STATUS=MR","SCALING_FORMAT=MLN","Sort=A","Dates=H","DateFormat=P","Fill=—","Direction=H","UseDPDF=Y")</f>
        <v>—</v>
      </c>
      <c r="N83" s="13" t="str">
        <f>_xll.BDH("AMGN US Equity","ARDR_ALLOW_FOR_DOUBTFUL_ACCTS","FQ3 2021","FQ3 2021","Currency=USD","Period=FQ","BEST_FPERIOD_OVERRIDE=FQ","FILING_STATUS=MR","SCALING_FORMAT=MLN","Sort=A","Dates=H","DateFormat=P","Fill=—","Direction=H","UseDPDF=Y")</f>
        <v>—</v>
      </c>
      <c r="O83" s="13">
        <f>_xll.BDH("AMGN US Equity","ARDR_ALLOW_FOR_DOUBTFUL_ACCTS","FQ4 2021","FQ4 2021","Currency=USD","Period=FQ","BEST_FPERIOD_OVERRIDE=FQ","FILING_STATUS=MR","SCALING_FORMAT=MLN","Sort=A","Dates=H","DateFormat=P","Fill=—","Direction=H","UseDPDF=Y")</f>
        <v>26</v>
      </c>
      <c r="P83" s="13" t="str">
        <f>_xll.BDH("AMGN US Equity","ARDR_ALLOW_FOR_DOUBTFUL_ACCTS","FQ1 2022","FQ1 2022","Currency=USD","Period=FQ","BEST_FPERIOD_OVERRIDE=FQ","FILING_STATUS=MR","SCALING_FORMAT=MLN","Sort=A","Dates=H","DateFormat=P","Fill=—","Direction=H","UseDPDF=Y")</f>
        <v>—</v>
      </c>
      <c r="Q83" s="13" t="str">
        <f>_xll.BDH("AMGN US Equity","ARDR_ALLOW_FOR_DOUBTFUL_ACCTS","FQ2 2022","FQ2 2022","Currency=USD","Period=FQ","BEST_FPERIOD_OVERRIDE=FQ","FILING_STATUS=MR","SCALING_FORMAT=MLN","Sort=A","Dates=H","DateFormat=P","Fill=—","Direction=H","UseDPDF=Y")</f>
        <v>—</v>
      </c>
      <c r="R83" s="13" t="str">
        <f>_xll.BDH("AMGN US Equity","ARDR_ALLOW_FOR_DOUBTFUL_ACCTS","FQ3 2022","FQ3 2022","Currency=USD","Period=FQ","BEST_FPERIOD_OVERRIDE=FQ","FILING_STATUS=MR","SCALING_FORMAT=MLN","Sort=A","Dates=H","DateFormat=P","Fill=—","Direction=H","UseDPDF=Y")</f>
        <v>—</v>
      </c>
      <c r="S83" s="13">
        <f>_xll.BDH("AMGN US Equity","ARDR_ALLOW_FOR_DOUBTFUL_ACCTS","FQ4 2022","FQ4 2022","Currency=USD","Period=FQ","BEST_FPERIOD_OVERRIDE=FQ","FILING_STATUS=MR","SCALING_FORMAT=MLN","Sort=A","Dates=H","DateFormat=P","Fill=—","Direction=H","UseDPDF=Y")</f>
        <v>22</v>
      </c>
      <c r="T83" s="13" t="str">
        <f>_xll.BDH("AMGN US Equity","ARDR_ALLOW_FOR_DOUBTFUL_ACCTS","FQ1 2023","FQ1 2023","Currency=USD","Period=FQ","BEST_FPERIOD_OVERRIDE=FQ","FILING_STATUS=MR","SCALING_FORMAT=MLN","Sort=A","Dates=H","DateFormat=P","Fill=—","Direction=H","UseDPDF=Y")</f>
        <v>—</v>
      </c>
      <c r="U83" s="13" t="str">
        <f>_xll.BDH("AMGN US Equity","ARDR_ALLOW_FOR_DOUBTFUL_ACCTS","FQ2 2023","FQ2 2023","Currency=USD","Period=FQ","BEST_FPERIOD_OVERRIDE=FQ","FILING_STATUS=MR","SCALING_FORMAT=MLN","Sort=A","Dates=H","DateFormat=P","Fill=—","Direction=H","UseDPDF=Y")</f>
        <v>—</v>
      </c>
      <c r="V83" s="13" t="str">
        <f>_xll.BDH("AMGN US Equity","ARDR_ALLOW_FOR_DOUBTFUL_ACCTS","FQ3 2023","FQ3 2023","Currency=USD","Period=FQ","BEST_FPERIOD_OVERRIDE=FQ","FILING_STATUS=MR","SCALING_FORMAT=MLN","Sort=A","Dates=H","DateFormat=P","Fill=—","Direction=H","UseDPDF=Y")</f>
        <v>—</v>
      </c>
      <c r="W83" s="13">
        <f>_xll.BDH("AMGN US Equity","ARDR_ALLOW_FOR_DOUBTFUL_ACCTS","FQ4 2023","FQ4 2023","Currency=USD","Period=FQ","BEST_FPERIOD_OVERRIDE=FQ","FILING_STATUS=MR","SCALING_FORMAT=MLN","Sort=A","Dates=H","DateFormat=P","Fill=—","Direction=H","UseDPDF=Y")</f>
        <v>28</v>
      </c>
      <c r="X83" s="13" t="str">
        <f>_xll.BDH("AMGN US Equity","ARDR_ALLOW_FOR_DOUBTFUL_ACCTS","FQ1 2024","FQ1 2024","Currency=USD","Period=FQ","BEST_FPERIOD_OVERRIDE=FQ","FILING_STATUS=MR","SCALING_FORMAT=MLN","Sort=A","Dates=H","DateFormat=P","Fill=—","Direction=H","UseDPDF=Y")</f>
        <v>—</v>
      </c>
      <c r="Y83" s="13" t="str">
        <f>_xll.BDH("AMGN US Equity","ARDR_ALLOW_FOR_DOUBTFUL_ACCTS","FQ2 2024","FQ2 2024","Currency=USD","Period=FQ","BEST_FPERIOD_OVERRIDE=FQ","FILING_STATUS=MR","SCALING_FORMAT=MLN","Sort=A","Dates=H","DateFormat=P","Fill=—","Direction=H","UseDPDF=Y")</f>
        <v>—</v>
      </c>
      <c r="Z83" s="13" t="str">
        <f>_xll.BDH("AMGN US Equity","ARDR_ALLOW_FOR_DOUBTFUL_ACCTS","FQ3 2024","FQ3 2024","Currency=USD","Period=FQ","BEST_FPERIOD_OVERRIDE=FQ","FILING_STATUS=MR","SCALING_FORMAT=MLN","Sort=A","Dates=H","DateFormat=P","Fill=—","Direction=H","UseDPDF=Y")</f>
        <v>—</v>
      </c>
      <c r="AA83" s="13">
        <f>_xll.BDH("AMGN US Equity","ARDR_ALLOW_FOR_DOUBTFUL_ACCTS","FQ4 2024","FQ4 2024","Currency=USD","Period=FQ","BEST_FPERIOD_OVERRIDE=FQ","FILING_STATUS=MR","SCALING_FORMAT=MLN","Sort=A","Dates=H","DateFormat=P","Fill=—","Direction=H","UseDPDF=Y")</f>
        <v>38</v>
      </c>
    </row>
    <row r="84" spans="1:27" x14ac:dyDescent="0.25">
      <c r="A84" s="10" t="s">
        <v>911</v>
      </c>
      <c r="B84" s="10" t="s">
        <v>985</v>
      </c>
      <c r="C84" s="13">
        <f>_xll.BDH("AMGN US Equity","ARDR_TOTAL_SHAREHOLDERS_EQUITY","FQ4 2018","FQ4 2018","Currency=USD","Period=FQ","BEST_FPERIOD_OVERRIDE=FQ","FILING_STATUS=MR","SCALING_FORMAT=MLN","Sort=A","Dates=H","DateFormat=P","Fill=—","Direction=H","UseDPDF=Y")</f>
        <v>12500</v>
      </c>
      <c r="D84" s="13">
        <f>_xll.BDH("AMGN US Equity","ARDR_TOTAL_SHAREHOLDERS_EQUITY","FQ1 2019","FQ1 2019","Currency=USD","Period=FQ","BEST_FPERIOD_OVERRIDE=FQ","FILING_STATUS=MR","SCALING_FORMAT=MLN","Sort=A","Dates=H","DateFormat=P","Fill=—","Direction=H","UseDPDF=Y")</f>
        <v>10832</v>
      </c>
      <c r="E84" s="13">
        <f>_xll.BDH("AMGN US Equity","ARDR_TOTAL_SHAREHOLDERS_EQUITY","FQ2 2019","FQ2 2019","Currency=USD","Period=FQ","BEST_FPERIOD_OVERRIDE=FQ","FILING_STATUS=MR","SCALING_FORMAT=MLN","Sort=A","Dates=H","DateFormat=P","Fill=—","Direction=H","UseDPDF=Y")</f>
        <v>10794</v>
      </c>
      <c r="F84" s="13">
        <f>_xll.BDH("AMGN US Equity","ARDR_TOTAL_SHAREHOLDERS_EQUITY","FQ3 2019","FQ3 2019","Currency=USD","Period=FQ","BEST_FPERIOD_OVERRIDE=FQ","FILING_STATUS=MR","SCALING_FORMAT=MLN","Sort=A","Dates=H","DateFormat=P","Fill=—","Direction=H","UseDPDF=Y")</f>
        <v>10927</v>
      </c>
      <c r="G84" s="13">
        <f>_xll.BDH("AMGN US Equity","ARDR_TOTAL_SHAREHOLDERS_EQUITY","FQ4 2019","FQ4 2019","Currency=USD","Period=FQ","BEST_FPERIOD_OVERRIDE=FQ","FILING_STATUS=MR","SCALING_FORMAT=MLN","Sort=A","Dates=H","DateFormat=P","Fill=—","Direction=H","UseDPDF=Y")</f>
        <v>9673</v>
      </c>
      <c r="H84" s="13">
        <f>_xll.BDH("AMGN US Equity","ARDR_TOTAL_SHAREHOLDERS_EQUITY","FQ1 2020","FQ1 2020","Currency=USD","Period=FQ","BEST_FPERIOD_OVERRIDE=FQ","FILING_STATUS=MR","SCALING_FORMAT=MLN","Sort=A","Dates=H","DateFormat=P","Fill=—","Direction=H","UseDPDF=Y")</f>
        <v>9485</v>
      </c>
      <c r="I84" s="13">
        <f>_xll.BDH("AMGN US Equity","ARDR_TOTAL_SHAREHOLDERS_EQUITY","FQ2 2020","FQ2 2020","Currency=USD","Period=FQ","BEST_FPERIOD_OVERRIDE=FQ","FILING_STATUS=MR","SCALING_FORMAT=MLN","Sort=A","Dates=H","DateFormat=P","Fill=—","Direction=H","UseDPDF=Y")</f>
        <v>10659</v>
      </c>
      <c r="J84" s="13">
        <f>_xll.BDH("AMGN US Equity","ARDR_TOTAL_SHAREHOLDERS_EQUITY","FQ3 2020","FQ3 2020","Currency=USD","Period=FQ","BEST_FPERIOD_OVERRIDE=FQ","FILING_STATUS=MR","SCALING_FORMAT=MLN","Sort=A","Dates=H","DateFormat=P","Fill=—","Direction=H","UseDPDF=Y")</f>
        <v>10959</v>
      </c>
      <c r="K84" s="13">
        <f>_xll.BDH("AMGN US Equity","ARDR_TOTAL_SHAREHOLDERS_EQUITY","FQ4 2020","FQ4 2020","Currency=USD","Period=FQ","BEST_FPERIOD_OVERRIDE=FQ","FILING_STATUS=MR","SCALING_FORMAT=MLN","Sort=A","Dates=H","DateFormat=P","Fill=—","Direction=H","UseDPDF=Y")</f>
        <v>9409</v>
      </c>
      <c r="L84" s="13">
        <f>_xll.BDH("AMGN US Equity","ARDR_TOTAL_SHAREHOLDERS_EQUITY","FQ1 2021","FQ1 2021","Currency=USD","Period=FQ","BEST_FPERIOD_OVERRIDE=FQ","FILING_STATUS=MR","SCALING_FORMAT=MLN","Sort=A","Dates=H","DateFormat=P","Fill=—","Direction=H","UseDPDF=Y")</f>
        <v>9334</v>
      </c>
      <c r="M84" s="13">
        <f>_xll.BDH("AMGN US Equity","ARDR_TOTAL_SHAREHOLDERS_EQUITY","FQ2 2021","FQ2 2021","Currency=USD","Period=FQ","BEST_FPERIOD_OVERRIDE=FQ","FILING_STATUS=MR","SCALING_FORMAT=MLN","Sort=A","Dates=H","DateFormat=P","Fill=—","Direction=H","UseDPDF=Y")</f>
        <v>8247</v>
      </c>
      <c r="N84" s="13">
        <f>_xll.BDH("AMGN US Equity","ARDR_TOTAL_SHAREHOLDERS_EQUITY","FQ3 2021","FQ3 2021","Currency=USD","Period=FQ","BEST_FPERIOD_OVERRIDE=FQ","FILING_STATUS=MR","SCALING_FORMAT=MLN","Sort=A","Dates=H","DateFormat=P","Fill=—","Direction=H","UseDPDF=Y")</f>
        <v>8217</v>
      </c>
      <c r="O84" s="13">
        <f>_xll.BDH("AMGN US Equity","ARDR_TOTAL_SHAREHOLDERS_EQUITY","FQ4 2021","FQ4 2021","Currency=USD","Period=FQ","BEST_FPERIOD_OVERRIDE=FQ","FILING_STATUS=MR","SCALING_FORMAT=MLN","Sort=A","Dates=H","DateFormat=P","Fill=—","Direction=H","UseDPDF=Y")</f>
        <v>6700</v>
      </c>
      <c r="P84" s="13">
        <f>_xll.BDH("AMGN US Equity","ARDR_TOTAL_SHAREHOLDERS_EQUITY","FQ1 2022","FQ1 2022","Currency=USD","Period=FQ","BEST_FPERIOD_OVERRIDE=FQ","FILING_STATUS=MR","SCALING_FORMAT=MLN","Sort=A","Dates=H","DateFormat=P","Fill=—","Direction=H","UseDPDF=Y")</f>
        <v>916</v>
      </c>
      <c r="Q84" s="13">
        <f>_xll.BDH("AMGN US Equity","ARDR_TOTAL_SHAREHOLDERS_EQUITY","FQ2 2022","FQ2 2022","Currency=USD","Period=FQ","BEST_FPERIOD_OVERRIDE=FQ","FILING_STATUS=MR","SCALING_FORMAT=MLN","Sort=A","Dates=H","DateFormat=P","Fill=—","Direction=H","UseDPDF=Y")</f>
        <v>2419</v>
      </c>
      <c r="R84" s="13">
        <f>_xll.BDH("AMGN US Equity","ARDR_TOTAL_SHAREHOLDERS_EQUITY","FQ3 2022","FQ3 2022","Currency=USD","Period=FQ","BEST_FPERIOD_OVERRIDE=FQ","FILING_STATUS=MR","SCALING_FORMAT=MLN","Sort=A","Dates=H","DateFormat=P","Fill=—","Direction=H","UseDPDF=Y")</f>
        <v>3653</v>
      </c>
      <c r="S84" s="13">
        <f>_xll.BDH("AMGN US Equity","ARDR_TOTAL_SHAREHOLDERS_EQUITY","FQ4 2022","FQ4 2022","Currency=USD","Period=FQ","BEST_FPERIOD_OVERRIDE=FQ","FILING_STATUS=MR","SCALING_FORMAT=MLN","Sort=A","Dates=H","DateFormat=P","Fill=—","Direction=H","UseDPDF=Y")</f>
        <v>3661</v>
      </c>
      <c r="T84" s="13">
        <f>_xll.BDH("AMGN US Equity","ARDR_TOTAL_SHAREHOLDERS_EQUITY","FQ1 2023","FQ1 2023","Currency=USD","Period=FQ","BEST_FPERIOD_OVERRIDE=FQ","FILING_STATUS=MR","SCALING_FORMAT=MLN","Sort=A","Dates=H","DateFormat=P","Fill=—","Direction=H","UseDPDF=Y")</f>
        <v>5348</v>
      </c>
      <c r="U84" s="13">
        <f>_xll.BDH("AMGN US Equity","ARDR_TOTAL_SHAREHOLDERS_EQUITY","FQ2 2023","FQ2 2023","Currency=USD","Period=FQ","BEST_FPERIOD_OVERRIDE=FQ","FILING_STATUS=MR","SCALING_FORMAT=MLN","Sort=A","Dates=H","DateFormat=P","Fill=—","Direction=H","UseDPDF=Y")</f>
        <v>6781</v>
      </c>
      <c r="V84" s="13">
        <f>_xll.BDH("AMGN US Equity","ARDR_TOTAL_SHAREHOLDERS_EQUITY","FQ3 2023","FQ3 2023","Currency=USD","Period=FQ","BEST_FPERIOD_OVERRIDE=FQ","FILING_STATUS=MR","SCALING_FORMAT=MLN","Sort=A","Dates=H","DateFormat=P","Fill=—","Direction=H","UseDPDF=Y")</f>
        <v>7656</v>
      </c>
      <c r="W84" s="13">
        <f>_xll.BDH("AMGN US Equity","ARDR_TOTAL_SHAREHOLDERS_EQUITY","FQ4 2023","FQ4 2023","Currency=USD","Period=FQ","BEST_FPERIOD_OVERRIDE=FQ","FILING_STATUS=MR","SCALING_FORMAT=MLN","Sort=A","Dates=H","DateFormat=P","Fill=—","Direction=H","UseDPDF=Y")</f>
        <v>6232</v>
      </c>
      <c r="X84" s="13">
        <f>_xll.BDH("AMGN US Equity","ARDR_TOTAL_SHAREHOLDERS_EQUITY","FQ1 2024","FQ1 2024","Currency=USD","Period=FQ","BEST_FPERIOD_OVERRIDE=FQ","FILING_STATUS=MR","SCALING_FORMAT=MLN","Sort=A","Dates=H","DateFormat=P","Fill=—","Direction=H","UseDPDF=Y")</f>
        <v>5022</v>
      </c>
      <c r="Y84" s="13">
        <f>_xll.BDH("AMGN US Equity","ARDR_TOTAL_SHAREHOLDERS_EQUITY","FQ2 2024","FQ2 2024","Currency=USD","Period=FQ","BEST_FPERIOD_OVERRIDE=FQ","FILING_STATUS=MR","SCALING_FORMAT=MLN","Sort=A","Dates=H","DateFormat=P","Fill=—","Direction=H","UseDPDF=Y")</f>
        <v>5925</v>
      </c>
      <c r="Z84" s="13">
        <f>_xll.BDH("AMGN US Equity","ARDR_TOTAL_SHAREHOLDERS_EQUITY","FQ3 2024","FQ3 2024","Currency=USD","Period=FQ","BEST_FPERIOD_OVERRIDE=FQ","FILING_STATUS=MR","SCALING_FORMAT=MLN","Sort=A","Dates=H","DateFormat=P","Fill=—","Direction=H","UseDPDF=Y")</f>
        <v>7527</v>
      </c>
      <c r="AA84" s="13">
        <f>_xll.BDH("AMGN US Equity","ARDR_TOTAL_SHAREHOLDERS_EQUITY","FQ4 2024","FQ4 2024","Currency=USD","Period=FQ","BEST_FPERIOD_OVERRIDE=FQ","FILING_STATUS=MR","SCALING_FORMAT=MLN","Sort=A","Dates=H","DateFormat=P","Fill=—","Direction=H","UseDPDF=Y")</f>
        <v>5877</v>
      </c>
    </row>
    <row r="85" spans="1:27" x14ac:dyDescent="0.25">
      <c r="A85" s="10" t="s">
        <v>986</v>
      </c>
      <c r="B85" s="10" t="s">
        <v>987</v>
      </c>
      <c r="C85" s="13">
        <f>_xll.BDH("AMGN US Equity","ARDR_CAPITALIZED_SOFTWARE_GROSS","FQ4 2018","FQ4 2018","Currency=USD","Period=FQ","BEST_FPERIOD_OVERRIDE=FQ","FILING_STATUS=MR","SCALING_FORMAT=MLN","Sort=A","Dates=H","DateFormat=P","Fill=—","Direction=H","UseDPDF=Y")</f>
        <v>1124</v>
      </c>
      <c r="D85" s="13" t="str">
        <f>_xll.BDH("AMGN US Equity","ARDR_CAPITALIZED_SOFTWARE_GROSS","FQ1 2019","FQ1 2019","Currency=USD","Period=FQ","BEST_FPERIOD_OVERRIDE=FQ","FILING_STATUS=MR","SCALING_FORMAT=MLN","Sort=A","Dates=H","DateFormat=P","Fill=—","Direction=H","UseDPDF=Y")</f>
        <v>—</v>
      </c>
      <c r="E85" s="13" t="str">
        <f>_xll.BDH("AMGN US Equity","ARDR_CAPITALIZED_SOFTWARE_GROSS","FQ2 2019","FQ2 2019","Currency=USD","Period=FQ","BEST_FPERIOD_OVERRIDE=FQ","FILING_STATUS=MR","SCALING_FORMAT=MLN","Sort=A","Dates=H","DateFormat=P","Fill=—","Direction=H","UseDPDF=Y")</f>
        <v>—</v>
      </c>
      <c r="F85" s="13" t="str">
        <f>_xll.BDH("AMGN US Equity","ARDR_CAPITALIZED_SOFTWARE_GROSS","FQ3 2019","FQ3 2019","Currency=USD","Period=FQ","BEST_FPERIOD_OVERRIDE=FQ","FILING_STATUS=MR","SCALING_FORMAT=MLN","Sort=A","Dates=H","DateFormat=P","Fill=—","Direction=H","UseDPDF=Y")</f>
        <v>—</v>
      </c>
      <c r="G85" s="13">
        <f>_xll.BDH("AMGN US Equity","ARDR_CAPITALIZED_SOFTWARE_GROSS","FQ4 2019","FQ4 2019","Currency=USD","Period=FQ","BEST_FPERIOD_OVERRIDE=FQ","FILING_STATUS=MR","SCALING_FORMAT=MLN","Sort=A","Dates=H","DateFormat=P","Fill=—","Direction=H","UseDPDF=Y")</f>
        <v>1154</v>
      </c>
      <c r="H85" s="13" t="str">
        <f>_xll.BDH("AMGN US Equity","ARDR_CAPITALIZED_SOFTWARE_GROSS","FQ1 2020","FQ1 2020","Currency=USD","Period=FQ","BEST_FPERIOD_OVERRIDE=FQ","FILING_STATUS=MR","SCALING_FORMAT=MLN","Sort=A","Dates=H","DateFormat=P","Fill=—","Direction=H","UseDPDF=Y")</f>
        <v>—</v>
      </c>
      <c r="I85" s="13" t="str">
        <f>_xll.BDH("AMGN US Equity","ARDR_CAPITALIZED_SOFTWARE_GROSS","FQ2 2020","FQ2 2020","Currency=USD","Period=FQ","BEST_FPERIOD_OVERRIDE=FQ","FILING_STATUS=MR","SCALING_FORMAT=MLN","Sort=A","Dates=H","DateFormat=P","Fill=—","Direction=H","UseDPDF=Y")</f>
        <v>—</v>
      </c>
      <c r="J85" s="13" t="str">
        <f>_xll.BDH("AMGN US Equity","ARDR_CAPITALIZED_SOFTWARE_GROSS","FQ3 2020","FQ3 2020","Currency=USD","Period=FQ","BEST_FPERIOD_OVERRIDE=FQ","FILING_STATUS=MR","SCALING_FORMAT=MLN","Sort=A","Dates=H","DateFormat=P","Fill=—","Direction=H","UseDPDF=Y")</f>
        <v>—</v>
      </c>
      <c r="K85" s="13">
        <f>_xll.BDH("AMGN US Equity","ARDR_CAPITALIZED_SOFTWARE_GROSS","FQ4 2020","FQ4 2020","Currency=USD","Period=FQ","BEST_FPERIOD_OVERRIDE=FQ","FILING_STATUS=MR","SCALING_FORMAT=MLN","Sort=A","Dates=H","DateFormat=P","Fill=—","Direction=H","UseDPDF=Y")</f>
        <v>1216</v>
      </c>
      <c r="L85" s="13" t="str">
        <f>_xll.BDH("AMGN US Equity","ARDR_CAPITALIZED_SOFTWARE_GROSS","FQ1 2021","FQ1 2021","Currency=USD","Period=FQ","BEST_FPERIOD_OVERRIDE=FQ","FILING_STATUS=MR","SCALING_FORMAT=MLN","Sort=A","Dates=H","DateFormat=P","Fill=—","Direction=H","UseDPDF=Y")</f>
        <v>—</v>
      </c>
      <c r="M85" s="13" t="str">
        <f>_xll.BDH("AMGN US Equity","ARDR_CAPITALIZED_SOFTWARE_GROSS","FQ2 2021","FQ2 2021","Currency=USD","Period=FQ","BEST_FPERIOD_OVERRIDE=FQ","FILING_STATUS=MR","SCALING_FORMAT=MLN","Sort=A","Dates=H","DateFormat=P","Fill=—","Direction=H","UseDPDF=Y")</f>
        <v>—</v>
      </c>
      <c r="N85" s="13" t="str">
        <f>_xll.BDH("AMGN US Equity","ARDR_CAPITALIZED_SOFTWARE_GROSS","FQ3 2021","FQ3 2021","Currency=USD","Period=FQ","BEST_FPERIOD_OVERRIDE=FQ","FILING_STATUS=MR","SCALING_FORMAT=MLN","Sort=A","Dates=H","DateFormat=P","Fill=—","Direction=H","UseDPDF=Y")</f>
        <v>—</v>
      </c>
      <c r="O85" s="13">
        <f>_xll.BDH("AMGN US Equity","ARDR_CAPITALIZED_SOFTWARE_GROSS","FQ4 2021","FQ4 2021","Currency=USD","Period=FQ","BEST_FPERIOD_OVERRIDE=FQ","FILING_STATUS=MR","SCALING_FORMAT=MLN","Sort=A","Dates=H","DateFormat=P","Fill=—","Direction=H","UseDPDF=Y")</f>
        <v>1151</v>
      </c>
      <c r="P85" s="13" t="str">
        <f>_xll.BDH("AMGN US Equity","ARDR_CAPITALIZED_SOFTWARE_GROSS","FQ1 2022","FQ1 2022","Currency=USD","Period=FQ","BEST_FPERIOD_OVERRIDE=FQ","FILING_STATUS=MR","SCALING_FORMAT=MLN","Sort=A","Dates=H","DateFormat=P","Fill=—","Direction=H","UseDPDF=Y")</f>
        <v>—</v>
      </c>
      <c r="Q85" s="13" t="str">
        <f>_xll.BDH("AMGN US Equity","ARDR_CAPITALIZED_SOFTWARE_GROSS","FQ2 2022","FQ2 2022","Currency=USD","Period=FQ","BEST_FPERIOD_OVERRIDE=FQ","FILING_STATUS=MR","SCALING_FORMAT=MLN","Sort=A","Dates=H","DateFormat=P","Fill=—","Direction=H","UseDPDF=Y")</f>
        <v>—</v>
      </c>
      <c r="R85" s="13" t="str">
        <f>_xll.BDH("AMGN US Equity","ARDR_CAPITALIZED_SOFTWARE_GROSS","FQ3 2022","FQ3 2022","Currency=USD","Period=FQ","BEST_FPERIOD_OVERRIDE=FQ","FILING_STATUS=MR","SCALING_FORMAT=MLN","Sort=A","Dates=H","DateFormat=P","Fill=—","Direction=H","UseDPDF=Y")</f>
        <v>—</v>
      </c>
      <c r="S85" s="13">
        <f>_xll.BDH("AMGN US Equity","ARDR_CAPITALIZED_SOFTWARE_GROSS","FQ4 2022","FQ4 2022","Currency=USD","Period=FQ","BEST_FPERIOD_OVERRIDE=FQ","FILING_STATUS=MR","SCALING_FORMAT=MLN","Sort=A","Dates=H","DateFormat=P","Fill=—","Direction=H","UseDPDF=Y")</f>
        <v>1215</v>
      </c>
      <c r="T85" s="13" t="str">
        <f>_xll.BDH("AMGN US Equity","ARDR_CAPITALIZED_SOFTWARE_GROSS","FQ1 2023","FQ1 2023","Currency=USD","Period=FQ","BEST_FPERIOD_OVERRIDE=FQ","FILING_STATUS=MR","SCALING_FORMAT=MLN","Sort=A","Dates=H","DateFormat=P","Fill=—","Direction=H","UseDPDF=Y")</f>
        <v>—</v>
      </c>
      <c r="U85" s="13" t="str">
        <f>_xll.BDH("AMGN US Equity","ARDR_CAPITALIZED_SOFTWARE_GROSS","FQ2 2023","FQ2 2023","Currency=USD","Period=FQ","BEST_FPERIOD_OVERRIDE=FQ","FILING_STATUS=MR","SCALING_FORMAT=MLN","Sort=A","Dates=H","DateFormat=P","Fill=—","Direction=H","UseDPDF=Y")</f>
        <v>—</v>
      </c>
      <c r="V85" s="13" t="str">
        <f>_xll.BDH("AMGN US Equity","ARDR_CAPITALIZED_SOFTWARE_GROSS","FQ3 2023","FQ3 2023","Currency=USD","Period=FQ","BEST_FPERIOD_OVERRIDE=FQ","FILING_STATUS=MR","SCALING_FORMAT=MLN","Sort=A","Dates=H","DateFormat=P","Fill=—","Direction=H","UseDPDF=Y")</f>
        <v>—</v>
      </c>
      <c r="W85" s="13">
        <f>_xll.BDH("AMGN US Equity","ARDR_CAPITALIZED_SOFTWARE_GROSS","FQ4 2023","FQ4 2023","Currency=USD","Period=FQ","BEST_FPERIOD_OVERRIDE=FQ","FILING_STATUS=MR","SCALING_FORMAT=MLN","Sort=A","Dates=H","DateFormat=P","Fill=—","Direction=H","UseDPDF=Y")</f>
        <v>1320</v>
      </c>
      <c r="X85" s="13" t="str">
        <f>_xll.BDH("AMGN US Equity","ARDR_CAPITALIZED_SOFTWARE_GROSS","FQ1 2024","FQ1 2024","Currency=USD","Period=FQ","BEST_FPERIOD_OVERRIDE=FQ","FILING_STATUS=MR","SCALING_FORMAT=MLN","Sort=A","Dates=H","DateFormat=P","Fill=—","Direction=H","UseDPDF=Y")</f>
        <v>—</v>
      </c>
      <c r="Y85" s="13" t="str">
        <f>_xll.BDH("AMGN US Equity","ARDR_CAPITALIZED_SOFTWARE_GROSS","FQ2 2024","FQ2 2024","Currency=USD","Period=FQ","BEST_FPERIOD_OVERRIDE=FQ","FILING_STATUS=MR","SCALING_FORMAT=MLN","Sort=A","Dates=H","DateFormat=P","Fill=—","Direction=H","UseDPDF=Y")</f>
        <v>—</v>
      </c>
      <c r="Z85" s="13" t="str">
        <f>_xll.BDH("AMGN US Equity","ARDR_CAPITALIZED_SOFTWARE_GROSS","FQ3 2024","FQ3 2024","Currency=USD","Period=FQ","BEST_FPERIOD_OVERRIDE=FQ","FILING_STATUS=MR","SCALING_FORMAT=MLN","Sort=A","Dates=H","DateFormat=P","Fill=—","Direction=H","UseDPDF=Y")</f>
        <v>—</v>
      </c>
      <c r="AA85" s="13">
        <f>_xll.BDH("AMGN US Equity","ARDR_CAPITALIZED_SOFTWARE_GROSS","FQ4 2024","FQ4 2024","Currency=USD","Period=FQ","BEST_FPERIOD_OVERRIDE=FQ","FILING_STATUS=MR","SCALING_FORMAT=MLN","Sort=A","Dates=H","DateFormat=P","Fill=—","Direction=H","UseDPDF=Y")</f>
        <v>1442</v>
      </c>
    </row>
    <row r="86" spans="1:27" x14ac:dyDescent="0.25">
      <c r="A86" s="10" t="s">
        <v>988</v>
      </c>
      <c r="B86" s="10" t="s">
        <v>989</v>
      </c>
      <c r="C86" s="13">
        <f>_xll.BDH("AMGN US Equity","ARDR_DERIVATIVE_ASSET_ST","FQ4 2018","FQ4 2018","Currency=USD","Period=FQ","BEST_FPERIOD_OVERRIDE=FQ","FILING_STATUS=MR","SCALING_FORMAT=MLN","Sort=A","Dates=H","DateFormat=P","Fill=—","Direction=H","UseDPDF=Y")</f>
        <v>408</v>
      </c>
      <c r="D86" s="13">
        <f>_xll.BDH("AMGN US Equity","ARDR_DERIVATIVE_ASSET_ST","FQ1 2019","FQ1 2019","Currency=USD","Period=FQ","BEST_FPERIOD_OVERRIDE=FQ","FILING_STATUS=MR","SCALING_FORMAT=MLN","Sort=A","Dates=H","DateFormat=P","Fill=—","Direction=H","UseDPDF=Y")</f>
        <v>475</v>
      </c>
      <c r="E86" s="13">
        <f>_xll.BDH("AMGN US Equity","ARDR_DERIVATIVE_ASSET_ST","FQ2 2019","FQ2 2019","Currency=USD","Period=FQ","BEST_FPERIOD_OVERRIDE=FQ","FILING_STATUS=MR","SCALING_FORMAT=MLN","Sort=A","Dates=H","DateFormat=P","Fill=—","Direction=H","UseDPDF=Y")</f>
        <v>613</v>
      </c>
      <c r="F86" s="13">
        <f>_xll.BDH("AMGN US Equity","ARDR_DERIVATIVE_ASSET_ST","FQ3 2019","FQ3 2019","Currency=USD","Period=FQ","BEST_FPERIOD_OVERRIDE=FQ","FILING_STATUS=MR","SCALING_FORMAT=MLN","Sort=A","Dates=H","DateFormat=P","Fill=—","Direction=H","UseDPDF=Y")</f>
        <v>705</v>
      </c>
      <c r="G86" s="13">
        <f>_xll.BDH("AMGN US Equity","ARDR_DERIVATIVE_ASSET_ST","FQ4 2019","FQ4 2019","Currency=USD","Period=FQ","BEST_FPERIOD_OVERRIDE=FQ","FILING_STATUS=MR","SCALING_FORMAT=MLN","Sort=A","Dates=H","DateFormat=P","Fill=—","Direction=H","UseDPDF=Y")</f>
        <v>549</v>
      </c>
      <c r="H86" s="13">
        <f>_xll.BDH("AMGN US Equity","ARDR_DERIVATIVE_ASSET_ST","FQ1 2020","FQ1 2020","Currency=USD","Period=FQ","BEST_FPERIOD_OVERRIDE=FQ","FILING_STATUS=MR","SCALING_FORMAT=MLN","Sort=A","Dates=H","DateFormat=P","Fill=—","Direction=H","UseDPDF=Y")</f>
        <v>474</v>
      </c>
      <c r="I86" s="13">
        <f>_xll.BDH("AMGN US Equity","ARDR_DERIVATIVE_ASSET_ST","FQ2 2020","FQ2 2020","Currency=USD","Period=FQ","BEST_FPERIOD_OVERRIDE=FQ","FILING_STATUS=MR","SCALING_FORMAT=MLN","Sort=A","Dates=H","DateFormat=P","Fill=—","Direction=H","UseDPDF=Y")</f>
        <v>384</v>
      </c>
      <c r="J86" s="13">
        <f>_xll.BDH("AMGN US Equity","ARDR_DERIVATIVE_ASSET_ST","FQ3 2020","FQ3 2020","Currency=USD","Period=FQ","BEST_FPERIOD_OVERRIDE=FQ","FILING_STATUS=MR","SCALING_FORMAT=MLN","Sort=A","Dates=H","DateFormat=P","Fill=—","Direction=H","UseDPDF=Y")</f>
        <v>344</v>
      </c>
      <c r="K86" s="13">
        <f>_xll.BDH("AMGN US Equity","ARDR_DERIVATIVE_ASSET_ST","FQ4 2020","FQ4 2020","Currency=USD","Period=FQ","BEST_FPERIOD_OVERRIDE=FQ","FILING_STATUS=MR","SCALING_FORMAT=MLN","Sort=A","Dates=H","DateFormat=P","Fill=—","Direction=H","UseDPDF=Y")</f>
        <v>349</v>
      </c>
      <c r="L86" s="13">
        <f>_xll.BDH("AMGN US Equity","ARDR_DERIVATIVE_ASSET_ST","FQ1 2021","FQ1 2021","Currency=USD","Period=FQ","BEST_FPERIOD_OVERRIDE=FQ","FILING_STATUS=MR","SCALING_FORMAT=MLN","Sort=A","Dates=H","DateFormat=P","Fill=—","Direction=H","UseDPDF=Y")</f>
        <v>265</v>
      </c>
      <c r="M86" s="13">
        <f>_xll.BDH("AMGN US Equity","ARDR_DERIVATIVE_ASSET_ST","FQ2 2021","FQ2 2021","Currency=USD","Period=FQ","BEST_FPERIOD_OVERRIDE=FQ","FILING_STATUS=MR","SCALING_FORMAT=MLN","Sort=A","Dates=H","DateFormat=P","Fill=—","Direction=H","UseDPDF=Y")</f>
        <v>289</v>
      </c>
      <c r="N86" s="13">
        <f>_xll.BDH("AMGN US Equity","ARDR_DERIVATIVE_ASSET_ST","FQ3 2021","FQ3 2021","Currency=USD","Period=FQ","BEST_FPERIOD_OVERRIDE=FQ","FILING_STATUS=MR","SCALING_FORMAT=MLN","Sort=A","Dates=H","DateFormat=P","Fill=—","Direction=H","UseDPDF=Y")</f>
        <v>275</v>
      </c>
      <c r="O86" s="13">
        <f>_xll.BDH("AMGN US Equity","ARDR_DERIVATIVE_ASSET_ST","FQ4 2021","FQ4 2021","Currency=USD","Period=FQ","BEST_FPERIOD_OVERRIDE=FQ","FILING_STATUS=MR","SCALING_FORMAT=MLN","Sort=A","Dates=H","DateFormat=P","Fill=—","Direction=H","UseDPDF=Y")</f>
        <v>265</v>
      </c>
      <c r="P86" s="13">
        <f>_xll.BDH("AMGN US Equity","ARDR_DERIVATIVE_ASSET_ST","FQ1 2022","FQ1 2022","Currency=USD","Period=FQ","BEST_FPERIOD_OVERRIDE=FQ","FILING_STATUS=MR","SCALING_FORMAT=MLN","Sort=A","Dates=H","DateFormat=P","Fill=—","Direction=H","UseDPDF=Y")</f>
        <v>300</v>
      </c>
      <c r="Q86" s="13">
        <f>_xll.BDH("AMGN US Equity","ARDR_DERIVATIVE_ASSET_ST","FQ2 2022","FQ2 2022","Currency=USD","Period=FQ","BEST_FPERIOD_OVERRIDE=FQ","FILING_STATUS=MR","SCALING_FORMAT=MLN","Sort=A","Dates=H","DateFormat=P","Fill=—","Direction=H","UseDPDF=Y")</f>
        <v>442</v>
      </c>
      <c r="R86" s="13">
        <f>_xll.BDH("AMGN US Equity","ARDR_DERIVATIVE_ASSET_ST","FQ3 2022","FQ3 2022","Currency=USD","Period=FQ","BEST_FPERIOD_OVERRIDE=FQ","FILING_STATUS=MR","SCALING_FORMAT=MLN","Sort=A","Dates=H","DateFormat=P","Fill=—","Direction=H","UseDPDF=Y")</f>
        <v>645</v>
      </c>
      <c r="S86" s="13">
        <f>_xll.BDH("AMGN US Equity","ARDR_DERIVATIVE_ASSET_ST","FQ4 2022","FQ4 2022","Currency=USD","Period=FQ","BEST_FPERIOD_OVERRIDE=FQ","FILING_STATUS=MR","SCALING_FORMAT=MLN","Sort=A","Dates=H","DateFormat=P","Fill=—","Direction=H","UseDPDF=Y")</f>
        <v>341</v>
      </c>
      <c r="T86" s="13">
        <f>_xll.BDH("AMGN US Equity","ARDR_DERIVATIVE_ASSET_ST","FQ1 2023","FQ1 2023","Currency=USD","Period=FQ","BEST_FPERIOD_OVERRIDE=FQ","FILING_STATUS=MR","SCALING_FORMAT=MLN","Sort=A","Dates=H","DateFormat=P","Fill=—","Direction=H","UseDPDF=Y")</f>
        <v>252</v>
      </c>
      <c r="U86" s="13">
        <f>_xll.BDH("AMGN US Equity","ARDR_DERIVATIVE_ASSET_ST","FQ2 2023","FQ2 2023","Currency=USD","Period=FQ","BEST_FPERIOD_OVERRIDE=FQ","FILING_STATUS=MR","SCALING_FORMAT=MLN","Sort=A","Dates=H","DateFormat=P","Fill=—","Direction=H","UseDPDF=Y")</f>
        <v>251</v>
      </c>
      <c r="V86" s="13">
        <f>_xll.BDH("AMGN US Equity","ARDR_DERIVATIVE_ASSET_ST","FQ3 2023","FQ3 2023","Currency=USD","Period=FQ","BEST_FPERIOD_OVERRIDE=FQ","FILING_STATUS=MR","SCALING_FORMAT=MLN","Sort=A","Dates=H","DateFormat=P","Fill=—","Direction=H","UseDPDF=Y")</f>
        <v>347</v>
      </c>
      <c r="W86" s="13">
        <f>_xll.BDH("AMGN US Equity","ARDR_DERIVATIVE_ASSET_ST","FQ4 2023","FQ4 2023","Currency=USD","Period=FQ","BEST_FPERIOD_OVERRIDE=FQ","FILING_STATUS=MR","SCALING_FORMAT=MLN","Sort=A","Dates=H","DateFormat=P","Fill=—","Direction=H","UseDPDF=Y")</f>
        <v>145</v>
      </c>
      <c r="X86" s="13">
        <f>_xll.BDH("AMGN US Equity","ARDR_DERIVATIVE_ASSET_ST","FQ1 2024","FQ1 2024","Currency=USD","Period=FQ","BEST_FPERIOD_OVERRIDE=FQ","FILING_STATUS=MR","SCALING_FORMAT=MLN","Sort=A","Dates=H","DateFormat=P","Fill=—","Direction=H","UseDPDF=Y")</f>
        <v>225</v>
      </c>
      <c r="Y86" s="13">
        <f>_xll.BDH("AMGN US Equity","ARDR_DERIVATIVE_ASSET_ST","FQ2 2024","FQ2 2024","Currency=USD","Period=FQ","BEST_FPERIOD_OVERRIDE=FQ","FILING_STATUS=MR","SCALING_FORMAT=MLN","Sort=A","Dates=H","DateFormat=P","Fill=—","Direction=H","UseDPDF=Y")</f>
        <v>270</v>
      </c>
      <c r="Z86" s="13">
        <f>_xll.BDH("AMGN US Equity","ARDR_DERIVATIVE_ASSET_ST","FQ3 2024","FQ3 2024","Currency=USD","Period=FQ","BEST_FPERIOD_OVERRIDE=FQ","FILING_STATUS=MR","SCALING_FORMAT=MLN","Sort=A","Dates=H","DateFormat=P","Fill=—","Direction=H","UseDPDF=Y")</f>
        <v>112</v>
      </c>
      <c r="AA86" s="13">
        <f>_xll.BDH("AMGN US Equity","ARDR_DERIVATIVE_ASSET_ST","FQ4 2024","FQ4 2024","Currency=USD","Period=FQ","BEST_FPERIOD_OVERRIDE=FQ","FILING_STATUS=MR","SCALING_FORMAT=MLN","Sort=A","Dates=H","DateFormat=P","Fill=—","Direction=H","UseDPDF=Y")</f>
        <v>420</v>
      </c>
    </row>
    <row r="87" spans="1:27" x14ac:dyDescent="0.25">
      <c r="A87" s="10" t="s">
        <v>990</v>
      </c>
      <c r="B87" s="10" t="s">
        <v>991</v>
      </c>
      <c r="C87" s="13">
        <f>_xll.BDH("AMGN US Equity","ARDR_COMMERCIAL_PAPER","FQ4 2018","FQ4 2018","Currency=USD","Period=FQ","BEST_FPERIOD_OVERRIDE=FQ","FILING_STATUS=MR","SCALING_FORMAT=MLN","Sort=A","Dates=H","DateFormat=P","Fill=—","Direction=H","UseDPDF=Y")</f>
        <v>0</v>
      </c>
      <c r="D87" s="13" t="str">
        <f>_xll.BDH("AMGN US Equity","ARDR_COMMERCIAL_PAPER","FQ1 2019","FQ1 2019","Currency=USD","Period=FQ","BEST_FPERIOD_OVERRIDE=FQ","FILING_STATUS=MR","SCALING_FORMAT=MLN","Sort=A","Dates=H","DateFormat=P","Fill=—","Direction=H","UseDPDF=Y")</f>
        <v>—</v>
      </c>
      <c r="E87" s="13" t="str">
        <f>_xll.BDH("AMGN US Equity","ARDR_COMMERCIAL_PAPER","FQ2 2019","FQ2 2019","Currency=USD","Period=FQ","BEST_FPERIOD_OVERRIDE=FQ","FILING_STATUS=MR","SCALING_FORMAT=MLN","Sort=A","Dates=H","DateFormat=P","Fill=—","Direction=H","UseDPDF=Y")</f>
        <v>—</v>
      </c>
      <c r="F87" s="13" t="str">
        <f>_xll.BDH("AMGN US Equity","ARDR_COMMERCIAL_PAPER","FQ3 2019","FQ3 2019","Currency=USD","Period=FQ","BEST_FPERIOD_OVERRIDE=FQ","FILING_STATUS=MR","SCALING_FORMAT=MLN","Sort=A","Dates=H","DateFormat=P","Fill=—","Direction=H","UseDPDF=Y")</f>
        <v>—</v>
      </c>
      <c r="G87" s="13">
        <f>_xll.BDH("AMGN US Equity","ARDR_COMMERCIAL_PAPER","FQ4 2019","FQ4 2019","Currency=USD","Period=FQ","BEST_FPERIOD_OVERRIDE=FQ","FILING_STATUS=MR","SCALING_FORMAT=MLN","Sort=A","Dates=H","DateFormat=P","Fill=—","Direction=H","UseDPDF=Y")</f>
        <v>0</v>
      </c>
      <c r="H87" s="13" t="str">
        <f>_xll.BDH("AMGN US Equity","ARDR_COMMERCIAL_PAPER","FQ1 2020","FQ1 2020","Currency=USD","Period=FQ","BEST_FPERIOD_OVERRIDE=FQ","FILING_STATUS=MR","SCALING_FORMAT=MLN","Sort=A","Dates=H","DateFormat=P","Fill=—","Direction=H","UseDPDF=Y")</f>
        <v>—</v>
      </c>
      <c r="I87" s="13" t="str">
        <f>_xll.BDH("AMGN US Equity","ARDR_COMMERCIAL_PAPER","FQ2 2020","FQ2 2020","Currency=USD","Period=FQ","BEST_FPERIOD_OVERRIDE=FQ","FILING_STATUS=MR","SCALING_FORMAT=MLN","Sort=A","Dates=H","DateFormat=P","Fill=—","Direction=H","UseDPDF=Y")</f>
        <v>—</v>
      </c>
      <c r="J87" s="13" t="str">
        <f>_xll.BDH("AMGN US Equity","ARDR_COMMERCIAL_PAPER","FQ3 2020","FQ3 2020","Currency=USD","Period=FQ","BEST_FPERIOD_OVERRIDE=FQ","FILING_STATUS=MR","SCALING_FORMAT=MLN","Sort=A","Dates=H","DateFormat=P","Fill=—","Direction=H","UseDPDF=Y")</f>
        <v>—</v>
      </c>
      <c r="K87" s="13">
        <f>_xll.BDH("AMGN US Equity","ARDR_COMMERCIAL_PAPER","FQ4 2020","FQ4 2020","Currency=USD","Period=FQ","BEST_FPERIOD_OVERRIDE=FQ","FILING_STATUS=MR","SCALING_FORMAT=MLN","Sort=A","Dates=H","DateFormat=P","Fill=—","Direction=H","UseDPDF=Y")</f>
        <v>0</v>
      </c>
      <c r="L87" s="13" t="str">
        <f>_xll.BDH("AMGN US Equity","ARDR_COMMERCIAL_PAPER","FQ1 2021","FQ1 2021","Currency=USD","Period=FQ","BEST_FPERIOD_OVERRIDE=FQ","FILING_STATUS=MR","SCALING_FORMAT=MLN","Sort=A","Dates=H","DateFormat=P","Fill=—","Direction=H","UseDPDF=Y")</f>
        <v>—</v>
      </c>
      <c r="M87" s="13" t="str">
        <f>_xll.BDH("AMGN US Equity","ARDR_COMMERCIAL_PAPER","FQ2 2021","FQ2 2021","Currency=USD","Period=FQ","BEST_FPERIOD_OVERRIDE=FQ","FILING_STATUS=MR","SCALING_FORMAT=MLN","Sort=A","Dates=H","DateFormat=P","Fill=—","Direction=H","UseDPDF=Y")</f>
        <v>—</v>
      </c>
      <c r="N87" s="13" t="str">
        <f>_xll.BDH("AMGN US Equity","ARDR_COMMERCIAL_PAPER","FQ3 2021","FQ3 2021","Currency=USD","Period=FQ","BEST_FPERIOD_OVERRIDE=FQ","FILING_STATUS=MR","SCALING_FORMAT=MLN","Sort=A","Dates=H","DateFormat=P","Fill=—","Direction=H","UseDPDF=Y")</f>
        <v>—</v>
      </c>
      <c r="O87" s="13">
        <f>_xll.BDH("AMGN US Equity","ARDR_COMMERCIAL_PAPER","FQ4 2021","FQ4 2021","Currency=USD","Period=FQ","BEST_FPERIOD_OVERRIDE=FQ","FILING_STATUS=MR","SCALING_FORMAT=MLN","Sort=A","Dates=H","DateFormat=P","Fill=—","Direction=H","UseDPDF=Y")</f>
        <v>0</v>
      </c>
      <c r="P87" s="13" t="str">
        <f>_xll.BDH("AMGN US Equity","ARDR_COMMERCIAL_PAPER","FQ1 2022","FQ1 2022","Currency=USD","Period=FQ","BEST_FPERIOD_OVERRIDE=FQ","FILING_STATUS=MR","SCALING_FORMAT=MLN","Sort=A","Dates=H","DateFormat=P","Fill=—","Direction=H","UseDPDF=Y")</f>
        <v>—</v>
      </c>
      <c r="Q87" s="13" t="str">
        <f>_xll.BDH("AMGN US Equity","ARDR_COMMERCIAL_PAPER","FQ2 2022","FQ2 2022","Currency=USD","Period=FQ","BEST_FPERIOD_OVERRIDE=FQ","FILING_STATUS=MR","SCALING_FORMAT=MLN","Sort=A","Dates=H","DateFormat=P","Fill=—","Direction=H","UseDPDF=Y")</f>
        <v>—</v>
      </c>
      <c r="R87" s="13" t="str">
        <f>_xll.BDH("AMGN US Equity","ARDR_COMMERCIAL_PAPER","FQ3 2022","FQ3 2022","Currency=USD","Period=FQ","BEST_FPERIOD_OVERRIDE=FQ","FILING_STATUS=MR","SCALING_FORMAT=MLN","Sort=A","Dates=H","DateFormat=P","Fill=—","Direction=H","UseDPDF=Y")</f>
        <v>—</v>
      </c>
      <c r="S87" s="13">
        <f>_xll.BDH("AMGN US Equity","ARDR_COMMERCIAL_PAPER","FQ4 2022","FQ4 2022","Currency=USD","Period=FQ","BEST_FPERIOD_OVERRIDE=FQ","FILING_STATUS=MR","SCALING_FORMAT=MLN","Sort=A","Dates=H","DateFormat=P","Fill=—","Direction=H","UseDPDF=Y")</f>
        <v>0</v>
      </c>
      <c r="T87" s="13" t="str">
        <f>_xll.BDH("AMGN US Equity","ARDR_COMMERCIAL_PAPER","FQ1 2023","FQ1 2023","Currency=USD","Period=FQ","BEST_FPERIOD_OVERRIDE=FQ","FILING_STATUS=MR","SCALING_FORMAT=MLN","Sort=A","Dates=H","DateFormat=P","Fill=—","Direction=H","UseDPDF=Y")</f>
        <v>—</v>
      </c>
      <c r="U87" s="13" t="str">
        <f>_xll.BDH("AMGN US Equity","ARDR_COMMERCIAL_PAPER","FQ2 2023","FQ2 2023","Currency=USD","Period=FQ","BEST_FPERIOD_OVERRIDE=FQ","FILING_STATUS=MR","SCALING_FORMAT=MLN","Sort=A","Dates=H","DateFormat=P","Fill=—","Direction=H","UseDPDF=Y")</f>
        <v>—</v>
      </c>
      <c r="V87" s="13" t="str">
        <f>_xll.BDH("AMGN US Equity","ARDR_COMMERCIAL_PAPER","FQ3 2023","FQ3 2023","Currency=USD","Period=FQ","BEST_FPERIOD_OVERRIDE=FQ","FILING_STATUS=MR","SCALING_FORMAT=MLN","Sort=A","Dates=H","DateFormat=P","Fill=—","Direction=H","UseDPDF=Y")</f>
        <v>—</v>
      </c>
      <c r="W87" s="13">
        <f>_xll.BDH("AMGN US Equity","ARDR_COMMERCIAL_PAPER","FQ4 2023","FQ4 2023","Currency=USD","Period=FQ","BEST_FPERIOD_OVERRIDE=FQ","FILING_STATUS=MR","SCALING_FORMAT=MLN","Sort=A","Dates=H","DateFormat=P","Fill=—","Direction=H","UseDPDF=Y")</f>
        <v>0</v>
      </c>
      <c r="X87" s="13" t="str">
        <f>_xll.BDH("AMGN US Equity","ARDR_COMMERCIAL_PAPER","FQ1 2024","FQ1 2024","Currency=USD","Period=FQ","BEST_FPERIOD_OVERRIDE=FQ","FILING_STATUS=MR","SCALING_FORMAT=MLN","Sort=A","Dates=H","DateFormat=P","Fill=—","Direction=H","UseDPDF=Y")</f>
        <v>—</v>
      </c>
      <c r="Y87" s="13" t="str">
        <f>_xll.BDH("AMGN US Equity","ARDR_COMMERCIAL_PAPER","FQ2 2024","FQ2 2024","Currency=USD","Period=FQ","BEST_FPERIOD_OVERRIDE=FQ","FILING_STATUS=MR","SCALING_FORMAT=MLN","Sort=A","Dates=H","DateFormat=P","Fill=—","Direction=H","UseDPDF=Y")</f>
        <v>—</v>
      </c>
      <c r="Z87" s="13" t="str">
        <f>_xll.BDH("AMGN US Equity","ARDR_COMMERCIAL_PAPER","FQ3 2024","FQ3 2024","Currency=USD","Period=FQ","BEST_FPERIOD_OVERRIDE=FQ","FILING_STATUS=MR","SCALING_FORMAT=MLN","Sort=A","Dates=H","DateFormat=P","Fill=—","Direction=H","UseDPDF=Y")</f>
        <v>—</v>
      </c>
      <c r="AA87" s="13" t="str">
        <f>_xll.BDH("AMGN US Equity","ARDR_COMMERCIAL_PAPER","FQ4 2024","FQ4 2024","Currency=USD","Period=FQ","BEST_FPERIOD_OVERRIDE=FQ","FILING_STATUS=MR","SCALING_FORMAT=MLN","Sort=A","Dates=H","DateFormat=P","Fill=—","Direction=H","UseDPDF=Y")</f>
        <v>—</v>
      </c>
    </row>
    <row r="88" spans="1:27" x14ac:dyDescent="0.25">
      <c r="A88" s="10" t="s">
        <v>992</v>
      </c>
      <c r="B88" s="10" t="s">
        <v>993</v>
      </c>
      <c r="C88" s="13" t="str">
        <f>_xll.BDH("AMGN US Equity","ARDR_DERIVATIVE_LIABILITIES","FQ4 2018","FQ4 2018","Currency=USD","Period=FQ","BEST_FPERIOD_OVERRIDE=FQ","FILING_STATUS=MR","SCALING_FORMAT=MLN","Sort=A","Dates=H","DateFormat=P","Fill=—","Direction=H","UseDPDF=Y")</f>
        <v>—</v>
      </c>
      <c r="D88" s="13" t="str">
        <f>_xll.BDH("AMGN US Equity","ARDR_DERIVATIVE_LIABILITIES","FQ1 2019","FQ1 2019","Currency=USD","Period=FQ","BEST_FPERIOD_OVERRIDE=FQ","FILING_STATUS=MR","SCALING_FORMAT=MLN","Sort=A","Dates=H","DateFormat=P","Fill=—","Direction=H","UseDPDF=Y")</f>
        <v>—</v>
      </c>
      <c r="E88" s="13" t="str">
        <f>_xll.BDH("AMGN US Equity","ARDR_DERIVATIVE_LIABILITIES","FQ2 2019","FQ2 2019","Currency=USD","Period=FQ","BEST_FPERIOD_OVERRIDE=FQ","FILING_STATUS=MR","SCALING_FORMAT=MLN","Sort=A","Dates=H","DateFormat=P","Fill=—","Direction=H","UseDPDF=Y")</f>
        <v>—</v>
      </c>
      <c r="F88" s="13" t="str">
        <f>_xll.BDH("AMGN US Equity","ARDR_DERIVATIVE_LIABILITIES","FQ3 2019","FQ3 2019","Currency=USD","Period=FQ","BEST_FPERIOD_OVERRIDE=FQ","FILING_STATUS=MR","SCALING_FORMAT=MLN","Sort=A","Dates=H","DateFormat=P","Fill=—","Direction=H","UseDPDF=Y")</f>
        <v>—</v>
      </c>
      <c r="G88" s="13" t="str">
        <f>_xll.BDH("AMGN US Equity","ARDR_DERIVATIVE_LIABILITIES","FQ4 2019","FQ4 2019","Currency=USD","Period=FQ","BEST_FPERIOD_OVERRIDE=FQ","FILING_STATUS=MR","SCALING_FORMAT=MLN","Sort=A","Dates=H","DateFormat=P","Fill=—","Direction=H","UseDPDF=Y")</f>
        <v>—</v>
      </c>
      <c r="H88" s="13" t="str">
        <f>_xll.BDH("AMGN US Equity","ARDR_DERIVATIVE_LIABILITIES","FQ1 2020","FQ1 2020","Currency=USD","Period=FQ","BEST_FPERIOD_OVERRIDE=FQ","FILING_STATUS=MR","SCALING_FORMAT=MLN","Sort=A","Dates=H","DateFormat=P","Fill=—","Direction=H","UseDPDF=Y")</f>
        <v>—</v>
      </c>
      <c r="I88" s="13" t="str">
        <f>_xll.BDH("AMGN US Equity","ARDR_DERIVATIVE_LIABILITIES","FQ2 2020","FQ2 2020","Currency=USD","Period=FQ","BEST_FPERIOD_OVERRIDE=FQ","FILING_STATUS=MR","SCALING_FORMAT=MLN","Sort=A","Dates=H","DateFormat=P","Fill=—","Direction=H","UseDPDF=Y")</f>
        <v>—</v>
      </c>
      <c r="J88" s="13" t="str">
        <f>_xll.BDH("AMGN US Equity","ARDR_DERIVATIVE_LIABILITIES","FQ3 2020","FQ3 2020","Currency=USD","Period=FQ","BEST_FPERIOD_OVERRIDE=FQ","FILING_STATUS=MR","SCALING_FORMAT=MLN","Sort=A","Dates=H","DateFormat=P","Fill=—","Direction=H","UseDPDF=Y")</f>
        <v>—</v>
      </c>
      <c r="K88" s="13" t="str">
        <f>_xll.BDH("AMGN US Equity","ARDR_DERIVATIVE_LIABILITIES","FQ4 2020","FQ4 2020","Currency=USD","Period=FQ","BEST_FPERIOD_OVERRIDE=FQ","FILING_STATUS=MR","SCALING_FORMAT=MLN","Sort=A","Dates=H","DateFormat=P","Fill=—","Direction=H","UseDPDF=Y")</f>
        <v>—</v>
      </c>
      <c r="L88" s="13" t="str">
        <f>_xll.BDH("AMGN US Equity","ARDR_DERIVATIVE_LIABILITIES","FQ1 2021","FQ1 2021","Currency=USD","Period=FQ","BEST_FPERIOD_OVERRIDE=FQ","FILING_STATUS=MR","SCALING_FORMAT=MLN","Sort=A","Dates=H","DateFormat=P","Fill=—","Direction=H","UseDPDF=Y")</f>
        <v>—</v>
      </c>
      <c r="M88" s="13" t="str">
        <f>_xll.BDH("AMGN US Equity","ARDR_DERIVATIVE_LIABILITIES","FQ2 2021","FQ2 2021","Currency=USD","Period=FQ","BEST_FPERIOD_OVERRIDE=FQ","FILING_STATUS=MR","SCALING_FORMAT=MLN","Sort=A","Dates=H","DateFormat=P","Fill=—","Direction=H","UseDPDF=Y")</f>
        <v>—</v>
      </c>
      <c r="N88" s="13" t="str">
        <f>_xll.BDH("AMGN US Equity","ARDR_DERIVATIVE_LIABILITIES","FQ3 2021","FQ3 2021","Currency=USD","Period=FQ","BEST_FPERIOD_OVERRIDE=FQ","FILING_STATUS=MR","SCALING_FORMAT=MLN","Sort=A","Dates=H","DateFormat=P","Fill=—","Direction=H","UseDPDF=Y")</f>
        <v>—</v>
      </c>
      <c r="O88" s="13" t="str">
        <f>_xll.BDH("AMGN US Equity","ARDR_DERIVATIVE_LIABILITIES","FQ4 2021","FQ4 2021","Currency=USD","Period=FQ","BEST_FPERIOD_OVERRIDE=FQ","FILING_STATUS=MR","SCALING_FORMAT=MLN","Sort=A","Dates=H","DateFormat=P","Fill=—","Direction=H","UseDPDF=Y")</f>
        <v>—</v>
      </c>
      <c r="P88" s="13" t="str">
        <f>_xll.BDH("AMGN US Equity","ARDR_DERIVATIVE_LIABILITIES","FQ1 2022","FQ1 2022","Currency=USD","Period=FQ","BEST_FPERIOD_OVERRIDE=FQ","FILING_STATUS=MR","SCALING_FORMAT=MLN","Sort=A","Dates=H","DateFormat=P","Fill=—","Direction=H","UseDPDF=Y")</f>
        <v>—</v>
      </c>
      <c r="Q88" s="13" t="str">
        <f>_xll.BDH("AMGN US Equity","ARDR_DERIVATIVE_LIABILITIES","FQ2 2022","FQ2 2022","Currency=USD","Period=FQ","BEST_FPERIOD_OVERRIDE=FQ","FILING_STATUS=MR","SCALING_FORMAT=MLN","Sort=A","Dates=H","DateFormat=P","Fill=—","Direction=H","UseDPDF=Y")</f>
        <v>—</v>
      </c>
      <c r="R88" s="13" t="str">
        <f>_xll.BDH("AMGN US Equity","ARDR_DERIVATIVE_LIABILITIES","FQ3 2022","FQ3 2022","Currency=USD","Period=FQ","BEST_FPERIOD_OVERRIDE=FQ","FILING_STATUS=MR","SCALING_FORMAT=MLN","Sort=A","Dates=H","DateFormat=P","Fill=—","Direction=H","UseDPDF=Y")</f>
        <v>—</v>
      </c>
      <c r="S88" s="13" t="str">
        <f>_xll.BDH("AMGN US Equity","ARDR_DERIVATIVE_LIABILITIES","FQ4 2022","FQ4 2022","Currency=USD","Period=FQ","BEST_FPERIOD_OVERRIDE=FQ","FILING_STATUS=MR","SCALING_FORMAT=MLN","Sort=A","Dates=H","DateFormat=P","Fill=—","Direction=H","UseDPDF=Y")</f>
        <v>—</v>
      </c>
      <c r="T88" s="13" t="str">
        <f>_xll.BDH("AMGN US Equity","ARDR_DERIVATIVE_LIABILITIES","FQ1 2023","FQ1 2023","Currency=USD","Period=FQ","BEST_FPERIOD_OVERRIDE=FQ","FILING_STATUS=MR","SCALING_FORMAT=MLN","Sort=A","Dates=H","DateFormat=P","Fill=—","Direction=H","UseDPDF=Y")</f>
        <v>—</v>
      </c>
      <c r="U88" s="13" t="str">
        <f>_xll.BDH("AMGN US Equity","ARDR_DERIVATIVE_LIABILITIES","FQ2 2023","FQ2 2023","Currency=USD","Period=FQ","BEST_FPERIOD_OVERRIDE=FQ","FILING_STATUS=MR","SCALING_FORMAT=MLN","Sort=A","Dates=H","DateFormat=P","Fill=—","Direction=H","UseDPDF=Y")</f>
        <v>—</v>
      </c>
      <c r="V88" s="13" t="str">
        <f>_xll.BDH("AMGN US Equity","ARDR_DERIVATIVE_LIABILITIES","FQ3 2023","FQ3 2023","Currency=USD","Period=FQ","BEST_FPERIOD_OVERRIDE=FQ","FILING_STATUS=MR","SCALING_FORMAT=MLN","Sort=A","Dates=H","DateFormat=P","Fill=—","Direction=H","UseDPDF=Y")</f>
        <v>—</v>
      </c>
      <c r="W88" s="13" t="str">
        <f>_xll.BDH("AMGN US Equity","ARDR_DERIVATIVE_LIABILITIES","FQ4 2023","FQ4 2023","Currency=USD","Period=FQ","BEST_FPERIOD_OVERRIDE=FQ","FILING_STATUS=MR","SCALING_FORMAT=MLN","Sort=A","Dates=H","DateFormat=P","Fill=—","Direction=H","UseDPDF=Y")</f>
        <v>—</v>
      </c>
      <c r="X88" s="13" t="str">
        <f>_xll.BDH("AMGN US Equity","ARDR_DERIVATIVE_LIABILITIES","FQ1 2024","FQ1 2024","Currency=USD","Period=FQ","BEST_FPERIOD_OVERRIDE=FQ","FILING_STATUS=MR","SCALING_FORMAT=MLN","Sort=A","Dates=H","DateFormat=P","Fill=—","Direction=H","UseDPDF=Y")</f>
        <v>—</v>
      </c>
      <c r="Y88" s="13" t="str">
        <f>_xll.BDH("AMGN US Equity","ARDR_DERIVATIVE_LIABILITIES","FQ2 2024","FQ2 2024","Currency=USD","Period=FQ","BEST_FPERIOD_OVERRIDE=FQ","FILING_STATUS=MR","SCALING_FORMAT=MLN","Sort=A","Dates=H","DateFormat=P","Fill=—","Direction=H","UseDPDF=Y")</f>
        <v>—</v>
      </c>
      <c r="Z88" s="13" t="str">
        <f>_xll.BDH("AMGN US Equity","ARDR_DERIVATIVE_LIABILITIES","FQ3 2024","FQ3 2024","Currency=USD","Period=FQ","BEST_FPERIOD_OVERRIDE=FQ","FILING_STATUS=MR","SCALING_FORMAT=MLN","Sort=A","Dates=H","DateFormat=P","Fill=—","Direction=H","UseDPDF=Y")</f>
        <v>—</v>
      </c>
      <c r="AA88" s="13" t="str">
        <f>_xll.BDH("AMGN US Equity","ARDR_DERIVATIVE_LIABILITIES","FQ4 2024","FQ4 2024","Currency=USD","Period=FQ","BEST_FPERIOD_OVERRIDE=FQ","FILING_STATUS=MR","SCALING_FORMAT=MLN","Sort=A","Dates=H","DateFormat=P","Fill=—","Direction=H","UseDPDF=Y")</f>
        <v>—</v>
      </c>
    </row>
    <row r="89" spans="1:27" x14ac:dyDescent="0.25">
      <c r="A89" s="10" t="s">
        <v>994</v>
      </c>
      <c r="B89" s="10" t="s">
        <v>995</v>
      </c>
      <c r="C89" s="13" t="str">
        <f>_xll.BDH("AMGN US Equity","ARDR_DERIVATIVE_ASSET_LT","FQ4 2018","FQ4 2018","Currency=USD","Period=FQ","BEST_FPERIOD_OVERRIDE=FQ","FILING_STATUS=MR","SCALING_FORMAT=MLN","Sort=A","Dates=H","DateFormat=P","Fill=—","Direction=H","UseDPDF=Y")</f>
        <v>—</v>
      </c>
      <c r="D89" s="13" t="str">
        <f>_xll.BDH("AMGN US Equity","ARDR_DERIVATIVE_ASSET_LT","FQ1 2019","FQ1 2019","Currency=USD","Period=FQ","BEST_FPERIOD_OVERRIDE=FQ","FILING_STATUS=MR","SCALING_FORMAT=MLN","Sort=A","Dates=H","DateFormat=P","Fill=—","Direction=H","UseDPDF=Y")</f>
        <v>—</v>
      </c>
      <c r="E89" s="13" t="str">
        <f>_xll.BDH("AMGN US Equity","ARDR_DERIVATIVE_ASSET_LT","FQ2 2019","FQ2 2019","Currency=USD","Period=FQ","BEST_FPERIOD_OVERRIDE=FQ","FILING_STATUS=MR","SCALING_FORMAT=MLN","Sort=A","Dates=H","DateFormat=P","Fill=—","Direction=H","UseDPDF=Y")</f>
        <v>—</v>
      </c>
      <c r="F89" s="13" t="str">
        <f>_xll.BDH("AMGN US Equity","ARDR_DERIVATIVE_ASSET_LT","FQ3 2019","FQ3 2019","Currency=USD","Period=FQ","BEST_FPERIOD_OVERRIDE=FQ","FILING_STATUS=MR","SCALING_FORMAT=MLN","Sort=A","Dates=H","DateFormat=P","Fill=—","Direction=H","UseDPDF=Y")</f>
        <v>—</v>
      </c>
      <c r="G89" s="13" t="str">
        <f>_xll.BDH("AMGN US Equity","ARDR_DERIVATIVE_ASSET_LT","FQ4 2019","FQ4 2019","Currency=USD","Period=FQ","BEST_FPERIOD_OVERRIDE=FQ","FILING_STATUS=MR","SCALING_FORMAT=MLN","Sort=A","Dates=H","DateFormat=P","Fill=—","Direction=H","UseDPDF=Y")</f>
        <v>—</v>
      </c>
      <c r="H89" s="13" t="str">
        <f>_xll.BDH("AMGN US Equity","ARDR_DERIVATIVE_ASSET_LT","FQ1 2020","FQ1 2020","Currency=USD","Period=FQ","BEST_FPERIOD_OVERRIDE=FQ","FILING_STATUS=MR","SCALING_FORMAT=MLN","Sort=A","Dates=H","DateFormat=P","Fill=—","Direction=H","UseDPDF=Y")</f>
        <v>—</v>
      </c>
      <c r="I89" s="13" t="str">
        <f>_xll.BDH("AMGN US Equity","ARDR_DERIVATIVE_ASSET_LT","FQ2 2020","FQ2 2020","Currency=USD","Period=FQ","BEST_FPERIOD_OVERRIDE=FQ","FILING_STATUS=MR","SCALING_FORMAT=MLN","Sort=A","Dates=H","DateFormat=P","Fill=—","Direction=H","UseDPDF=Y")</f>
        <v>—</v>
      </c>
      <c r="J89" s="13" t="str">
        <f>_xll.BDH("AMGN US Equity","ARDR_DERIVATIVE_ASSET_LT","FQ3 2020","FQ3 2020","Currency=USD","Period=FQ","BEST_FPERIOD_OVERRIDE=FQ","FILING_STATUS=MR","SCALING_FORMAT=MLN","Sort=A","Dates=H","DateFormat=P","Fill=—","Direction=H","UseDPDF=Y")</f>
        <v>—</v>
      </c>
      <c r="K89" s="13" t="str">
        <f>_xll.BDH("AMGN US Equity","ARDR_DERIVATIVE_ASSET_LT","FQ4 2020","FQ4 2020","Currency=USD","Period=FQ","BEST_FPERIOD_OVERRIDE=FQ","FILING_STATUS=MR","SCALING_FORMAT=MLN","Sort=A","Dates=H","DateFormat=P","Fill=—","Direction=H","UseDPDF=Y")</f>
        <v>—</v>
      </c>
      <c r="L89" s="13" t="str">
        <f>_xll.BDH("AMGN US Equity","ARDR_DERIVATIVE_ASSET_LT","FQ1 2021","FQ1 2021","Currency=USD","Period=FQ","BEST_FPERIOD_OVERRIDE=FQ","FILING_STATUS=MR","SCALING_FORMAT=MLN","Sort=A","Dates=H","DateFormat=P","Fill=—","Direction=H","UseDPDF=Y")</f>
        <v>—</v>
      </c>
      <c r="M89" s="13" t="str">
        <f>_xll.BDH("AMGN US Equity","ARDR_DERIVATIVE_ASSET_LT","FQ2 2021","FQ2 2021","Currency=USD","Period=FQ","BEST_FPERIOD_OVERRIDE=FQ","FILING_STATUS=MR","SCALING_FORMAT=MLN","Sort=A","Dates=H","DateFormat=P","Fill=—","Direction=H","UseDPDF=Y")</f>
        <v>—</v>
      </c>
      <c r="N89" s="13" t="str">
        <f>_xll.BDH("AMGN US Equity","ARDR_DERIVATIVE_ASSET_LT","FQ3 2021","FQ3 2021","Currency=USD","Period=FQ","BEST_FPERIOD_OVERRIDE=FQ","FILING_STATUS=MR","SCALING_FORMAT=MLN","Sort=A","Dates=H","DateFormat=P","Fill=—","Direction=H","UseDPDF=Y")</f>
        <v>—</v>
      </c>
      <c r="O89" s="13" t="str">
        <f>_xll.BDH("AMGN US Equity","ARDR_DERIVATIVE_ASSET_LT","FQ4 2021","FQ4 2021","Currency=USD","Period=FQ","BEST_FPERIOD_OVERRIDE=FQ","FILING_STATUS=MR","SCALING_FORMAT=MLN","Sort=A","Dates=H","DateFormat=P","Fill=—","Direction=H","UseDPDF=Y")</f>
        <v>—</v>
      </c>
      <c r="P89" s="13" t="str">
        <f>_xll.BDH("AMGN US Equity","ARDR_DERIVATIVE_ASSET_LT","FQ1 2022","FQ1 2022","Currency=USD","Period=FQ","BEST_FPERIOD_OVERRIDE=FQ","FILING_STATUS=MR","SCALING_FORMAT=MLN","Sort=A","Dates=H","DateFormat=P","Fill=—","Direction=H","UseDPDF=Y")</f>
        <v>—</v>
      </c>
      <c r="Q89" s="13" t="str">
        <f>_xll.BDH("AMGN US Equity","ARDR_DERIVATIVE_ASSET_LT","FQ2 2022","FQ2 2022","Currency=USD","Period=FQ","BEST_FPERIOD_OVERRIDE=FQ","FILING_STATUS=MR","SCALING_FORMAT=MLN","Sort=A","Dates=H","DateFormat=P","Fill=—","Direction=H","UseDPDF=Y")</f>
        <v>—</v>
      </c>
      <c r="R89" s="13" t="str">
        <f>_xll.BDH("AMGN US Equity","ARDR_DERIVATIVE_ASSET_LT","FQ3 2022","FQ3 2022","Currency=USD","Period=FQ","BEST_FPERIOD_OVERRIDE=FQ","FILING_STATUS=MR","SCALING_FORMAT=MLN","Sort=A","Dates=H","DateFormat=P","Fill=—","Direction=H","UseDPDF=Y")</f>
        <v>—</v>
      </c>
      <c r="S89" s="13" t="str">
        <f>_xll.BDH("AMGN US Equity","ARDR_DERIVATIVE_ASSET_LT","FQ4 2022","FQ4 2022","Currency=USD","Period=FQ","BEST_FPERIOD_OVERRIDE=FQ","FILING_STATUS=MR","SCALING_FORMAT=MLN","Sort=A","Dates=H","DateFormat=P","Fill=—","Direction=H","UseDPDF=Y")</f>
        <v>—</v>
      </c>
      <c r="T89" s="13" t="str">
        <f>_xll.BDH("AMGN US Equity","ARDR_DERIVATIVE_ASSET_LT","FQ1 2023","FQ1 2023","Currency=USD","Period=FQ","BEST_FPERIOD_OVERRIDE=FQ","FILING_STATUS=MR","SCALING_FORMAT=MLN","Sort=A","Dates=H","DateFormat=P","Fill=—","Direction=H","UseDPDF=Y")</f>
        <v>—</v>
      </c>
      <c r="U89" s="13" t="str">
        <f>_xll.BDH("AMGN US Equity","ARDR_DERIVATIVE_ASSET_LT","FQ2 2023","FQ2 2023","Currency=USD","Period=FQ","BEST_FPERIOD_OVERRIDE=FQ","FILING_STATUS=MR","SCALING_FORMAT=MLN","Sort=A","Dates=H","DateFormat=P","Fill=—","Direction=H","UseDPDF=Y")</f>
        <v>—</v>
      </c>
      <c r="V89" s="13" t="str">
        <f>_xll.BDH("AMGN US Equity","ARDR_DERIVATIVE_ASSET_LT","FQ3 2023","FQ3 2023","Currency=USD","Period=FQ","BEST_FPERIOD_OVERRIDE=FQ","FILING_STATUS=MR","SCALING_FORMAT=MLN","Sort=A","Dates=H","DateFormat=P","Fill=—","Direction=H","UseDPDF=Y")</f>
        <v>—</v>
      </c>
      <c r="W89" s="13" t="str">
        <f>_xll.BDH("AMGN US Equity","ARDR_DERIVATIVE_ASSET_LT","FQ4 2023","FQ4 2023","Currency=USD","Period=FQ","BEST_FPERIOD_OVERRIDE=FQ","FILING_STATUS=MR","SCALING_FORMAT=MLN","Sort=A","Dates=H","DateFormat=P","Fill=—","Direction=H","UseDPDF=Y")</f>
        <v>—</v>
      </c>
      <c r="X89" s="13" t="str">
        <f>_xll.BDH("AMGN US Equity","ARDR_DERIVATIVE_ASSET_LT","FQ1 2024","FQ1 2024","Currency=USD","Period=FQ","BEST_FPERIOD_OVERRIDE=FQ","FILING_STATUS=MR","SCALING_FORMAT=MLN","Sort=A","Dates=H","DateFormat=P","Fill=—","Direction=H","UseDPDF=Y")</f>
        <v>—</v>
      </c>
      <c r="Y89" s="13" t="str">
        <f>_xll.BDH("AMGN US Equity","ARDR_DERIVATIVE_ASSET_LT","FQ2 2024","FQ2 2024","Currency=USD","Period=FQ","BEST_FPERIOD_OVERRIDE=FQ","FILING_STATUS=MR","SCALING_FORMAT=MLN","Sort=A","Dates=H","DateFormat=P","Fill=—","Direction=H","UseDPDF=Y")</f>
        <v>—</v>
      </c>
      <c r="Z89" s="13" t="str">
        <f>_xll.BDH("AMGN US Equity","ARDR_DERIVATIVE_ASSET_LT","FQ3 2024","FQ3 2024","Currency=USD","Period=FQ","BEST_FPERIOD_OVERRIDE=FQ","FILING_STATUS=MR","SCALING_FORMAT=MLN","Sort=A","Dates=H","DateFormat=P","Fill=—","Direction=H","UseDPDF=Y")</f>
        <v>—</v>
      </c>
      <c r="AA89" s="13" t="str">
        <f>_xll.BDH("AMGN US Equity","ARDR_DERIVATIVE_ASSET_LT","FQ4 2024","FQ4 2024","Currency=USD","Period=FQ","BEST_FPERIOD_OVERRIDE=FQ","FILING_STATUS=MR","SCALING_FORMAT=MLN","Sort=A","Dates=H","DateFormat=P","Fill=—","Direction=H","UseDPDF=Y")</f>
        <v>—</v>
      </c>
    </row>
    <row r="90" spans="1:27" x14ac:dyDescent="0.25">
      <c r="A90" s="10" t="s">
        <v>854</v>
      </c>
      <c r="B90" s="10" t="s">
        <v>996</v>
      </c>
      <c r="C90" s="14" t="str">
        <f>_xll.BDH("AMGN US Equity","ARDR_NUMBER_EMPLOYEES","FQ4 2018","FQ4 2018","Currency=USD","Period=FQ","BEST_FPERIOD_OVERRIDE=FQ","FILING_STATUS=MR","Sort=A","Dates=H","DateFormat=P","Fill=—","Direction=H","UseDPDF=Y")</f>
        <v>—</v>
      </c>
      <c r="D90" s="14" t="str">
        <f>_xll.BDH("AMGN US Equity","ARDR_NUMBER_EMPLOYEES","FQ1 2019","FQ1 2019","Currency=USD","Period=FQ","BEST_FPERIOD_OVERRIDE=FQ","FILING_STATUS=MR","Sort=A","Dates=H","DateFormat=P","Fill=—","Direction=H","UseDPDF=Y")</f>
        <v>—</v>
      </c>
      <c r="E90" s="14" t="str">
        <f>_xll.BDH("AMGN US Equity","ARDR_NUMBER_EMPLOYEES","FQ2 2019","FQ2 2019","Currency=USD","Period=FQ","BEST_FPERIOD_OVERRIDE=FQ","FILING_STATUS=MR","Sort=A","Dates=H","DateFormat=P","Fill=—","Direction=H","UseDPDF=Y")</f>
        <v>—</v>
      </c>
      <c r="F90" s="14" t="str">
        <f>_xll.BDH("AMGN US Equity","ARDR_NUMBER_EMPLOYEES","FQ3 2019","FQ3 2019","Currency=USD","Period=FQ","BEST_FPERIOD_OVERRIDE=FQ","FILING_STATUS=MR","Sort=A","Dates=H","DateFormat=P","Fill=—","Direction=H","UseDPDF=Y")</f>
        <v>—</v>
      </c>
      <c r="G90" s="14" t="str">
        <f>_xll.BDH("AMGN US Equity","ARDR_NUMBER_EMPLOYEES","FQ4 2019","FQ4 2019","Currency=USD","Period=FQ","BEST_FPERIOD_OVERRIDE=FQ","FILING_STATUS=MR","Sort=A","Dates=H","DateFormat=P","Fill=—","Direction=H","UseDPDF=Y")</f>
        <v>—</v>
      </c>
      <c r="H90" s="14" t="str">
        <f>_xll.BDH("AMGN US Equity","ARDR_NUMBER_EMPLOYEES","FQ1 2020","FQ1 2020","Currency=USD","Period=FQ","BEST_FPERIOD_OVERRIDE=FQ","FILING_STATUS=MR","Sort=A","Dates=H","DateFormat=P","Fill=—","Direction=H","UseDPDF=Y")</f>
        <v>—</v>
      </c>
      <c r="I90" s="14" t="str">
        <f>_xll.BDH("AMGN US Equity","ARDR_NUMBER_EMPLOYEES","FQ2 2020","FQ2 2020","Currency=USD","Period=FQ","BEST_FPERIOD_OVERRIDE=FQ","FILING_STATUS=MR","Sort=A","Dates=H","DateFormat=P","Fill=—","Direction=H","UseDPDF=Y")</f>
        <v>—</v>
      </c>
      <c r="J90" s="14" t="str">
        <f>_xll.BDH("AMGN US Equity","ARDR_NUMBER_EMPLOYEES","FQ3 2020","FQ3 2020","Currency=USD","Period=FQ","BEST_FPERIOD_OVERRIDE=FQ","FILING_STATUS=MR","Sort=A","Dates=H","DateFormat=P","Fill=—","Direction=H","UseDPDF=Y")</f>
        <v>—</v>
      </c>
      <c r="K90" s="14" t="str">
        <f>_xll.BDH("AMGN US Equity","ARDR_NUMBER_EMPLOYEES","FQ4 2020","FQ4 2020","Currency=USD","Period=FQ","BEST_FPERIOD_OVERRIDE=FQ","FILING_STATUS=MR","Sort=A","Dates=H","DateFormat=P","Fill=—","Direction=H","UseDPDF=Y")</f>
        <v>—</v>
      </c>
      <c r="L90" s="14" t="str">
        <f>_xll.BDH("AMGN US Equity","ARDR_NUMBER_EMPLOYEES","FQ1 2021","FQ1 2021","Currency=USD","Period=FQ","BEST_FPERIOD_OVERRIDE=FQ","FILING_STATUS=MR","Sort=A","Dates=H","DateFormat=P","Fill=—","Direction=H","UseDPDF=Y")</f>
        <v>—</v>
      </c>
      <c r="M90" s="14" t="str">
        <f>_xll.BDH("AMGN US Equity","ARDR_NUMBER_EMPLOYEES","FQ2 2021","FQ2 2021","Currency=USD","Period=FQ","BEST_FPERIOD_OVERRIDE=FQ","FILING_STATUS=MR","Sort=A","Dates=H","DateFormat=P","Fill=—","Direction=H","UseDPDF=Y")</f>
        <v>—</v>
      </c>
      <c r="N90" s="14" t="str">
        <f>_xll.BDH("AMGN US Equity","ARDR_NUMBER_EMPLOYEES","FQ3 2021","FQ3 2021","Currency=USD","Period=FQ","BEST_FPERIOD_OVERRIDE=FQ","FILING_STATUS=MR","Sort=A","Dates=H","DateFormat=P","Fill=—","Direction=H","UseDPDF=Y")</f>
        <v>—</v>
      </c>
      <c r="O90" s="14" t="str">
        <f>_xll.BDH("AMGN US Equity","ARDR_NUMBER_EMPLOYEES","FQ4 2021","FQ4 2021","Currency=USD","Period=FQ","BEST_FPERIOD_OVERRIDE=FQ","FILING_STATUS=MR","Sort=A","Dates=H","DateFormat=P","Fill=—","Direction=H","UseDPDF=Y")</f>
        <v>—</v>
      </c>
      <c r="P90" s="14" t="str">
        <f>_xll.BDH("AMGN US Equity","ARDR_NUMBER_EMPLOYEES","FQ1 2022","FQ1 2022","Currency=USD","Period=FQ","BEST_FPERIOD_OVERRIDE=FQ","FILING_STATUS=MR","Sort=A","Dates=H","DateFormat=P","Fill=—","Direction=H","UseDPDF=Y")</f>
        <v>—</v>
      </c>
      <c r="Q90" s="14" t="str">
        <f>_xll.BDH("AMGN US Equity","ARDR_NUMBER_EMPLOYEES","FQ2 2022","FQ2 2022","Currency=USD","Period=FQ","BEST_FPERIOD_OVERRIDE=FQ","FILING_STATUS=MR","Sort=A","Dates=H","DateFormat=P","Fill=—","Direction=H","UseDPDF=Y")</f>
        <v>—</v>
      </c>
      <c r="R90" s="14" t="str">
        <f>_xll.BDH("AMGN US Equity","ARDR_NUMBER_EMPLOYEES","FQ3 2022","FQ3 2022","Currency=USD","Period=FQ","BEST_FPERIOD_OVERRIDE=FQ","FILING_STATUS=MR","Sort=A","Dates=H","DateFormat=P","Fill=—","Direction=H","UseDPDF=Y")</f>
        <v>—</v>
      </c>
      <c r="S90" s="14">
        <f>_xll.BDH("AMGN US Equity","ARDR_NUMBER_EMPLOYEES","FQ4 2022","FQ4 2022","Currency=USD","Period=FQ","BEST_FPERIOD_OVERRIDE=FQ","FILING_STATUS=MR","Sort=A","Dates=H","DateFormat=P","Fill=—","Direction=H","UseDPDF=Y")</f>
        <v>25200</v>
      </c>
      <c r="T90" s="14" t="str">
        <f>_xll.BDH("AMGN US Equity","ARDR_NUMBER_EMPLOYEES","FQ1 2023","FQ1 2023","Currency=USD","Period=FQ","BEST_FPERIOD_OVERRIDE=FQ","FILING_STATUS=MR","Sort=A","Dates=H","DateFormat=P","Fill=—","Direction=H","UseDPDF=Y")</f>
        <v>—</v>
      </c>
      <c r="U90" s="14" t="str">
        <f>_xll.BDH("AMGN US Equity","ARDR_NUMBER_EMPLOYEES","FQ2 2023","FQ2 2023","Currency=USD","Period=FQ","BEST_FPERIOD_OVERRIDE=FQ","FILING_STATUS=MR","Sort=A","Dates=H","DateFormat=P","Fill=—","Direction=H","UseDPDF=Y")</f>
        <v>—</v>
      </c>
      <c r="V90" s="14" t="str">
        <f>_xll.BDH("AMGN US Equity","ARDR_NUMBER_EMPLOYEES","FQ3 2023","FQ3 2023","Currency=USD","Period=FQ","BEST_FPERIOD_OVERRIDE=FQ","FILING_STATUS=MR","Sort=A","Dates=H","DateFormat=P","Fill=—","Direction=H","UseDPDF=Y")</f>
        <v>—</v>
      </c>
      <c r="W90" s="14">
        <f>_xll.BDH("AMGN US Equity","ARDR_NUMBER_EMPLOYEES","FQ4 2023","FQ4 2023","Currency=USD","Period=FQ","BEST_FPERIOD_OVERRIDE=FQ","FILING_STATUS=MR","Sort=A","Dates=H","DateFormat=P","Fill=—","Direction=H","UseDPDF=Y")</f>
        <v>26700</v>
      </c>
      <c r="X90" s="14" t="str">
        <f>_xll.BDH("AMGN US Equity","ARDR_NUMBER_EMPLOYEES","FQ1 2024","FQ1 2024","Currency=USD","Period=FQ","BEST_FPERIOD_OVERRIDE=FQ","FILING_STATUS=MR","Sort=A","Dates=H","DateFormat=P","Fill=—","Direction=H","UseDPDF=Y")</f>
        <v>—</v>
      </c>
      <c r="Y90" s="14" t="str">
        <f>_xll.BDH("AMGN US Equity","ARDR_NUMBER_EMPLOYEES","FQ2 2024","FQ2 2024","Currency=USD","Period=FQ","BEST_FPERIOD_OVERRIDE=FQ","FILING_STATUS=MR","Sort=A","Dates=H","DateFormat=P","Fill=—","Direction=H","UseDPDF=Y")</f>
        <v>—</v>
      </c>
      <c r="Z90" s="14" t="str">
        <f>_xll.BDH("AMGN US Equity","ARDR_NUMBER_EMPLOYEES","FQ3 2024","FQ3 2024","Currency=USD","Period=FQ","BEST_FPERIOD_OVERRIDE=FQ","FILING_STATUS=MR","Sort=A","Dates=H","DateFormat=P","Fill=—","Direction=H","UseDPDF=Y")</f>
        <v>—</v>
      </c>
      <c r="AA90" s="14">
        <f>_xll.BDH("AMGN US Equity","ARDR_NUMBER_EMPLOYEES","FQ4 2024","FQ4 2024","Currency=USD","Period=FQ","BEST_FPERIOD_OVERRIDE=FQ","FILING_STATUS=MR","Sort=A","Dates=H","DateFormat=P","Fill=—","Direction=H","UseDPDF=Y")</f>
        <v>28000</v>
      </c>
    </row>
    <row r="91" spans="1:27" x14ac:dyDescent="0.25">
      <c r="A91" s="10" t="s">
        <v>997</v>
      </c>
      <c r="B91" s="10" t="s">
        <v>998</v>
      </c>
      <c r="C91" s="13">
        <f>_xll.BDH("AMGN US Equity","ARDR_TOT_INVEST_CASH_CASH_EQUIV","FQ4 2018","FQ4 2018","Currency=USD","Period=FQ","BEST_FPERIOD_OVERRIDE=FQ","FILING_STATUS=MR","SCALING_FORMAT=MLN","Sort=A","Dates=H","DateFormat=P","Fill=—","Direction=H","UseDPDF=Y")</f>
        <v>29304</v>
      </c>
      <c r="D91" s="13">
        <f>_xll.BDH("AMGN US Equity","ARDR_TOT_INVEST_CASH_CASH_EQUIV","FQ1 2019","FQ1 2019","Currency=USD","Period=FQ","BEST_FPERIOD_OVERRIDE=FQ","FILING_STATUS=MR","SCALING_FORMAT=MLN","Sort=A","Dates=H","DateFormat=P","Fill=—","Direction=H","UseDPDF=Y")</f>
        <v>26300</v>
      </c>
      <c r="E91" s="13">
        <f>_xll.BDH("AMGN US Equity","ARDR_TOT_INVEST_CASH_CASH_EQUIV","FQ2 2019","FQ2 2019","Currency=USD","Period=FQ","BEST_FPERIOD_OVERRIDE=FQ","FILING_STATUS=MR","SCALING_FORMAT=MLN","Sort=A","Dates=H","DateFormat=P","Fill=—","Direction=H","UseDPDF=Y")</f>
        <v>21758</v>
      </c>
      <c r="F91" s="13">
        <f>_xll.BDH("AMGN US Equity","ARDR_TOT_INVEST_CASH_CASH_EQUIV","FQ3 2019","FQ3 2019","Currency=USD","Period=FQ","BEST_FPERIOD_OVERRIDE=FQ","FILING_STATUS=MR","SCALING_FORMAT=MLN","Sort=A","Dates=H","DateFormat=P","Fill=—","Direction=H","UseDPDF=Y")</f>
        <v>20853</v>
      </c>
      <c r="G91" s="13">
        <f>_xll.BDH("AMGN US Equity","ARDR_TOT_INVEST_CASH_CASH_EQUIV","FQ4 2019","FQ4 2019","Currency=USD","Period=FQ","BEST_FPERIOD_OVERRIDE=FQ","FILING_STATUS=MR","SCALING_FORMAT=MLN","Sort=A","Dates=H","DateFormat=P","Fill=—","Direction=H","UseDPDF=Y")</f>
        <v>8911</v>
      </c>
      <c r="H91" s="13">
        <f>_xll.BDH("AMGN US Equity","ARDR_TOT_INVEST_CASH_CASH_EQUIV","FQ1 2020","FQ1 2020","Currency=USD","Period=FQ","BEST_FPERIOD_OVERRIDE=FQ","FILING_STATUS=MR","SCALING_FORMAT=MLN","Sort=A","Dates=H","DateFormat=P","Fill=—","Direction=H","UseDPDF=Y")</f>
        <v>8000</v>
      </c>
      <c r="I91" s="13">
        <f>_xll.BDH("AMGN US Equity","ARDR_TOT_INVEST_CASH_CASH_EQUIV","FQ2 2020","FQ2 2020","Currency=USD","Period=FQ","BEST_FPERIOD_OVERRIDE=FQ","FILING_STATUS=MR","SCALING_FORMAT=MLN","Sort=A","Dates=H","DateFormat=P","Fill=—","Direction=H","UseDPDF=Y")</f>
        <v>11421</v>
      </c>
      <c r="J91" s="13">
        <f>_xll.BDH("AMGN US Equity","ARDR_TOT_INVEST_CASH_CASH_EQUIV","FQ3 2020","FQ3 2020","Currency=USD","Period=FQ","BEST_FPERIOD_OVERRIDE=FQ","FILING_STATUS=MR","SCALING_FORMAT=MLN","Sort=A","Dates=H","DateFormat=P","Fill=—","Direction=H","UseDPDF=Y")</f>
        <v>12360</v>
      </c>
      <c r="K91" s="13">
        <f>_xll.BDH("AMGN US Equity","ARDR_TOT_INVEST_CASH_CASH_EQUIV","FQ4 2020","FQ4 2020","Currency=USD","Period=FQ","BEST_FPERIOD_OVERRIDE=FQ","FILING_STATUS=MR","SCALING_FORMAT=MLN","Sort=A","Dates=H","DateFormat=P","Fill=—","Direction=H","UseDPDF=Y")</f>
        <v>10647</v>
      </c>
      <c r="L91" s="13">
        <f>_xll.BDH("AMGN US Equity","ARDR_TOT_INVEST_CASH_CASH_EQUIV","FQ1 2021","FQ1 2021","Currency=USD","Period=FQ","BEST_FPERIOD_OVERRIDE=FQ","FILING_STATUS=MR","SCALING_FORMAT=MLN","Sort=A","Dates=H","DateFormat=P","Fill=—","Direction=H","UseDPDF=Y")</f>
        <v>10600</v>
      </c>
      <c r="M91" s="13">
        <f>_xll.BDH("AMGN US Equity","ARDR_TOT_INVEST_CASH_CASH_EQUIV","FQ2 2021","FQ2 2021","Currency=USD","Period=FQ","BEST_FPERIOD_OVERRIDE=FQ","FILING_STATUS=MR","SCALING_FORMAT=MLN","Sort=A","Dates=H","DateFormat=P","Fill=—","Direction=H","UseDPDF=Y")</f>
        <v>8082</v>
      </c>
      <c r="N91" s="13">
        <f>_xll.BDH("AMGN US Equity","ARDR_TOT_INVEST_CASH_CASH_EQUIV","FQ3 2021","FQ3 2021","Currency=USD","Period=FQ","BEST_FPERIOD_OVERRIDE=FQ","FILING_STATUS=MR","SCALING_FORMAT=MLN","Sort=A","Dates=H","DateFormat=P","Fill=—","Direction=H","UseDPDF=Y")</f>
        <v>12921</v>
      </c>
      <c r="O91" s="13">
        <f>_xll.BDH("AMGN US Equity","ARDR_TOT_INVEST_CASH_CASH_EQUIV","FQ4 2021","FQ4 2021","Currency=USD","Period=FQ","BEST_FPERIOD_OVERRIDE=FQ","FILING_STATUS=MR","SCALING_FORMAT=MLN","Sort=A","Dates=H","DateFormat=P","Fill=—","Direction=H","UseDPDF=Y")</f>
        <v>8037</v>
      </c>
      <c r="P91" s="13">
        <f>_xll.BDH("AMGN US Equity","ARDR_TOT_INVEST_CASH_CASH_EQUIV","FQ1 2022","FQ1 2022","Currency=USD","Period=FQ","BEST_FPERIOD_OVERRIDE=FQ","FILING_STATUS=MR","SCALING_FORMAT=MLN","Sort=A","Dates=H","DateFormat=P","Fill=—","Direction=H","UseDPDF=Y")</f>
        <v>6544</v>
      </c>
      <c r="Q91" s="13">
        <f>_xll.BDH("AMGN US Equity","ARDR_TOT_INVEST_CASH_CASH_EQUIV","FQ2 2022","FQ2 2022","Currency=USD","Period=FQ","BEST_FPERIOD_OVERRIDE=FQ","FILING_STATUS=MR","SCALING_FORMAT=MLN","Sort=A","Dates=H","DateFormat=P","Fill=—","Direction=H","UseDPDF=Y")</f>
        <v>7183</v>
      </c>
      <c r="R91" s="13">
        <f>_xll.BDH("AMGN US Equity","ARDR_TOT_INVEST_CASH_CASH_EQUIV","FQ3 2022","FQ3 2022","Currency=USD","Period=FQ","BEST_FPERIOD_OVERRIDE=FQ","FILING_STATUS=MR","SCALING_FORMAT=MLN","Sort=A","Dates=H","DateFormat=P","Fill=—","Direction=H","UseDPDF=Y")</f>
        <v>11478</v>
      </c>
      <c r="S91" s="13">
        <f>_xll.BDH("AMGN US Equity","ARDR_TOT_INVEST_CASH_CASH_EQUIV","FQ4 2022","FQ4 2022","Currency=USD","Period=FQ","BEST_FPERIOD_OVERRIDE=FQ","FILING_STATUS=MR","SCALING_FORMAT=MLN","Sort=A","Dates=H","DateFormat=P","Fill=—","Direction=H","UseDPDF=Y")</f>
        <v>9300</v>
      </c>
      <c r="T91" s="13">
        <f>_xll.BDH("AMGN US Equity","ARDR_TOT_INVEST_CASH_CASH_EQUIV","FQ1 2023","FQ1 2023","Currency=USD","Period=FQ","BEST_FPERIOD_OVERRIDE=FQ","FILING_STATUS=MR","SCALING_FORMAT=MLN","Sort=A","Dates=H","DateFormat=P","Fill=—","Direction=H","UseDPDF=Y")</f>
        <v>31561</v>
      </c>
      <c r="U91" s="13">
        <f>_xll.BDH("AMGN US Equity","ARDR_TOT_INVEST_CASH_CASH_EQUIV","FQ2 2023","FQ2 2023","Currency=USD","Period=FQ","BEST_FPERIOD_OVERRIDE=FQ","FILING_STATUS=MR","SCALING_FORMAT=MLN","Sort=A","Dates=H","DateFormat=P","Fill=—","Direction=H","UseDPDF=Y")</f>
        <v>34248</v>
      </c>
      <c r="V91" s="13">
        <f>_xll.BDH("AMGN US Equity","ARDR_TOT_INVEST_CASH_CASH_EQUIV","FQ3 2023","FQ3 2023","Currency=USD","Period=FQ","BEST_FPERIOD_OVERRIDE=FQ","FILING_STATUS=MR","SCALING_FORMAT=MLN","Sort=A","Dates=H","DateFormat=P","Fill=—","Direction=H","UseDPDF=Y")</f>
        <v>34741</v>
      </c>
      <c r="W91" s="13">
        <f>_xll.BDH("AMGN US Equity","ARDR_TOT_INVEST_CASH_CASH_EQUIV","FQ4 2023","FQ4 2023","Currency=USD","Period=FQ","BEST_FPERIOD_OVERRIDE=FQ","FILING_STATUS=MR","SCALING_FORMAT=MLN","Sort=A","Dates=H","DateFormat=P","Fill=—","Direction=H","UseDPDF=Y")</f>
        <v>10944</v>
      </c>
      <c r="X91" s="13">
        <f>_xll.BDH("AMGN US Equity","ARDR_TOT_INVEST_CASH_CASH_EQUIV","FQ1 2024","FQ1 2024","Currency=USD","Period=FQ","BEST_FPERIOD_OVERRIDE=FQ","FILING_STATUS=MR","SCALING_FORMAT=MLN","Sort=A","Dates=H","DateFormat=P","Fill=—","Direction=H","UseDPDF=Y")</f>
        <v>9708</v>
      </c>
      <c r="Y91" s="13">
        <f>_xll.BDH("AMGN US Equity","ARDR_TOT_INVEST_CASH_CASH_EQUIV","FQ2 2024","FQ2 2024","Currency=USD","Period=FQ","BEST_FPERIOD_OVERRIDE=FQ","FILING_STATUS=MR","SCALING_FORMAT=MLN","Sort=A","Dates=H","DateFormat=P","Fill=—","Direction=H","UseDPDF=Y")</f>
        <v>9301</v>
      </c>
      <c r="Z91" s="13">
        <f>_xll.BDH("AMGN US Equity","ARDR_TOT_INVEST_CASH_CASH_EQUIV","FQ3 2024","FQ3 2024","Currency=USD","Period=FQ","BEST_FPERIOD_OVERRIDE=FQ","FILING_STATUS=MR","SCALING_FORMAT=MLN","Sort=A","Dates=H","DateFormat=P","Fill=—","Direction=H","UseDPDF=Y")</f>
        <v>9011</v>
      </c>
      <c r="AA91" s="13">
        <f>_xll.BDH("AMGN US Equity","ARDR_TOT_INVEST_CASH_CASH_EQUIV","FQ4 2024","FQ4 2024","Currency=USD","Period=FQ","BEST_FPERIOD_OVERRIDE=FQ","FILING_STATUS=MR","SCALING_FORMAT=MLN","Sort=A","Dates=H","DateFormat=P","Fill=—","Direction=H","UseDPDF=Y")</f>
        <v>11973</v>
      </c>
    </row>
    <row r="92" spans="1:27" x14ac:dyDescent="0.25">
      <c r="A92" s="10" t="s">
        <v>999</v>
      </c>
      <c r="B92" s="10" t="s">
        <v>1000</v>
      </c>
      <c r="C92" s="13">
        <f>_xll.BDH("AMGN US Equity","ARDR_DERIVATIVE_LIABILITIES_LT","FQ4 2018","FQ4 2018","Currency=USD","Period=FQ","BEST_FPERIOD_OVERRIDE=FQ","FILING_STATUS=MR","SCALING_FORMAT=MLN","Sort=A","Dates=H","DateFormat=P","Fill=—","Direction=H","UseDPDF=Y")</f>
        <v>576</v>
      </c>
      <c r="D92" s="13">
        <f>_xll.BDH("AMGN US Equity","ARDR_DERIVATIVE_LIABILITIES_LT","FQ1 2019","FQ1 2019","Currency=USD","Period=FQ","BEST_FPERIOD_OVERRIDE=FQ","FILING_STATUS=MR","SCALING_FORMAT=MLN","Sort=A","Dates=H","DateFormat=P","Fill=—","Direction=H","UseDPDF=Y")</f>
        <v>491</v>
      </c>
      <c r="E92" s="13">
        <f>_xll.BDH("AMGN US Equity","ARDR_DERIVATIVE_LIABILITIES_LT","FQ2 2019","FQ2 2019","Currency=USD","Period=FQ","BEST_FPERIOD_OVERRIDE=FQ","FILING_STATUS=MR","SCALING_FORMAT=MLN","Sort=A","Dates=H","DateFormat=P","Fill=—","Direction=H","UseDPDF=Y")</f>
        <v>530</v>
      </c>
      <c r="F92" s="13">
        <f>_xll.BDH("AMGN US Equity","ARDR_DERIVATIVE_LIABILITIES_LT","FQ3 2019","FQ3 2019","Currency=USD","Period=FQ","BEST_FPERIOD_OVERRIDE=FQ","FILING_STATUS=MR","SCALING_FORMAT=MLN","Sort=A","Dates=H","DateFormat=P","Fill=—","Direction=H","UseDPDF=Y")</f>
        <v>484</v>
      </c>
      <c r="G92" s="13">
        <f>_xll.BDH("AMGN US Equity","ARDR_DERIVATIVE_LIABILITIES_LT","FQ4 2019","FQ4 2019","Currency=USD","Period=FQ","BEST_FPERIOD_OVERRIDE=FQ","FILING_STATUS=MR","SCALING_FORMAT=MLN","Sort=A","Dates=H","DateFormat=P","Fill=—","Direction=H","UseDPDF=Y")</f>
        <v>346</v>
      </c>
      <c r="H92" s="13">
        <f>_xll.BDH("AMGN US Equity","ARDR_DERIVATIVE_LIABILITIES_LT","FQ1 2020","FQ1 2020","Currency=USD","Period=FQ","BEST_FPERIOD_OVERRIDE=FQ","FILING_STATUS=MR","SCALING_FORMAT=MLN","Sort=A","Dates=H","DateFormat=P","Fill=—","Direction=H","UseDPDF=Y")</f>
        <v>685</v>
      </c>
      <c r="I92" s="13">
        <f>_xll.BDH("AMGN US Equity","ARDR_DERIVATIVE_LIABILITIES_LT","FQ2 2020","FQ2 2020","Currency=USD","Period=FQ","BEST_FPERIOD_OVERRIDE=FQ","FILING_STATUS=MR","SCALING_FORMAT=MLN","Sort=A","Dates=H","DateFormat=P","Fill=—","Direction=H","UseDPDF=Y")</f>
        <v>632</v>
      </c>
      <c r="J92" s="13">
        <f>_xll.BDH("AMGN US Equity","ARDR_DERIVATIVE_LIABILITIES_LT","FQ3 2020","FQ3 2020","Currency=USD","Period=FQ","BEST_FPERIOD_OVERRIDE=FQ","FILING_STATUS=MR","SCALING_FORMAT=MLN","Sort=A","Dates=H","DateFormat=P","Fill=—","Direction=H","UseDPDF=Y")</f>
        <v>573</v>
      </c>
      <c r="K92" s="13">
        <f>_xll.BDH("AMGN US Equity","ARDR_DERIVATIVE_LIABILITIES_LT","FQ4 2020","FQ4 2020","Currency=USD","Period=FQ","BEST_FPERIOD_OVERRIDE=FQ","FILING_STATUS=MR","SCALING_FORMAT=MLN","Sort=A","Dates=H","DateFormat=P","Fill=—","Direction=H","UseDPDF=Y")</f>
        <v>570</v>
      </c>
      <c r="L92" s="13">
        <f>_xll.BDH("AMGN US Equity","ARDR_DERIVATIVE_LIABILITIES_LT","FQ1 2021","FQ1 2021","Currency=USD","Period=FQ","BEST_FPERIOD_OVERRIDE=FQ","FILING_STATUS=MR","SCALING_FORMAT=MLN","Sort=A","Dates=H","DateFormat=P","Fill=—","Direction=H","UseDPDF=Y")</f>
        <v>532</v>
      </c>
      <c r="M92" s="13">
        <f>_xll.BDH("AMGN US Equity","ARDR_DERIVATIVE_LIABILITIES_LT","FQ2 2021","FQ2 2021","Currency=USD","Period=FQ","BEST_FPERIOD_OVERRIDE=FQ","FILING_STATUS=MR","SCALING_FORMAT=MLN","Sort=A","Dates=H","DateFormat=P","Fill=—","Direction=H","UseDPDF=Y")</f>
        <v>514</v>
      </c>
      <c r="N92" s="13">
        <f>_xll.BDH("AMGN US Equity","ARDR_DERIVATIVE_LIABILITIES_LT","FQ3 2021","FQ3 2021","Currency=USD","Period=FQ","BEST_FPERIOD_OVERRIDE=FQ","FILING_STATUS=MR","SCALING_FORMAT=MLN","Sort=A","Dates=H","DateFormat=P","Fill=—","Direction=H","UseDPDF=Y")</f>
        <v>519</v>
      </c>
      <c r="O92" s="13">
        <f>_xll.BDH("AMGN US Equity","ARDR_DERIVATIVE_LIABILITIES_LT","FQ4 2021","FQ4 2021","Currency=USD","Period=FQ","BEST_FPERIOD_OVERRIDE=FQ","FILING_STATUS=MR","SCALING_FORMAT=MLN","Sort=A","Dates=H","DateFormat=P","Fill=—","Direction=H","UseDPDF=Y")</f>
        <v>534</v>
      </c>
      <c r="P92" s="13">
        <f>_xll.BDH("AMGN US Equity","ARDR_DERIVATIVE_LIABILITIES_LT","FQ1 2022","FQ1 2022","Currency=USD","Period=FQ","BEST_FPERIOD_OVERRIDE=FQ","FILING_STATUS=MR","SCALING_FORMAT=MLN","Sort=A","Dates=H","DateFormat=P","Fill=—","Direction=H","UseDPDF=Y")</f>
        <v>865</v>
      </c>
      <c r="Q92" s="13">
        <f>_xll.BDH("AMGN US Equity","ARDR_DERIVATIVE_LIABILITIES_LT","FQ2 2022","FQ2 2022","Currency=USD","Period=FQ","BEST_FPERIOD_OVERRIDE=FQ","FILING_STATUS=MR","SCALING_FORMAT=MLN","Sort=A","Dates=H","DateFormat=P","Fill=—","Direction=H","UseDPDF=Y")</f>
        <v>1124</v>
      </c>
      <c r="R92" s="13">
        <f>_xll.BDH("AMGN US Equity","ARDR_DERIVATIVE_LIABILITIES_LT","FQ3 2022","FQ3 2022","Currency=USD","Period=FQ","BEST_FPERIOD_OVERRIDE=FQ","FILING_STATUS=MR","SCALING_FORMAT=MLN","Sort=A","Dates=H","DateFormat=P","Fill=—","Direction=H","UseDPDF=Y")</f>
        <v>1586</v>
      </c>
      <c r="S92" s="13">
        <f>_xll.BDH("AMGN US Equity","ARDR_DERIVATIVE_LIABILITIES_LT","FQ4 2022","FQ4 2022","Currency=USD","Period=FQ","BEST_FPERIOD_OVERRIDE=FQ","FILING_STATUS=MR","SCALING_FORMAT=MLN","Sort=A","Dates=H","DateFormat=P","Fill=—","Direction=H","UseDPDF=Y")</f>
        <v>1398</v>
      </c>
      <c r="T92" s="13">
        <f>_xll.BDH("AMGN US Equity","ARDR_DERIVATIVE_LIABILITIES_LT","FQ1 2023","FQ1 2023","Currency=USD","Period=FQ","BEST_FPERIOD_OVERRIDE=FQ","FILING_STATUS=MR","SCALING_FORMAT=MLN","Sort=A","Dates=H","DateFormat=P","Fill=—","Direction=H","UseDPDF=Y")</f>
        <v>1252</v>
      </c>
      <c r="U92" s="13">
        <f>_xll.BDH("AMGN US Equity","ARDR_DERIVATIVE_LIABILITIES_LT","FQ2 2023","FQ2 2023","Currency=USD","Period=FQ","BEST_FPERIOD_OVERRIDE=FQ","FILING_STATUS=MR","SCALING_FORMAT=MLN","Sort=A","Dates=H","DateFormat=P","Fill=—","Direction=H","UseDPDF=Y")</f>
        <v>1311</v>
      </c>
      <c r="V92" s="13">
        <f>_xll.BDH("AMGN US Equity","ARDR_DERIVATIVE_LIABILITIES_LT","FQ3 2023","FQ3 2023","Currency=USD","Period=FQ","BEST_FPERIOD_OVERRIDE=FQ","FILING_STATUS=MR","SCALING_FORMAT=MLN","Sort=A","Dates=H","DateFormat=P","Fill=—","Direction=H","UseDPDF=Y")</f>
        <v>1314</v>
      </c>
      <c r="W92" s="13">
        <f>_xll.BDH("AMGN US Equity","ARDR_DERIVATIVE_LIABILITIES_LT","FQ4 2023","FQ4 2023","Currency=USD","Period=FQ","BEST_FPERIOD_OVERRIDE=FQ","FILING_STATUS=MR","SCALING_FORMAT=MLN","Sort=A","Dates=H","DateFormat=P","Fill=—","Direction=H","UseDPDF=Y")</f>
        <v>1092</v>
      </c>
      <c r="X92" s="13">
        <f>_xll.BDH("AMGN US Equity","ARDR_DERIVATIVE_LIABILITIES_LT","FQ1 2024","FQ1 2024","Currency=USD","Period=FQ","BEST_FPERIOD_OVERRIDE=FQ","FILING_STATUS=MR","SCALING_FORMAT=MLN","Sort=A","Dates=H","DateFormat=P","Fill=—","Direction=H","UseDPDF=Y")</f>
        <v>1072</v>
      </c>
      <c r="Y92" s="13">
        <f>_xll.BDH("AMGN US Equity","ARDR_DERIVATIVE_LIABILITIES_LT","FQ2 2024","FQ2 2024","Currency=USD","Period=FQ","BEST_FPERIOD_OVERRIDE=FQ","FILING_STATUS=MR","SCALING_FORMAT=MLN","Sort=A","Dates=H","DateFormat=P","Fill=—","Direction=H","UseDPDF=Y")</f>
        <v>1027</v>
      </c>
      <c r="Z92" s="13">
        <f>_xll.BDH("AMGN US Equity","ARDR_DERIVATIVE_LIABILITIES_LT","FQ3 2024","FQ3 2024","Currency=USD","Period=FQ","BEST_FPERIOD_OVERRIDE=FQ","FILING_STATUS=MR","SCALING_FORMAT=MLN","Sort=A","Dates=H","DateFormat=P","Fill=—","Direction=H","UseDPDF=Y")</f>
        <v>886</v>
      </c>
      <c r="AA92" s="13">
        <f>_xll.BDH("AMGN US Equity","ARDR_DERIVATIVE_LIABILITIES_LT","FQ4 2024","FQ4 2024","Currency=USD","Period=FQ","BEST_FPERIOD_OVERRIDE=FQ","FILING_STATUS=MR","SCALING_FORMAT=MLN","Sort=A","Dates=H","DateFormat=P","Fill=—","Direction=H","UseDPDF=Y")</f>
        <v>1022</v>
      </c>
    </row>
    <row r="93" spans="1:27" x14ac:dyDescent="0.25">
      <c r="A93" s="10" t="s">
        <v>1001</v>
      </c>
      <c r="B93" s="10" t="s">
        <v>1002</v>
      </c>
      <c r="C93" s="13">
        <f>_xll.BDH("AMGN US Equity","ARDR_SHARE_OUT_FROM_FRONT_COVER","FQ4 2018","FQ4 2018","Currency=USD","Period=FQ","BEST_FPERIOD_OVERRIDE=FQ","FILING_STATUS=MR","Sort=A","Dates=H","DateFormat=P","Fill=—","Direction=H","UseDPDF=Y")</f>
        <v>622.27800000000002</v>
      </c>
      <c r="D93" s="13">
        <f>_xll.BDH("AMGN US Equity","ARDR_SHARE_OUT_FROM_FRONT_COVER","FQ1 2019","FQ1 2019","Currency=USD","Period=FQ","BEST_FPERIOD_OVERRIDE=FQ","FILING_STATUS=MR","Sort=A","Dates=H","DateFormat=P","Fill=—","Direction=H","UseDPDF=Y")</f>
        <v>609.9357</v>
      </c>
      <c r="E93" s="13">
        <f>_xll.BDH("AMGN US Equity","ARDR_SHARE_OUT_FROM_FRONT_COVER","FQ2 2019","FQ2 2019","Currency=USD","Period=FQ","BEST_FPERIOD_OVERRIDE=FQ","FILING_STATUS=MR","Sort=A","Dates=H","DateFormat=P","Fill=—","Direction=H","UseDPDF=Y")</f>
        <v>599.70119999999997</v>
      </c>
      <c r="F93" s="13">
        <f>_xll.BDH("AMGN US Equity","ARDR_SHARE_OUT_FROM_FRONT_COVER","FQ3 2019","FQ3 2019","Currency=USD","Period=FQ","BEST_FPERIOD_OVERRIDE=FQ","FILING_STATUS=MR","Sort=A","Dates=H","DateFormat=P","Fill=—","Direction=H","UseDPDF=Y")</f>
        <v>594.18349999999998</v>
      </c>
      <c r="G93" s="13">
        <f>_xll.BDH("AMGN US Equity","ARDR_SHARE_OUT_FROM_FRONT_COVER","FQ4 2019","FQ4 2019","Currency=USD","Period=FQ","BEST_FPERIOD_OVERRIDE=FQ","FILING_STATUS=MR","Sort=A","Dates=H","DateFormat=P","Fill=—","Direction=H","UseDPDF=Y")</f>
        <v>589.80679999999995</v>
      </c>
      <c r="H93" s="13">
        <f>_xll.BDH("AMGN US Equity","ARDR_SHARE_OUT_FROM_FRONT_COVER","FQ1 2020","FQ1 2020","Currency=USD","Period=FQ","BEST_FPERIOD_OVERRIDE=FQ","FILING_STATUS=MR","Sort=A","Dates=H","DateFormat=P","Fill=—","Direction=H","UseDPDF=Y")</f>
        <v>588.24739999999997</v>
      </c>
      <c r="I93" s="13">
        <f>_xll.BDH("AMGN US Equity","ARDR_SHARE_OUT_FROM_FRONT_COVER","FQ2 2020","FQ2 2020","Currency=USD","Period=FQ","BEST_FPERIOD_OVERRIDE=FQ","FILING_STATUS=MR","Sort=A","Dates=H","DateFormat=P","Fill=—","Direction=H","UseDPDF=Y")</f>
        <v>585.69380000000001</v>
      </c>
      <c r="J93" s="13">
        <f>_xll.BDH("AMGN US Equity","ARDR_SHARE_OUT_FROM_FRONT_COVER","FQ3 2020","FQ3 2020","Currency=USD","Period=FQ","BEST_FPERIOD_OVERRIDE=FQ","FILING_STATUS=MR","Sort=A","Dates=H","DateFormat=P","Fill=—","Direction=H","UseDPDF=Y")</f>
        <v>582.16859999999997</v>
      </c>
      <c r="K93" s="13">
        <f>_xll.BDH("AMGN US Equity","ARDR_SHARE_OUT_FROM_FRONT_COVER","FQ4 2020","FQ4 2020","Currency=USD","Period=FQ","BEST_FPERIOD_OVERRIDE=FQ","FILING_STATUS=MR","Sort=A","Dates=H","DateFormat=P","Fill=—","Direction=H","UseDPDF=Y")</f>
        <v>577.56640000000004</v>
      </c>
      <c r="L93" s="13">
        <f>_xll.BDH("AMGN US Equity","ARDR_SHARE_OUT_FROM_FRONT_COVER","FQ1 2021","FQ1 2021","Currency=USD","Period=FQ","BEST_FPERIOD_OVERRIDE=FQ","FILING_STATUS=MR","Sort=A","Dates=H","DateFormat=P","Fill=—","Direction=H","UseDPDF=Y")</f>
        <v>574.55399999999997</v>
      </c>
      <c r="M93" s="13">
        <f>_xll.BDH("AMGN US Equity","ARDR_SHARE_OUT_FROM_FRONT_COVER","FQ2 2021","FQ2 2021","Currency=USD","Period=FQ","BEST_FPERIOD_OVERRIDE=FQ","FILING_STATUS=MR","Sort=A","Dates=H","DateFormat=P","Fill=—","Direction=H","UseDPDF=Y")</f>
        <v>567.85239999999999</v>
      </c>
      <c r="N93" s="13">
        <f>_xll.BDH("AMGN US Equity","ARDR_SHARE_OUT_FROM_FRONT_COVER","FQ3 2021","FQ3 2021","Currency=USD","Period=FQ","BEST_FPERIOD_OVERRIDE=FQ","FILING_STATUS=MR","Sort=A","Dates=H","DateFormat=P","Fill=—","Direction=H","UseDPDF=Y")</f>
        <v>563.26589999999999</v>
      </c>
      <c r="O93" s="13">
        <f>_xll.BDH("AMGN US Equity","ARDR_SHARE_OUT_FROM_FRONT_COVER","FQ4 2021","FQ4 2021","Currency=USD","Period=FQ","BEST_FPERIOD_OVERRIDE=FQ","FILING_STATUS=MR","Sort=A","Dates=H","DateFormat=P","Fill=—","Direction=H","UseDPDF=Y")</f>
        <v>557.02940000000001</v>
      </c>
      <c r="P93" s="13">
        <f>_xll.BDH("AMGN US Equity","ARDR_SHARE_OUT_FROM_FRONT_COVER","FQ1 2022","FQ1 2022","Currency=USD","Period=FQ","BEST_FPERIOD_OVERRIDE=FQ","FILING_STATUS=MR","Sort=A","Dates=H","DateFormat=P","Fill=—","Direction=H","UseDPDF=Y")</f>
        <v>534.19989999999996</v>
      </c>
      <c r="Q93" s="13">
        <f>_xll.BDH("AMGN US Equity","ARDR_SHARE_OUT_FROM_FRONT_COVER","FQ2 2022","FQ2 2022","Currency=USD","Period=FQ","BEST_FPERIOD_OVERRIDE=FQ","FILING_STATUS=MR","Sort=A","Dates=H","DateFormat=P","Fill=—","Direction=H","UseDPDF=Y")</f>
        <v>534.93089999999995</v>
      </c>
      <c r="R93" s="13">
        <f>_xll.BDH("AMGN US Equity","ARDR_SHARE_OUT_FROM_FRONT_COVER","FQ3 2022","FQ3 2022","Currency=USD","Period=FQ","BEST_FPERIOD_OVERRIDE=FQ","FILING_STATUS=MR","Sort=A","Dates=H","DateFormat=P","Fill=—","Direction=H","UseDPDF=Y")</f>
        <v>533.57920000000001</v>
      </c>
      <c r="S93" s="13">
        <f>_xll.BDH("AMGN US Equity","ARDR_SHARE_OUT_FROM_FRONT_COVER","FQ4 2022","FQ4 2022","Currency=USD","Period=FQ","BEST_FPERIOD_OVERRIDE=FQ","FILING_STATUS=MR","Sort=A","Dates=H","DateFormat=P","Fill=—","Direction=H","UseDPDF=Y")</f>
        <v>533.97619999999995</v>
      </c>
      <c r="T93" s="13">
        <f>_xll.BDH("AMGN US Equity","ARDR_SHARE_OUT_FROM_FRONT_COVER","FQ1 2023","FQ1 2023","Currency=USD","Period=FQ","BEST_FPERIOD_OVERRIDE=FQ","FILING_STATUS=MR","Sort=A","Dates=H","DateFormat=P","Fill=—","Direction=H","UseDPDF=Y")</f>
        <v>534.32659999999998</v>
      </c>
      <c r="U93" s="13">
        <f>_xll.BDH("AMGN US Equity","ARDR_SHARE_OUT_FROM_FRONT_COVER","FQ2 2023","FQ2 2023","Currency=USD","Period=FQ","BEST_FPERIOD_OVERRIDE=FQ","FILING_STATUS=MR","Sort=A","Dates=H","DateFormat=P","Fill=—","Direction=H","UseDPDF=Y")</f>
        <v>534.90120000000002</v>
      </c>
      <c r="V93" s="13">
        <f>_xll.BDH("AMGN US Equity","ARDR_SHARE_OUT_FROM_FRONT_COVER","FQ3 2023","FQ3 2023","Currency=USD","Period=FQ","BEST_FPERIOD_OVERRIDE=FQ","FILING_STATUS=MR","Sort=A","Dates=H","DateFormat=P","Fill=—","Direction=H","UseDPDF=Y")</f>
        <v>535.178</v>
      </c>
      <c r="W93" s="13">
        <f>_xll.BDH("AMGN US Equity","ARDR_SHARE_OUT_FROM_FRONT_COVER","FQ4 2023","FQ4 2023","Currency=USD","Period=FQ","BEST_FPERIOD_OVERRIDE=FQ","FILING_STATUS=MR","Sort=A","Dates=H","DateFormat=P","Fill=—","Direction=H","UseDPDF=Y")</f>
        <v>535.91890000000001</v>
      </c>
      <c r="X93" s="13">
        <f>_xll.BDH("AMGN US Equity","ARDR_SHARE_OUT_FROM_FRONT_COVER","FQ1 2024","FQ1 2024","Currency=USD","Period=FQ","BEST_FPERIOD_OVERRIDE=FQ","FILING_STATUS=MR","Sort=A","Dates=H","DateFormat=P","Fill=—","Direction=H","UseDPDF=Y")</f>
        <v>536.43470000000002</v>
      </c>
      <c r="Y93" s="13">
        <f>_xll.BDH("AMGN US Equity","ARDR_SHARE_OUT_FROM_FRONT_COVER","FQ2 2024","FQ2 2024","Currency=USD","Period=FQ","BEST_FPERIOD_OVERRIDE=FQ","FILING_STATUS=MR","Sort=A","Dates=H","DateFormat=P","Fill=—","Direction=H","UseDPDF=Y")</f>
        <v>537.32920000000001</v>
      </c>
      <c r="Z93" s="13">
        <f>_xll.BDH("AMGN US Equity","ARDR_SHARE_OUT_FROM_FRONT_COVER","FQ3 2024","FQ3 2024","Currency=USD","Period=FQ","BEST_FPERIOD_OVERRIDE=FQ","FILING_STATUS=MR","Sort=A","Dates=H","DateFormat=P","Fill=—","Direction=H","UseDPDF=Y")</f>
        <v>537.53269999999998</v>
      </c>
      <c r="AA93" s="13">
        <f>_xll.BDH("AMGN US Equity","ARDR_SHARE_OUT_FROM_FRONT_COVER","FQ4 2024","FQ4 2024","Currency=USD","Period=FQ","BEST_FPERIOD_OVERRIDE=FQ","FILING_STATUS=MR","Sort=A","Dates=H","DateFormat=P","Fill=—","Direction=H","UseDPDF=Y")</f>
        <v>537.20489999999995</v>
      </c>
    </row>
    <row r="94" spans="1:27" x14ac:dyDescent="0.25">
      <c r="A94" s="10" t="s">
        <v>1003</v>
      </c>
      <c r="B94" s="10" t="s">
        <v>1004</v>
      </c>
      <c r="C94" s="13" t="str">
        <f>_xll.BDH("AMGN US Equity","ARDR_LICENSES","FQ4 2018","FQ4 2018","Currency=USD","Period=FQ","BEST_FPERIOD_OVERRIDE=FQ","FILING_STATUS=MR","SCALING_FORMAT=MLN","Sort=A","Dates=H","DateFormat=P","Fill=—","Direction=H","UseDPDF=Y")</f>
        <v>—</v>
      </c>
      <c r="D94" s="13" t="str">
        <f>_xll.BDH("AMGN US Equity","ARDR_LICENSES","FQ1 2019","FQ1 2019","Currency=USD","Period=FQ","BEST_FPERIOD_OVERRIDE=FQ","FILING_STATUS=MR","SCALING_FORMAT=MLN","Sort=A","Dates=H","DateFormat=P","Fill=—","Direction=H","UseDPDF=Y")</f>
        <v>—</v>
      </c>
      <c r="E94" s="13" t="str">
        <f>_xll.BDH("AMGN US Equity","ARDR_LICENSES","FQ2 2019","FQ2 2019","Currency=USD","Period=FQ","BEST_FPERIOD_OVERRIDE=FQ","FILING_STATUS=MR","SCALING_FORMAT=MLN","Sort=A","Dates=H","DateFormat=P","Fill=—","Direction=H","UseDPDF=Y")</f>
        <v>—</v>
      </c>
      <c r="F94" s="13" t="str">
        <f>_xll.BDH("AMGN US Equity","ARDR_LICENSES","FQ3 2019","FQ3 2019","Currency=USD","Period=FQ","BEST_FPERIOD_OVERRIDE=FQ","FILING_STATUS=MR","SCALING_FORMAT=MLN","Sort=A","Dates=H","DateFormat=P","Fill=—","Direction=H","UseDPDF=Y")</f>
        <v>—</v>
      </c>
      <c r="G94" s="13" t="str">
        <f>_xll.BDH("AMGN US Equity","ARDR_LICENSES","FQ4 2019","FQ4 2019","Currency=USD","Period=FQ","BEST_FPERIOD_OVERRIDE=FQ","FILING_STATUS=MR","SCALING_FORMAT=MLN","Sort=A","Dates=H","DateFormat=P","Fill=—","Direction=H","UseDPDF=Y")</f>
        <v>—</v>
      </c>
      <c r="H94" s="13" t="str">
        <f>_xll.BDH("AMGN US Equity","ARDR_LICENSES","FQ1 2020","FQ1 2020","Currency=USD","Period=FQ","BEST_FPERIOD_OVERRIDE=FQ","FILING_STATUS=MR","SCALING_FORMAT=MLN","Sort=A","Dates=H","DateFormat=P","Fill=—","Direction=H","UseDPDF=Y")</f>
        <v>—</v>
      </c>
      <c r="I94" s="13" t="str">
        <f>_xll.BDH("AMGN US Equity","ARDR_LICENSES","FQ2 2020","FQ2 2020","Currency=USD","Period=FQ","BEST_FPERIOD_OVERRIDE=FQ","FILING_STATUS=MR","SCALING_FORMAT=MLN","Sort=A","Dates=H","DateFormat=P","Fill=—","Direction=H","UseDPDF=Y")</f>
        <v>—</v>
      </c>
      <c r="J94" s="13">
        <f>_xll.BDH("AMGN US Equity","ARDR_LICENSES","FQ3 2020","FQ3 2020","Currency=USD","Period=FQ","BEST_FPERIOD_OVERRIDE=FQ","FILING_STATUS=MR","SCALING_FORMAT=MLN","Sort=A","Dates=H","DateFormat=P","Fill=—","Direction=H","UseDPDF=Y")</f>
        <v>1037</v>
      </c>
      <c r="K94" s="13" t="str">
        <f>_xll.BDH("AMGN US Equity","ARDR_LICENSES","FQ4 2020","FQ4 2020","Currency=USD","Period=FQ","BEST_FPERIOD_OVERRIDE=FQ","FILING_STATUS=MR","SCALING_FORMAT=MLN","Sort=A","Dates=H","DateFormat=P","Fill=—","Direction=H","UseDPDF=Y")</f>
        <v>—</v>
      </c>
      <c r="L94" s="13" t="str">
        <f>_xll.BDH("AMGN US Equity","ARDR_LICENSES","FQ1 2021","FQ1 2021","Currency=USD","Period=FQ","BEST_FPERIOD_OVERRIDE=FQ","FILING_STATUS=MR","SCALING_FORMAT=MLN","Sort=A","Dates=H","DateFormat=P","Fill=—","Direction=H","UseDPDF=Y")</f>
        <v>—</v>
      </c>
      <c r="M94" s="13" t="str">
        <f>_xll.BDH("AMGN US Equity","ARDR_LICENSES","FQ2 2021","FQ2 2021","Currency=USD","Period=FQ","BEST_FPERIOD_OVERRIDE=FQ","FILING_STATUS=MR","SCALING_FORMAT=MLN","Sort=A","Dates=H","DateFormat=P","Fill=—","Direction=H","UseDPDF=Y")</f>
        <v>—</v>
      </c>
      <c r="N94" s="13">
        <f>_xll.BDH("AMGN US Equity","ARDR_LICENSES","FQ3 2021","FQ3 2021","Currency=USD","Period=FQ","BEST_FPERIOD_OVERRIDE=FQ","FILING_STATUS=MR","SCALING_FORMAT=MLN","Sort=A","Dates=H","DateFormat=P","Fill=—","Direction=H","UseDPDF=Y")</f>
        <v>835</v>
      </c>
      <c r="O94" s="13" t="str">
        <f>_xll.BDH("AMGN US Equity","ARDR_LICENSES","FQ4 2021","FQ4 2021","Currency=USD","Period=FQ","BEST_FPERIOD_OVERRIDE=FQ","FILING_STATUS=MR","SCALING_FORMAT=MLN","Sort=A","Dates=H","DateFormat=P","Fill=—","Direction=H","UseDPDF=Y")</f>
        <v>—</v>
      </c>
      <c r="P94" s="13" t="str">
        <f>_xll.BDH("AMGN US Equity","ARDR_LICENSES","FQ1 2022","FQ1 2022","Currency=USD","Period=FQ","BEST_FPERIOD_OVERRIDE=FQ","FILING_STATUS=MR","SCALING_FORMAT=MLN","Sort=A","Dates=H","DateFormat=P","Fill=—","Direction=H","UseDPDF=Y")</f>
        <v>—</v>
      </c>
      <c r="Q94" s="13" t="str">
        <f>_xll.BDH("AMGN US Equity","ARDR_LICENSES","FQ2 2022","FQ2 2022","Currency=USD","Period=FQ","BEST_FPERIOD_OVERRIDE=FQ","FILING_STATUS=MR","SCALING_FORMAT=MLN","Sort=A","Dates=H","DateFormat=P","Fill=—","Direction=H","UseDPDF=Y")</f>
        <v>—</v>
      </c>
      <c r="R94" s="13">
        <f>_xll.BDH("AMGN US Equity","ARDR_LICENSES","FQ3 2022","FQ3 2022","Currency=USD","Period=FQ","BEST_FPERIOD_OVERRIDE=FQ","FILING_STATUS=MR","SCALING_FORMAT=MLN","Sort=A","Dates=H","DateFormat=P","Fill=—","Direction=H","UseDPDF=Y")</f>
        <v>777</v>
      </c>
      <c r="S94" s="13" t="str">
        <f>_xll.BDH("AMGN US Equity","ARDR_LICENSES","FQ4 2022","FQ4 2022","Currency=USD","Period=FQ","BEST_FPERIOD_OVERRIDE=FQ","FILING_STATUS=MR","SCALING_FORMAT=MLN","Sort=A","Dates=H","DateFormat=P","Fill=—","Direction=H","UseDPDF=Y")</f>
        <v>—</v>
      </c>
      <c r="T94" s="13" t="str">
        <f>_xll.BDH("AMGN US Equity","ARDR_LICENSES","FQ1 2023","FQ1 2023","Currency=USD","Period=FQ","BEST_FPERIOD_OVERRIDE=FQ","FILING_STATUS=MR","SCALING_FORMAT=MLN","Sort=A","Dates=H","DateFormat=P","Fill=—","Direction=H","UseDPDF=Y")</f>
        <v>—</v>
      </c>
      <c r="U94" s="13">
        <f>_xll.BDH("AMGN US Equity","ARDR_LICENSES","FQ2 2023","FQ2 2023","Currency=USD","Period=FQ","BEST_FPERIOD_OVERRIDE=FQ","FILING_STATUS=MR","SCALING_FORMAT=MLN","Sort=A","Dates=H","DateFormat=P","Fill=—","Direction=H","UseDPDF=Y")</f>
        <v>667</v>
      </c>
      <c r="V94" s="13" t="str">
        <f>_xll.BDH("AMGN US Equity","ARDR_LICENSES","FQ3 2023","FQ3 2023","Currency=USD","Period=FQ","BEST_FPERIOD_OVERRIDE=FQ","FILING_STATUS=MR","SCALING_FORMAT=MLN","Sort=A","Dates=H","DateFormat=P","Fill=—","Direction=H","UseDPDF=Y")</f>
        <v>—</v>
      </c>
      <c r="W94" s="13" t="str">
        <f>_xll.BDH("AMGN US Equity","ARDR_LICENSES","FQ4 2023","FQ4 2023","Currency=USD","Period=FQ","BEST_FPERIOD_OVERRIDE=FQ","FILING_STATUS=MR","SCALING_FORMAT=MLN","Sort=A","Dates=H","DateFormat=P","Fill=—","Direction=H","UseDPDF=Y")</f>
        <v>—</v>
      </c>
      <c r="X94" s="13" t="str">
        <f>_xll.BDH("AMGN US Equity","ARDR_LICENSES","FQ1 2024","FQ1 2024","Currency=USD","Period=FQ","BEST_FPERIOD_OVERRIDE=FQ","FILING_STATUS=MR","SCALING_FORMAT=MLN","Sort=A","Dates=H","DateFormat=P","Fill=—","Direction=H","UseDPDF=Y")</f>
        <v>—</v>
      </c>
      <c r="Y94" s="13" t="str">
        <f>_xll.BDH("AMGN US Equity","ARDR_LICENSES","FQ2 2024","FQ2 2024","Currency=USD","Period=FQ","BEST_FPERIOD_OVERRIDE=FQ","FILING_STATUS=MR","SCALING_FORMAT=MLN","Sort=A","Dates=H","DateFormat=P","Fill=—","Direction=H","UseDPDF=Y")</f>
        <v>—</v>
      </c>
      <c r="Z94" s="13" t="str">
        <f>_xll.BDH("AMGN US Equity","ARDR_LICENSES","FQ3 2024","FQ3 2024","Currency=USD","Period=FQ","BEST_FPERIOD_OVERRIDE=FQ","FILING_STATUS=MR","SCALING_FORMAT=MLN","Sort=A","Dates=H","DateFormat=P","Fill=—","Direction=H","UseDPDF=Y")</f>
        <v>—</v>
      </c>
      <c r="AA94" s="13" t="str">
        <f>_xll.BDH("AMGN US Equity","ARDR_LICENSES","FQ4 2024","FQ4 2024","Currency=USD","Period=FQ","BEST_FPERIOD_OVERRIDE=FQ","FILING_STATUS=MR","SCALING_FORMAT=MLN","Sort=A","Dates=H","DateFormat=P","Fill=—","Direction=H","UseDPDF=Y")</f>
        <v>—</v>
      </c>
    </row>
    <row r="95" spans="1:27" x14ac:dyDescent="0.25">
      <c r="A95" s="10" t="s">
        <v>1005</v>
      </c>
      <c r="B95" s="10" t="s">
        <v>1006</v>
      </c>
      <c r="C95" s="14" t="str">
        <f>_xll.BDH("AMGN US Equity","ARDR_NUM_OF_EMPLOYEES_PERIOD_END","FQ4 2018","FQ4 2018","Currency=USD","Period=FQ","BEST_FPERIOD_OVERRIDE=FQ","FILING_STATUS=MR","Sort=A","Dates=H","DateFormat=P","Fill=—","Direction=H","UseDPDF=Y")</f>
        <v>—</v>
      </c>
      <c r="D95" s="14" t="str">
        <f>_xll.BDH("AMGN US Equity","ARDR_NUM_OF_EMPLOYEES_PERIOD_END","FQ1 2019","FQ1 2019","Currency=USD","Period=FQ","BEST_FPERIOD_OVERRIDE=FQ","FILING_STATUS=MR","Sort=A","Dates=H","DateFormat=P","Fill=—","Direction=H","UseDPDF=Y")</f>
        <v>—</v>
      </c>
      <c r="E95" s="14" t="str">
        <f>_xll.BDH("AMGN US Equity","ARDR_NUM_OF_EMPLOYEES_PERIOD_END","FQ2 2019","FQ2 2019","Currency=USD","Period=FQ","BEST_FPERIOD_OVERRIDE=FQ","FILING_STATUS=MR","Sort=A","Dates=H","DateFormat=P","Fill=—","Direction=H","UseDPDF=Y")</f>
        <v>—</v>
      </c>
      <c r="F95" s="14" t="str">
        <f>_xll.BDH("AMGN US Equity","ARDR_NUM_OF_EMPLOYEES_PERIOD_END","FQ3 2019","FQ3 2019","Currency=USD","Period=FQ","BEST_FPERIOD_OVERRIDE=FQ","FILING_STATUS=MR","Sort=A","Dates=H","DateFormat=P","Fill=—","Direction=H","UseDPDF=Y")</f>
        <v>—</v>
      </c>
      <c r="G95" s="14" t="str">
        <f>_xll.BDH("AMGN US Equity","ARDR_NUM_OF_EMPLOYEES_PERIOD_END","FQ4 2019","FQ4 2019","Currency=USD","Period=FQ","BEST_FPERIOD_OVERRIDE=FQ","FILING_STATUS=MR","Sort=A","Dates=H","DateFormat=P","Fill=—","Direction=H","UseDPDF=Y")</f>
        <v>—</v>
      </c>
      <c r="H95" s="14" t="str">
        <f>_xll.BDH("AMGN US Equity","ARDR_NUM_OF_EMPLOYEES_PERIOD_END","FQ1 2020","FQ1 2020","Currency=USD","Period=FQ","BEST_FPERIOD_OVERRIDE=FQ","FILING_STATUS=MR","Sort=A","Dates=H","DateFormat=P","Fill=—","Direction=H","UseDPDF=Y")</f>
        <v>—</v>
      </c>
      <c r="I95" s="14" t="str">
        <f>_xll.BDH("AMGN US Equity","ARDR_NUM_OF_EMPLOYEES_PERIOD_END","FQ2 2020","FQ2 2020","Currency=USD","Period=FQ","BEST_FPERIOD_OVERRIDE=FQ","FILING_STATUS=MR","Sort=A","Dates=H","DateFormat=P","Fill=—","Direction=H","UseDPDF=Y")</f>
        <v>—</v>
      </c>
      <c r="J95" s="14" t="str">
        <f>_xll.BDH("AMGN US Equity","ARDR_NUM_OF_EMPLOYEES_PERIOD_END","FQ3 2020","FQ3 2020","Currency=USD","Period=FQ","BEST_FPERIOD_OVERRIDE=FQ","FILING_STATUS=MR","Sort=A","Dates=H","DateFormat=P","Fill=—","Direction=H","UseDPDF=Y")</f>
        <v>—</v>
      </c>
      <c r="K95" s="14" t="str">
        <f>_xll.BDH("AMGN US Equity","ARDR_NUM_OF_EMPLOYEES_PERIOD_END","FQ4 2020","FQ4 2020","Currency=USD","Period=FQ","BEST_FPERIOD_OVERRIDE=FQ","FILING_STATUS=MR","Sort=A","Dates=H","DateFormat=P","Fill=—","Direction=H","UseDPDF=Y")</f>
        <v>—</v>
      </c>
      <c r="L95" s="14" t="str">
        <f>_xll.BDH("AMGN US Equity","ARDR_NUM_OF_EMPLOYEES_PERIOD_END","FQ1 2021","FQ1 2021","Currency=USD","Period=FQ","BEST_FPERIOD_OVERRIDE=FQ","FILING_STATUS=MR","Sort=A","Dates=H","DateFormat=P","Fill=—","Direction=H","UseDPDF=Y")</f>
        <v>—</v>
      </c>
      <c r="M95" s="14" t="str">
        <f>_xll.BDH("AMGN US Equity","ARDR_NUM_OF_EMPLOYEES_PERIOD_END","FQ2 2021","FQ2 2021","Currency=USD","Period=FQ","BEST_FPERIOD_OVERRIDE=FQ","FILING_STATUS=MR","Sort=A","Dates=H","DateFormat=P","Fill=—","Direction=H","UseDPDF=Y")</f>
        <v>—</v>
      </c>
      <c r="N95" s="14" t="str">
        <f>_xll.BDH("AMGN US Equity","ARDR_NUM_OF_EMPLOYEES_PERIOD_END","FQ3 2021","FQ3 2021","Currency=USD","Period=FQ","BEST_FPERIOD_OVERRIDE=FQ","FILING_STATUS=MR","Sort=A","Dates=H","DateFormat=P","Fill=—","Direction=H","UseDPDF=Y")</f>
        <v>—</v>
      </c>
      <c r="O95" s="14" t="str">
        <f>_xll.BDH("AMGN US Equity","ARDR_NUM_OF_EMPLOYEES_PERIOD_END","FQ4 2021","FQ4 2021","Currency=USD","Period=FQ","BEST_FPERIOD_OVERRIDE=FQ","FILING_STATUS=MR","Sort=A","Dates=H","DateFormat=P","Fill=—","Direction=H","UseDPDF=Y")</f>
        <v>—</v>
      </c>
      <c r="P95" s="14" t="str">
        <f>_xll.BDH("AMGN US Equity","ARDR_NUM_OF_EMPLOYEES_PERIOD_END","FQ1 2022","FQ1 2022","Currency=USD","Period=FQ","BEST_FPERIOD_OVERRIDE=FQ","FILING_STATUS=MR","Sort=A","Dates=H","DateFormat=P","Fill=—","Direction=H","UseDPDF=Y")</f>
        <v>—</v>
      </c>
      <c r="Q95" s="14" t="str">
        <f>_xll.BDH("AMGN US Equity","ARDR_NUM_OF_EMPLOYEES_PERIOD_END","FQ2 2022","FQ2 2022","Currency=USD","Period=FQ","BEST_FPERIOD_OVERRIDE=FQ","FILING_STATUS=MR","Sort=A","Dates=H","DateFormat=P","Fill=—","Direction=H","UseDPDF=Y")</f>
        <v>—</v>
      </c>
      <c r="R95" s="14" t="str">
        <f>_xll.BDH("AMGN US Equity","ARDR_NUM_OF_EMPLOYEES_PERIOD_END","FQ3 2022","FQ3 2022","Currency=USD","Period=FQ","BEST_FPERIOD_OVERRIDE=FQ","FILING_STATUS=MR","Sort=A","Dates=H","DateFormat=P","Fill=—","Direction=H","UseDPDF=Y")</f>
        <v>—</v>
      </c>
      <c r="S95" s="14">
        <f>_xll.BDH("AMGN US Equity","ARDR_NUM_OF_EMPLOYEES_PERIOD_END","FQ4 2022","FQ4 2022","Currency=USD","Period=FQ","BEST_FPERIOD_OVERRIDE=FQ","FILING_STATUS=MR","Sort=A","Dates=H","DateFormat=P","Fill=—","Direction=H","UseDPDF=Y")</f>
        <v>25200</v>
      </c>
      <c r="T95" s="14" t="str">
        <f>_xll.BDH("AMGN US Equity","ARDR_NUM_OF_EMPLOYEES_PERIOD_END","FQ1 2023","FQ1 2023","Currency=USD","Period=FQ","BEST_FPERIOD_OVERRIDE=FQ","FILING_STATUS=MR","Sort=A","Dates=H","DateFormat=P","Fill=—","Direction=H","UseDPDF=Y")</f>
        <v>—</v>
      </c>
      <c r="U95" s="14" t="str">
        <f>_xll.BDH("AMGN US Equity","ARDR_NUM_OF_EMPLOYEES_PERIOD_END","FQ2 2023","FQ2 2023","Currency=USD","Period=FQ","BEST_FPERIOD_OVERRIDE=FQ","FILING_STATUS=MR","Sort=A","Dates=H","DateFormat=P","Fill=—","Direction=H","UseDPDF=Y")</f>
        <v>—</v>
      </c>
      <c r="V95" s="14" t="str">
        <f>_xll.BDH("AMGN US Equity","ARDR_NUM_OF_EMPLOYEES_PERIOD_END","FQ3 2023","FQ3 2023","Currency=USD","Period=FQ","BEST_FPERIOD_OVERRIDE=FQ","FILING_STATUS=MR","Sort=A","Dates=H","DateFormat=P","Fill=—","Direction=H","UseDPDF=Y")</f>
        <v>—</v>
      </c>
      <c r="W95" s="14">
        <f>_xll.BDH("AMGN US Equity","ARDR_NUM_OF_EMPLOYEES_PERIOD_END","FQ4 2023","FQ4 2023","Currency=USD","Period=FQ","BEST_FPERIOD_OVERRIDE=FQ","FILING_STATUS=MR","Sort=A","Dates=H","DateFormat=P","Fill=—","Direction=H","UseDPDF=Y")</f>
        <v>26700</v>
      </c>
      <c r="X95" s="14" t="str">
        <f>_xll.BDH("AMGN US Equity","ARDR_NUM_OF_EMPLOYEES_PERIOD_END","FQ1 2024","FQ1 2024","Currency=USD","Period=FQ","BEST_FPERIOD_OVERRIDE=FQ","FILING_STATUS=MR","Sort=A","Dates=H","DateFormat=P","Fill=—","Direction=H","UseDPDF=Y")</f>
        <v>—</v>
      </c>
      <c r="Y95" s="14" t="str">
        <f>_xll.BDH("AMGN US Equity","ARDR_NUM_OF_EMPLOYEES_PERIOD_END","FQ2 2024","FQ2 2024","Currency=USD","Period=FQ","BEST_FPERIOD_OVERRIDE=FQ","FILING_STATUS=MR","Sort=A","Dates=H","DateFormat=P","Fill=—","Direction=H","UseDPDF=Y")</f>
        <v>—</v>
      </c>
      <c r="Z95" s="14" t="str">
        <f>_xll.BDH("AMGN US Equity","ARDR_NUM_OF_EMPLOYEES_PERIOD_END","FQ3 2024","FQ3 2024","Currency=USD","Period=FQ","BEST_FPERIOD_OVERRIDE=FQ","FILING_STATUS=MR","Sort=A","Dates=H","DateFormat=P","Fill=—","Direction=H","UseDPDF=Y")</f>
        <v>—</v>
      </c>
      <c r="AA95" s="14">
        <f>_xll.BDH("AMGN US Equity","ARDR_NUM_OF_EMPLOYEES_PERIOD_END","FQ4 2024","FQ4 2024","Currency=USD","Period=FQ","BEST_FPERIOD_OVERRIDE=FQ","FILING_STATUS=MR","Sort=A","Dates=H","DateFormat=P","Fill=—","Direction=H","UseDPDF=Y")</f>
        <v>28000</v>
      </c>
    </row>
    <row r="96" spans="1:27" x14ac:dyDescent="0.25">
      <c r="A96" s="10" t="s">
        <v>1007</v>
      </c>
      <c r="B96" s="10" t="s">
        <v>1008</v>
      </c>
      <c r="C96" s="13" t="str">
        <f>_xll.BDH("AMGN US Equity","ARDR_ACCUM_AMORT_GOODWILL","FQ4 2018","FQ4 2018","Currency=USD","Period=FQ","BEST_FPERIOD_OVERRIDE=FQ","FILING_STATUS=MR","SCALING_FORMAT=MLN","Sort=A","Dates=H","DateFormat=P","Fill=—","Direction=H","UseDPDF=Y")</f>
        <v>—</v>
      </c>
      <c r="D96" s="13" t="str">
        <f>_xll.BDH("AMGN US Equity","ARDR_ACCUM_AMORT_GOODWILL","FQ1 2019","FQ1 2019","Currency=USD","Period=FQ","BEST_FPERIOD_OVERRIDE=FQ","FILING_STATUS=MR","SCALING_FORMAT=MLN","Sort=A","Dates=H","DateFormat=P","Fill=—","Direction=H","UseDPDF=Y")</f>
        <v>—</v>
      </c>
      <c r="E96" s="13" t="str">
        <f>_xll.BDH("AMGN US Equity","ARDR_ACCUM_AMORT_GOODWILL","FQ2 2019","FQ2 2019","Currency=USD","Period=FQ","BEST_FPERIOD_OVERRIDE=FQ","FILING_STATUS=MR","SCALING_FORMAT=MLN","Sort=A","Dates=H","DateFormat=P","Fill=—","Direction=H","UseDPDF=Y")</f>
        <v>—</v>
      </c>
      <c r="F96" s="13" t="str">
        <f>_xll.BDH("AMGN US Equity","ARDR_ACCUM_AMORT_GOODWILL","FQ3 2019","FQ3 2019","Currency=USD","Period=FQ","BEST_FPERIOD_OVERRIDE=FQ","FILING_STATUS=MR","SCALING_FORMAT=MLN","Sort=A","Dates=H","DateFormat=P","Fill=—","Direction=H","UseDPDF=Y")</f>
        <v>—</v>
      </c>
      <c r="G96" s="13" t="str">
        <f>_xll.BDH("AMGN US Equity","ARDR_ACCUM_AMORT_GOODWILL","FQ4 2019","FQ4 2019","Currency=USD","Period=FQ","BEST_FPERIOD_OVERRIDE=FQ","FILING_STATUS=MR","SCALING_FORMAT=MLN","Sort=A","Dates=H","DateFormat=P","Fill=—","Direction=H","UseDPDF=Y")</f>
        <v>—</v>
      </c>
      <c r="H96" s="13" t="str">
        <f>_xll.BDH("AMGN US Equity","ARDR_ACCUM_AMORT_GOODWILL","FQ1 2020","FQ1 2020","Currency=USD","Period=FQ","BEST_FPERIOD_OVERRIDE=FQ","FILING_STATUS=MR","SCALING_FORMAT=MLN","Sort=A","Dates=H","DateFormat=P","Fill=—","Direction=H","UseDPDF=Y")</f>
        <v>—</v>
      </c>
      <c r="I96" s="13" t="str">
        <f>_xll.BDH("AMGN US Equity","ARDR_ACCUM_AMORT_GOODWILL","FQ2 2020","FQ2 2020","Currency=USD","Period=FQ","BEST_FPERIOD_OVERRIDE=FQ","FILING_STATUS=MR","SCALING_FORMAT=MLN","Sort=A","Dates=H","DateFormat=P","Fill=—","Direction=H","UseDPDF=Y")</f>
        <v>—</v>
      </c>
      <c r="J96" s="13" t="str">
        <f>_xll.BDH("AMGN US Equity","ARDR_ACCUM_AMORT_GOODWILL","FQ3 2020","FQ3 2020","Currency=USD","Period=FQ","BEST_FPERIOD_OVERRIDE=FQ","FILING_STATUS=MR","SCALING_FORMAT=MLN","Sort=A","Dates=H","DateFormat=P","Fill=—","Direction=H","UseDPDF=Y")</f>
        <v>—</v>
      </c>
      <c r="K96" s="13" t="str">
        <f>_xll.BDH("AMGN US Equity","ARDR_ACCUM_AMORT_GOODWILL","FQ4 2020","FQ4 2020","Currency=USD","Period=FQ","BEST_FPERIOD_OVERRIDE=FQ","FILING_STATUS=MR","SCALING_FORMAT=MLN","Sort=A","Dates=H","DateFormat=P","Fill=—","Direction=H","UseDPDF=Y")</f>
        <v>—</v>
      </c>
      <c r="L96" s="13" t="str">
        <f>_xll.BDH("AMGN US Equity","ARDR_ACCUM_AMORT_GOODWILL","FQ1 2021","FQ1 2021","Currency=USD","Period=FQ","BEST_FPERIOD_OVERRIDE=FQ","FILING_STATUS=MR","SCALING_FORMAT=MLN","Sort=A","Dates=H","DateFormat=P","Fill=—","Direction=H","UseDPDF=Y")</f>
        <v>—</v>
      </c>
      <c r="M96" s="13" t="str">
        <f>_xll.BDH("AMGN US Equity","ARDR_ACCUM_AMORT_GOODWILL","FQ2 2021","FQ2 2021","Currency=USD","Period=FQ","BEST_FPERIOD_OVERRIDE=FQ","FILING_STATUS=MR","SCALING_FORMAT=MLN","Sort=A","Dates=H","DateFormat=P","Fill=—","Direction=H","UseDPDF=Y")</f>
        <v>—</v>
      </c>
      <c r="N96" s="13" t="str">
        <f>_xll.BDH("AMGN US Equity","ARDR_ACCUM_AMORT_GOODWILL","FQ3 2021","FQ3 2021","Currency=USD","Period=FQ","BEST_FPERIOD_OVERRIDE=FQ","FILING_STATUS=MR","SCALING_FORMAT=MLN","Sort=A","Dates=H","DateFormat=P","Fill=—","Direction=H","UseDPDF=Y")</f>
        <v>—</v>
      </c>
      <c r="O96" s="13" t="str">
        <f>_xll.BDH("AMGN US Equity","ARDR_ACCUM_AMORT_GOODWILL","FQ4 2021","FQ4 2021","Currency=USD","Period=FQ","BEST_FPERIOD_OVERRIDE=FQ","FILING_STATUS=MR","SCALING_FORMAT=MLN","Sort=A","Dates=H","DateFormat=P","Fill=—","Direction=H","UseDPDF=Y")</f>
        <v>—</v>
      </c>
      <c r="P96" s="13" t="str">
        <f>_xll.BDH("AMGN US Equity","ARDR_ACCUM_AMORT_GOODWILL","FQ1 2022","FQ1 2022","Currency=USD","Period=FQ","BEST_FPERIOD_OVERRIDE=FQ","FILING_STATUS=MR","SCALING_FORMAT=MLN","Sort=A","Dates=H","DateFormat=P","Fill=—","Direction=H","UseDPDF=Y")</f>
        <v>—</v>
      </c>
      <c r="Q96" s="13" t="str">
        <f>_xll.BDH("AMGN US Equity","ARDR_ACCUM_AMORT_GOODWILL","FQ2 2022","FQ2 2022","Currency=USD","Period=FQ","BEST_FPERIOD_OVERRIDE=FQ","FILING_STATUS=MR","SCALING_FORMAT=MLN","Sort=A","Dates=H","DateFormat=P","Fill=—","Direction=H","UseDPDF=Y")</f>
        <v>—</v>
      </c>
      <c r="R96" s="13" t="str">
        <f>_xll.BDH("AMGN US Equity","ARDR_ACCUM_AMORT_GOODWILL","FQ3 2022","FQ3 2022","Currency=USD","Period=FQ","BEST_FPERIOD_OVERRIDE=FQ","FILING_STATUS=MR","SCALING_FORMAT=MLN","Sort=A","Dates=H","DateFormat=P","Fill=—","Direction=H","UseDPDF=Y")</f>
        <v>—</v>
      </c>
      <c r="S96" s="13" t="str">
        <f>_xll.BDH("AMGN US Equity","ARDR_ACCUM_AMORT_GOODWILL","FQ4 2022","FQ4 2022","Currency=USD","Period=FQ","BEST_FPERIOD_OVERRIDE=FQ","FILING_STATUS=MR","SCALING_FORMAT=MLN","Sort=A","Dates=H","DateFormat=P","Fill=—","Direction=H","UseDPDF=Y")</f>
        <v>—</v>
      </c>
      <c r="T96" s="13" t="str">
        <f>_xll.BDH("AMGN US Equity","ARDR_ACCUM_AMORT_GOODWILL","FQ1 2023","FQ1 2023","Currency=USD","Period=FQ","BEST_FPERIOD_OVERRIDE=FQ","FILING_STATUS=MR","SCALING_FORMAT=MLN","Sort=A","Dates=H","DateFormat=P","Fill=—","Direction=H","UseDPDF=Y")</f>
        <v>—</v>
      </c>
      <c r="U96" s="13">
        <f>_xll.BDH("AMGN US Equity","ARDR_ACCUM_AMORT_GOODWILL","FQ2 2023","FQ2 2023","Currency=USD","Period=FQ","BEST_FPERIOD_OVERRIDE=FQ","FILING_STATUS=MR","SCALING_FORMAT=MLN","Sort=A","Dates=H","DateFormat=P","Fill=—","Direction=H","UseDPDF=Y")</f>
        <v>21916</v>
      </c>
      <c r="V96" s="13" t="str">
        <f>_xll.BDH("AMGN US Equity","ARDR_ACCUM_AMORT_GOODWILL","FQ3 2023","FQ3 2023","Currency=USD","Period=FQ","BEST_FPERIOD_OVERRIDE=FQ","FILING_STATUS=MR","SCALING_FORMAT=MLN","Sort=A","Dates=H","DateFormat=P","Fill=—","Direction=H","UseDPDF=Y")</f>
        <v>—</v>
      </c>
      <c r="W96" s="13" t="str">
        <f>_xll.BDH("AMGN US Equity","ARDR_ACCUM_AMORT_GOODWILL","FQ4 2023","FQ4 2023","Currency=USD","Period=FQ","BEST_FPERIOD_OVERRIDE=FQ","FILING_STATUS=MR","SCALING_FORMAT=MLN","Sort=A","Dates=H","DateFormat=P","Fill=—","Direction=H","UseDPDF=Y")</f>
        <v>—</v>
      </c>
      <c r="X96" s="13" t="str">
        <f>_xll.BDH("AMGN US Equity","ARDR_ACCUM_AMORT_GOODWILL","FQ1 2024","FQ1 2024","Currency=USD","Period=FQ","BEST_FPERIOD_OVERRIDE=FQ","FILING_STATUS=MR","SCALING_FORMAT=MLN","Sort=A","Dates=H","DateFormat=P","Fill=—","Direction=H","UseDPDF=Y")</f>
        <v>—</v>
      </c>
      <c r="Y96" s="13" t="str">
        <f>_xll.BDH("AMGN US Equity","ARDR_ACCUM_AMORT_GOODWILL","FQ2 2024","FQ2 2024","Currency=USD","Period=FQ","BEST_FPERIOD_OVERRIDE=FQ","FILING_STATUS=MR","SCALING_FORMAT=MLN","Sort=A","Dates=H","DateFormat=P","Fill=—","Direction=H","UseDPDF=Y")</f>
        <v>—</v>
      </c>
      <c r="Z96" s="13" t="str">
        <f>_xll.BDH("AMGN US Equity","ARDR_ACCUM_AMORT_GOODWILL","FQ3 2024","FQ3 2024","Currency=USD","Period=FQ","BEST_FPERIOD_OVERRIDE=FQ","FILING_STATUS=MR","SCALING_FORMAT=MLN","Sort=A","Dates=H","DateFormat=P","Fill=—","Direction=H","UseDPDF=Y")</f>
        <v>—</v>
      </c>
      <c r="AA96" s="13" t="str">
        <f>_xll.BDH("AMGN US Equity","ARDR_ACCUM_AMORT_GOODWILL","FQ4 2024","FQ4 2024","Currency=USD","Period=FQ","BEST_FPERIOD_OVERRIDE=FQ","FILING_STATUS=MR","SCALING_FORMAT=MLN","Sort=A","Dates=H","DateFormat=P","Fill=—","Direction=H","UseDPDF=Y")</f>
        <v>—</v>
      </c>
    </row>
    <row r="97" spans="1:27" x14ac:dyDescent="0.25">
      <c r="A97" s="10" t="s">
        <v>1009</v>
      </c>
      <c r="B97" s="10" t="s">
        <v>1010</v>
      </c>
      <c r="C97" s="13">
        <f>_xll.BDH("AMGN US Equity","ARDR_ACCCUM_AMORT_INTANG_ASSET","FQ4 2018","FQ4 2018","Currency=USD","Period=FQ","BEST_FPERIOD_OVERRIDE=FQ","FILING_STATUS=MR","SCALING_FORMAT=MLN","Sort=A","Dates=H","DateFormat=P","Fill=—","Direction=H","UseDPDF=Y")</f>
        <v>11402</v>
      </c>
      <c r="D97" s="13">
        <f>_xll.BDH("AMGN US Equity","ARDR_ACCCUM_AMORT_INTANG_ASSET","FQ1 2019","FQ1 2019","Currency=USD","Period=FQ","BEST_FPERIOD_OVERRIDE=FQ","FILING_STATUS=MR","SCALING_FORMAT=MLN","Sort=A","Dates=H","DateFormat=P","Fill=—","Direction=H","UseDPDF=Y")</f>
        <v>11539</v>
      </c>
      <c r="E97" s="13">
        <f>_xll.BDH("AMGN US Equity","ARDR_ACCCUM_AMORT_INTANG_ASSET","FQ2 2019","FQ2 2019","Currency=USD","Period=FQ","BEST_FPERIOD_OVERRIDE=FQ","FILING_STATUS=MR","SCALING_FORMAT=MLN","Sort=A","Dates=H","DateFormat=P","Fill=—","Direction=H","UseDPDF=Y")</f>
        <v>11855</v>
      </c>
      <c r="F97" s="13">
        <f>_xll.BDH("AMGN US Equity","ARDR_ACCCUM_AMORT_INTANG_ASSET","FQ3 2019","FQ3 2019","Currency=USD","Period=FQ","BEST_FPERIOD_OVERRIDE=FQ","FILING_STATUS=MR","SCALING_FORMAT=MLN","Sort=A","Dates=H","DateFormat=P","Fill=—","Direction=H","UseDPDF=Y")</f>
        <v>12158</v>
      </c>
      <c r="G97" s="13">
        <f>_xll.BDH("AMGN US Equity","ARDR_ACCCUM_AMORT_INTANG_ASSET","FQ4 2019","FQ4 2019","Currency=USD","Period=FQ","BEST_FPERIOD_OVERRIDE=FQ","FILING_STATUS=MR","SCALING_FORMAT=MLN","Sort=A","Dates=H","DateFormat=P","Fill=—","Direction=H","UseDPDF=Y")</f>
        <v>12632</v>
      </c>
      <c r="H97" s="13">
        <f>_xll.BDH("AMGN US Equity","ARDR_ACCCUM_AMORT_INTANG_ASSET","FQ1 2020","FQ1 2020","Currency=USD","Period=FQ","BEST_FPERIOD_OVERRIDE=FQ","FILING_STATUS=MR","SCALING_FORMAT=MLN","Sort=A","Dates=H","DateFormat=P","Fill=—","Direction=H","UseDPDF=Y")</f>
        <v>13316</v>
      </c>
      <c r="I97" s="13">
        <f>_xll.BDH("AMGN US Equity","ARDR_ACCCUM_AMORT_INTANG_ASSET","FQ2 2020","FQ2 2020","Currency=USD","Period=FQ","BEST_FPERIOD_OVERRIDE=FQ","FILING_STATUS=MR","SCALING_FORMAT=MLN","Sort=A","Dates=H","DateFormat=P","Fill=—","Direction=H","UseDPDF=Y")</f>
        <v>14037</v>
      </c>
      <c r="J97" s="13">
        <f>_xll.BDH("AMGN US Equity","ARDR_ACCCUM_AMORT_INTANG_ASSET","FQ3 2020","FQ3 2020","Currency=USD","Period=FQ","BEST_FPERIOD_OVERRIDE=FQ","FILING_STATUS=MR","SCALING_FORMAT=MLN","Sort=A","Dates=H","DateFormat=P","Fill=—","Direction=H","UseDPDF=Y")</f>
        <v>14755</v>
      </c>
      <c r="K97" s="13">
        <f>_xll.BDH("AMGN US Equity","ARDR_ACCCUM_AMORT_INTANG_ASSET","FQ4 2020","FQ4 2020","Currency=USD","Period=FQ","BEST_FPERIOD_OVERRIDE=FQ","FILING_STATUS=MR","SCALING_FORMAT=MLN","Sort=A","Dates=H","DateFormat=P","Fill=—","Direction=H","UseDPDF=Y")</f>
        <v>15461</v>
      </c>
      <c r="L97" s="13">
        <f>_xll.BDH("AMGN US Equity","ARDR_ACCCUM_AMORT_INTANG_ASSET","FQ1 2021","FQ1 2021","Currency=USD","Period=FQ","BEST_FPERIOD_OVERRIDE=FQ","FILING_STATUS=MR","SCALING_FORMAT=MLN","Sort=A","Dates=H","DateFormat=P","Fill=—","Direction=H","UseDPDF=Y")</f>
        <v>16092</v>
      </c>
      <c r="M97" s="13">
        <f>_xll.BDH("AMGN US Equity","ARDR_ACCCUM_AMORT_INTANG_ASSET","FQ2 2021","FQ2 2021","Currency=USD","Period=FQ","BEST_FPERIOD_OVERRIDE=FQ","FILING_STATUS=MR","SCALING_FORMAT=MLN","Sort=A","Dates=H","DateFormat=P","Fill=—","Direction=H","UseDPDF=Y")</f>
        <v>16743</v>
      </c>
      <c r="N97" s="13">
        <f>_xll.BDH("AMGN US Equity","ARDR_ACCCUM_AMORT_INTANG_ASSET","FQ3 2021","FQ3 2021","Currency=USD","Period=FQ","BEST_FPERIOD_OVERRIDE=FQ","FILING_STATUS=MR","SCALING_FORMAT=MLN","Sort=A","Dates=H","DateFormat=P","Fill=—","Direction=H","UseDPDF=Y")</f>
        <v>17372</v>
      </c>
      <c r="O97" s="13">
        <f>_xll.BDH("AMGN US Equity","ARDR_ACCCUM_AMORT_INTANG_ASSET","FQ4 2021","FQ4 2021","Currency=USD","Period=FQ","BEST_FPERIOD_OVERRIDE=FQ","FILING_STATUS=MR","SCALING_FORMAT=MLN","Sort=A","Dates=H","DateFormat=P","Fill=—","Direction=H","UseDPDF=Y")</f>
        <v>17987</v>
      </c>
      <c r="P97" s="13">
        <f>_xll.BDH("AMGN US Equity","ARDR_ACCCUM_AMORT_INTANG_ASSET","FQ1 2022","FQ1 2022","Currency=USD","Period=FQ","BEST_FPERIOD_OVERRIDE=FQ","FILING_STATUS=MR","SCALING_FORMAT=MLN","Sort=A","Dates=H","DateFormat=P","Fill=—","Direction=H","UseDPDF=Y")</f>
        <v>18604</v>
      </c>
      <c r="Q97" s="13">
        <f>_xll.BDH("AMGN US Equity","ARDR_ACCCUM_AMORT_INTANG_ASSET","FQ2 2022","FQ2 2022","Currency=USD","Period=FQ","BEST_FPERIOD_OVERRIDE=FQ","FILING_STATUS=MR","SCALING_FORMAT=MLN","Sort=A","Dates=H","DateFormat=P","Fill=—","Direction=H","UseDPDF=Y")</f>
        <v>19191</v>
      </c>
      <c r="R97" s="13">
        <f>_xll.BDH("AMGN US Equity","ARDR_ACCCUM_AMORT_INTANG_ASSET","FQ3 2022","FQ3 2022","Currency=USD","Period=FQ","BEST_FPERIOD_OVERRIDE=FQ","FILING_STATUS=MR","SCALING_FORMAT=MLN","Sort=A","Dates=H","DateFormat=P","Fill=—","Direction=H","UseDPDF=Y")</f>
        <v>19771</v>
      </c>
      <c r="S97" s="13">
        <f>_xll.BDH("AMGN US Equity","ARDR_ACCCUM_AMORT_INTANG_ASSET","FQ4 2022","FQ4 2022","Currency=USD","Period=FQ","BEST_FPERIOD_OVERRIDE=FQ","FILING_STATUS=MR","SCALING_FORMAT=MLN","Sort=A","Dates=H","DateFormat=P","Fill=—","Direction=H","UseDPDF=Y")</f>
        <v>20525</v>
      </c>
      <c r="T97" s="13">
        <f>_xll.BDH("AMGN US Equity","ARDR_ACCCUM_AMORT_INTANG_ASSET","FQ1 2023","FQ1 2023","Currency=USD","Period=FQ","BEST_FPERIOD_OVERRIDE=FQ","FILING_STATUS=MR","SCALING_FORMAT=MLN","Sort=A","Dates=H","DateFormat=P","Fill=—","Direction=H","UseDPDF=Y")</f>
        <v>21231</v>
      </c>
      <c r="U97" s="13">
        <f>_xll.BDH("AMGN US Equity","ARDR_ACCCUM_AMORT_INTANG_ASSET","FQ2 2023","FQ2 2023","Currency=USD","Period=FQ","BEST_FPERIOD_OVERRIDE=FQ","FILING_STATUS=MR","SCALING_FORMAT=MLN","Sort=A","Dates=H","DateFormat=P","Fill=—","Direction=H","UseDPDF=Y")</f>
        <v>0</v>
      </c>
      <c r="V97" s="13">
        <f>_xll.BDH("AMGN US Equity","ARDR_ACCCUM_AMORT_INTANG_ASSET","FQ3 2023","FQ3 2023","Currency=USD","Period=FQ","BEST_FPERIOD_OVERRIDE=FQ","FILING_STATUS=MR","SCALING_FORMAT=MLN","Sort=A","Dates=H","DateFormat=P","Fill=—","Direction=H","UseDPDF=Y")</f>
        <v>22616</v>
      </c>
      <c r="W97" s="13">
        <f>_xll.BDH("AMGN US Equity","ARDR_ACCCUM_AMORT_INTANG_ASSET","FQ4 2023","FQ4 2023","Currency=USD","Period=FQ","BEST_FPERIOD_OVERRIDE=FQ","FILING_STATUS=MR","SCALING_FORMAT=MLN","Sort=A","Dates=H","DateFormat=P","Fill=—","Direction=H","UseDPDF=Y")</f>
        <v>23806</v>
      </c>
      <c r="X97" s="13">
        <f>_xll.BDH("AMGN US Equity","ARDR_ACCCUM_AMORT_INTANG_ASSET","FQ1 2024","FQ1 2024","Currency=USD","Period=FQ","BEST_FPERIOD_OVERRIDE=FQ","FILING_STATUS=MR","SCALING_FORMAT=MLN","Sort=A","Dates=H","DateFormat=P","Fill=—","Direction=H","UseDPDF=Y")</f>
        <v>24858</v>
      </c>
      <c r="Y97" s="13">
        <f>_xll.BDH("AMGN US Equity","ARDR_ACCCUM_AMORT_INTANG_ASSET","FQ2 2024","FQ2 2024","Currency=USD","Period=FQ","BEST_FPERIOD_OVERRIDE=FQ","FILING_STATUS=MR","SCALING_FORMAT=MLN","Sort=A","Dates=H","DateFormat=P","Fill=—","Direction=H","UseDPDF=Y")</f>
        <v>26049</v>
      </c>
      <c r="Z97" s="13">
        <f>_xll.BDH("AMGN US Equity","ARDR_ACCCUM_AMORT_INTANG_ASSET","FQ3 2024","FQ3 2024","Currency=USD","Period=FQ","BEST_FPERIOD_OVERRIDE=FQ","FILING_STATUS=MR","SCALING_FORMAT=MLN","Sort=A","Dates=H","DateFormat=P","Fill=—","Direction=H","UseDPDF=Y")</f>
        <v>27273</v>
      </c>
      <c r="AA97" s="13">
        <f>_xll.BDH("AMGN US Equity","ARDR_ACCCUM_AMORT_INTANG_ASSET","FQ4 2024","FQ4 2024","Currency=USD","Period=FQ","BEST_FPERIOD_OVERRIDE=FQ","FILING_STATUS=MR","SCALING_FORMAT=MLN","Sort=A","Dates=H","DateFormat=P","Fill=—","Direction=H","UseDPDF=Y")</f>
        <v>28423</v>
      </c>
    </row>
    <row r="98" spans="1:27" x14ac:dyDescent="0.25">
      <c r="A98" s="10" t="s">
        <v>1011</v>
      </c>
      <c r="B98" s="10" t="s">
        <v>1012</v>
      </c>
      <c r="C98" s="13">
        <f>_xll.BDH("AMGN US Equity","ARDR_CASH_EQUIVALENTS_MKT_SECS","FQ4 2018","FQ4 2018","Currency=USD","Period=FQ","BEST_FPERIOD_OVERRIDE=FQ","FILING_STATUS=MR","SCALING_FORMAT=MLN","Sort=A","Dates=H","DateFormat=P","Fill=—","Direction=H","UseDPDF=Y")</f>
        <v>28724</v>
      </c>
      <c r="D98" s="13">
        <f>_xll.BDH("AMGN US Equity","ARDR_CASH_EQUIVALENTS_MKT_SECS","FQ1 2019","FQ1 2019","Currency=USD","Period=FQ","BEST_FPERIOD_OVERRIDE=FQ","FILING_STATUS=MR","SCALING_FORMAT=MLN","Sort=A","Dates=H","DateFormat=P","Fill=—","Direction=H","UseDPDF=Y")</f>
        <v>25652</v>
      </c>
      <c r="E98" s="13">
        <f>_xll.BDH("AMGN US Equity","ARDR_CASH_EQUIVALENTS_MKT_SECS","FQ2 2019","FQ2 2019","Currency=USD","Period=FQ","BEST_FPERIOD_OVERRIDE=FQ","FILING_STATUS=MR","SCALING_FORMAT=MLN","Sort=A","Dates=H","DateFormat=P","Fill=—","Direction=H","UseDPDF=Y")</f>
        <v>21117</v>
      </c>
      <c r="F98" s="13">
        <f>_xll.BDH("AMGN US Equity","ARDR_CASH_EQUIVALENTS_MKT_SECS","FQ3 2019","FQ3 2019","Currency=USD","Period=FQ","BEST_FPERIOD_OVERRIDE=FQ","FILING_STATUS=MR","SCALING_FORMAT=MLN","Sort=A","Dates=H","DateFormat=P","Fill=—","Direction=H","UseDPDF=Y")</f>
        <v>20227</v>
      </c>
      <c r="G98" s="13">
        <f>_xll.BDH("AMGN US Equity","ARDR_CASH_EQUIVALENTS_MKT_SECS","FQ4 2019","FQ4 2019","Currency=USD","Period=FQ","BEST_FPERIOD_OVERRIDE=FQ","FILING_STATUS=MR","SCALING_FORMAT=MLN","Sort=A","Dates=H","DateFormat=P","Fill=—","Direction=H","UseDPDF=Y")</f>
        <v>8234</v>
      </c>
      <c r="H98" s="13">
        <f>_xll.BDH("AMGN US Equity","ARDR_CASH_EQUIVALENTS_MKT_SECS","FQ1 2020","FQ1 2020","Currency=USD","Period=FQ","BEST_FPERIOD_OVERRIDE=FQ","FILING_STATUS=MR","SCALING_FORMAT=MLN","Sort=A","Dates=H","DateFormat=P","Fill=—","Direction=H","UseDPDF=Y")</f>
        <v>7294</v>
      </c>
      <c r="I98" s="13">
        <f>_xll.BDH("AMGN US Equity","ARDR_CASH_EQUIVALENTS_MKT_SECS","FQ2 2020","FQ2 2020","Currency=USD","Period=FQ","BEST_FPERIOD_OVERRIDE=FQ","FILING_STATUS=MR","SCALING_FORMAT=MLN","Sort=A","Dates=H","DateFormat=P","Fill=—","Direction=H","UseDPDF=Y")</f>
        <v>13010</v>
      </c>
      <c r="J98" s="13">
        <f>_xll.BDH("AMGN US Equity","ARDR_CASH_EQUIVALENTS_MKT_SECS","FQ3 2020","FQ3 2020","Currency=USD","Period=FQ","BEST_FPERIOD_OVERRIDE=FQ","FILING_STATUS=MR","SCALING_FORMAT=MLN","Sort=A","Dates=H","DateFormat=P","Fill=—","Direction=H","UseDPDF=Y")</f>
        <v>14862</v>
      </c>
      <c r="K98" s="13">
        <f>_xll.BDH("AMGN US Equity","ARDR_CASH_EQUIVALENTS_MKT_SECS","FQ4 2020","FQ4 2020","Currency=USD","Period=FQ","BEST_FPERIOD_OVERRIDE=FQ","FILING_STATUS=MR","SCALING_FORMAT=MLN","Sort=A","Dates=H","DateFormat=P","Fill=—","Direction=H","UseDPDF=Y")</f>
        <v>9845</v>
      </c>
      <c r="L98" s="13">
        <f>_xll.BDH("AMGN US Equity","ARDR_CASH_EQUIVALENTS_MKT_SECS","FQ1 2021","FQ1 2021","Currency=USD","Period=FQ","BEST_FPERIOD_OVERRIDE=FQ","FILING_STATUS=MR","SCALING_FORMAT=MLN","Sort=A","Dates=H","DateFormat=P","Fill=—","Direction=H","UseDPDF=Y")</f>
        <v>9721</v>
      </c>
      <c r="M98" s="13">
        <f>_xll.BDH("AMGN US Equity","ARDR_CASH_EQUIVALENTS_MKT_SECS","FQ2 2021","FQ2 2021","Currency=USD","Period=FQ","BEST_FPERIOD_OVERRIDE=FQ","FILING_STATUS=MR","SCALING_FORMAT=MLN","Sort=A","Dates=H","DateFormat=P","Fill=—","Direction=H","UseDPDF=Y")</f>
        <v>7159</v>
      </c>
      <c r="N98" s="13">
        <f>_xll.BDH("AMGN US Equity","ARDR_CASH_EQUIVALENTS_MKT_SECS","FQ3 2021","FQ3 2021","Currency=USD","Period=FQ","BEST_FPERIOD_OVERRIDE=FQ","FILING_STATUS=MR","SCALING_FORMAT=MLN","Sort=A","Dates=H","DateFormat=P","Fill=—","Direction=H","UseDPDF=Y")</f>
        <v>12275</v>
      </c>
      <c r="O98" s="13">
        <f>_xll.BDH("AMGN US Equity","ARDR_CASH_EQUIVALENTS_MKT_SECS","FQ4 2021","FQ4 2021","Currency=USD","Period=FQ","BEST_FPERIOD_OVERRIDE=FQ","FILING_STATUS=MR","SCALING_FORMAT=MLN","Sort=A","Dates=H","DateFormat=P","Fill=—","Direction=H","UseDPDF=Y")</f>
        <v>7304</v>
      </c>
      <c r="P98" s="13">
        <f>_xll.BDH("AMGN US Equity","ARDR_CASH_EQUIVALENTS_MKT_SECS","FQ1 2022","FQ1 2022","Currency=USD","Period=FQ","BEST_FPERIOD_OVERRIDE=FQ","FILING_STATUS=MR","SCALING_FORMAT=MLN","Sort=A","Dates=H","DateFormat=P","Fill=—","Direction=H","UseDPDF=Y")</f>
        <v>5853</v>
      </c>
      <c r="Q98" s="13">
        <f>_xll.BDH("AMGN US Equity","ARDR_CASH_EQUIVALENTS_MKT_SECS","FQ2 2022","FQ2 2022","Currency=USD","Period=FQ","BEST_FPERIOD_OVERRIDE=FQ","FILING_STATUS=MR","SCALING_FORMAT=MLN","Sort=A","Dates=H","DateFormat=P","Fill=—","Direction=H","UseDPDF=Y")</f>
        <v>6413</v>
      </c>
      <c r="R98" s="13">
        <f>_xll.BDH("AMGN US Equity","ARDR_CASH_EQUIVALENTS_MKT_SECS","FQ3 2022","FQ3 2022","Currency=USD","Period=FQ","BEST_FPERIOD_OVERRIDE=FQ","FILING_STATUS=MR","SCALING_FORMAT=MLN","Sort=A","Dates=H","DateFormat=P","Fill=—","Direction=H","UseDPDF=Y")</f>
        <v>10921</v>
      </c>
      <c r="S98" s="13">
        <f>_xll.BDH("AMGN US Equity","ARDR_CASH_EQUIVALENTS_MKT_SECS","FQ4 2022","FQ4 2022","Currency=USD","Period=FQ","BEST_FPERIOD_OVERRIDE=FQ","FILING_STATUS=MR","SCALING_FORMAT=MLN","Sort=A","Dates=H","DateFormat=P","Fill=—","Direction=H","UseDPDF=Y")</f>
        <v>4335</v>
      </c>
      <c r="T98" s="13" t="str">
        <f>_xll.BDH("AMGN US Equity","ARDR_CASH_EQUIVALENTS_MKT_SECS","FQ1 2023","FQ1 2023","Currency=USD","Period=FQ","BEST_FPERIOD_OVERRIDE=FQ","FILING_STATUS=MR","SCALING_FORMAT=MLN","Sort=A","Dates=H","DateFormat=P","Fill=—","Direction=H","UseDPDF=Y")</f>
        <v>—</v>
      </c>
      <c r="U98" s="13" t="str">
        <f>_xll.BDH("AMGN US Equity","ARDR_CASH_EQUIVALENTS_MKT_SECS","FQ2 2023","FQ2 2023","Currency=USD","Period=FQ","BEST_FPERIOD_OVERRIDE=FQ","FILING_STATUS=MR","SCALING_FORMAT=MLN","Sort=A","Dates=H","DateFormat=P","Fill=—","Direction=H","UseDPDF=Y")</f>
        <v>—</v>
      </c>
      <c r="V98" s="13">
        <f>_xll.BDH("AMGN US Equity","ARDR_CASH_EQUIVALENTS_MKT_SECS","FQ3 2023","FQ3 2023","Currency=USD","Period=FQ","BEST_FPERIOD_OVERRIDE=FQ","FILING_STATUS=MR","SCALING_FORMAT=MLN","Sort=A","Dates=H","DateFormat=P","Fill=—","Direction=H","UseDPDF=Y")</f>
        <v>34208</v>
      </c>
      <c r="W98" s="13">
        <f>_xll.BDH("AMGN US Equity","ARDR_CASH_EQUIVALENTS_MKT_SECS","FQ4 2023","FQ4 2023","Currency=USD","Period=FQ","BEST_FPERIOD_OVERRIDE=FQ","FILING_STATUS=MR","SCALING_FORMAT=MLN","Sort=A","Dates=H","DateFormat=P","Fill=—","Direction=H","UseDPDF=Y")</f>
        <v>10404</v>
      </c>
      <c r="X98" s="13" t="str">
        <f>_xll.BDH("AMGN US Equity","ARDR_CASH_EQUIVALENTS_MKT_SECS","FQ1 2024","FQ1 2024","Currency=USD","Period=FQ","BEST_FPERIOD_OVERRIDE=FQ","FILING_STATUS=MR","SCALING_FORMAT=MLN","Sort=A","Dates=H","DateFormat=P","Fill=—","Direction=H","UseDPDF=Y")</f>
        <v>—</v>
      </c>
      <c r="Y98" s="13" t="str">
        <f>_xll.BDH("AMGN US Equity","ARDR_CASH_EQUIVALENTS_MKT_SECS","FQ2 2024","FQ2 2024","Currency=USD","Period=FQ","BEST_FPERIOD_OVERRIDE=FQ","FILING_STATUS=MR","SCALING_FORMAT=MLN","Sort=A","Dates=H","DateFormat=P","Fill=—","Direction=H","UseDPDF=Y")</f>
        <v>—</v>
      </c>
      <c r="Z98" s="13" t="str">
        <f>_xll.BDH("AMGN US Equity","ARDR_CASH_EQUIVALENTS_MKT_SECS","FQ3 2024","FQ3 2024","Currency=USD","Period=FQ","BEST_FPERIOD_OVERRIDE=FQ","FILING_STATUS=MR","SCALING_FORMAT=MLN","Sort=A","Dates=H","DateFormat=P","Fill=—","Direction=H","UseDPDF=Y")</f>
        <v>—</v>
      </c>
      <c r="AA98" s="13">
        <f>_xll.BDH("AMGN US Equity","ARDR_CASH_EQUIVALENTS_MKT_SECS","FQ4 2024","FQ4 2024","Currency=USD","Period=FQ","BEST_FPERIOD_OVERRIDE=FQ","FILING_STATUS=MR","SCALING_FORMAT=MLN","Sort=A","Dates=H","DateFormat=P","Fill=—","Direction=H","UseDPDF=Y")</f>
        <v>11486</v>
      </c>
    </row>
    <row r="99" spans="1:27" x14ac:dyDescent="0.25">
      <c r="A99" s="10" t="s">
        <v>838</v>
      </c>
      <c r="B99" s="10" t="s">
        <v>1013</v>
      </c>
      <c r="C99" s="13" t="str">
        <f>_xll.BDH("AMGN US Equity","ARDR_OPTIONS_GRANTED_DURING_PER","FQ4 2018","FQ4 2018","Currency=USD","Period=FQ","BEST_FPERIOD_OVERRIDE=FQ","FILING_STATUS=MR","SCALING_FORMAT=MLN","Sort=A","Dates=H","DateFormat=P","Fill=—","Direction=H","UseDPDF=Y")</f>
        <v>—</v>
      </c>
      <c r="D99" s="13" t="str">
        <f>_xll.BDH("AMGN US Equity","ARDR_OPTIONS_GRANTED_DURING_PER","FQ1 2019","FQ1 2019","Currency=USD","Period=FQ","BEST_FPERIOD_OVERRIDE=FQ","FILING_STATUS=MR","SCALING_FORMAT=MLN","Sort=A","Dates=H","DateFormat=P","Fill=—","Direction=H","UseDPDF=Y")</f>
        <v>—</v>
      </c>
      <c r="E99" s="13" t="str">
        <f>_xll.BDH("AMGN US Equity","ARDR_OPTIONS_GRANTED_DURING_PER","FQ2 2019","FQ2 2019","Currency=USD","Period=FQ","BEST_FPERIOD_OVERRIDE=FQ","FILING_STATUS=MR","SCALING_FORMAT=MLN","Sort=A","Dates=H","DateFormat=P","Fill=—","Direction=H","UseDPDF=Y")</f>
        <v>—</v>
      </c>
      <c r="F99" s="13" t="str">
        <f>_xll.BDH("AMGN US Equity","ARDR_OPTIONS_GRANTED_DURING_PER","FQ3 2019","FQ3 2019","Currency=USD","Period=FQ","BEST_FPERIOD_OVERRIDE=FQ","FILING_STATUS=MR","SCALING_FORMAT=MLN","Sort=A","Dates=H","DateFormat=P","Fill=—","Direction=H","UseDPDF=Y")</f>
        <v>—</v>
      </c>
      <c r="G99" s="13" t="str">
        <f>_xll.BDH("AMGN US Equity","ARDR_OPTIONS_GRANTED_DURING_PER","FQ4 2019","FQ4 2019","Currency=USD","Period=FQ","BEST_FPERIOD_OVERRIDE=FQ","FILING_STATUS=MR","SCALING_FORMAT=MLN","Sort=A","Dates=H","DateFormat=P","Fill=—","Direction=H","UseDPDF=Y")</f>
        <v>—</v>
      </c>
      <c r="H99" s="13" t="str">
        <f>_xll.BDH("AMGN US Equity","ARDR_OPTIONS_GRANTED_DURING_PER","FQ1 2020","FQ1 2020","Currency=USD","Period=FQ","BEST_FPERIOD_OVERRIDE=FQ","FILING_STATUS=MR","SCALING_FORMAT=MLN","Sort=A","Dates=H","DateFormat=P","Fill=—","Direction=H","UseDPDF=Y")</f>
        <v>—</v>
      </c>
      <c r="I99" s="13" t="str">
        <f>_xll.BDH("AMGN US Equity","ARDR_OPTIONS_GRANTED_DURING_PER","FQ2 2020","FQ2 2020","Currency=USD","Period=FQ","BEST_FPERIOD_OVERRIDE=FQ","FILING_STATUS=MR","SCALING_FORMAT=MLN","Sort=A","Dates=H","DateFormat=P","Fill=—","Direction=H","UseDPDF=Y")</f>
        <v>—</v>
      </c>
      <c r="J99" s="13" t="str">
        <f>_xll.BDH("AMGN US Equity","ARDR_OPTIONS_GRANTED_DURING_PER","FQ3 2020","FQ3 2020","Currency=USD","Period=FQ","BEST_FPERIOD_OVERRIDE=FQ","FILING_STATUS=MR","SCALING_FORMAT=MLN","Sort=A","Dates=H","DateFormat=P","Fill=—","Direction=H","UseDPDF=Y")</f>
        <v>—</v>
      </c>
      <c r="K99" s="13">
        <f>_xll.BDH("AMGN US Equity","ARDR_OPTIONS_GRANTED_DURING_PER","FQ4 2020","FQ4 2020","Currency=USD","Period=FQ","BEST_FPERIOD_OVERRIDE=FQ","FILING_STATUS=MR","SCALING_FORMAT=MLN","Sort=A","Dates=H","DateFormat=P","Fill=—","Direction=H","UseDPDF=Y")</f>
        <v>1</v>
      </c>
      <c r="L99" s="13" t="str">
        <f>_xll.BDH("AMGN US Equity","ARDR_OPTIONS_GRANTED_DURING_PER","FQ1 2021","FQ1 2021","Currency=USD","Period=FQ","BEST_FPERIOD_OVERRIDE=FQ","FILING_STATUS=MR","SCALING_FORMAT=MLN","Sort=A","Dates=H","DateFormat=P","Fill=—","Direction=H","UseDPDF=Y")</f>
        <v>—</v>
      </c>
      <c r="M99" s="13" t="str">
        <f>_xll.BDH("AMGN US Equity","ARDR_OPTIONS_GRANTED_DURING_PER","FQ2 2021","FQ2 2021","Currency=USD","Period=FQ","BEST_FPERIOD_OVERRIDE=FQ","FILING_STATUS=MR","SCALING_FORMAT=MLN","Sort=A","Dates=H","DateFormat=P","Fill=—","Direction=H","UseDPDF=Y")</f>
        <v>—</v>
      </c>
      <c r="N99" s="13" t="str">
        <f>_xll.BDH("AMGN US Equity","ARDR_OPTIONS_GRANTED_DURING_PER","FQ3 2021","FQ3 2021","Currency=USD","Period=FQ","BEST_FPERIOD_OVERRIDE=FQ","FILING_STATUS=MR","SCALING_FORMAT=MLN","Sort=A","Dates=H","DateFormat=P","Fill=—","Direction=H","UseDPDF=Y")</f>
        <v>—</v>
      </c>
      <c r="O99" s="13">
        <f>_xll.BDH("AMGN US Equity","ARDR_OPTIONS_GRANTED_DURING_PER","FQ4 2021","FQ4 2021","Currency=USD","Period=FQ","BEST_FPERIOD_OVERRIDE=FQ","FILING_STATUS=MR","SCALING_FORMAT=MLN","Sort=A","Dates=H","DateFormat=P","Fill=—","Direction=H","UseDPDF=Y")</f>
        <v>1.3</v>
      </c>
      <c r="P99" s="13" t="str">
        <f>_xll.BDH("AMGN US Equity","ARDR_OPTIONS_GRANTED_DURING_PER","FQ1 2022","FQ1 2022","Currency=USD","Period=FQ","BEST_FPERIOD_OVERRIDE=FQ","FILING_STATUS=MR","SCALING_FORMAT=MLN","Sort=A","Dates=H","DateFormat=P","Fill=—","Direction=H","UseDPDF=Y")</f>
        <v>—</v>
      </c>
      <c r="Q99" s="13" t="str">
        <f>_xll.BDH("AMGN US Equity","ARDR_OPTIONS_GRANTED_DURING_PER","FQ2 2022","FQ2 2022","Currency=USD","Period=FQ","BEST_FPERIOD_OVERRIDE=FQ","FILING_STATUS=MR","SCALING_FORMAT=MLN","Sort=A","Dates=H","DateFormat=P","Fill=—","Direction=H","UseDPDF=Y")</f>
        <v>—</v>
      </c>
      <c r="R99" s="13" t="str">
        <f>_xll.BDH("AMGN US Equity","ARDR_OPTIONS_GRANTED_DURING_PER","FQ3 2022","FQ3 2022","Currency=USD","Period=FQ","BEST_FPERIOD_OVERRIDE=FQ","FILING_STATUS=MR","SCALING_FORMAT=MLN","Sort=A","Dates=H","DateFormat=P","Fill=—","Direction=H","UseDPDF=Y")</f>
        <v>—</v>
      </c>
      <c r="S99" s="13" t="str">
        <f>_xll.BDH("AMGN US Equity","ARDR_OPTIONS_GRANTED_DURING_PER","FQ4 2022","FQ4 2022","Currency=USD","Period=FQ","BEST_FPERIOD_OVERRIDE=FQ","FILING_STATUS=MR","SCALING_FORMAT=MLN","Sort=A","Dates=H","DateFormat=P","Fill=—","Direction=H","UseDPDF=Y")</f>
        <v>—</v>
      </c>
      <c r="T99" s="13" t="str">
        <f>_xll.BDH("AMGN US Equity","ARDR_OPTIONS_GRANTED_DURING_PER","FQ1 2023","FQ1 2023","Currency=USD","Period=FQ","BEST_FPERIOD_OVERRIDE=FQ","FILING_STATUS=MR","SCALING_FORMAT=MLN","Sort=A","Dates=H","DateFormat=P","Fill=—","Direction=H","UseDPDF=Y")</f>
        <v>—</v>
      </c>
      <c r="U99" s="13" t="str">
        <f>_xll.BDH("AMGN US Equity","ARDR_OPTIONS_GRANTED_DURING_PER","FQ2 2023","FQ2 2023","Currency=USD","Period=FQ","BEST_FPERIOD_OVERRIDE=FQ","FILING_STATUS=MR","SCALING_FORMAT=MLN","Sort=A","Dates=H","DateFormat=P","Fill=—","Direction=H","UseDPDF=Y")</f>
        <v>—</v>
      </c>
      <c r="V99" s="13" t="str">
        <f>_xll.BDH("AMGN US Equity","ARDR_OPTIONS_GRANTED_DURING_PER","FQ3 2023","FQ3 2023","Currency=USD","Period=FQ","BEST_FPERIOD_OVERRIDE=FQ","FILING_STATUS=MR","SCALING_FORMAT=MLN","Sort=A","Dates=H","DateFormat=P","Fill=—","Direction=H","UseDPDF=Y")</f>
        <v>—</v>
      </c>
      <c r="W99" s="13" t="str">
        <f>_xll.BDH("AMGN US Equity","ARDR_OPTIONS_GRANTED_DURING_PER","FQ4 2023","FQ4 2023","Currency=USD","Period=FQ","BEST_FPERIOD_OVERRIDE=FQ","FILING_STATUS=MR","SCALING_FORMAT=MLN","Sort=A","Dates=H","DateFormat=P","Fill=—","Direction=H","UseDPDF=Y")</f>
        <v>—</v>
      </c>
      <c r="X99" s="13" t="str">
        <f>_xll.BDH("AMGN US Equity","ARDR_OPTIONS_GRANTED_DURING_PER","FQ1 2024","FQ1 2024","Currency=USD","Period=FQ","BEST_FPERIOD_OVERRIDE=FQ","FILING_STATUS=MR","SCALING_FORMAT=MLN","Sort=A","Dates=H","DateFormat=P","Fill=—","Direction=H","UseDPDF=Y")</f>
        <v>—</v>
      </c>
      <c r="Y99" s="13" t="str">
        <f>_xll.BDH("AMGN US Equity","ARDR_OPTIONS_GRANTED_DURING_PER","FQ2 2024","FQ2 2024","Currency=USD","Period=FQ","BEST_FPERIOD_OVERRIDE=FQ","FILING_STATUS=MR","SCALING_FORMAT=MLN","Sort=A","Dates=H","DateFormat=P","Fill=—","Direction=H","UseDPDF=Y")</f>
        <v>—</v>
      </c>
      <c r="Z99" s="13" t="str">
        <f>_xll.BDH("AMGN US Equity","ARDR_OPTIONS_GRANTED_DURING_PER","FQ3 2024","FQ3 2024","Currency=USD","Period=FQ","BEST_FPERIOD_OVERRIDE=FQ","FILING_STATUS=MR","SCALING_FORMAT=MLN","Sort=A","Dates=H","DateFormat=P","Fill=—","Direction=H","UseDPDF=Y")</f>
        <v>—</v>
      </c>
      <c r="AA99" s="13" t="str">
        <f>_xll.BDH("AMGN US Equity","ARDR_OPTIONS_GRANTED_DURING_PER","FQ4 2024","FQ4 2024","Currency=USD","Period=FQ","BEST_FPERIOD_OVERRIDE=FQ","FILING_STATUS=MR","SCALING_FORMAT=MLN","Sort=A","Dates=H","DateFormat=P","Fill=—","Direction=H","UseDPDF=Y")</f>
        <v>—</v>
      </c>
    </row>
    <row r="100" spans="1:27" x14ac:dyDescent="0.25">
      <c r="A100" s="10" t="s">
        <v>1014</v>
      </c>
      <c r="B100" s="10" t="s">
        <v>1015</v>
      </c>
      <c r="C100" s="13">
        <f>_xll.BDH("AMGN US Equity","ARDR_OPTIONS_OUTSTANDING_END_PER","FQ4 2018","FQ4 2018","Currency=USD","Period=FQ","BEST_FPERIOD_OVERRIDE=FQ","FILING_STATUS=MR","Sort=A","Dates=H","DateFormat=P","Fill=—","Direction=H","UseDPDF=Y")</f>
        <v>4.4000000000000004</v>
      </c>
      <c r="D100" s="13" t="str">
        <f>_xll.BDH("AMGN US Equity","ARDR_OPTIONS_OUTSTANDING_END_PER","FQ1 2019","FQ1 2019","Currency=USD","Period=FQ","BEST_FPERIOD_OVERRIDE=FQ","FILING_STATUS=MR","Sort=A","Dates=H","DateFormat=P","Fill=—","Direction=H","UseDPDF=Y")</f>
        <v>—</v>
      </c>
      <c r="E100" s="13" t="str">
        <f>_xll.BDH("AMGN US Equity","ARDR_OPTIONS_OUTSTANDING_END_PER","FQ2 2019","FQ2 2019","Currency=USD","Period=FQ","BEST_FPERIOD_OVERRIDE=FQ","FILING_STATUS=MR","Sort=A","Dates=H","DateFormat=P","Fill=—","Direction=H","UseDPDF=Y")</f>
        <v>—</v>
      </c>
      <c r="F100" s="13" t="str">
        <f>_xll.BDH("AMGN US Equity","ARDR_OPTIONS_OUTSTANDING_END_PER","FQ3 2019","FQ3 2019","Currency=USD","Period=FQ","BEST_FPERIOD_OVERRIDE=FQ","FILING_STATUS=MR","Sort=A","Dates=H","DateFormat=P","Fill=—","Direction=H","UseDPDF=Y")</f>
        <v>—</v>
      </c>
      <c r="G100" s="13">
        <f>_xll.BDH("AMGN US Equity","ARDR_OPTIONS_OUTSTANDING_END_PER","FQ4 2019","FQ4 2019","Currency=USD","Period=FQ","BEST_FPERIOD_OVERRIDE=FQ","FILING_STATUS=MR","Sort=A","Dates=H","DateFormat=P","Fill=—","Direction=H","UseDPDF=Y")</f>
        <v>4.8</v>
      </c>
      <c r="H100" s="13" t="str">
        <f>_xll.BDH("AMGN US Equity","ARDR_OPTIONS_OUTSTANDING_END_PER","FQ1 2020","FQ1 2020","Currency=USD","Period=FQ","BEST_FPERIOD_OVERRIDE=FQ","FILING_STATUS=MR","Sort=A","Dates=H","DateFormat=P","Fill=—","Direction=H","UseDPDF=Y")</f>
        <v>—</v>
      </c>
      <c r="I100" s="13" t="str">
        <f>_xll.BDH("AMGN US Equity","ARDR_OPTIONS_OUTSTANDING_END_PER","FQ2 2020","FQ2 2020","Currency=USD","Period=FQ","BEST_FPERIOD_OVERRIDE=FQ","FILING_STATUS=MR","Sort=A","Dates=H","DateFormat=P","Fill=—","Direction=H","UseDPDF=Y")</f>
        <v>—</v>
      </c>
      <c r="J100" s="13" t="str">
        <f>_xll.BDH("AMGN US Equity","ARDR_OPTIONS_OUTSTANDING_END_PER","FQ3 2020","FQ3 2020","Currency=USD","Period=FQ","BEST_FPERIOD_OVERRIDE=FQ","FILING_STATUS=MR","Sort=A","Dates=H","DateFormat=P","Fill=—","Direction=H","UseDPDF=Y")</f>
        <v>—</v>
      </c>
      <c r="K100" s="13">
        <f>_xll.BDH("AMGN US Equity","ARDR_OPTIONS_OUTSTANDING_END_PER","FQ4 2020","FQ4 2020","Currency=USD","Period=FQ","BEST_FPERIOD_OVERRIDE=FQ","FILING_STATUS=MR","Sort=A","Dates=H","DateFormat=P","Fill=—","Direction=H","UseDPDF=Y")</f>
        <v>4.7</v>
      </c>
      <c r="L100" s="13" t="str">
        <f>_xll.BDH("AMGN US Equity","ARDR_OPTIONS_OUTSTANDING_END_PER","FQ1 2021","FQ1 2021","Currency=USD","Period=FQ","BEST_FPERIOD_OVERRIDE=FQ","FILING_STATUS=MR","Sort=A","Dates=H","DateFormat=P","Fill=—","Direction=H","UseDPDF=Y")</f>
        <v>—</v>
      </c>
      <c r="M100" s="13" t="str">
        <f>_xll.BDH("AMGN US Equity","ARDR_OPTIONS_OUTSTANDING_END_PER","FQ2 2021","FQ2 2021","Currency=USD","Period=FQ","BEST_FPERIOD_OVERRIDE=FQ","FILING_STATUS=MR","Sort=A","Dates=H","DateFormat=P","Fill=—","Direction=H","UseDPDF=Y")</f>
        <v>—</v>
      </c>
      <c r="N100" s="13" t="str">
        <f>_xll.BDH("AMGN US Equity","ARDR_OPTIONS_OUTSTANDING_END_PER","FQ3 2021","FQ3 2021","Currency=USD","Period=FQ","BEST_FPERIOD_OVERRIDE=FQ","FILING_STATUS=MR","Sort=A","Dates=H","DateFormat=P","Fill=—","Direction=H","UseDPDF=Y")</f>
        <v>—</v>
      </c>
      <c r="O100" s="13">
        <f>_xll.BDH("AMGN US Equity","ARDR_OPTIONS_OUTSTANDING_END_PER","FQ4 2021","FQ4 2021","Currency=USD","Period=FQ","BEST_FPERIOD_OVERRIDE=FQ","FILING_STATUS=MR","Sort=A","Dates=H","DateFormat=P","Fill=—","Direction=H","UseDPDF=Y")</f>
        <v>5.0999999999999996</v>
      </c>
      <c r="P100" s="13" t="str">
        <f>_xll.BDH("AMGN US Equity","ARDR_OPTIONS_OUTSTANDING_END_PER","FQ1 2022","FQ1 2022","Currency=USD","Period=FQ","BEST_FPERIOD_OVERRIDE=FQ","FILING_STATUS=MR","Sort=A","Dates=H","DateFormat=P","Fill=—","Direction=H","UseDPDF=Y")</f>
        <v>—</v>
      </c>
      <c r="Q100" s="13" t="str">
        <f>_xll.BDH("AMGN US Equity","ARDR_OPTIONS_OUTSTANDING_END_PER","FQ2 2022","FQ2 2022","Currency=USD","Period=FQ","BEST_FPERIOD_OVERRIDE=FQ","FILING_STATUS=MR","Sort=A","Dates=H","DateFormat=P","Fill=—","Direction=H","UseDPDF=Y")</f>
        <v>—</v>
      </c>
      <c r="R100" s="13" t="str">
        <f>_xll.BDH("AMGN US Equity","ARDR_OPTIONS_OUTSTANDING_END_PER","FQ3 2022","FQ3 2022","Currency=USD","Period=FQ","BEST_FPERIOD_OVERRIDE=FQ","FILING_STATUS=MR","Sort=A","Dates=H","DateFormat=P","Fill=—","Direction=H","UseDPDF=Y")</f>
        <v>—</v>
      </c>
      <c r="S100" s="13">
        <f>_xll.BDH("AMGN US Equity","ARDR_OPTIONS_OUTSTANDING_END_PER","FQ4 2022","FQ4 2022","Currency=USD","Period=FQ","BEST_FPERIOD_OVERRIDE=FQ","FILING_STATUS=MR","Sort=A","Dates=H","DateFormat=P","Fill=—","Direction=H","UseDPDF=Y")</f>
        <v>5.3</v>
      </c>
      <c r="T100" s="13" t="str">
        <f>_xll.BDH("AMGN US Equity","ARDR_OPTIONS_OUTSTANDING_END_PER","FQ1 2023","FQ1 2023","Currency=USD","Period=FQ","BEST_FPERIOD_OVERRIDE=FQ","FILING_STATUS=MR","Sort=A","Dates=H","DateFormat=P","Fill=—","Direction=H","UseDPDF=Y")</f>
        <v>—</v>
      </c>
      <c r="U100" s="13" t="str">
        <f>_xll.BDH("AMGN US Equity","ARDR_OPTIONS_OUTSTANDING_END_PER","FQ2 2023","FQ2 2023","Currency=USD","Period=FQ","BEST_FPERIOD_OVERRIDE=FQ","FILING_STATUS=MR","Sort=A","Dates=H","DateFormat=P","Fill=—","Direction=H","UseDPDF=Y")</f>
        <v>—</v>
      </c>
      <c r="V100" s="13" t="str">
        <f>_xll.BDH("AMGN US Equity","ARDR_OPTIONS_OUTSTANDING_END_PER","FQ3 2023","FQ3 2023","Currency=USD","Period=FQ","BEST_FPERIOD_OVERRIDE=FQ","FILING_STATUS=MR","Sort=A","Dates=H","DateFormat=P","Fill=—","Direction=H","UseDPDF=Y")</f>
        <v>—</v>
      </c>
      <c r="W100" s="13">
        <f>_xll.BDH("AMGN US Equity","ARDR_OPTIONS_OUTSTANDING_END_PER","FQ4 2023","FQ4 2023","Currency=USD","Period=FQ","BEST_FPERIOD_OVERRIDE=FQ","FILING_STATUS=MR","Sort=A","Dates=H","DateFormat=P","Fill=—","Direction=H","UseDPDF=Y")</f>
        <v>5.9</v>
      </c>
      <c r="X100" s="13" t="str">
        <f>_xll.BDH("AMGN US Equity","ARDR_OPTIONS_OUTSTANDING_END_PER","FQ1 2024","FQ1 2024","Currency=USD","Period=FQ","BEST_FPERIOD_OVERRIDE=FQ","FILING_STATUS=MR","Sort=A","Dates=H","DateFormat=P","Fill=—","Direction=H","UseDPDF=Y")</f>
        <v>—</v>
      </c>
      <c r="Y100" s="13" t="str">
        <f>_xll.BDH("AMGN US Equity","ARDR_OPTIONS_OUTSTANDING_END_PER","FQ2 2024","FQ2 2024","Currency=USD","Period=FQ","BEST_FPERIOD_OVERRIDE=FQ","FILING_STATUS=MR","Sort=A","Dates=H","DateFormat=P","Fill=—","Direction=H","UseDPDF=Y")</f>
        <v>—</v>
      </c>
      <c r="Z100" s="13" t="str">
        <f>_xll.BDH("AMGN US Equity","ARDR_OPTIONS_OUTSTANDING_END_PER","FQ3 2024","FQ3 2024","Currency=USD","Period=FQ","BEST_FPERIOD_OVERRIDE=FQ","FILING_STATUS=MR","Sort=A","Dates=H","DateFormat=P","Fill=—","Direction=H","UseDPDF=Y")</f>
        <v>—</v>
      </c>
      <c r="AA100" s="13">
        <f>_xll.BDH("AMGN US Equity","ARDR_OPTIONS_OUTSTANDING_END_PER","FQ4 2024","FQ4 2024","Currency=USD","Period=FQ","BEST_FPERIOD_OVERRIDE=FQ","FILING_STATUS=MR","Sort=A","Dates=H","DateFormat=P","Fill=—","Direction=H","UseDPDF=Y")</f>
        <v>5.9</v>
      </c>
    </row>
    <row r="101" spans="1:27" x14ac:dyDescent="0.25">
      <c r="A101" s="10" t="s">
        <v>1016</v>
      </c>
      <c r="B101" s="10" t="s">
        <v>1017</v>
      </c>
      <c r="C101" s="13">
        <f>_xll.BDH("AMGN US Equity","ARDR_PROV_GUARANTEES_WARRANTIES","FQ4 2018","FQ4 2018","Currency=USD","Period=FQ","BEST_FPERIOD_OVERRIDE=FQ","FILING_STATUS=MR","SCALING_FORMAT=MLN","Sort=A","Dates=H","DateFormat=P","Fill=—","Direction=H","UseDPDF=Y")</f>
        <v>535</v>
      </c>
      <c r="D101" s="13" t="str">
        <f>_xll.BDH("AMGN US Equity","ARDR_PROV_GUARANTEES_WARRANTIES","FQ1 2019","FQ1 2019","Currency=USD","Period=FQ","BEST_FPERIOD_OVERRIDE=FQ","FILING_STATUS=MR","SCALING_FORMAT=MLN","Sort=A","Dates=H","DateFormat=P","Fill=—","Direction=H","UseDPDF=Y")</f>
        <v>—</v>
      </c>
      <c r="E101" s="13" t="str">
        <f>_xll.BDH("AMGN US Equity","ARDR_PROV_GUARANTEES_WARRANTIES","FQ2 2019","FQ2 2019","Currency=USD","Period=FQ","BEST_FPERIOD_OVERRIDE=FQ","FILING_STATUS=MR","SCALING_FORMAT=MLN","Sort=A","Dates=H","DateFormat=P","Fill=—","Direction=H","UseDPDF=Y")</f>
        <v>—</v>
      </c>
      <c r="F101" s="13" t="str">
        <f>_xll.BDH("AMGN US Equity","ARDR_PROV_GUARANTEES_WARRANTIES","FQ3 2019","FQ3 2019","Currency=USD","Period=FQ","BEST_FPERIOD_OVERRIDE=FQ","FILING_STATUS=MR","SCALING_FORMAT=MLN","Sort=A","Dates=H","DateFormat=P","Fill=—","Direction=H","UseDPDF=Y")</f>
        <v>—</v>
      </c>
      <c r="G101" s="13">
        <f>_xll.BDH("AMGN US Equity","ARDR_PROV_GUARANTEES_WARRANTIES","FQ4 2019","FQ4 2019","Currency=USD","Period=FQ","BEST_FPERIOD_OVERRIDE=FQ","FILING_STATUS=MR","SCALING_FORMAT=MLN","Sort=A","Dates=H","DateFormat=P","Fill=—","Direction=H","UseDPDF=Y")</f>
        <v>564</v>
      </c>
      <c r="H101" s="13" t="str">
        <f>_xll.BDH("AMGN US Equity","ARDR_PROV_GUARANTEES_WARRANTIES","FQ1 2020","FQ1 2020","Currency=USD","Period=FQ","BEST_FPERIOD_OVERRIDE=FQ","FILING_STATUS=MR","SCALING_FORMAT=MLN","Sort=A","Dates=H","DateFormat=P","Fill=—","Direction=H","UseDPDF=Y")</f>
        <v>—</v>
      </c>
      <c r="I101" s="13" t="str">
        <f>_xll.BDH("AMGN US Equity","ARDR_PROV_GUARANTEES_WARRANTIES","FQ2 2020","FQ2 2020","Currency=USD","Period=FQ","BEST_FPERIOD_OVERRIDE=FQ","FILING_STATUS=MR","SCALING_FORMAT=MLN","Sort=A","Dates=H","DateFormat=P","Fill=—","Direction=H","UseDPDF=Y")</f>
        <v>—</v>
      </c>
      <c r="J101" s="13" t="str">
        <f>_xll.BDH("AMGN US Equity","ARDR_PROV_GUARANTEES_WARRANTIES","FQ3 2020","FQ3 2020","Currency=USD","Period=FQ","BEST_FPERIOD_OVERRIDE=FQ","FILING_STATUS=MR","SCALING_FORMAT=MLN","Sort=A","Dates=H","DateFormat=P","Fill=—","Direction=H","UseDPDF=Y")</f>
        <v>—</v>
      </c>
      <c r="K101" s="13">
        <f>_xll.BDH("AMGN US Equity","ARDR_PROV_GUARANTEES_WARRANTIES","FQ4 2020","FQ4 2020","Currency=USD","Period=FQ","BEST_FPERIOD_OVERRIDE=FQ","FILING_STATUS=MR","SCALING_FORMAT=MLN","Sort=A","Dates=H","DateFormat=P","Fill=—","Direction=H","UseDPDF=Y")</f>
        <v>474</v>
      </c>
      <c r="L101" s="13" t="str">
        <f>_xll.BDH("AMGN US Equity","ARDR_PROV_GUARANTEES_WARRANTIES","FQ1 2021","FQ1 2021","Currency=USD","Period=FQ","BEST_FPERIOD_OVERRIDE=FQ","FILING_STATUS=MR","SCALING_FORMAT=MLN","Sort=A","Dates=H","DateFormat=P","Fill=—","Direction=H","UseDPDF=Y")</f>
        <v>—</v>
      </c>
      <c r="M101" s="13" t="str">
        <f>_xll.BDH("AMGN US Equity","ARDR_PROV_GUARANTEES_WARRANTIES","FQ2 2021","FQ2 2021","Currency=USD","Period=FQ","BEST_FPERIOD_OVERRIDE=FQ","FILING_STATUS=MR","SCALING_FORMAT=MLN","Sort=A","Dates=H","DateFormat=P","Fill=—","Direction=H","UseDPDF=Y")</f>
        <v>—</v>
      </c>
      <c r="N101" s="13" t="str">
        <f>_xll.BDH("AMGN US Equity","ARDR_PROV_GUARANTEES_WARRANTIES","FQ3 2021","FQ3 2021","Currency=USD","Period=FQ","BEST_FPERIOD_OVERRIDE=FQ","FILING_STATUS=MR","SCALING_FORMAT=MLN","Sort=A","Dates=H","DateFormat=P","Fill=—","Direction=H","UseDPDF=Y")</f>
        <v>—</v>
      </c>
      <c r="O101" s="13">
        <f>_xll.BDH("AMGN US Equity","ARDR_PROV_GUARANTEES_WARRANTIES","FQ4 2021","FQ4 2021","Currency=USD","Period=FQ","BEST_FPERIOD_OVERRIDE=FQ","FILING_STATUS=MR","SCALING_FORMAT=MLN","Sort=A","Dates=H","DateFormat=P","Fill=—","Direction=H","UseDPDF=Y")</f>
        <v>542</v>
      </c>
      <c r="P101" s="13" t="str">
        <f>_xll.BDH("AMGN US Equity","ARDR_PROV_GUARANTEES_WARRANTIES","FQ1 2022","FQ1 2022","Currency=USD","Period=FQ","BEST_FPERIOD_OVERRIDE=FQ","FILING_STATUS=MR","SCALING_FORMAT=MLN","Sort=A","Dates=H","DateFormat=P","Fill=—","Direction=H","UseDPDF=Y")</f>
        <v>—</v>
      </c>
      <c r="Q101" s="13" t="str">
        <f>_xll.BDH("AMGN US Equity","ARDR_PROV_GUARANTEES_WARRANTIES","FQ2 2022","FQ2 2022","Currency=USD","Period=FQ","BEST_FPERIOD_OVERRIDE=FQ","FILING_STATUS=MR","SCALING_FORMAT=MLN","Sort=A","Dates=H","DateFormat=P","Fill=—","Direction=H","UseDPDF=Y")</f>
        <v>—</v>
      </c>
      <c r="R101" s="13" t="str">
        <f>_xll.BDH("AMGN US Equity","ARDR_PROV_GUARANTEES_WARRANTIES","FQ3 2022","FQ3 2022","Currency=USD","Period=FQ","BEST_FPERIOD_OVERRIDE=FQ","FILING_STATUS=MR","SCALING_FORMAT=MLN","Sort=A","Dates=H","DateFormat=P","Fill=—","Direction=H","UseDPDF=Y")</f>
        <v>—</v>
      </c>
      <c r="S101" s="13">
        <f>_xll.BDH("AMGN US Equity","ARDR_PROV_GUARANTEES_WARRANTIES","FQ4 2022","FQ4 2022","Currency=USD","Period=FQ","BEST_FPERIOD_OVERRIDE=FQ","FILING_STATUS=MR","SCALING_FORMAT=MLN","Sort=A","Dates=H","DateFormat=P","Fill=—","Direction=H","UseDPDF=Y")</f>
        <v>548</v>
      </c>
      <c r="T101" s="13" t="str">
        <f>_xll.BDH("AMGN US Equity","ARDR_PROV_GUARANTEES_WARRANTIES","FQ1 2023","FQ1 2023","Currency=USD","Period=FQ","BEST_FPERIOD_OVERRIDE=FQ","FILING_STATUS=MR","SCALING_FORMAT=MLN","Sort=A","Dates=H","DateFormat=P","Fill=—","Direction=H","UseDPDF=Y")</f>
        <v>—</v>
      </c>
      <c r="U101" s="13" t="str">
        <f>_xll.BDH("AMGN US Equity","ARDR_PROV_GUARANTEES_WARRANTIES","FQ2 2023","FQ2 2023","Currency=USD","Period=FQ","BEST_FPERIOD_OVERRIDE=FQ","FILING_STATUS=MR","SCALING_FORMAT=MLN","Sort=A","Dates=H","DateFormat=P","Fill=—","Direction=H","UseDPDF=Y")</f>
        <v>—</v>
      </c>
      <c r="V101" s="13" t="str">
        <f>_xll.BDH("AMGN US Equity","ARDR_PROV_GUARANTEES_WARRANTIES","FQ3 2023","FQ3 2023","Currency=USD","Period=FQ","BEST_FPERIOD_OVERRIDE=FQ","FILING_STATUS=MR","SCALING_FORMAT=MLN","Sort=A","Dates=H","DateFormat=P","Fill=—","Direction=H","UseDPDF=Y")</f>
        <v>—</v>
      </c>
      <c r="W101" s="13" t="str">
        <f>_xll.BDH("AMGN US Equity","ARDR_PROV_GUARANTEES_WARRANTIES","FQ4 2023","FQ4 2023","Currency=USD","Period=FQ","BEST_FPERIOD_OVERRIDE=FQ","FILING_STATUS=MR","SCALING_FORMAT=MLN","Sort=A","Dates=H","DateFormat=P","Fill=—","Direction=H","UseDPDF=Y")</f>
        <v>—</v>
      </c>
      <c r="X101" s="13" t="str">
        <f>_xll.BDH("AMGN US Equity","ARDR_PROV_GUARANTEES_WARRANTIES","FQ1 2024","FQ1 2024","Currency=USD","Period=FQ","BEST_FPERIOD_OVERRIDE=FQ","FILING_STATUS=MR","SCALING_FORMAT=MLN","Sort=A","Dates=H","DateFormat=P","Fill=—","Direction=H","UseDPDF=Y")</f>
        <v>—</v>
      </c>
      <c r="Y101" s="13" t="str">
        <f>_xll.BDH("AMGN US Equity","ARDR_PROV_GUARANTEES_WARRANTIES","FQ2 2024","FQ2 2024","Currency=USD","Period=FQ","BEST_FPERIOD_OVERRIDE=FQ","FILING_STATUS=MR","SCALING_FORMAT=MLN","Sort=A","Dates=H","DateFormat=P","Fill=—","Direction=H","UseDPDF=Y")</f>
        <v>—</v>
      </c>
      <c r="Z101" s="13" t="str">
        <f>_xll.BDH("AMGN US Equity","ARDR_PROV_GUARANTEES_WARRANTIES","FQ3 2024","FQ3 2024","Currency=USD","Period=FQ","BEST_FPERIOD_OVERRIDE=FQ","FILING_STATUS=MR","SCALING_FORMAT=MLN","Sort=A","Dates=H","DateFormat=P","Fill=—","Direction=H","UseDPDF=Y")</f>
        <v>—</v>
      </c>
      <c r="AA101" s="13" t="str">
        <f>_xll.BDH("AMGN US Equity","ARDR_PROV_GUARANTEES_WARRANTIES","FQ4 2024","FQ4 2024","Currency=USD","Period=FQ","BEST_FPERIOD_OVERRIDE=FQ","FILING_STATUS=MR","SCALING_FORMAT=MLN","Sort=A","Dates=H","DateFormat=P","Fill=—","Direction=H","UseDPDF=Y")</f>
        <v>—</v>
      </c>
    </row>
    <row r="102" spans="1:27" x14ac:dyDescent="0.25">
      <c r="A102" s="10" t="s">
        <v>1018</v>
      </c>
      <c r="B102" s="10" t="s">
        <v>1019</v>
      </c>
      <c r="C102" s="13">
        <f>_xll.BDH("AMGN US Equity","ARDR_CASH_ON_HAND","FQ4 2018","FQ4 2018","Currency=USD","Period=FQ","BEST_FPERIOD_OVERRIDE=FQ","FILING_STATUS=MR","SCALING_FORMAT=MLN","Sort=A","Dates=H","DateFormat=P","Fill=—","Direction=H","UseDPDF=Y")</f>
        <v>580</v>
      </c>
      <c r="D102" s="13">
        <f>_xll.BDH("AMGN US Equity","ARDR_CASH_ON_HAND","FQ1 2019","FQ1 2019","Currency=USD","Period=FQ","BEST_FPERIOD_OVERRIDE=FQ","FILING_STATUS=MR","SCALING_FORMAT=MLN","Sort=A","Dates=H","DateFormat=P","Fill=—","Direction=H","UseDPDF=Y")</f>
        <v>649</v>
      </c>
      <c r="E102" s="13">
        <f>_xll.BDH("AMGN US Equity","ARDR_CASH_ON_HAND","FQ2 2019","FQ2 2019","Currency=USD","Period=FQ","BEST_FPERIOD_OVERRIDE=FQ","FILING_STATUS=MR","SCALING_FORMAT=MLN","Sort=A","Dates=H","DateFormat=P","Fill=—","Direction=H","UseDPDF=Y")</f>
        <v>641</v>
      </c>
      <c r="F102" s="13">
        <f>_xll.BDH("AMGN US Equity","ARDR_CASH_ON_HAND","FQ3 2019","FQ3 2019","Currency=USD","Period=FQ","BEST_FPERIOD_OVERRIDE=FQ","FILING_STATUS=MR","SCALING_FORMAT=MLN","Sort=A","Dates=H","DateFormat=P","Fill=—","Direction=H","UseDPDF=Y")</f>
        <v>626</v>
      </c>
      <c r="G102" s="13">
        <f>_xll.BDH("AMGN US Equity","ARDR_CASH_ON_HAND","FQ4 2019","FQ4 2019","Currency=USD","Period=FQ","BEST_FPERIOD_OVERRIDE=FQ","FILING_STATUS=MR","SCALING_FORMAT=MLN","Sort=A","Dates=H","DateFormat=P","Fill=—","Direction=H","UseDPDF=Y")</f>
        <v>677</v>
      </c>
      <c r="H102" s="13">
        <f>_xll.BDH("AMGN US Equity","ARDR_CASH_ON_HAND","FQ1 2020","FQ1 2020","Currency=USD","Period=FQ","BEST_FPERIOD_OVERRIDE=FQ","FILING_STATUS=MR","SCALING_FORMAT=MLN","Sort=A","Dates=H","DateFormat=P","Fill=—","Direction=H","UseDPDF=Y")</f>
        <v>718</v>
      </c>
      <c r="I102" s="13">
        <f>_xll.BDH("AMGN US Equity","ARDR_CASH_ON_HAND","FQ2 2020","FQ2 2020","Currency=USD","Period=FQ","BEST_FPERIOD_OVERRIDE=FQ","FILING_STATUS=MR","SCALING_FORMAT=MLN","Sort=A","Dates=H","DateFormat=P","Fill=—","Direction=H","UseDPDF=Y")</f>
        <v>687</v>
      </c>
      <c r="J102" s="13">
        <f>_xll.BDH("AMGN US Equity","ARDR_CASH_ON_HAND","FQ3 2020","FQ3 2020","Currency=USD","Period=FQ","BEST_FPERIOD_OVERRIDE=FQ","FILING_STATUS=MR","SCALING_FORMAT=MLN","Sort=A","Dates=H","DateFormat=P","Fill=—","Direction=H","UseDPDF=Y")</f>
        <v>771</v>
      </c>
      <c r="K102" s="13">
        <f>_xll.BDH("AMGN US Equity","ARDR_CASH_ON_HAND","FQ4 2020","FQ4 2020","Currency=USD","Period=FQ","BEST_FPERIOD_OVERRIDE=FQ","FILING_STATUS=MR","SCALING_FORMAT=MLN","Sort=A","Dates=H","DateFormat=P","Fill=—","Direction=H","UseDPDF=Y")</f>
        <v>802</v>
      </c>
      <c r="L102" s="13">
        <f>_xll.BDH("AMGN US Equity","ARDR_CASH_ON_HAND","FQ1 2021","FQ1 2021","Currency=USD","Period=FQ","BEST_FPERIOD_OVERRIDE=FQ","FILING_STATUS=MR","SCALING_FORMAT=MLN","Sort=A","Dates=H","DateFormat=P","Fill=—","Direction=H","UseDPDF=Y")</f>
        <v>845</v>
      </c>
      <c r="M102" s="13">
        <f>_xll.BDH("AMGN US Equity","ARDR_CASH_ON_HAND","FQ2 2021","FQ2 2021","Currency=USD","Period=FQ","BEST_FPERIOD_OVERRIDE=FQ","FILING_STATUS=MR","SCALING_FORMAT=MLN","Sort=A","Dates=H","DateFormat=P","Fill=—","Direction=H","UseDPDF=Y")</f>
        <v>923</v>
      </c>
      <c r="N102" s="13">
        <f>_xll.BDH("AMGN US Equity","ARDR_CASH_ON_HAND","FQ3 2021","FQ3 2021","Currency=USD","Period=FQ","BEST_FPERIOD_OVERRIDE=FQ","FILING_STATUS=MR","SCALING_FORMAT=MLN","Sort=A","Dates=H","DateFormat=P","Fill=—","Direction=H","UseDPDF=Y")</f>
        <v>646</v>
      </c>
      <c r="O102" s="13">
        <f>_xll.BDH("AMGN US Equity","ARDR_CASH_ON_HAND","FQ4 2021","FQ4 2021","Currency=USD","Period=FQ","BEST_FPERIOD_OVERRIDE=FQ","FILING_STATUS=MR","SCALING_FORMAT=MLN","Sort=A","Dates=H","DateFormat=P","Fill=—","Direction=H","UseDPDF=Y")</f>
        <v>733</v>
      </c>
      <c r="P102" s="13">
        <f>_xll.BDH("AMGN US Equity","ARDR_CASH_ON_HAND","FQ1 2022","FQ1 2022","Currency=USD","Period=FQ","BEST_FPERIOD_OVERRIDE=FQ","FILING_STATUS=MR","SCALING_FORMAT=MLN","Sort=A","Dates=H","DateFormat=P","Fill=—","Direction=H","UseDPDF=Y")</f>
        <v>691</v>
      </c>
      <c r="Q102" s="13">
        <f>_xll.BDH("AMGN US Equity","ARDR_CASH_ON_HAND","FQ2 2022","FQ2 2022","Currency=USD","Period=FQ","BEST_FPERIOD_OVERRIDE=FQ","FILING_STATUS=MR","SCALING_FORMAT=MLN","Sort=A","Dates=H","DateFormat=P","Fill=—","Direction=H","UseDPDF=Y")</f>
        <v>770</v>
      </c>
      <c r="R102" s="13">
        <f>_xll.BDH("AMGN US Equity","ARDR_CASH_ON_HAND","FQ3 2022","FQ3 2022","Currency=USD","Period=FQ","BEST_FPERIOD_OVERRIDE=FQ","FILING_STATUS=MR","SCALING_FORMAT=MLN","Sort=A","Dates=H","DateFormat=P","Fill=—","Direction=H","UseDPDF=Y")</f>
        <v>1976</v>
      </c>
      <c r="S102" s="13">
        <f>_xll.BDH("AMGN US Equity","ARDR_CASH_ON_HAND","FQ4 2022","FQ4 2022","Currency=USD","Period=FQ","BEST_FPERIOD_OVERRIDE=FQ","FILING_STATUS=MR","SCALING_FORMAT=MLN","Sort=A","Dates=H","DateFormat=P","Fill=—","Direction=H","UseDPDF=Y")</f>
        <v>4970</v>
      </c>
      <c r="T102" s="13" t="str">
        <f>_xll.BDH("AMGN US Equity","ARDR_CASH_ON_HAND","FQ1 2023","FQ1 2023","Currency=USD","Period=FQ","BEST_FPERIOD_OVERRIDE=FQ","FILING_STATUS=MR","SCALING_FORMAT=MLN","Sort=A","Dates=H","DateFormat=P","Fill=—","Direction=H","UseDPDF=Y")</f>
        <v>—</v>
      </c>
      <c r="U102" s="13" t="str">
        <f>_xll.BDH("AMGN US Equity","ARDR_CASH_ON_HAND","FQ2 2023","FQ2 2023","Currency=USD","Period=FQ","BEST_FPERIOD_OVERRIDE=FQ","FILING_STATUS=MR","SCALING_FORMAT=MLN","Sort=A","Dates=H","DateFormat=P","Fill=—","Direction=H","UseDPDF=Y")</f>
        <v>—</v>
      </c>
      <c r="V102" s="13">
        <f>_xll.BDH("AMGN US Equity","ARDR_CASH_ON_HAND","FQ3 2023","FQ3 2023","Currency=USD","Period=FQ","BEST_FPERIOD_OVERRIDE=FQ","FILING_STATUS=MR","SCALING_FORMAT=MLN","Sort=A","Dates=H","DateFormat=P","Fill=—","Direction=H","UseDPDF=Y")</f>
        <v>0</v>
      </c>
      <c r="W102" s="13">
        <f>_xll.BDH("AMGN US Equity","ARDR_CASH_ON_HAND","FQ4 2023","FQ4 2023","Currency=USD","Period=FQ","BEST_FPERIOD_OVERRIDE=FQ","FILING_STATUS=MR","SCALING_FORMAT=MLN","Sort=A","Dates=H","DateFormat=P","Fill=—","Direction=H","UseDPDF=Y")</f>
        <v>540</v>
      </c>
      <c r="X102" s="13" t="str">
        <f>_xll.BDH("AMGN US Equity","ARDR_CASH_ON_HAND","FQ1 2024","FQ1 2024","Currency=USD","Period=FQ","BEST_FPERIOD_OVERRIDE=FQ","FILING_STATUS=MR","SCALING_FORMAT=MLN","Sort=A","Dates=H","DateFormat=P","Fill=—","Direction=H","UseDPDF=Y")</f>
        <v>—</v>
      </c>
      <c r="Y102" s="13" t="str">
        <f>_xll.BDH("AMGN US Equity","ARDR_CASH_ON_HAND","FQ2 2024","FQ2 2024","Currency=USD","Period=FQ","BEST_FPERIOD_OVERRIDE=FQ","FILING_STATUS=MR","SCALING_FORMAT=MLN","Sort=A","Dates=H","DateFormat=P","Fill=—","Direction=H","UseDPDF=Y")</f>
        <v>—</v>
      </c>
      <c r="Z102" s="13" t="str">
        <f>_xll.BDH("AMGN US Equity","ARDR_CASH_ON_HAND","FQ3 2024","FQ3 2024","Currency=USD","Period=FQ","BEST_FPERIOD_OVERRIDE=FQ","FILING_STATUS=MR","SCALING_FORMAT=MLN","Sort=A","Dates=H","DateFormat=P","Fill=—","Direction=H","UseDPDF=Y")</f>
        <v>—</v>
      </c>
      <c r="AA102" s="13">
        <f>_xll.BDH("AMGN US Equity","ARDR_CASH_ON_HAND","FQ4 2024","FQ4 2024","Currency=USD","Period=FQ","BEST_FPERIOD_OVERRIDE=FQ","FILING_STATUS=MR","SCALING_FORMAT=MLN","Sort=A","Dates=H","DateFormat=P","Fill=—","Direction=H","UseDPDF=Y")</f>
        <v>487</v>
      </c>
    </row>
    <row r="103" spans="1:27" x14ac:dyDescent="0.25">
      <c r="A103" s="10" t="s">
        <v>1020</v>
      </c>
      <c r="B103" s="10" t="s">
        <v>1021</v>
      </c>
      <c r="C103" s="13" t="str">
        <f>_xll.BDH("AMGN US Equity","ARDR_OPTIONS_EXERCISED_DUR_PER","FQ4 2018","FQ4 2018","Currency=USD","Period=FQ","BEST_FPERIOD_OVERRIDE=FQ","FILING_STATUS=MR","SCALING_FORMAT=MLN","Sort=A","Dates=H","DateFormat=P","Fill=—","Direction=H","UseDPDF=Y")</f>
        <v>—</v>
      </c>
      <c r="D103" s="13" t="str">
        <f>_xll.BDH("AMGN US Equity","ARDR_OPTIONS_EXERCISED_DUR_PER","FQ1 2019","FQ1 2019","Currency=USD","Period=FQ","BEST_FPERIOD_OVERRIDE=FQ","FILING_STATUS=MR","SCALING_FORMAT=MLN","Sort=A","Dates=H","DateFormat=P","Fill=—","Direction=H","UseDPDF=Y")</f>
        <v>—</v>
      </c>
      <c r="E103" s="13" t="str">
        <f>_xll.BDH("AMGN US Equity","ARDR_OPTIONS_EXERCISED_DUR_PER","FQ2 2019","FQ2 2019","Currency=USD","Period=FQ","BEST_FPERIOD_OVERRIDE=FQ","FILING_STATUS=MR","SCALING_FORMAT=MLN","Sort=A","Dates=H","DateFormat=P","Fill=—","Direction=H","UseDPDF=Y")</f>
        <v>—</v>
      </c>
      <c r="F103" s="13" t="str">
        <f>_xll.BDH("AMGN US Equity","ARDR_OPTIONS_EXERCISED_DUR_PER","FQ3 2019","FQ3 2019","Currency=USD","Period=FQ","BEST_FPERIOD_OVERRIDE=FQ","FILING_STATUS=MR","SCALING_FORMAT=MLN","Sort=A","Dates=H","DateFormat=P","Fill=—","Direction=H","UseDPDF=Y")</f>
        <v>—</v>
      </c>
      <c r="G103" s="13" t="str">
        <f>_xll.BDH("AMGN US Equity","ARDR_OPTIONS_EXERCISED_DUR_PER","FQ4 2019","FQ4 2019","Currency=USD","Period=FQ","BEST_FPERIOD_OVERRIDE=FQ","FILING_STATUS=MR","SCALING_FORMAT=MLN","Sort=A","Dates=H","DateFormat=P","Fill=—","Direction=H","UseDPDF=Y")</f>
        <v>—</v>
      </c>
      <c r="H103" s="13" t="str">
        <f>_xll.BDH("AMGN US Equity","ARDR_OPTIONS_EXERCISED_DUR_PER","FQ1 2020","FQ1 2020","Currency=USD","Period=FQ","BEST_FPERIOD_OVERRIDE=FQ","FILING_STATUS=MR","SCALING_FORMAT=MLN","Sort=A","Dates=H","DateFormat=P","Fill=—","Direction=H","UseDPDF=Y")</f>
        <v>—</v>
      </c>
      <c r="I103" s="13" t="str">
        <f>_xll.BDH("AMGN US Equity","ARDR_OPTIONS_EXERCISED_DUR_PER","FQ2 2020","FQ2 2020","Currency=USD","Period=FQ","BEST_FPERIOD_OVERRIDE=FQ","FILING_STATUS=MR","SCALING_FORMAT=MLN","Sort=A","Dates=H","DateFormat=P","Fill=—","Direction=H","UseDPDF=Y")</f>
        <v>—</v>
      </c>
      <c r="J103" s="13" t="str">
        <f>_xll.BDH("AMGN US Equity","ARDR_OPTIONS_EXERCISED_DUR_PER","FQ3 2020","FQ3 2020","Currency=USD","Period=FQ","BEST_FPERIOD_OVERRIDE=FQ","FILING_STATUS=MR","SCALING_FORMAT=MLN","Sort=A","Dates=H","DateFormat=P","Fill=—","Direction=H","UseDPDF=Y")</f>
        <v>—</v>
      </c>
      <c r="K103" s="13">
        <f>_xll.BDH("AMGN US Equity","ARDR_OPTIONS_EXERCISED_DUR_PER","FQ4 2020","FQ4 2020","Currency=USD","Period=FQ","BEST_FPERIOD_OVERRIDE=FQ","FILING_STATUS=MR","SCALING_FORMAT=MLN","Sort=A","Dates=H","DateFormat=P","Fill=—","Direction=H","UseDPDF=Y")</f>
        <v>0.9</v>
      </c>
      <c r="L103" s="13" t="str">
        <f>_xll.BDH("AMGN US Equity","ARDR_OPTIONS_EXERCISED_DUR_PER","FQ1 2021","FQ1 2021","Currency=USD","Period=FQ","BEST_FPERIOD_OVERRIDE=FQ","FILING_STATUS=MR","SCALING_FORMAT=MLN","Sort=A","Dates=H","DateFormat=P","Fill=—","Direction=H","UseDPDF=Y")</f>
        <v>—</v>
      </c>
      <c r="M103" s="13" t="str">
        <f>_xll.BDH("AMGN US Equity","ARDR_OPTIONS_EXERCISED_DUR_PER","FQ2 2021","FQ2 2021","Currency=USD","Period=FQ","BEST_FPERIOD_OVERRIDE=FQ","FILING_STATUS=MR","SCALING_FORMAT=MLN","Sort=A","Dates=H","DateFormat=P","Fill=—","Direction=H","UseDPDF=Y")</f>
        <v>—</v>
      </c>
      <c r="N103" s="13" t="str">
        <f>_xll.BDH("AMGN US Equity","ARDR_OPTIONS_EXERCISED_DUR_PER","FQ3 2021","FQ3 2021","Currency=USD","Period=FQ","BEST_FPERIOD_OVERRIDE=FQ","FILING_STATUS=MR","SCALING_FORMAT=MLN","Sort=A","Dates=H","DateFormat=P","Fill=—","Direction=H","UseDPDF=Y")</f>
        <v>—</v>
      </c>
      <c r="O103" s="13">
        <f>_xll.BDH("AMGN US Equity","ARDR_OPTIONS_EXERCISED_DUR_PER","FQ4 2021","FQ4 2021","Currency=USD","Period=FQ","BEST_FPERIOD_OVERRIDE=FQ","FILING_STATUS=MR","SCALING_FORMAT=MLN","Sort=A","Dates=H","DateFormat=P","Fill=—","Direction=H","UseDPDF=Y")</f>
        <v>0.5</v>
      </c>
      <c r="P103" s="13" t="str">
        <f>_xll.BDH("AMGN US Equity","ARDR_OPTIONS_EXERCISED_DUR_PER","FQ1 2022","FQ1 2022","Currency=USD","Period=FQ","BEST_FPERIOD_OVERRIDE=FQ","FILING_STATUS=MR","SCALING_FORMAT=MLN","Sort=A","Dates=H","DateFormat=P","Fill=—","Direction=H","UseDPDF=Y")</f>
        <v>—</v>
      </c>
      <c r="Q103" s="13" t="str">
        <f>_xll.BDH("AMGN US Equity","ARDR_OPTIONS_EXERCISED_DUR_PER","FQ2 2022","FQ2 2022","Currency=USD","Period=FQ","BEST_FPERIOD_OVERRIDE=FQ","FILING_STATUS=MR","SCALING_FORMAT=MLN","Sort=A","Dates=H","DateFormat=P","Fill=—","Direction=H","UseDPDF=Y")</f>
        <v>—</v>
      </c>
      <c r="R103" s="13" t="str">
        <f>_xll.BDH("AMGN US Equity","ARDR_OPTIONS_EXERCISED_DUR_PER","FQ3 2022","FQ3 2022","Currency=USD","Period=FQ","BEST_FPERIOD_OVERRIDE=FQ","FILING_STATUS=MR","SCALING_FORMAT=MLN","Sort=A","Dates=H","DateFormat=P","Fill=—","Direction=H","UseDPDF=Y")</f>
        <v>—</v>
      </c>
      <c r="S103" s="13" t="str">
        <f>_xll.BDH("AMGN US Equity","ARDR_OPTIONS_EXERCISED_DUR_PER","FQ4 2022","FQ4 2022","Currency=USD","Period=FQ","BEST_FPERIOD_OVERRIDE=FQ","FILING_STATUS=MR","SCALING_FORMAT=MLN","Sort=A","Dates=H","DateFormat=P","Fill=—","Direction=H","UseDPDF=Y")</f>
        <v>—</v>
      </c>
      <c r="T103" s="13" t="str">
        <f>_xll.BDH("AMGN US Equity","ARDR_OPTIONS_EXERCISED_DUR_PER","FQ1 2023","FQ1 2023","Currency=USD","Period=FQ","BEST_FPERIOD_OVERRIDE=FQ","FILING_STATUS=MR","SCALING_FORMAT=MLN","Sort=A","Dates=H","DateFormat=P","Fill=—","Direction=H","UseDPDF=Y")</f>
        <v>—</v>
      </c>
      <c r="U103" s="13" t="str">
        <f>_xll.BDH("AMGN US Equity","ARDR_OPTIONS_EXERCISED_DUR_PER","FQ2 2023","FQ2 2023","Currency=USD","Period=FQ","BEST_FPERIOD_OVERRIDE=FQ","FILING_STATUS=MR","SCALING_FORMAT=MLN","Sort=A","Dates=H","DateFormat=P","Fill=—","Direction=H","UseDPDF=Y")</f>
        <v>—</v>
      </c>
      <c r="V103" s="13" t="str">
        <f>_xll.BDH("AMGN US Equity","ARDR_OPTIONS_EXERCISED_DUR_PER","FQ3 2023","FQ3 2023","Currency=USD","Period=FQ","BEST_FPERIOD_OVERRIDE=FQ","FILING_STATUS=MR","SCALING_FORMAT=MLN","Sort=A","Dates=H","DateFormat=P","Fill=—","Direction=H","UseDPDF=Y")</f>
        <v>—</v>
      </c>
      <c r="W103" s="13" t="str">
        <f>_xll.BDH("AMGN US Equity","ARDR_OPTIONS_EXERCISED_DUR_PER","FQ4 2023","FQ4 2023","Currency=USD","Period=FQ","BEST_FPERIOD_OVERRIDE=FQ","FILING_STATUS=MR","SCALING_FORMAT=MLN","Sort=A","Dates=H","DateFormat=P","Fill=—","Direction=H","UseDPDF=Y")</f>
        <v>—</v>
      </c>
      <c r="X103" s="13" t="str">
        <f>_xll.BDH("AMGN US Equity","ARDR_OPTIONS_EXERCISED_DUR_PER","FQ1 2024","FQ1 2024","Currency=USD","Period=FQ","BEST_FPERIOD_OVERRIDE=FQ","FILING_STATUS=MR","SCALING_FORMAT=MLN","Sort=A","Dates=H","DateFormat=P","Fill=—","Direction=H","UseDPDF=Y")</f>
        <v>—</v>
      </c>
      <c r="Y103" s="13" t="str">
        <f>_xll.BDH("AMGN US Equity","ARDR_OPTIONS_EXERCISED_DUR_PER","FQ2 2024","FQ2 2024","Currency=USD","Period=FQ","BEST_FPERIOD_OVERRIDE=FQ","FILING_STATUS=MR","SCALING_FORMAT=MLN","Sort=A","Dates=H","DateFormat=P","Fill=—","Direction=H","UseDPDF=Y")</f>
        <v>—</v>
      </c>
      <c r="Z103" s="13" t="str">
        <f>_xll.BDH("AMGN US Equity","ARDR_OPTIONS_EXERCISED_DUR_PER","FQ3 2024","FQ3 2024","Currency=USD","Period=FQ","BEST_FPERIOD_OVERRIDE=FQ","FILING_STATUS=MR","SCALING_FORMAT=MLN","Sort=A","Dates=H","DateFormat=P","Fill=—","Direction=H","UseDPDF=Y")</f>
        <v>—</v>
      </c>
      <c r="AA103" s="13" t="str">
        <f>_xll.BDH("AMGN US Equity","ARDR_OPTIONS_EXERCISED_DUR_PER","FQ4 2024","FQ4 2024","Currency=USD","Period=FQ","BEST_FPERIOD_OVERRIDE=FQ","FILING_STATUS=MR","SCALING_FORMAT=MLN","Sort=A","Dates=H","DateFormat=P","Fill=—","Direction=H","UseDPDF=Y")</f>
        <v>—</v>
      </c>
    </row>
    <row r="104" spans="1:27" x14ac:dyDescent="0.25">
      <c r="A104" s="10" t="s">
        <v>1022</v>
      </c>
      <c r="B104" s="10" t="s">
        <v>1023</v>
      </c>
      <c r="C104" s="13" t="str">
        <f>_xll.BDH("AMGN US Equity","ARDR_OTHER_MISC_CURRENT_LIABS","FQ4 2018","FQ4 2018","Currency=USD","Period=FQ","BEST_FPERIOD_OVERRIDE=FQ","FILING_STATUS=MR","SCALING_FORMAT=MLN","Sort=A","Dates=H","DateFormat=P","Fill=—","Direction=H","UseDPDF=Y")</f>
        <v>—</v>
      </c>
      <c r="D104" s="13">
        <f>_xll.BDH("AMGN US Equity","ARDR_OTHER_MISC_CURRENT_LIABS","FQ1 2019","FQ1 2019","Currency=USD","Period=FQ","BEST_FPERIOD_OVERRIDE=FQ","FILING_STATUS=MR","SCALING_FORMAT=MLN","Sort=A","Dates=H","DateFormat=P","Fill=—","Direction=H","UseDPDF=Y")</f>
        <v>120</v>
      </c>
      <c r="E104" s="13">
        <f>_xll.BDH("AMGN US Equity","ARDR_OTHER_MISC_CURRENT_LIABS","FQ2 2019","FQ2 2019","Currency=USD","Period=FQ","BEST_FPERIOD_OVERRIDE=FQ","FILING_STATUS=MR","SCALING_FORMAT=MLN","Sort=A","Dates=H","DateFormat=P","Fill=—","Direction=H","UseDPDF=Y")</f>
        <v>134</v>
      </c>
      <c r="F104" s="13">
        <f>_xll.BDH("AMGN US Equity","ARDR_OTHER_MISC_CURRENT_LIABS","FQ3 2019","FQ3 2019","Currency=USD","Period=FQ","BEST_FPERIOD_OVERRIDE=FQ","FILING_STATUS=MR","SCALING_FORMAT=MLN","Sort=A","Dates=H","DateFormat=P","Fill=—","Direction=H","UseDPDF=Y")</f>
        <v>135</v>
      </c>
      <c r="G104" s="13" t="str">
        <f>_xll.BDH("AMGN US Equity","ARDR_OTHER_MISC_CURRENT_LIABS","FQ4 2019","FQ4 2019","Currency=USD","Period=FQ","BEST_FPERIOD_OVERRIDE=FQ","FILING_STATUS=MR","SCALING_FORMAT=MLN","Sort=A","Dates=H","DateFormat=P","Fill=—","Direction=H","UseDPDF=Y")</f>
        <v>—</v>
      </c>
      <c r="H104" s="13" t="str">
        <f>_xll.BDH("AMGN US Equity","ARDR_OTHER_MISC_CURRENT_LIABS","FQ1 2020","FQ1 2020","Currency=USD","Period=FQ","BEST_FPERIOD_OVERRIDE=FQ","FILING_STATUS=MR","SCALING_FORMAT=MLN","Sort=A","Dates=H","DateFormat=P","Fill=—","Direction=H","UseDPDF=Y")</f>
        <v>—</v>
      </c>
      <c r="I104" s="13" t="str">
        <f>_xll.BDH("AMGN US Equity","ARDR_OTHER_MISC_CURRENT_LIABS","FQ2 2020","FQ2 2020","Currency=USD","Period=FQ","BEST_FPERIOD_OVERRIDE=FQ","FILING_STATUS=MR","SCALING_FORMAT=MLN","Sort=A","Dates=H","DateFormat=P","Fill=—","Direction=H","UseDPDF=Y")</f>
        <v>—</v>
      </c>
      <c r="J104" s="13" t="str">
        <f>_xll.BDH("AMGN US Equity","ARDR_OTHER_MISC_CURRENT_LIABS","FQ3 2020","FQ3 2020","Currency=USD","Period=FQ","BEST_FPERIOD_OVERRIDE=FQ","FILING_STATUS=MR","SCALING_FORMAT=MLN","Sort=A","Dates=H","DateFormat=P","Fill=—","Direction=H","UseDPDF=Y")</f>
        <v>—</v>
      </c>
      <c r="K104" s="13" t="str">
        <f>_xll.BDH("AMGN US Equity","ARDR_OTHER_MISC_CURRENT_LIABS","FQ4 2020","FQ4 2020","Currency=USD","Period=FQ","BEST_FPERIOD_OVERRIDE=FQ","FILING_STATUS=MR","SCALING_FORMAT=MLN","Sort=A","Dates=H","DateFormat=P","Fill=—","Direction=H","UseDPDF=Y")</f>
        <v>—</v>
      </c>
      <c r="L104" s="13" t="str">
        <f>_xll.BDH("AMGN US Equity","ARDR_OTHER_MISC_CURRENT_LIABS","FQ1 2021","FQ1 2021","Currency=USD","Period=FQ","BEST_FPERIOD_OVERRIDE=FQ","FILING_STATUS=MR","SCALING_FORMAT=MLN","Sort=A","Dates=H","DateFormat=P","Fill=—","Direction=H","UseDPDF=Y")</f>
        <v>—</v>
      </c>
      <c r="M104" s="13" t="str">
        <f>_xll.BDH("AMGN US Equity","ARDR_OTHER_MISC_CURRENT_LIABS","FQ2 2021","FQ2 2021","Currency=USD","Period=FQ","BEST_FPERIOD_OVERRIDE=FQ","FILING_STATUS=MR","SCALING_FORMAT=MLN","Sort=A","Dates=H","DateFormat=P","Fill=—","Direction=H","UseDPDF=Y")</f>
        <v>—</v>
      </c>
      <c r="N104" s="13" t="str">
        <f>_xll.BDH("AMGN US Equity","ARDR_OTHER_MISC_CURRENT_LIABS","FQ3 2021","FQ3 2021","Currency=USD","Period=FQ","BEST_FPERIOD_OVERRIDE=FQ","FILING_STATUS=MR","SCALING_FORMAT=MLN","Sort=A","Dates=H","DateFormat=P","Fill=—","Direction=H","UseDPDF=Y")</f>
        <v>—</v>
      </c>
      <c r="O104" s="13" t="str">
        <f>_xll.BDH("AMGN US Equity","ARDR_OTHER_MISC_CURRENT_LIABS","FQ4 2021","FQ4 2021","Currency=USD","Period=FQ","BEST_FPERIOD_OVERRIDE=FQ","FILING_STATUS=MR","SCALING_FORMAT=MLN","Sort=A","Dates=H","DateFormat=P","Fill=—","Direction=H","UseDPDF=Y")</f>
        <v>—</v>
      </c>
      <c r="P104" s="13" t="str">
        <f>_xll.BDH("AMGN US Equity","ARDR_OTHER_MISC_CURRENT_LIABS","FQ1 2022","FQ1 2022","Currency=USD","Period=FQ","BEST_FPERIOD_OVERRIDE=FQ","FILING_STATUS=MR","SCALING_FORMAT=MLN","Sort=A","Dates=H","DateFormat=P","Fill=—","Direction=H","UseDPDF=Y")</f>
        <v>—</v>
      </c>
      <c r="Q104" s="13" t="str">
        <f>_xll.BDH("AMGN US Equity","ARDR_OTHER_MISC_CURRENT_LIABS","FQ2 2022","FQ2 2022","Currency=USD","Period=FQ","BEST_FPERIOD_OVERRIDE=FQ","FILING_STATUS=MR","SCALING_FORMAT=MLN","Sort=A","Dates=H","DateFormat=P","Fill=—","Direction=H","UseDPDF=Y")</f>
        <v>—</v>
      </c>
      <c r="R104" s="13" t="str">
        <f>_xll.BDH("AMGN US Equity","ARDR_OTHER_MISC_CURRENT_LIABS","FQ3 2022","FQ3 2022","Currency=USD","Period=FQ","BEST_FPERIOD_OVERRIDE=FQ","FILING_STATUS=MR","SCALING_FORMAT=MLN","Sort=A","Dates=H","DateFormat=P","Fill=—","Direction=H","UseDPDF=Y")</f>
        <v>—</v>
      </c>
      <c r="S104" s="13" t="str">
        <f>_xll.BDH("AMGN US Equity","ARDR_OTHER_MISC_CURRENT_LIABS","FQ4 2022","FQ4 2022","Currency=USD","Period=FQ","BEST_FPERIOD_OVERRIDE=FQ","FILING_STATUS=MR","SCALING_FORMAT=MLN","Sort=A","Dates=H","DateFormat=P","Fill=—","Direction=H","UseDPDF=Y")</f>
        <v>—</v>
      </c>
      <c r="T104" s="13" t="str">
        <f>_xll.BDH("AMGN US Equity","ARDR_OTHER_MISC_CURRENT_LIABS","FQ1 2023","FQ1 2023","Currency=USD","Period=FQ","BEST_FPERIOD_OVERRIDE=FQ","FILING_STATUS=MR","SCALING_FORMAT=MLN","Sort=A","Dates=H","DateFormat=P","Fill=—","Direction=H","UseDPDF=Y")</f>
        <v>—</v>
      </c>
      <c r="U104" s="13" t="str">
        <f>_xll.BDH("AMGN US Equity","ARDR_OTHER_MISC_CURRENT_LIABS","FQ2 2023","FQ2 2023","Currency=USD","Period=FQ","BEST_FPERIOD_OVERRIDE=FQ","FILING_STATUS=MR","SCALING_FORMAT=MLN","Sort=A","Dates=H","DateFormat=P","Fill=—","Direction=H","UseDPDF=Y")</f>
        <v>—</v>
      </c>
      <c r="V104" s="13" t="str">
        <f>_xll.BDH("AMGN US Equity","ARDR_OTHER_MISC_CURRENT_LIABS","FQ3 2023","FQ3 2023","Currency=USD","Period=FQ","BEST_FPERIOD_OVERRIDE=FQ","FILING_STATUS=MR","SCALING_FORMAT=MLN","Sort=A","Dates=H","DateFormat=P","Fill=—","Direction=H","UseDPDF=Y")</f>
        <v>—</v>
      </c>
      <c r="W104" s="13" t="str">
        <f>_xll.BDH("AMGN US Equity","ARDR_OTHER_MISC_CURRENT_LIABS","FQ4 2023","FQ4 2023","Currency=USD","Period=FQ","BEST_FPERIOD_OVERRIDE=FQ","FILING_STATUS=MR","SCALING_FORMAT=MLN","Sort=A","Dates=H","DateFormat=P","Fill=—","Direction=H","UseDPDF=Y")</f>
        <v>—</v>
      </c>
      <c r="X104" s="13" t="str">
        <f>_xll.BDH("AMGN US Equity","ARDR_OTHER_MISC_CURRENT_LIABS","FQ1 2024","FQ1 2024","Currency=USD","Period=FQ","BEST_FPERIOD_OVERRIDE=FQ","FILING_STATUS=MR","SCALING_FORMAT=MLN","Sort=A","Dates=H","DateFormat=P","Fill=—","Direction=H","UseDPDF=Y")</f>
        <v>—</v>
      </c>
      <c r="Y104" s="13" t="str">
        <f>_xll.BDH("AMGN US Equity","ARDR_OTHER_MISC_CURRENT_LIABS","FQ2 2024","FQ2 2024","Currency=USD","Period=FQ","BEST_FPERIOD_OVERRIDE=FQ","FILING_STATUS=MR","SCALING_FORMAT=MLN","Sort=A","Dates=H","DateFormat=P","Fill=—","Direction=H","UseDPDF=Y")</f>
        <v>—</v>
      </c>
      <c r="Z104" s="13" t="str">
        <f>_xll.BDH("AMGN US Equity","ARDR_OTHER_MISC_CURRENT_LIABS","FQ3 2024","FQ3 2024","Currency=USD","Period=FQ","BEST_FPERIOD_OVERRIDE=FQ","FILING_STATUS=MR","SCALING_FORMAT=MLN","Sort=A","Dates=H","DateFormat=P","Fill=—","Direction=H","UseDPDF=Y")</f>
        <v>—</v>
      </c>
      <c r="AA104" s="13" t="str">
        <f>_xll.BDH("AMGN US Equity","ARDR_OTHER_MISC_CURRENT_LIABS","FQ4 2024","FQ4 2024","Currency=USD","Period=FQ","BEST_FPERIOD_OVERRIDE=FQ","FILING_STATUS=MR","SCALING_FORMAT=MLN","Sort=A","Dates=H","DateFormat=P","Fill=—","Direction=H","UseDPDF=Y")</f>
        <v>—</v>
      </c>
    </row>
    <row r="105" spans="1:27" x14ac:dyDescent="0.25">
      <c r="A105" s="10" t="s">
        <v>1024</v>
      </c>
      <c r="B105" s="10" t="s">
        <v>1025</v>
      </c>
      <c r="C105" s="13">
        <f>_xll.BDH("AMGN US Equity","ARDR_PURCHASE_OBLIGATIONS","FQ4 2018","FQ4 2018","Currency=USD","Period=FQ","BEST_FPERIOD_OVERRIDE=FQ","FILING_STATUS=MR","SCALING_FORMAT=MLN","Sort=A","Dates=H","DateFormat=P","Fill=—","Direction=H","UseDPDF=Y")</f>
        <v>1153</v>
      </c>
      <c r="D105" s="13" t="str">
        <f>_xll.BDH("AMGN US Equity","ARDR_PURCHASE_OBLIGATIONS","FQ1 2019","FQ1 2019","Currency=USD","Period=FQ","BEST_FPERIOD_OVERRIDE=FQ","FILING_STATUS=MR","SCALING_FORMAT=MLN","Sort=A","Dates=H","DateFormat=P","Fill=—","Direction=H","UseDPDF=Y")</f>
        <v>—</v>
      </c>
      <c r="E105" s="13" t="str">
        <f>_xll.BDH("AMGN US Equity","ARDR_PURCHASE_OBLIGATIONS","FQ2 2019","FQ2 2019","Currency=USD","Period=FQ","BEST_FPERIOD_OVERRIDE=FQ","FILING_STATUS=MR","SCALING_FORMAT=MLN","Sort=A","Dates=H","DateFormat=P","Fill=—","Direction=H","UseDPDF=Y")</f>
        <v>—</v>
      </c>
      <c r="F105" s="13" t="str">
        <f>_xll.BDH("AMGN US Equity","ARDR_PURCHASE_OBLIGATIONS","FQ3 2019","FQ3 2019","Currency=USD","Period=FQ","BEST_FPERIOD_OVERRIDE=FQ","FILING_STATUS=MR","SCALING_FORMAT=MLN","Sort=A","Dates=H","DateFormat=P","Fill=—","Direction=H","UseDPDF=Y")</f>
        <v>—</v>
      </c>
      <c r="G105" s="13">
        <f>_xll.BDH("AMGN US Equity","ARDR_PURCHASE_OBLIGATIONS","FQ4 2019","FQ4 2019","Currency=USD","Period=FQ","BEST_FPERIOD_OVERRIDE=FQ","FILING_STATUS=MR","SCALING_FORMAT=MLN","Sort=A","Dates=H","DateFormat=P","Fill=—","Direction=H","UseDPDF=Y")</f>
        <v>1938</v>
      </c>
      <c r="H105" s="13" t="str">
        <f>_xll.BDH("AMGN US Equity","ARDR_PURCHASE_OBLIGATIONS","FQ1 2020","FQ1 2020","Currency=USD","Period=FQ","BEST_FPERIOD_OVERRIDE=FQ","FILING_STATUS=MR","SCALING_FORMAT=MLN","Sort=A","Dates=H","DateFormat=P","Fill=—","Direction=H","UseDPDF=Y")</f>
        <v>—</v>
      </c>
      <c r="I105" s="13" t="str">
        <f>_xll.BDH("AMGN US Equity","ARDR_PURCHASE_OBLIGATIONS","FQ2 2020","FQ2 2020","Currency=USD","Period=FQ","BEST_FPERIOD_OVERRIDE=FQ","FILING_STATUS=MR","SCALING_FORMAT=MLN","Sort=A","Dates=H","DateFormat=P","Fill=—","Direction=H","UseDPDF=Y")</f>
        <v>—</v>
      </c>
      <c r="J105" s="13" t="str">
        <f>_xll.BDH("AMGN US Equity","ARDR_PURCHASE_OBLIGATIONS","FQ3 2020","FQ3 2020","Currency=USD","Period=FQ","BEST_FPERIOD_OVERRIDE=FQ","FILING_STATUS=MR","SCALING_FORMAT=MLN","Sort=A","Dates=H","DateFormat=P","Fill=—","Direction=H","UseDPDF=Y")</f>
        <v>—</v>
      </c>
      <c r="K105" s="13">
        <f>_xll.BDH("AMGN US Equity","ARDR_PURCHASE_OBLIGATIONS","FQ4 2020","FQ4 2020","Currency=USD","Period=FQ","BEST_FPERIOD_OVERRIDE=FQ","FILING_STATUS=MR","SCALING_FORMAT=MLN","Sort=A","Dates=H","DateFormat=P","Fill=—","Direction=H","UseDPDF=Y")</f>
        <v>2697</v>
      </c>
      <c r="L105" s="13" t="str">
        <f>_xll.BDH("AMGN US Equity","ARDR_PURCHASE_OBLIGATIONS","FQ1 2021","FQ1 2021","Currency=USD","Period=FQ","BEST_FPERIOD_OVERRIDE=FQ","FILING_STATUS=MR","SCALING_FORMAT=MLN","Sort=A","Dates=H","DateFormat=P","Fill=—","Direction=H","UseDPDF=Y")</f>
        <v>—</v>
      </c>
      <c r="M105" s="13" t="str">
        <f>_xll.BDH("AMGN US Equity","ARDR_PURCHASE_OBLIGATIONS","FQ2 2021","FQ2 2021","Currency=USD","Period=FQ","BEST_FPERIOD_OVERRIDE=FQ","FILING_STATUS=MR","SCALING_FORMAT=MLN","Sort=A","Dates=H","DateFormat=P","Fill=—","Direction=H","UseDPDF=Y")</f>
        <v>—</v>
      </c>
      <c r="N105" s="13" t="str">
        <f>_xll.BDH("AMGN US Equity","ARDR_PURCHASE_OBLIGATIONS","FQ3 2021","FQ3 2021","Currency=USD","Period=FQ","BEST_FPERIOD_OVERRIDE=FQ","FILING_STATUS=MR","SCALING_FORMAT=MLN","Sort=A","Dates=H","DateFormat=P","Fill=—","Direction=H","UseDPDF=Y")</f>
        <v>—</v>
      </c>
      <c r="O105" s="13">
        <f>_xll.BDH("AMGN US Equity","ARDR_PURCHASE_OBLIGATIONS","FQ4 2021","FQ4 2021","Currency=USD","Period=FQ","BEST_FPERIOD_OVERRIDE=FQ","FILING_STATUS=MR","SCALING_FORMAT=MLN","Sort=A","Dates=H","DateFormat=P","Fill=—","Direction=H","UseDPDF=Y")</f>
        <v>3200</v>
      </c>
      <c r="P105" s="13" t="str">
        <f>_xll.BDH("AMGN US Equity","ARDR_PURCHASE_OBLIGATIONS","FQ1 2022","FQ1 2022","Currency=USD","Period=FQ","BEST_FPERIOD_OVERRIDE=FQ","FILING_STATUS=MR","SCALING_FORMAT=MLN","Sort=A","Dates=H","DateFormat=P","Fill=—","Direction=H","UseDPDF=Y")</f>
        <v>—</v>
      </c>
      <c r="Q105" s="13" t="str">
        <f>_xll.BDH("AMGN US Equity","ARDR_PURCHASE_OBLIGATIONS","FQ2 2022","FQ2 2022","Currency=USD","Period=FQ","BEST_FPERIOD_OVERRIDE=FQ","FILING_STATUS=MR","SCALING_FORMAT=MLN","Sort=A","Dates=H","DateFormat=P","Fill=—","Direction=H","UseDPDF=Y")</f>
        <v>—</v>
      </c>
      <c r="R105" s="13" t="str">
        <f>_xll.BDH("AMGN US Equity","ARDR_PURCHASE_OBLIGATIONS","FQ3 2022","FQ3 2022","Currency=USD","Period=FQ","BEST_FPERIOD_OVERRIDE=FQ","FILING_STATUS=MR","SCALING_FORMAT=MLN","Sort=A","Dates=H","DateFormat=P","Fill=—","Direction=H","UseDPDF=Y")</f>
        <v>—</v>
      </c>
      <c r="S105" s="13">
        <f>_xll.BDH("AMGN US Equity","ARDR_PURCHASE_OBLIGATIONS","FQ4 2022","FQ4 2022","Currency=USD","Period=FQ","BEST_FPERIOD_OVERRIDE=FQ","FILING_STATUS=MR","SCALING_FORMAT=MLN","Sort=A","Dates=H","DateFormat=P","Fill=—","Direction=H","UseDPDF=Y")</f>
        <v>3500</v>
      </c>
      <c r="T105" s="13" t="str">
        <f>_xll.BDH("AMGN US Equity","ARDR_PURCHASE_OBLIGATIONS","FQ1 2023","FQ1 2023","Currency=USD","Period=FQ","BEST_FPERIOD_OVERRIDE=FQ","FILING_STATUS=MR","SCALING_FORMAT=MLN","Sort=A","Dates=H","DateFormat=P","Fill=—","Direction=H","UseDPDF=Y")</f>
        <v>—</v>
      </c>
      <c r="U105" s="13" t="str">
        <f>_xll.BDH("AMGN US Equity","ARDR_PURCHASE_OBLIGATIONS","FQ2 2023","FQ2 2023","Currency=USD","Period=FQ","BEST_FPERIOD_OVERRIDE=FQ","FILING_STATUS=MR","SCALING_FORMAT=MLN","Sort=A","Dates=H","DateFormat=P","Fill=—","Direction=H","UseDPDF=Y")</f>
        <v>—</v>
      </c>
      <c r="V105" s="13" t="str">
        <f>_xll.BDH("AMGN US Equity","ARDR_PURCHASE_OBLIGATIONS","FQ3 2023","FQ3 2023","Currency=USD","Period=FQ","BEST_FPERIOD_OVERRIDE=FQ","FILING_STATUS=MR","SCALING_FORMAT=MLN","Sort=A","Dates=H","DateFormat=P","Fill=—","Direction=H","UseDPDF=Y")</f>
        <v>—</v>
      </c>
      <c r="W105" s="13">
        <f>_xll.BDH("AMGN US Equity","ARDR_PURCHASE_OBLIGATIONS","FQ4 2023","FQ4 2023","Currency=USD","Period=FQ","BEST_FPERIOD_OVERRIDE=FQ","FILING_STATUS=MR","SCALING_FORMAT=MLN","Sort=A","Dates=H","DateFormat=P","Fill=—","Direction=H","UseDPDF=Y")</f>
        <v>4300</v>
      </c>
      <c r="X105" s="13" t="str">
        <f>_xll.BDH("AMGN US Equity","ARDR_PURCHASE_OBLIGATIONS","FQ1 2024","FQ1 2024","Currency=USD","Period=FQ","BEST_FPERIOD_OVERRIDE=FQ","FILING_STATUS=MR","SCALING_FORMAT=MLN","Sort=A","Dates=H","DateFormat=P","Fill=—","Direction=H","UseDPDF=Y")</f>
        <v>—</v>
      </c>
      <c r="Y105" s="13" t="str">
        <f>_xll.BDH("AMGN US Equity","ARDR_PURCHASE_OBLIGATIONS","FQ2 2024","FQ2 2024","Currency=USD","Period=FQ","BEST_FPERIOD_OVERRIDE=FQ","FILING_STATUS=MR","SCALING_FORMAT=MLN","Sort=A","Dates=H","DateFormat=P","Fill=—","Direction=H","UseDPDF=Y")</f>
        <v>—</v>
      </c>
      <c r="Z105" s="13" t="str">
        <f>_xll.BDH("AMGN US Equity","ARDR_PURCHASE_OBLIGATIONS","FQ3 2024","FQ3 2024","Currency=USD","Period=FQ","BEST_FPERIOD_OVERRIDE=FQ","FILING_STATUS=MR","SCALING_FORMAT=MLN","Sort=A","Dates=H","DateFormat=P","Fill=—","Direction=H","UseDPDF=Y")</f>
        <v>—</v>
      </c>
      <c r="AA105" s="13">
        <f>_xll.BDH("AMGN US Equity","ARDR_PURCHASE_OBLIGATIONS","FQ4 2024","FQ4 2024","Currency=USD","Period=FQ","BEST_FPERIOD_OVERRIDE=FQ","FILING_STATUS=MR","SCALING_FORMAT=MLN","Sort=A","Dates=H","DateFormat=P","Fill=—","Direction=H","UseDPDF=Y")</f>
        <v>5700</v>
      </c>
    </row>
    <row r="106" spans="1:27" x14ac:dyDescent="0.25">
      <c r="A106" s="10" t="s">
        <v>1026</v>
      </c>
      <c r="B106" s="10" t="s">
        <v>1027</v>
      </c>
      <c r="C106" s="13">
        <f>_xll.BDH("AMGN US Equity","ARDR_CASH_EQUIVS","FQ4 2018","FQ4 2018","Currency=USD","Period=FQ","BEST_FPERIOD_OVERRIDE=FQ","FILING_STATUS=MR","SCALING_FORMAT=MLN","Sort=A","Dates=H","DateFormat=P","Fill=—","Direction=H","UseDPDF=Y")</f>
        <v>6365</v>
      </c>
      <c r="D106" s="13">
        <f>_xll.BDH("AMGN US Equity","ARDR_CASH_EQUIVS","FQ1 2019","FQ1 2019","Currency=USD","Period=FQ","BEST_FPERIOD_OVERRIDE=FQ","FILING_STATUS=MR","SCALING_FORMAT=MLN","Sort=A","Dates=H","DateFormat=P","Fill=—","Direction=H","UseDPDF=Y")</f>
        <v>6709</v>
      </c>
      <c r="E106" s="13">
        <f>_xll.BDH("AMGN US Equity","ARDR_CASH_EQUIVS","FQ2 2019","FQ2 2019","Currency=USD","Period=FQ","BEST_FPERIOD_OVERRIDE=FQ","FILING_STATUS=MR","SCALING_FORMAT=MLN","Sort=A","Dates=H","DateFormat=P","Fill=—","Direction=H","UseDPDF=Y")</f>
        <v>4884</v>
      </c>
      <c r="F106" s="13">
        <f>_xll.BDH("AMGN US Equity","ARDR_CASH_EQUIVS","FQ3 2019","FQ3 2019","Currency=USD","Period=FQ","BEST_FPERIOD_OVERRIDE=FQ","FILING_STATUS=MR","SCALING_FORMAT=MLN","Sort=A","Dates=H","DateFormat=P","Fill=—","Direction=H","UseDPDF=Y")</f>
        <v>10789</v>
      </c>
      <c r="G106" s="13">
        <f>_xll.BDH("AMGN US Equity","ARDR_CASH_EQUIVS","FQ4 2019","FQ4 2019","Currency=USD","Period=FQ","BEST_FPERIOD_OVERRIDE=FQ","FILING_STATUS=MR","SCALING_FORMAT=MLN","Sort=A","Dates=H","DateFormat=P","Fill=—","Direction=H","UseDPDF=Y")</f>
        <v>5360</v>
      </c>
      <c r="H106" s="13">
        <f>_xll.BDH("AMGN US Equity","ARDR_CASH_EQUIVS","FQ1 2020","FQ1 2020","Currency=USD","Period=FQ","BEST_FPERIOD_OVERRIDE=FQ","FILING_STATUS=MR","SCALING_FORMAT=MLN","Sort=A","Dates=H","DateFormat=P","Fill=—","Direction=H","UseDPDF=Y")</f>
        <v>6969</v>
      </c>
      <c r="I106" s="13">
        <f>_xll.BDH("AMGN US Equity","ARDR_CASH_EQUIVS","FQ2 2020","FQ2 2020","Currency=USD","Period=FQ","BEST_FPERIOD_OVERRIDE=FQ","FILING_STATUS=MR","SCALING_FORMAT=MLN","Sort=A","Dates=H","DateFormat=P","Fill=—","Direction=H","UseDPDF=Y")</f>
        <v>8458</v>
      </c>
      <c r="J106" s="13">
        <f>_xll.BDH("AMGN US Equity","ARDR_CASH_EQUIVS","FQ3 2020","FQ3 2020","Currency=USD","Period=FQ","BEST_FPERIOD_OVERRIDE=FQ","FILING_STATUS=MR","SCALING_FORMAT=MLN","Sort=A","Dates=H","DateFormat=P","Fill=—","Direction=H","UseDPDF=Y")</f>
        <v>8316</v>
      </c>
      <c r="K106" s="13">
        <f>_xll.BDH("AMGN US Equity","ARDR_CASH_EQUIVS","FQ4 2020","FQ4 2020","Currency=USD","Period=FQ","BEST_FPERIOD_OVERRIDE=FQ","FILING_STATUS=MR","SCALING_FORMAT=MLN","Sort=A","Dates=H","DateFormat=P","Fill=—","Direction=H","UseDPDF=Y")</f>
        <v>5464</v>
      </c>
      <c r="L106" s="13">
        <f>_xll.BDH("AMGN US Equity","ARDR_CASH_EQUIVS","FQ1 2021","FQ1 2021","Currency=USD","Period=FQ","BEST_FPERIOD_OVERRIDE=FQ","FILING_STATUS=MR","SCALING_FORMAT=MLN","Sort=A","Dates=H","DateFormat=P","Fill=—","Direction=H","UseDPDF=Y")</f>
        <v>5267</v>
      </c>
      <c r="M106" s="13">
        <f>_xll.BDH("AMGN US Equity","ARDR_CASH_EQUIVS","FQ2 2021","FQ2 2021","Currency=USD","Period=FQ","BEST_FPERIOD_OVERRIDE=FQ","FILING_STATUS=MR","SCALING_FORMAT=MLN","Sort=A","Dates=H","DateFormat=P","Fill=—","Direction=H","UseDPDF=Y")</f>
        <v>5707</v>
      </c>
      <c r="N106" s="13">
        <f>_xll.BDH("AMGN US Equity","ARDR_CASH_EQUIVS","FQ3 2021","FQ3 2021","Currency=USD","Period=FQ","BEST_FPERIOD_OVERRIDE=FQ","FILING_STATUS=MR","SCALING_FORMAT=MLN","Sort=A","Dates=H","DateFormat=P","Fill=—","Direction=H","UseDPDF=Y")</f>
        <v>11323</v>
      </c>
      <c r="O106" s="13">
        <f>_xll.BDH("AMGN US Equity","ARDR_CASH_EQUIVS","FQ4 2021","FQ4 2021","Currency=USD","Period=FQ","BEST_FPERIOD_OVERRIDE=FQ","FILING_STATUS=MR","SCALING_FORMAT=MLN","Sort=A","Dates=H","DateFormat=P","Fill=—","Direction=H","UseDPDF=Y")</f>
        <v>7256</v>
      </c>
      <c r="P106" s="13">
        <f>_xll.BDH("AMGN US Equity","ARDR_CASH_EQUIVS","FQ1 2022","FQ1 2022","Currency=USD","Period=FQ","BEST_FPERIOD_OVERRIDE=FQ","FILING_STATUS=MR","SCALING_FORMAT=MLN","Sort=A","Dates=H","DateFormat=P","Fill=—","Direction=H","UseDPDF=Y")</f>
        <v>5837</v>
      </c>
      <c r="Q106" s="13">
        <f>_xll.BDH("AMGN US Equity","ARDR_CASH_EQUIVS","FQ2 2022","FQ2 2022","Currency=USD","Period=FQ","BEST_FPERIOD_OVERRIDE=FQ","FILING_STATUS=MR","SCALING_FORMAT=MLN","Sort=A","Dates=H","DateFormat=P","Fill=—","Direction=H","UseDPDF=Y")</f>
        <v>4433</v>
      </c>
      <c r="R106" s="13">
        <f>_xll.BDH("AMGN US Equity","ARDR_CASH_EQUIVS","FQ3 2022","FQ3 2022","Currency=USD","Period=FQ","BEST_FPERIOD_OVERRIDE=FQ","FILING_STATUS=MR","SCALING_FORMAT=MLN","Sort=A","Dates=H","DateFormat=P","Fill=—","Direction=H","UseDPDF=Y")</f>
        <v>8945</v>
      </c>
      <c r="S106" s="13">
        <f>_xll.BDH("AMGN US Equity","ARDR_CASH_EQUIVS","FQ4 2022","FQ4 2022","Currency=USD","Period=FQ","BEST_FPERIOD_OVERRIDE=FQ","FILING_STATUS=MR","SCALING_FORMAT=MLN","Sort=A","Dates=H","DateFormat=P","Fill=—","Direction=H","UseDPDF=Y")</f>
        <v>2659</v>
      </c>
      <c r="T106" s="13" t="str">
        <f>_xll.BDH("AMGN US Equity","ARDR_CASH_EQUIVS","FQ1 2023","FQ1 2023","Currency=USD","Period=FQ","BEST_FPERIOD_OVERRIDE=FQ","FILING_STATUS=MR","SCALING_FORMAT=MLN","Sort=A","Dates=H","DateFormat=P","Fill=—","Direction=H","UseDPDF=Y")</f>
        <v>—</v>
      </c>
      <c r="U106" s="13" t="str">
        <f>_xll.BDH("AMGN US Equity","ARDR_CASH_EQUIVS","FQ2 2023","FQ2 2023","Currency=USD","Period=FQ","BEST_FPERIOD_OVERRIDE=FQ","FILING_STATUS=MR","SCALING_FORMAT=MLN","Sort=A","Dates=H","DateFormat=P","Fill=—","Direction=H","UseDPDF=Y")</f>
        <v>—</v>
      </c>
      <c r="V106" s="13">
        <f>_xll.BDH("AMGN US Equity","ARDR_CASH_EQUIVS","FQ3 2023","FQ3 2023","Currency=USD","Period=FQ","BEST_FPERIOD_OVERRIDE=FQ","FILING_STATUS=MR","SCALING_FORMAT=MLN","Sort=A","Dates=H","DateFormat=P","Fill=—","Direction=H","UseDPDF=Y")</f>
        <v>34208</v>
      </c>
      <c r="W106" s="13">
        <f>_xll.BDH("AMGN US Equity","ARDR_CASH_EQUIVS","FQ4 2023","FQ4 2023","Currency=USD","Period=FQ","BEST_FPERIOD_OVERRIDE=FQ","FILING_STATUS=MR","SCALING_FORMAT=MLN","Sort=A","Dates=H","DateFormat=P","Fill=—","Direction=H","UseDPDF=Y")</f>
        <v>10404</v>
      </c>
      <c r="X106" s="13" t="str">
        <f>_xll.BDH("AMGN US Equity","ARDR_CASH_EQUIVS","FQ1 2024","FQ1 2024","Currency=USD","Period=FQ","BEST_FPERIOD_OVERRIDE=FQ","FILING_STATUS=MR","SCALING_FORMAT=MLN","Sort=A","Dates=H","DateFormat=P","Fill=—","Direction=H","UseDPDF=Y")</f>
        <v>—</v>
      </c>
      <c r="Y106" s="13" t="str">
        <f>_xll.BDH("AMGN US Equity","ARDR_CASH_EQUIVS","FQ2 2024","FQ2 2024","Currency=USD","Period=FQ","BEST_FPERIOD_OVERRIDE=FQ","FILING_STATUS=MR","SCALING_FORMAT=MLN","Sort=A","Dates=H","DateFormat=P","Fill=—","Direction=H","UseDPDF=Y")</f>
        <v>—</v>
      </c>
      <c r="Z106" s="13" t="str">
        <f>_xll.BDH("AMGN US Equity","ARDR_CASH_EQUIVS","FQ3 2024","FQ3 2024","Currency=USD","Period=FQ","BEST_FPERIOD_OVERRIDE=FQ","FILING_STATUS=MR","SCALING_FORMAT=MLN","Sort=A","Dates=H","DateFormat=P","Fill=—","Direction=H","UseDPDF=Y")</f>
        <v>—</v>
      </c>
      <c r="AA106" s="13">
        <f>_xll.BDH("AMGN US Equity","ARDR_CASH_EQUIVS","FQ4 2024","FQ4 2024","Currency=USD","Period=FQ","BEST_FPERIOD_OVERRIDE=FQ","FILING_STATUS=MR","SCALING_FORMAT=MLN","Sort=A","Dates=H","DateFormat=P","Fill=—","Direction=H","UseDPDF=Y")</f>
        <v>11486</v>
      </c>
    </row>
    <row r="107" spans="1:27" x14ac:dyDescent="0.25">
      <c r="A107" s="10" t="s">
        <v>1028</v>
      </c>
      <c r="B107" s="10" t="s">
        <v>1029</v>
      </c>
      <c r="C107" s="13">
        <f>_xll.BDH("AMGN US Equity","ARDR_DEBT_SCHEDULE_IN_YR1","FQ4 2018","FQ4 2018","Currency=USD","Period=FQ","BEST_FPERIOD_OVERRIDE=FQ","FILING_STATUS=MR","SCALING_FORMAT=MLN","Sort=A","Dates=H","DateFormat=P","Fill=—","Direction=H","UseDPDF=Y")</f>
        <v>4424</v>
      </c>
      <c r="D107" s="13" t="str">
        <f>_xll.BDH("AMGN US Equity","ARDR_DEBT_SCHEDULE_IN_YR1","FQ1 2019","FQ1 2019","Currency=USD","Period=FQ","BEST_FPERIOD_OVERRIDE=FQ","FILING_STATUS=MR","SCALING_FORMAT=MLN","Sort=A","Dates=H","DateFormat=P","Fill=—","Direction=H","UseDPDF=Y")</f>
        <v>—</v>
      </c>
      <c r="E107" s="13" t="str">
        <f>_xll.BDH("AMGN US Equity","ARDR_DEBT_SCHEDULE_IN_YR1","FQ2 2019","FQ2 2019","Currency=USD","Period=FQ","BEST_FPERIOD_OVERRIDE=FQ","FILING_STATUS=MR","SCALING_FORMAT=MLN","Sort=A","Dates=H","DateFormat=P","Fill=—","Direction=H","UseDPDF=Y")</f>
        <v>—</v>
      </c>
      <c r="F107" s="13" t="str">
        <f>_xll.BDH("AMGN US Equity","ARDR_DEBT_SCHEDULE_IN_YR1","FQ3 2019","FQ3 2019","Currency=USD","Period=FQ","BEST_FPERIOD_OVERRIDE=FQ","FILING_STATUS=MR","SCALING_FORMAT=MLN","Sort=A","Dates=H","DateFormat=P","Fill=—","Direction=H","UseDPDF=Y")</f>
        <v>—</v>
      </c>
      <c r="G107" s="13">
        <f>_xll.BDH("AMGN US Equity","ARDR_DEBT_SCHEDULE_IN_YR1","FQ4 2019","FQ4 2019","Currency=USD","Period=FQ","BEST_FPERIOD_OVERRIDE=FQ","FILING_STATUS=MR","SCALING_FORMAT=MLN","Sort=A","Dates=H","DateFormat=P","Fill=—","Direction=H","UseDPDF=Y")</f>
        <v>2950</v>
      </c>
      <c r="H107" s="13" t="str">
        <f>_xll.BDH("AMGN US Equity","ARDR_DEBT_SCHEDULE_IN_YR1","FQ1 2020","FQ1 2020","Currency=USD","Period=FQ","BEST_FPERIOD_OVERRIDE=FQ","FILING_STATUS=MR","SCALING_FORMAT=MLN","Sort=A","Dates=H","DateFormat=P","Fill=—","Direction=H","UseDPDF=Y")</f>
        <v>—</v>
      </c>
      <c r="I107" s="13" t="str">
        <f>_xll.BDH("AMGN US Equity","ARDR_DEBT_SCHEDULE_IN_YR1","FQ2 2020","FQ2 2020","Currency=USD","Period=FQ","BEST_FPERIOD_OVERRIDE=FQ","FILING_STATUS=MR","SCALING_FORMAT=MLN","Sort=A","Dates=H","DateFormat=P","Fill=—","Direction=H","UseDPDF=Y")</f>
        <v>—</v>
      </c>
      <c r="J107" s="13" t="str">
        <f>_xll.BDH("AMGN US Equity","ARDR_DEBT_SCHEDULE_IN_YR1","FQ3 2020","FQ3 2020","Currency=USD","Period=FQ","BEST_FPERIOD_OVERRIDE=FQ","FILING_STATUS=MR","SCALING_FORMAT=MLN","Sort=A","Dates=H","DateFormat=P","Fill=—","Direction=H","UseDPDF=Y")</f>
        <v>—</v>
      </c>
      <c r="K107" s="13">
        <f>_xll.BDH("AMGN US Equity","ARDR_DEBT_SCHEDULE_IN_YR1","FQ4 2020","FQ4 2020","Currency=USD","Period=FQ","BEST_FPERIOD_OVERRIDE=FQ","FILING_STATUS=MR","SCALING_FORMAT=MLN","Sort=A","Dates=H","DateFormat=P","Fill=—","Direction=H","UseDPDF=Y")</f>
        <v>0</v>
      </c>
      <c r="L107" s="13" t="str">
        <f>_xll.BDH("AMGN US Equity","ARDR_DEBT_SCHEDULE_IN_YR1","FQ1 2021","FQ1 2021","Currency=USD","Period=FQ","BEST_FPERIOD_OVERRIDE=FQ","FILING_STATUS=MR","SCALING_FORMAT=MLN","Sort=A","Dates=H","DateFormat=P","Fill=—","Direction=H","UseDPDF=Y")</f>
        <v>—</v>
      </c>
      <c r="M107" s="13" t="str">
        <f>_xll.BDH("AMGN US Equity","ARDR_DEBT_SCHEDULE_IN_YR1","FQ2 2021","FQ2 2021","Currency=USD","Period=FQ","BEST_FPERIOD_OVERRIDE=FQ","FILING_STATUS=MR","SCALING_FORMAT=MLN","Sort=A","Dates=H","DateFormat=P","Fill=—","Direction=H","UseDPDF=Y")</f>
        <v>—</v>
      </c>
      <c r="N107" s="13" t="str">
        <f>_xll.BDH("AMGN US Equity","ARDR_DEBT_SCHEDULE_IN_YR1","FQ3 2021","FQ3 2021","Currency=USD","Period=FQ","BEST_FPERIOD_OVERRIDE=FQ","FILING_STATUS=MR","SCALING_FORMAT=MLN","Sort=A","Dates=H","DateFormat=P","Fill=—","Direction=H","UseDPDF=Y")</f>
        <v>—</v>
      </c>
      <c r="O107" s="13">
        <f>_xll.BDH("AMGN US Equity","ARDR_DEBT_SCHEDULE_IN_YR1","FQ4 2021","FQ4 2021","Currency=USD","Period=FQ","BEST_FPERIOD_OVERRIDE=FQ","FILING_STATUS=MR","SCALING_FORMAT=MLN","Sort=A","Dates=H","DateFormat=P","Fill=—","Direction=H","UseDPDF=Y")</f>
        <v>0</v>
      </c>
      <c r="P107" s="13" t="str">
        <f>_xll.BDH("AMGN US Equity","ARDR_DEBT_SCHEDULE_IN_YR1","FQ1 2022","FQ1 2022","Currency=USD","Period=FQ","BEST_FPERIOD_OVERRIDE=FQ","FILING_STATUS=MR","SCALING_FORMAT=MLN","Sort=A","Dates=H","DateFormat=P","Fill=—","Direction=H","UseDPDF=Y")</f>
        <v>—</v>
      </c>
      <c r="Q107" s="13" t="str">
        <f>_xll.BDH("AMGN US Equity","ARDR_DEBT_SCHEDULE_IN_YR1","FQ2 2022","FQ2 2022","Currency=USD","Period=FQ","BEST_FPERIOD_OVERRIDE=FQ","FILING_STATUS=MR","SCALING_FORMAT=MLN","Sort=A","Dates=H","DateFormat=P","Fill=—","Direction=H","UseDPDF=Y")</f>
        <v>—</v>
      </c>
      <c r="R107" s="13" t="str">
        <f>_xll.BDH("AMGN US Equity","ARDR_DEBT_SCHEDULE_IN_YR1","FQ3 2022","FQ3 2022","Currency=USD","Period=FQ","BEST_FPERIOD_OVERRIDE=FQ","FILING_STATUS=MR","SCALING_FORMAT=MLN","Sort=A","Dates=H","DateFormat=P","Fill=—","Direction=H","UseDPDF=Y")</f>
        <v>—</v>
      </c>
      <c r="S107" s="13">
        <f>_xll.BDH("AMGN US Equity","ARDR_DEBT_SCHEDULE_IN_YR1","FQ4 2022","FQ4 2022","Currency=USD","Period=FQ","BEST_FPERIOD_OVERRIDE=FQ","FILING_STATUS=MR","SCALING_FORMAT=MLN","Sort=A","Dates=H","DateFormat=P","Fill=—","Direction=H","UseDPDF=Y")</f>
        <v>1509</v>
      </c>
      <c r="T107" s="13" t="str">
        <f>_xll.BDH("AMGN US Equity","ARDR_DEBT_SCHEDULE_IN_YR1","FQ1 2023","FQ1 2023","Currency=USD","Period=FQ","BEST_FPERIOD_OVERRIDE=FQ","FILING_STATUS=MR","SCALING_FORMAT=MLN","Sort=A","Dates=H","DateFormat=P","Fill=—","Direction=H","UseDPDF=Y")</f>
        <v>—</v>
      </c>
      <c r="U107" s="13" t="str">
        <f>_xll.BDH("AMGN US Equity","ARDR_DEBT_SCHEDULE_IN_YR1","FQ2 2023","FQ2 2023","Currency=USD","Period=FQ","BEST_FPERIOD_OVERRIDE=FQ","FILING_STATUS=MR","SCALING_FORMAT=MLN","Sort=A","Dates=H","DateFormat=P","Fill=—","Direction=H","UseDPDF=Y")</f>
        <v>—</v>
      </c>
      <c r="V107" s="13">
        <f>_xll.BDH("AMGN US Equity","ARDR_DEBT_SCHEDULE_IN_YR1","FQ3 2023","FQ3 2023","Currency=USD","Period=FQ","BEST_FPERIOD_OVERRIDE=FQ","FILING_STATUS=MR","SCALING_FORMAT=MLN","Sort=A","Dates=H","DateFormat=P","Fill=—","Direction=H","UseDPDF=Y")</f>
        <v>2000</v>
      </c>
      <c r="W107" s="13">
        <f>_xll.BDH("AMGN US Equity","ARDR_DEBT_SCHEDULE_IN_YR1","FQ4 2023","FQ4 2023","Currency=USD","Period=FQ","BEST_FPERIOD_OVERRIDE=FQ","FILING_STATUS=MR","SCALING_FORMAT=MLN","Sort=A","Dates=H","DateFormat=P","Fill=—","Direction=H","UseDPDF=Y")</f>
        <v>1403</v>
      </c>
      <c r="X107" s="13" t="str">
        <f>_xll.BDH("AMGN US Equity","ARDR_DEBT_SCHEDULE_IN_YR1","FQ1 2024","FQ1 2024","Currency=USD","Period=FQ","BEST_FPERIOD_OVERRIDE=FQ","FILING_STATUS=MR","SCALING_FORMAT=MLN","Sort=A","Dates=H","DateFormat=P","Fill=—","Direction=H","UseDPDF=Y")</f>
        <v>—</v>
      </c>
      <c r="Y107" s="13" t="str">
        <f>_xll.BDH("AMGN US Equity","ARDR_DEBT_SCHEDULE_IN_YR1","FQ2 2024","FQ2 2024","Currency=USD","Period=FQ","BEST_FPERIOD_OVERRIDE=FQ","FILING_STATUS=MR","SCALING_FORMAT=MLN","Sort=A","Dates=H","DateFormat=P","Fill=—","Direction=H","UseDPDF=Y")</f>
        <v>—</v>
      </c>
      <c r="Z107" s="13" t="str">
        <f>_xll.BDH("AMGN US Equity","ARDR_DEBT_SCHEDULE_IN_YR1","FQ3 2024","FQ3 2024","Currency=USD","Period=FQ","BEST_FPERIOD_OVERRIDE=FQ","FILING_STATUS=MR","SCALING_FORMAT=MLN","Sort=A","Dates=H","DateFormat=P","Fill=—","Direction=H","UseDPDF=Y")</f>
        <v>—</v>
      </c>
      <c r="AA107" s="13">
        <f>_xll.BDH("AMGN US Equity","ARDR_DEBT_SCHEDULE_IN_YR1","FQ4 2024","FQ4 2024","Currency=USD","Period=FQ","BEST_FPERIOD_OVERRIDE=FQ","FILING_STATUS=MR","SCALING_FORMAT=MLN","Sort=A","Dates=H","DateFormat=P","Fill=—","Direction=H","UseDPDF=Y")</f>
        <v>3500</v>
      </c>
    </row>
    <row r="108" spans="1:27" x14ac:dyDescent="0.25">
      <c r="A108" s="10" t="s">
        <v>1030</v>
      </c>
      <c r="B108" s="10" t="s">
        <v>1031</v>
      </c>
      <c r="C108" s="13">
        <f>_xll.BDH("AMGN US Equity","ARDR_DEBT_SCHEDULE_IN_YR2","FQ4 2018","FQ4 2018","Currency=USD","Period=FQ","BEST_FPERIOD_OVERRIDE=FQ","FILING_STATUS=MR","SCALING_FORMAT=MLN","Sort=A","Dates=H","DateFormat=P","Fill=—","Direction=H","UseDPDF=Y")</f>
        <v>2950</v>
      </c>
      <c r="D108" s="13" t="str">
        <f>_xll.BDH("AMGN US Equity","ARDR_DEBT_SCHEDULE_IN_YR2","FQ1 2019","FQ1 2019","Currency=USD","Period=FQ","BEST_FPERIOD_OVERRIDE=FQ","FILING_STATUS=MR","SCALING_FORMAT=MLN","Sort=A","Dates=H","DateFormat=P","Fill=—","Direction=H","UseDPDF=Y")</f>
        <v>—</v>
      </c>
      <c r="E108" s="13" t="str">
        <f>_xll.BDH("AMGN US Equity","ARDR_DEBT_SCHEDULE_IN_YR2","FQ2 2019","FQ2 2019","Currency=USD","Period=FQ","BEST_FPERIOD_OVERRIDE=FQ","FILING_STATUS=MR","SCALING_FORMAT=MLN","Sort=A","Dates=H","DateFormat=P","Fill=—","Direction=H","UseDPDF=Y")</f>
        <v>—</v>
      </c>
      <c r="F108" s="13" t="str">
        <f>_xll.BDH("AMGN US Equity","ARDR_DEBT_SCHEDULE_IN_YR2","FQ3 2019","FQ3 2019","Currency=USD","Period=FQ","BEST_FPERIOD_OVERRIDE=FQ","FILING_STATUS=MR","SCALING_FORMAT=MLN","Sort=A","Dates=H","DateFormat=P","Fill=—","Direction=H","UseDPDF=Y")</f>
        <v>—</v>
      </c>
      <c r="G108" s="13">
        <f>_xll.BDH("AMGN US Equity","ARDR_DEBT_SCHEDULE_IN_YR2","FQ4 2019","FQ4 2019","Currency=USD","Period=FQ","BEST_FPERIOD_OVERRIDE=FQ","FILING_STATUS=MR","SCALING_FORMAT=MLN","Sort=A","Dates=H","DateFormat=P","Fill=—","Direction=H","UseDPDF=Y")</f>
        <v>3500</v>
      </c>
      <c r="H108" s="13" t="str">
        <f>_xll.BDH("AMGN US Equity","ARDR_DEBT_SCHEDULE_IN_YR2","FQ1 2020","FQ1 2020","Currency=USD","Period=FQ","BEST_FPERIOD_OVERRIDE=FQ","FILING_STATUS=MR","SCALING_FORMAT=MLN","Sort=A","Dates=H","DateFormat=P","Fill=—","Direction=H","UseDPDF=Y")</f>
        <v>—</v>
      </c>
      <c r="I108" s="13" t="str">
        <f>_xll.BDH("AMGN US Equity","ARDR_DEBT_SCHEDULE_IN_YR2","FQ2 2020","FQ2 2020","Currency=USD","Period=FQ","BEST_FPERIOD_OVERRIDE=FQ","FILING_STATUS=MR","SCALING_FORMAT=MLN","Sort=A","Dates=H","DateFormat=P","Fill=—","Direction=H","UseDPDF=Y")</f>
        <v>—</v>
      </c>
      <c r="J108" s="13" t="str">
        <f>_xll.BDH("AMGN US Equity","ARDR_DEBT_SCHEDULE_IN_YR2","FQ3 2020","FQ3 2020","Currency=USD","Period=FQ","BEST_FPERIOD_OVERRIDE=FQ","FILING_STATUS=MR","SCALING_FORMAT=MLN","Sort=A","Dates=H","DateFormat=P","Fill=—","Direction=H","UseDPDF=Y")</f>
        <v>—</v>
      </c>
      <c r="K108" s="13">
        <f>_xll.BDH("AMGN US Equity","ARDR_DEBT_SCHEDULE_IN_YR2","FQ4 2020","FQ4 2020","Currency=USD","Period=FQ","BEST_FPERIOD_OVERRIDE=FQ","FILING_STATUS=MR","SCALING_FORMAT=MLN","Sort=A","Dates=H","DateFormat=P","Fill=—","Direction=H","UseDPDF=Y")</f>
        <v>4277</v>
      </c>
      <c r="L108" s="13" t="str">
        <f>_xll.BDH("AMGN US Equity","ARDR_DEBT_SCHEDULE_IN_YR2","FQ1 2021","FQ1 2021","Currency=USD","Period=FQ","BEST_FPERIOD_OVERRIDE=FQ","FILING_STATUS=MR","SCALING_FORMAT=MLN","Sort=A","Dates=H","DateFormat=P","Fill=—","Direction=H","UseDPDF=Y")</f>
        <v>—</v>
      </c>
      <c r="M108" s="13" t="str">
        <f>_xll.BDH("AMGN US Equity","ARDR_DEBT_SCHEDULE_IN_YR2","FQ2 2021","FQ2 2021","Currency=USD","Period=FQ","BEST_FPERIOD_OVERRIDE=FQ","FILING_STATUS=MR","SCALING_FORMAT=MLN","Sort=A","Dates=H","DateFormat=P","Fill=—","Direction=H","UseDPDF=Y")</f>
        <v>—</v>
      </c>
      <c r="N108" s="13" t="str">
        <f>_xll.BDH("AMGN US Equity","ARDR_DEBT_SCHEDULE_IN_YR2","FQ3 2021","FQ3 2021","Currency=USD","Period=FQ","BEST_FPERIOD_OVERRIDE=FQ","FILING_STATUS=MR","SCALING_FORMAT=MLN","Sort=A","Dates=H","DateFormat=P","Fill=—","Direction=H","UseDPDF=Y")</f>
        <v>—</v>
      </c>
      <c r="O108" s="13">
        <f>_xll.BDH("AMGN US Equity","ARDR_DEBT_SCHEDULE_IN_YR2","FQ4 2021","FQ4 2021","Currency=USD","Period=FQ","BEST_FPERIOD_OVERRIDE=FQ","FILING_STATUS=MR","SCALING_FORMAT=MLN","Sort=A","Dates=H","DateFormat=P","Fill=—","Direction=H","UseDPDF=Y")</f>
        <v>1517</v>
      </c>
      <c r="P108" s="13" t="str">
        <f>_xll.BDH("AMGN US Equity","ARDR_DEBT_SCHEDULE_IN_YR2","FQ1 2022","FQ1 2022","Currency=USD","Period=FQ","BEST_FPERIOD_OVERRIDE=FQ","FILING_STATUS=MR","SCALING_FORMAT=MLN","Sort=A","Dates=H","DateFormat=P","Fill=—","Direction=H","UseDPDF=Y")</f>
        <v>—</v>
      </c>
      <c r="Q108" s="13" t="str">
        <f>_xll.BDH("AMGN US Equity","ARDR_DEBT_SCHEDULE_IN_YR2","FQ2 2022","FQ2 2022","Currency=USD","Period=FQ","BEST_FPERIOD_OVERRIDE=FQ","FILING_STATUS=MR","SCALING_FORMAT=MLN","Sort=A","Dates=H","DateFormat=P","Fill=—","Direction=H","UseDPDF=Y")</f>
        <v>—</v>
      </c>
      <c r="R108" s="13" t="str">
        <f>_xll.BDH("AMGN US Equity","ARDR_DEBT_SCHEDULE_IN_YR2","FQ3 2022","FQ3 2022","Currency=USD","Period=FQ","BEST_FPERIOD_OVERRIDE=FQ","FILING_STATUS=MR","SCALING_FORMAT=MLN","Sort=A","Dates=H","DateFormat=P","Fill=—","Direction=H","UseDPDF=Y")</f>
        <v>—</v>
      </c>
      <c r="S108" s="13">
        <f>_xll.BDH("AMGN US Equity","ARDR_DEBT_SCHEDULE_IN_YR2","FQ4 2022","FQ4 2022","Currency=USD","Period=FQ","BEST_FPERIOD_OVERRIDE=FQ","FILING_STATUS=MR","SCALING_FORMAT=MLN","Sort=A","Dates=H","DateFormat=P","Fill=—","Direction=H","UseDPDF=Y")</f>
        <v>1400</v>
      </c>
      <c r="T108" s="13" t="str">
        <f>_xll.BDH("AMGN US Equity","ARDR_DEBT_SCHEDULE_IN_YR2","FQ1 2023","FQ1 2023","Currency=USD","Period=FQ","BEST_FPERIOD_OVERRIDE=FQ","FILING_STATUS=MR","SCALING_FORMAT=MLN","Sort=A","Dates=H","DateFormat=P","Fill=—","Direction=H","UseDPDF=Y")</f>
        <v>—</v>
      </c>
      <c r="U108" s="13" t="str">
        <f>_xll.BDH("AMGN US Equity","ARDR_DEBT_SCHEDULE_IN_YR2","FQ2 2023","FQ2 2023","Currency=USD","Period=FQ","BEST_FPERIOD_OVERRIDE=FQ","FILING_STATUS=MR","SCALING_FORMAT=MLN","Sort=A","Dates=H","DateFormat=P","Fill=—","Direction=H","UseDPDF=Y")</f>
        <v>—</v>
      </c>
      <c r="V108" s="13">
        <f>_xll.BDH("AMGN US Equity","ARDR_DEBT_SCHEDULE_IN_YR2","FQ3 2023","FQ3 2023","Currency=USD","Period=FQ","BEST_FPERIOD_OVERRIDE=FQ","FILING_STATUS=MR","SCALING_FORMAT=MLN","Sort=A","Dates=H","DateFormat=P","Fill=—","Direction=H","UseDPDF=Y")</f>
        <v>1500</v>
      </c>
      <c r="W108" s="13">
        <f>_xll.BDH("AMGN US Equity","ARDR_DEBT_SCHEDULE_IN_YR2","FQ4 2023","FQ4 2023","Currency=USD","Period=FQ","BEST_FPERIOD_OVERRIDE=FQ","FILING_STATUS=MR","SCALING_FORMAT=MLN","Sort=A","Dates=H","DateFormat=P","Fill=—","Direction=H","UseDPDF=Y")</f>
        <v>5500</v>
      </c>
      <c r="X108" s="13" t="str">
        <f>_xll.BDH("AMGN US Equity","ARDR_DEBT_SCHEDULE_IN_YR2","FQ1 2024","FQ1 2024","Currency=USD","Period=FQ","BEST_FPERIOD_OVERRIDE=FQ","FILING_STATUS=MR","SCALING_FORMAT=MLN","Sort=A","Dates=H","DateFormat=P","Fill=—","Direction=H","UseDPDF=Y")</f>
        <v>—</v>
      </c>
      <c r="Y108" s="13" t="str">
        <f>_xll.BDH("AMGN US Equity","ARDR_DEBT_SCHEDULE_IN_YR2","FQ2 2024","FQ2 2024","Currency=USD","Period=FQ","BEST_FPERIOD_OVERRIDE=FQ","FILING_STATUS=MR","SCALING_FORMAT=MLN","Sort=A","Dates=H","DateFormat=P","Fill=—","Direction=H","UseDPDF=Y")</f>
        <v>—</v>
      </c>
      <c r="Z108" s="13" t="str">
        <f>_xll.BDH("AMGN US Equity","ARDR_DEBT_SCHEDULE_IN_YR2","FQ3 2024","FQ3 2024","Currency=USD","Period=FQ","BEST_FPERIOD_OVERRIDE=FQ","FILING_STATUS=MR","SCALING_FORMAT=MLN","Sort=A","Dates=H","DateFormat=P","Fill=—","Direction=H","UseDPDF=Y")</f>
        <v>—</v>
      </c>
      <c r="AA108" s="13">
        <f>_xll.BDH("AMGN US Equity","ARDR_DEBT_SCHEDULE_IN_YR2","FQ4 2024","FQ4 2024","Currency=USD","Period=FQ","BEST_FPERIOD_OVERRIDE=FQ","FILING_STATUS=MR","SCALING_FORMAT=MLN","Sort=A","Dates=H","DateFormat=P","Fill=—","Direction=H","UseDPDF=Y")</f>
        <v>5922</v>
      </c>
    </row>
    <row r="109" spans="1:27" x14ac:dyDescent="0.25">
      <c r="A109" s="10" t="s">
        <v>1032</v>
      </c>
      <c r="B109" s="10" t="s">
        <v>1033</v>
      </c>
      <c r="C109" s="13">
        <f>_xll.BDH("AMGN US Equity","ARDR_DEBT_SCHEDULE_IN_YR3","FQ4 2018","FQ4 2018","Currency=USD","Period=FQ","BEST_FPERIOD_OVERRIDE=FQ","FILING_STATUS=MR","SCALING_FORMAT=MLN","Sort=A","Dates=H","DateFormat=P","Fill=—","Direction=H","UseDPDF=Y")</f>
        <v>3500</v>
      </c>
      <c r="D109" s="13" t="str">
        <f>_xll.BDH("AMGN US Equity","ARDR_DEBT_SCHEDULE_IN_YR3","FQ1 2019","FQ1 2019","Currency=USD","Period=FQ","BEST_FPERIOD_OVERRIDE=FQ","FILING_STATUS=MR","SCALING_FORMAT=MLN","Sort=A","Dates=H","DateFormat=P","Fill=—","Direction=H","UseDPDF=Y")</f>
        <v>—</v>
      </c>
      <c r="E109" s="13" t="str">
        <f>_xll.BDH("AMGN US Equity","ARDR_DEBT_SCHEDULE_IN_YR3","FQ2 2019","FQ2 2019","Currency=USD","Period=FQ","BEST_FPERIOD_OVERRIDE=FQ","FILING_STATUS=MR","SCALING_FORMAT=MLN","Sort=A","Dates=H","DateFormat=P","Fill=—","Direction=H","UseDPDF=Y")</f>
        <v>—</v>
      </c>
      <c r="F109" s="13" t="str">
        <f>_xll.BDH("AMGN US Equity","ARDR_DEBT_SCHEDULE_IN_YR3","FQ3 2019","FQ3 2019","Currency=USD","Period=FQ","BEST_FPERIOD_OVERRIDE=FQ","FILING_STATUS=MR","SCALING_FORMAT=MLN","Sort=A","Dates=H","DateFormat=P","Fill=—","Direction=H","UseDPDF=Y")</f>
        <v>—</v>
      </c>
      <c r="G109" s="13">
        <f>_xll.BDH("AMGN US Equity","ARDR_DEBT_SCHEDULE_IN_YR3","FQ4 2019","FQ4 2019","Currency=USD","Period=FQ","BEST_FPERIOD_OVERRIDE=FQ","FILING_STATUS=MR","SCALING_FORMAT=MLN","Sort=A","Dates=H","DateFormat=P","Fill=—","Direction=H","UseDPDF=Y")</f>
        <v>4152</v>
      </c>
      <c r="H109" s="13" t="str">
        <f>_xll.BDH("AMGN US Equity","ARDR_DEBT_SCHEDULE_IN_YR3","FQ1 2020","FQ1 2020","Currency=USD","Period=FQ","BEST_FPERIOD_OVERRIDE=FQ","FILING_STATUS=MR","SCALING_FORMAT=MLN","Sort=A","Dates=H","DateFormat=P","Fill=—","Direction=H","UseDPDF=Y")</f>
        <v>—</v>
      </c>
      <c r="I109" s="13" t="str">
        <f>_xll.BDH("AMGN US Equity","ARDR_DEBT_SCHEDULE_IN_YR3","FQ2 2020","FQ2 2020","Currency=USD","Period=FQ","BEST_FPERIOD_OVERRIDE=FQ","FILING_STATUS=MR","SCALING_FORMAT=MLN","Sort=A","Dates=H","DateFormat=P","Fill=—","Direction=H","UseDPDF=Y")</f>
        <v>—</v>
      </c>
      <c r="J109" s="13" t="str">
        <f>_xll.BDH("AMGN US Equity","ARDR_DEBT_SCHEDULE_IN_YR3","FQ3 2020","FQ3 2020","Currency=USD","Period=FQ","BEST_FPERIOD_OVERRIDE=FQ","FILING_STATUS=MR","SCALING_FORMAT=MLN","Sort=A","Dates=H","DateFormat=P","Fill=—","Direction=H","UseDPDF=Y")</f>
        <v>—</v>
      </c>
      <c r="K109" s="13">
        <f>_xll.BDH("AMGN US Equity","ARDR_DEBT_SCHEDULE_IN_YR3","FQ4 2020","FQ4 2020","Currency=USD","Period=FQ","BEST_FPERIOD_OVERRIDE=FQ","FILING_STATUS=MR","SCALING_FORMAT=MLN","Sort=A","Dates=H","DateFormat=P","Fill=—","Direction=H","UseDPDF=Y")</f>
        <v>1541</v>
      </c>
      <c r="L109" s="13" t="str">
        <f>_xll.BDH("AMGN US Equity","ARDR_DEBT_SCHEDULE_IN_YR3","FQ1 2021","FQ1 2021","Currency=USD","Period=FQ","BEST_FPERIOD_OVERRIDE=FQ","FILING_STATUS=MR","SCALING_FORMAT=MLN","Sort=A","Dates=H","DateFormat=P","Fill=—","Direction=H","UseDPDF=Y")</f>
        <v>—</v>
      </c>
      <c r="M109" s="13" t="str">
        <f>_xll.BDH("AMGN US Equity","ARDR_DEBT_SCHEDULE_IN_YR3","FQ2 2021","FQ2 2021","Currency=USD","Period=FQ","BEST_FPERIOD_OVERRIDE=FQ","FILING_STATUS=MR","SCALING_FORMAT=MLN","Sort=A","Dates=H","DateFormat=P","Fill=—","Direction=H","UseDPDF=Y")</f>
        <v>—</v>
      </c>
      <c r="N109" s="13" t="str">
        <f>_xll.BDH("AMGN US Equity","ARDR_DEBT_SCHEDULE_IN_YR3","FQ3 2021","FQ3 2021","Currency=USD","Period=FQ","BEST_FPERIOD_OVERRIDE=FQ","FILING_STATUS=MR","SCALING_FORMAT=MLN","Sort=A","Dates=H","DateFormat=P","Fill=—","Direction=H","UseDPDF=Y")</f>
        <v>—</v>
      </c>
      <c r="O109" s="13">
        <f>_xll.BDH("AMGN US Equity","ARDR_DEBT_SCHEDULE_IN_YR3","FQ4 2021","FQ4 2021","Currency=USD","Period=FQ","BEST_FPERIOD_OVERRIDE=FQ","FILING_STATUS=MR","SCALING_FORMAT=MLN","Sort=A","Dates=H","DateFormat=P","Fill=—","Direction=H","UseDPDF=Y")</f>
        <v>1400</v>
      </c>
      <c r="P109" s="13" t="str">
        <f>_xll.BDH("AMGN US Equity","ARDR_DEBT_SCHEDULE_IN_YR3","FQ1 2022","FQ1 2022","Currency=USD","Period=FQ","BEST_FPERIOD_OVERRIDE=FQ","FILING_STATUS=MR","SCALING_FORMAT=MLN","Sort=A","Dates=H","DateFormat=P","Fill=—","Direction=H","UseDPDF=Y")</f>
        <v>—</v>
      </c>
      <c r="Q109" s="13" t="str">
        <f>_xll.BDH("AMGN US Equity","ARDR_DEBT_SCHEDULE_IN_YR3","FQ2 2022","FQ2 2022","Currency=USD","Period=FQ","BEST_FPERIOD_OVERRIDE=FQ","FILING_STATUS=MR","SCALING_FORMAT=MLN","Sort=A","Dates=H","DateFormat=P","Fill=—","Direction=H","UseDPDF=Y")</f>
        <v>—</v>
      </c>
      <c r="R109" s="13" t="str">
        <f>_xll.BDH("AMGN US Equity","ARDR_DEBT_SCHEDULE_IN_YR3","FQ3 2022","FQ3 2022","Currency=USD","Period=FQ","BEST_FPERIOD_OVERRIDE=FQ","FILING_STATUS=MR","SCALING_FORMAT=MLN","Sort=A","Dates=H","DateFormat=P","Fill=—","Direction=H","UseDPDF=Y")</f>
        <v>—</v>
      </c>
      <c r="S109" s="13">
        <f>_xll.BDH("AMGN US Equity","ARDR_DEBT_SCHEDULE_IN_YR3","FQ4 2022","FQ4 2022","Currency=USD","Period=FQ","BEST_FPERIOD_OVERRIDE=FQ","FILING_STATUS=MR","SCALING_FORMAT=MLN","Sort=A","Dates=H","DateFormat=P","Fill=—","Direction=H","UseDPDF=Y")</f>
        <v>1500</v>
      </c>
      <c r="T109" s="13" t="str">
        <f>_xll.BDH("AMGN US Equity","ARDR_DEBT_SCHEDULE_IN_YR3","FQ1 2023","FQ1 2023","Currency=USD","Period=FQ","BEST_FPERIOD_OVERRIDE=FQ","FILING_STATUS=MR","SCALING_FORMAT=MLN","Sort=A","Dates=H","DateFormat=P","Fill=—","Direction=H","UseDPDF=Y")</f>
        <v>—</v>
      </c>
      <c r="U109" s="13" t="str">
        <f>_xll.BDH("AMGN US Equity","ARDR_DEBT_SCHEDULE_IN_YR3","FQ2 2023","FQ2 2023","Currency=USD","Period=FQ","BEST_FPERIOD_OVERRIDE=FQ","FILING_STATUS=MR","SCALING_FORMAT=MLN","Sort=A","Dates=H","DateFormat=P","Fill=—","Direction=H","UseDPDF=Y")</f>
        <v>—</v>
      </c>
      <c r="V109" s="13">
        <f>_xll.BDH("AMGN US Equity","ARDR_DEBT_SCHEDULE_IN_YR3","FQ3 2023","FQ3 2023","Currency=USD","Period=FQ","BEST_FPERIOD_OVERRIDE=FQ","FILING_STATUS=MR","SCALING_FORMAT=MLN","Sort=A","Dates=H","DateFormat=P","Fill=—","Direction=H","UseDPDF=Y")</f>
        <v>3750</v>
      </c>
      <c r="W109" s="13">
        <f>_xll.BDH("AMGN US Equity","ARDR_DEBT_SCHEDULE_IN_YR3","FQ4 2023","FQ4 2023","Currency=USD","Period=FQ","BEST_FPERIOD_OVERRIDE=FQ","FILING_STATUS=MR","SCALING_FORMAT=MLN","Sort=A","Dates=H","DateFormat=P","Fill=—","Direction=H","UseDPDF=Y")</f>
        <v>6183</v>
      </c>
      <c r="X109" s="13" t="str">
        <f>_xll.BDH("AMGN US Equity","ARDR_DEBT_SCHEDULE_IN_YR3","FQ1 2024","FQ1 2024","Currency=USD","Period=FQ","BEST_FPERIOD_OVERRIDE=FQ","FILING_STATUS=MR","SCALING_FORMAT=MLN","Sort=A","Dates=H","DateFormat=P","Fill=—","Direction=H","UseDPDF=Y")</f>
        <v>—</v>
      </c>
      <c r="Y109" s="13" t="str">
        <f>_xll.BDH("AMGN US Equity","ARDR_DEBT_SCHEDULE_IN_YR3","FQ2 2024","FQ2 2024","Currency=USD","Period=FQ","BEST_FPERIOD_OVERRIDE=FQ","FILING_STATUS=MR","SCALING_FORMAT=MLN","Sort=A","Dates=H","DateFormat=P","Fill=—","Direction=H","UseDPDF=Y")</f>
        <v>—</v>
      </c>
      <c r="Z109" s="13" t="str">
        <f>_xll.BDH("AMGN US Equity","ARDR_DEBT_SCHEDULE_IN_YR3","FQ3 2024","FQ3 2024","Currency=USD","Period=FQ","BEST_FPERIOD_OVERRIDE=FQ","FILING_STATUS=MR","SCALING_FORMAT=MLN","Sort=A","Dates=H","DateFormat=P","Fill=—","Direction=H","UseDPDF=Y")</f>
        <v>—</v>
      </c>
      <c r="AA109" s="13">
        <f>_xll.BDH("AMGN US Equity","ARDR_DEBT_SCHEDULE_IN_YR3","FQ4 2024","FQ4 2024","Currency=USD","Period=FQ","BEST_FPERIOD_OVERRIDE=FQ","FILING_STATUS=MR","SCALING_FORMAT=MLN","Sort=A","Dates=H","DateFormat=P","Fill=—","Direction=H","UseDPDF=Y")</f>
        <v>2724</v>
      </c>
    </row>
    <row r="110" spans="1:27" x14ac:dyDescent="0.25">
      <c r="A110" s="10" t="s">
        <v>1034</v>
      </c>
      <c r="B110" s="10" t="s">
        <v>1035</v>
      </c>
      <c r="C110" s="13">
        <f>_xll.BDH("AMGN US Equity","ARDR_DEBT_SCHEDULE_IN_YR4","FQ4 2018","FQ4 2018","Currency=USD","Period=FQ","BEST_FPERIOD_OVERRIDE=FQ","FILING_STATUS=MR","SCALING_FORMAT=MLN","Sort=A","Dates=H","DateFormat=P","Fill=—","Direction=H","UseDPDF=Y")</f>
        <v>4183</v>
      </c>
      <c r="D110" s="13" t="str">
        <f>_xll.BDH("AMGN US Equity","ARDR_DEBT_SCHEDULE_IN_YR4","FQ1 2019","FQ1 2019","Currency=USD","Period=FQ","BEST_FPERIOD_OVERRIDE=FQ","FILING_STATUS=MR","SCALING_FORMAT=MLN","Sort=A","Dates=H","DateFormat=P","Fill=—","Direction=H","UseDPDF=Y")</f>
        <v>—</v>
      </c>
      <c r="E110" s="13" t="str">
        <f>_xll.BDH("AMGN US Equity","ARDR_DEBT_SCHEDULE_IN_YR4","FQ2 2019","FQ2 2019","Currency=USD","Period=FQ","BEST_FPERIOD_OVERRIDE=FQ","FILING_STATUS=MR","SCALING_FORMAT=MLN","Sort=A","Dates=H","DateFormat=P","Fill=—","Direction=H","UseDPDF=Y")</f>
        <v>—</v>
      </c>
      <c r="F110" s="13" t="str">
        <f>_xll.BDH("AMGN US Equity","ARDR_DEBT_SCHEDULE_IN_YR4","FQ3 2019","FQ3 2019","Currency=USD","Period=FQ","BEST_FPERIOD_OVERRIDE=FQ","FILING_STATUS=MR","SCALING_FORMAT=MLN","Sort=A","Dates=H","DateFormat=P","Fill=—","Direction=H","UseDPDF=Y")</f>
        <v>—</v>
      </c>
      <c r="G110" s="13">
        <f>_xll.BDH("AMGN US Equity","ARDR_DEBT_SCHEDULE_IN_YR4","FQ4 2019","FQ4 2019","Currency=USD","Period=FQ","BEST_FPERIOD_OVERRIDE=FQ","FILING_STATUS=MR","SCALING_FORMAT=MLN","Sort=A","Dates=H","DateFormat=P","Fill=—","Direction=H","UseDPDF=Y")</f>
        <v>1474</v>
      </c>
      <c r="H110" s="13" t="str">
        <f>_xll.BDH("AMGN US Equity","ARDR_DEBT_SCHEDULE_IN_YR4","FQ1 2020","FQ1 2020","Currency=USD","Period=FQ","BEST_FPERIOD_OVERRIDE=FQ","FILING_STATUS=MR","SCALING_FORMAT=MLN","Sort=A","Dates=H","DateFormat=P","Fill=—","Direction=H","UseDPDF=Y")</f>
        <v>—</v>
      </c>
      <c r="I110" s="13" t="str">
        <f>_xll.BDH("AMGN US Equity","ARDR_DEBT_SCHEDULE_IN_YR4","FQ2 2020","FQ2 2020","Currency=USD","Period=FQ","BEST_FPERIOD_OVERRIDE=FQ","FILING_STATUS=MR","SCALING_FORMAT=MLN","Sort=A","Dates=H","DateFormat=P","Fill=—","Direction=H","UseDPDF=Y")</f>
        <v>—</v>
      </c>
      <c r="J110" s="13" t="str">
        <f>_xll.BDH("AMGN US Equity","ARDR_DEBT_SCHEDULE_IN_YR4","FQ3 2020","FQ3 2020","Currency=USD","Period=FQ","BEST_FPERIOD_OVERRIDE=FQ","FILING_STATUS=MR","SCALING_FORMAT=MLN","Sort=A","Dates=H","DateFormat=P","Fill=—","Direction=H","UseDPDF=Y")</f>
        <v>—</v>
      </c>
      <c r="K110" s="13">
        <f>_xll.BDH("AMGN US Equity","ARDR_DEBT_SCHEDULE_IN_YR4","FQ4 2020","FQ4 2020","Currency=USD","Period=FQ","BEST_FPERIOD_OVERRIDE=FQ","FILING_STATUS=MR","SCALING_FORMAT=MLN","Sort=A","Dates=H","DateFormat=P","Fill=—","Direction=H","UseDPDF=Y")</f>
        <v>1400</v>
      </c>
      <c r="L110" s="13" t="str">
        <f>_xll.BDH("AMGN US Equity","ARDR_DEBT_SCHEDULE_IN_YR4","FQ1 2021","FQ1 2021","Currency=USD","Period=FQ","BEST_FPERIOD_OVERRIDE=FQ","FILING_STATUS=MR","SCALING_FORMAT=MLN","Sort=A","Dates=H","DateFormat=P","Fill=—","Direction=H","UseDPDF=Y")</f>
        <v>—</v>
      </c>
      <c r="M110" s="13" t="str">
        <f>_xll.BDH("AMGN US Equity","ARDR_DEBT_SCHEDULE_IN_YR4","FQ2 2021","FQ2 2021","Currency=USD","Period=FQ","BEST_FPERIOD_OVERRIDE=FQ","FILING_STATUS=MR","SCALING_FORMAT=MLN","Sort=A","Dates=H","DateFormat=P","Fill=—","Direction=H","UseDPDF=Y")</f>
        <v>—</v>
      </c>
      <c r="N110" s="13" t="str">
        <f>_xll.BDH("AMGN US Equity","ARDR_DEBT_SCHEDULE_IN_YR4","FQ3 2021","FQ3 2021","Currency=USD","Period=FQ","BEST_FPERIOD_OVERRIDE=FQ","FILING_STATUS=MR","SCALING_FORMAT=MLN","Sort=A","Dates=H","DateFormat=P","Fill=—","Direction=H","UseDPDF=Y")</f>
        <v>—</v>
      </c>
      <c r="O110" s="13">
        <f>_xll.BDH("AMGN US Equity","ARDR_DEBT_SCHEDULE_IN_YR4","FQ4 2021","FQ4 2021","Currency=USD","Period=FQ","BEST_FPERIOD_OVERRIDE=FQ","FILING_STATUS=MR","SCALING_FORMAT=MLN","Sort=A","Dates=H","DateFormat=P","Fill=—","Direction=H","UseDPDF=Y")</f>
        <v>1500</v>
      </c>
      <c r="P110" s="13" t="str">
        <f>_xll.BDH("AMGN US Equity","ARDR_DEBT_SCHEDULE_IN_YR4","FQ1 2022","FQ1 2022","Currency=USD","Period=FQ","BEST_FPERIOD_OVERRIDE=FQ","FILING_STATUS=MR","SCALING_FORMAT=MLN","Sort=A","Dates=H","DateFormat=P","Fill=—","Direction=H","UseDPDF=Y")</f>
        <v>—</v>
      </c>
      <c r="Q110" s="13" t="str">
        <f>_xll.BDH("AMGN US Equity","ARDR_DEBT_SCHEDULE_IN_YR4","FQ2 2022","FQ2 2022","Currency=USD","Period=FQ","BEST_FPERIOD_OVERRIDE=FQ","FILING_STATUS=MR","SCALING_FORMAT=MLN","Sort=A","Dates=H","DateFormat=P","Fill=—","Direction=H","UseDPDF=Y")</f>
        <v>—</v>
      </c>
      <c r="R110" s="13" t="str">
        <f>_xll.BDH("AMGN US Equity","ARDR_DEBT_SCHEDULE_IN_YR4","FQ3 2022","FQ3 2022","Currency=USD","Period=FQ","BEST_FPERIOD_OVERRIDE=FQ","FILING_STATUS=MR","SCALING_FORMAT=MLN","Sort=A","Dates=H","DateFormat=P","Fill=—","Direction=H","UseDPDF=Y")</f>
        <v>—</v>
      </c>
      <c r="S110" s="13">
        <f>_xll.BDH("AMGN US Equity","ARDR_DEBT_SCHEDULE_IN_YR4","FQ4 2022","FQ4 2022","Currency=USD","Period=FQ","BEST_FPERIOD_OVERRIDE=FQ","FILING_STATUS=MR","SCALING_FORMAT=MLN","Sort=A","Dates=H","DateFormat=P","Fill=—","Direction=H","UseDPDF=Y")</f>
        <v>2627</v>
      </c>
      <c r="T110" s="13" t="str">
        <f>_xll.BDH("AMGN US Equity","ARDR_DEBT_SCHEDULE_IN_YR4","FQ1 2023","FQ1 2023","Currency=USD","Period=FQ","BEST_FPERIOD_OVERRIDE=FQ","FILING_STATUS=MR","SCALING_FORMAT=MLN","Sort=A","Dates=H","DateFormat=P","Fill=—","Direction=H","UseDPDF=Y")</f>
        <v>—</v>
      </c>
      <c r="U110" s="13" t="str">
        <f>_xll.BDH("AMGN US Equity","ARDR_DEBT_SCHEDULE_IN_YR4","FQ2 2023","FQ2 2023","Currency=USD","Period=FQ","BEST_FPERIOD_OVERRIDE=FQ","FILING_STATUS=MR","SCALING_FORMAT=MLN","Sort=A","Dates=H","DateFormat=P","Fill=—","Direction=H","UseDPDF=Y")</f>
        <v>—</v>
      </c>
      <c r="V110" s="13">
        <f>_xll.BDH("AMGN US Equity","ARDR_DEBT_SCHEDULE_IN_YR4","FQ3 2023","FQ3 2023","Currency=USD","Period=FQ","BEST_FPERIOD_OVERRIDE=FQ","FILING_STATUS=MR","SCALING_FORMAT=MLN","Sort=A","Dates=H","DateFormat=P","Fill=—","Direction=H","UseDPDF=Y")</f>
        <v>2750</v>
      </c>
      <c r="W110" s="13">
        <f>_xll.BDH("AMGN US Equity","ARDR_DEBT_SCHEDULE_IN_YR4","FQ4 2023","FQ4 2023","Currency=USD","Period=FQ","BEST_FPERIOD_OVERRIDE=FQ","FILING_STATUS=MR","SCALING_FORMAT=MLN","Sort=A","Dates=H","DateFormat=P","Fill=—","Direction=H","UseDPDF=Y")</f>
        <v>2724</v>
      </c>
      <c r="X110" s="13" t="str">
        <f>_xll.BDH("AMGN US Equity","ARDR_DEBT_SCHEDULE_IN_YR4","FQ1 2024","FQ1 2024","Currency=USD","Period=FQ","BEST_FPERIOD_OVERRIDE=FQ","FILING_STATUS=MR","SCALING_FORMAT=MLN","Sort=A","Dates=H","DateFormat=P","Fill=—","Direction=H","UseDPDF=Y")</f>
        <v>—</v>
      </c>
      <c r="Y110" s="13" t="str">
        <f>_xll.BDH("AMGN US Equity","ARDR_DEBT_SCHEDULE_IN_YR4","FQ2 2024","FQ2 2024","Currency=USD","Period=FQ","BEST_FPERIOD_OVERRIDE=FQ","FILING_STATUS=MR","SCALING_FORMAT=MLN","Sort=A","Dates=H","DateFormat=P","Fill=—","Direction=H","UseDPDF=Y")</f>
        <v>—</v>
      </c>
      <c r="Z110" s="13" t="str">
        <f>_xll.BDH("AMGN US Equity","ARDR_DEBT_SCHEDULE_IN_YR4","FQ3 2024","FQ3 2024","Currency=USD","Period=FQ","BEST_FPERIOD_OVERRIDE=FQ","FILING_STATUS=MR","SCALING_FORMAT=MLN","Sort=A","Dates=H","DateFormat=P","Fill=—","Direction=H","UseDPDF=Y")</f>
        <v>—</v>
      </c>
      <c r="AA110" s="13">
        <f>_xll.BDH("AMGN US Equity","ARDR_DEBT_SCHEDULE_IN_YR4","FQ4 2024","FQ4 2024","Currency=USD","Period=FQ","BEST_FPERIOD_OVERRIDE=FQ","FILING_STATUS=MR","SCALING_FORMAT=MLN","Sort=A","Dates=H","DateFormat=P","Fill=—","Direction=H","UseDPDF=Y")</f>
        <v>4984</v>
      </c>
    </row>
    <row r="111" spans="1:27" x14ac:dyDescent="0.25">
      <c r="A111" s="10" t="s">
        <v>1036</v>
      </c>
      <c r="B111" s="10" t="s">
        <v>1037</v>
      </c>
      <c r="C111" s="13">
        <f>_xll.BDH("AMGN US Equity","ARDR_DEBT_SCHEDULE_IN_YR5","FQ4 2018","FQ4 2018","Currency=USD","Period=FQ","BEST_FPERIOD_OVERRIDE=FQ","FILING_STATUS=MR","SCALING_FORMAT=MLN","Sort=A","Dates=H","DateFormat=P","Fill=—","Direction=H","UseDPDF=Y")</f>
        <v>1463</v>
      </c>
      <c r="D111" s="13" t="str">
        <f>_xll.BDH("AMGN US Equity","ARDR_DEBT_SCHEDULE_IN_YR5","FQ1 2019","FQ1 2019","Currency=USD","Period=FQ","BEST_FPERIOD_OVERRIDE=FQ","FILING_STATUS=MR","SCALING_FORMAT=MLN","Sort=A","Dates=H","DateFormat=P","Fill=—","Direction=H","UseDPDF=Y")</f>
        <v>—</v>
      </c>
      <c r="E111" s="13" t="str">
        <f>_xll.BDH("AMGN US Equity","ARDR_DEBT_SCHEDULE_IN_YR5","FQ2 2019","FQ2 2019","Currency=USD","Period=FQ","BEST_FPERIOD_OVERRIDE=FQ","FILING_STATUS=MR","SCALING_FORMAT=MLN","Sort=A","Dates=H","DateFormat=P","Fill=—","Direction=H","UseDPDF=Y")</f>
        <v>—</v>
      </c>
      <c r="F111" s="13" t="str">
        <f>_xll.BDH("AMGN US Equity","ARDR_DEBT_SCHEDULE_IN_YR5","FQ3 2019","FQ3 2019","Currency=USD","Period=FQ","BEST_FPERIOD_OVERRIDE=FQ","FILING_STATUS=MR","SCALING_FORMAT=MLN","Sort=A","Dates=H","DateFormat=P","Fill=—","Direction=H","UseDPDF=Y")</f>
        <v>—</v>
      </c>
      <c r="G111" s="13">
        <f>_xll.BDH("AMGN US Equity","ARDR_DEBT_SCHEDULE_IN_YR5","FQ4 2019","FQ4 2019","Currency=USD","Period=FQ","BEST_FPERIOD_OVERRIDE=FQ","FILING_STATUS=MR","SCALING_FORMAT=MLN","Sort=A","Dates=H","DateFormat=P","Fill=—","Direction=H","UseDPDF=Y")</f>
        <v>1400</v>
      </c>
      <c r="H111" s="13" t="str">
        <f>_xll.BDH("AMGN US Equity","ARDR_DEBT_SCHEDULE_IN_YR5","FQ1 2020","FQ1 2020","Currency=USD","Period=FQ","BEST_FPERIOD_OVERRIDE=FQ","FILING_STATUS=MR","SCALING_FORMAT=MLN","Sort=A","Dates=H","DateFormat=P","Fill=—","Direction=H","UseDPDF=Y")</f>
        <v>—</v>
      </c>
      <c r="I111" s="13" t="str">
        <f>_xll.BDH("AMGN US Equity","ARDR_DEBT_SCHEDULE_IN_YR5","FQ2 2020","FQ2 2020","Currency=USD","Period=FQ","BEST_FPERIOD_OVERRIDE=FQ","FILING_STATUS=MR","SCALING_FORMAT=MLN","Sort=A","Dates=H","DateFormat=P","Fill=—","Direction=H","UseDPDF=Y")</f>
        <v>—</v>
      </c>
      <c r="J111" s="13" t="str">
        <f>_xll.BDH("AMGN US Equity","ARDR_DEBT_SCHEDULE_IN_YR5","FQ3 2020","FQ3 2020","Currency=USD","Period=FQ","BEST_FPERIOD_OVERRIDE=FQ","FILING_STATUS=MR","SCALING_FORMAT=MLN","Sort=A","Dates=H","DateFormat=P","Fill=—","Direction=H","UseDPDF=Y")</f>
        <v>—</v>
      </c>
      <c r="K111" s="13">
        <f>_xll.BDH("AMGN US Equity","ARDR_DEBT_SCHEDULE_IN_YR5","FQ4 2020","FQ4 2020","Currency=USD","Period=FQ","BEST_FPERIOD_OVERRIDE=FQ","FILING_STATUS=MR","SCALING_FORMAT=MLN","Sort=A","Dates=H","DateFormat=P","Fill=—","Direction=H","UseDPDF=Y")</f>
        <v>1500</v>
      </c>
      <c r="L111" s="13" t="str">
        <f>_xll.BDH("AMGN US Equity","ARDR_DEBT_SCHEDULE_IN_YR5","FQ1 2021","FQ1 2021","Currency=USD","Period=FQ","BEST_FPERIOD_OVERRIDE=FQ","FILING_STATUS=MR","SCALING_FORMAT=MLN","Sort=A","Dates=H","DateFormat=P","Fill=—","Direction=H","UseDPDF=Y")</f>
        <v>—</v>
      </c>
      <c r="M111" s="13" t="str">
        <f>_xll.BDH("AMGN US Equity","ARDR_DEBT_SCHEDULE_IN_YR5","FQ2 2021","FQ2 2021","Currency=USD","Period=FQ","BEST_FPERIOD_OVERRIDE=FQ","FILING_STATUS=MR","SCALING_FORMAT=MLN","Sort=A","Dates=H","DateFormat=P","Fill=—","Direction=H","UseDPDF=Y")</f>
        <v>—</v>
      </c>
      <c r="N111" s="13" t="str">
        <f>_xll.BDH("AMGN US Equity","ARDR_DEBT_SCHEDULE_IN_YR5","FQ3 2021","FQ3 2021","Currency=USD","Period=FQ","BEST_FPERIOD_OVERRIDE=FQ","FILING_STATUS=MR","SCALING_FORMAT=MLN","Sort=A","Dates=H","DateFormat=P","Fill=—","Direction=H","UseDPDF=Y")</f>
        <v>—</v>
      </c>
      <c r="O111" s="13">
        <f>_xll.BDH("AMGN US Equity","ARDR_DEBT_SCHEDULE_IN_YR5","FQ4 2021","FQ4 2021","Currency=USD","Period=FQ","BEST_FPERIOD_OVERRIDE=FQ","FILING_STATUS=MR","SCALING_FORMAT=MLN","Sort=A","Dates=H","DateFormat=P","Fill=—","Direction=H","UseDPDF=Y")</f>
        <v>2746</v>
      </c>
      <c r="P111" s="13" t="str">
        <f>_xll.BDH("AMGN US Equity","ARDR_DEBT_SCHEDULE_IN_YR5","FQ1 2022","FQ1 2022","Currency=USD","Period=FQ","BEST_FPERIOD_OVERRIDE=FQ","FILING_STATUS=MR","SCALING_FORMAT=MLN","Sort=A","Dates=H","DateFormat=P","Fill=—","Direction=H","UseDPDF=Y")</f>
        <v>—</v>
      </c>
      <c r="Q111" s="13" t="str">
        <f>_xll.BDH("AMGN US Equity","ARDR_DEBT_SCHEDULE_IN_YR5","FQ2 2022","FQ2 2022","Currency=USD","Period=FQ","BEST_FPERIOD_OVERRIDE=FQ","FILING_STATUS=MR","SCALING_FORMAT=MLN","Sort=A","Dates=H","DateFormat=P","Fill=—","Direction=H","UseDPDF=Y")</f>
        <v>—</v>
      </c>
      <c r="R111" s="13" t="str">
        <f>_xll.BDH("AMGN US Equity","ARDR_DEBT_SCHEDULE_IN_YR5","FQ3 2022","FQ3 2022","Currency=USD","Period=FQ","BEST_FPERIOD_OVERRIDE=FQ","FILING_STATUS=MR","SCALING_FORMAT=MLN","Sort=A","Dates=H","DateFormat=P","Fill=—","Direction=H","UseDPDF=Y")</f>
        <v>—</v>
      </c>
      <c r="S111" s="13">
        <f>_xll.BDH("AMGN US Equity","ARDR_DEBT_SCHEDULE_IN_YR5","FQ4 2022","FQ4 2022","Currency=USD","Period=FQ","BEST_FPERIOD_OVERRIDE=FQ","FILING_STATUS=MR","SCALING_FORMAT=MLN","Sort=A","Dates=H","DateFormat=P","Fill=—","Direction=H","UseDPDF=Y")</f>
        <v>2724</v>
      </c>
      <c r="T111" s="13" t="str">
        <f>_xll.BDH("AMGN US Equity","ARDR_DEBT_SCHEDULE_IN_YR5","FQ1 2023","FQ1 2023","Currency=USD","Period=FQ","BEST_FPERIOD_OVERRIDE=FQ","FILING_STATUS=MR","SCALING_FORMAT=MLN","Sort=A","Dates=H","DateFormat=P","Fill=—","Direction=H","UseDPDF=Y")</f>
        <v>—</v>
      </c>
      <c r="U111" s="13" t="str">
        <f>_xll.BDH("AMGN US Equity","ARDR_DEBT_SCHEDULE_IN_YR5","FQ2 2023","FQ2 2023","Currency=USD","Period=FQ","BEST_FPERIOD_OVERRIDE=FQ","FILING_STATUS=MR","SCALING_FORMAT=MLN","Sort=A","Dates=H","DateFormat=P","Fill=—","Direction=H","UseDPDF=Y")</f>
        <v>—</v>
      </c>
      <c r="V111" s="13">
        <f>_xll.BDH("AMGN US Equity","ARDR_DEBT_SCHEDULE_IN_YR5","FQ3 2023","FQ3 2023","Currency=USD","Period=FQ","BEST_FPERIOD_OVERRIDE=FQ","FILING_STATUS=MR","SCALING_FORMAT=MLN","Sort=A","Dates=H","DateFormat=P","Fill=—","Direction=H","UseDPDF=Y")</f>
        <v>4250</v>
      </c>
      <c r="W111" s="13">
        <f>_xll.BDH("AMGN US Equity","ARDR_DEBT_SCHEDULE_IN_YR5","FQ4 2023","FQ4 2023","Currency=USD","Period=FQ","BEST_FPERIOD_OVERRIDE=FQ","FILING_STATUS=MR","SCALING_FORMAT=MLN","Sort=A","Dates=H","DateFormat=P","Fill=—","Direction=H","UseDPDF=Y")</f>
        <v>4984</v>
      </c>
      <c r="X111" s="13" t="str">
        <f>_xll.BDH("AMGN US Equity","ARDR_DEBT_SCHEDULE_IN_YR5","FQ1 2024","FQ1 2024","Currency=USD","Period=FQ","BEST_FPERIOD_OVERRIDE=FQ","FILING_STATUS=MR","SCALING_FORMAT=MLN","Sort=A","Dates=H","DateFormat=P","Fill=—","Direction=H","UseDPDF=Y")</f>
        <v>—</v>
      </c>
      <c r="Y111" s="13" t="str">
        <f>_xll.BDH("AMGN US Equity","ARDR_DEBT_SCHEDULE_IN_YR5","FQ2 2024","FQ2 2024","Currency=USD","Period=FQ","BEST_FPERIOD_OVERRIDE=FQ","FILING_STATUS=MR","SCALING_FORMAT=MLN","Sort=A","Dates=H","DateFormat=P","Fill=—","Direction=H","UseDPDF=Y")</f>
        <v>—</v>
      </c>
      <c r="Z111" s="13" t="str">
        <f>_xll.BDH("AMGN US Equity","ARDR_DEBT_SCHEDULE_IN_YR5","FQ3 2024","FQ3 2024","Currency=USD","Period=FQ","BEST_FPERIOD_OVERRIDE=FQ","FILING_STATUS=MR","SCALING_FORMAT=MLN","Sort=A","Dates=H","DateFormat=P","Fill=—","Direction=H","UseDPDF=Y")</f>
        <v>—</v>
      </c>
      <c r="AA111" s="13">
        <f>_xll.BDH("AMGN US Equity","ARDR_DEBT_SCHEDULE_IN_YR5","FQ4 2024","FQ4 2024","Currency=USD","Period=FQ","BEST_FPERIOD_OVERRIDE=FQ","FILING_STATUS=MR","SCALING_FORMAT=MLN","Sort=A","Dates=H","DateFormat=P","Fill=—","Direction=H","UseDPDF=Y")</f>
        <v>2876</v>
      </c>
    </row>
    <row r="112" spans="1:27" x14ac:dyDescent="0.25">
      <c r="A112" s="10" t="s">
        <v>1038</v>
      </c>
      <c r="B112" s="10" t="s">
        <v>1039</v>
      </c>
      <c r="C112" s="13">
        <f>_xll.BDH("AMGN US Equity","ARDR_DEBT_SCHEDULE_THEREAFTER","FQ4 2018","FQ4 2018","Currency=USD","Period=FQ","BEST_FPERIOD_OVERRIDE=FQ","FILING_STATUS=MR","SCALING_FORMAT=MLN","Sort=A","Dates=H","DateFormat=P","Fill=—","Direction=H","UseDPDF=Y")</f>
        <v>18358</v>
      </c>
      <c r="D112" s="13" t="str">
        <f>_xll.BDH("AMGN US Equity","ARDR_DEBT_SCHEDULE_THEREAFTER","FQ1 2019","FQ1 2019","Currency=USD","Period=FQ","BEST_FPERIOD_OVERRIDE=FQ","FILING_STATUS=MR","SCALING_FORMAT=MLN","Sort=A","Dates=H","DateFormat=P","Fill=—","Direction=H","UseDPDF=Y")</f>
        <v>—</v>
      </c>
      <c r="E112" s="13" t="str">
        <f>_xll.BDH("AMGN US Equity","ARDR_DEBT_SCHEDULE_THEREAFTER","FQ2 2019","FQ2 2019","Currency=USD","Period=FQ","BEST_FPERIOD_OVERRIDE=FQ","FILING_STATUS=MR","SCALING_FORMAT=MLN","Sort=A","Dates=H","DateFormat=P","Fill=—","Direction=H","UseDPDF=Y")</f>
        <v>—</v>
      </c>
      <c r="F112" s="13" t="str">
        <f>_xll.BDH("AMGN US Equity","ARDR_DEBT_SCHEDULE_THEREAFTER","FQ3 2019","FQ3 2019","Currency=USD","Period=FQ","BEST_FPERIOD_OVERRIDE=FQ","FILING_STATUS=MR","SCALING_FORMAT=MLN","Sort=A","Dates=H","DateFormat=P","Fill=—","Direction=H","UseDPDF=Y")</f>
        <v>—</v>
      </c>
      <c r="G112" s="13">
        <f>_xll.BDH("AMGN US Equity","ARDR_DEBT_SCHEDULE_THEREAFTER","FQ4 2019","FQ4 2019","Currency=USD","Period=FQ","BEST_FPERIOD_OVERRIDE=FQ","FILING_STATUS=MR","SCALING_FORMAT=MLN","Sort=A","Dates=H","DateFormat=P","Fill=—","Direction=H","UseDPDF=Y")</f>
        <v>16999</v>
      </c>
      <c r="H112" s="13" t="str">
        <f>_xll.BDH("AMGN US Equity","ARDR_DEBT_SCHEDULE_THEREAFTER","FQ1 2020","FQ1 2020","Currency=USD","Period=FQ","BEST_FPERIOD_OVERRIDE=FQ","FILING_STATUS=MR","SCALING_FORMAT=MLN","Sort=A","Dates=H","DateFormat=P","Fill=—","Direction=H","UseDPDF=Y")</f>
        <v>—</v>
      </c>
      <c r="I112" s="13" t="str">
        <f>_xll.BDH("AMGN US Equity","ARDR_DEBT_SCHEDULE_THEREAFTER","FQ2 2020","FQ2 2020","Currency=USD","Period=FQ","BEST_FPERIOD_OVERRIDE=FQ","FILING_STATUS=MR","SCALING_FORMAT=MLN","Sort=A","Dates=H","DateFormat=P","Fill=—","Direction=H","UseDPDF=Y")</f>
        <v>—</v>
      </c>
      <c r="J112" s="13" t="str">
        <f>_xll.BDH("AMGN US Equity","ARDR_DEBT_SCHEDULE_THEREAFTER","FQ3 2020","FQ3 2020","Currency=USD","Period=FQ","BEST_FPERIOD_OVERRIDE=FQ","FILING_STATUS=MR","SCALING_FORMAT=MLN","Sort=A","Dates=H","DateFormat=P","Fill=—","Direction=H","UseDPDF=Y")</f>
        <v>—</v>
      </c>
      <c r="K112" s="13">
        <f>_xll.BDH("AMGN US Equity","ARDR_DEBT_SCHEDULE_THEREAFTER","FQ4 2020","FQ4 2020","Currency=USD","Period=FQ","BEST_FPERIOD_OVERRIDE=FQ","FILING_STATUS=MR","SCALING_FORMAT=MLN","Sort=A","Dates=H","DateFormat=P","Fill=—","Direction=H","UseDPDF=Y")</f>
        <v>24890</v>
      </c>
      <c r="L112" s="13" t="str">
        <f>_xll.BDH("AMGN US Equity","ARDR_DEBT_SCHEDULE_THEREAFTER","FQ1 2021","FQ1 2021","Currency=USD","Period=FQ","BEST_FPERIOD_OVERRIDE=FQ","FILING_STATUS=MR","SCALING_FORMAT=MLN","Sort=A","Dates=H","DateFormat=P","Fill=—","Direction=H","UseDPDF=Y")</f>
        <v>—</v>
      </c>
      <c r="M112" s="13" t="str">
        <f>_xll.BDH("AMGN US Equity","ARDR_DEBT_SCHEDULE_THEREAFTER","FQ2 2021","FQ2 2021","Currency=USD","Period=FQ","BEST_FPERIOD_OVERRIDE=FQ","FILING_STATUS=MR","SCALING_FORMAT=MLN","Sort=A","Dates=H","DateFormat=P","Fill=—","Direction=H","UseDPDF=Y")</f>
        <v>—</v>
      </c>
      <c r="N112" s="13" t="str">
        <f>_xll.BDH("AMGN US Equity","ARDR_DEBT_SCHEDULE_THEREAFTER","FQ3 2021","FQ3 2021","Currency=USD","Period=FQ","BEST_FPERIOD_OVERRIDE=FQ","FILING_STATUS=MR","SCALING_FORMAT=MLN","Sort=A","Dates=H","DateFormat=P","Fill=—","Direction=H","UseDPDF=Y")</f>
        <v>—</v>
      </c>
      <c r="O112" s="13">
        <f>_xll.BDH("AMGN US Equity","ARDR_DEBT_SCHEDULE_THEREAFTER","FQ4 2021","FQ4 2021","Currency=USD","Period=FQ","BEST_FPERIOD_OVERRIDE=FQ","FILING_STATUS=MR","SCALING_FORMAT=MLN","Sort=A","Dates=H","DateFormat=P","Fill=—","Direction=H","UseDPDF=Y")</f>
        <v>27075</v>
      </c>
      <c r="P112" s="13" t="str">
        <f>_xll.BDH("AMGN US Equity","ARDR_DEBT_SCHEDULE_THEREAFTER","FQ1 2022","FQ1 2022","Currency=USD","Period=FQ","BEST_FPERIOD_OVERRIDE=FQ","FILING_STATUS=MR","SCALING_FORMAT=MLN","Sort=A","Dates=H","DateFormat=P","Fill=—","Direction=H","UseDPDF=Y")</f>
        <v>—</v>
      </c>
      <c r="Q112" s="13" t="str">
        <f>_xll.BDH("AMGN US Equity","ARDR_DEBT_SCHEDULE_THEREAFTER","FQ2 2022","FQ2 2022","Currency=USD","Period=FQ","BEST_FPERIOD_OVERRIDE=FQ","FILING_STATUS=MR","SCALING_FORMAT=MLN","Sort=A","Dates=H","DateFormat=P","Fill=—","Direction=H","UseDPDF=Y")</f>
        <v>—</v>
      </c>
      <c r="R112" s="13" t="str">
        <f>_xll.BDH("AMGN US Equity","ARDR_DEBT_SCHEDULE_THEREAFTER","FQ3 2022","FQ3 2022","Currency=USD","Period=FQ","BEST_FPERIOD_OVERRIDE=FQ","FILING_STATUS=MR","SCALING_FORMAT=MLN","Sort=A","Dates=H","DateFormat=P","Fill=—","Direction=H","UseDPDF=Y")</f>
        <v>—</v>
      </c>
      <c r="S112" s="13">
        <f>_xll.BDH("AMGN US Equity","ARDR_DEBT_SCHEDULE_THEREAFTER","FQ4 2022","FQ4 2022","Currency=USD","Period=FQ","BEST_FPERIOD_OVERRIDE=FQ","FILING_STATUS=MR","SCALING_FORMAT=MLN","Sort=A","Dates=H","DateFormat=P","Fill=—","Direction=H","UseDPDF=Y")</f>
        <v>30868</v>
      </c>
      <c r="T112" s="13" t="str">
        <f>_xll.BDH("AMGN US Equity","ARDR_DEBT_SCHEDULE_THEREAFTER","FQ1 2023","FQ1 2023","Currency=USD","Period=FQ","BEST_FPERIOD_OVERRIDE=FQ","FILING_STATUS=MR","SCALING_FORMAT=MLN","Sort=A","Dates=H","DateFormat=P","Fill=—","Direction=H","UseDPDF=Y")</f>
        <v>—</v>
      </c>
      <c r="U112" s="13" t="str">
        <f>_xll.BDH("AMGN US Equity","ARDR_DEBT_SCHEDULE_THEREAFTER","FQ2 2023","FQ2 2023","Currency=USD","Period=FQ","BEST_FPERIOD_OVERRIDE=FQ","FILING_STATUS=MR","SCALING_FORMAT=MLN","Sort=A","Dates=H","DateFormat=P","Fill=—","Direction=H","UseDPDF=Y")</f>
        <v>—</v>
      </c>
      <c r="V112" s="13">
        <f>_xll.BDH("AMGN US Equity","ARDR_DEBT_SCHEDULE_THEREAFTER","FQ3 2023","FQ3 2023","Currency=USD","Period=FQ","BEST_FPERIOD_OVERRIDE=FQ","FILING_STATUS=MR","SCALING_FORMAT=MLN","Sort=A","Dates=H","DateFormat=P","Fill=—","Direction=H","UseDPDF=Y")</f>
        <v>9750</v>
      </c>
      <c r="W112" s="13">
        <f>_xll.BDH("AMGN US Equity","ARDR_DEBT_SCHEDULE_THEREAFTER","FQ4 2023","FQ4 2023","Currency=USD","Period=FQ","BEST_FPERIOD_OVERRIDE=FQ","FILING_STATUS=MR","SCALING_FORMAT=MLN","Sort=A","Dates=H","DateFormat=P","Fill=—","Direction=H","UseDPDF=Y")</f>
        <v>45553</v>
      </c>
      <c r="X112" s="13" t="str">
        <f>_xll.BDH("AMGN US Equity","ARDR_DEBT_SCHEDULE_THEREAFTER","FQ1 2024","FQ1 2024","Currency=USD","Period=FQ","BEST_FPERIOD_OVERRIDE=FQ","FILING_STATUS=MR","SCALING_FORMAT=MLN","Sort=A","Dates=H","DateFormat=P","Fill=—","Direction=H","UseDPDF=Y")</f>
        <v>—</v>
      </c>
      <c r="Y112" s="13" t="str">
        <f>_xll.BDH("AMGN US Equity","ARDR_DEBT_SCHEDULE_THEREAFTER","FQ2 2024","FQ2 2024","Currency=USD","Period=FQ","BEST_FPERIOD_OVERRIDE=FQ","FILING_STATUS=MR","SCALING_FORMAT=MLN","Sort=A","Dates=H","DateFormat=P","Fill=—","Direction=H","UseDPDF=Y")</f>
        <v>—</v>
      </c>
      <c r="Z112" s="13" t="str">
        <f>_xll.BDH("AMGN US Equity","ARDR_DEBT_SCHEDULE_THEREAFTER","FQ3 2024","FQ3 2024","Currency=USD","Period=FQ","BEST_FPERIOD_OVERRIDE=FQ","FILING_STATUS=MR","SCALING_FORMAT=MLN","Sort=A","Dates=H","DateFormat=P","Fill=—","Direction=H","UseDPDF=Y")</f>
        <v>—</v>
      </c>
      <c r="AA112" s="13">
        <f>_xll.BDH("AMGN US Equity","ARDR_DEBT_SCHEDULE_THEREAFTER","FQ4 2024","FQ4 2024","Currency=USD","Period=FQ","BEST_FPERIOD_OVERRIDE=FQ","FILING_STATUS=MR","SCALING_FORMAT=MLN","Sort=A","Dates=H","DateFormat=P","Fill=—","Direction=H","UseDPDF=Y")</f>
        <v>41772</v>
      </c>
    </row>
    <row r="113" spans="1:27" x14ac:dyDescent="0.25">
      <c r="A113" s="10" t="s">
        <v>1040</v>
      </c>
      <c r="B113" s="10" t="s">
        <v>1041</v>
      </c>
      <c r="C113" s="13">
        <f>_xll.BDH("AMGN US Equity","ARDR_DEBT_SCHEDULE_TOTAL_DEBT","FQ4 2018","FQ4 2018","Currency=USD","Period=FQ","BEST_FPERIOD_OVERRIDE=FQ","FILING_STATUS=MR","SCALING_FORMAT=MLN","Sort=A","Dates=H","DateFormat=P","Fill=—","Direction=H","UseDPDF=Y")</f>
        <v>33929</v>
      </c>
      <c r="D113" s="13">
        <f>_xll.BDH("AMGN US Equity","ARDR_DEBT_SCHEDULE_TOTAL_DEBT","FQ1 2019","FQ1 2019","Currency=USD","Period=FQ","BEST_FPERIOD_OVERRIDE=FQ","FILING_STATUS=MR","SCALING_FORMAT=MLN","Sort=A","Dates=H","DateFormat=P","Fill=—","Direction=H","UseDPDF=Y")</f>
        <v>33024</v>
      </c>
      <c r="E113" s="13">
        <f>_xll.BDH("AMGN US Equity","ARDR_DEBT_SCHEDULE_TOTAL_DEBT","FQ2 2019","FQ2 2019","Currency=USD","Period=FQ","BEST_FPERIOD_OVERRIDE=FQ","FILING_STATUS=MR","SCALING_FORMAT=MLN","Sort=A","Dates=H","DateFormat=P","Fill=—","Direction=H","UseDPDF=Y")</f>
        <v>30314</v>
      </c>
      <c r="F113" s="13">
        <f>_xll.BDH("AMGN US Equity","ARDR_DEBT_SCHEDULE_TOTAL_DEBT","FQ3 2019","FQ3 2019","Currency=USD","Period=FQ","BEST_FPERIOD_OVERRIDE=FQ","FILING_STATUS=MR","SCALING_FORMAT=MLN","Sort=A","Dates=H","DateFormat=P","Fill=—","Direction=H","UseDPDF=Y")</f>
        <v>29791</v>
      </c>
      <c r="G113" s="13">
        <f>_xll.BDH("AMGN US Equity","ARDR_DEBT_SCHEDULE_TOTAL_DEBT","FQ4 2019","FQ4 2019","Currency=USD","Period=FQ","BEST_FPERIOD_OVERRIDE=FQ","FILING_STATUS=MR","SCALING_FORMAT=MLN","Sort=A","Dates=H","DateFormat=P","Fill=—","Direction=H","UseDPDF=Y")</f>
        <v>29903</v>
      </c>
      <c r="H113" s="13">
        <f>_xll.BDH("AMGN US Equity","ARDR_DEBT_SCHEDULE_TOTAL_DEBT","FQ1 2020","FQ1 2020","Currency=USD","Period=FQ","BEST_FPERIOD_OVERRIDE=FQ","FILING_STATUS=MR","SCALING_FORMAT=MLN","Sort=A","Dates=H","DateFormat=P","Fill=—","Direction=H","UseDPDF=Y")</f>
        <v>31848</v>
      </c>
      <c r="I113" s="13">
        <f>_xll.BDH("AMGN US Equity","ARDR_DEBT_SCHEDULE_TOTAL_DEBT","FQ2 2020","FQ2 2020","Currency=USD","Period=FQ","BEST_FPERIOD_OVERRIDE=FQ","FILING_STATUS=MR","SCALING_FORMAT=MLN","Sort=A","Dates=H","DateFormat=P","Fill=—","Direction=H","UseDPDF=Y")</f>
        <v>34224</v>
      </c>
      <c r="J113" s="13">
        <f>_xll.BDH("AMGN US Equity","ARDR_DEBT_SCHEDULE_TOTAL_DEBT","FQ3 2020","FQ3 2020","Currency=USD","Period=FQ","BEST_FPERIOD_OVERRIDE=FQ","FILING_STATUS=MR","SCALING_FORMAT=MLN","Sort=A","Dates=H","DateFormat=P","Fill=—","Direction=H","UseDPDF=Y")</f>
        <v>34287</v>
      </c>
      <c r="K113" s="13">
        <f>_xll.BDH("AMGN US Equity","ARDR_DEBT_SCHEDULE_TOTAL_DEBT","FQ4 2020","FQ4 2020","Currency=USD","Period=FQ","BEST_FPERIOD_OVERRIDE=FQ","FILING_STATUS=MR","SCALING_FORMAT=MLN","Sort=A","Dates=H","DateFormat=P","Fill=—","Direction=H","UseDPDF=Y")</f>
        <v>32986</v>
      </c>
      <c r="L113" s="13">
        <f>_xll.BDH("AMGN US Equity","ARDR_DEBT_SCHEDULE_TOTAL_DEBT","FQ1 2021","FQ1 2021","Currency=USD","Period=FQ","BEST_FPERIOD_OVERRIDE=FQ","FILING_STATUS=MR","SCALING_FORMAT=MLN","Sort=A","Dates=H","DateFormat=P","Fill=—","Direction=H","UseDPDF=Y")</f>
        <v>32685</v>
      </c>
      <c r="M113" s="13">
        <f>_xll.BDH("AMGN US Equity","ARDR_DEBT_SCHEDULE_TOTAL_DEBT","FQ2 2021","FQ2 2021","Currency=USD","Period=FQ","BEST_FPERIOD_OVERRIDE=FQ","FILING_STATUS=MR","SCALING_FORMAT=MLN","Sort=A","Dates=H","DateFormat=P","Fill=—","Direction=H","UseDPDF=Y")</f>
        <v>32782</v>
      </c>
      <c r="N113" s="13">
        <f>_xll.BDH("AMGN US Equity","ARDR_DEBT_SCHEDULE_TOTAL_DEBT","FQ3 2021","FQ3 2021","Currency=USD","Period=FQ","BEST_FPERIOD_OVERRIDE=FQ","FILING_STATUS=MR","SCALING_FORMAT=MLN","Sort=A","Dates=H","DateFormat=P","Fill=—","Direction=H","UseDPDF=Y")</f>
        <v>37579</v>
      </c>
      <c r="O113" s="13">
        <f>_xll.BDH("AMGN US Equity","ARDR_DEBT_SCHEDULE_TOTAL_DEBT","FQ4 2021","FQ4 2021","Currency=USD","Period=FQ","BEST_FPERIOD_OVERRIDE=FQ","FILING_STATUS=MR","SCALING_FORMAT=MLN","Sort=A","Dates=H","DateFormat=P","Fill=—","Direction=H","UseDPDF=Y")</f>
        <v>34238</v>
      </c>
      <c r="P113" s="13">
        <f>_xll.BDH("AMGN US Equity","ARDR_DEBT_SCHEDULE_TOTAL_DEBT","FQ1 2022","FQ1 2022","Currency=USD","Period=FQ","BEST_FPERIOD_OVERRIDE=FQ","FILING_STATUS=MR","SCALING_FORMAT=MLN","Sort=A","Dates=H","DateFormat=P","Fill=—","Direction=H","UseDPDF=Y")</f>
        <v>36854</v>
      </c>
      <c r="Q113" s="13">
        <f>_xll.BDH("AMGN US Equity","ARDR_DEBT_SCHEDULE_TOTAL_DEBT","FQ2 2022","FQ2 2022","Currency=USD","Period=FQ","BEST_FPERIOD_OVERRIDE=FQ","FILING_STATUS=MR","SCALING_FORMAT=MLN","Sort=A","Dates=H","DateFormat=P","Fill=—","Direction=H","UseDPDF=Y")</f>
        <v>36522</v>
      </c>
      <c r="R113" s="13">
        <f>_xll.BDH("AMGN US Equity","ARDR_DEBT_SCHEDULE_TOTAL_DEBT","FQ3 2022","FQ3 2022","Currency=USD","Period=FQ","BEST_FPERIOD_OVERRIDE=FQ","FILING_STATUS=MR","SCALING_FORMAT=MLN","Sort=A","Dates=H","DateFormat=P","Fill=—","Direction=H","UseDPDF=Y")</f>
        <v>38704</v>
      </c>
      <c r="S113" s="13">
        <f>_xll.BDH("AMGN US Equity","ARDR_DEBT_SCHEDULE_TOTAL_DEBT","FQ4 2022","FQ4 2022","Currency=USD","Period=FQ","BEST_FPERIOD_OVERRIDE=FQ","FILING_STATUS=MR","SCALING_FORMAT=MLN","Sort=A","Dates=H","DateFormat=P","Fill=—","Direction=H","UseDPDF=Y")</f>
        <v>40628</v>
      </c>
      <c r="T113" s="13">
        <f>_xll.BDH("AMGN US Equity","ARDR_DEBT_SCHEDULE_TOTAL_DEBT","FQ1 2023","FQ1 2023","Currency=USD","Period=FQ","BEST_FPERIOD_OVERRIDE=FQ","FILING_STATUS=MR","SCALING_FORMAT=MLN","Sort=A","Dates=H","DateFormat=P","Fill=—","Direction=H","UseDPDF=Y")</f>
        <v>61595</v>
      </c>
      <c r="U113" s="13">
        <f>_xll.BDH("AMGN US Equity","ARDR_DEBT_SCHEDULE_TOTAL_DEBT","FQ2 2023","FQ2 2023","Currency=USD","Period=FQ","BEST_FPERIOD_OVERRIDE=FQ","FILING_STATUS=MR","SCALING_FORMAT=MLN","Sort=A","Dates=H","DateFormat=P","Fill=—","Direction=H","UseDPDF=Y")</f>
        <v>61544</v>
      </c>
      <c r="V113" s="13">
        <f>_xll.BDH("AMGN US Equity","ARDR_DEBT_SCHEDULE_TOTAL_DEBT","FQ3 2023","FQ3 2023","Currency=USD","Period=FQ","BEST_FPERIOD_OVERRIDE=FQ","FILING_STATUS=MR","SCALING_FORMAT=MLN","Sort=A","Dates=H","DateFormat=P","Fill=—","Direction=H","UseDPDF=Y")</f>
        <v>60468</v>
      </c>
      <c r="W113" s="13">
        <f>_xll.BDH("AMGN US Equity","ARDR_DEBT_SCHEDULE_TOTAL_DEBT","FQ4 2023","FQ4 2023","Currency=USD","Period=FQ","BEST_FPERIOD_OVERRIDE=FQ","FILING_STATUS=MR","SCALING_FORMAT=MLN","Sort=A","Dates=H","DateFormat=P","Fill=—","Direction=H","UseDPDF=Y")</f>
        <v>66347</v>
      </c>
      <c r="X113" s="13">
        <f>_xll.BDH("AMGN US Equity","ARDR_DEBT_SCHEDULE_TOTAL_DEBT","FQ1 2024","FQ1 2024","Currency=USD","Period=FQ","BEST_FPERIOD_OVERRIDE=FQ","FILING_STATUS=MR","SCALING_FORMAT=MLN","Sort=A","Dates=H","DateFormat=P","Fill=—","Direction=H","UseDPDF=Y")</f>
        <v>64061</v>
      </c>
      <c r="Y113" s="13">
        <f>_xll.BDH("AMGN US Equity","ARDR_DEBT_SCHEDULE_TOTAL_DEBT","FQ2 2024","FQ2 2024","Currency=USD","Period=FQ","BEST_FPERIOD_OVERRIDE=FQ","FILING_STATUS=MR","SCALING_FORMAT=MLN","Sort=A","Dates=H","DateFormat=P","Fill=—","Direction=H","UseDPDF=Y")</f>
        <v>62645</v>
      </c>
      <c r="Z113" s="13">
        <f>_xll.BDH("AMGN US Equity","ARDR_DEBT_SCHEDULE_TOTAL_DEBT","FQ3 2024","FQ3 2024","Currency=USD","Period=FQ","BEST_FPERIOD_OVERRIDE=FQ","FILING_STATUS=MR","SCALING_FORMAT=MLN","Sort=A","Dates=H","DateFormat=P","Fill=—","Direction=H","UseDPDF=Y")</f>
        <v>60398</v>
      </c>
      <c r="AA113" s="13">
        <f>_xll.BDH("AMGN US Equity","ARDR_DEBT_SCHEDULE_TOTAL_DEBT","FQ4 2024","FQ4 2024","Currency=USD","Period=FQ","BEST_FPERIOD_OVERRIDE=FQ","FILING_STATUS=MR","SCALING_FORMAT=MLN","Sort=A","Dates=H","DateFormat=P","Fill=—","Direction=H","UseDPDF=Y")</f>
        <v>61778</v>
      </c>
    </row>
    <row r="114" spans="1:27" x14ac:dyDescent="0.25">
      <c r="A114" s="10" t="s">
        <v>1042</v>
      </c>
      <c r="B114" s="10" t="s">
        <v>1043</v>
      </c>
      <c r="C114" s="13">
        <f>_xll.BDH("AMGN US Equity","ARDR_DEBT_SCHEDULE_TOTAL_LT_DEBT","FQ4 2018","FQ4 2018","Currency=USD","Period=FQ","BEST_FPERIOD_OVERRIDE=FQ","FILING_STATUS=MR","SCALING_FORMAT=MLN","Sort=A","Dates=H","DateFormat=P","Fill=—","Direction=H","UseDPDF=Y")</f>
        <v>29510</v>
      </c>
      <c r="D114" s="13">
        <f>_xll.BDH("AMGN US Equity","ARDR_DEBT_SCHEDULE_TOTAL_LT_DEBT","FQ1 2019","FQ1 2019","Currency=USD","Period=FQ","BEST_FPERIOD_OVERRIDE=FQ","FILING_STATUS=MR","SCALING_FORMAT=MLN","Sort=A","Dates=H","DateFormat=P","Fill=—","Direction=H","UseDPDF=Y")</f>
        <v>29319</v>
      </c>
      <c r="E114" s="13">
        <f>_xll.BDH("AMGN US Equity","ARDR_DEBT_SCHEDULE_TOTAL_LT_DEBT","FQ2 2019","FQ2 2019","Currency=USD","Period=FQ","BEST_FPERIOD_OVERRIDE=FQ","FILING_STATUS=MR","SCALING_FORMAT=MLN","Sort=A","Dates=H","DateFormat=P","Fill=—","Direction=H","UseDPDF=Y")</f>
        <v>27498</v>
      </c>
      <c r="F114" s="13">
        <f>_xll.BDH("AMGN US Equity","ARDR_DEBT_SCHEDULE_TOTAL_LT_DEBT","FQ3 2019","FQ3 2019","Currency=USD","Period=FQ","BEST_FPERIOD_OVERRIDE=FQ","FILING_STATUS=MR","SCALING_FORMAT=MLN","Sort=A","Dates=H","DateFormat=P","Fill=—","Direction=H","UseDPDF=Y")</f>
        <v>27742</v>
      </c>
      <c r="G114" s="13">
        <f>_xll.BDH("AMGN US Equity","ARDR_DEBT_SCHEDULE_TOTAL_LT_DEBT","FQ4 2019","FQ4 2019","Currency=USD","Period=FQ","BEST_FPERIOD_OVERRIDE=FQ","FILING_STATUS=MR","SCALING_FORMAT=MLN","Sort=A","Dates=H","DateFormat=P","Fill=—","Direction=H","UseDPDF=Y")</f>
        <v>26950</v>
      </c>
      <c r="H114" s="13">
        <f>_xll.BDH("AMGN US Equity","ARDR_DEBT_SCHEDULE_TOTAL_LT_DEBT","FQ1 2020","FQ1 2020","Currency=USD","Period=FQ","BEST_FPERIOD_OVERRIDE=FQ","FILING_STATUS=MR","SCALING_FORMAT=MLN","Sort=A","Dates=H","DateFormat=P","Fill=—","Direction=H","UseDPDF=Y")</f>
        <v>30008</v>
      </c>
      <c r="I114" s="13">
        <f>_xll.BDH("AMGN US Equity","ARDR_DEBT_SCHEDULE_TOTAL_LT_DEBT","FQ2 2020","FQ2 2020","Currency=USD","Period=FQ","BEST_FPERIOD_OVERRIDE=FQ","FILING_STATUS=MR","SCALING_FORMAT=MLN","Sort=A","Dates=H","DateFormat=P","Fill=—","Direction=H","UseDPDF=Y")</f>
        <v>34224</v>
      </c>
      <c r="J114" s="13">
        <f>_xll.BDH("AMGN US Equity","ARDR_DEBT_SCHEDULE_TOTAL_LT_DEBT","FQ3 2020","FQ3 2020","Currency=USD","Period=FQ","BEST_FPERIOD_OVERRIDE=FQ","FILING_STATUS=MR","SCALING_FORMAT=MLN","Sort=A","Dates=H","DateFormat=P","Fill=—","Direction=H","UseDPDF=Y")</f>
        <v>34287</v>
      </c>
      <c r="K114" s="13">
        <f>_xll.BDH("AMGN US Equity","ARDR_DEBT_SCHEDULE_TOTAL_LT_DEBT","FQ4 2020","FQ4 2020","Currency=USD","Period=FQ","BEST_FPERIOD_OVERRIDE=FQ","FILING_STATUS=MR","SCALING_FORMAT=MLN","Sort=A","Dates=H","DateFormat=P","Fill=—","Direction=H","UseDPDF=Y")</f>
        <v>32895</v>
      </c>
      <c r="L114" s="13">
        <f>_xll.BDH("AMGN US Equity","ARDR_DEBT_SCHEDULE_TOTAL_LT_DEBT","FQ1 2021","FQ1 2021","Currency=USD","Period=FQ","BEST_FPERIOD_OVERRIDE=FQ","FILING_STATUS=MR","SCALING_FORMAT=MLN","Sort=A","Dates=H","DateFormat=P","Fill=—","Direction=H","UseDPDF=Y")</f>
        <v>31129</v>
      </c>
      <c r="M114" s="13">
        <f>_xll.BDH("AMGN US Equity","ARDR_DEBT_SCHEDULE_TOTAL_LT_DEBT","FQ2 2021","FQ2 2021","Currency=USD","Period=FQ","BEST_FPERIOD_OVERRIDE=FQ","FILING_STATUS=MR","SCALING_FORMAT=MLN","Sort=A","Dates=H","DateFormat=P","Fill=—","Direction=H","UseDPDF=Y")</f>
        <v>28458</v>
      </c>
      <c r="N114" s="13">
        <f>_xll.BDH("AMGN US Equity","ARDR_DEBT_SCHEDULE_TOTAL_LT_DEBT","FQ3 2021","FQ3 2021","Currency=USD","Period=FQ","BEST_FPERIOD_OVERRIDE=FQ","FILING_STATUS=MR","SCALING_FORMAT=MLN","Sort=A","Dates=H","DateFormat=P","Fill=—","Direction=H","UseDPDF=Y")</f>
        <v>37579</v>
      </c>
      <c r="O114" s="13">
        <f>_xll.BDH("AMGN US Equity","ARDR_DEBT_SCHEDULE_TOTAL_LT_DEBT","FQ4 2021","FQ4 2021","Currency=USD","Period=FQ","BEST_FPERIOD_OVERRIDE=FQ","FILING_STATUS=MR","SCALING_FORMAT=MLN","Sort=A","Dates=H","DateFormat=P","Fill=—","Direction=H","UseDPDF=Y")</f>
        <v>34238</v>
      </c>
      <c r="P114" s="13">
        <f>_xll.BDH("AMGN US Equity","ARDR_DEBT_SCHEDULE_TOTAL_LT_DEBT","FQ1 2022","FQ1 2022","Currency=USD","Period=FQ","BEST_FPERIOD_OVERRIDE=FQ","FILING_STATUS=MR","SCALING_FORMAT=MLN","Sort=A","Dates=H","DateFormat=P","Fill=—","Direction=H","UseDPDF=Y")</f>
        <v>36010</v>
      </c>
      <c r="Q114" s="13">
        <f>_xll.BDH("AMGN US Equity","ARDR_DEBT_SCHEDULE_TOTAL_LT_DEBT","FQ2 2022","FQ2 2022","Currency=USD","Period=FQ","BEST_FPERIOD_OVERRIDE=FQ","FILING_STATUS=MR","SCALING_FORMAT=MLN","Sort=A","Dates=H","DateFormat=P","Fill=—","Direction=H","UseDPDF=Y")</f>
        <v>35705</v>
      </c>
      <c r="R114" s="13">
        <f>_xll.BDH("AMGN US Equity","ARDR_DEBT_SCHEDULE_TOTAL_LT_DEBT","FQ3 2022","FQ3 2022","Currency=USD","Period=FQ","BEST_FPERIOD_OVERRIDE=FQ","FILING_STATUS=MR","SCALING_FORMAT=MLN","Sort=A","Dates=H","DateFormat=P","Fill=—","Direction=H","UseDPDF=Y")</f>
        <v>37161</v>
      </c>
      <c r="S114" s="13">
        <f>_xll.BDH("AMGN US Equity","ARDR_DEBT_SCHEDULE_TOTAL_LT_DEBT","FQ4 2022","FQ4 2022","Currency=USD","Period=FQ","BEST_FPERIOD_OVERRIDE=FQ","FILING_STATUS=MR","SCALING_FORMAT=MLN","Sort=A","Dates=H","DateFormat=P","Fill=—","Direction=H","UseDPDF=Y")</f>
        <v>40628</v>
      </c>
      <c r="T114" s="13">
        <f>_xll.BDH("AMGN US Equity","ARDR_DEBT_SCHEDULE_TOTAL_LT_DEBT","FQ1 2023","FQ1 2023","Currency=USD","Period=FQ","BEST_FPERIOD_OVERRIDE=FQ","FILING_STATUS=MR","SCALING_FORMAT=MLN","Sort=A","Dates=H","DateFormat=P","Fill=—","Direction=H","UseDPDF=Y")</f>
        <v>60761</v>
      </c>
      <c r="U114" s="13">
        <f>_xll.BDH("AMGN US Equity","ARDR_DEBT_SCHEDULE_TOTAL_LT_DEBT","FQ2 2023","FQ2 2023","Currency=USD","Period=FQ","BEST_FPERIOD_OVERRIDE=FQ","FILING_STATUS=MR","SCALING_FORMAT=MLN","Sort=A","Dates=H","DateFormat=P","Fill=—","Direction=H","UseDPDF=Y")</f>
        <v>59377</v>
      </c>
      <c r="V114" s="13">
        <f>_xll.BDH("AMGN US Equity","ARDR_DEBT_SCHEDULE_TOTAL_LT_DEBT","FQ3 2023","FQ3 2023","Currency=USD","Period=FQ","BEST_FPERIOD_OVERRIDE=FQ","FILING_STATUS=MR","SCALING_FORMAT=MLN","Sort=A","Dates=H","DateFormat=P","Fill=—","Direction=H","UseDPDF=Y")</f>
        <v>59040</v>
      </c>
      <c r="W114" s="13">
        <f>_xll.BDH("AMGN US Equity","ARDR_DEBT_SCHEDULE_TOTAL_LT_DEBT","FQ4 2023","FQ4 2023","Currency=USD","Period=FQ","BEST_FPERIOD_OVERRIDE=FQ","FILING_STATUS=MR","SCALING_FORMAT=MLN","Sort=A","Dates=H","DateFormat=P","Fill=—","Direction=H","UseDPDF=Y")</f>
        <v>66347</v>
      </c>
      <c r="X114" s="13">
        <f>_xll.BDH("AMGN US Equity","ARDR_DEBT_SCHEDULE_TOTAL_LT_DEBT","FQ1 2024","FQ1 2024","Currency=USD","Period=FQ","BEST_FPERIOD_OVERRIDE=FQ","FILING_STATUS=MR","SCALING_FORMAT=MLN","Sort=A","Dates=H","DateFormat=P","Fill=—","Direction=H","UseDPDF=Y")</f>
        <v>64061</v>
      </c>
      <c r="Y114" s="13">
        <f>_xll.BDH("AMGN US Equity","ARDR_DEBT_SCHEDULE_TOTAL_LT_DEBT","FQ2 2024","FQ2 2024","Currency=USD","Period=FQ","BEST_FPERIOD_OVERRIDE=FQ","FILING_STATUS=MR","SCALING_FORMAT=MLN","Sort=A","Dates=H","DateFormat=P","Fill=—","Direction=H","UseDPDF=Y")</f>
        <v>57117</v>
      </c>
      <c r="Z114" s="13">
        <f>_xll.BDH("AMGN US Equity","ARDR_DEBT_SCHEDULE_TOTAL_LT_DEBT","FQ3 2024","FQ3 2024","Currency=USD","Period=FQ","BEST_FPERIOD_OVERRIDE=FQ","FILING_STATUS=MR","SCALING_FORMAT=MLN","Sort=A","Dates=H","DateFormat=P","Fill=—","Direction=H","UseDPDF=Y")</f>
        <v>56854</v>
      </c>
      <c r="AA114" s="13">
        <f>_xll.BDH("AMGN US Equity","ARDR_DEBT_SCHEDULE_TOTAL_LT_DEBT","FQ4 2024","FQ4 2024","Currency=USD","Period=FQ","BEST_FPERIOD_OVERRIDE=FQ","FILING_STATUS=MR","SCALING_FORMAT=MLN","Sort=A","Dates=H","DateFormat=P","Fill=—","Direction=H","UseDPDF=Y")</f>
        <v>56549</v>
      </c>
    </row>
    <row r="115" spans="1:27" x14ac:dyDescent="0.25">
      <c r="A115" s="10" t="s">
        <v>1044</v>
      </c>
      <c r="B115" s="10" t="s">
        <v>1045</v>
      </c>
      <c r="C115" s="13">
        <f>_xll.BDH("AMGN US Equity","ARDR_COMMON_SHARES_REPURCHASED","FQ4 2018","FQ4 2018","Currency=USD","Period=FQ","BEST_FPERIOD_OVERRIDE=FQ","FILING_STATUS=MR","Sort=A","Dates=H","DateFormat=P","Fill=—","Direction=H","UseDPDF=Y")</f>
        <v>11.1214</v>
      </c>
      <c r="D115" s="13">
        <f>_xll.BDH("AMGN US Equity","ARDR_COMMON_SHARES_REPURCHASED","FQ1 2019","FQ1 2019","Currency=USD","Period=FQ","BEST_FPERIOD_OVERRIDE=FQ","FILING_STATUS=MR","Sort=A","Dates=H","DateFormat=P","Fill=—","Direction=H","UseDPDF=Y")</f>
        <v>15.855499999999999</v>
      </c>
      <c r="E115" s="13">
        <f>_xll.BDH("AMGN US Equity","ARDR_COMMON_SHARES_REPURCHASED","FQ2 2019","FQ2 2019","Currency=USD","Period=FQ","BEST_FPERIOD_OVERRIDE=FQ","FILING_STATUS=MR","Sort=A","Dates=H","DateFormat=P","Fill=—","Direction=H","UseDPDF=Y")</f>
        <v>13.0861</v>
      </c>
      <c r="F115" s="13">
        <f>_xll.BDH("AMGN US Equity","ARDR_COMMON_SHARES_REPURCHASED","FQ3 2019","FQ3 2019","Currency=USD","Period=FQ","BEST_FPERIOD_OVERRIDE=FQ","FILING_STATUS=MR","Sort=A","Dates=H","DateFormat=P","Fill=—","Direction=H","UseDPDF=Y")</f>
        <v>6.2333999999999996</v>
      </c>
      <c r="G115" s="13">
        <f>_xll.BDH("AMGN US Equity","ARDR_COMMON_SHARES_REPURCHASED","FQ4 2019","FQ4 2019","Currency=USD","Period=FQ","BEST_FPERIOD_OVERRIDE=FQ","FILING_STATUS=MR","Sort=A","Dates=H","DateFormat=P","Fill=—","Direction=H","UseDPDF=Y")</f>
        <v>5.0693999999999999</v>
      </c>
      <c r="H115" s="13">
        <f>_xll.BDH("AMGN US Equity","ARDR_COMMON_SHARES_REPURCHASED","FQ1 2020","FQ1 2020","Currency=USD","Period=FQ","BEST_FPERIOD_OVERRIDE=FQ","FILING_STATUS=MR","Sort=A","Dates=H","DateFormat=P","Fill=—","Direction=H","UseDPDF=Y")</f>
        <v>4.2535999999999996</v>
      </c>
      <c r="I115" s="13">
        <f>_xll.BDH("AMGN US Equity","ARDR_COMMON_SHARES_REPURCHASED","FQ2 2020","FQ2 2020","Currency=USD","Period=FQ","BEST_FPERIOD_OVERRIDE=FQ","FILING_STATUS=MR","Sort=A","Dates=H","DateFormat=P","Fill=—","Direction=H","UseDPDF=Y")</f>
        <v>2.5973000000000002</v>
      </c>
      <c r="J115" s="13">
        <f>_xll.BDH("AMGN US Equity","ARDR_COMMON_SHARES_REPURCHASED","FQ3 2020","FQ3 2020","Currency=USD","Period=FQ","BEST_FPERIOD_OVERRIDE=FQ","FILING_STATUS=MR","Sort=A","Dates=H","DateFormat=P","Fill=—","Direction=H","UseDPDF=Y")</f>
        <v>3.0348999999999999</v>
      </c>
      <c r="K115" s="13">
        <f>_xll.BDH("AMGN US Equity","ARDR_COMMON_SHARES_REPURCHASED","FQ4 2020","FQ4 2020","Currency=USD","Period=FQ","BEST_FPERIOD_OVERRIDE=FQ","FILING_STATUS=MR","Sort=A","Dates=H","DateFormat=P","Fill=—","Direction=H","UseDPDF=Y")</f>
        <v>5.3042999999999996</v>
      </c>
      <c r="L115" s="13">
        <f>_xll.BDH("AMGN US Equity","ARDR_COMMON_SHARES_REPURCHASED","FQ1 2021","FQ1 2021","Currency=USD","Period=FQ","BEST_FPERIOD_OVERRIDE=FQ","FILING_STATUS=MR","Sort=A","Dates=H","DateFormat=P","Fill=—","Direction=H","UseDPDF=Y")</f>
        <v>3.6532</v>
      </c>
      <c r="M115" s="13">
        <f>_xll.BDH("AMGN US Equity","ARDR_COMMON_SHARES_REPURCHASED","FQ2 2021","FQ2 2021","Currency=USD","Period=FQ","BEST_FPERIOD_OVERRIDE=FQ","FILING_STATUS=MR","Sort=A","Dates=H","DateFormat=P","Fill=—","Direction=H","UseDPDF=Y")</f>
        <v>6.5190000000000001</v>
      </c>
      <c r="N115" s="13">
        <f>_xll.BDH("AMGN US Equity","ARDR_COMMON_SHARES_REPURCHASED","FQ3 2021","FQ3 2021","Currency=USD","Period=FQ","BEST_FPERIOD_OVERRIDE=FQ","FILING_STATUS=MR","Sort=A","Dates=H","DateFormat=P","Fill=—","Direction=H","UseDPDF=Y")</f>
        <v>4.5999999999999996</v>
      </c>
      <c r="O115" s="13">
        <f>_xll.BDH("AMGN US Equity","ARDR_COMMON_SHARES_REPURCHASED","FQ4 2021","FQ4 2021","Currency=USD","Period=FQ","BEST_FPERIOD_OVERRIDE=FQ","FILING_STATUS=MR","Sort=A","Dates=H","DateFormat=P","Fill=—","Direction=H","UseDPDF=Y")</f>
        <v>6.9192</v>
      </c>
      <c r="P115" s="13">
        <f>_xll.BDH("AMGN US Equity","ARDR_COMMON_SHARES_REPURCHASED","FQ1 2022","FQ1 2022","Currency=USD","Period=FQ","BEST_FPERIOD_OVERRIDE=FQ","FILING_STATUS=MR","Sort=A","Dates=H","DateFormat=P","Fill=—","Direction=H","UseDPDF=Y")</f>
        <v>24.6</v>
      </c>
      <c r="Q115" s="13">
        <f>_xll.BDH("AMGN US Equity","ARDR_COMMON_SHARES_REPURCHASED","FQ2 2022","FQ2 2022","Currency=USD","Period=FQ","BEST_FPERIOD_OVERRIDE=FQ","FILING_STATUS=MR","Sort=A","Dates=H","DateFormat=P","Fill=—","Direction=H","UseDPDF=Y")</f>
        <v>0</v>
      </c>
      <c r="R115" s="13">
        <f>_xll.BDH("AMGN US Equity","ARDR_COMMON_SHARES_REPURCHASED","FQ3 2022","FQ3 2022","Currency=USD","Period=FQ","BEST_FPERIOD_OVERRIDE=FQ","FILING_STATUS=MR","Sort=A","Dates=H","DateFormat=P","Fill=—","Direction=H","UseDPDF=Y")</f>
        <v>1.5</v>
      </c>
      <c r="S115" s="13">
        <f>_xll.BDH("AMGN US Equity","ARDR_COMMON_SHARES_REPURCHASED","FQ4 2022","FQ4 2022","Currency=USD","Period=FQ","BEST_FPERIOD_OVERRIDE=FQ","FILING_STATUS=MR","Sort=A","Dates=H","DateFormat=P","Fill=—","Direction=H","UseDPDF=Y")</f>
        <v>26.1479</v>
      </c>
      <c r="T115" s="13">
        <f>_xll.BDH("AMGN US Equity","ARDR_COMMON_SHARES_REPURCHASED","FQ1 2023","FQ1 2023","Currency=USD","Period=FQ","BEST_FPERIOD_OVERRIDE=FQ","FILING_STATUS=MR","Sort=A","Dates=H","DateFormat=P","Fill=—","Direction=H","UseDPDF=Y")</f>
        <v>0</v>
      </c>
      <c r="U115" s="13">
        <f>_xll.BDH("AMGN US Equity","ARDR_COMMON_SHARES_REPURCHASED","FQ2 2023","FQ2 2023","Currency=USD","Period=FQ","BEST_FPERIOD_OVERRIDE=FQ","FILING_STATUS=MR","Sort=A","Dates=H","DateFormat=P","Fill=—","Direction=H","UseDPDF=Y")</f>
        <v>0</v>
      </c>
      <c r="V115" s="13">
        <f>_xll.BDH("AMGN US Equity","ARDR_COMMON_SHARES_REPURCHASED","FQ3 2023","FQ3 2023","Currency=USD","Period=FQ","BEST_FPERIOD_OVERRIDE=FQ","FILING_STATUS=MR","Sort=A","Dates=H","DateFormat=P","Fill=—","Direction=H","UseDPDF=Y")</f>
        <v>0</v>
      </c>
      <c r="W115" s="13">
        <f>_xll.BDH("AMGN US Equity","ARDR_COMMON_SHARES_REPURCHASED","FQ4 2023","FQ4 2023","Currency=USD","Period=FQ","BEST_FPERIOD_OVERRIDE=FQ","FILING_STATUS=MR","Sort=A","Dates=H","DateFormat=P","Fill=—","Direction=H","UseDPDF=Y")</f>
        <v>0</v>
      </c>
      <c r="X115" s="13">
        <f>_xll.BDH("AMGN US Equity","ARDR_COMMON_SHARES_REPURCHASED","FQ1 2024","FQ1 2024","Currency=USD","Period=FQ","BEST_FPERIOD_OVERRIDE=FQ","FILING_STATUS=MR","Sort=A","Dates=H","DateFormat=P","Fill=—","Direction=H","UseDPDF=Y")</f>
        <v>0</v>
      </c>
      <c r="Y115" s="13">
        <f>_xll.BDH("AMGN US Equity","ARDR_COMMON_SHARES_REPURCHASED","FQ2 2024","FQ2 2024","Currency=USD","Period=FQ","BEST_FPERIOD_OVERRIDE=FQ","FILING_STATUS=MR","Sort=A","Dates=H","DateFormat=P","Fill=—","Direction=H","UseDPDF=Y")</f>
        <v>0</v>
      </c>
      <c r="Z115" s="13">
        <f>_xll.BDH("AMGN US Equity","ARDR_COMMON_SHARES_REPURCHASED","FQ3 2024","FQ3 2024","Currency=USD","Period=FQ","BEST_FPERIOD_OVERRIDE=FQ","FILING_STATUS=MR","Sort=A","Dates=H","DateFormat=P","Fill=—","Direction=H","UseDPDF=Y")</f>
        <v>0</v>
      </c>
      <c r="AA115" s="13">
        <f>_xll.BDH("AMGN US Equity","ARDR_COMMON_SHARES_REPURCHASED","FQ4 2024","FQ4 2024","Currency=USD","Period=FQ","BEST_FPERIOD_OVERRIDE=FQ","FILING_STATUS=MR","Sort=A","Dates=H","DateFormat=P","Fill=—","Direction=H","UseDPDF=Y")</f>
        <v>0.71879999999999999</v>
      </c>
    </row>
    <row r="116" spans="1:27" x14ac:dyDescent="0.25">
      <c r="A116" s="10" t="s">
        <v>1046</v>
      </c>
      <c r="B116" s="10" t="s">
        <v>1047</v>
      </c>
      <c r="C116" s="13">
        <f>_xll.BDH("AMGN US Equity","ARDR_VAL_COMMON_SHRS_REPURCHASED","FQ4 2018","FQ4 2018","Currency=USD","Period=FQ","BEST_FPERIOD_OVERRIDE=FQ","FILING_STATUS=MR","SCALING_FORMAT=MLN","Sort=A","Dates=H","DateFormat=P","Fill=—","Direction=H","UseDPDF=Y")</f>
        <v>2165</v>
      </c>
      <c r="D116" s="13">
        <f>_xll.BDH("AMGN US Equity","ARDR_VAL_COMMON_SHRS_REPURCHASED","FQ1 2019","FQ1 2019","Currency=USD","Period=FQ","BEST_FPERIOD_OVERRIDE=FQ","FILING_STATUS=MR","SCALING_FORMAT=MLN","Sort=A","Dates=H","DateFormat=P","Fill=—","Direction=H","UseDPDF=Y")</f>
        <v>3000</v>
      </c>
      <c r="E116" s="13">
        <f>_xll.BDH("AMGN US Equity","ARDR_VAL_COMMON_SHRS_REPURCHASED","FQ2 2019","FQ2 2019","Currency=USD","Period=FQ","BEST_FPERIOD_OVERRIDE=FQ","FILING_STATUS=MR","SCALING_FORMAT=MLN","Sort=A","Dates=H","DateFormat=P","Fill=—","Direction=H","UseDPDF=Y")</f>
        <v>2300</v>
      </c>
      <c r="F116" s="13">
        <f>_xll.BDH("AMGN US Equity","ARDR_VAL_COMMON_SHRS_REPURCHASED","FQ3 2019","FQ3 2019","Currency=USD","Period=FQ","BEST_FPERIOD_OVERRIDE=FQ","FILING_STATUS=MR","SCALING_FORMAT=MLN","Sort=A","Dates=H","DateFormat=P","Fill=—","Direction=H","UseDPDF=Y")</f>
        <v>1170</v>
      </c>
      <c r="G116" s="13">
        <f>_xll.BDH("AMGN US Equity","ARDR_VAL_COMMON_SHRS_REPURCHASED","FQ4 2019","FQ4 2019","Currency=USD","Period=FQ","BEST_FPERIOD_OVERRIDE=FQ","FILING_STATUS=MR","SCALING_FORMAT=MLN","Sort=A","Dates=H","DateFormat=P","Fill=—","Direction=H","UseDPDF=Y")</f>
        <v>1090</v>
      </c>
      <c r="H116" s="13">
        <f>_xll.BDH("AMGN US Equity","ARDR_VAL_COMMON_SHRS_REPURCHASED","FQ1 2020","FQ1 2020","Currency=USD","Period=FQ","BEST_FPERIOD_OVERRIDE=FQ","FILING_STATUS=MR","SCALING_FORMAT=MLN","Sort=A","Dates=H","DateFormat=P","Fill=—","Direction=H","UseDPDF=Y")</f>
        <v>933</v>
      </c>
      <c r="I116" s="13">
        <f>_xll.BDH("AMGN US Equity","ARDR_VAL_COMMON_SHRS_REPURCHASED","FQ2 2020","FQ2 2020","Currency=USD","Period=FQ","BEST_FPERIOD_OVERRIDE=FQ","FILING_STATUS=MR","SCALING_FORMAT=MLN","Sort=A","Dates=H","DateFormat=P","Fill=—","Direction=H","UseDPDF=Y")</f>
        <v>591</v>
      </c>
      <c r="J116" s="13">
        <f>_xll.BDH("AMGN US Equity","ARDR_VAL_COMMON_SHRS_REPURCHASED","FQ3 2020","FQ3 2020","Currency=USD","Period=FQ","BEST_FPERIOD_OVERRIDE=FQ","FILING_STATUS=MR","SCALING_FORMAT=MLN","Sort=A","Dates=H","DateFormat=P","Fill=—","Direction=H","UseDPDF=Y")</f>
        <v>752</v>
      </c>
      <c r="K116" s="13">
        <f>_xll.BDH("AMGN US Equity","ARDR_VAL_COMMON_SHRS_REPURCHASED","FQ4 2020","FQ4 2020","Currency=USD","Period=FQ","BEST_FPERIOD_OVERRIDE=FQ","FILING_STATUS=MR","SCALING_FORMAT=MLN","Sort=A","Dates=H","DateFormat=P","Fill=—","Direction=H","UseDPDF=Y")</f>
        <v>1221</v>
      </c>
      <c r="L116" s="13">
        <f>_xll.BDH("AMGN US Equity","ARDR_VAL_COMMON_SHRS_REPURCHASED","FQ1 2021","FQ1 2021","Currency=USD","Period=FQ","BEST_FPERIOD_OVERRIDE=FQ","FILING_STATUS=MR","SCALING_FORMAT=MLN","Sort=A","Dates=H","DateFormat=P","Fill=—","Direction=H","UseDPDF=Y")</f>
        <v>900</v>
      </c>
      <c r="M116" s="13">
        <f>_xll.BDH("AMGN US Equity","ARDR_VAL_COMMON_SHRS_REPURCHASED","FQ2 2021","FQ2 2021","Currency=USD","Period=FQ","BEST_FPERIOD_OVERRIDE=FQ","FILING_STATUS=MR","SCALING_FORMAT=MLN","Sort=A","Dates=H","DateFormat=P","Fill=—","Direction=H","UseDPDF=Y")</f>
        <v>1600</v>
      </c>
      <c r="N116" s="13">
        <f>_xll.BDH("AMGN US Equity","ARDR_VAL_COMMON_SHRS_REPURCHASED","FQ3 2021","FQ3 2021","Currency=USD","Period=FQ","BEST_FPERIOD_OVERRIDE=FQ","FILING_STATUS=MR","SCALING_FORMAT=MLN","Sort=A","Dates=H","DateFormat=P","Fill=—","Direction=H","UseDPDF=Y")</f>
        <v>1069</v>
      </c>
      <c r="O116" s="13">
        <f>_xll.BDH("AMGN US Equity","ARDR_VAL_COMMON_SHRS_REPURCHASED","FQ4 2021","FQ4 2021","Currency=USD","Period=FQ","BEST_FPERIOD_OVERRIDE=FQ","FILING_STATUS=MR","SCALING_FORMAT=MLN","Sort=A","Dates=H","DateFormat=P","Fill=—","Direction=H","UseDPDF=Y")</f>
        <v>1461</v>
      </c>
      <c r="P116" s="13">
        <f>_xll.BDH("AMGN US Equity","ARDR_VAL_COMMON_SHRS_REPURCHASED","FQ1 2022","FQ1 2022","Currency=USD","Period=FQ","BEST_FPERIOD_OVERRIDE=FQ","FILING_STATUS=MR","SCALING_FORMAT=MLN","Sort=A","Dates=H","DateFormat=P","Fill=—","Direction=H","UseDPDF=Y")</f>
        <v>6300</v>
      </c>
      <c r="Q116" s="13">
        <f>_xll.BDH("AMGN US Equity","ARDR_VAL_COMMON_SHRS_REPURCHASED","FQ2 2022","FQ2 2022","Currency=USD","Period=FQ","BEST_FPERIOD_OVERRIDE=FQ","FILING_STATUS=MR","SCALING_FORMAT=MLN","Sort=A","Dates=H","DateFormat=P","Fill=—","Direction=H","UseDPDF=Y")</f>
        <v>0</v>
      </c>
      <c r="R116" s="13">
        <f>_xll.BDH("AMGN US Equity","ARDR_VAL_COMMON_SHRS_REPURCHASED","FQ3 2022","FQ3 2022","Currency=USD","Period=FQ","BEST_FPERIOD_OVERRIDE=FQ","FILING_STATUS=MR","SCALING_FORMAT=MLN","Sort=A","Dates=H","DateFormat=P","Fill=—","Direction=H","UseDPDF=Y")</f>
        <v>900</v>
      </c>
      <c r="S116" s="13" t="str">
        <f>_xll.BDH("AMGN US Equity","ARDR_VAL_COMMON_SHRS_REPURCHASED","FQ4 2022","FQ4 2022","Currency=USD","Period=FQ","BEST_FPERIOD_OVERRIDE=FQ","FILING_STATUS=MR","SCALING_FORMAT=MLN","Sort=A","Dates=H","DateFormat=P","Fill=—","Direction=H","UseDPDF=Y")</f>
        <v>—</v>
      </c>
      <c r="T116" s="13">
        <f>_xll.BDH("AMGN US Equity","ARDR_VAL_COMMON_SHRS_REPURCHASED","FQ1 2023","FQ1 2023","Currency=USD","Period=FQ","BEST_FPERIOD_OVERRIDE=FQ","FILING_STATUS=MR","SCALING_FORMAT=MLN","Sort=A","Dates=H","DateFormat=P","Fill=—","Direction=H","UseDPDF=Y")</f>
        <v>0</v>
      </c>
      <c r="U116" s="13">
        <f>_xll.BDH("AMGN US Equity","ARDR_VAL_COMMON_SHRS_REPURCHASED","FQ2 2023","FQ2 2023","Currency=USD","Period=FQ","BEST_FPERIOD_OVERRIDE=FQ","FILING_STATUS=MR","SCALING_FORMAT=MLN","Sort=A","Dates=H","DateFormat=P","Fill=—","Direction=H","UseDPDF=Y")</f>
        <v>0</v>
      </c>
      <c r="V116" s="13">
        <f>_xll.BDH("AMGN US Equity","ARDR_VAL_COMMON_SHRS_REPURCHASED","FQ3 2023","FQ3 2023","Currency=USD","Period=FQ","BEST_FPERIOD_OVERRIDE=FQ","FILING_STATUS=MR","SCALING_FORMAT=MLN","Sort=A","Dates=H","DateFormat=P","Fill=—","Direction=H","UseDPDF=Y")</f>
        <v>0</v>
      </c>
      <c r="W116" s="13">
        <f>_xll.BDH("AMGN US Equity","ARDR_VAL_COMMON_SHRS_REPURCHASED","FQ4 2023","FQ4 2023","Currency=USD","Period=FQ","BEST_FPERIOD_OVERRIDE=FQ","FILING_STATUS=MR","SCALING_FORMAT=MLN","Sort=A","Dates=H","DateFormat=P","Fill=—","Direction=H","UseDPDF=Y")</f>
        <v>0</v>
      </c>
      <c r="X116" s="13">
        <f>_xll.BDH("AMGN US Equity","ARDR_VAL_COMMON_SHRS_REPURCHASED","FQ1 2024","FQ1 2024","Currency=USD","Period=FQ","BEST_FPERIOD_OVERRIDE=FQ","FILING_STATUS=MR","SCALING_FORMAT=MLN","Sort=A","Dates=H","DateFormat=P","Fill=—","Direction=H","UseDPDF=Y")</f>
        <v>0</v>
      </c>
      <c r="Y116" s="13">
        <f>_xll.BDH("AMGN US Equity","ARDR_VAL_COMMON_SHRS_REPURCHASED","FQ2 2024","FQ2 2024","Currency=USD","Period=FQ","BEST_FPERIOD_OVERRIDE=FQ","FILING_STATUS=MR","SCALING_FORMAT=MLN","Sort=A","Dates=H","DateFormat=P","Fill=—","Direction=H","UseDPDF=Y")</f>
        <v>0</v>
      </c>
      <c r="Z116" s="13">
        <f>_xll.BDH("AMGN US Equity","ARDR_VAL_COMMON_SHRS_REPURCHASED","FQ3 2024","FQ3 2024","Currency=USD","Period=FQ","BEST_FPERIOD_OVERRIDE=FQ","FILING_STATUS=MR","SCALING_FORMAT=MLN","Sort=A","Dates=H","DateFormat=P","Fill=—","Direction=H","UseDPDF=Y")</f>
        <v>0</v>
      </c>
      <c r="AA116" s="13">
        <f>_xll.BDH("AMGN US Equity","ARDR_VAL_COMMON_SHRS_REPURCHASED","FQ4 2024","FQ4 2024","Currency=USD","Period=FQ","BEST_FPERIOD_OVERRIDE=FQ","FILING_STATUS=MR","SCALING_FORMAT=MLN","Sort=A","Dates=H","DateFormat=P","Fill=—","Direction=H","UseDPDF=Y")</f>
        <v>200</v>
      </c>
    </row>
    <row r="117" spans="1:27" x14ac:dyDescent="0.25">
      <c r="A117" s="10" t="s">
        <v>1048</v>
      </c>
      <c r="B117" s="10" t="s">
        <v>1049</v>
      </c>
      <c r="C117" s="13" t="str">
        <f>_xll.BDH("AMGN US Equity","ARDR_TOTAL_OPERATING_LIABILITIES","FQ4 2018","FQ4 2018","Currency=USD","Period=FQ","BEST_FPERIOD_OVERRIDE=FQ","FILING_STATUS=MR","Sort=A","Dates=H","DateFormat=P","Fill=—","Direction=H","UseDPDF=Y")</f>
        <v>—</v>
      </c>
      <c r="D117" s="13">
        <f>_xll.BDH("AMGN US Equity","ARDR_TOTAL_OPERATING_LIABILITIES","FQ1 2019","FQ1 2019","Currency=USD","Period=FQ","BEST_FPERIOD_OVERRIDE=FQ","FILING_STATUS=MR","Sort=A","Dates=H","DateFormat=P","Fill=—","Direction=H","UseDPDF=Y")</f>
        <v>488</v>
      </c>
      <c r="E117" s="13">
        <f>_xll.BDH("AMGN US Equity","ARDR_TOTAL_OPERATING_LIABILITIES","FQ2 2019","FQ2 2019","Currency=USD","Period=FQ","BEST_FPERIOD_OVERRIDE=FQ","FILING_STATUS=MR","Sort=A","Dates=H","DateFormat=P","Fill=—","Direction=H","UseDPDF=Y")</f>
        <v>497</v>
      </c>
      <c r="F117" s="13">
        <f>_xll.BDH("AMGN US Equity","ARDR_TOTAL_OPERATING_LIABILITIES","FQ3 2019","FQ3 2019","Currency=USD","Period=FQ","BEST_FPERIOD_OVERRIDE=FQ","FILING_STATUS=MR","Sort=A","Dates=H","DateFormat=P","Fill=—","Direction=H","UseDPDF=Y")</f>
        <v>486</v>
      </c>
      <c r="G117" s="13">
        <f>_xll.BDH("AMGN US Equity","ARDR_TOTAL_OPERATING_LIABILITIES","FQ4 2019","FQ4 2019","Currency=USD","Period=FQ","BEST_FPERIOD_OVERRIDE=FQ","FILING_STATUS=MR","Sort=A","Dates=H","DateFormat=P","Fill=—","Direction=H","UseDPDF=Y")</f>
        <v>528</v>
      </c>
      <c r="H117" s="13" t="str">
        <f>_xll.BDH("AMGN US Equity","ARDR_TOTAL_OPERATING_LIABILITIES","FQ1 2020","FQ1 2020","Currency=USD","Period=FQ","BEST_FPERIOD_OVERRIDE=FQ","FILING_STATUS=MR","Sort=A","Dates=H","DateFormat=P","Fill=—","Direction=H","UseDPDF=Y")</f>
        <v>—</v>
      </c>
      <c r="I117" s="13" t="str">
        <f>_xll.BDH("AMGN US Equity","ARDR_TOTAL_OPERATING_LIABILITIES","FQ2 2020","FQ2 2020","Currency=USD","Period=FQ","BEST_FPERIOD_OVERRIDE=FQ","FILING_STATUS=MR","Sort=A","Dates=H","DateFormat=P","Fill=—","Direction=H","UseDPDF=Y")</f>
        <v>—</v>
      </c>
      <c r="J117" s="13" t="str">
        <f>_xll.BDH("AMGN US Equity","ARDR_TOTAL_OPERATING_LIABILITIES","FQ3 2020","FQ3 2020","Currency=USD","Period=FQ","BEST_FPERIOD_OVERRIDE=FQ","FILING_STATUS=MR","Sort=A","Dates=H","DateFormat=P","Fill=—","Direction=H","UseDPDF=Y")</f>
        <v>—</v>
      </c>
      <c r="K117" s="13">
        <f>_xll.BDH("AMGN US Equity","ARDR_TOTAL_OPERATING_LIABILITIES","FQ4 2020","FQ4 2020","Currency=USD","Period=FQ","BEST_FPERIOD_OVERRIDE=FQ","FILING_STATUS=MR","Sort=A","Dates=H","DateFormat=P","Fill=—","Direction=H","UseDPDF=Y")</f>
        <v>459</v>
      </c>
      <c r="L117" s="13" t="str">
        <f>_xll.BDH("AMGN US Equity","ARDR_TOTAL_OPERATING_LIABILITIES","FQ1 2021","FQ1 2021","Currency=USD","Period=FQ","BEST_FPERIOD_OVERRIDE=FQ","FILING_STATUS=MR","Sort=A","Dates=H","DateFormat=P","Fill=—","Direction=H","UseDPDF=Y")</f>
        <v>—</v>
      </c>
      <c r="M117" s="13" t="str">
        <f>_xll.BDH("AMGN US Equity","ARDR_TOTAL_OPERATING_LIABILITIES","FQ2 2021","FQ2 2021","Currency=USD","Period=FQ","BEST_FPERIOD_OVERRIDE=FQ","FILING_STATUS=MR","Sort=A","Dates=H","DateFormat=P","Fill=—","Direction=H","UseDPDF=Y")</f>
        <v>—</v>
      </c>
      <c r="N117" s="13" t="str">
        <f>_xll.BDH("AMGN US Equity","ARDR_TOTAL_OPERATING_LIABILITIES","FQ3 2021","FQ3 2021","Currency=USD","Period=FQ","BEST_FPERIOD_OVERRIDE=FQ","FILING_STATUS=MR","Sort=A","Dates=H","DateFormat=P","Fill=—","Direction=H","UseDPDF=Y")</f>
        <v>—</v>
      </c>
      <c r="O117" s="13">
        <f>_xll.BDH("AMGN US Equity","ARDR_TOTAL_OPERATING_LIABILITIES","FQ4 2021","FQ4 2021","Currency=USD","Period=FQ","BEST_FPERIOD_OVERRIDE=FQ","FILING_STATUS=MR","Sort=A","Dates=H","DateFormat=P","Fill=—","Direction=H","UseDPDF=Y")</f>
        <v>670</v>
      </c>
      <c r="P117" s="13" t="str">
        <f>_xll.BDH("AMGN US Equity","ARDR_TOTAL_OPERATING_LIABILITIES","FQ1 2022","FQ1 2022","Currency=USD","Period=FQ","BEST_FPERIOD_OVERRIDE=FQ","FILING_STATUS=MR","Sort=A","Dates=H","DateFormat=P","Fill=—","Direction=H","UseDPDF=Y")</f>
        <v>—</v>
      </c>
      <c r="Q117" s="13" t="str">
        <f>_xll.BDH("AMGN US Equity","ARDR_TOTAL_OPERATING_LIABILITIES","FQ2 2022","FQ2 2022","Currency=USD","Period=FQ","BEST_FPERIOD_OVERRIDE=FQ","FILING_STATUS=MR","Sort=A","Dates=H","DateFormat=P","Fill=—","Direction=H","UseDPDF=Y")</f>
        <v>—</v>
      </c>
      <c r="R117" s="13" t="str">
        <f>_xll.BDH("AMGN US Equity","ARDR_TOTAL_OPERATING_LIABILITIES","FQ3 2022","FQ3 2022","Currency=USD","Period=FQ","BEST_FPERIOD_OVERRIDE=FQ","FILING_STATUS=MR","Sort=A","Dates=H","DateFormat=P","Fill=—","Direction=H","UseDPDF=Y")</f>
        <v>—</v>
      </c>
      <c r="S117" s="13">
        <f>_xll.BDH("AMGN US Equity","ARDR_TOTAL_OPERATING_LIABILITIES","FQ4 2022","FQ4 2022","Currency=USD","Period=FQ","BEST_FPERIOD_OVERRIDE=FQ","FILING_STATUS=MR","Sort=A","Dates=H","DateFormat=P","Fill=—","Direction=H","UseDPDF=Y")</f>
        <v>695</v>
      </c>
      <c r="T117" s="13" t="str">
        <f>_xll.BDH("AMGN US Equity","ARDR_TOTAL_OPERATING_LIABILITIES","FQ1 2023","FQ1 2023","Currency=USD","Period=FQ","BEST_FPERIOD_OVERRIDE=FQ","FILING_STATUS=MR","Sort=A","Dates=H","DateFormat=P","Fill=—","Direction=H","UseDPDF=Y")</f>
        <v>—</v>
      </c>
      <c r="U117" s="13" t="str">
        <f>_xll.BDH("AMGN US Equity","ARDR_TOTAL_OPERATING_LIABILITIES","FQ2 2023","FQ2 2023","Currency=USD","Period=FQ","BEST_FPERIOD_OVERRIDE=FQ","FILING_STATUS=MR","Sort=A","Dates=H","DateFormat=P","Fill=—","Direction=H","UseDPDF=Y")</f>
        <v>—</v>
      </c>
      <c r="V117" s="13" t="str">
        <f>_xll.BDH("AMGN US Equity","ARDR_TOTAL_OPERATING_LIABILITIES","FQ3 2023","FQ3 2023","Currency=USD","Period=FQ","BEST_FPERIOD_OVERRIDE=FQ","FILING_STATUS=MR","Sort=A","Dates=H","DateFormat=P","Fill=—","Direction=H","UseDPDF=Y")</f>
        <v>—</v>
      </c>
      <c r="W117" s="13">
        <f>_xll.BDH("AMGN US Equity","ARDR_TOTAL_OPERATING_LIABILITIES","FQ4 2023","FQ4 2023","Currency=USD","Period=FQ","BEST_FPERIOD_OVERRIDE=FQ","FILING_STATUS=MR","Sort=A","Dates=H","DateFormat=P","Fill=—","Direction=H","UseDPDF=Y")</f>
        <v>810</v>
      </c>
      <c r="X117" s="13" t="str">
        <f>_xll.BDH("AMGN US Equity","ARDR_TOTAL_OPERATING_LIABILITIES","FQ1 2024","FQ1 2024","Currency=USD","Period=FQ","BEST_FPERIOD_OVERRIDE=FQ","FILING_STATUS=MR","Sort=A","Dates=H","DateFormat=P","Fill=—","Direction=H","UseDPDF=Y")</f>
        <v>—</v>
      </c>
      <c r="Y117" s="13" t="str">
        <f>_xll.BDH("AMGN US Equity","ARDR_TOTAL_OPERATING_LIABILITIES","FQ2 2024","FQ2 2024","Currency=USD","Period=FQ","BEST_FPERIOD_OVERRIDE=FQ","FILING_STATUS=MR","Sort=A","Dates=H","DateFormat=P","Fill=—","Direction=H","UseDPDF=Y")</f>
        <v>—</v>
      </c>
      <c r="Z117" s="13" t="str">
        <f>_xll.BDH("AMGN US Equity","ARDR_TOTAL_OPERATING_LIABILITIES","FQ3 2024","FQ3 2024","Currency=USD","Period=FQ","BEST_FPERIOD_OVERRIDE=FQ","FILING_STATUS=MR","Sort=A","Dates=H","DateFormat=P","Fill=—","Direction=H","UseDPDF=Y")</f>
        <v>—</v>
      </c>
      <c r="AA117" s="13">
        <f>_xll.BDH("AMGN US Equity","ARDR_TOTAL_OPERATING_LIABILITIES","FQ4 2024","FQ4 2024","Currency=USD","Period=FQ","BEST_FPERIOD_OVERRIDE=FQ","FILING_STATUS=MR","Sort=A","Dates=H","DateFormat=P","Fill=—","Direction=H","UseDPDF=Y")</f>
        <v>780</v>
      </c>
    </row>
    <row r="118" spans="1:27" x14ac:dyDescent="0.25">
      <c r="A118" s="10" t="s">
        <v>1050</v>
      </c>
      <c r="B118" s="10" t="s">
        <v>1051</v>
      </c>
      <c r="C118" s="13">
        <f>_xll.BDH("AMGN US Equity","ARDR_FV_ASSETS_REC_LEVEL_1","FQ4 2018","FQ4 2018","Currency=USD","Period=FQ","BEST_FPERIOD_OVERRIDE=FQ","FILING_STATUS=MR","SCALING_FORMAT=MLN","Sort=A","Dates=H","DateFormat=P","Fill=—","Direction=H","UseDPDF=Y")</f>
        <v>16689</v>
      </c>
      <c r="D118" s="13">
        <f>_xll.BDH("AMGN US Equity","ARDR_FV_ASSETS_REC_LEVEL_1","FQ1 2019","FQ1 2019","Currency=USD","Period=FQ","BEST_FPERIOD_OVERRIDE=FQ","FILING_STATUS=MR","SCALING_FORMAT=MLN","Sort=A","Dates=H","DateFormat=P","Fill=—","Direction=H","UseDPDF=Y")</f>
        <v>10778</v>
      </c>
      <c r="E118" s="13">
        <f>_xll.BDH("AMGN US Equity","ARDR_FV_ASSETS_REC_LEVEL_1","FQ2 2019","FQ2 2019","Currency=USD","Period=FQ","BEST_FPERIOD_OVERRIDE=FQ","FILING_STATUS=MR","SCALING_FORMAT=MLN","Sort=A","Dates=H","DateFormat=P","Fill=—","Direction=H","UseDPDF=Y")</f>
        <v>10387</v>
      </c>
      <c r="F118" s="13">
        <f>_xll.BDH("AMGN US Equity","ARDR_FV_ASSETS_REC_LEVEL_1","FQ3 2019","FQ3 2019","Currency=USD","Period=FQ","BEST_FPERIOD_OVERRIDE=FQ","FILING_STATUS=MR","SCALING_FORMAT=MLN","Sort=A","Dates=H","DateFormat=P","Fill=—","Direction=H","UseDPDF=Y")</f>
        <v>11955</v>
      </c>
      <c r="G118" s="13">
        <f>_xll.BDH("AMGN US Equity","ARDR_FV_ASSETS_REC_LEVEL_1","FQ4 2019","FQ4 2019","Currency=USD","Period=FQ","BEST_FPERIOD_OVERRIDE=FQ","FILING_STATUS=MR","SCALING_FORMAT=MLN","Sort=A","Dates=H","DateFormat=P","Fill=—","Direction=H","UseDPDF=Y")</f>
        <v>5913</v>
      </c>
      <c r="H118" s="13">
        <f>_xll.BDH("AMGN US Equity","ARDR_FV_ASSETS_REC_LEVEL_1","FQ1 2020","FQ1 2020","Currency=USD","Period=FQ","BEST_FPERIOD_OVERRIDE=FQ","FILING_STATUS=MR","SCALING_FORMAT=MLN","Sort=A","Dates=H","DateFormat=P","Fill=—","Direction=H","UseDPDF=Y")</f>
        <v>7058</v>
      </c>
      <c r="I118" s="13">
        <f>_xll.BDH("AMGN US Equity","ARDR_FV_ASSETS_REC_LEVEL_1","FQ2 2020","FQ2 2020","Currency=USD","Period=FQ","BEST_FPERIOD_OVERRIDE=FQ","FILING_STATUS=MR","SCALING_FORMAT=MLN","Sort=A","Dates=H","DateFormat=P","Fill=—","Direction=H","UseDPDF=Y")</f>
        <v>11029</v>
      </c>
      <c r="J118" s="13">
        <f>_xll.BDH("AMGN US Equity","ARDR_FV_ASSETS_REC_LEVEL_1","FQ3 2020","FQ3 2020","Currency=USD","Period=FQ","BEST_FPERIOD_OVERRIDE=FQ","FILING_STATUS=MR","SCALING_FORMAT=MLN","Sort=A","Dates=H","DateFormat=P","Fill=—","Direction=H","UseDPDF=Y")</f>
        <v>11965</v>
      </c>
      <c r="K118" s="13">
        <f>_xll.BDH("AMGN US Equity","ARDR_FV_ASSETS_REC_LEVEL_1","FQ4 2020","FQ4 2020","Currency=USD","Period=FQ","BEST_FPERIOD_OVERRIDE=FQ","FILING_STATUS=MR","SCALING_FORMAT=MLN","Sort=A","Dates=H","DateFormat=P","Fill=—","Direction=H","UseDPDF=Y")</f>
        <v>10320</v>
      </c>
      <c r="L118" s="13">
        <f>_xll.BDH("AMGN US Equity","ARDR_FV_ASSETS_REC_LEVEL_1","FQ1 2021","FQ1 2021","Currency=USD","Period=FQ","BEST_FPERIOD_OVERRIDE=FQ","FILING_STATUS=MR","SCALING_FORMAT=MLN","Sort=A","Dates=H","DateFormat=P","Fill=—","Direction=H","UseDPDF=Y")</f>
        <v>10115</v>
      </c>
      <c r="M118" s="13">
        <f>_xll.BDH("AMGN US Equity","ARDR_FV_ASSETS_REC_LEVEL_1","FQ2 2021","FQ2 2021","Currency=USD","Period=FQ","BEST_FPERIOD_OVERRIDE=FQ","FILING_STATUS=MR","SCALING_FORMAT=MLN","Sort=A","Dates=H","DateFormat=P","Fill=—","Direction=H","UseDPDF=Y")</f>
        <v>7562</v>
      </c>
      <c r="N118" s="13">
        <f>_xll.BDH("AMGN US Equity","ARDR_FV_ASSETS_REC_LEVEL_1","FQ3 2021","FQ3 2021","Currency=USD","Period=FQ","BEST_FPERIOD_OVERRIDE=FQ","FILING_STATUS=MR","SCALING_FORMAT=MLN","Sort=A","Dates=H","DateFormat=P","Fill=—","Direction=H","UseDPDF=Y")</f>
        <v>12882</v>
      </c>
      <c r="O118" s="13">
        <f>_xll.BDH("AMGN US Equity","ARDR_FV_ASSETS_REC_LEVEL_1","FQ4 2021","FQ4 2021","Currency=USD","Period=FQ","BEST_FPERIOD_OVERRIDE=FQ","FILING_STATUS=MR","SCALING_FORMAT=MLN","Sort=A","Dates=H","DateFormat=P","Fill=—","Direction=H","UseDPDF=Y")</f>
        <v>7914</v>
      </c>
      <c r="P118" s="13">
        <f>_xll.BDH("AMGN US Equity","ARDR_FV_ASSETS_REC_LEVEL_1","FQ1 2022","FQ1 2022","Currency=USD","Period=FQ","BEST_FPERIOD_OVERRIDE=FQ","FILING_STATUS=MR","SCALING_FORMAT=MLN","Sort=A","Dates=H","DateFormat=P","Fill=—","Direction=H","UseDPDF=Y")</f>
        <v>6326</v>
      </c>
      <c r="Q118" s="13">
        <f>_xll.BDH("AMGN US Equity","ARDR_FV_ASSETS_REC_LEVEL_1","FQ2 2022","FQ2 2022","Currency=USD","Period=FQ","BEST_FPERIOD_OVERRIDE=FQ","FILING_STATUS=MR","SCALING_FORMAT=MLN","Sort=A","Dates=H","DateFormat=P","Fill=—","Direction=H","UseDPDF=Y")</f>
        <v>6774</v>
      </c>
      <c r="R118" s="13">
        <f>_xll.BDH("AMGN US Equity","ARDR_FV_ASSETS_REC_LEVEL_1","FQ3 2022","FQ3 2022","Currency=USD","Period=FQ","BEST_FPERIOD_OVERRIDE=FQ","FILING_STATUS=MR","SCALING_FORMAT=MLN","Sort=A","Dates=H","DateFormat=P","Fill=—","Direction=H","UseDPDF=Y")</f>
        <v>11306</v>
      </c>
      <c r="S118" s="13">
        <f>_xll.BDH("AMGN US Equity","ARDR_FV_ASSETS_REC_LEVEL_1","FQ4 2022","FQ4 2022","Currency=USD","Period=FQ","BEST_FPERIOD_OVERRIDE=FQ","FILING_STATUS=MR","SCALING_FORMAT=MLN","Sort=A","Dates=H","DateFormat=P","Fill=—","Direction=H","UseDPDF=Y")</f>
        <v>4815</v>
      </c>
      <c r="T118" s="13">
        <f>_xll.BDH("AMGN US Equity","ARDR_FV_ASSETS_REC_LEVEL_1","FQ1 2023","FQ1 2023","Currency=USD","Period=FQ","BEST_FPERIOD_OVERRIDE=FQ","FILING_STATUS=MR","SCALING_FORMAT=MLN","Sort=A","Dates=H","DateFormat=P","Fill=—","Direction=H","UseDPDF=Y")</f>
        <v>35609</v>
      </c>
      <c r="U118" s="13">
        <f>_xll.BDH("AMGN US Equity","ARDR_FV_ASSETS_REC_LEVEL_1","FQ2 2023","FQ2 2023","Currency=USD","Period=FQ","BEST_FPERIOD_OVERRIDE=FQ","FILING_STATUS=MR","SCALING_FORMAT=MLN","Sort=A","Dates=H","DateFormat=P","Fill=—","Direction=H","UseDPDF=Y")</f>
        <v>37393</v>
      </c>
      <c r="V118" s="13">
        <f>_xll.BDH("AMGN US Equity","ARDR_FV_ASSETS_REC_LEVEL_1","FQ3 2023","FQ3 2023","Currency=USD","Period=FQ","BEST_FPERIOD_OVERRIDE=FQ","FILING_STATUS=MR","SCALING_FORMAT=MLN","Sort=A","Dates=H","DateFormat=P","Fill=—","Direction=H","UseDPDF=Y")</f>
        <v>38458</v>
      </c>
      <c r="W118" s="13">
        <f>_xll.BDH("AMGN US Equity","ARDR_FV_ASSETS_REC_LEVEL_1","FQ4 2023","FQ4 2023","Currency=USD","Period=FQ","BEST_FPERIOD_OVERRIDE=FQ","FILING_STATUS=MR","SCALING_FORMAT=MLN","Sort=A","Dates=H","DateFormat=P","Fill=—","Direction=H","UseDPDF=Y")</f>
        <v>14780</v>
      </c>
      <c r="X118" s="13">
        <f>_xll.BDH("AMGN US Equity","ARDR_FV_ASSETS_REC_LEVEL_1","FQ1 2024","FQ1 2024","Currency=USD","Period=FQ","BEST_FPERIOD_OVERRIDE=FQ","FILING_STATUS=MR","SCALING_FORMAT=MLN","Sort=A","Dates=H","DateFormat=P","Fill=—","Direction=H","UseDPDF=Y")</f>
        <v>13084</v>
      </c>
      <c r="Y118" s="13">
        <f>_xll.BDH("AMGN US Equity","ARDR_FV_ASSETS_REC_LEVEL_1","FQ2 2024","FQ2 2024","Currency=USD","Period=FQ","BEST_FPERIOD_OVERRIDE=FQ","FILING_STATUS=MR","SCALING_FORMAT=MLN","Sort=A","Dates=H","DateFormat=P","Fill=—","Direction=H","UseDPDF=Y")</f>
        <v>11148</v>
      </c>
      <c r="Z118" s="13">
        <f>_xll.BDH("AMGN US Equity","ARDR_FV_ASSETS_REC_LEVEL_1","FQ3 2024","FQ3 2024","Currency=USD","Period=FQ","BEST_FPERIOD_OVERRIDE=FQ","FILING_STATUS=MR","SCALING_FORMAT=MLN","Sort=A","Dates=H","DateFormat=P","Fill=—","Direction=H","UseDPDF=Y")</f>
        <v>12494</v>
      </c>
      <c r="AA118" s="13">
        <f>_xll.BDH("AMGN US Equity","ARDR_FV_ASSETS_REC_LEVEL_1","FQ4 2024","FQ4 2024","Currency=USD","Period=FQ","BEST_FPERIOD_OVERRIDE=FQ","FILING_STATUS=MR","SCALING_FORMAT=MLN","Sort=A","Dates=H","DateFormat=P","Fill=—","Direction=H","UseDPDF=Y")</f>
        <v>14542</v>
      </c>
    </row>
    <row r="119" spans="1:27" x14ac:dyDescent="0.25">
      <c r="A119" s="10" t="s">
        <v>1052</v>
      </c>
      <c r="B119" s="10" t="s">
        <v>1053</v>
      </c>
      <c r="C119" s="13">
        <f>_xll.BDH("AMGN US Equity","ARDR_FV_ASSETS_REC_LEVEL_2","FQ4 2018","FQ4 2018","Currency=USD","Period=FQ","BEST_FPERIOD_OVERRIDE=FQ","FILING_STATUS=MR","SCALING_FORMAT=MLN","Sort=A","Dates=H","DateFormat=P","Fill=—","Direction=H","UseDPDF=Y")</f>
        <v>12619</v>
      </c>
      <c r="D119" s="13">
        <f>_xll.BDH("AMGN US Equity","ARDR_FV_ASSETS_REC_LEVEL_2","FQ1 2019","FQ1 2019","Currency=USD","Period=FQ","BEST_FPERIOD_OVERRIDE=FQ","FILING_STATUS=MR","SCALING_FORMAT=MLN","Sort=A","Dates=H","DateFormat=P","Fill=—","Direction=H","UseDPDF=Y")</f>
        <v>15595</v>
      </c>
      <c r="E119" s="13">
        <f>_xll.BDH("AMGN US Equity","ARDR_FV_ASSETS_REC_LEVEL_2","FQ2 2019","FQ2 2019","Currency=USD","Period=FQ","BEST_FPERIOD_OVERRIDE=FQ","FILING_STATUS=MR","SCALING_FORMAT=MLN","Sort=A","Dates=H","DateFormat=P","Fill=—","Direction=H","UseDPDF=Y")</f>
        <v>11630</v>
      </c>
      <c r="F119" s="13">
        <f>_xll.BDH("AMGN US Equity","ARDR_FV_ASSETS_REC_LEVEL_2","FQ3 2019","FQ3 2019","Currency=USD","Period=FQ","BEST_FPERIOD_OVERRIDE=FQ","FILING_STATUS=MR","SCALING_FORMAT=MLN","Sort=A","Dates=H","DateFormat=P","Fill=—","Direction=H","UseDPDF=Y")</f>
        <v>9254</v>
      </c>
      <c r="G119" s="13">
        <f>_xll.BDH("AMGN US Equity","ARDR_FV_ASSETS_REC_LEVEL_2","FQ4 2019","FQ4 2019","Currency=USD","Period=FQ","BEST_FPERIOD_OVERRIDE=FQ","FILING_STATUS=MR","SCALING_FORMAT=MLN","Sort=A","Dates=H","DateFormat=P","Fill=—","Direction=H","UseDPDF=Y")</f>
        <v>3173</v>
      </c>
      <c r="H119" s="13">
        <f>_xll.BDH("AMGN US Equity","ARDR_FV_ASSETS_REC_LEVEL_2","FQ1 2020","FQ1 2020","Currency=USD","Period=FQ","BEST_FPERIOD_OVERRIDE=FQ","FILING_STATUS=MR","SCALING_FORMAT=MLN","Sort=A","Dates=H","DateFormat=P","Fill=—","Direction=H","UseDPDF=Y")</f>
        <v>930</v>
      </c>
      <c r="I119" s="13">
        <f>_xll.BDH("AMGN US Equity","ARDR_FV_ASSETS_REC_LEVEL_2","FQ2 2020","FQ2 2020","Currency=USD","Period=FQ","BEST_FPERIOD_OVERRIDE=FQ","FILING_STATUS=MR","SCALING_FORMAT=MLN","Sort=A","Dates=H","DateFormat=P","Fill=—","Direction=H","UseDPDF=Y")</f>
        <v>386</v>
      </c>
      <c r="J119" s="13">
        <f>_xll.BDH("AMGN US Equity","ARDR_FV_ASSETS_REC_LEVEL_2","FQ3 2020","FQ3 2020","Currency=USD","Period=FQ","BEST_FPERIOD_OVERRIDE=FQ","FILING_STATUS=MR","SCALING_FORMAT=MLN","Sort=A","Dates=H","DateFormat=P","Fill=—","Direction=H","UseDPDF=Y")</f>
        <v>344</v>
      </c>
      <c r="K119" s="13">
        <f>_xll.BDH("AMGN US Equity","ARDR_FV_ASSETS_REC_LEVEL_2","FQ4 2020","FQ4 2020","Currency=USD","Period=FQ","BEST_FPERIOD_OVERRIDE=FQ","FILING_STATUS=MR","SCALING_FORMAT=MLN","Sort=A","Dates=H","DateFormat=P","Fill=—","Direction=H","UseDPDF=Y")</f>
        <v>351</v>
      </c>
      <c r="L119" s="13">
        <f>_xll.BDH("AMGN US Equity","ARDR_FV_ASSETS_REC_LEVEL_2","FQ1 2021","FQ1 2021","Currency=USD","Period=FQ","BEST_FPERIOD_OVERRIDE=FQ","FILING_STATUS=MR","SCALING_FORMAT=MLN","Sort=A","Dates=H","DateFormat=P","Fill=—","Direction=H","UseDPDF=Y")</f>
        <v>265</v>
      </c>
      <c r="M119" s="13">
        <f>_xll.BDH("AMGN US Equity","ARDR_FV_ASSETS_REC_LEVEL_2","FQ2 2021","FQ2 2021","Currency=USD","Period=FQ","BEST_FPERIOD_OVERRIDE=FQ","FILING_STATUS=MR","SCALING_FORMAT=MLN","Sort=A","Dates=H","DateFormat=P","Fill=—","Direction=H","UseDPDF=Y")</f>
        <v>289</v>
      </c>
      <c r="N119" s="13">
        <f>_xll.BDH("AMGN US Equity","ARDR_FV_ASSETS_REC_LEVEL_2","FQ3 2021","FQ3 2021","Currency=USD","Period=FQ","BEST_FPERIOD_OVERRIDE=FQ","FILING_STATUS=MR","SCALING_FORMAT=MLN","Sort=A","Dates=H","DateFormat=P","Fill=—","Direction=H","UseDPDF=Y")</f>
        <v>276</v>
      </c>
      <c r="O119" s="13">
        <f>_xll.BDH("AMGN US Equity","ARDR_FV_ASSETS_REC_LEVEL_2","FQ4 2021","FQ4 2021","Currency=USD","Period=FQ","BEST_FPERIOD_OVERRIDE=FQ","FILING_STATUS=MR","SCALING_FORMAT=MLN","Sort=A","Dates=H","DateFormat=P","Fill=—","Direction=H","UseDPDF=Y")</f>
        <v>266</v>
      </c>
      <c r="P119" s="13">
        <f>_xll.BDH("AMGN US Equity","ARDR_FV_ASSETS_REC_LEVEL_2","FQ1 2022","FQ1 2022","Currency=USD","Period=FQ","BEST_FPERIOD_OVERRIDE=FQ","FILING_STATUS=MR","SCALING_FORMAT=MLN","Sort=A","Dates=H","DateFormat=P","Fill=—","Direction=H","UseDPDF=Y")</f>
        <v>300</v>
      </c>
      <c r="Q119" s="13">
        <f>_xll.BDH("AMGN US Equity","ARDR_FV_ASSETS_REC_LEVEL_2","FQ2 2022","FQ2 2022","Currency=USD","Period=FQ","BEST_FPERIOD_OVERRIDE=FQ","FILING_STATUS=MR","SCALING_FORMAT=MLN","Sort=A","Dates=H","DateFormat=P","Fill=—","Direction=H","UseDPDF=Y")</f>
        <v>442</v>
      </c>
      <c r="R119" s="13">
        <f>_xll.BDH("AMGN US Equity","ARDR_FV_ASSETS_REC_LEVEL_2","FQ3 2022","FQ3 2022","Currency=USD","Period=FQ","BEST_FPERIOD_OVERRIDE=FQ","FILING_STATUS=MR","SCALING_FORMAT=MLN","Sort=A","Dates=H","DateFormat=P","Fill=—","Direction=H","UseDPDF=Y")</f>
        <v>780</v>
      </c>
      <c r="S119" s="13">
        <f>_xll.BDH("AMGN US Equity","ARDR_FV_ASSETS_REC_LEVEL_2","FQ4 2022","FQ4 2022","Currency=USD","Period=FQ","BEST_FPERIOD_OVERRIDE=FQ","FILING_STATUS=MR","SCALING_FORMAT=MLN","Sort=A","Dates=H","DateFormat=P","Fill=—","Direction=H","UseDPDF=Y")</f>
        <v>471</v>
      </c>
      <c r="T119" s="13">
        <f>_xll.BDH("AMGN US Equity","ARDR_FV_ASSETS_REC_LEVEL_2","FQ1 2023","FQ1 2023","Currency=USD","Period=FQ","BEST_FPERIOD_OVERRIDE=FQ","FILING_STATUS=MR","SCALING_FORMAT=MLN","Sort=A","Dates=H","DateFormat=P","Fill=—","Direction=H","UseDPDF=Y")</f>
        <v>384</v>
      </c>
      <c r="U119" s="13">
        <f>_xll.BDH("AMGN US Equity","ARDR_FV_ASSETS_REC_LEVEL_2","FQ2 2023","FQ2 2023","Currency=USD","Period=FQ","BEST_FPERIOD_OVERRIDE=FQ","FILING_STATUS=MR","SCALING_FORMAT=MLN","Sort=A","Dates=H","DateFormat=P","Fill=—","Direction=H","UseDPDF=Y")</f>
        <v>388</v>
      </c>
      <c r="V119" s="13">
        <f>_xll.BDH("AMGN US Equity","ARDR_FV_ASSETS_REC_LEVEL_2","FQ3 2023","FQ3 2023","Currency=USD","Period=FQ","BEST_FPERIOD_OVERRIDE=FQ","FILING_STATUS=MR","SCALING_FORMAT=MLN","Sort=A","Dates=H","DateFormat=P","Fill=—","Direction=H","UseDPDF=Y")</f>
        <v>483</v>
      </c>
      <c r="W119" s="13">
        <f>_xll.BDH("AMGN US Equity","ARDR_FV_ASSETS_REC_LEVEL_2","FQ4 2023","FQ4 2023","Currency=USD","Period=FQ","BEST_FPERIOD_OVERRIDE=FQ","FILING_STATUS=MR","SCALING_FORMAT=MLN","Sort=A","Dates=H","DateFormat=P","Fill=—","Direction=H","UseDPDF=Y")</f>
        <v>283</v>
      </c>
      <c r="X119" s="13">
        <f>_xll.BDH("AMGN US Equity","ARDR_FV_ASSETS_REC_LEVEL_2","FQ1 2024","FQ1 2024","Currency=USD","Period=FQ","BEST_FPERIOD_OVERRIDE=FQ","FILING_STATUS=MR","SCALING_FORMAT=MLN","Sort=A","Dates=H","DateFormat=P","Fill=—","Direction=H","UseDPDF=Y")</f>
        <v>363</v>
      </c>
      <c r="Y119" s="13">
        <f>_xll.BDH("AMGN US Equity","ARDR_FV_ASSETS_REC_LEVEL_2","FQ2 2024","FQ2 2024","Currency=USD","Period=FQ","BEST_FPERIOD_OVERRIDE=FQ","FILING_STATUS=MR","SCALING_FORMAT=MLN","Sort=A","Dates=H","DateFormat=P","Fill=—","Direction=H","UseDPDF=Y")</f>
        <v>1404</v>
      </c>
      <c r="Z119" s="13">
        <f>_xll.BDH("AMGN US Equity","ARDR_FV_ASSETS_REC_LEVEL_2","FQ3 2024","FQ3 2024","Currency=USD","Period=FQ","BEST_FPERIOD_OVERRIDE=FQ","FILING_STATUS=MR","SCALING_FORMAT=MLN","Sort=A","Dates=H","DateFormat=P","Fill=—","Direction=H","UseDPDF=Y")</f>
        <v>1251</v>
      </c>
      <c r="AA119" s="13">
        <f>_xll.BDH("AMGN US Equity","ARDR_FV_ASSETS_REC_LEVEL_2","FQ4 2024","FQ4 2024","Currency=USD","Period=FQ","BEST_FPERIOD_OVERRIDE=FQ","FILING_STATUS=MR","SCALING_FORMAT=MLN","Sort=A","Dates=H","DateFormat=P","Fill=—","Direction=H","UseDPDF=Y")</f>
        <v>1552</v>
      </c>
    </row>
    <row r="120" spans="1:27" x14ac:dyDescent="0.25">
      <c r="A120" s="10" t="s">
        <v>1054</v>
      </c>
      <c r="B120" s="10" t="s">
        <v>1055</v>
      </c>
      <c r="C120" s="13">
        <f>_xll.BDH("AMGN US Equity","ARDR_FV_ASSETS_REC_LEVEL_3","FQ4 2018","FQ4 2018","Currency=USD","Period=FQ","BEST_FPERIOD_OVERRIDE=FQ","FILING_STATUS=MR","SCALING_FORMAT=MLN","Sort=A","Dates=H","DateFormat=P","Fill=—","Direction=H","UseDPDF=Y")</f>
        <v>0</v>
      </c>
      <c r="D120" s="13">
        <f>_xll.BDH("AMGN US Equity","ARDR_FV_ASSETS_REC_LEVEL_3","FQ1 2019","FQ1 2019","Currency=USD","Period=FQ","BEST_FPERIOD_OVERRIDE=FQ","FILING_STATUS=MR","SCALING_FORMAT=MLN","Sort=A","Dates=H","DateFormat=P","Fill=—","Direction=H","UseDPDF=Y")</f>
        <v>0</v>
      </c>
      <c r="E120" s="13">
        <f>_xll.BDH("AMGN US Equity","ARDR_FV_ASSETS_REC_LEVEL_3","FQ2 2019","FQ2 2019","Currency=USD","Period=FQ","BEST_FPERIOD_OVERRIDE=FQ","FILING_STATUS=MR","SCALING_FORMAT=MLN","Sort=A","Dates=H","DateFormat=P","Fill=—","Direction=H","UseDPDF=Y")</f>
        <v>0</v>
      </c>
      <c r="F120" s="13">
        <f>_xll.BDH("AMGN US Equity","ARDR_FV_ASSETS_REC_LEVEL_3","FQ3 2019","FQ3 2019","Currency=USD","Period=FQ","BEST_FPERIOD_OVERRIDE=FQ","FILING_STATUS=MR","SCALING_FORMAT=MLN","Sort=A","Dates=H","DateFormat=P","Fill=—","Direction=H","UseDPDF=Y")</f>
        <v>0</v>
      </c>
      <c r="G120" s="13">
        <f>_xll.BDH("AMGN US Equity","ARDR_FV_ASSETS_REC_LEVEL_3","FQ4 2019","FQ4 2019","Currency=USD","Period=FQ","BEST_FPERIOD_OVERRIDE=FQ","FILING_STATUS=MR","SCALING_FORMAT=MLN","Sort=A","Dates=H","DateFormat=P","Fill=—","Direction=H","UseDPDF=Y")</f>
        <v>0</v>
      </c>
      <c r="H120" s="13">
        <f>_xll.BDH("AMGN US Equity","ARDR_FV_ASSETS_REC_LEVEL_3","FQ1 2020","FQ1 2020","Currency=USD","Period=FQ","BEST_FPERIOD_OVERRIDE=FQ","FILING_STATUS=MR","SCALING_FORMAT=MLN","Sort=A","Dates=H","DateFormat=P","Fill=—","Direction=H","UseDPDF=Y")</f>
        <v>0</v>
      </c>
      <c r="I120" s="13">
        <f>_xll.BDH("AMGN US Equity","ARDR_FV_ASSETS_REC_LEVEL_3","FQ2 2020","FQ2 2020","Currency=USD","Period=FQ","BEST_FPERIOD_OVERRIDE=FQ","FILING_STATUS=MR","SCALING_FORMAT=MLN","Sort=A","Dates=H","DateFormat=P","Fill=—","Direction=H","UseDPDF=Y")</f>
        <v>0</v>
      </c>
      <c r="J120" s="13">
        <f>_xll.BDH("AMGN US Equity","ARDR_FV_ASSETS_REC_LEVEL_3","FQ3 2020","FQ3 2020","Currency=USD","Period=FQ","BEST_FPERIOD_OVERRIDE=FQ","FILING_STATUS=MR","SCALING_FORMAT=MLN","Sort=A","Dates=H","DateFormat=P","Fill=—","Direction=H","UseDPDF=Y")</f>
        <v>0</v>
      </c>
      <c r="K120" s="13">
        <f>_xll.BDH("AMGN US Equity","ARDR_FV_ASSETS_REC_LEVEL_3","FQ4 2020","FQ4 2020","Currency=USD","Period=FQ","BEST_FPERIOD_OVERRIDE=FQ","FILING_STATUS=MR","SCALING_FORMAT=MLN","Sort=A","Dates=H","DateFormat=P","Fill=—","Direction=H","UseDPDF=Y")</f>
        <v>0</v>
      </c>
      <c r="L120" s="13">
        <f>_xll.BDH("AMGN US Equity","ARDR_FV_ASSETS_REC_LEVEL_3","FQ1 2021","FQ1 2021","Currency=USD","Period=FQ","BEST_FPERIOD_OVERRIDE=FQ","FILING_STATUS=MR","SCALING_FORMAT=MLN","Sort=A","Dates=H","DateFormat=P","Fill=—","Direction=H","UseDPDF=Y")</f>
        <v>0</v>
      </c>
      <c r="M120" s="13">
        <f>_xll.BDH("AMGN US Equity","ARDR_FV_ASSETS_REC_LEVEL_3","FQ2 2021","FQ2 2021","Currency=USD","Period=FQ","BEST_FPERIOD_OVERRIDE=FQ","FILING_STATUS=MR","SCALING_FORMAT=MLN","Sort=A","Dates=H","DateFormat=P","Fill=—","Direction=H","UseDPDF=Y")</f>
        <v>0</v>
      </c>
      <c r="N120" s="13">
        <f>_xll.BDH("AMGN US Equity","ARDR_FV_ASSETS_REC_LEVEL_3","FQ3 2021","FQ3 2021","Currency=USD","Period=FQ","BEST_FPERIOD_OVERRIDE=FQ","FILING_STATUS=MR","SCALING_FORMAT=MLN","Sort=A","Dates=H","DateFormat=P","Fill=—","Direction=H","UseDPDF=Y")</f>
        <v>257</v>
      </c>
      <c r="O120" s="13">
        <f>_xll.BDH("AMGN US Equity","ARDR_FV_ASSETS_REC_LEVEL_3","FQ4 2021","FQ4 2021","Currency=USD","Period=FQ","BEST_FPERIOD_OVERRIDE=FQ","FILING_STATUS=MR","SCALING_FORMAT=MLN","Sort=A","Dates=H","DateFormat=P","Fill=—","Direction=H","UseDPDF=Y")</f>
        <v>220</v>
      </c>
      <c r="P120" s="13">
        <f>_xll.BDH("AMGN US Equity","ARDR_FV_ASSETS_REC_LEVEL_3","FQ1 2022","FQ1 2022","Currency=USD","Period=FQ","BEST_FPERIOD_OVERRIDE=FQ","FILING_STATUS=MR","SCALING_FORMAT=MLN","Sort=A","Dates=H","DateFormat=P","Fill=—","Direction=H","UseDPDF=Y")</f>
        <v>170</v>
      </c>
      <c r="Q120" s="13">
        <f>_xll.BDH("AMGN US Equity","ARDR_FV_ASSETS_REC_LEVEL_3","FQ2 2022","FQ2 2022","Currency=USD","Period=FQ","BEST_FPERIOD_OVERRIDE=FQ","FILING_STATUS=MR","SCALING_FORMAT=MLN","Sort=A","Dates=H","DateFormat=P","Fill=—","Direction=H","UseDPDF=Y")</f>
        <v>131</v>
      </c>
      <c r="R120" s="13">
        <f>_xll.BDH("AMGN US Equity","ARDR_FV_ASSETS_REC_LEVEL_3","FQ3 2022","FQ3 2022","Currency=USD","Period=FQ","BEST_FPERIOD_OVERRIDE=FQ","FILING_STATUS=MR","SCALING_FORMAT=MLN","Sort=A","Dates=H","DateFormat=P","Fill=—","Direction=H","UseDPDF=Y")</f>
        <v>382</v>
      </c>
      <c r="S120" s="13">
        <f>_xll.BDH("AMGN US Equity","ARDR_FV_ASSETS_REC_LEVEL_3","FQ4 2022","FQ4 2022","Currency=USD","Period=FQ","BEST_FPERIOD_OVERRIDE=FQ","FILING_STATUS=MR","SCALING_FORMAT=MLN","Sort=A","Dates=H","DateFormat=P","Fill=—","Direction=H","UseDPDF=Y")</f>
        <v>335</v>
      </c>
      <c r="T120" s="13">
        <f>_xll.BDH("AMGN US Equity","ARDR_FV_ASSETS_REC_LEVEL_3","FQ1 2023","FQ1 2023","Currency=USD","Period=FQ","BEST_FPERIOD_OVERRIDE=FQ","FILING_STATUS=MR","SCALING_FORMAT=MLN","Sort=A","Dates=H","DateFormat=P","Fill=—","Direction=H","UseDPDF=Y")</f>
        <v>288</v>
      </c>
      <c r="U120" s="13">
        <f>_xll.BDH("AMGN US Equity","ARDR_FV_ASSETS_REC_LEVEL_3","FQ2 2023","FQ2 2023","Currency=USD","Period=FQ","BEST_FPERIOD_OVERRIDE=FQ","FILING_STATUS=MR","SCALING_FORMAT=MLN","Sort=A","Dates=H","DateFormat=P","Fill=—","Direction=H","UseDPDF=Y")</f>
        <v>316</v>
      </c>
      <c r="V120" s="13">
        <f>_xll.BDH("AMGN US Equity","ARDR_FV_ASSETS_REC_LEVEL_3","FQ3 2023","FQ3 2023","Currency=USD","Period=FQ","BEST_FPERIOD_OVERRIDE=FQ","FILING_STATUS=MR","SCALING_FORMAT=MLN","Sort=A","Dates=H","DateFormat=P","Fill=—","Direction=H","UseDPDF=Y")</f>
        <v>0</v>
      </c>
      <c r="W120" s="13">
        <f>_xll.BDH("AMGN US Equity","ARDR_FV_ASSETS_REC_LEVEL_3","FQ4 2023","FQ4 2023","Currency=USD","Period=FQ","BEST_FPERIOD_OVERRIDE=FQ","FILING_STATUS=MR","SCALING_FORMAT=MLN","Sort=A","Dates=H","DateFormat=P","Fill=—","Direction=H","UseDPDF=Y")</f>
        <v>0</v>
      </c>
      <c r="X120" s="13">
        <f>_xll.BDH("AMGN US Equity","ARDR_FV_ASSETS_REC_LEVEL_3","FQ1 2024","FQ1 2024","Currency=USD","Period=FQ","BEST_FPERIOD_OVERRIDE=FQ","FILING_STATUS=MR","SCALING_FORMAT=MLN","Sort=A","Dates=H","DateFormat=P","Fill=—","Direction=H","UseDPDF=Y")</f>
        <v>0</v>
      </c>
      <c r="Y120" s="13">
        <f>_xll.BDH("AMGN US Equity","ARDR_FV_ASSETS_REC_LEVEL_3","FQ2 2024","FQ2 2024","Currency=USD","Period=FQ","BEST_FPERIOD_OVERRIDE=FQ","FILING_STATUS=MR","SCALING_FORMAT=MLN","Sort=A","Dates=H","DateFormat=P","Fill=—","Direction=H","UseDPDF=Y")</f>
        <v>0</v>
      </c>
      <c r="Z120" s="13">
        <f>_xll.BDH("AMGN US Equity","ARDR_FV_ASSETS_REC_LEVEL_3","FQ3 2024","FQ3 2024","Currency=USD","Period=FQ","BEST_FPERIOD_OVERRIDE=FQ","FILING_STATUS=MR","SCALING_FORMAT=MLN","Sort=A","Dates=H","DateFormat=P","Fill=—","Direction=H","UseDPDF=Y")</f>
        <v>0</v>
      </c>
      <c r="AA120" s="13">
        <f>_xll.BDH("AMGN US Equity","ARDR_FV_ASSETS_REC_LEVEL_3","FQ4 2024","FQ4 2024","Currency=USD","Period=FQ","BEST_FPERIOD_OVERRIDE=FQ","FILING_STATUS=MR","SCALING_FORMAT=MLN","Sort=A","Dates=H","DateFormat=P","Fill=—","Direction=H","UseDPDF=Y")</f>
        <v>0</v>
      </c>
    </row>
    <row r="121" spans="1:27" x14ac:dyDescent="0.25">
      <c r="A121" s="10" t="s">
        <v>1056</v>
      </c>
      <c r="B121" s="10" t="s">
        <v>1057</v>
      </c>
      <c r="C121" s="13">
        <f>_xll.BDH("AMGN US Equity","ARDR_FV_ASSETS_REC_TOTAL","FQ4 2018","FQ4 2018","Currency=USD","Period=FQ","BEST_FPERIOD_OVERRIDE=FQ","FILING_STATUS=MR","SCALING_FORMAT=MLN","Sort=A","Dates=H","DateFormat=P","Fill=—","Direction=H","UseDPDF=Y")</f>
        <v>29308</v>
      </c>
      <c r="D121" s="13">
        <f>_xll.BDH("AMGN US Equity","ARDR_FV_ASSETS_REC_TOTAL","FQ1 2019","FQ1 2019","Currency=USD","Period=FQ","BEST_FPERIOD_OVERRIDE=FQ","FILING_STATUS=MR","SCALING_FORMAT=MLN","Sort=A","Dates=H","DateFormat=P","Fill=—","Direction=H","UseDPDF=Y")</f>
        <v>26373</v>
      </c>
      <c r="E121" s="13">
        <f>_xll.BDH("AMGN US Equity","ARDR_FV_ASSETS_REC_TOTAL","FQ2 2019","FQ2 2019","Currency=USD","Period=FQ","BEST_FPERIOD_OVERRIDE=FQ","FILING_STATUS=MR","SCALING_FORMAT=MLN","Sort=A","Dates=H","DateFormat=P","Fill=—","Direction=H","UseDPDF=Y")</f>
        <v>22017</v>
      </c>
      <c r="F121" s="13">
        <f>_xll.BDH("AMGN US Equity","ARDR_FV_ASSETS_REC_TOTAL","FQ3 2019","FQ3 2019","Currency=USD","Period=FQ","BEST_FPERIOD_OVERRIDE=FQ","FILING_STATUS=MR","SCALING_FORMAT=MLN","Sort=A","Dates=H","DateFormat=P","Fill=—","Direction=H","UseDPDF=Y")</f>
        <v>21209</v>
      </c>
      <c r="G121" s="13">
        <f>_xll.BDH("AMGN US Equity","ARDR_FV_ASSETS_REC_TOTAL","FQ4 2019","FQ4 2019","Currency=USD","Period=FQ","BEST_FPERIOD_OVERRIDE=FQ","FILING_STATUS=MR","SCALING_FORMAT=MLN","Sort=A","Dates=H","DateFormat=P","Fill=—","Direction=H","UseDPDF=Y")</f>
        <v>9086</v>
      </c>
      <c r="H121" s="13">
        <f>_xll.BDH("AMGN US Equity","ARDR_FV_ASSETS_REC_TOTAL","FQ1 2020","FQ1 2020","Currency=USD","Period=FQ","BEST_FPERIOD_OVERRIDE=FQ","FILING_STATUS=MR","SCALING_FORMAT=MLN","Sort=A","Dates=H","DateFormat=P","Fill=—","Direction=H","UseDPDF=Y")</f>
        <v>7988</v>
      </c>
      <c r="I121" s="13">
        <f>_xll.BDH("AMGN US Equity","ARDR_FV_ASSETS_REC_TOTAL","FQ2 2020","FQ2 2020","Currency=USD","Period=FQ","BEST_FPERIOD_OVERRIDE=FQ","FILING_STATUS=MR","SCALING_FORMAT=MLN","Sort=A","Dates=H","DateFormat=P","Fill=—","Direction=H","UseDPDF=Y")</f>
        <v>11415</v>
      </c>
      <c r="J121" s="13">
        <f>_xll.BDH("AMGN US Equity","ARDR_FV_ASSETS_REC_TOTAL","FQ3 2020","FQ3 2020","Currency=USD","Period=FQ","BEST_FPERIOD_OVERRIDE=FQ","FILING_STATUS=MR","SCALING_FORMAT=MLN","Sort=A","Dates=H","DateFormat=P","Fill=—","Direction=H","UseDPDF=Y")</f>
        <v>12309</v>
      </c>
      <c r="K121" s="13">
        <f>_xll.BDH("AMGN US Equity","ARDR_FV_ASSETS_REC_TOTAL","FQ4 2020","FQ4 2020","Currency=USD","Period=FQ","BEST_FPERIOD_OVERRIDE=FQ","FILING_STATUS=MR","SCALING_FORMAT=MLN","Sort=A","Dates=H","DateFormat=P","Fill=—","Direction=H","UseDPDF=Y")</f>
        <v>10671</v>
      </c>
      <c r="L121" s="13">
        <f>_xll.BDH("AMGN US Equity","ARDR_FV_ASSETS_REC_TOTAL","FQ1 2021","FQ1 2021","Currency=USD","Period=FQ","BEST_FPERIOD_OVERRIDE=FQ","FILING_STATUS=MR","SCALING_FORMAT=MLN","Sort=A","Dates=H","DateFormat=P","Fill=—","Direction=H","UseDPDF=Y")</f>
        <v>10380</v>
      </c>
      <c r="M121" s="13">
        <f>_xll.BDH("AMGN US Equity","ARDR_FV_ASSETS_REC_TOTAL","FQ2 2021","FQ2 2021","Currency=USD","Period=FQ","BEST_FPERIOD_OVERRIDE=FQ","FILING_STATUS=MR","SCALING_FORMAT=MLN","Sort=A","Dates=H","DateFormat=P","Fill=—","Direction=H","UseDPDF=Y")</f>
        <v>7851</v>
      </c>
      <c r="N121" s="13">
        <f>_xll.BDH("AMGN US Equity","ARDR_FV_ASSETS_REC_TOTAL","FQ3 2021","FQ3 2021","Currency=USD","Period=FQ","BEST_FPERIOD_OVERRIDE=FQ","FILING_STATUS=MR","SCALING_FORMAT=MLN","Sort=A","Dates=H","DateFormat=P","Fill=—","Direction=H","UseDPDF=Y")</f>
        <v>13415</v>
      </c>
      <c r="O121" s="13">
        <f>_xll.BDH("AMGN US Equity","ARDR_FV_ASSETS_REC_TOTAL","FQ4 2021","FQ4 2021","Currency=USD","Period=FQ","BEST_FPERIOD_OVERRIDE=FQ","FILING_STATUS=MR","SCALING_FORMAT=MLN","Sort=A","Dates=H","DateFormat=P","Fill=—","Direction=H","UseDPDF=Y")</f>
        <v>8400</v>
      </c>
      <c r="P121" s="13">
        <f>_xll.BDH("AMGN US Equity","ARDR_FV_ASSETS_REC_TOTAL","FQ1 2022","FQ1 2022","Currency=USD","Period=FQ","BEST_FPERIOD_OVERRIDE=FQ","FILING_STATUS=MR","SCALING_FORMAT=MLN","Sort=A","Dates=H","DateFormat=P","Fill=—","Direction=H","UseDPDF=Y")</f>
        <v>6796</v>
      </c>
      <c r="Q121" s="13">
        <f>_xll.BDH("AMGN US Equity","ARDR_FV_ASSETS_REC_TOTAL","FQ2 2022","FQ2 2022","Currency=USD","Period=FQ","BEST_FPERIOD_OVERRIDE=FQ","FILING_STATUS=MR","SCALING_FORMAT=MLN","Sort=A","Dates=H","DateFormat=P","Fill=—","Direction=H","UseDPDF=Y")</f>
        <v>7347</v>
      </c>
      <c r="R121" s="13">
        <f>_xll.BDH("AMGN US Equity","ARDR_FV_ASSETS_REC_TOTAL","FQ3 2022","FQ3 2022","Currency=USD","Period=FQ","BEST_FPERIOD_OVERRIDE=FQ","FILING_STATUS=MR","SCALING_FORMAT=MLN","Sort=A","Dates=H","DateFormat=P","Fill=—","Direction=H","UseDPDF=Y")</f>
        <v>12468</v>
      </c>
      <c r="S121" s="13">
        <f>_xll.BDH("AMGN US Equity","ARDR_FV_ASSETS_REC_TOTAL","FQ4 2022","FQ4 2022","Currency=USD","Period=FQ","BEST_FPERIOD_OVERRIDE=FQ","FILING_STATUS=MR","SCALING_FORMAT=MLN","Sort=A","Dates=H","DateFormat=P","Fill=—","Direction=H","UseDPDF=Y")</f>
        <v>5621</v>
      </c>
      <c r="T121" s="13">
        <f>_xll.BDH("AMGN US Equity","ARDR_FV_ASSETS_REC_TOTAL","FQ1 2023","FQ1 2023","Currency=USD","Period=FQ","BEST_FPERIOD_OVERRIDE=FQ","FILING_STATUS=MR","SCALING_FORMAT=MLN","Sort=A","Dates=H","DateFormat=P","Fill=—","Direction=H","UseDPDF=Y")</f>
        <v>36281</v>
      </c>
      <c r="U121" s="13">
        <f>_xll.BDH("AMGN US Equity","ARDR_FV_ASSETS_REC_TOTAL","FQ2 2023","FQ2 2023","Currency=USD","Period=FQ","BEST_FPERIOD_OVERRIDE=FQ","FILING_STATUS=MR","SCALING_FORMAT=MLN","Sort=A","Dates=H","DateFormat=P","Fill=—","Direction=H","UseDPDF=Y")</f>
        <v>38097</v>
      </c>
      <c r="V121" s="13">
        <f>_xll.BDH("AMGN US Equity","ARDR_FV_ASSETS_REC_TOTAL","FQ3 2023","FQ3 2023","Currency=USD","Period=FQ","BEST_FPERIOD_OVERRIDE=FQ","FILING_STATUS=MR","SCALING_FORMAT=MLN","Sort=A","Dates=H","DateFormat=P","Fill=—","Direction=H","UseDPDF=Y")</f>
        <v>38941</v>
      </c>
      <c r="W121" s="13">
        <f>_xll.BDH("AMGN US Equity","ARDR_FV_ASSETS_REC_TOTAL","FQ4 2023","FQ4 2023","Currency=USD","Period=FQ","BEST_FPERIOD_OVERRIDE=FQ","FILING_STATUS=MR","SCALING_FORMAT=MLN","Sort=A","Dates=H","DateFormat=P","Fill=—","Direction=H","UseDPDF=Y")</f>
        <v>15063</v>
      </c>
      <c r="X121" s="13">
        <f>_xll.BDH("AMGN US Equity","ARDR_FV_ASSETS_REC_TOTAL","FQ1 2024","FQ1 2024","Currency=USD","Period=FQ","BEST_FPERIOD_OVERRIDE=FQ","FILING_STATUS=MR","SCALING_FORMAT=MLN","Sort=A","Dates=H","DateFormat=P","Fill=—","Direction=H","UseDPDF=Y")</f>
        <v>13447</v>
      </c>
      <c r="Y121" s="13">
        <f>_xll.BDH("AMGN US Equity","ARDR_FV_ASSETS_REC_TOTAL","FQ2 2024","FQ2 2024","Currency=USD","Period=FQ","BEST_FPERIOD_OVERRIDE=FQ","FILING_STATUS=MR","SCALING_FORMAT=MLN","Sort=A","Dates=H","DateFormat=P","Fill=—","Direction=H","UseDPDF=Y")</f>
        <v>12552</v>
      </c>
      <c r="Z121" s="13">
        <f>_xll.BDH("AMGN US Equity","ARDR_FV_ASSETS_REC_TOTAL","FQ3 2024","FQ3 2024","Currency=USD","Period=FQ","BEST_FPERIOD_OVERRIDE=FQ","FILING_STATUS=MR","SCALING_FORMAT=MLN","Sort=A","Dates=H","DateFormat=P","Fill=—","Direction=H","UseDPDF=Y")</f>
        <v>13745</v>
      </c>
      <c r="AA121" s="13">
        <f>_xll.BDH("AMGN US Equity","ARDR_FV_ASSETS_REC_TOTAL","FQ4 2024","FQ4 2024","Currency=USD","Period=FQ","BEST_FPERIOD_OVERRIDE=FQ","FILING_STATUS=MR","SCALING_FORMAT=MLN","Sort=A","Dates=H","DateFormat=P","Fill=—","Direction=H","UseDPDF=Y")</f>
        <v>16094</v>
      </c>
    </row>
    <row r="122" spans="1:27" x14ac:dyDescent="0.25">
      <c r="A122" s="10" t="s">
        <v>1058</v>
      </c>
      <c r="B122" s="10" t="s">
        <v>1059</v>
      </c>
      <c r="C122" s="13">
        <f>_xll.BDH("AMGN US Equity","ARDR_FV_LIAB_REC_LEVEL_1","FQ4 2018","FQ4 2018","Currency=USD","Period=FQ","BEST_FPERIOD_OVERRIDE=FQ","FILING_STATUS=MR","SCALING_FORMAT=MLN","Sort=A","Dates=H","DateFormat=P","Fill=—","Direction=H","UseDPDF=Y")</f>
        <v>0</v>
      </c>
      <c r="D122" s="13">
        <f>_xll.BDH("AMGN US Equity","ARDR_FV_LIAB_REC_LEVEL_1","FQ1 2019","FQ1 2019","Currency=USD","Period=FQ","BEST_FPERIOD_OVERRIDE=FQ","FILING_STATUS=MR","SCALING_FORMAT=MLN","Sort=A","Dates=H","DateFormat=P","Fill=—","Direction=H","UseDPDF=Y")</f>
        <v>0</v>
      </c>
      <c r="E122" s="13">
        <f>_xll.BDH("AMGN US Equity","ARDR_FV_LIAB_REC_LEVEL_1","FQ2 2019","FQ2 2019","Currency=USD","Period=FQ","BEST_FPERIOD_OVERRIDE=FQ","FILING_STATUS=MR","SCALING_FORMAT=MLN","Sort=A","Dates=H","DateFormat=P","Fill=—","Direction=H","UseDPDF=Y")</f>
        <v>0</v>
      </c>
      <c r="F122" s="13">
        <f>_xll.BDH("AMGN US Equity","ARDR_FV_LIAB_REC_LEVEL_1","FQ3 2019","FQ3 2019","Currency=USD","Period=FQ","BEST_FPERIOD_OVERRIDE=FQ","FILING_STATUS=MR","SCALING_FORMAT=MLN","Sort=A","Dates=H","DateFormat=P","Fill=—","Direction=H","UseDPDF=Y")</f>
        <v>0</v>
      </c>
      <c r="G122" s="13">
        <f>_xll.BDH("AMGN US Equity","ARDR_FV_LIAB_REC_LEVEL_1","FQ4 2019","FQ4 2019","Currency=USD","Period=FQ","BEST_FPERIOD_OVERRIDE=FQ","FILING_STATUS=MR","SCALING_FORMAT=MLN","Sort=A","Dates=H","DateFormat=P","Fill=—","Direction=H","UseDPDF=Y")</f>
        <v>0</v>
      </c>
      <c r="H122" s="13">
        <f>_xll.BDH("AMGN US Equity","ARDR_FV_LIAB_REC_LEVEL_1","FQ1 2020","FQ1 2020","Currency=USD","Period=FQ","BEST_FPERIOD_OVERRIDE=FQ","FILING_STATUS=MR","SCALING_FORMAT=MLN","Sort=A","Dates=H","DateFormat=P","Fill=—","Direction=H","UseDPDF=Y")</f>
        <v>0</v>
      </c>
      <c r="I122" s="13">
        <f>_xll.BDH("AMGN US Equity","ARDR_FV_LIAB_REC_LEVEL_1","FQ2 2020","FQ2 2020","Currency=USD","Period=FQ","BEST_FPERIOD_OVERRIDE=FQ","FILING_STATUS=MR","SCALING_FORMAT=MLN","Sort=A","Dates=H","DateFormat=P","Fill=—","Direction=H","UseDPDF=Y")</f>
        <v>0</v>
      </c>
      <c r="J122" s="13">
        <f>_xll.BDH("AMGN US Equity","ARDR_FV_LIAB_REC_LEVEL_1","FQ3 2020","FQ3 2020","Currency=USD","Period=FQ","BEST_FPERIOD_OVERRIDE=FQ","FILING_STATUS=MR","SCALING_FORMAT=MLN","Sort=A","Dates=H","DateFormat=P","Fill=—","Direction=H","UseDPDF=Y")</f>
        <v>0</v>
      </c>
      <c r="K122" s="13">
        <f>_xll.BDH("AMGN US Equity","ARDR_FV_LIAB_REC_LEVEL_1","FQ4 2020","FQ4 2020","Currency=USD","Period=FQ","BEST_FPERIOD_OVERRIDE=FQ","FILING_STATUS=MR","SCALING_FORMAT=MLN","Sort=A","Dates=H","DateFormat=P","Fill=—","Direction=H","UseDPDF=Y")</f>
        <v>0</v>
      </c>
      <c r="L122" s="13">
        <f>_xll.BDH("AMGN US Equity","ARDR_FV_LIAB_REC_LEVEL_1","FQ1 2021","FQ1 2021","Currency=USD","Period=FQ","BEST_FPERIOD_OVERRIDE=FQ","FILING_STATUS=MR","SCALING_FORMAT=MLN","Sort=A","Dates=H","DateFormat=P","Fill=—","Direction=H","UseDPDF=Y")</f>
        <v>0</v>
      </c>
      <c r="M122" s="13">
        <f>_xll.BDH("AMGN US Equity","ARDR_FV_LIAB_REC_LEVEL_1","FQ2 2021","FQ2 2021","Currency=USD","Period=FQ","BEST_FPERIOD_OVERRIDE=FQ","FILING_STATUS=MR","SCALING_FORMAT=MLN","Sort=A","Dates=H","DateFormat=P","Fill=—","Direction=H","UseDPDF=Y")</f>
        <v>0</v>
      </c>
      <c r="N122" s="13">
        <f>_xll.BDH("AMGN US Equity","ARDR_FV_LIAB_REC_LEVEL_1","FQ3 2021","FQ3 2021","Currency=USD","Period=FQ","BEST_FPERIOD_OVERRIDE=FQ","FILING_STATUS=MR","SCALING_FORMAT=MLN","Sort=A","Dates=H","DateFormat=P","Fill=—","Direction=H","UseDPDF=Y")</f>
        <v>0</v>
      </c>
      <c r="O122" s="13">
        <f>_xll.BDH("AMGN US Equity","ARDR_FV_LIAB_REC_LEVEL_1","FQ4 2021","FQ4 2021","Currency=USD","Period=FQ","BEST_FPERIOD_OVERRIDE=FQ","FILING_STATUS=MR","SCALING_FORMAT=MLN","Sort=A","Dates=H","DateFormat=P","Fill=—","Direction=H","UseDPDF=Y")</f>
        <v>0</v>
      </c>
      <c r="P122" s="13">
        <f>_xll.BDH("AMGN US Equity","ARDR_FV_LIAB_REC_LEVEL_1","FQ1 2022","FQ1 2022","Currency=USD","Period=FQ","BEST_FPERIOD_OVERRIDE=FQ","FILING_STATUS=MR","SCALING_FORMAT=MLN","Sort=A","Dates=H","DateFormat=P","Fill=—","Direction=H","UseDPDF=Y")</f>
        <v>0</v>
      </c>
      <c r="Q122" s="13">
        <f>_xll.BDH("AMGN US Equity","ARDR_FV_LIAB_REC_LEVEL_1","FQ2 2022","FQ2 2022","Currency=USD","Period=FQ","BEST_FPERIOD_OVERRIDE=FQ","FILING_STATUS=MR","SCALING_FORMAT=MLN","Sort=A","Dates=H","DateFormat=P","Fill=—","Direction=H","UseDPDF=Y")</f>
        <v>0</v>
      </c>
      <c r="R122" s="13">
        <f>_xll.BDH("AMGN US Equity","ARDR_FV_LIAB_REC_LEVEL_1","FQ3 2022","FQ3 2022","Currency=USD","Period=FQ","BEST_FPERIOD_OVERRIDE=FQ","FILING_STATUS=MR","SCALING_FORMAT=MLN","Sort=A","Dates=H","DateFormat=P","Fill=—","Direction=H","UseDPDF=Y")</f>
        <v>0</v>
      </c>
      <c r="S122" s="13">
        <f>_xll.BDH("AMGN US Equity","ARDR_FV_LIAB_REC_LEVEL_1","FQ4 2022","FQ4 2022","Currency=USD","Period=FQ","BEST_FPERIOD_OVERRIDE=FQ","FILING_STATUS=MR","SCALING_FORMAT=MLN","Sort=A","Dates=H","DateFormat=P","Fill=—","Direction=H","UseDPDF=Y")</f>
        <v>0</v>
      </c>
      <c r="T122" s="13">
        <f>_xll.BDH("AMGN US Equity","ARDR_FV_LIAB_REC_LEVEL_1","FQ1 2023","FQ1 2023","Currency=USD","Period=FQ","BEST_FPERIOD_OVERRIDE=FQ","FILING_STATUS=MR","SCALING_FORMAT=MLN","Sort=A","Dates=H","DateFormat=P","Fill=—","Direction=H","UseDPDF=Y")</f>
        <v>0</v>
      </c>
      <c r="U122" s="13">
        <f>_xll.BDH("AMGN US Equity","ARDR_FV_LIAB_REC_LEVEL_1","FQ2 2023","FQ2 2023","Currency=USD","Period=FQ","BEST_FPERIOD_OVERRIDE=FQ","FILING_STATUS=MR","SCALING_FORMAT=MLN","Sort=A","Dates=H","DateFormat=P","Fill=—","Direction=H","UseDPDF=Y")</f>
        <v>0</v>
      </c>
      <c r="V122" s="13">
        <f>_xll.BDH("AMGN US Equity","ARDR_FV_LIAB_REC_LEVEL_1","FQ3 2023","FQ3 2023","Currency=USD","Period=FQ","BEST_FPERIOD_OVERRIDE=FQ","FILING_STATUS=MR","SCALING_FORMAT=MLN","Sort=A","Dates=H","DateFormat=P","Fill=—","Direction=H","UseDPDF=Y")</f>
        <v>0</v>
      </c>
      <c r="W122" s="13">
        <f>_xll.BDH("AMGN US Equity","ARDR_FV_LIAB_REC_LEVEL_1","FQ4 2023","FQ4 2023","Currency=USD","Period=FQ","BEST_FPERIOD_OVERRIDE=FQ","FILING_STATUS=MR","SCALING_FORMAT=MLN","Sort=A","Dates=H","DateFormat=P","Fill=—","Direction=H","UseDPDF=Y")</f>
        <v>0</v>
      </c>
      <c r="X122" s="13">
        <f>_xll.BDH("AMGN US Equity","ARDR_FV_LIAB_REC_LEVEL_1","FQ1 2024","FQ1 2024","Currency=USD","Period=FQ","BEST_FPERIOD_OVERRIDE=FQ","FILING_STATUS=MR","SCALING_FORMAT=MLN","Sort=A","Dates=H","DateFormat=P","Fill=—","Direction=H","UseDPDF=Y")</f>
        <v>0</v>
      </c>
      <c r="Y122" s="13">
        <f>_xll.BDH("AMGN US Equity","ARDR_FV_LIAB_REC_LEVEL_1","FQ2 2024","FQ2 2024","Currency=USD","Period=FQ","BEST_FPERIOD_OVERRIDE=FQ","FILING_STATUS=MR","SCALING_FORMAT=MLN","Sort=A","Dates=H","DateFormat=P","Fill=—","Direction=H","UseDPDF=Y")</f>
        <v>0</v>
      </c>
      <c r="Z122" s="13">
        <f>_xll.BDH("AMGN US Equity","ARDR_FV_LIAB_REC_LEVEL_1","FQ3 2024","FQ3 2024","Currency=USD","Period=FQ","BEST_FPERIOD_OVERRIDE=FQ","FILING_STATUS=MR","SCALING_FORMAT=MLN","Sort=A","Dates=H","DateFormat=P","Fill=—","Direction=H","UseDPDF=Y")</f>
        <v>0</v>
      </c>
      <c r="AA122" s="13">
        <f>_xll.BDH("AMGN US Equity","ARDR_FV_LIAB_REC_LEVEL_1","FQ4 2024","FQ4 2024","Currency=USD","Period=FQ","BEST_FPERIOD_OVERRIDE=FQ","FILING_STATUS=MR","SCALING_FORMAT=MLN","Sort=A","Dates=H","DateFormat=P","Fill=—","Direction=H","UseDPDF=Y")</f>
        <v>0</v>
      </c>
    </row>
    <row r="123" spans="1:27" x14ac:dyDescent="0.25">
      <c r="A123" s="10" t="s">
        <v>1060</v>
      </c>
      <c r="B123" s="10" t="s">
        <v>1061</v>
      </c>
      <c r="C123" s="13">
        <f>_xll.BDH("AMGN US Equity","ARDR_FV_LIAB_REC_LEVEL_2","FQ4 2018","FQ4 2018","Currency=USD","Period=FQ","BEST_FPERIOD_OVERRIDE=FQ","FILING_STATUS=MR","SCALING_FORMAT=MLN","Sort=A","Dates=H","DateFormat=P","Fill=—","Direction=H","UseDPDF=Y")</f>
        <v>576</v>
      </c>
      <c r="D123" s="13">
        <f>_xll.BDH("AMGN US Equity","ARDR_FV_LIAB_REC_LEVEL_2","FQ1 2019","FQ1 2019","Currency=USD","Period=FQ","BEST_FPERIOD_OVERRIDE=FQ","FILING_STATUS=MR","SCALING_FORMAT=MLN","Sort=A","Dates=H","DateFormat=P","Fill=—","Direction=H","UseDPDF=Y")</f>
        <v>491</v>
      </c>
      <c r="E123" s="13">
        <f>_xll.BDH("AMGN US Equity","ARDR_FV_LIAB_REC_LEVEL_2","FQ2 2019","FQ2 2019","Currency=USD","Period=FQ","BEST_FPERIOD_OVERRIDE=FQ","FILING_STATUS=MR","SCALING_FORMAT=MLN","Sort=A","Dates=H","DateFormat=P","Fill=—","Direction=H","UseDPDF=Y")</f>
        <v>530</v>
      </c>
      <c r="F123" s="13">
        <f>_xll.BDH("AMGN US Equity","ARDR_FV_LIAB_REC_LEVEL_2","FQ3 2019","FQ3 2019","Currency=USD","Period=FQ","BEST_FPERIOD_OVERRIDE=FQ","FILING_STATUS=MR","SCALING_FORMAT=MLN","Sort=A","Dates=H","DateFormat=P","Fill=—","Direction=H","UseDPDF=Y")</f>
        <v>484</v>
      </c>
      <c r="G123" s="13">
        <f>_xll.BDH("AMGN US Equity","ARDR_FV_LIAB_REC_LEVEL_2","FQ4 2019","FQ4 2019","Currency=USD","Period=FQ","BEST_FPERIOD_OVERRIDE=FQ","FILING_STATUS=MR","SCALING_FORMAT=MLN","Sort=A","Dates=H","DateFormat=P","Fill=—","Direction=H","UseDPDF=Y")</f>
        <v>346</v>
      </c>
      <c r="H123" s="13">
        <f>_xll.BDH("AMGN US Equity","ARDR_FV_LIAB_REC_LEVEL_2","FQ1 2020","FQ1 2020","Currency=USD","Period=FQ","BEST_FPERIOD_OVERRIDE=FQ","FILING_STATUS=MR","SCALING_FORMAT=MLN","Sort=A","Dates=H","DateFormat=P","Fill=—","Direction=H","UseDPDF=Y")</f>
        <v>685</v>
      </c>
      <c r="I123" s="13">
        <f>_xll.BDH("AMGN US Equity","ARDR_FV_LIAB_REC_LEVEL_2","FQ2 2020","FQ2 2020","Currency=USD","Period=FQ","BEST_FPERIOD_OVERRIDE=FQ","FILING_STATUS=MR","SCALING_FORMAT=MLN","Sort=A","Dates=H","DateFormat=P","Fill=—","Direction=H","UseDPDF=Y")</f>
        <v>632</v>
      </c>
      <c r="J123" s="13">
        <f>_xll.BDH("AMGN US Equity","ARDR_FV_LIAB_REC_LEVEL_2","FQ3 2020","FQ3 2020","Currency=USD","Period=FQ","BEST_FPERIOD_OVERRIDE=FQ","FILING_STATUS=MR","SCALING_FORMAT=MLN","Sort=A","Dates=H","DateFormat=P","Fill=—","Direction=H","UseDPDF=Y")</f>
        <v>573</v>
      </c>
      <c r="K123" s="13">
        <f>_xll.BDH("AMGN US Equity","ARDR_FV_LIAB_REC_LEVEL_2","FQ4 2020","FQ4 2020","Currency=USD","Period=FQ","BEST_FPERIOD_OVERRIDE=FQ","FILING_STATUS=MR","SCALING_FORMAT=MLN","Sort=A","Dates=H","DateFormat=P","Fill=—","Direction=H","UseDPDF=Y")</f>
        <v>570</v>
      </c>
      <c r="L123" s="13">
        <f>_xll.BDH("AMGN US Equity","ARDR_FV_LIAB_REC_LEVEL_2","FQ1 2021","FQ1 2021","Currency=USD","Period=FQ","BEST_FPERIOD_OVERRIDE=FQ","FILING_STATUS=MR","SCALING_FORMAT=MLN","Sort=A","Dates=H","DateFormat=P","Fill=—","Direction=H","UseDPDF=Y")</f>
        <v>532</v>
      </c>
      <c r="M123" s="13">
        <f>_xll.BDH("AMGN US Equity","ARDR_FV_LIAB_REC_LEVEL_2","FQ2 2021","FQ2 2021","Currency=USD","Period=FQ","BEST_FPERIOD_OVERRIDE=FQ","FILING_STATUS=MR","SCALING_FORMAT=MLN","Sort=A","Dates=H","DateFormat=P","Fill=—","Direction=H","UseDPDF=Y")</f>
        <v>514</v>
      </c>
      <c r="N123" s="13">
        <f>_xll.BDH("AMGN US Equity","ARDR_FV_LIAB_REC_LEVEL_2","FQ3 2021","FQ3 2021","Currency=USD","Period=FQ","BEST_FPERIOD_OVERRIDE=FQ","FILING_STATUS=MR","SCALING_FORMAT=MLN","Sort=A","Dates=H","DateFormat=P","Fill=—","Direction=H","UseDPDF=Y")</f>
        <v>519</v>
      </c>
      <c r="O123" s="13">
        <f>_xll.BDH("AMGN US Equity","ARDR_FV_LIAB_REC_LEVEL_2","FQ4 2021","FQ4 2021","Currency=USD","Period=FQ","BEST_FPERIOD_OVERRIDE=FQ","FILING_STATUS=MR","SCALING_FORMAT=MLN","Sort=A","Dates=H","DateFormat=P","Fill=—","Direction=H","UseDPDF=Y")</f>
        <v>534</v>
      </c>
      <c r="P123" s="13">
        <f>_xll.BDH("AMGN US Equity","ARDR_FV_LIAB_REC_LEVEL_2","FQ1 2022","FQ1 2022","Currency=USD","Period=FQ","BEST_FPERIOD_OVERRIDE=FQ","FILING_STATUS=MR","SCALING_FORMAT=MLN","Sort=A","Dates=H","DateFormat=P","Fill=—","Direction=H","UseDPDF=Y")</f>
        <v>865</v>
      </c>
      <c r="Q123" s="13">
        <f>_xll.BDH("AMGN US Equity","ARDR_FV_LIAB_REC_LEVEL_2","FQ2 2022","FQ2 2022","Currency=USD","Period=FQ","BEST_FPERIOD_OVERRIDE=FQ","FILING_STATUS=MR","SCALING_FORMAT=MLN","Sort=A","Dates=H","DateFormat=P","Fill=—","Direction=H","UseDPDF=Y")</f>
        <v>1124</v>
      </c>
      <c r="R123" s="13">
        <f>_xll.BDH("AMGN US Equity","ARDR_FV_LIAB_REC_LEVEL_2","FQ3 2022","FQ3 2022","Currency=USD","Period=FQ","BEST_FPERIOD_OVERRIDE=FQ","FILING_STATUS=MR","SCALING_FORMAT=MLN","Sort=A","Dates=H","DateFormat=P","Fill=—","Direction=H","UseDPDF=Y")</f>
        <v>1586</v>
      </c>
      <c r="S123" s="13">
        <f>_xll.BDH("AMGN US Equity","ARDR_FV_LIAB_REC_LEVEL_2","FQ4 2022","FQ4 2022","Currency=USD","Period=FQ","BEST_FPERIOD_OVERRIDE=FQ","FILING_STATUS=MR","SCALING_FORMAT=MLN","Sort=A","Dates=H","DateFormat=P","Fill=—","Direction=H","UseDPDF=Y")</f>
        <v>1398</v>
      </c>
      <c r="T123" s="13">
        <f>_xll.BDH("AMGN US Equity","ARDR_FV_LIAB_REC_LEVEL_2","FQ1 2023","FQ1 2023","Currency=USD","Period=FQ","BEST_FPERIOD_OVERRIDE=FQ","FILING_STATUS=MR","SCALING_FORMAT=MLN","Sort=A","Dates=H","DateFormat=P","Fill=—","Direction=H","UseDPDF=Y")</f>
        <v>1252</v>
      </c>
      <c r="U123" s="13">
        <f>_xll.BDH("AMGN US Equity","ARDR_FV_LIAB_REC_LEVEL_2","FQ2 2023","FQ2 2023","Currency=USD","Period=FQ","BEST_FPERIOD_OVERRIDE=FQ","FILING_STATUS=MR","SCALING_FORMAT=MLN","Sort=A","Dates=H","DateFormat=P","Fill=—","Direction=H","UseDPDF=Y")</f>
        <v>1311</v>
      </c>
      <c r="V123" s="13">
        <f>_xll.BDH("AMGN US Equity","ARDR_FV_LIAB_REC_LEVEL_2","FQ3 2023","FQ3 2023","Currency=USD","Period=FQ","BEST_FPERIOD_OVERRIDE=FQ","FILING_STATUS=MR","SCALING_FORMAT=MLN","Sort=A","Dates=H","DateFormat=P","Fill=—","Direction=H","UseDPDF=Y")</f>
        <v>1314</v>
      </c>
      <c r="W123" s="13">
        <f>_xll.BDH("AMGN US Equity","ARDR_FV_LIAB_REC_LEVEL_2","FQ4 2023","FQ4 2023","Currency=USD","Period=FQ","BEST_FPERIOD_OVERRIDE=FQ","FILING_STATUS=MR","SCALING_FORMAT=MLN","Sort=A","Dates=H","DateFormat=P","Fill=—","Direction=H","UseDPDF=Y")</f>
        <v>1092</v>
      </c>
      <c r="X123" s="13">
        <f>_xll.BDH("AMGN US Equity","ARDR_FV_LIAB_REC_LEVEL_2","FQ1 2024","FQ1 2024","Currency=USD","Period=FQ","BEST_FPERIOD_OVERRIDE=FQ","FILING_STATUS=MR","SCALING_FORMAT=MLN","Sort=A","Dates=H","DateFormat=P","Fill=—","Direction=H","UseDPDF=Y")</f>
        <v>1072</v>
      </c>
      <c r="Y123" s="13">
        <f>_xll.BDH("AMGN US Equity","ARDR_FV_LIAB_REC_LEVEL_2","FQ2 2024","FQ2 2024","Currency=USD","Period=FQ","BEST_FPERIOD_OVERRIDE=FQ","FILING_STATUS=MR","SCALING_FORMAT=MLN","Sort=A","Dates=H","DateFormat=P","Fill=—","Direction=H","UseDPDF=Y")</f>
        <v>1027</v>
      </c>
      <c r="Z123" s="13">
        <f>_xll.BDH("AMGN US Equity","ARDR_FV_LIAB_REC_LEVEL_2","FQ3 2024","FQ3 2024","Currency=USD","Period=FQ","BEST_FPERIOD_OVERRIDE=FQ","FILING_STATUS=MR","SCALING_FORMAT=MLN","Sort=A","Dates=H","DateFormat=P","Fill=—","Direction=H","UseDPDF=Y")</f>
        <v>886</v>
      </c>
      <c r="AA123" s="13">
        <f>_xll.BDH("AMGN US Equity","ARDR_FV_LIAB_REC_LEVEL_2","FQ4 2024","FQ4 2024","Currency=USD","Period=FQ","BEST_FPERIOD_OVERRIDE=FQ","FILING_STATUS=MR","SCALING_FORMAT=MLN","Sort=A","Dates=H","DateFormat=P","Fill=—","Direction=H","UseDPDF=Y")</f>
        <v>1022</v>
      </c>
    </row>
    <row r="124" spans="1:27" x14ac:dyDescent="0.25">
      <c r="A124" s="10" t="s">
        <v>1062</v>
      </c>
      <c r="B124" s="10" t="s">
        <v>1063</v>
      </c>
      <c r="C124" s="13">
        <f>_xll.BDH("AMGN US Equity","ARDR_FV_LIAB_REC_LEVEL_3","FQ4 2018","FQ4 2018","Currency=USD","Period=FQ","BEST_FPERIOD_OVERRIDE=FQ","FILING_STATUS=MR","SCALING_FORMAT=MLN","Sort=A","Dates=H","DateFormat=P","Fill=—","Direction=H","UseDPDF=Y")</f>
        <v>72</v>
      </c>
      <c r="D124" s="13">
        <f>_xll.BDH("AMGN US Equity","ARDR_FV_LIAB_REC_LEVEL_3","FQ1 2019","FQ1 2019","Currency=USD","Period=FQ","BEST_FPERIOD_OVERRIDE=FQ","FILING_STATUS=MR","SCALING_FORMAT=MLN","Sort=A","Dates=H","DateFormat=P","Fill=—","Direction=H","UseDPDF=Y")</f>
        <v>66</v>
      </c>
      <c r="E124" s="13">
        <f>_xll.BDH("AMGN US Equity","ARDR_FV_LIAB_REC_LEVEL_3","FQ2 2019","FQ2 2019","Currency=USD","Period=FQ","BEST_FPERIOD_OVERRIDE=FQ","FILING_STATUS=MR","SCALING_FORMAT=MLN","Sort=A","Dates=H","DateFormat=P","Fill=—","Direction=H","UseDPDF=Y")</f>
        <v>63</v>
      </c>
      <c r="F124" s="13">
        <f>_xll.BDH("AMGN US Equity","ARDR_FV_LIAB_REC_LEVEL_3","FQ3 2019","FQ3 2019","Currency=USD","Period=FQ","BEST_FPERIOD_OVERRIDE=FQ","FILING_STATUS=MR","SCALING_FORMAT=MLN","Sort=A","Dates=H","DateFormat=P","Fill=—","Direction=H","UseDPDF=Y")</f>
        <v>62</v>
      </c>
      <c r="G124" s="13">
        <f>_xll.BDH("AMGN US Equity","ARDR_FV_LIAB_REC_LEVEL_3","FQ4 2019","FQ4 2019","Currency=USD","Period=FQ","BEST_FPERIOD_OVERRIDE=FQ","FILING_STATUS=MR","SCALING_FORMAT=MLN","Sort=A","Dates=H","DateFormat=P","Fill=—","Direction=H","UseDPDF=Y")</f>
        <v>61</v>
      </c>
      <c r="H124" s="13">
        <f>_xll.BDH("AMGN US Equity","ARDR_FV_LIAB_REC_LEVEL_3","FQ1 2020","FQ1 2020","Currency=USD","Period=FQ","BEST_FPERIOD_OVERRIDE=FQ","FILING_STATUS=MR","SCALING_FORMAT=MLN","Sort=A","Dates=H","DateFormat=P","Fill=—","Direction=H","UseDPDF=Y")</f>
        <v>60</v>
      </c>
      <c r="I124" s="13">
        <f>_xll.BDH("AMGN US Equity","ARDR_FV_LIAB_REC_LEVEL_3","FQ2 2020","FQ2 2020","Currency=USD","Period=FQ","BEST_FPERIOD_OVERRIDE=FQ","FILING_STATUS=MR","SCALING_FORMAT=MLN","Sort=A","Dates=H","DateFormat=P","Fill=—","Direction=H","UseDPDF=Y")</f>
        <v>55</v>
      </c>
      <c r="J124" s="13">
        <f>_xll.BDH("AMGN US Equity","ARDR_FV_LIAB_REC_LEVEL_3","FQ3 2020","FQ3 2020","Currency=USD","Period=FQ","BEST_FPERIOD_OVERRIDE=FQ","FILING_STATUS=MR","SCALING_FORMAT=MLN","Sort=A","Dates=H","DateFormat=P","Fill=—","Direction=H","UseDPDF=Y")</f>
        <v>54</v>
      </c>
      <c r="K124" s="13">
        <f>_xll.BDH("AMGN US Equity","ARDR_FV_LIAB_REC_LEVEL_3","FQ4 2020","FQ4 2020","Currency=USD","Period=FQ","BEST_FPERIOD_OVERRIDE=FQ","FILING_STATUS=MR","SCALING_FORMAT=MLN","Sort=A","Dates=H","DateFormat=P","Fill=—","Direction=H","UseDPDF=Y")</f>
        <v>33</v>
      </c>
      <c r="L124" s="13">
        <f>_xll.BDH("AMGN US Equity","ARDR_FV_LIAB_REC_LEVEL_3","FQ1 2021","FQ1 2021","Currency=USD","Period=FQ","BEST_FPERIOD_OVERRIDE=FQ","FILING_STATUS=MR","SCALING_FORMAT=MLN","Sort=A","Dates=H","DateFormat=P","Fill=—","Direction=H","UseDPDF=Y")</f>
        <v>39</v>
      </c>
      <c r="M124" s="13">
        <f>_xll.BDH("AMGN US Equity","ARDR_FV_LIAB_REC_LEVEL_3","FQ2 2021","FQ2 2021","Currency=USD","Period=FQ","BEST_FPERIOD_OVERRIDE=FQ","FILING_STATUS=MR","SCALING_FORMAT=MLN","Sort=A","Dates=H","DateFormat=P","Fill=—","Direction=H","UseDPDF=Y")</f>
        <v>48</v>
      </c>
      <c r="N124" s="13">
        <f>_xll.BDH("AMGN US Equity","ARDR_FV_LIAB_REC_LEVEL_3","FQ3 2021","FQ3 2021","Currency=USD","Period=FQ","BEST_FPERIOD_OVERRIDE=FQ","FILING_STATUS=MR","SCALING_FORMAT=MLN","Sort=A","Dates=H","DateFormat=P","Fill=—","Direction=H","UseDPDF=Y")</f>
        <v>35</v>
      </c>
      <c r="O124" s="13">
        <f>_xll.BDH("AMGN US Equity","ARDR_FV_LIAB_REC_LEVEL_3","FQ4 2021","FQ4 2021","Currency=USD","Period=FQ","BEST_FPERIOD_OVERRIDE=FQ","FILING_STATUS=MR","SCALING_FORMAT=MLN","Sort=A","Dates=H","DateFormat=P","Fill=—","Direction=H","UseDPDF=Y")</f>
        <v>0</v>
      </c>
      <c r="P124" s="13">
        <f>_xll.BDH("AMGN US Equity","ARDR_FV_LIAB_REC_LEVEL_3","FQ1 2022","FQ1 2022","Currency=USD","Period=FQ","BEST_FPERIOD_OVERRIDE=FQ","FILING_STATUS=MR","SCALING_FORMAT=MLN","Sort=A","Dates=H","DateFormat=P","Fill=—","Direction=H","UseDPDF=Y")</f>
        <v>330</v>
      </c>
      <c r="Q124" s="13">
        <f>_xll.BDH("AMGN US Equity","ARDR_FV_LIAB_REC_LEVEL_3","FQ2 2022","FQ2 2022","Currency=USD","Period=FQ","BEST_FPERIOD_OVERRIDE=FQ","FILING_STATUS=MR","SCALING_FORMAT=MLN","Sort=A","Dates=H","DateFormat=P","Fill=—","Direction=H","UseDPDF=Y")</f>
        <v>310</v>
      </c>
      <c r="R124" s="13">
        <f>_xll.BDH("AMGN US Equity","ARDR_FV_LIAB_REC_LEVEL_3","FQ3 2022","FQ3 2022","Currency=USD","Period=FQ","BEST_FPERIOD_OVERRIDE=FQ","FILING_STATUS=MR","SCALING_FORMAT=MLN","Sort=A","Dates=H","DateFormat=P","Fill=—","Direction=H","UseDPDF=Y")</f>
        <v>302</v>
      </c>
      <c r="S124" s="13">
        <f>_xll.BDH("AMGN US Equity","ARDR_FV_LIAB_REC_LEVEL_3","FQ4 2022","FQ4 2022","Currency=USD","Period=FQ","BEST_FPERIOD_OVERRIDE=FQ","FILING_STATUS=MR","SCALING_FORMAT=MLN","Sort=A","Dates=H","DateFormat=P","Fill=—","Direction=H","UseDPDF=Y")</f>
        <v>270</v>
      </c>
      <c r="T124" s="13">
        <f>_xll.BDH("AMGN US Equity","ARDR_FV_LIAB_REC_LEVEL_3","FQ1 2023","FQ1 2023","Currency=USD","Period=FQ","BEST_FPERIOD_OVERRIDE=FQ","FILING_STATUS=MR","SCALING_FORMAT=MLN","Sort=A","Dates=H","DateFormat=P","Fill=—","Direction=H","UseDPDF=Y")</f>
        <v>273</v>
      </c>
      <c r="U124" s="13">
        <f>_xll.BDH("AMGN US Equity","ARDR_FV_LIAB_REC_LEVEL_3","FQ2 2023","FQ2 2023","Currency=USD","Period=FQ","BEST_FPERIOD_OVERRIDE=FQ","FILING_STATUS=MR","SCALING_FORMAT=MLN","Sort=A","Dates=H","DateFormat=P","Fill=—","Direction=H","UseDPDF=Y")</f>
        <v>248</v>
      </c>
      <c r="V124" s="13">
        <f>_xll.BDH("AMGN US Equity","ARDR_FV_LIAB_REC_LEVEL_3","FQ3 2023","FQ3 2023","Currency=USD","Period=FQ","BEST_FPERIOD_OVERRIDE=FQ","FILING_STATUS=MR","SCALING_FORMAT=MLN","Sort=A","Dates=H","DateFormat=P","Fill=—","Direction=H","UseDPDF=Y")</f>
        <v>98</v>
      </c>
      <c r="W124" s="13">
        <f>_xll.BDH("AMGN US Equity","ARDR_FV_LIAB_REC_LEVEL_3","FQ4 2023","FQ4 2023","Currency=USD","Period=FQ","BEST_FPERIOD_OVERRIDE=FQ","FILING_STATUS=MR","SCALING_FORMAT=MLN","Sort=A","Dates=H","DateFormat=P","Fill=—","Direction=H","UseDPDF=Y")</f>
        <v>96</v>
      </c>
      <c r="X124" s="13">
        <f>_xll.BDH("AMGN US Equity","ARDR_FV_LIAB_REC_LEVEL_3","FQ1 2024","FQ1 2024","Currency=USD","Period=FQ","BEST_FPERIOD_OVERRIDE=FQ","FILING_STATUS=MR","SCALING_FORMAT=MLN","Sort=A","Dates=H","DateFormat=P","Fill=—","Direction=H","UseDPDF=Y")</f>
        <v>96</v>
      </c>
      <c r="Y124" s="13">
        <f>_xll.BDH("AMGN US Equity","ARDR_FV_LIAB_REC_LEVEL_3","FQ2 2024","FQ2 2024","Currency=USD","Period=FQ","BEST_FPERIOD_OVERRIDE=FQ","FILING_STATUS=MR","SCALING_FORMAT=MLN","Sort=A","Dates=H","DateFormat=P","Fill=—","Direction=H","UseDPDF=Y")</f>
        <v>107</v>
      </c>
      <c r="Z124" s="13">
        <f>_xll.BDH("AMGN US Equity","ARDR_FV_LIAB_REC_LEVEL_3","FQ3 2024","FQ3 2024","Currency=USD","Period=FQ","BEST_FPERIOD_OVERRIDE=FQ","FILING_STATUS=MR","SCALING_FORMAT=MLN","Sort=A","Dates=H","DateFormat=P","Fill=—","Direction=H","UseDPDF=Y")</f>
        <v>112</v>
      </c>
      <c r="AA124" s="13">
        <f>_xll.BDH("AMGN US Equity","ARDR_FV_LIAB_REC_LEVEL_3","FQ4 2024","FQ4 2024","Currency=USD","Period=FQ","BEST_FPERIOD_OVERRIDE=FQ","FILING_STATUS=MR","SCALING_FORMAT=MLN","Sort=A","Dates=H","DateFormat=P","Fill=—","Direction=H","UseDPDF=Y")</f>
        <v>106</v>
      </c>
    </row>
    <row r="125" spans="1:27" x14ac:dyDescent="0.25">
      <c r="A125" s="10" t="s">
        <v>1064</v>
      </c>
      <c r="B125" s="10" t="s">
        <v>1065</v>
      </c>
      <c r="C125" s="13">
        <f>_xll.BDH("AMGN US Equity","ARDR_FV_LIAB_REC_TOTAL","FQ4 2018","FQ4 2018","Currency=USD","Period=FQ","BEST_FPERIOD_OVERRIDE=FQ","FILING_STATUS=MR","SCALING_FORMAT=MLN","Sort=A","Dates=H","DateFormat=P","Fill=—","Direction=H","UseDPDF=Y")</f>
        <v>648</v>
      </c>
      <c r="D125" s="13">
        <f>_xll.BDH("AMGN US Equity","ARDR_FV_LIAB_REC_TOTAL","FQ1 2019","FQ1 2019","Currency=USD","Period=FQ","BEST_FPERIOD_OVERRIDE=FQ","FILING_STATUS=MR","SCALING_FORMAT=MLN","Sort=A","Dates=H","DateFormat=P","Fill=—","Direction=H","UseDPDF=Y")</f>
        <v>557</v>
      </c>
      <c r="E125" s="13">
        <f>_xll.BDH("AMGN US Equity","ARDR_FV_LIAB_REC_TOTAL","FQ2 2019","FQ2 2019","Currency=USD","Period=FQ","BEST_FPERIOD_OVERRIDE=FQ","FILING_STATUS=MR","SCALING_FORMAT=MLN","Sort=A","Dates=H","DateFormat=P","Fill=—","Direction=H","UseDPDF=Y")</f>
        <v>593</v>
      </c>
      <c r="F125" s="13">
        <f>_xll.BDH("AMGN US Equity","ARDR_FV_LIAB_REC_TOTAL","FQ3 2019","FQ3 2019","Currency=USD","Period=FQ","BEST_FPERIOD_OVERRIDE=FQ","FILING_STATUS=MR","SCALING_FORMAT=MLN","Sort=A","Dates=H","DateFormat=P","Fill=—","Direction=H","UseDPDF=Y")</f>
        <v>546</v>
      </c>
      <c r="G125" s="13">
        <f>_xll.BDH("AMGN US Equity","ARDR_FV_LIAB_REC_TOTAL","FQ4 2019","FQ4 2019","Currency=USD","Period=FQ","BEST_FPERIOD_OVERRIDE=FQ","FILING_STATUS=MR","SCALING_FORMAT=MLN","Sort=A","Dates=H","DateFormat=P","Fill=—","Direction=H","UseDPDF=Y")</f>
        <v>407</v>
      </c>
      <c r="H125" s="13">
        <f>_xll.BDH("AMGN US Equity","ARDR_FV_LIAB_REC_TOTAL","FQ1 2020","FQ1 2020","Currency=USD","Period=FQ","BEST_FPERIOD_OVERRIDE=FQ","FILING_STATUS=MR","SCALING_FORMAT=MLN","Sort=A","Dates=H","DateFormat=P","Fill=—","Direction=H","UseDPDF=Y")</f>
        <v>745</v>
      </c>
      <c r="I125" s="13">
        <f>_xll.BDH("AMGN US Equity","ARDR_FV_LIAB_REC_TOTAL","FQ2 2020","FQ2 2020","Currency=USD","Period=FQ","BEST_FPERIOD_OVERRIDE=FQ","FILING_STATUS=MR","SCALING_FORMAT=MLN","Sort=A","Dates=H","DateFormat=P","Fill=—","Direction=H","UseDPDF=Y")</f>
        <v>687</v>
      </c>
      <c r="J125" s="13">
        <f>_xll.BDH("AMGN US Equity","ARDR_FV_LIAB_REC_TOTAL","FQ3 2020","FQ3 2020","Currency=USD","Period=FQ","BEST_FPERIOD_OVERRIDE=FQ","FILING_STATUS=MR","SCALING_FORMAT=MLN","Sort=A","Dates=H","DateFormat=P","Fill=—","Direction=H","UseDPDF=Y")</f>
        <v>627</v>
      </c>
      <c r="K125" s="13">
        <f>_xll.BDH("AMGN US Equity","ARDR_FV_LIAB_REC_TOTAL","FQ4 2020","FQ4 2020","Currency=USD","Period=FQ","BEST_FPERIOD_OVERRIDE=FQ","FILING_STATUS=MR","SCALING_FORMAT=MLN","Sort=A","Dates=H","DateFormat=P","Fill=—","Direction=H","UseDPDF=Y")</f>
        <v>603</v>
      </c>
      <c r="L125" s="13">
        <f>_xll.BDH("AMGN US Equity","ARDR_FV_LIAB_REC_TOTAL","FQ1 2021","FQ1 2021","Currency=USD","Period=FQ","BEST_FPERIOD_OVERRIDE=FQ","FILING_STATUS=MR","SCALING_FORMAT=MLN","Sort=A","Dates=H","DateFormat=P","Fill=—","Direction=H","UseDPDF=Y")</f>
        <v>571</v>
      </c>
      <c r="M125" s="13">
        <f>_xll.BDH("AMGN US Equity","ARDR_FV_LIAB_REC_TOTAL","FQ2 2021","FQ2 2021","Currency=USD","Period=FQ","BEST_FPERIOD_OVERRIDE=FQ","FILING_STATUS=MR","SCALING_FORMAT=MLN","Sort=A","Dates=H","DateFormat=P","Fill=—","Direction=H","UseDPDF=Y")</f>
        <v>562</v>
      </c>
      <c r="N125" s="13">
        <f>_xll.BDH("AMGN US Equity","ARDR_FV_LIAB_REC_TOTAL","FQ3 2021","FQ3 2021","Currency=USD","Period=FQ","BEST_FPERIOD_OVERRIDE=FQ","FILING_STATUS=MR","SCALING_FORMAT=MLN","Sort=A","Dates=H","DateFormat=P","Fill=—","Direction=H","UseDPDF=Y")</f>
        <v>554</v>
      </c>
      <c r="O125" s="13">
        <f>_xll.BDH("AMGN US Equity","ARDR_FV_LIAB_REC_TOTAL","FQ4 2021","FQ4 2021","Currency=USD","Period=FQ","BEST_FPERIOD_OVERRIDE=FQ","FILING_STATUS=MR","SCALING_FORMAT=MLN","Sort=A","Dates=H","DateFormat=P","Fill=—","Direction=H","UseDPDF=Y")</f>
        <v>534</v>
      </c>
      <c r="P125" s="13">
        <f>_xll.BDH("AMGN US Equity","ARDR_FV_LIAB_REC_TOTAL","FQ1 2022","FQ1 2022","Currency=USD","Period=FQ","BEST_FPERIOD_OVERRIDE=FQ","FILING_STATUS=MR","SCALING_FORMAT=MLN","Sort=A","Dates=H","DateFormat=P","Fill=—","Direction=H","UseDPDF=Y")</f>
        <v>1195</v>
      </c>
      <c r="Q125" s="13">
        <f>_xll.BDH("AMGN US Equity","ARDR_FV_LIAB_REC_TOTAL","FQ2 2022","FQ2 2022","Currency=USD","Period=FQ","BEST_FPERIOD_OVERRIDE=FQ","FILING_STATUS=MR","SCALING_FORMAT=MLN","Sort=A","Dates=H","DateFormat=P","Fill=—","Direction=H","UseDPDF=Y")</f>
        <v>1434</v>
      </c>
      <c r="R125" s="13">
        <f>_xll.BDH("AMGN US Equity","ARDR_FV_LIAB_REC_TOTAL","FQ3 2022","FQ3 2022","Currency=USD","Period=FQ","BEST_FPERIOD_OVERRIDE=FQ","FILING_STATUS=MR","SCALING_FORMAT=MLN","Sort=A","Dates=H","DateFormat=P","Fill=—","Direction=H","UseDPDF=Y")</f>
        <v>1888</v>
      </c>
      <c r="S125" s="13">
        <f>_xll.BDH("AMGN US Equity","ARDR_FV_LIAB_REC_TOTAL","FQ4 2022","FQ4 2022","Currency=USD","Period=FQ","BEST_FPERIOD_OVERRIDE=FQ","FILING_STATUS=MR","SCALING_FORMAT=MLN","Sort=A","Dates=H","DateFormat=P","Fill=—","Direction=H","UseDPDF=Y")</f>
        <v>1668</v>
      </c>
      <c r="T125" s="13">
        <f>_xll.BDH("AMGN US Equity","ARDR_FV_LIAB_REC_TOTAL","FQ1 2023","FQ1 2023","Currency=USD","Period=FQ","BEST_FPERIOD_OVERRIDE=FQ","FILING_STATUS=MR","SCALING_FORMAT=MLN","Sort=A","Dates=H","DateFormat=P","Fill=—","Direction=H","UseDPDF=Y")</f>
        <v>1525</v>
      </c>
      <c r="U125" s="13">
        <f>_xll.BDH("AMGN US Equity","ARDR_FV_LIAB_REC_TOTAL","FQ2 2023","FQ2 2023","Currency=USD","Period=FQ","BEST_FPERIOD_OVERRIDE=FQ","FILING_STATUS=MR","SCALING_FORMAT=MLN","Sort=A","Dates=H","DateFormat=P","Fill=—","Direction=H","UseDPDF=Y")</f>
        <v>1559</v>
      </c>
      <c r="V125" s="13">
        <f>_xll.BDH("AMGN US Equity","ARDR_FV_LIAB_REC_TOTAL","FQ3 2023","FQ3 2023","Currency=USD","Period=FQ","BEST_FPERIOD_OVERRIDE=FQ","FILING_STATUS=MR","SCALING_FORMAT=MLN","Sort=A","Dates=H","DateFormat=P","Fill=—","Direction=H","UseDPDF=Y")</f>
        <v>1412</v>
      </c>
      <c r="W125" s="13">
        <f>_xll.BDH("AMGN US Equity","ARDR_FV_LIAB_REC_TOTAL","FQ4 2023","FQ4 2023","Currency=USD","Period=FQ","BEST_FPERIOD_OVERRIDE=FQ","FILING_STATUS=MR","SCALING_FORMAT=MLN","Sort=A","Dates=H","DateFormat=P","Fill=—","Direction=H","UseDPDF=Y")</f>
        <v>1188</v>
      </c>
      <c r="X125" s="13">
        <f>_xll.BDH("AMGN US Equity","ARDR_FV_LIAB_REC_TOTAL","FQ1 2024","FQ1 2024","Currency=USD","Period=FQ","BEST_FPERIOD_OVERRIDE=FQ","FILING_STATUS=MR","SCALING_FORMAT=MLN","Sort=A","Dates=H","DateFormat=P","Fill=—","Direction=H","UseDPDF=Y")</f>
        <v>1168</v>
      </c>
      <c r="Y125" s="13">
        <f>_xll.BDH("AMGN US Equity","ARDR_FV_LIAB_REC_TOTAL","FQ2 2024","FQ2 2024","Currency=USD","Period=FQ","BEST_FPERIOD_OVERRIDE=FQ","FILING_STATUS=MR","SCALING_FORMAT=MLN","Sort=A","Dates=H","DateFormat=P","Fill=—","Direction=H","UseDPDF=Y")</f>
        <v>1134</v>
      </c>
      <c r="Z125" s="13">
        <f>_xll.BDH("AMGN US Equity","ARDR_FV_LIAB_REC_TOTAL","FQ3 2024","FQ3 2024","Currency=USD","Period=FQ","BEST_FPERIOD_OVERRIDE=FQ","FILING_STATUS=MR","SCALING_FORMAT=MLN","Sort=A","Dates=H","DateFormat=P","Fill=—","Direction=H","UseDPDF=Y")</f>
        <v>998</v>
      </c>
      <c r="AA125" s="13">
        <f>_xll.BDH("AMGN US Equity","ARDR_FV_LIAB_REC_TOTAL","FQ4 2024","FQ4 2024","Currency=USD","Period=FQ","BEST_FPERIOD_OVERRIDE=FQ","FILING_STATUS=MR","SCALING_FORMAT=MLN","Sort=A","Dates=H","DateFormat=P","Fill=—","Direction=H","UseDPDF=Y")</f>
        <v>1128</v>
      </c>
    </row>
    <row r="126" spans="1:27" x14ac:dyDescent="0.25">
      <c r="A126" s="10" t="s">
        <v>1066</v>
      </c>
      <c r="B126" s="10" t="s">
        <v>1067</v>
      </c>
      <c r="C126" s="13" t="str">
        <f>_xll.BDH("AMGN US Equity","ARDR_OPTIONS_CANCELLED_FORFEITED","FQ4 2018","FQ4 2018","Currency=USD","Period=FQ","BEST_FPERIOD_OVERRIDE=FQ","FILING_STATUS=MR","SCALING_FORMAT=MLN","Sort=A","Dates=H","DateFormat=P","Fill=—","Direction=H","UseDPDF=Y")</f>
        <v>—</v>
      </c>
      <c r="D126" s="13" t="str">
        <f>_xll.BDH("AMGN US Equity","ARDR_OPTIONS_CANCELLED_FORFEITED","FQ1 2019","FQ1 2019","Currency=USD","Period=FQ","BEST_FPERIOD_OVERRIDE=FQ","FILING_STATUS=MR","SCALING_FORMAT=MLN","Sort=A","Dates=H","DateFormat=P","Fill=—","Direction=H","UseDPDF=Y")</f>
        <v>—</v>
      </c>
      <c r="E126" s="13" t="str">
        <f>_xll.BDH("AMGN US Equity","ARDR_OPTIONS_CANCELLED_FORFEITED","FQ2 2019","FQ2 2019","Currency=USD","Period=FQ","BEST_FPERIOD_OVERRIDE=FQ","FILING_STATUS=MR","SCALING_FORMAT=MLN","Sort=A","Dates=H","DateFormat=P","Fill=—","Direction=H","UseDPDF=Y")</f>
        <v>—</v>
      </c>
      <c r="F126" s="13" t="str">
        <f>_xll.BDH("AMGN US Equity","ARDR_OPTIONS_CANCELLED_FORFEITED","FQ3 2019","FQ3 2019","Currency=USD","Period=FQ","BEST_FPERIOD_OVERRIDE=FQ","FILING_STATUS=MR","SCALING_FORMAT=MLN","Sort=A","Dates=H","DateFormat=P","Fill=—","Direction=H","UseDPDF=Y")</f>
        <v>—</v>
      </c>
      <c r="G126" s="13" t="str">
        <f>_xll.BDH("AMGN US Equity","ARDR_OPTIONS_CANCELLED_FORFEITED","FQ4 2019","FQ4 2019","Currency=USD","Period=FQ","BEST_FPERIOD_OVERRIDE=FQ","FILING_STATUS=MR","SCALING_FORMAT=MLN","Sort=A","Dates=H","DateFormat=P","Fill=—","Direction=H","UseDPDF=Y")</f>
        <v>—</v>
      </c>
      <c r="H126" s="13" t="str">
        <f>_xll.BDH("AMGN US Equity","ARDR_OPTIONS_CANCELLED_FORFEITED","FQ1 2020","FQ1 2020","Currency=USD","Period=FQ","BEST_FPERIOD_OVERRIDE=FQ","FILING_STATUS=MR","SCALING_FORMAT=MLN","Sort=A","Dates=H","DateFormat=P","Fill=—","Direction=H","UseDPDF=Y")</f>
        <v>—</v>
      </c>
      <c r="I126" s="13" t="str">
        <f>_xll.BDH("AMGN US Equity","ARDR_OPTIONS_CANCELLED_FORFEITED","FQ2 2020","FQ2 2020","Currency=USD","Period=FQ","BEST_FPERIOD_OVERRIDE=FQ","FILING_STATUS=MR","SCALING_FORMAT=MLN","Sort=A","Dates=H","DateFormat=P","Fill=—","Direction=H","UseDPDF=Y")</f>
        <v>—</v>
      </c>
      <c r="J126" s="13" t="str">
        <f>_xll.BDH("AMGN US Equity","ARDR_OPTIONS_CANCELLED_FORFEITED","FQ3 2020","FQ3 2020","Currency=USD","Period=FQ","BEST_FPERIOD_OVERRIDE=FQ","FILING_STATUS=MR","SCALING_FORMAT=MLN","Sort=A","Dates=H","DateFormat=P","Fill=—","Direction=H","UseDPDF=Y")</f>
        <v>—</v>
      </c>
      <c r="K126" s="13">
        <f>_xll.BDH("AMGN US Equity","ARDR_OPTIONS_CANCELLED_FORFEITED","FQ4 2020","FQ4 2020","Currency=USD","Period=FQ","BEST_FPERIOD_OVERRIDE=FQ","FILING_STATUS=MR","SCALING_FORMAT=MLN","Sort=A","Dates=H","DateFormat=P","Fill=—","Direction=H","UseDPDF=Y")</f>
        <v>0.2</v>
      </c>
      <c r="L126" s="13" t="str">
        <f>_xll.BDH("AMGN US Equity","ARDR_OPTIONS_CANCELLED_FORFEITED","FQ1 2021","FQ1 2021","Currency=USD","Period=FQ","BEST_FPERIOD_OVERRIDE=FQ","FILING_STATUS=MR","SCALING_FORMAT=MLN","Sort=A","Dates=H","DateFormat=P","Fill=—","Direction=H","UseDPDF=Y")</f>
        <v>—</v>
      </c>
      <c r="M126" s="13" t="str">
        <f>_xll.BDH("AMGN US Equity","ARDR_OPTIONS_CANCELLED_FORFEITED","FQ2 2021","FQ2 2021","Currency=USD","Period=FQ","BEST_FPERIOD_OVERRIDE=FQ","FILING_STATUS=MR","SCALING_FORMAT=MLN","Sort=A","Dates=H","DateFormat=P","Fill=—","Direction=H","UseDPDF=Y")</f>
        <v>—</v>
      </c>
      <c r="N126" s="13" t="str">
        <f>_xll.BDH("AMGN US Equity","ARDR_OPTIONS_CANCELLED_FORFEITED","FQ3 2021","FQ3 2021","Currency=USD","Period=FQ","BEST_FPERIOD_OVERRIDE=FQ","FILING_STATUS=MR","SCALING_FORMAT=MLN","Sort=A","Dates=H","DateFormat=P","Fill=—","Direction=H","UseDPDF=Y")</f>
        <v>—</v>
      </c>
      <c r="O126" s="13">
        <f>_xll.BDH("AMGN US Equity","ARDR_OPTIONS_CANCELLED_FORFEITED","FQ4 2021","FQ4 2021","Currency=USD","Period=FQ","BEST_FPERIOD_OVERRIDE=FQ","FILING_STATUS=MR","SCALING_FORMAT=MLN","Sort=A","Dates=H","DateFormat=P","Fill=—","Direction=H","UseDPDF=Y")</f>
        <v>0.4</v>
      </c>
      <c r="P126" s="13" t="str">
        <f>_xll.BDH("AMGN US Equity","ARDR_OPTIONS_CANCELLED_FORFEITED","FQ1 2022","FQ1 2022","Currency=USD","Period=FQ","BEST_FPERIOD_OVERRIDE=FQ","FILING_STATUS=MR","SCALING_FORMAT=MLN","Sort=A","Dates=H","DateFormat=P","Fill=—","Direction=H","UseDPDF=Y")</f>
        <v>—</v>
      </c>
      <c r="Q126" s="13" t="str">
        <f>_xll.BDH("AMGN US Equity","ARDR_OPTIONS_CANCELLED_FORFEITED","FQ2 2022","FQ2 2022","Currency=USD","Period=FQ","BEST_FPERIOD_OVERRIDE=FQ","FILING_STATUS=MR","SCALING_FORMAT=MLN","Sort=A","Dates=H","DateFormat=P","Fill=—","Direction=H","UseDPDF=Y")</f>
        <v>—</v>
      </c>
      <c r="R126" s="13" t="str">
        <f>_xll.BDH("AMGN US Equity","ARDR_OPTIONS_CANCELLED_FORFEITED","FQ3 2022","FQ3 2022","Currency=USD","Period=FQ","BEST_FPERIOD_OVERRIDE=FQ","FILING_STATUS=MR","SCALING_FORMAT=MLN","Sort=A","Dates=H","DateFormat=P","Fill=—","Direction=H","UseDPDF=Y")</f>
        <v>—</v>
      </c>
      <c r="S126" s="13" t="str">
        <f>_xll.BDH("AMGN US Equity","ARDR_OPTIONS_CANCELLED_FORFEITED","FQ4 2022","FQ4 2022","Currency=USD","Period=FQ","BEST_FPERIOD_OVERRIDE=FQ","FILING_STATUS=MR","SCALING_FORMAT=MLN","Sort=A","Dates=H","DateFormat=P","Fill=—","Direction=H","UseDPDF=Y")</f>
        <v>—</v>
      </c>
      <c r="T126" s="13" t="str">
        <f>_xll.BDH("AMGN US Equity","ARDR_OPTIONS_CANCELLED_FORFEITED","FQ1 2023","FQ1 2023","Currency=USD","Period=FQ","BEST_FPERIOD_OVERRIDE=FQ","FILING_STATUS=MR","SCALING_FORMAT=MLN","Sort=A","Dates=H","DateFormat=P","Fill=—","Direction=H","UseDPDF=Y")</f>
        <v>—</v>
      </c>
      <c r="U126" s="13" t="str">
        <f>_xll.BDH("AMGN US Equity","ARDR_OPTIONS_CANCELLED_FORFEITED","FQ2 2023","FQ2 2023","Currency=USD","Period=FQ","BEST_FPERIOD_OVERRIDE=FQ","FILING_STATUS=MR","SCALING_FORMAT=MLN","Sort=A","Dates=H","DateFormat=P","Fill=—","Direction=H","UseDPDF=Y")</f>
        <v>—</v>
      </c>
      <c r="V126" s="13" t="str">
        <f>_xll.BDH("AMGN US Equity","ARDR_OPTIONS_CANCELLED_FORFEITED","FQ3 2023","FQ3 2023","Currency=USD","Period=FQ","BEST_FPERIOD_OVERRIDE=FQ","FILING_STATUS=MR","SCALING_FORMAT=MLN","Sort=A","Dates=H","DateFormat=P","Fill=—","Direction=H","UseDPDF=Y")</f>
        <v>—</v>
      </c>
      <c r="W126" s="13" t="str">
        <f>_xll.BDH("AMGN US Equity","ARDR_OPTIONS_CANCELLED_FORFEITED","FQ4 2023","FQ4 2023","Currency=USD","Period=FQ","BEST_FPERIOD_OVERRIDE=FQ","FILING_STATUS=MR","SCALING_FORMAT=MLN","Sort=A","Dates=H","DateFormat=P","Fill=—","Direction=H","UseDPDF=Y")</f>
        <v>—</v>
      </c>
      <c r="X126" s="13" t="str">
        <f>_xll.BDH("AMGN US Equity","ARDR_OPTIONS_CANCELLED_FORFEITED","FQ1 2024","FQ1 2024","Currency=USD","Period=FQ","BEST_FPERIOD_OVERRIDE=FQ","FILING_STATUS=MR","SCALING_FORMAT=MLN","Sort=A","Dates=H","DateFormat=P","Fill=—","Direction=H","UseDPDF=Y")</f>
        <v>—</v>
      </c>
      <c r="Y126" s="13" t="str">
        <f>_xll.BDH("AMGN US Equity","ARDR_OPTIONS_CANCELLED_FORFEITED","FQ2 2024","FQ2 2024","Currency=USD","Period=FQ","BEST_FPERIOD_OVERRIDE=FQ","FILING_STATUS=MR","SCALING_FORMAT=MLN","Sort=A","Dates=H","DateFormat=P","Fill=—","Direction=H","UseDPDF=Y")</f>
        <v>—</v>
      </c>
      <c r="Z126" s="13" t="str">
        <f>_xll.BDH("AMGN US Equity","ARDR_OPTIONS_CANCELLED_FORFEITED","FQ3 2024","FQ3 2024","Currency=USD","Period=FQ","BEST_FPERIOD_OVERRIDE=FQ","FILING_STATUS=MR","SCALING_FORMAT=MLN","Sort=A","Dates=H","DateFormat=P","Fill=—","Direction=H","UseDPDF=Y")</f>
        <v>—</v>
      </c>
      <c r="AA126" s="13" t="str">
        <f>_xll.BDH("AMGN US Equity","ARDR_OPTIONS_CANCELLED_FORFEITED","FQ4 2024","FQ4 2024","Currency=USD","Period=FQ","BEST_FPERIOD_OVERRIDE=FQ","FILING_STATUS=MR","SCALING_FORMAT=MLN","Sort=A","Dates=H","DateFormat=P","Fill=—","Direction=H","UseDPDF=Y")</f>
        <v>—</v>
      </c>
    </row>
    <row r="127" spans="1:27" x14ac:dyDescent="0.25">
      <c r="A127" s="10" t="s">
        <v>1068</v>
      </c>
      <c r="B127" s="10" t="s">
        <v>1069</v>
      </c>
      <c r="C127" s="13">
        <f>_xll.BDH("AMGN US Equity","ARDR_CONTRACTUAL_OBLIG_YEAR_1","FQ4 2018","FQ4 2018","Currency=USD","Period=FQ","BEST_FPERIOD_OVERRIDE=FQ","FILING_STATUS=MR","SCALING_FORMAT=MLN","Sort=A","Dates=H","DateFormat=P","Fill=—","Direction=H","UseDPDF=Y")</f>
        <v>7215</v>
      </c>
      <c r="D127" s="13" t="str">
        <f>_xll.BDH("AMGN US Equity","ARDR_CONTRACTUAL_OBLIG_YEAR_1","FQ1 2019","FQ1 2019","Currency=USD","Period=FQ","BEST_FPERIOD_OVERRIDE=FQ","FILING_STATUS=MR","SCALING_FORMAT=MLN","Sort=A","Dates=H","DateFormat=P","Fill=—","Direction=H","UseDPDF=Y")</f>
        <v>—</v>
      </c>
      <c r="E127" s="13" t="str">
        <f>_xll.BDH("AMGN US Equity","ARDR_CONTRACTUAL_OBLIG_YEAR_1","FQ2 2019","FQ2 2019","Currency=USD","Period=FQ","BEST_FPERIOD_OVERRIDE=FQ","FILING_STATUS=MR","SCALING_FORMAT=MLN","Sort=A","Dates=H","DateFormat=P","Fill=—","Direction=H","UseDPDF=Y")</f>
        <v>—</v>
      </c>
      <c r="F127" s="13" t="str">
        <f>_xll.BDH("AMGN US Equity","ARDR_CONTRACTUAL_OBLIG_YEAR_1","FQ3 2019","FQ3 2019","Currency=USD","Period=FQ","BEST_FPERIOD_OVERRIDE=FQ","FILING_STATUS=MR","SCALING_FORMAT=MLN","Sort=A","Dates=H","DateFormat=P","Fill=—","Direction=H","UseDPDF=Y")</f>
        <v>—</v>
      </c>
      <c r="G127" s="13">
        <f>_xll.BDH("AMGN US Equity","ARDR_CONTRACTUAL_OBLIG_YEAR_1","FQ4 2019","FQ4 2019","Currency=USD","Period=FQ","BEST_FPERIOD_OVERRIDE=FQ","FILING_STATUS=MR","SCALING_FORMAT=MLN","Sort=A","Dates=H","DateFormat=P","Fill=—","Direction=H","UseDPDF=Y")</f>
        <v>6344</v>
      </c>
      <c r="H127" s="13" t="str">
        <f>_xll.BDH("AMGN US Equity","ARDR_CONTRACTUAL_OBLIG_YEAR_1","FQ1 2020","FQ1 2020","Currency=USD","Period=FQ","BEST_FPERIOD_OVERRIDE=FQ","FILING_STATUS=MR","SCALING_FORMAT=MLN","Sort=A","Dates=H","DateFormat=P","Fill=—","Direction=H","UseDPDF=Y")</f>
        <v>—</v>
      </c>
      <c r="I127" s="13" t="str">
        <f>_xll.BDH("AMGN US Equity","ARDR_CONTRACTUAL_OBLIG_YEAR_1","FQ2 2020","FQ2 2020","Currency=USD","Period=FQ","BEST_FPERIOD_OVERRIDE=FQ","FILING_STATUS=MR","SCALING_FORMAT=MLN","Sort=A","Dates=H","DateFormat=P","Fill=—","Direction=H","UseDPDF=Y")</f>
        <v>—</v>
      </c>
      <c r="J127" s="13" t="str">
        <f>_xll.BDH("AMGN US Equity","ARDR_CONTRACTUAL_OBLIG_YEAR_1","FQ3 2020","FQ3 2020","Currency=USD","Period=FQ","BEST_FPERIOD_OVERRIDE=FQ","FILING_STATUS=MR","SCALING_FORMAT=MLN","Sort=A","Dates=H","DateFormat=P","Fill=—","Direction=H","UseDPDF=Y")</f>
        <v>—</v>
      </c>
      <c r="K127" s="13">
        <f>_xll.BDH("AMGN US Equity","ARDR_CONTRACTUAL_OBLIG_YEAR_1","FQ4 2020","FQ4 2020","Currency=USD","Period=FQ","BEST_FPERIOD_OVERRIDE=FQ","FILING_STATUS=MR","SCALING_FORMAT=MLN","Sort=A","Dates=H","DateFormat=P","Fill=—","Direction=H","UseDPDF=Y")</f>
        <v>4089</v>
      </c>
      <c r="L127" s="13" t="str">
        <f>_xll.BDH("AMGN US Equity","ARDR_CONTRACTUAL_OBLIG_YEAR_1","FQ1 2021","FQ1 2021","Currency=USD","Period=FQ","BEST_FPERIOD_OVERRIDE=FQ","FILING_STATUS=MR","SCALING_FORMAT=MLN","Sort=A","Dates=H","DateFormat=P","Fill=—","Direction=H","UseDPDF=Y")</f>
        <v>—</v>
      </c>
      <c r="M127" s="13" t="str">
        <f>_xll.BDH("AMGN US Equity","ARDR_CONTRACTUAL_OBLIG_YEAR_1","FQ2 2021","FQ2 2021","Currency=USD","Period=FQ","BEST_FPERIOD_OVERRIDE=FQ","FILING_STATUS=MR","SCALING_FORMAT=MLN","Sort=A","Dates=H","DateFormat=P","Fill=—","Direction=H","UseDPDF=Y")</f>
        <v>—</v>
      </c>
      <c r="N127" s="13" t="str">
        <f>_xll.BDH("AMGN US Equity","ARDR_CONTRACTUAL_OBLIG_YEAR_1","FQ3 2021","FQ3 2021","Currency=USD","Period=FQ","BEST_FPERIOD_OVERRIDE=FQ","FILING_STATUS=MR","SCALING_FORMAT=MLN","Sort=A","Dates=H","DateFormat=P","Fill=—","Direction=H","UseDPDF=Y")</f>
        <v>—</v>
      </c>
      <c r="O127" s="13" t="str">
        <f>_xll.BDH("AMGN US Equity","ARDR_CONTRACTUAL_OBLIG_YEAR_1","FQ4 2021","FQ4 2021","Currency=USD","Period=FQ","BEST_FPERIOD_OVERRIDE=FQ","FILING_STATUS=MR","SCALING_FORMAT=MLN","Sort=A","Dates=H","DateFormat=P","Fill=—","Direction=H","UseDPDF=Y")</f>
        <v>—</v>
      </c>
      <c r="P127" s="13" t="str">
        <f>_xll.BDH("AMGN US Equity","ARDR_CONTRACTUAL_OBLIG_YEAR_1","FQ1 2022","FQ1 2022","Currency=USD","Period=FQ","BEST_FPERIOD_OVERRIDE=FQ","FILING_STATUS=MR","SCALING_FORMAT=MLN","Sort=A","Dates=H","DateFormat=P","Fill=—","Direction=H","UseDPDF=Y")</f>
        <v>—</v>
      </c>
      <c r="Q127" s="13" t="str">
        <f>_xll.BDH("AMGN US Equity","ARDR_CONTRACTUAL_OBLIG_YEAR_1","FQ2 2022","FQ2 2022","Currency=USD","Period=FQ","BEST_FPERIOD_OVERRIDE=FQ","FILING_STATUS=MR","SCALING_FORMAT=MLN","Sort=A","Dates=H","DateFormat=P","Fill=—","Direction=H","UseDPDF=Y")</f>
        <v>—</v>
      </c>
      <c r="R127" s="13" t="str">
        <f>_xll.BDH("AMGN US Equity","ARDR_CONTRACTUAL_OBLIG_YEAR_1","FQ3 2022","FQ3 2022","Currency=USD","Period=FQ","BEST_FPERIOD_OVERRIDE=FQ","FILING_STATUS=MR","SCALING_FORMAT=MLN","Sort=A","Dates=H","DateFormat=P","Fill=—","Direction=H","UseDPDF=Y")</f>
        <v>—</v>
      </c>
      <c r="S127" s="13" t="str">
        <f>_xll.BDH("AMGN US Equity","ARDR_CONTRACTUAL_OBLIG_YEAR_1","FQ4 2022","FQ4 2022","Currency=USD","Period=FQ","BEST_FPERIOD_OVERRIDE=FQ","FILING_STATUS=MR","SCALING_FORMAT=MLN","Sort=A","Dates=H","DateFormat=P","Fill=—","Direction=H","UseDPDF=Y")</f>
        <v>—</v>
      </c>
      <c r="T127" s="13" t="str">
        <f>_xll.BDH("AMGN US Equity","ARDR_CONTRACTUAL_OBLIG_YEAR_1","FQ1 2023","FQ1 2023","Currency=USD","Period=FQ","BEST_FPERIOD_OVERRIDE=FQ","FILING_STATUS=MR","SCALING_FORMAT=MLN","Sort=A","Dates=H","DateFormat=P","Fill=—","Direction=H","UseDPDF=Y")</f>
        <v>—</v>
      </c>
      <c r="U127" s="13" t="str">
        <f>_xll.BDH("AMGN US Equity","ARDR_CONTRACTUAL_OBLIG_YEAR_1","FQ2 2023","FQ2 2023","Currency=USD","Period=FQ","BEST_FPERIOD_OVERRIDE=FQ","FILING_STATUS=MR","SCALING_FORMAT=MLN","Sort=A","Dates=H","DateFormat=P","Fill=—","Direction=H","UseDPDF=Y")</f>
        <v>—</v>
      </c>
      <c r="V127" s="13" t="str">
        <f>_xll.BDH("AMGN US Equity","ARDR_CONTRACTUAL_OBLIG_YEAR_1","FQ3 2023","FQ3 2023","Currency=USD","Period=FQ","BEST_FPERIOD_OVERRIDE=FQ","FILING_STATUS=MR","SCALING_FORMAT=MLN","Sort=A","Dates=H","DateFormat=P","Fill=—","Direction=H","UseDPDF=Y")</f>
        <v>—</v>
      </c>
      <c r="W127" s="13" t="str">
        <f>_xll.BDH("AMGN US Equity","ARDR_CONTRACTUAL_OBLIG_YEAR_1","FQ4 2023","FQ4 2023","Currency=USD","Period=FQ","BEST_FPERIOD_OVERRIDE=FQ","FILING_STATUS=MR","SCALING_FORMAT=MLN","Sort=A","Dates=H","DateFormat=P","Fill=—","Direction=H","UseDPDF=Y")</f>
        <v>—</v>
      </c>
      <c r="X127" s="13" t="str">
        <f>_xll.BDH("AMGN US Equity","ARDR_CONTRACTUAL_OBLIG_YEAR_1","FQ1 2024","FQ1 2024","Currency=USD","Period=FQ","BEST_FPERIOD_OVERRIDE=FQ","FILING_STATUS=MR","SCALING_FORMAT=MLN","Sort=A","Dates=H","DateFormat=P","Fill=—","Direction=H","UseDPDF=Y")</f>
        <v>—</v>
      </c>
      <c r="Y127" s="13" t="str">
        <f>_xll.BDH("AMGN US Equity","ARDR_CONTRACTUAL_OBLIG_YEAR_1","FQ2 2024","FQ2 2024","Currency=USD","Period=FQ","BEST_FPERIOD_OVERRIDE=FQ","FILING_STATUS=MR","SCALING_FORMAT=MLN","Sort=A","Dates=H","DateFormat=P","Fill=—","Direction=H","UseDPDF=Y")</f>
        <v>—</v>
      </c>
      <c r="Z127" s="13" t="str">
        <f>_xll.BDH("AMGN US Equity","ARDR_CONTRACTUAL_OBLIG_YEAR_1","FQ3 2024","FQ3 2024","Currency=USD","Period=FQ","BEST_FPERIOD_OVERRIDE=FQ","FILING_STATUS=MR","SCALING_FORMAT=MLN","Sort=A","Dates=H","DateFormat=P","Fill=—","Direction=H","UseDPDF=Y")</f>
        <v>—</v>
      </c>
      <c r="AA127" s="13" t="str">
        <f>_xll.BDH("AMGN US Equity","ARDR_CONTRACTUAL_OBLIG_YEAR_1","FQ4 2024","FQ4 2024","Currency=USD","Period=FQ","BEST_FPERIOD_OVERRIDE=FQ","FILING_STATUS=MR","SCALING_FORMAT=MLN","Sort=A","Dates=H","DateFormat=P","Fill=—","Direction=H","UseDPDF=Y")</f>
        <v>—</v>
      </c>
    </row>
    <row r="128" spans="1:27" x14ac:dyDescent="0.25">
      <c r="A128" s="10" t="s">
        <v>1070</v>
      </c>
      <c r="B128" s="10" t="s">
        <v>1071</v>
      </c>
      <c r="C128" s="13">
        <f>_xll.BDH("AMGN US Equity","ARDR_CONTRACTUAL_OBLIG_YEAR_2_3","FQ4 2018","FQ4 2018","Currency=USD","Period=FQ","BEST_FPERIOD_OVERRIDE=FQ","FILING_STATUS=MR","SCALING_FORMAT=MLN","Sort=A","Dates=H","DateFormat=P","Fill=—","Direction=H","UseDPDF=Y")</f>
        <v>10493</v>
      </c>
      <c r="D128" s="13" t="str">
        <f>_xll.BDH("AMGN US Equity","ARDR_CONTRACTUAL_OBLIG_YEAR_2_3","FQ1 2019","FQ1 2019","Currency=USD","Period=FQ","BEST_FPERIOD_OVERRIDE=FQ","FILING_STATUS=MR","SCALING_FORMAT=MLN","Sort=A","Dates=H","DateFormat=P","Fill=—","Direction=H","UseDPDF=Y")</f>
        <v>—</v>
      </c>
      <c r="E128" s="13" t="str">
        <f>_xll.BDH("AMGN US Equity","ARDR_CONTRACTUAL_OBLIG_YEAR_2_3","FQ2 2019","FQ2 2019","Currency=USD","Period=FQ","BEST_FPERIOD_OVERRIDE=FQ","FILING_STATUS=MR","SCALING_FORMAT=MLN","Sort=A","Dates=H","DateFormat=P","Fill=—","Direction=H","UseDPDF=Y")</f>
        <v>—</v>
      </c>
      <c r="F128" s="13" t="str">
        <f>_xll.BDH("AMGN US Equity","ARDR_CONTRACTUAL_OBLIG_YEAR_2_3","FQ3 2019","FQ3 2019","Currency=USD","Period=FQ","BEST_FPERIOD_OVERRIDE=FQ","FILING_STATUS=MR","SCALING_FORMAT=MLN","Sort=A","Dates=H","DateFormat=P","Fill=—","Direction=H","UseDPDF=Y")</f>
        <v>—</v>
      </c>
      <c r="G128" s="13">
        <f>_xll.BDH("AMGN US Equity","ARDR_CONTRACTUAL_OBLIG_YEAR_2_3","FQ4 2019","FQ4 2019","Currency=USD","Period=FQ","BEST_FPERIOD_OVERRIDE=FQ","FILING_STATUS=MR","SCALING_FORMAT=MLN","Sort=A","Dates=H","DateFormat=P","Fill=—","Direction=H","UseDPDF=Y")</f>
        <v>11307</v>
      </c>
      <c r="H128" s="13" t="str">
        <f>_xll.BDH("AMGN US Equity","ARDR_CONTRACTUAL_OBLIG_YEAR_2_3","FQ1 2020","FQ1 2020","Currency=USD","Period=FQ","BEST_FPERIOD_OVERRIDE=FQ","FILING_STATUS=MR","SCALING_FORMAT=MLN","Sort=A","Dates=H","DateFormat=P","Fill=—","Direction=H","UseDPDF=Y")</f>
        <v>—</v>
      </c>
      <c r="I128" s="13" t="str">
        <f>_xll.BDH("AMGN US Equity","ARDR_CONTRACTUAL_OBLIG_YEAR_2_3","FQ2 2020","FQ2 2020","Currency=USD","Period=FQ","BEST_FPERIOD_OVERRIDE=FQ","FILING_STATUS=MR","SCALING_FORMAT=MLN","Sort=A","Dates=H","DateFormat=P","Fill=—","Direction=H","UseDPDF=Y")</f>
        <v>—</v>
      </c>
      <c r="J128" s="13" t="str">
        <f>_xll.BDH("AMGN US Equity","ARDR_CONTRACTUAL_OBLIG_YEAR_2_3","FQ3 2020","FQ3 2020","Currency=USD","Period=FQ","BEST_FPERIOD_OVERRIDE=FQ","FILING_STATUS=MR","SCALING_FORMAT=MLN","Sort=A","Dates=H","DateFormat=P","Fill=—","Direction=H","UseDPDF=Y")</f>
        <v>—</v>
      </c>
      <c r="K128" s="13">
        <f>_xll.BDH("AMGN US Equity","ARDR_CONTRACTUAL_OBLIG_YEAR_2_3","FQ4 2020","FQ4 2020","Currency=USD","Period=FQ","BEST_FPERIOD_OVERRIDE=FQ","FILING_STATUS=MR","SCALING_FORMAT=MLN","Sort=A","Dates=H","DateFormat=P","Fill=—","Direction=H","UseDPDF=Y")</f>
        <v>10187</v>
      </c>
      <c r="L128" s="13" t="str">
        <f>_xll.BDH("AMGN US Equity","ARDR_CONTRACTUAL_OBLIG_YEAR_2_3","FQ1 2021","FQ1 2021","Currency=USD","Period=FQ","BEST_FPERIOD_OVERRIDE=FQ","FILING_STATUS=MR","SCALING_FORMAT=MLN","Sort=A","Dates=H","DateFormat=P","Fill=—","Direction=H","UseDPDF=Y")</f>
        <v>—</v>
      </c>
      <c r="M128" s="13" t="str">
        <f>_xll.BDH("AMGN US Equity","ARDR_CONTRACTUAL_OBLIG_YEAR_2_3","FQ2 2021","FQ2 2021","Currency=USD","Period=FQ","BEST_FPERIOD_OVERRIDE=FQ","FILING_STATUS=MR","SCALING_FORMAT=MLN","Sort=A","Dates=H","DateFormat=P","Fill=—","Direction=H","UseDPDF=Y")</f>
        <v>—</v>
      </c>
      <c r="N128" s="13" t="str">
        <f>_xll.BDH("AMGN US Equity","ARDR_CONTRACTUAL_OBLIG_YEAR_2_3","FQ3 2021","FQ3 2021","Currency=USD","Period=FQ","BEST_FPERIOD_OVERRIDE=FQ","FILING_STATUS=MR","SCALING_FORMAT=MLN","Sort=A","Dates=H","DateFormat=P","Fill=—","Direction=H","UseDPDF=Y")</f>
        <v>—</v>
      </c>
      <c r="O128" s="13" t="str">
        <f>_xll.BDH("AMGN US Equity","ARDR_CONTRACTUAL_OBLIG_YEAR_2_3","FQ4 2021","FQ4 2021","Currency=USD","Period=FQ","BEST_FPERIOD_OVERRIDE=FQ","FILING_STATUS=MR","SCALING_FORMAT=MLN","Sort=A","Dates=H","DateFormat=P","Fill=—","Direction=H","UseDPDF=Y")</f>
        <v>—</v>
      </c>
      <c r="P128" s="13" t="str">
        <f>_xll.BDH("AMGN US Equity","ARDR_CONTRACTUAL_OBLIG_YEAR_2_3","FQ1 2022","FQ1 2022","Currency=USD","Period=FQ","BEST_FPERIOD_OVERRIDE=FQ","FILING_STATUS=MR","SCALING_FORMAT=MLN","Sort=A","Dates=H","DateFormat=P","Fill=—","Direction=H","UseDPDF=Y")</f>
        <v>—</v>
      </c>
      <c r="Q128" s="13" t="str">
        <f>_xll.BDH("AMGN US Equity","ARDR_CONTRACTUAL_OBLIG_YEAR_2_3","FQ2 2022","FQ2 2022","Currency=USD","Period=FQ","BEST_FPERIOD_OVERRIDE=FQ","FILING_STATUS=MR","SCALING_FORMAT=MLN","Sort=A","Dates=H","DateFormat=P","Fill=—","Direction=H","UseDPDF=Y")</f>
        <v>—</v>
      </c>
      <c r="R128" s="13" t="str">
        <f>_xll.BDH("AMGN US Equity","ARDR_CONTRACTUAL_OBLIG_YEAR_2_3","FQ3 2022","FQ3 2022","Currency=USD","Period=FQ","BEST_FPERIOD_OVERRIDE=FQ","FILING_STATUS=MR","SCALING_FORMAT=MLN","Sort=A","Dates=H","DateFormat=P","Fill=—","Direction=H","UseDPDF=Y")</f>
        <v>—</v>
      </c>
      <c r="S128" s="13" t="str">
        <f>_xll.BDH("AMGN US Equity","ARDR_CONTRACTUAL_OBLIG_YEAR_2_3","FQ4 2022","FQ4 2022","Currency=USD","Period=FQ","BEST_FPERIOD_OVERRIDE=FQ","FILING_STATUS=MR","SCALING_FORMAT=MLN","Sort=A","Dates=H","DateFormat=P","Fill=—","Direction=H","UseDPDF=Y")</f>
        <v>—</v>
      </c>
      <c r="T128" s="13" t="str">
        <f>_xll.BDH("AMGN US Equity","ARDR_CONTRACTUAL_OBLIG_YEAR_2_3","FQ1 2023","FQ1 2023","Currency=USD","Period=FQ","BEST_FPERIOD_OVERRIDE=FQ","FILING_STATUS=MR","SCALING_FORMAT=MLN","Sort=A","Dates=H","DateFormat=P","Fill=—","Direction=H","UseDPDF=Y")</f>
        <v>—</v>
      </c>
      <c r="U128" s="13" t="str">
        <f>_xll.BDH("AMGN US Equity","ARDR_CONTRACTUAL_OBLIG_YEAR_2_3","FQ2 2023","FQ2 2023","Currency=USD","Period=FQ","BEST_FPERIOD_OVERRIDE=FQ","FILING_STATUS=MR","SCALING_FORMAT=MLN","Sort=A","Dates=H","DateFormat=P","Fill=—","Direction=H","UseDPDF=Y")</f>
        <v>—</v>
      </c>
      <c r="V128" s="13" t="str">
        <f>_xll.BDH("AMGN US Equity","ARDR_CONTRACTUAL_OBLIG_YEAR_2_3","FQ3 2023","FQ3 2023","Currency=USD","Period=FQ","BEST_FPERIOD_OVERRIDE=FQ","FILING_STATUS=MR","SCALING_FORMAT=MLN","Sort=A","Dates=H","DateFormat=P","Fill=—","Direction=H","UseDPDF=Y")</f>
        <v>—</v>
      </c>
      <c r="W128" s="13" t="str">
        <f>_xll.BDH("AMGN US Equity","ARDR_CONTRACTUAL_OBLIG_YEAR_2_3","FQ4 2023","FQ4 2023","Currency=USD","Period=FQ","BEST_FPERIOD_OVERRIDE=FQ","FILING_STATUS=MR","SCALING_FORMAT=MLN","Sort=A","Dates=H","DateFormat=P","Fill=—","Direction=H","UseDPDF=Y")</f>
        <v>—</v>
      </c>
      <c r="X128" s="13" t="str">
        <f>_xll.BDH("AMGN US Equity","ARDR_CONTRACTUAL_OBLIG_YEAR_2_3","FQ1 2024","FQ1 2024","Currency=USD","Period=FQ","BEST_FPERIOD_OVERRIDE=FQ","FILING_STATUS=MR","SCALING_FORMAT=MLN","Sort=A","Dates=H","DateFormat=P","Fill=—","Direction=H","UseDPDF=Y")</f>
        <v>—</v>
      </c>
      <c r="Y128" s="13" t="str">
        <f>_xll.BDH("AMGN US Equity","ARDR_CONTRACTUAL_OBLIG_YEAR_2_3","FQ2 2024","FQ2 2024","Currency=USD","Period=FQ","BEST_FPERIOD_OVERRIDE=FQ","FILING_STATUS=MR","SCALING_FORMAT=MLN","Sort=A","Dates=H","DateFormat=P","Fill=—","Direction=H","UseDPDF=Y")</f>
        <v>—</v>
      </c>
      <c r="Z128" s="13" t="str">
        <f>_xll.BDH("AMGN US Equity","ARDR_CONTRACTUAL_OBLIG_YEAR_2_3","FQ3 2024","FQ3 2024","Currency=USD","Period=FQ","BEST_FPERIOD_OVERRIDE=FQ","FILING_STATUS=MR","SCALING_FORMAT=MLN","Sort=A","Dates=H","DateFormat=P","Fill=—","Direction=H","UseDPDF=Y")</f>
        <v>—</v>
      </c>
      <c r="AA128" s="13" t="str">
        <f>_xll.BDH("AMGN US Equity","ARDR_CONTRACTUAL_OBLIG_YEAR_2_3","FQ4 2024","FQ4 2024","Currency=USD","Period=FQ","BEST_FPERIOD_OVERRIDE=FQ","FILING_STATUS=MR","SCALING_FORMAT=MLN","Sort=A","Dates=H","DateFormat=P","Fill=—","Direction=H","UseDPDF=Y")</f>
        <v>—</v>
      </c>
    </row>
    <row r="129" spans="1:27" x14ac:dyDescent="0.25">
      <c r="A129" s="10" t="s">
        <v>1072</v>
      </c>
      <c r="B129" s="10" t="s">
        <v>1073</v>
      </c>
      <c r="C129" s="13">
        <f>_xll.BDH("AMGN US Equity","ARDR_CONTRACTUAL_OBLIG_YEAR_4_5","FQ4 2018","FQ4 2018","Currency=USD","Period=FQ","BEST_FPERIOD_OVERRIDE=FQ","FILING_STATUS=MR","SCALING_FORMAT=MLN","Sort=A","Dates=H","DateFormat=P","Fill=—","Direction=H","UseDPDF=Y")</f>
        <v>9373</v>
      </c>
      <c r="D129" s="13" t="str">
        <f>_xll.BDH("AMGN US Equity","ARDR_CONTRACTUAL_OBLIG_YEAR_4_5","FQ1 2019","FQ1 2019","Currency=USD","Period=FQ","BEST_FPERIOD_OVERRIDE=FQ","FILING_STATUS=MR","SCALING_FORMAT=MLN","Sort=A","Dates=H","DateFormat=P","Fill=—","Direction=H","UseDPDF=Y")</f>
        <v>—</v>
      </c>
      <c r="E129" s="13" t="str">
        <f>_xll.BDH("AMGN US Equity","ARDR_CONTRACTUAL_OBLIG_YEAR_4_5","FQ2 2019","FQ2 2019","Currency=USD","Period=FQ","BEST_FPERIOD_OVERRIDE=FQ","FILING_STATUS=MR","SCALING_FORMAT=MLN","Sort=A","Dates=H","DateFormat=P","Fill=—","Direction=H","UseDPDF=Y")</f>
        <v>—</v>
      </c>
      <c r="F129" s="13" t="str">
        <f>_xll.BDH("AMGN US Equity","ARDR_CONTRACTUAL_OBLIG_YEAR_4_5","FQ3 2019","FQ3 2019","Currency=USD","Period=FQ","BEST_FPERIOD_OVERRIDE=FQ","FILING_STATUS=MR","SCALING_FORMAT=MLN","Sort=A","Dates=H","DateFormat=P","Fill=—","Direction=H","UseDPDF=Y")</f>
        <v>—</v>
      </c>
      <c r="G129" s="13">
        <f>_xll.BDH("AMGN US Equity","ARDR_CONTRACTUAL_OBLIG_YEAR_4_5","FQ4 2019","FQ4 2019","Currency=USD","Period=FQ","BEST_FPERIOD_OVERRIDE=FQ","FILING_STATUS=MR","SCALING_FORMAT=MLN","Sort=A","Dates=H","DateFormat=P","Fill=—","Direction=H","UseDPDF=Y")</f>
        <v>7291</v>
      </c>
      <c r="H129" s="13" t="str">
        <f>_xll.BDH("AMGN US Equity","ARDR_CONTRACTUAL_OBLIG_YEAR_4_5","FQ1 2020","FQ1 2020","Currency=USD","Period=FQ","BEST_FPERIOD_OVERRIDE=FQ","FILING_STATUS=MR","SCALING_FORMAT=MLN","Sort=A","Dates=H","DateFormat=P","Fill=—","Direction=H","UseDPDF=Y")</f>
        <v>—</v>
      </c>
      <c r="I129" s="13" t="str">
        <f>_xll.BDH("AMGN US Equity","ARDR_CONTRACTUAL_OBLIG_YEAR_4_5","FQ2 2020","FQ2 2020","Currency=USD","Period=FQ","BEST_FPERIOD_OVERRIDE=FQ","FILING_STATUS=MR","SCALING_FORMAT=MLN","Sort=A","Dates=H","DateFormat=P","Fill=—","Direction=H","UseDPDF=Y")</f>
        <v>—</v>
      </c>
      <c r="J129" s="13" t="str">
        <f>_xll.BDH("AMGN US Equity","ARDR_CONTRACTUAL_OBLIG_YEAR_4_5","FQ3 2020","FQ3 2020","Currency=USD","Period=FQ","BEST_FPERIOD_OVERRIDE=FQ","FILING_STATUS=MR","SCALING_FORMAT=MLN","Sort=A","Dates=H","DateFormat=P","Fill=—","Direction=H","UseDPDF=Y")</f>
        <v>—</v>
      </c>
      <c r="K129" s="13">
        <f>_xll.BDH("AMGN US Equity","ARDR_CONTRACTUAL_OBLIG_YEAR_4_5","FQ4 2020","FQ4 2020","Currency=USD","Period=FQ","BEST_FPERIOD_OVERRIDE=FQ","FILING_STATUS=MR","SCALING_FORMAT=MLN","Sort=A","Dates=H","DateFormat=P","Fill=—","Direction=H","UseDPDF=Y")</f>
        <v>8468</v>
      </c>
      <c r="L129" s="13" t="str">
        <f>_xll.BDH("AMGN US Equity","ARDR_CONTRACTUAL_OBLIG_YEAR_4_5","FQ1 2021","FQ1 2021","Currency=USD","Period=FQ","BEST_FPERIOD_OVERRIDE=FQ","FILING_STATUS=MR","SCALING_FORMAT=MLN","Sort=A","Dates=H","DateFormat=P","Fill=—","Direction=H","UseDPDF=Y")</f>
        <v>—</v>
      </c>
      <c r="M129" s="13" t="str">
        <f>_xll.BDH("AMGN US Equity","ARDR_CONTRACTUAL_OBLIG_YEAR_4_5","FQ2 2021","FQ2 2021","Currency=USD","Period=FQ","BEST_FPERIOD_OVERRIDE=FQ","FILING_STATUS=MR","SCALING_FORMAT=MLN","Sort=A","Dates=H","DateFormat=P","Fill=—","Direction=H","UseDPDF=Y")</f>
        <v>—</v>
      </c>
      <c r="N129" s="13" t="str">
        <f>_xll.BDH("AMGN US Equity","ARDR_CONTRACTUAL_OBLIG_YEAR_4_5","FQ3 2021","FQ3 2021","Currency=USD","Period=FQ","BEST_FPERIOD_OVERRIDE=FQ","FILING_STATUS=MR","SCALING_FORMAT=MLN","Sort=A","Dates=H","DateFormat=P","Fill=—","Direction=H","UseDPDF=Y")</f>
        <v>—</v>
      </c>
      <c r="O129" s="13" t="str">
        <f>_xll.BDH("AMGN US Equity","ARDR_CONTRACTUAL_OBLIG_YEAR_4_5","FQ4 2021","FQ4 2021","Currency=USD","Period=FQ","BEST_FPERIOD_OVERRIDE=FQ","FILING_STATUS=MR","SCALING_FORMAT=MLN","Sort=A","Dates=H","DateFormat=P","Fill=—","Direction=H","UseDPDF=Y")</f>
        <v>—</v>
      </c>
      <c r="P129" s="13" t="str">
        <f>_xll.BDH("AMGN US Equity","ARDR_CONTRACTUAL_OBLIG_YEAR_4_5","FQ1 2022","FQ1 2022","Currency=USD","Period=FQ","BEST_FPERIOD_OVERRIDE=FQ","FILING_STATUS=MR","SCALING_FORMAT=MLN","Sort=A","Dates=H","DateFormat=P","Fill=—","Direction=H","UseDPDF=Y")</f>
        <v>—</v>
      </c>
      <c r="Q129" s="13" t="str">
        <f>_xll.BDH("AMGN US Equity","ARDR_CONTRACTUAL_OBLIG_YEAR_4_5","FQ2 2022","FQ2 2022","Currency=USD","Period=FQ","BEST_FPERIOD_OVERRIDE=FQ","FILING_STATUS=MR","SCALING_FORMAT=MLN","Sort=A","Dates=H","DateFormat=P","Fill=—","Direction=H","UseDPDF=Y")</f>
        <v>—</v>
      </c>
      <c r="R129" s="13" t="str">
        <f>_xll.BDH("AMGN US Equity","ARDR_CONTRACTUAL_OBLIG_YEAR_4_5","FQ3 2022","FQ3 2022","Currency=USD","Period=FQ","BEST_FPERIOD_OVERRIDE=FQ","FILING_STATUS=MR","SCALING_FORMAT=MLN","Sort=A","Dates=H","DateFormat=P","Fill=—","Direction=H","UseDPDF=Y")</f>
        <v>—</v>
      </c>
      <c r="S129" s="13" t="str">
        <f>_xll.BDH("AMGN US Equity","ARDR_CONTRACTUAL_OBLIG_YEAR_4_5","FQ4 2022","FQ4 2022","Currency=USD","Period=FQ","BEST_FPERIOD_OVERRIDE=FQ","FILING_STATUS=MR","SCALING_FORMAT=MLN","Sort=A","Dates=H","DateFormat=P","Fill=—","Direction=H","UseDPDF=Y")</f>
        <v>—</v>
      </c>
      <c r="T129" s="13" t="str">
        <f>_xll.BDH("AMGN US Equity","ARDR_CONTRACTUAL_OBLIG_YEAR_4_5","FQ1 2023","FQ1 2023","Currency=USD","Period=FQ","BEST_FPERIOD_OVERRIDE=FQ","FILING_STATUS=MR","SCALING_FORMAT=MLN","Sort=A","Dates=H","DateFormat=P","Fill=—","Direction=H","UseDPDF=Y")</f>
        <v>—</v>
      </c>
      <c r="U129" s="13" t="str">
        <f>_xll.BDH("AMGN US Equity","ARDR_CONTRACTUAL_OBLIG_YEAR_4_5","FQ2 2023","FQ2 2023","Currency=USD","Period=FQ","BEST_FPERIOD_OVERRIDE=FQ","FILING_STATUS=MR","SCALING_FORMAT=MLN","Sort=A","Dates=H","DateFormat=P","Fill=—","Direction=H","UseDPDF=Y")</f>
        <v>—</v>
      </c>
      <c r="V129" s="13" t="str">
        <f>_xll.BDH("AMGN US Equity","ARDR_CONTRACTUAL_OBLIG_YEAR_4_5","FQ3 2023","FQ3 2023","Currency=USD","Period=FQ","BEST_FPERIOD_OVERRIDE=FQ","FILING_STATUS=MR","SCALING_FORMAT=MLN","Sort=A","Dates=H","DateFormat=P","Fill=—","Direction=H","UseDPDF=Y")</f>
        <v>—</v>
      </c>
      <c r="W129" s="13" t="str">
        <f>_xll.BDH("AMGN US Equity","ARDR_CONTRACTUAL_OBLIG_YEAR_4_5","FQ4 2023","FQ4 2023","Currency=USD","Period=FQ","BEST_FPERIOD_OVERRIDE=FQ","FILING_STATUS=MR","SCALING_FORMAT=MLN","Sort=A","Dates=H","DateFormat=P","Fill=—","Direction=H","UseDPDF=Y")</f>
        <v>—</v>
      </c>
      <c r="X129" s="13" t="str">
        <f>_xll.BDH("AMGN US Equity","ARDR_CONTRACTUAL_OBLIG_YEAR_4_5","FQ1 2024","FQ1 2024","Currency=USD","Period=FQ","BEST_FPERIOD_OVERRIDE=FQ","FILING_STATUS=MR","SCALING_FORMAT=MLN","Sort=A","Dates=H","DateFormat=P","Fill=—","Direction=H","UseDPDF=Y")</f>
        <v>—</v>
      </c>
      <c r="Y129" s="13" t="str">
        <f>_xll.BDH("AMGN US Equity","ARDR_CONTRACTUAL_OBLIG_YEAR_4_5","FQ2 2024","FQ2 2024","Currency=USD","Period=FQ","BEST_FPERIOD_OVERRIDE=FQ","FILING_STATUS=MR","SCALING_FORMAT=MLN","Sort=A","Dates=H","DateFormat=P","Fill=—","Direction=H","UseDPDF=Y")</f>
        <v>—</v>
      </c>
      <c r="Z129" s="13" t="str">
        <f>_xll.BDH("AMGN US Equity","ARDR_CONTRACTUAL_OBLIG_YEAR_4_5","FQ3 2024","FQ3 2024","Currency=USD","Period=FQ","BEST_FPERIOD_OVERRIDE=FQ","FILING_STATUS=MR","SCALING_FORMAT=MLN","Sort=A","Dates=H","DateFormat=P","Fill=—","Direction=H","UseDPDF=Y")</f>
        <v>—</v>
      </c>
      <c r="AA129" s="13" t="str">
        <f>_xll.BDH("AMGN US Equity","ARDR_CONTRACTUAL_OBLIG_YEAR_4_5","FQ4 2024","FQ4 2024","Currency=USD","Period=FQ","BEST_FPERIOD_OVERRIDE=FQ","FILING_STATUS=MR","SCALING_FORMAT=MLN","Sort=A","Dates=H","DateFormat=P","Fill=—","Direction=H","UseDPDF=Y")</f>
        <v>—</v>
      </c>
    </row>
    <row r="130" spans="1:27" x14ac:dyDescent="0.25">
      <c r="A130" s="10" t="s">
        <v>1074</v>
      </c>
      <c r="B130" s="10" t="s">
        <v>1075</v>
      </c>
      <c r="C130" s="13">
        <f>_xll.BDH("AMGN US Equity","ARDR_CONT_OBLIG_BEYOND_YEAR_5","FQ4 2018","FQ4 2018","Currency=USD","Period=FQ","BEST_FPERIOD_OVERRIDE=FQ","FILING_STATUS=MR","SCALING_FORMAT=MLN","Sort=A","Dates=H","DateFormat=P","Fill=—","Direction=H","UseDPDF=Y")</f>
        <v>35656</v>
      </c>
      <c r="D130" s="13" t="str">
        <f>_xll.BDH("AMGN US Equity","ARDR_CONT_OBLIG_BEYOND_YEAR_5","FQ1 2019","FQ1 2019","Currency=USD","Period=FQ","BEST_FPERIOD_OVERRIDE=FQ","FILING_STATUS=MR","SCALING_FORMAT=MLN","Sort=A","Dates=H","DateFormat=P","Fill=—","Direction=H","UseDPDF=Y")</f>
        <v>—</v>
      </c>
      <c r="E130" s="13" t="str">
        <f>_xll.BDH("AMGN US Equity","ARDR_CONT_OBLIG_BEYOND_YEAR_5","FQ2 2019","FQ2 2019","Currency=USD","Period=FQ","BEST_FPERIOD_OVERRIDE=FQ","FILING_STATUS=MR","SCALING_FORMAT=MLN","Sort=A","Dates=H","DateFormat=P","Fill=—","Direction=H","UseDPDF=Y")</f>
        <v>—</v>
      </c>
      <c r="F130" s="13" t="str">
        <f>_xll.BDH("AMGN US Equity","ARDR_CONT_OBLIG_BEYOND_YEAR_5","FQ3 2019","FQ3 2019","Currency=USD","Period=FQ","BEST_FPERIOD_OVERRIDE=FQ","FILING_STATUS=MR","SCALING_FORMAT=MLN","Sort=A","Dates=H","DateFormat=P","Fill=—","Direction=H","UseDPDF=Y")</f>
        <v>—</v>
      </c>
      <c r="G130" s="13">
        <f>_xll.BDH("AMGN US Equity","ARDR_CONT_OBLIG_BEYOND_YEAR_5","FQ4 2019","FQ4 2019","Currency=USD","Period=FQ","BEST_FPERIOD_OVERRIDE=FQ","FILING_STATUS=MR","SCALING_FORMAT=MLN","Sort=A","Dates=H","DateFormat=P","Fill=—","Direction=H","UseDPDF=Y")</f>
        <v>32148</v>
      </c>
      <c r="H130" s="13" t="str">
        <f>_xll.BDH("AMGN US Equity","ARDR_CONT_OBLIG_BEYOND_YEAR_5","FQ1 2020","FQ1 2020","Currency=USD","Period=FQ","BEST_FPERIOD_OVERRIDE=FQ","FILING_STATUS=MR","SCALING_FORMAT=MLN","Sort=A","Dates=H","DateFormat=P","Fill=—","Direction=H","UseDPDF=Y")</f>
        <v>—</v>
      </c>
      <c r="I130" s="13" t="str">
        <f>_xll.BDH("AMGN US Equity","ARDR_CONT_OBLIG_BEYOND_YEAR_5","FQ2 2020","FQ2 2020","Currency=USD","Period=FQ","BEST_FPERIOD_OVERRIDE=FQ","FILING_STATUS=MR","SCALING_FORMAT=MLN","Sort=A","Dates=H","DateFormat=P","Fill=—","Direction=H","UseDPDF=Y")</f>
        <v>—</v>
      </c>
      <c r="J130" s="13" t="str">
        <f>_xll.BDH("AMGN US Equity","ARDR_CONT_OBLIG_BEYOND_YEAR_5","FQ3 2020","FQ3 2020","Currency=USD","Period=FQ","BEST_FPERIOD_OVERRIDE=FQ","FILING_STATUS=MR","SCALING_FORMAT=MLN","Sort=A","Dates=H","DateFormat=P","Fill=—","Direction=H","UseDPDF=Y")</f>
        <v>—</v>
      </c>
      <c r="K130" s="13">
        <f>_xll.BDH("AMGN US Equity","ARDR_CONT_OBLIG_BEYOND_YEAR_5","FQ4 2020","FQ4 2020","Currency=USD","Period=FQ","BEST_FPERIOD_OVERRIDE=FQ","FILING_STATUS=MR","SCALING_FORMAT=MLN","Sort=A","Dates=H","DateFormat=P","Fill=—","Direction=H","UseDPDF=Y")</f>
        <v>40685</v>
      </c>
      <c r="L130" s="13" t="str">
        <f>_xll.BDH("AMGN US Equity","ARDR_CONT_OBLIG_BEYOND_YEAR_5","FQ1 2021","FQ1 2021","Currency=USD","Period=FQ","BEST_FPERIOD_OVERRIDE=FQ","FILING_STATUS=MR","SCALING_FORMAT=MLN","Sort=A","Dates=H","DateFormat=P","Fill=—","Direction=H","UseDPDF=Y")</f>
        <v>—</v>
      </c>
      <c r="M130" s="13" t="str">
        <f>_xll.BDH("AMGN US Equity","ARDR_CONT_OBLIG_BEYOND_YEAR_5","FQ2 2021","FQ2 2021","Currency=USD","Period=FQ","BEST_FPERIOD_OVERRIDE=FQ","FILING_STATUS=MR","SCALING_FORMAT=MLN","Sort=A","Dates=H","DateFormat=P","Fill=—","Direction=H","UseDPDF=Y")</f>
        <v>—</v>
      </c>
      <c r="N130" s="13" t="str">
        <f>_xll.BDH("AMGN US Equity","ARDR_CONT_OBLIG_BEYOND_YEAR_5","FQ3 2021","FQ3 2021","Currency=USD","Period=FQ","BEST_FPERIOD_OVERRIDE=FQ","FILING_STATUS=MR","SCALING_FORMAT=MLN","Sort=A","Dates=H","DateFormat=P","Fill=—","Direction=H","UseDPDF=Y")</f>
        <v>—</v>
      </c>
      <c r="O130" s="13" t="str">
        <f>_xll.BDH("AMGN US Equity","ARDR_CONT_OBLIG_BEYOND_YEAR_5","FQ4 2021","FQ4 2021","Currency=USD","Period=FQ","BEST_FPERIOD_OVERRIDE=FQ","FILING_STATUS=MR","SCALING_FORMAT=MLN","Sort=A","Dates=H","DateFormat=P","Fill=—","Direction=H","UseDPDF=Y")</f>
        <v>—</v>
      </c>
      <c r="P130" s="13" t="str">
        <f>_xll.BDH("AMGN US Equity","ARDR_CONT_OBLIG_BEYOND_YEAR_5","FQ1 2022","FQ1 2022","Currency=USD","Period=FQ","BEST_FPERIOD_OVERRIDE=FQ","FILING_STATUS=MR","SCALING_FORMAT=MLN","Sort=A","Dates=H","DateFormat=P","Fill=—","Direction=H","UseDPDF=Y")</f>
        <v>—</v>
      </c>
      <c r="Q130" s="13" t="str">
        <f>_xll.BDH("AMGN US Equity","ARDR_CONT_OBLIG_BEYOND_YEAR_5","FQ2 2022","FQ2 2022","Currency=USD","Period=FQ","BEST_FPERIOD_OVERRIDE=FQ","FILING_STATUS=MR","SCALING_FORMAT=MLN","Sort=A","Dates=H","DateFormat=P","Fill=—","Direction=H","UseDPDF=Y")</f>
        <v>—</v>
      </c>
      <c r="R130" s="13" t="str">
        <f>_xll.BDH("AMGN US Equity","ARDR_CONT_OBLIG_BEYOND_YEAR_5","FQ3 2022","FQ3 2022","Currency=USD","Period=FQ","BEST_FPERIOD_OVERRIDE=FQ","FILING_STATUS=MR","SCALING_FORMAT=MLN","Sort=A","Dates=H","DateFormat=P","Fill=—","Direction=H","UseDPDF=Y")</f>
        <v>—</v>
      </c>
      <c r="S130" s="13" t="str">
        <f>_xll.BDH("AMGN US Equity","ARDR_CONT_OBLIG_BEYOND_YEAR_5","FQ4 2022","FQ4 2022","Currency=USD","Period=FQ","BEST_FPERIOD_OVERRIDE=FQ","FILING_STATUS=MR","SCALING_FORMAT=MLN","Sort=A","Dates=H","DateFormat=P","Fill=—","Direction=H","UseDPDF=Y")</f>
        <v>—</v>
      </c>
      <c r="T130" s="13" t="str">
        <f>_xll.BDH("AMGN US Equity","ARDR_CONT_OBLIG_BEYOND_YEAR_5","FQ1 2023","FQ1 2023","Currency=USD","Period=FQ","BEST_FPERIOD_OVERRIDE=FQ","FILING_STATUS=MR","SCALING_FORMAT=MLN","Sort=A","Dates=H","DateFormat=P","Fill=—","Direction=H","UseDPDF=Y")</f>
        <v>—</v>
      </c>
      <c r="U130" s="13" t="str">
        <f>_xll.BDH("AMGN US Equity","ARDR_CONT_OBLIG_BEYOND_YEAR_5","FQ2 2023","FQ2 2023","Currency=USD","Period=FQ","BEST_FPERIOD_OVERRIDE=FQ","FILING_STATUS=MR","SCALING_FORMAT=MLN","Sort=A","Dates=H","DateFormat=P","Fill=—","Direction=H","UseDPDF=Y")</f>
        <v>—</v>
      </c>
      <c r="V130" s="13" t="str">
        <f>_xll.BDH("AMGN US Equity","ARDR_CONT_OBLIG_BEYOND_YEAR_5","FQ3 2023","FQ3 2023","Currency=USD","Period=FQ","BEST_FPERIOD_OVERRIDE=FQ","FILING_STATUS=MR","SCALING_FORMAT=MLN","Sort=A","Dates=H","DateFormat=P","Fill=—","Direction=H","UseDPDF=Y")</f>
        <v>—</v>
      </c>
      <c r="W130" s="13" t="str">
        <f>_xll.BDH("AMGN US Equity","ARDR_CONT_OBLIG_BEYOND_YEAR_5","FQ4 2023","FQ4 2023","Currency=USD","Period=FQ","BEST_FPERIOD_OVERRIDE=FQ","FILING_STATUS=MR","SCALING_FORMAT=MLN","Sort=A","Dates=H","DateFormat=P","Fill=—","Direction=H","UseDPDF=Y")</f>
        <v>—</v>
      </c>
      <c r="X130" s="13" t="str">
        <f>_xll.BDH("AMGN US Equity","ARDR_CONT_OBLIG_BEYOND_YEAR_5","FQ1 2024","FQ1 2024","Currency=USD","Period=FQ","BEST_FPERIOD_OVERRIDE=FQ","FILING_STATUS=MR","SCALING_FORMAT=MLN","Sort=A","Dates=H","DateFormat=P","Fill=—","Direction=H","UseDPDF=Y")</f>
        <v>—</v>
      </c>
      <c r="Y130" s="13" t="str">
        <f>_xll.BDH("AMGN US Equity","ARDR_CONT_OBLIG_BEYOND_YEAR_5","FQ2 2024","FQ2 2024","Currency=USD","Period=FQ","BEST_FPERIOD_OVERRIDE=FQ","FILING_STATUS=MR","SCALING_FORMAT=MLN","Sort=A","Dates=H","DateFormat=P","Fill=—","Direction=H","UseDPDF=Y")</f>
        <v>—</v>
      </c>
      <c r="Z130" s="13" t="str">
        <f>_xll.BDH("AMGN US Equity","ARDR_CONT_OBLIG_BEYOND_YEAR_5","FQ3 2024","FQ3 2024","Currency=USD","Period=FQ","BEST_FPERIOD_OVERRIDE=FQ","FILING_STATUS=MR","SCALING_FORMAT=MLN","Sort=A","Dates=H","DateFormat=P","Fill=—","Direction=H","UseDPDF=Y")</f>
        <v>—</v>
      </c>
      <c r="AA130" s="13" t="str">
        <f>_xll.BDH("AMGN US Equity","ARDR_CONT_OBLIG_BEYOND_YEAR_5","FQ4 2024","FQ4 2024","Currency=USD","Period=FQ","BEST_FPERIOD_OVERRIDE=FQ","FILING_STATUS=MR","SCALING_FORMAT=MLN","Sort=A","Dates=H","DateFormat=P","Fill=—","Direction=H","UseDPDF=Y")</f>
        <v>—</v>
      </c>
    </row>
    <row r="131" spans="1:27" x14ac:dyDescent="0.25">
      <c r="A131" s="10" t="s">
        <v>1076</v>
      </c>
      <c r="B131" s="10" t="s">
        <v>1077</v>
      </c>
      <c r="C131" s="13">
        <f>_xll.BDH("AMGN US Equity","ARDR_CONTRACTUAL_OBLIG_TOTAL","FQ4 2018","FQ4 2018","Currency=USD","Period=FQ","BEST_FPERIOD_OVERRIDE=FQ","FILING_STATUS=MR","SCALING_FORMAT=MLN","Sort=A","Dates=H","DateFormat=P","Fill=—","Direction=H","UseDPDF=Y")</f>
        <v>62737</v>
      </c>
      <c r="D131" s="13" t="str">
        <f>_xll.BDH("AMGN US Equity","ARDR_CONTRACTUAL_OBLIG_TOTAL","FQ1 2019","FQ1 2019","Currency=USD","Period=FQ","BEST_FPERIOD_OVERRIDE=FQ","FILING_STATUS=MR","SCALING_FORMAT=MLN","Sort=A","Dates=H","DateFormat=P","Fill=—","Direction=H","UseDPDF=Y")</f>
        <v>—</v>
      </c>
      <c r="E131" s="13" t="str">
        <f>_xll.BDH("AMGN US Equity","ARDR_CONTRACTUAL_OBLIG_TOTAL","FQ2 2019","FQ2 2019","Currency=USD","Period=FQ","BEST_FPERIOD_OVERRIDE=FQ","FILING_STATUS=MR","SCALING_FORMAT=MLN","Sort=A","Dates=H","DateFormat=P","Fill=—","Direction=H","UseDPDF=Y")</f>
        <v>—</v>
      </c>
      <c r="F131" s="13" t="str">
        <f>_xll.BDH("AMGN US Equity","ARDR_CONTRACTUAL_OBLIG_TOTAL","FQ3 2019","FQ3 2019","Currency=USD","Period=FQ","BEST_FPERIOD_OVERRIDE=FQ","FILING_STATUS=MR","SCALING_FORMAT=MLN","Sort=A","Dates=H","DateFormat=P","Fill=—","Direction=H","UseDPDF=Y")</f>
        <v>—</v>
      </c>
      <c r="G131" s="13">
        <f>_xll.BDH("AMGN US Equity","ARDR_CONTRACTUAL_OBLIG_TOTAL","FQ4 2019","FQ4 2019","Currency=USD","Period=FQ","BEST_FPERIOD_OVERRIDE=FQ","FILING_STATUS=MR","SCALING_FORMAT=MLN","Sort=A","Dates=H","DateFormat=P","Fill=—","Direction=H","UseDPDF=Y")</f>
        <v>57090</v>
      </c>
      <c r="H131" s="13" t="str">
        <f>_xll.BDH("AMGN US Equity","ARDR_CONTRACTUAL_OBLIG_TOTAL","FQ1 2020","FQ1 2020","Currency=USD","Period=FQ","BEST_FPERIOD_OVERRIDE=FQ","FILING_STATUS=MR","SCALING_FORMAT=MLN","Sort=A","Dates=H","DateFormat=P","Fill=—","Direction=H","UseDPDF=Y")</f>
        <v>—</v>
      </c>
      <c r="I131" s="13" t="str">
        <f>_xll.BDH("AMGN US Equity","ARDR_CONTRACTUAL_OBLIG_TOTAL","FQ2 2020","FQ2 2020","Currency=USD","Period=FQ","BEST_FPERIOD_OVERRIDE=FQ","FILING_STATUS=MR","SCALING_FORMAT=MLN","Sort=A","Dates=H","DateFormat=P","Fill=—","Direction=H","UseDPDF=Y")</f>
        <v>—</v>
      </c>
      <c r="J131" s="13" t="str">
        <f>_xll.BDH("AMGN US Equity","ARDR_CONTRACTUAL_OBLIG_TOTAL","FQ3 2020","FQ3 2020","Currency=USD","Period=FQ","BEST_FPERIOD_OVERRIDE=FQ","FILING_STATUS=MR","SCALING_FORMAT=MLN","Sort=A","Dates=H","DateFormat=P","Fill=—","Direction=H","UseDPDF=Y")</f>
        <v>—</v>
      </c>
      <c r="K131" s="13">
        <f>_xll.BDH("AMGN US Equity","ARDR_CONTRACTUAL_OBLIG_TOTAL","FQ4 2020","FQ4 2020","Currency=USD","Period=FQ","BEST_FPERIOD_OVERRIDE=FQ","FILING_STATUS=MR","SCALING_FORMAT=MLN","Sort=A","Dates=H","DateFormat=P","Fill=—","Direction=H","UseDPDF=Y")</f>
        <v>63429</v>
      </c>
      <c r="L131" s="13" t="str">
        <f>_xll.BDH("AMGN US Equity","ARDR_CONTRACTUAL_OBLIG_TOTAL","FQ1 2021","FQ1 2021","Currency=USD","Period=FQ","BEST_FPERIOD_OVERRIDE=FQ","FILING_STATUS=MR","SCALING_FORMAT=MLN","Sort=A","Dates=H","DateFormat=P","Fill=—","Direction=H","UseDPDF=Y")</f>
        <v>—</v>
      </c>
      <c r="M131" s="13" t="str">
        <f>_xll.BDH("AMGN US Equity","ARDR_CONTRACTUAL_OBLIG_TOTAL","FQ2 2021","FQ2 2021","Currency=USD","Period=FQ","BEST_FPERIOD_OVERRIDE=FQ","FILING_STATUS=MR","SCALING_FORMAT=MLN","Sort=A","Dates=H","DateFormat=P","Fill=—","Direction=H","UseDPDF=Y")</f>
        <v>—</v>
      </c>
      <c r="N131" s="13" t="str">
        <f>_xll.BDH("AMGN US Equity","ARDR_CONTRACTUAL_OBLIG_TOTAL","FQ3 2021","FQ3 2021","Currency=USD","Period=FQ","BEST_FPERIOD_OVERRIDE=FQ","FILING_STATUS=MR","SCALING_FORMAT=MLN","Sort=A","Dates=H","DateFormat=P","Fill=—","Direction=H","UseDPDF=Y")</f>
        <v>—</v>
      </c>
      <c r="O131" s="13" t="str">
        <f>_xll.BDH("AMGN US Equity","ARDR_CONTRACTUAL_OBLIG_TOTAL","FQ4 2021","FQ4 2021","Currency=USD","Period=FQ","BEST_FPERIOD_OVERRIDE=FQ","FILING_STATUS=MR","SCALING_FORMAT=MLN","Sort=A","Dates=H","DateFormat=P","Fill=—","Direction=H","UseDPDF=Y")</f>
        <v>—</v>
      </c>
      <c r="P131" s="13" t="str">
        <f>_xll.BDH("AMGN US Equity","ARDR_CONTRACTUAL_OBLIG_TOTAL","FQ1 2022","FQ1 2022","Currency=USD","Period=FQ","BEST_FPERIOD_OVERRIDE=FQ","FILING_STATUS=MR","SCALING_FORMAT=MLN","Sort=A","Dates=H","DateFormat=P","Fill=—","Direction=H","UseDPDF=Y")</f>
        <v>—</v>
      </c>
      <c r="Q131" s="13" t="str">
        <f>_xll.BDH("AMGN US Equity","ARDR_CONTRACTUAL_OBLIG_TOTAL","FQ2 2022","FQ2 2022","Currency=USD","Period=FQ","BEST_FPERIOD_OVERRIDE=FQ","FILING_STATUS=MR","SCALING_FORMAT=MLN","Sort=A","Dates=H","DateFormat=P","Fill=—","Direction=H","UseDPDF=Y")</f>
        <v>—</v>
      </c>
      <c r="R131" s="13" t="str">
        <f>_xll.BDH("AMGN US Equity","ARDR_CONTRACTUAL_OBLIG_TOTAL","FQ3 2022","FQ3 2022","Currency=USD","Period=FQ","BEST_FPERIOD_OVERRIDE=FQ","FILING_STATUS=MR","SCALING_FORMAT=MLN","Sort=A","Dates=H","DateFormat=P","Fill=—","Direction=H","UseDPDF=Y")</f>
        <v>—</v>
      </c>
      <c r="S131" s="13" t="str">
        <f>_xll.BDH("AMGN US Equity","ARDR_CONTRACTUAL_OBLIG_TOTAL","FQ4 2022","FQ4 2022","Currency=USD","Period=FQ","BEST_FPERIOD_OVERRIDE=FQ","FILING_STATUS=MR","SCALING_FORMAT=MLN","Sort=A","Dates=H","DateFormat=P","Fill=—","Direction=H","UseDPDF=Y")</f>
        <v>—</v>
      </c>
      <c r="T131" s="13" t="str">
        <f>_xll.BDH("AMGN US Equity","ARDR_CONTRACTUAL_OBLIG_TOTAL","FQ1 2023","FQ1 2023","Currency=USD","Period=FQ","BEST_FPERIOD_OVERRIDE=FQ","FILING_STATUS=MR","SCALING_FORMAT=MLN","Sort=A","Dates=H","DateFormat=P","Fill=—","Direction=H","UseDPDF=Y")</f>
        <v>—</v>
      </c>
      <c r="U131" s="13" t="str">
        <f>_xll.BDH("AMGN US Equity","ARDR_CONTRACTUAL_OBLIG_TOTAL","FQ2 2023","FQ2 2023","Currency=USD","Period=FQ","BEST_FPERIOD_OVERRIDE=FQ","FILING_STATUS=MR","SCALING_FORMAT=MLN","Sort=A","Dates=H","DateFormat=P","Fill=—","Direction=H","UseDPDF=Y")</f>
        <v>—</v>
      </c>
      <c r="V131" s="13" t="str">
        <f>_xll.BDH("AMGN US Equity","ARDR_CONTRACTUAL_OBLIG_TOTAL","FQ3 2023","FQ3 2023","Currency=USD","Period=FQ","BEST_FPERIOD_OVERRIDE=FQ","FILING_STATUS=MR","SCALING_FORMAT=MLN","Sort=A","Dates=H","DateFormat=P","Fill=—","Direction=H","UseDPDF=Y")</f>
        <v>—</v>
      </c>
      <c r="W131" s="13" t="str">
        <f>_xll.BDH("AMGN US Equity","ARDR_CONTRACTUAL_OBLIG_TOTAL","FQ4 2023","FQ4 2023","Currency=USD","Period=FQ","BEST_FPERIOD_OVERRIDE=FQ","FILING_STATUS=MR","SCALING_FORMAT=MLN","Sort=A","Dates=H","DateFormat=P","Fill=—","Direction=H","UseDPDF=Y")</f>
        <v>—</v>
      </c>
      <c r="X131" s="13" t="str">
        <f>_xll.BDH("AMGN US Equity","ARDR_CONTRACTUAL_OBLIG_TOTAL","FQ1 2024","FQ1 2024","Currency=USD","Period=FQ","BEST_FPERIOD_OVERRIDE=FQ","FILING_STATUS=MR","SCALING_FORMAT=MLN","Sort=A","Dates=H","DateFormat=P","Fill=—","Direction=H","UseDPDF=Y")</f>
        <v>—</v>
      </c>
      <c r="Y131" s="13" t="str">
        <f>_xll.BDH("AMGN US Equity","ARDR_CONTRACTUAL_OBLIG_TOTAL","FQ2 2024","FQ2 2024","Currency=USD","Period=FQ","BEST_FPERIOD_OVERRIDE=FQ","FILING_STATUS=MR","SCALING_FORMAT=MLN","Sort=A","Dates=H","DateFormat=P","Fill=—","Direction=H","UseDPDF=Y")</f>
        <v>—</v>
      </c>
      <c r="Z131" s="13" t="str">
        <f>_xll.BDH("AMGN US Equity","ARDR_CONTRACTUAL_OBLIG_TOTAL","FQ3 2024","FQ3 2024","Currency=USD","Period=FQ","BEST_FPERIOD_OVERRIDE=FQ","FILING_STATUS=MR","SCALING_FORMAT=MLN","Sort=A","Dates=H","DateFormat=P","Fill=—","Direction=H","UseDPDF=Y")</f>
        <v>—</v>
      </c>
      <c r="AA131" s="13" t="str">
        <f>_xll.BDH("AMGN US Equity","ARDR_CONTRACTUAL_OBLIG_TOTAL","FQ4 2024","FQ4 2024","Currency=USD","Period=FQ","BEST_FPERIOD_OVERRIDE=FQ","FILING_STATUS=MR","SCALING_FORMAT=MLN","Sort=A","Dates=H","DateFormat=P","Fill=—","Direction=H","UseDPDF=Y")</f>
        <v>—</v>
      </c>
    </row>
    <row r="132" spans="1:27" x14ac:dyDescent="0.25">
      <c r="A132" s="10" t="s">
        <v>1078</v>
      </c>
      <c r="B132" s="10" t="s">
        <v>1079</v>
      </c>
      <c r="C132" s="13">
        <f>_xll.BDH("AMGN US Equity","ARDR_FAIR_VALUE_DERIVATIVES_NET","FQ4 2018","FQ4 2018","Currency=USD","Period=FQ","BEST_FPERIOD_OVERRIDE=FQ","FILING_STATUS=MR","SCALING_FORMAT=MLN","Sort=A","Dates=H","DateFormat=P","Fill=—","Direction=H","UseDPDF=Y")</f>
        <v>-168</v>
      </c>
      <c r="D132" s="13">
        <f>_xll.BDH("AMGN US Equity","ARDR_FAIR_VALUE_DERIVATIVES_NET","FQ1 2019","FQ1 2019","Currency=USD","Period=FQ","BEST_FPERIOD_OVERRIDE=FQ","FILING_STATUS=MR","SCALING_FORMAT=MLN","Sort=A","Dates=H","DateFormat=P","Fill=—","Direction=H","UseDPDF=Y")</f>
        <v>-16</v>
      </c>
      <c r="E132" s="13">
        <f>_xll.BDH("AMGN US Equity","ARDR_FAIR_VALUE_DERIVATIVES_NET","FQ2 2019","FQ2 2019","Currency=USD","Period=FQ","BEST_FPERIOD_OVERRIDE=FQ","FILING_STATUS=MR","SCALING_FORMAT=MLN","Sort=A","Dates=H","DateFormat=P","Fill=—","Direction=H","UseDPDF=Y")</f>
        <v>83</v>
      </c>
      <c r="F132" s="13" t="str">
        <f>_xll.BDH("AMGN US Equity","ARDR_FAIR_VALUE_DERIVATIVES_NET","FQ3 2019","FQ3 2019","Currency=USD","Period=FQ","BEST_FPERIOD_OVERRIDE=FQ","FILING_STATUS=MR","SCALING_FORMAT=MLN","Sort=A","Dates=H","DateFormat=P","Fill=—","Direction=H","UseDPDF=Y")</f>
        <v>—</v>
      </c>
      <c r="G132" s="13">
        <f>_xll.BDH("AMGN US Equity","ARDR_FAIR_VALUE_DERIVATIVES_NET","FQ4 2019","FQ4 2019","Currency=USD","Period=FQ","BEST_FPERIOD_OVERRIDE=FQ","FILING_STATUS=MR","SCALING_FORMAT=MLN","Sort=A","Dates=H","DateFormat=P","Fill=—","Direction=H","UseDPDF=Y")</f>
        <v>-203</v>
      </c>
      <c r="H132" s="13">
        <f>_xll.BDH("AMGN US Equity","ARDR_FAIR_VALUE_DERIVATIVES_NET","FQ1 2020","FQ1 2020","Currency=USD","Period=FQ","BEST_FPERIOD_OVERRIDE=FQ","FILING_STATUS=MR","SCALING_FORMAT=MLN","Sort=A","Dates=H","DateFormat=P","Fill=—","Direction=H","UseDPDF=Y")</f>
        <v>-211</v>
      </c>
      <c r="I132" s="13">
        <f>_xll.BDH("AMGN US Equity","ARDR_FAIR_VALUE_DERIVATIVES_NET","FQ2 2020","FQ2 2020","Currency=USD","Period=FQ","BEST_FPERIOD_OVERRIDE=FQ","FILING_STATUS=MR","SCALING_FORMAT=MLN","Sort=A","Dates=H","DateFormat=P","Fill=—","Direction=H","UseDPDF=Y")</f>
        <v>632</v>
      </c>
      <c r="J132" s="13" t="str">
        <f>_xll.BDH("AMGN US Equity","ARDR_FAIR_VALUE_DERIVATIVES_NET","FQ3 2020","FQ3 2020","Currency=USD","Period=FQ","BEST_FPERIOD_OVERRIDE=FQ","FILING_STATUS=MR","SCALING_FORMAT=MLN","Sort=A","Dates=H","DateFormat=P","Fill=—","Direction=H","UseDPDF=Y")</f>
        <v>—</v>
      </c>
      <c r="K132" s="13">
        <f>_xll.BDH("AMGN US Equity","ARDR_FAIR_VALUE_DERIVATIVES_NET","FQ4 2020","FQ4 2020","Currency=USD","Period=FQ","BEST_FPERIOD_OVERRIDE=FQ","FILING_STATUS=MR","SCALING_FORMAT=MLN","Sort=A","Dates=H","DateFormat=P","Fill=—","Direction=H","UseDPDF=Y")</f>
        <v>221</v>
      </c>
      <c r="L132" s="13">
        <f>_xll.BDH("AMGN US Equity","ARDR_FAIR_VALUE_DERIVATIVES_NET","FQ1 2021","FQ1 2021","Currency=USD","Period=FQ","BEST_FPERIOD_OVERRIDE=FQ","FILING_STATUS=MR","SCALING_FORMAT=MLN","Sort=A","Dates=H","DateFormat=P","Fill=—","Direction=H","UseDPDF=Y")</f>
        <v>-267</v>
      </c>
      <c r="M132" s="13">
        <f>_xll.BDH("AMGN US Equity","ARDR_FAIR_VALUE_DERIVATIVES_NET","FQ2 2021","FQ2 2021","Currency=USD","Period=FQ","BEST_FPERIOD_OVERRIDE=FQ","FILING_STATUS=MR","SCALING_FORMAT=MLN","Sort=A","Dates=H","DateFormat=P","Fill=—","Direction=H","UseDPDF=Y")</f>
        <v>225</v>
      </c>
      <c r="N132" s="13" t="str">
        <f>_xll.BDH("AMGN US Equity","ARDR_FAIR_VALUE_DERIVATIVES_NET","FQ3 2021","FQ3 2021","Currency=USD","Period=FQ","BEST_FPERIOD_OVERRIDE=FQ","FILING_STATUS=MR","SCALING_FORMAT=MLN","Sort=A","Dates=H","DateFormat=P","Fill=—","Direction=H","UseDPDF=Y")</f>
        <v>—</v>
      </c>
      <c r="O132" s="13">
        <f>_xll.BDH("AMGN US Equity","ARDR_FAIR_VALUE_DERIVATIVES_NET","FQ4 2021","FQ4 2021","Currency=USD","Period=FQ","BEST_FPERIOD_OVERRIDE=FQ","FILING_STATUS=MR","SCALING_FORMAT=MLN","Sort=A","Dates=H","DateFormat=P","Fill=—","Direction=H","UseDPDF=Y")</f>
        <v>269</v>
      </c>
      <c r="P132" s="13">
        <f>_xll.BDH("AMGN US Equity","ARDR_FAIR_VALUE_DERIVATIVES_NET","FQ1 2022","FQ1 2022","Currency=USD","Period=FQ","BEST_FPERIOD_OVERRIDE=FQ","FILING_STATUS=MR","SCALING_FORMAT=MLN","Sort=A","Dates=H","DateFormat=P","Fill=—","Direction=H","UseDPDF=Y")</f>
        <v>565</v>
      </c>
      <c r="Q132" s="13">
        <f>_xll.BDH("AMGN US Equity","ARDR_FAIR_VALUE_DERIVATIVES_NET","FQ2 2022","FQ2 2022","Currency=USD","Period=FQ","BEST_FPERIOD_OVERRIDE=FQ","FILING_STATUS=MR","SCALING_FORMAT=MLN","Sort=A","Dates=H","DateFormat=P","Fill=—","Direction=H","UseDPDF=Y")</f>
        <v>682</v>
      </c>
      <c r="R132" s="13">
        <f>_xll.BDH("AMGN US Equity","ARDR_FAIR_VALUE_DERIVATIVES_NET","FQ3 2022","FQ3 2022","Currency=USD","Period=FQ","BEST_FPERIOD_OVERRIDE=FQ","FILING_STATUS=MR","SCALING_FORMAT=MLN","Sort=A","Dates=H","DateFormat=P","Fill=—","Direction=H","UseDPDF=Y")</f>
        <v>941</v>
      </c>
      <c r="S132" s="13">
        <f>_xll.BDH("AMGN US Equity","ARDR_FAIR_VALUE_DERIVATIVES_NET","FQ4 2022","FQ4 2022","Currency=USD","Period=FQ","BEST_FPERIOD_OVERRIDE=FQ","FILING_STATUS=MR","SCALING_FORMAT=MLN","Sort=A","Dates=H","DateFormat=P","Fill=—","Direction=H","UseDPDF=Y")</f>
        <v>1057</v>
      </c>
      <c r="T132" s="13">
        <f>_xll.BDH("AMGN US Equity","ARDR_FAIR_VALUE_DERIVATIVES_NET","FQ1 2023","FQ1 2023","Currency=USD","Period=FQ","BEST_FPERIOD_OVERRIDE=FQ","FILING_STATUS=MR","SCALING_FORMAT=MLN","Sort=A","Dates=H","DateFormat=P","Fill=—","Direction=H","UseDPDF=Y")</f>
        <v>1000</v>
      </c>
      <c r="U132" s="13">
        <f>_xll.BDH("AMGN US Equity","ARDR_FAIR_VALUE_DERIVATIVES_NET","FQ2 2023","FQ2 2023","Currency=USD","Period=FQ","BEST_FPERIOD_OVERRIDE=FQ","FILING_STATUS=MR","SCALING_FORMAT=MLN","Sort=A","Dates=H","DateFormat=P","Fill=—","Direction=H","UseDPDF=Y")</f>
        <v>1060</v>
      </c>
      <c r="V132" s="13">
        <f>_xll.BDH("AMGN US Equity","ARDR_FAIR_VALUE_DERIVATIVES_NET","FQ3 2023","FQ3 2023","Currency=USD","Period=FQ","BEST_FPERIOD_OVERRIDE=FQ","FILING_STATUS=MR","SCALING_FORMAT=MLN","Sort=A","Dates=H","DateFormat=P","Fill=—","Direction=H","UseDPDF=Y")</f>
        <v>967</v>
      </c>
      <c r="W132" s="13">
        <f>_xll.BDH("AMGN US Equity","ARDR_FAIR_VALUE_DERIVATIVES_NET","FQ4 2023","FQ4 2023","Currency=USD","Period=FQ","BEST_FPERIOD_OVERRIDE=FQ","FILING_STATUS=MR","SCALING_FORMAT=MLN","Sort=A","Dates=H","DateFormat=P","Fill=—","Direction=H","UseDPDF=Y")</f>
        <v>947</v>
      </c>
      <c r="X132" s="13">
        <f>_xll.BDH("AMGN US Equity","ARDR_FAIR_VALUE_DERIVATIVES_NET","FQ1 2024","FQ1 2024","Currency=USD","Period=FQ","BEST_FPERIOD_OVERRIDE=FQ","FILING_STATUS=MR","SCALING_FORMAT=MLN","Sort=A","Dates=H","DateFormat=P","Fill=—","Direction=H","UseDPDF=Y")</f>
        <v>847</v>
      </c>
      <c r="Y132" s="13">
        <f>_xll.BDH("AMGN US Equity","ARDR_FAIR_VALUE_DERIVATIVES_NET","FQ2 2024","FQ2 2024","Currency=USD","Period=FQ","BEST_FPERIOD_OVERRIDE=FQ","FILING_STATUS=MR","SCALING_FORMAT=MLN","Sort=A","Dates=H","DateFormat=P","Fill=—","Direction=H","UseDPDF=Y")</f>
        <v>757</v>
      </c>
      <c r="Z132" s="13">
        <f>_xll.BDH("AMGN US Equity","ARDR_FAIR_VALUE_DERIVATIVES_NET","FQ3 2024","FQ3 2024","Currency=USD","Period=FQ","BEST_FPERIOD_OVERRIDE=FQ","FILING_STATUS=MR","SCALING_FORMAT=MLN","Sort=A","Dates=H","DateFormat=P","Fill=—","Direction=H","UseDPDF=Y")</f>
        <v>774</v>
      </c>
      <c r="AA132" s="13">
        <f>_xll.BDH("AMGN US Equity","ARDR_FAIR_VALUE_DERIVATIVES_NET","FQ4 2024","FQ4 2024","Currency=USD","Period=FQ","BEST_FPERIOD_OVERRIDE=FQ","FILING_STATUS=MR","SCALING_FORMAT=MLN","Sort=A","Dates=H","DateFormat=P","Fill=—","Direction=H","UseDPDF=Y")</f>
        <v>602</v>
      </c>
    </row>
    <row r="133" spans="1:27" x14ac:dyDescent="0.25">
      <c r="A133" s="10" t="s">
        <v>1080</v>
      </c>
      <c r="B133" s="10" t="s">
        <v>1081</v>
      </c>
      <c r="C133" s="13" t="str">
        <f>_xll.BDH("AMGN US Equity","ARDR_PV_FUTURE_MIN_OP_LEASE_OBL","FQ4 2018","FQ4 2018","Currency=USD","Period=FQ","BEST_FPERIOD_OVERRIDE=FQ","FILING_STATUS=MR","SCALING_FORMAT=MLN","Sort=A","Dates=H","DateFormat=P","Fill=—","Direction=H","UseDPDF=Y")</f>
        <v>—</v>
      </c>
      <c r="D133" s="13">
        <f>_xll.BDH("AMGN US Equity","ARDR_PV_FUTURE_MIN_OP_LEASE_OBL","FQ1 2019","FQ1 2019","Currency=USD","Period=FQ","BEST_FPERIOD_OVERRIDE=FQ","FILING_STATUS=MR","SCALING_FORMAT=MLN","Sort=A","Dates=H","DateFormat=P","Fill=—","Direction=H","UseDPDF=Y")</f>
        <v>488</v>
      </c>
      <c r="E133" s="13">
        <f>_xll.BDH("AMGN US Equity","ARDR_PV_FUTURE_MIN_OP_LEASE_OBL","FQ2 2019","FQ2 2019","Currency=USD","Period=FQ","BEST_FPERIOD_OVERRIDE=FQ","FILING_STATUS=MR","SCALING_FORMAT=MLN","Sort=A","Dates=H","DateFormat=P","Fill=—","Direction=H","UseDPDF=Y")</f>
        <v>497</v>
      </c>
      <c r="F133" s="13">
        <f>_xll.BDH("AMGN US Equity","ARDR_PV_FUTURE_MIN_OP_LEASE_OBL","FQ3 2019","FQ3 2019","Currency=USD","Period=FQ","BEST_FPERIOD_OVERRIDE=FQ","FILING_STATUS=MR","SCALING_FORMAT=MLN","Sort=A","Dates=H","DateFormat=P","Fill=—","Direction=H","UseDPDF=Y")</f>
        <v>486</v>
      </c>
      <c r="G133" s="13">
        <f>_xll.BDH("AMGN US Equity","ARDR_PV_FUTURE_MIN_OP_LEASE_OBL","FQ4 2019","FQ4 2019","Currency=USD","Period=FQ","BEST_FPERIOD_OVERRIDE=FQ","FILING_STATUS=MR","SCALING_FORMAT=MLN","Sort=A","Dates=H","DateFormat=P","Fill=—","Direction=H","UseDPDF=Y")</f>
        <v>528</v>
      </c>
      <c r="H133" s="13" t="str">
        <f>_xll.BDH("AMGN US Equity","ARDR_PV_FUTURE_MIN_OP_LEASE_OBL","FQ1 2020","FQ1 2020","Currency=USD","Period=FQ","BEST_FPERIOD_OVERRIDE=FQ","FILING_STATUS=MR","SCALING_FORMAT=MLN","Sort=A","Dates=H","DateFormat=P","Fill=—","Direction=H","UseDPDF=Y")</f>
        <v>—</v>
      </c>
      <c r="I133" s="13" t="str">
        <f>_xll.BDH("AMGN US Equity","ARDR_PV_FUTURE_MIN_OP_LEASE_OBL","FQ2 2020","FQ2 2020","Currency=USD","Period=FQ","BEST_FPERIOD_OVERRIDE=FQ","FILING_STATUS=MR","SCALING_FORMAT=MLN","Sort=A","Dates=H","DateFormat=P","Fill=—","Direction=H","UseDPDF=Y")</f>
        <v>—</v>
      </c>
      <c r="J133" s="13" t="str">
        <f>_xll.BDH("AMGN US Equity","ARDR_PV_FUTURE_MIN_OP_LEASE_OBL","FQ3 2020","FQ3 2020","Currency=USD","Period=FQ","BEST_FPERIOD_OVERRIDE=FQ","FILING_STATUS=MR","SCALING_FORMAT=MLN","Sort=A","Dates=H","DateFormat=P","Fill=—","Direction=H","UseDPDF=Y")</f>
        <v>—</v>
      </c>
      <c r="K133" s="13">
        <f>_xll.BDH("AMGN US Equity","ARDR_PV_FUTURE_MIN_OP_LEASE_OBL","FQ4 2020","FQ4 2020","Currency=USD","Period=FQ","BEST_FPERIOD_OVERRIDE=FQ","FILING_STATUS=MR","SCALING_FORMAT=MLN","Sort=A","Dates=H","DateFormat=P","Fill=—","Direction=H","UseDPDF=Y")</f>
        <v>459</v>
      </c>
      <c r="L133" s="13" t="str">
        <f>_xll.BDH("AMGN US Equity","ARDR_PV_FUTURE_MIN_OP_LEASE_OBL","FQ1 2021","FQ1 2021","Currency=USD","Period=FQ","BEST_FPERIOD_OVERRIDE=FQ","FILING_STATUS=MR","SCALING_FORMAT=MLN","Sort=A","Dates=H","DateFormat=P","Fill=—","Direction=H","UseDPDF=Y")</f>
        <v>—</v>
      </c>
      <c r="M133" s="13" t="str">
        <f>_xll.BDH("AMGN US Equity","ARDR_PV_FUTURE_MIN_OP_LEASE_OBL","FQ2 2021","FQ2 2021","Currency=USD","Period=FQ","BEST_FPERIOD_OVERRIDE=FQ","FILING_STATUS=MR","SCALING_FORMAT=MLN","Sort=A","Dates=H","DateFormat=P","Fill=—","Direction=H","UseDPDF=Y")</f>
        <v>—</v>
      </c>
      <c r="N133" s="13" t="str">
        <f>_xll.BDH("AMGN US Equity","ARDR_PV_FUTURE_MIN_OP_LEASE_OBL","FQ3 2021","FQ3 2021","Currency=USD","Period=FQ","BEST_FPERIOD_OVERRIDE=FQ","FILING_STATUS=MR","SCALING_FORMAT=MLN","Sort=A","Dates=H","DateFormat=P","Fill=—","Direction=H","UseDPDF=Y")</f>
        <v>—</v>
      </c>
      <c r="O133" s="13">
        <f>_xll.BDH("AMGN US Equity","ARDR_PV_FUTURE_MIN_OP_LEASE_OBL","FQ4 2021","FQ4 2021","Currency=USD","Period=FQ","BEST_FPERIOD_OVERRIDE=FQ","FILING_STATUS=MR","SCALING_FORMAT=MLN","Sort=A","Dates=H","DateFormat=P","Fill=—","Direction=H","UseDPDF=Y")</f>
        <v>670</v>
      </c>
      <c r="P133" s="13" t="str">
        <f>_xll.BDH("AMGN US Equity","ARDR_PV_FUTURE_MIN_OP_LEASE_OBL","FQ1 2022","FQ1 2022","Currency=USD","Period=FQ","BEST_FPERIOD_OVERRIDE=FQ","FILING_STATUS=MR","SCALING_FORMAT=MLN","Sort=A","Dates=H","DateFormat=P","Fill=—","Direction=H","UseDPDF=Y")</f>
        <v>—</v>
      </c>
      <c r="Q133" s="13" t="str">
        <f>_xll.BDH("AMGN US Equity","ARDR_PV_FUTURE_MIN_OP_LEASE_OBL","FQ2 2022","FQ2 2022","Currency=USD","Period=FQ","BEST_FPERIOD_OVERRIDE=FQ","FILING_STATUS=MR","SCALING_FORMAT=MLN","Sort=A","Dates=H","DateFormat=P","Fill=—","Direction=H","UseDPDF=Y")</f>
        <v>—</v>
      </c>
      <c r="R133" s="13" t="str">
        <f>_xll.BDH("AMGN US Equity","ARDR_PV_FUTURE_MIN_OP_LEASE_OBL","FQ3 2022","FQ3 2022","Currency=USD","Period=FQ","BEST_FPERIOD_OVERRIDE=FQ","FILING_STATUS=MR","SCALING_FORMAT=MLN","Sort=A","Dates=H","DateFormat=P","Fill=—","Direction=H","UseDPDF=Y")</f>
        <v>—</v>
      </c>
      <c r="S133" s="13">
        <f>_xll.BDH("AMGN US Equity","ARDR_PV_FUTURE_MIN_OP_LEASE_OBL","FQ4 2022","FQ4 2022","Currency=USD","Period=FQ","BEST_FPERIOD_OVERRIDE=FQ","FILING_STATUS=MR","SCALING_FORMAT=MLN","Sort=A","Dates=H","DateFormat=P","Fill=—","Direction=H","UseDPDF=Y")</f>
        <v>695</v>
      </c>
      <c r="T133" s="13" t="str">
        <f>_xll.BDH("AMGN US Equity","ARDR_PV_FUTURE_MIN_OP_LEASE_OBL","FQ1 2023","FQ1 2023","Currency=USD","Period=FQ","BEST_FPERIOD_OVERRIDE=FQ","FILING_STATUS=MR","SCALING_FORMAT=MLN","Sort=A","Dates=H","DateFormat=P","Fill=—","Direction=H","UseDPDF=Y")</f>
        <v>—</v>
      </c>
      <c r="U133" s="13" t="str">
        <f>_xll.BDH("AMGN US Equity","ARDR_PV_FUTURE_MIN_OP_LEASE_OBL","FQ2 2023","FQ2 2023","Currency=USD","Period=FQ","BEST_FPERIOD_OVERRIDE=FQ","FILING_STATUS=MR","SCALING_FORMAT=MLN","Sort=A","Dates=H","DateFormat=P","Fill=—","Direction=H","UseDPDF=Y")</f>
        <v>—</v>
      </c>
      <c r="V133" s="13" t="str">
        <f>_xll.BDH("AMGN US Equity","ARDR_PV_FUTURE_MIN_OP_LEASE_OBL","FQ3 2023","FQ3 2023","Currency=USD","Period=FQ","BEST_FPERIOD_OVERRIDE=FQ","FILING_STATUS=MR","SCALING_FORMAT=MLN","Sort=A","Dates=H","DateFormat=P","Fill=—","Direction=H","UseDPDF=Y")</f>
        <v>—</v>
      </c>
      <c r="W133" s="13">
        <f>_xll.BDH("AMGN US Equity","ARDR_PV_FUTURE_MIN_OP_LEASE_OBL","FQ4 2023","FQ4 2023","Currency=USD","Period=FQ","BEST_FPERIOD_OVERRIDE=FQ","FILING_STATUS=MR","SCALING_FORMAT=MLN","Sort=A","Dates=H","DateFormat=P","Fill=—","Direction=H","UseDPDF=Y")</f>
        <v>810</v>
      </c>
      <c r="X133" s="13" t="str">
        <f>_xll.BDH("AMGN US Equity","ARDR_PV_FUTURE_MIN_OP_LEASE_OBL","FQ1 2024","FQ1 2024","Currency=USD","Period=FQ","BEST_FPERIOD_OVERRIDE=FQ","FILING_STATUS=MR","SCALING_FORMAT=MLN","Sort=A","Dates=H","DateFormat=P","Fill=—","Direction=H","UseDPDF=Y")</f>
        <v>—</v>
      </c>
      <c r="Y133" s="13" t="str">
        <f>_xll.BDH("AMGN US Equity","ARDR_PV_FUTURE_MIN_OP_LEASE_OBL","FQ2 2024","FQ2 2024","Currency=USD","Period=FQ","BEST_FPERIOD_OVERRIDE=FQ","FILING_STATUS=MR","SCALING_FORMAT=MLN","Sort=A","Dates=H","DateFormat=P","Fill=—","Direction=H","UseDPDF=Y")</f>
        <v>—</v>
      </c>
      <c r="Z133" s="13" t="str">
        <f>_xll.BDH("AMGN US Equity","ARDR_PV_FUTURE_MIN_OP_LEASE_OBL","FQ3 2024","FQ3 2024","Currency=USD","Period=FQ","BEST_FPERIOD_OVERRIDE=FQ","FILING_STATUS=MR","SCALING_FORMAT=MLN","Sort=A","Dates=H","DateFormat=P","Fill=—","Direction=H","UseDPDF=Y")</f>
        <v>—</v>
      </c>
      <c r="AA133" s="13">
        <f>_xll.BDH("AMGN US Equity","ARDR_PV_FUTURE_MIN_OP_LEASE_OBL","FQ4 2024","FQ4 2024","Currency=USD","Period=FQ","BEST_FPERIOD_OVERRIDE=FQ","FILING_STATUS=MR","SCALING_FORMAT=MLN","Sort=A","Dates=H","DateFormat=P","Fill=—","Direction=H","UseDPDF=Y")</f>
        <v>780</v>
      </c>
    </row>
    <row r="134" spans="1:27" x14ac:dyDescent="0.25">
      <c r="A134" s="10" t="s">
        <v>1082</v>
      </c>
      <c r="B134" s="10" t="s">
        <v>1083</v>
      </c>
      <c r="C134" s="14" t="str">
        <f>_xll.BDH("AMGN US Equity","ARDR_WEI_AVG_COST_OPTIONS_GRANT","FQ4 2018","FQ4 2018","Currency=USD","Period=FQ","BEST_FPERIOD_OVERRIDE=FQ","FILING_STATUS=MR","Sort=A","Dates=H","DateFormat=P","Fill=—","Direction=H","UseDPDF=Y")</f>
        <v>—</v>
      </c>
      <c r="D134" s="14" t="str">
        <f>_xll.BDH("AMGN US Equity","ARDR_WEI_AVG_COST_OPTIONS_GRANT","FQ1 2019","FQ1 2019","Currency=USD","Period=FQ","BEST_FPERIOD_OVERRIDE=FQ","FILING_STATUS=MR","Sort=A","Dates=H","DateFormat=P","Fill=—","Direction=H","UseDPDF=Y")</f>
        <v>—</v>
      </c>
      <c r="E134" s="14" t="str">
        <f>_xll.BDH("AMGN US Equity","ARDR_WEI_AVG_COST_OPTIONS_GRANT","FQ2 2019","FQ2 2019","Currency=USD","Period=FQ","BEST_FPERIOD_OVERRIDE=FQ","FILING_STATUS=MR","Sort=A","Dates=H","DateFormat=P","Fill=—","Direction=H","UseDPDF=Y")</f>
        <v>—</v>
      </c>
      <c r="F134" s="14" t="str">
        <f>_xll.BDH("AMGN US Equity","ARDR_WEI_AVG_COST_OPTIONS_GRANT","FQ3 2019","FQ3 2019","Currency=USD","Period=FQ","BEST_FPERIOD_OVERRIDE=FQ","FILING_STATUS=MR","Sort=A","Dates=H","DateFormat=P","Fill=—","Direction=H","UseDPDF=Y")</f>
        <v>—</v>
      </c>
      <c r="G134" s="14">
        <f>_xll.BDH("AMGN US Equity","ARDR_WEI_AVG_COST_OPTIONS_GRANT","FQ4 2019","FQ4 2019","Currency=USD","Period=FQ","BEST_FPERIOD_OVERRIDE=FQ","FILING_STATUS=MR","Sort=A","Dates=H","DateFormat=P","Fill=—","Direction=H","UseDPDF=Y")</f>
        <v>30.47</v>
      </c>
      <c r="H134" s="14" t="str">
        <f>_xll.BDH("AMGN US Equity","ARDR_WEI_AVG_COST_OPTIONS_GRANT","FQ1 2020","FQ1 2020","Currency=USD","Period=FQ","BEST_FPERIOD_OVERRIDE=FQ","FILING_STATUS=MR","Sort=A","Dates=H","DateFormat=P","Fill=—","Direction=H","UseDPDF=Y")</f>
        <v>—</v>
      </c>
      <c r="I134" s="14" t="str">
        <f>_xll.BDH("AMGN US Equity","ARDR_WEI_AVG_COST_OPTIONS_GRANT","FQ2 2020","FQ2 2020","Currency=USD","Period=FQ","BEST_FPERIOD_OVERRIDE=FQ","FILING_STATUS=MR","Sort=A","Dates=H","DateFormat=P","Fill=—","Direction=H","UseDPDF=Y")</f>
        <v>—</v>
      </c>
      <c r="J134" s="14" t="str">
        <f>_xll.BDH("AMGN US Equity","ARDR_WEI_AVG_COST_OPTIONS_GRANT","FQ3 2020","FQ3 2020","Currency=USD","Period=FQ","BEST_FPERIOD_OVERRIDE=FQ","FILING_STATUS=MR","Sort=A","Dates=H","DateFormat=P","Fill=—","Direction=H","UseDPDF=Y")</f>
        <v>—</v>
      </c>
      <c r="K134" s="14">
        <f>_xll.BDH("AMGN US Equity","ARDR_WEI_AVG_COST_OPTIONS_GRANT","FQ4 2020","FQ4 2020","Currency=USD","Period=FQ","BEST_FPERIOD_OVERRIDE=FQ","FILING_STATUS=MR","Sort=A","Dates=H","DateFormat=P","Fill=—","Direction=H","UseDPDF=Y")</f>
        <v>42.34</v>
      </c>
      <c r="L134" s="14" t="str">
        <f>_xll.BDH("AMGN US Equity","ARDR_WEI_AVG_COST_OPTIONS_GRANT","FQ1 2021","FQ1 2021","Currency=USD","Period=FQ","BEST_FPERIOD_OVERRIDE=FQ","FILING_STATUS=MR","Sort=A","Dates=H","DateFormat=P","Fill=—","Direction=H","UseDPDF=Y")</f>
        <v>—</v>
      </c>
      <c r="M134" s="14" t="str">
        <f>_xll.BDH("AMGN US Equity","ARDR_WEI_AVG_COST_OPTIONS_GRANT","FQ2 2021","FQ2 2021","Currency=USD","Period=FQ","BEST_FPERIOD_OVERRIDE=FQ","FILING_STATUS=MR","Sort=A","Dates=H","DateFormat=P","Fill=—","Direction=H","UseDPDF=Y")</f>
        <v>—</v>
      </c>
      <c r="N134" s="14" t="str">
        <f>_xll.BDH("AMGN US Equity","ARDR_WEI_AVG_COST_OPTIONS_GRANT","FQ3 2021","FQ3 2021","Currency=USD","Period=FQ","BEST_FPERIOD_OVERRIDE=FQ","FILING_STATUS=MR","Sort=A","Dates=H","DateFormat=P","Fill=—","Direction=H","UseDPDF=Y")</f>
        <v>—</v>
      </c>
      <c r="O134" s="14">
        <f>_xll.BDH("AMGN US Equity","ARDR_WEI_AVG_COST_OPTIONS_GRANT","FQ4 2021","FQ4 2021","Currency=USD","Period=FQ","BEST_FPERIOD_OVERRIDE=FQ","FILING_STATUS=MR","Sort=A","Dates=H","DateFormat=P","Fill=—","Direction=H","UseDPDF=Y")</f>
        <v>40.43</v>
      </c>
      <c r="P134" s="14" t="str">
        <f>_xll.BDH("AMGN US Equity","ARDR_WEI_AVG_COST_OPTIONS_GRANT","FQ1 2022","FQ1 2022","Currency=USD","Period=FQ","BEST_FPERIOD_OVERRIDE=FQ","FILING_STATUS=MR","Sort=A","Dates=H","DateFormat=P","Fill=—","Direction=H","UseDPDF=Y")</f>
        <v>—</v>
      </c>
      <c r="Q134" s="14" t="str">
        <f>_xll.BDH("AMGN US Equity","ARDR_WEI_AVG_COST_OPTIONS_GRANT","FQ2 2022","FQ2 2022","Currency=USD","Period=FQ","BEST_FPERIOD_OVERRIDE=FQ","FILING_STATUS=MR","Sort=A","Dates=H","DateFormat=P","Fill=—","Direction=H","UseDPDF=Y")</f>
        <v>—</v>
      </c>
      <c r="R134" s="14" t="str">
        <f>_xll.BDH("AMGN US Equity","ARDR_WEI_AVG_COST_OPTIONS_GRANT","FQ3 2022","FQ3 2022","Currency=USD","Period=FQ","BEST_FPERIOD_OVERRIDE=FQ","FILING_STATUS=MR","Sort=A","Dates=H","DateFormat=P","Fill=—","Direction=H","UseDPDF=Y")</f>
        <v>—</v>
      </c>
      <c r="S134" s="14">
        <f>_xll.BDH("AMGN US Equity","ARDR_WEI_AVG_COST_OPTIONS_GRANT","FQ4 2022","FQ4 2022","Currency=USD","Period=FQ","BEST_FPERIOD_OVERRIDE=FQ","FILING_STATUS=MR","Sort=A","Dates=H","DateFormat=P","Fill=—","Direction=H","UseDPDF=Y")</f>
        <v>42.43</v>
      </c>
      <c r="T134" s="14" t="str">
        <f>_xll.BDH("AMGN US Equity","ARDR_WEI_AVG_COST_OPTIONS_GRANT","FQ1 2023","FQ1 2023","Currency=USD","Period=FQ","BEST_FPERIOD_OVERRIDE=FQ","FILING_STATUS=MR","Sort=A","Dates=H","DateFormat=P","Fill=—","Direction=H","UseDPDF=Y")</f>
        <v>—</v>
      </c>
      <c r="U134" s="14" t="str">
        <f>_xll.BDH("AMGN US Equity","ARDR_WEI_AVG_COST_OPTIONS_GRANT","FQ2 2023","FQ2 2023","Currency=USD","Period=FQ","BEST_FPERIOD_OVERRIDE=FQ","FILING_STATUS=MR","Sort=A","Dates=H","DateFormat=P","Fill=—","Direction=H","UseDPDF=Y")</f>
        <v>—</v>
      </c>
      <c r="V134" s="14" t="str">
        <f>_xll.BDH("AMGN US Equity","ARDR_WEI_AVG_COST_OPTIONS_GRANT","FQ3 2023","FQ3 2023","Currency=USD","Period=FQ","BEST_FPERIOD_OVERRIDE=FQ","FILING_STATUS=MR","Sort=A","Dates=H","DateFormat=P","Fill=—","Direction=H","UseDPDF=Y")</f>
        <v>—</v>
      </c>
      <c r="W134" s="14">
        <f>_xll.BDH("AMGN US Equity","ARDR_WEI_AVG_COST_OPTIONS_GRANT","FQ4 2023","FQ4 2023","Currency=USD","Period=FQ","BEST_FPERIOD_OVERRIDE=FQ","FILING_STATUS=MR","Sort=A","Dates=H","DateFormat=P","Fill=—","Direction=H","UseDPDF=Y")</f>
        <v>41.86</v>
      </c>
      <c r="X134" s="14" t="str">
        <f>_xll.BDH("AMGN US Equity","ARDR_WEI_AVG_COST_OPTIONS_GRANT","FQ1 2024","FQ1 2024","Currency=USD","Period=FQ","BEST_FPERIOD_OVERRIDE=FQ","FILING_STATUS=MR","Sort=A","Dates=H","DateFormat=P","Fill=—","Direction=H","UseDPDF=Y")</f>
        <v>—</v>
      </c>
      <c r="Y134" s="14" t="str">
        <f>_xll.BDH("AMGN US Equity","ARDR_WEI_AVG_COST_OPTIONS_GRANT","FQ2 2024","FQ2 2024","Currency=USD","Period=FQ","BEST_FPERIOD_OVERRIDE=FQ","FILING_STATUS=MR","Sort=A","Dates=H","DateFormat=P","Fill=—","Direction=H","UseDPDF=Y")</f>
        <v>—</v>
      </c>
      <c r="Z134" s="14" t="str">
        <f>_xll.BDH("AMGN US Equity","ARDR_WEI_AVG_COST_OPTIONS_GRANT","FQ3 2024","FQ3 2024","Currency=USD","Period=FQ","BEST_FPERIOD_OVERRIDE=FQ","FILING_STATUS=MR","Sort=A","Dates=H","DateFormat=P","Fill=—","Direction=H","UseDPDF=Y")</f>
        <v>—</v>
      </c>
      <c r="AA134" s="14">
        <f>_xll.BDH("AMGN US Equity","ARDR_WEI_AVG_COST_OPTIONS_GRANT","FQ4 2024","FQ4 2024","Currency=USD","Period=FQ","BEST_FPERIOD_OVERRIDE=FQ","FILING_STATUS=MR","Sort=A","Dates=H","DateFormat=P","Fill=—","Direction=H","UseDPDF=Y")</f>
        <v>69.34</v>
      </c>
    </row>
    <row r="135" spans="1:27" x14ac:dyDescent="0.25">
      <c r="A135" s="10" t="s">
        <v>1084</v>
      </c>
      <c r="B135" s="10" t="s">
        <v>1085</v>
      </c>
      <c r="C135" s="14" t="str">
        <f>_xll.BDH("AMGN US Equity","ARDR_STOCK_OPTION_VAL_RFR","FQ4 2018","FQ4 2018","Currency=USD","Period=FQ","BEST_FPERIOD_OVERRIDE=FQ","FILING_STATUS=MR","Sort=A","Dates=H","DateFormat=P","Fill=—","Direction=H","UseDPDF=Y")</f>
        <v>—</v>
      </c>
      <c r="D135" s="14" t="str">
        <f>_xll.BDH("AMGN US Equity","ARDR_STOCK_OPTION_VAL_RFR","FQ1 2019","FQ1 2019","Currency=USD","Period=FQ","BEST_FPERIOD_OVERRIDE=FQ","FILING_STATUS=MR","Sort=A","Dates=H","DateFormat=P","Fill=—","Direction=H","UseDPDF=Y")</f>
        <v>—</v>
      </c>
      <c r="E135" s="14" t="str">
        <f>_xll.BDH("AMGN US Equity","ARDR_STOCK_OPTION_VAL_RFR","FQ2 2019","FQ2 2019","Currency=USD","Period=FQ","BEST_FPERIOD_OVERRIDE=FQ","FILING_STATUS=MR","Sort=A","Dates=H","DateFormat=P","Fill=—","Direction=H","UseDPDF=Y")</f>
        <v>—</v>
      </c>
      <c r="F135" s="14" t="str">
        <f>_xll.BDH("AMGN US Equity","ARDR_STOCK_OPTION_VAL_RFR","FQ3 2019","FQ3 2019","Currency=USD","Period=FQ","BEST_FPERIOD_OVERRIDE=FQ","FILING_STATUS=MR","Sort=A","Dates=H","DateFormat=P","Fill=—","Direction=H","UseDPDF=Y")</f>
        <v>—</v>
      </c>
      <c r="G135" s="14">
        <f>_xll.BDH("AMGN US Equity","ARDR_STOCK_OPTION_VAL_RFR","FQ4 2019","FQ4 2019","Currency=USD","Period=FQ","BEST_FPERIOD_OVERRIDE=FQ","FILING_STATUS=MR","Sort=A","Dates=H","DateFormat=P","Fill=—","Direction=H","UseDPDF=Y")</f>
        <v>4.7</v>
      </c>
      <c r="H135" s="14" t="str">
        <f>_xll.BDH("AMGN US Equity","ARDR_STOCK_OPTION_VAL_RFR","FQ1 2020","FQ1 2020","Currency=USD","Period=FQ","BEST_FPERIOD_OVERRIDE=FQ","FILING_STATUS=MR","Sort=A","Dates=H","DateFormat=P","Fill=—","Direction=H","UseDPDF=Y")</f>
        <v>—</v>
      </c>
      <c r="I135" s="14" t="str">
        <f>_xll.BDH("AMGN US Equity","ARDR_STOCK_OPTION_VAL_RFR","FQ2 2020","FQ2 2020","Currency=USD","Period=FQ","BEST_FPERIOD_OVERRIDE=FQ","FILING_STATUS=MR","Sort=A","Dates=H","DateFormat=P","Fill=—","Direction=H","UseDPDF=Y")</f>
        <v>—</v>
      </c>
      <c r="J135" s="14" t="str">
        <f>_xll.BDH("AMGN US Equity","ARDR_STOCK_OPTION_VAL_RFR","FQ3 2020","FQ3 2020","Currency=USD","Period=FQ","BEST_FPERIOD_OVERRIDE=FQ","FILING_STATUS=MR","Sort=A","Dates=H","DateFormat=P","Fill=—","Direction=H","UseDPDF=Y")</f>
        <v>—</v>
      </c>
      <c r="K135" s="14">
        <f>_xll.BDH("AMGN US Equity","ARDR_STOCK_OPTION_VAL_RFR","FQ4 2020","FQ4 2020","Currency=USD","Period=FQ","BEST_FPERIOD_OVERRIDE=FQ","FILING_STATUS=MR","Sort=A","Dates=H","DateFormat=P","Fill=—","Direction=H","UseDPDF=Y")</f>
        <v>0.6</v>
      </c>
      <c r="L135" s="14" t="str">
        <f>_xll.BDH("AMGN US Equity","ARDR_STOCK_OPTION_VAL_RFR","FQ1 2021","FQ1 2021","Currency=USD","Period=FQ","BEST_FPERIOD_OVERRIDE=FQ","FILING_STATUS=MR","Sort=A","Dates=H","DateFormat=P","Fill=—","Direction=H","UseDPDF=Y")</f>
        <v>—</v>
      </c>
      <c r="M135" s="14" t="str">
        <f>_xll.BDH("AMGN US Equity","ARDR_STOCK_OPTION_VAL_RFR","FQ2 2021","FQ2 2021","Currency=USD","Period=FQ","BEST_FPERIOD_OVERRIDE=FQ","FILING_STATUS=MR","Sort=A","Dates=H","DateFormat=P","Fill=—","Direction=H","UseDPDF=Y")</f>
        <v>—</v>
      </c>
      <c r="N135" s="14" t="str">
        <f>_xll.BDH("AMGN US Equity","ARDR_STOCK_OPTION_VAL_RFR","FQ3 2021","FQ3 2021","Currency=USD","Period=FQ","BEST_FPERIOD_OVERRIDE=FQ","FILING_STATUS=MR","Sort=A","Dates=H","DateFormat=P","Fill=—","Direction=H","UseDPDF=Y")</f>
        <v>—</v>
      </c>
      <c r="O135" s="14">
        <f>_xll.BDH("AMGN US Equity","ARDR_STOCK_OPTION_VAL_RFR","FQ4 2021","FQ4 2021","Currency=USD","Period=FQ","BEST_FPERIOD_OVERRIDE=FQ","FILING_STATUS=MR","Sort=A","Dates=H","DateFormat=P","Fill=—","Direction=H","UseDPDF=Y")</f>
        <v>1.3</v>
      </c>
      <c r="P135" s="14" t="str">
        <f>_xll.BDH("AMGN US Equity","ARDR_STOCK_OPTION_VAL_RFR","FQ1 2022","FQ1 2022","Currency=USD","Period=FQ","BEST_FPERIOD_OVERRIDE=FQ","FILING_STATUS=MR","Sort=A","Dates=H","DateFormat=P","Fill=—","Direction=H","UseDPDF=Y")</f>
        <v>—</v>
      </c>
      <c r="Q135" s="14" t="str">
        <f>_xll.BDH("AMGN US Equity","ARDR_STOCK_OPTION_VAL_RFR","FQ2 2022","FQ2 2022","Currency=USD","Period=FQ","BEST_FPERIOD_OVERRIDE=FQ","FILING_STATUS=MR","Sort=A","Dates=H","DateFormat=P","Fill=—","Direction=H","UseDPDF=Y")</f>
        <v>—</v>
      </c>
      <c r="R135" s="14" t="str">
        <f>_xll.BDH("AMGN US Equity","ARDR_STOCK_OPTION_VAL_RFR","FQ3 2022","FQ3 2022","Currency=USD","Period=FQ","BEST_FPERIOD_OVERRIDE=FQ","FILING_STATUS=MR","Sort=A","Dates=H","DateFormat=P","Fill=—","Direction=H","UseDPDF=Y")</f>
        <v>—</v>
      </c>
      <c r="S135" s="14">
        <f>_xll.BDH("AMGN US Equity","ARDR_STOCK_OPTION_VAL_RFR","FQ4 2022","FQ4 2022","Currency=USD","Period=FQ","BEST_FPERIOD_OVERRIDE=FQ","FILING_STATUS=MR","Sort=A","Dates=H","DateFormat=P","Fill=—","Direction=H","UseDPDF=Y")</f>
        <v>2.8</v>
      </c>
      <c r="T135" s="14" t="str">
        <f>_xll.BDH("AMGN US Equity","ARDR_STOCK_OPTION_VAL_RFR","FQ1 2023","FQ1 2023","Currency=USD","Period=FQ","BEST_FPERIOD_OVERRIDE=FQ","FILING_STATUS=MR","Sort=A","Dates=H","DateFormat=P","Fill=—","Direction=H","UseDPDF=Y")</f>
        <v>—</v>
      </c>
      <c r="U135" s="14" t="str">
        <f>_xll.BDH("AMGN US Equity","ARDR_STOCK_OPTION_VAL_RFR","FQ2 2023","FQ2 2023","Currency=USD","Period=FQ","BEST_FPERIOD_OVERRIDE=FQ","FILING_STATUS=MR","Sort=A","Dates=H","DateFormat=P","Fill=—","Direction=H","UseDPDF=Y")</f>
        <v>—</v>
      </c>
      <c r="V135" s="14" t="str">
        <f>_xll.BDH("AMGN US Equity","ARDR_STOCK_OPTION_VAL_RFR","FQ3 2023","FQ3 2023","Currency=USD","Period=FQ","BEST_FPERIOD_OVERRIDE=FQ","FILING_STATUS=MR","Sort=A","Dates=H","DateFormat=P","Fill=—","Direction=H","UseDPDF=Y")</f>
        <v>—</v>
      </c>
      <c r="W135" s="14">
        <f>_xll.BDH("AMGN US Equity","ARDR_STOCK_OPTION_VAL_RFR","FQ4 2023","FQ4 2023","Currency=USD","Period=FQ","BEST_FPERIOD_OVERRIDE=FQ","FILING_STATUS=MR","Sort=A","Dates=H","DateFormat=P","Fill=—","Direction=H","UseDPDF=Y")</f>
        <v>3.4</v>
      </c>
      <c r="X135" s="14" t="str">
        <f>_xll.BDH("AMGN US Equity","ARDR_STOCK_OPTION_VAL_RFR","FQ1 2024","FQ1 2024","Currency=USD","Period=FQ","BEST_FPERIOD_OVERRIDE=FQ","FILING_STATUS=MR","Sort=A","Dates=H","DateFormat=P","Fill=—","Direction=H","UseDPDF=Y")</f>
        <v>—</v>
      </c>
      <c r="Y135" s="14" t="str">
        <f>_xll.BDH("AMGN US Equity","ARDR_STOCK_OPTION_VAL_RFR","FQ2 2024","FQ2 2024","Currency=USD","Period=FQ","BEST_FPERIOD_OVERRIDE=FQ","FILING_STATUS=MR","Sort=A","Dates=H","DateFormat=P","Fill=—","Direction=H","UseDPDF=Y")</f>
        <v>—</v>
      </c>
      <c r="Z135" s="14" t="str">
        <f>_xll.BDH("AMGN US Equity","ARDR_STOCK_OPTION_VAL_RFR","FQ3 2024","FQ3 2024","Currency=USD","Period=FQ","BEST_FPERIOD_OVERRIDE=FQ","FILING_STATUS=MR","Sort=A","Dates=H","DateFormat=P","Fill=—","Direction=H","UseDPDF=Y")</f>
        <v>—</v>
      </c>
      <c r="AA135" s="14">
        <f>_xll.BDH("AMGN US Equity","ARDR_STOCK_OPTION_VAL_RFR","FQ4 2024","FQ4 2024","Currency=USD","Period=FQ","BEST_FPERIOD_OVERRIDE=FQ","FILING_STATUS=MR","Sort=A","Dates=H","DateFormat=P","Fill=—","Direction=H","UseDPDF=Y")</f>
        <v>4.4000000000000004</v>
      </c>
    </row>
    <row r="136" spans="1:27" x14ac:dyDescent="0.25">
      <c r="A136" s="10" t="s">
        <v>1086</v>
      </c>
      <c r="B136" s="10" t="s">
        <v>1087</v>
      </c>
      <c r="C136" s="14" t="str">
        <f>_xll.BDH("AMGN US Equity","ARDR_STOCK_OPTION_VAL_EXP_LIFE","FQ4 2018","FQ4 2018","Currency=USD","Period=FQ","BEST_FPERIOD_OVERRIDE=FQ","FILING_STATUS=MR","Sort=A","Dates=H","DateFormat=P","Fill=—","Direction=H","UseDPDF=Y")</f>
        <v>—</v>
      </c>
      <c r="D136" s="14" t="str">
        <f>_xll.BDH("AMGN US Equity","ARDR_STOCK_OPTION_VAL_EXP_LIFE","FQ1 2019","FQ1 2019","Currency=USD","Period=FQ","BEST_FPERIOD_OVERRIDE=FQ","FILING_STATUS=MR","Sort=A","Dates=H","DateFormat=P","Fill=—","Direction=H","UseDPDF=Y")</f>
        <v>—</v>
      </c>
      <c r="E136" s="14" t="str">
        <f>_xll.BDH("AMGN US Equity","ARDR_STOCK_OPTION_VAL_EXP_LIFE","FQ2 2019","FQ2 2019","Currency=USD","Period=FQ","BEST_FPERIOD_OVERRIDE=FQ","FILING_STATUS=MR","Sort=A","Dates=H","DateFormat=P","Fill=—","Direction=H","UseDPDF=Y")</f>
        <v>—</v>
      </c>
      <c r="F136" s="14" t="str">
        <f>_xll.BDH("AMGN US Equity","ARDR_STOCK_OPTION_VAL_EXP_LIFE","FQ3 2019","FQ3 2019","Currency=USD","Period=FQ","BEST_FPERIOD_OVERRIDE=FQ","FILING_STATUS=MR","Sort=A","Dates=H","DateFormat=P","Fill=—","Direction=H","UseDPDF=Y")</f>
        <v>—</v>
      </c>
      <c r="G136" s="14">
        <f>_xll.BDH("AMGN US Equity","ARDR_STOCK_OPTION_VAL_EXP_LIFE","FQ4 2019","FQ4 2019","Currency=USD","Period=FQ","BEST_FPERIOD_OVERRIDE=FQ","FILING_STATUS=MR","Sort=A","Dates=H","DateFormat=P","Fill=—","Direction=H","UseDPDF=Y")</f>
        <v>5.8</v>
      </c>
      <c r="H136" s="14" t="str">
        <f>_xll.BDH("AMGN US Equity","ARDR_STOCK_OPTION_VAL_EXP_LIFE","FQ1 2020","FQ1 2020","Currency=USD","Period=FQ","BEST_FPERIOD_OVERRIDE=FQ","FILING_STATUS=MR","Sort=A","Dates=H","DateFormat=P","Fill=—","Direction=H","UseDPDF=Y")</f>
        <v>—</v>
      </c>
      <c r="I136" s="14" t="str">
        <f>_xll.BDH("AMGN US Equity","ARDR_STOCK_OPTION_VAL_EXP_LIFE","FQ2 2020","FQ2 2020","Currency=USD","Period=FQ","BEST_FPERIOD_OVERRIDE=FQ","FILING_STATUS=MR","Sort=A","Dates=H","DateFormat=P","Fill=—","Direction=H","UseDPDF=Y")</f>
        <v>—</v>
      </c>
      <c r="J136" s="14" t="str">
        <f>_xll.BDH("AMGN US Equity","ARDR_STOCK_OPTION_VAL_EXP_LIFE","FQ3 2020","FQ3 2020","Currency=USD","Period=FQ","BEST_FPERIOD_OVERRIDE=FQ","FILING_STATUS=MR","Sort=A","Dates=H","DateFormat=P","Fill=—","Direction=H","UseDPDF=Y")</f>
        <v>—</v>
      </c>
      <c r="K136" s="14">
        <f>_xll.BDH("AMGN US Equity","ARDR_STOCK_OPTION_VAL_EXP_LIFE","FQ4 2020","FQ4 2020","Currency=USD","Period=FQ","BEST_FPERIOD_OVERRIDE=FQ","FILING_STATUS=MR","Sort=A","Dates=H","DateFormat=P","Fill=—","Direction=H","UseDPDF=Y")</f>
        <v>5.8</v>
      </c>
      <c r="L136" s="14" t="str">
        <f>_xll.BDH("AMGN US Equity","ARDR_STOCK_OPTION_VAL_EXP_LIFE","FQ1 2021","FQ1 2021","Currency=USD","Period=FQ","BEST_FPERIOD_OVERRIDE=FQ","FILING_STATUS=MR","Sort=A","Dates=H","DateFormat=P","Fill=—","Direction=H","UseDPDF=Y")</f>
        <v>—</v>
      </c>
      <c r="M136" s="14" t="str">
        <f>_xll.BDH("AMGN US Equity","ARDR_STOCK_OPTION_VAL_EXP_LIFE","FQ2 2021","FQ2 2021","Currency=USD","Period=FQ","BEST_FPERIOD_OVERRIDE=FQ","FILING_STATUS=MR","Sort=A","Dates=H","DateFormat=P","Fill=—","Direction=H","UseDPDF=Y")</f>
        <v>—</v>
      </c>
      <c r="N136" s="14" t="str">
        <f>_xll.BDH("AMGN US Equity","ARDR_STOCK_OPTION_VAL_EXP_LIFE","FQ3 2021","FQ3 2021","Currency=USD","Period=FQ","BEST_FPERIOD_OVERRIDE=FQ","FILING_STATUS=MR","Sort=A","Dates=H","DateFormat=P","Fill=—","Direction=H","UseDPDF=Y")</f>
        <v>—</v>
      </c>
      <c r="O136" s="14">
        <f>_xll.BDH("AMGN US Equity","ARDR_STOCK_OPTION_VAL_EXP_LIFE","FQ4 2021","FQ4 2021","Currency=USD","Period=FQ","BEST_FPERIOD_OVERRIDE=FQ","FILING_STATUS=MR","Sort=A","Dates=H","DateFormat=P","Fill=—","Direction=H","UseDPDF=Y")</f>
        <v>5.7</v>
      </c>
      <c r="P136" s="14" t="str">
        <f>_xll.BDH("AMGN US Equity","ARDR_STOCK_OPTION_VAL_EXP_LIFE","FQ1 2022","FQ1 2022","Currency=USD","Period=FQ","BEST_FPERIOD_OVERRIDE=FQ","FILING_STATUS=MR","Sort=A","Dates=H","DateFormat=P","Fill=—","Direction=H","UseDPDF=Y")</f>
        <v>—</v>
      </c>
      <c r="Q136" s="14" t="str">
        <f>_xll.BDH("AMGN US Equity","ARDR_STOCK_OPTION_VAL_EXP_LIFE","FQ2 2022","FQ2 2022","Currency=USD","Period=FQ","BEST_FPERIOD_OVERRIDE=FQ","FILING_STATUS=MR","Sort=A","Dates=H","DateFormat=P","Fill=—","Direction=H","UseDPDF=Y")</f>
        <v>—</v>
      </c>
      <c r="R136" s="14" t="str">
        <f>_xll.BDH("AMGN US Equity","ARDR_STOCK_OPTION_VAL_EXP_LIFE","FQ3 2022","FQ3 2022","Currency=USD","Period=FQ","BEST_FPERIOD_OVERRIDE=FQ","FILING_STATUS=MR","Sort=A","Dates=H","DateFormat=P","Fill=—","Direction=H","UseDPDF=Y")</f>
        <v>—</v>
      </c>
      <c r="S136" s="14">
        <f>_xll.BDH("AMGN US Equity","ARDR_STOCK_OPTION_VAL_EXP_LIFE","FQ4 2022","FQ4 2022","Currency=USD","Period=FQ","BEST_FPERIOD_OVERRIDE=FQ","FILING_STATUS=MR","Sort=A","Dates=H","DateFormat=P","Fill=—","Direction=H","UseDPDF=Y")</f>
        <v>5.7</v>
      </c>
      <c r="T136" s="14" t="str">
        <f>_xll.BDH("AMGN US Equity","ARDR_STOCK_OPTION_VAL_EXP_LIFE","FQ1 2023","FQ1 2023","Currency=USD","Period=FQ","BEST_FPERIOD_OVERRIDE=FQ","FILING_STATUS=MR","Sort=A","Dates=H","DateFormat=P","Fill=—","Direction=H","UseDPDF=Y")</f>
        <v>—</v>
      </c>
      <c r="U136" s="14" t="str">
        <f>_xll.BDH("AMGN US Equity","ARDR_STOCK_OPTION_VAL_EXP_LIFE","FQ2 2023","FQ2 2023","Currency=USD","Period=FQ","BEST_FPERIOD_OVERRIDE=FQ","FILING_STATUS=MR","Sort=A","Dates=H","DateFormat=P","Fill=—","Direction=H","UseDPDF=Y")</f>
        <v>—</v>
      </c>
      <c r="V136" s="14" t="str">
        <f>_xll.BDH("AMGN US Equity","ARDR_STOCK_OPTION_VAL_EXP_LIFE","FQ3 2023","FQ3 2023","Currency=USD","Period=FQ","BEST_FPERIOD_OVERRIDE=FQ","FILING_STATUS=MR","Sort=A","Dates=H","DateFormat=P","Fill=—","Direction=H","UseDPDF=Y")</f>
        <v>—</v>
      </c>
      <c r="W136" s="14">
        <f>_xll.BDH("AMGN US Equity","ARDR_STOCK_OPTION_VAL_EXP_LIFE","FQ4 2023","FQ4 2023","Currency=USD","Period=FQ","BEST_FPERIOD_OVERRIDE=FQ","FILING_STATUS=MR","Sort=A","Dates=H","DateFormat=P","Fill=—","Direction=H","UseDPDF=Y")</f>
        <v>5.7</v>
      </c>
      <c r="X136" s="14" t="str">
        <f>_xll.BDH("AMGN US Equity","ARDR_STOCK_OPTION_VAL_EXP_LIFE","FQ1 2024","FQ1 2024","Currency=USD","Period=FQ","BEST_FPERIOD_OVERRIDE=FQ","FILING_STATUS=MR","Sort=A","Dates=H","DateFormat=P","Fill=—","Direction=H","UseDPDF=Y")</f>
        <v>—</v>
      </c>
      <c r="Y136" s="14" t="str">
        <f>_xll.BDH("AMGN US Equity","ARDR_STOCK_OPTION_VAL_EXP_LIFE","FQ2 2024","FQ2 2024","Currency=USD","Period=FQ","BEST_FPERIOD_OVERRIDE=FQ","FILING_STATUS=MR","Sort=A","Dates=H","DateFormat=P","Fill=—","Direction=H","UseDPDF=Y")</f>
        <v>—</v>
      </c>
      <c r="Z136" s="14" t="str">
        <f>_xll.BDH("AMGN US Equity","ARDR_STOCK_OPTION_VAL_EXP_LIFE","FQ3 2024","FQ3 2024","Currency=USD","Period=FQ","BEST_FPERIOD_OVERRIDE=FQ","FILING_STATUS=MR","Sort=A","Dates=H","DateFormat=P","Fill=—","Direction=H","UseDPDF=Y")</f>
        <v>—</v>
      </c>
      <c r="AA136" s="14">
        <f>_xll.BDH("AMGN US Equity","ARDR_STOCK_OPTION_VAL_EXP_LIFE","FQ4 2024","FQ4 2024","Currency=USD","Period=FQ","BEST_FPERIOD_OVERRIDE=FQ","FILING_STATUS=MR","Sort=A","Dates=H","DateFormat=P","Fill=—","Direction=H","UseDPDF=Y")</f>
        <v>5.7</v>
      </c>
    </row>
    <row r="137" spans="1:27" x14ac:dyDescent="0.25">
      <c r="A137" s="10" t="s">
        <v>1088</v>
      </c>
      <c r="B137" s="10" t="s">
        <v>1089</v>
      </c>
      <c r="C137" s="14" t="str">
        <f>_xll.BDH("AMGN US Equity","ARDR_STOCK_OPTION_VAL_EXP_VOL","FQ4 2018","FQ4 2018","Currency=USD","Period=FQ","BEST_FPERIOD_OVERRIDE=FQ","FILING_STATUS=MR","Sort=A","Dates=H","DateFormat=P","Fill=—","Direction=H","UseDPDF=Y")</f>
        <v>—</v>
      </c>
      <c r="D137" s="14" t="str">
        <f>_xll.BDH("AMGN US Equity","ARDR_STOCK_OPTION_VAL_EXP_VOL","FQ1 2019","FQ1 2019","Currency=USD","Period=FQ","BEST_FPERIOD_OVERRIDE=FQ","FILING_STATUS=MR","Sort=A","Dates=H","DateFormat=P","Fill=—","Direction=H","UseDPDF=Y")</f>
        <v>—</v>
      </c>
      <c r="E137" s="14" t="str">
        <f>_xll.BDH("AMGN US Equity","ARDR_STOCK_OPTION_VAL_EXP_VOL","FQ2 2019","FQ2 2019","Currency=USD","Period=FQ","BEST_FPERIOD_OVERRIDE=FQ","FILING_STATUS=MR","Sort=A","Dates=H","DateFormat=P","Fill=—","Direction=H","UseDPDF=Y")</f>
        <v>—</v>
      </c>
      <c r="F137" s="14" t="str">
        <f>_xll.BDH("AMGN US Equity","ARDR_STOCK_OPTION_VAL_EXP_VOL","FQ3 2019","FQ3 2019","Currency=USD","Period=FQ","BEST_FPERIOD_OVERRIDE=FQ","FILING_STATUS=MR","Sort=A","Dates=H","DateFormat=P","Fill=—","Direction=H","UseDPDF=Y")</f>
        <v>—</v>
      </c>
      <c r="G137" s="14">
        <f>_xll.BDH("AMGN US Equity","ARDR_STOCK_OPTION_VAL_EXP_VOL","FQ4 2019","FQ4 2019","Currency=USD","Period=FQ","BEST_FPERIOD_OVERRIDE=FQ","FILING_STATUS=MR","Sort=A","Dates=H","DateFormat=P","Fill=—","Direction=H","UseDPDF=Y")</f>
        <v>22.1</v>
      </c>
      <c r="H137" s="14" t="str">
        <f>_xll.BDH("AMGN US Equity","ARDR_STOCK_OPTION_VAL_EXP_VOL","FQ1 2020","FQ1 2020","Currency=USD","Period=FQ","BEST_FPERIOD_OVERRIDE=FQ","FILING_STATUS=MR","Sort=A","Dates=H","DateFormat=P","Fill=—","Direction=H","UseDPDF=Y")</f>
        <v>—</v>
      </c>
      <c r="I137" s="14" t="str">
        <f>_xll.BDH("AMGN US Equity","ARDR_STOCK_OPTION_VAL_EXP_VOL","FQ2 2020","FQ2 2020","Currency=USD","Period=FQ","BEST_FPERIOD_OVERRIDE=FQ","FILING_STATUS=MR","Sort=A","Dates=H","DateFormat=P","Fill=—","Direction=H","UseDPDF=Y")</f>
        <v>—</v>
      </c>
      <c r="J137" s="14" t="str">
        <f>_xll.BDH("AMGN US Equity","ARDR_STOCK_OPTION_VAL_EXP_VOL","FQ3 2020","FQ3 2020","Currency=USD","Period=FQ","BEST_FPERIOD_OVERRIDE=FQ","FILING_STATUS=MR","Sort=A","Dates=H","DateFormat=P","Fill=—","Direction=H","UseDPDF=Y")</f>
        <v>—</v>
      </c>
      <c r="K137" s="14">
        <f>_xll.BDH("AMGN US Equity","ARDR_STOCK_OPTION_VAL_EXP_VOL","FQ4 2020","FQ4 2020","Currency=USD","Period=FQ","BEST_FPERIOD_OVERRIDE=FQ","FILING_STATUS=MR","Sort=A","Dates=H","DateFormat=P","Fill=—","Direction=H","UseDPDF=Y")</f>
        <v>27.5</v>
      </c>
      <c r="L137" s="14" t="str">
        <f>_xll.BDH("AMGN US Equity","ARDR_STOCK_OPTION_VAL_EXP_VOL","FQ1 2021","FQ1 2021","Currency=USD","Period=FQ","BEST_FPERIOD_OVERRIDE=FQ","FILING_STATUS=MR","Sort=A","Dates=H","DateFormat=P","Fill=—","Direction=H","UseDPDF=Y")</f>
        <v>—</v>
      </c>
      <c r="M137" s="14" t="str">
        <f>_xll.BDH("AMGN US Equity","ARDR_STOCK_OPTION_VAL_EXP_VOL","FQ2 2021","FQ2 2021","Currency=USD","Period=FQ","BEST_FPERIOD_OVERRIDE=FQ","FILING_STATUS=MR","Sort=A","Dates=H","DateFormat=P","Fill=—","Direction=H","UseDPDF=Y")</f>
        <v>—</v>
      </c>
      <c r="N137" s="14" t="str">
        <f>_xll.BDH("AMGN US Equity","ARDR_STOCK_OPTION_VAL_EXP_VOL","FQ3 2021","FQ3 2021","Currency=USD","Period=FQ","BEST_FPERIOD_OVERRIDE=FQ","FILING_STATUS=MR","Sort=A","Dates=H","DateFormat=P","Fill=—","Direction=H","UseDPDF=Y")</f>
        <v>—</v>
      </c>
      <c r="O137" s="14">
        <f>_xll.BDH("AMGN US Equity","ARDR_STOCK_OPTION_VAL_EXP_VOL","FQ4 2021","FQ4 2021","Currency=USD","Period=FQ","BEST_FPERIOD_OVERRIDE=FQ","FILING_STATUS=MR","Sort=A","Dates=H","DateFormat=P","Fill=—","Direction=H","UseDPDF=Y")</f>
        <v>29.3</v>
      </c>
      <c r="P137" s="14" t="str">
        <f>_xll.BDH("AMGN US Equity","ARDR_STOCK_OPTION_VAL_EXP_VOL","FQ1 2022","FQ1 2022","Currency=USD","Period=FQ","BEST_FPERIOD_OVERRIDE=FQ","FILING_STATUS=MR","Sort=A","Dates=H","DateFormat=P","Fill=—","Direction=H","UseDPDF=Y")</f>
        <v>—</v>
      </c>
      <c r="Q137" s="14" t="str">
        <f>_xll.BDH("AMGN US Equity","ARDR_STOCK_OPTION_VAL_EXP_VOL","FQ2 2022","FQ2 2022","Currency=USD","Period=FQ","BEST_FPERIOD_OVERRIDE=FQ","FILING_STATUS=MR","Sort=A","Dates=H","DateFormat=P","Fill=—","Direction=H","UseDPDF=Y")</f>
        <v>—</v>
      </c>
      <c r="R137" s="14" t="str">
        <f>_xll.BDH("AMGN US Equity","ARDR_STOCK_OPTION_VAL_EXP_VOL","FQ3 2022","FQ3 2022","Currency=USD","Period=FQ","BEST_FPERIOD_OVERRIDE=FQ","FILING_STATUS=MR","Sort=A","Dates=H","DateFormat=P","Fill=—","Direction=H","UseDPDF=Y")</f>
        <v>—</v>
      </c>
      <c r="S137" s="14">
        <f>_xll.BDH("AMGN US Equity","ARDR_STOCK_OPTION_VAL_EXP_VOL","FQ4 2022","FQ4 2022","Currency=USD","Period=FQ","BEST_FPERIOD_OVERRIDE=FQ","FILING_STATUS=MR","Sort=A","Dates=H","DateFormat=P","Fill=—","Direction=H","UseDPDF=Y")</f>
        <v>24.5</v>
      </c>
      <c r="T137" s="14" t="str">
        <f>_xll.BDH("AMGN US Equity","ARDR_STOCK_OPTION_VAL_EXP_VOL","FQ1 2023","FQ1 2023","Currency=USD","Period=FQ","BEST_FPERIOD_OVERRIDE=FQ","FILING_STATUS=MR","Sort=A","Dates=H","DateFormat=P","Fill=—","Direction=H","UseDPDF=Y")</f>
        <v>—</v>
      </c>
      <c r="U137" s="14" t="str">
        <f>_xll.BDH("AMGN US Equity","ARDR_STOCK_OPTION_VAL_EXP_VOL","FQ2 2023","FQ2 2023","Currency=USD","Period=FQ","BEST_FPERIOD_OVERRIDE=FQ","FILING_STATUS=MR","Sort=A","Dates=H","DateFormat=P","Fill=—","Direction=H","UseDPDF=Y")</f>
        <v>—</v>
      </c>
      <c r="V137" s="14" t="str">
        <f>_xll.BDH("AMGN US Equity","ARDR_STOCK_OPTION_VAL_EXP_VOL","FQ3 2023","FQ3 2023","Currency=USD","Period=FQ","BEST_FPERIOD_OVERRIDE=FQ","FILING_STATUS=MR","Sort=A","Dates=H","DateFormat=P","Fill=—","Direction=H","UseDPDF=Y")</f>
        <v>—</v>
      </c>
      <c r="W137" s="14">
        <f>_xll.BDH("AMGN US Equity","ARDR_STOCK_OPTION_VAL_EXP_VOL","FQ4 2023","FQ4 2023","Currency=USD","Period=FQ","BEST_FPERIOD_OVERRIDE=FQ","FILING_STATUS=MR","Sort=A","Dates=H","DateFormat=P","Fill=—","Direction=H","UseDPDF=Y")</f>
        <v>23.3</v>
      </c>
      <c r="X137" s="14" t="str">
        <f>_xll.BDH("AMGN US Equity","ARDR_STOCK_OPTION_VAL_EXP_VOL","FQ1 2024","FQ1 2024","Currency=USD","Period=FQ","BEST_FPERIOD_OVERRIDE=FQ","FILING_STATUS=MR","Sort=A","Dates=H","DateFormat=P","Fill=—","Direction=H","UseDPDF=Y")</f>
        <v>—</v>
      </c>
      <c r="Y137" s="14" t="str">
        <f>_xll.BDH("AMGN US Equity","ARDR_STOCK_OPTION_VAL_EXP_VOL","FQ2 2024","FQ2 2024","Currency=USD","Period=FQ","BEST_FPERIOD_OVERRIDE=FQ","FILING_STATUS=MR","Sort=A","Dates=H","DateFormat=P","Fill=—","Direction=H","UseDPDF=Y")</f>
        <v>—</v>
      </c>
      <c r="Z137" s="14" t="str">
        <f>_xll.BDH("AMGN US Equity","ARDR_STOCK_OPTION_VAL_EXP_VOL","FQ3 2024","FQ3 2024","Currency=USD","Period=FQ","BEST_FPERIOD_OVERRIDE=FQ","FILING_STATUS=MR","Sort=A","Dates=H","DateFormat=P","Fill=—","Direction=H","UseDPDF=Y")</f>
        <v>—</v>
      </c>
      <c r="AA137" s="14">
        <f>_xll.BDH("AMGN US Equity","ARDR_STOCK_OPTION_VAL_EXP_VOL","FQ4 2024","FQ4 2024","Currency=USD","Period=FQ","BEST_FPERIOD_OVERRIDE=FQ","FILING_STATUS=MR","Sort=A","Dates=H","DateFormat=P","Fill=—","Direction=H","UseDPDF=Y")</f>
        <v>26.9</v>
      </c>
    </row>
    <row r="138" spans="1:27" x14ac:dyDescent="0.25">
      <c r="A138" s="10" t="s">
        <v>1090</v>
      </c>
      <c r="B138" s="10" t="s">
        <v>1091</v>
      </c>
      <c r="C138" s="14" t="str">
        <f>_xll.BDH("AMGN US Equity","ARDR_STOCK_OPTION_VAL_DVD_YLD","FQ4 2018","FQ4 2018","Currency=USD","Period=FQ","BEST_FPERIOD_OVERRIDE=FQ","FILING_STATUS=MR","Sort=A","Dates=H","DateFormat=P","Fill=—","Direction=H","UseDPDF=Y")</f>
        <v>—</v>
      </c>
      <c r="D138" s="14" t="str">
        <f>_xll.BDH("AMGN US Equity","ARDR_STOCK_OPTION_VAL_DVD_YLD","FQ1 2019","FQ1 2019","Currency=USD","Period=FQ","BEST_FPERIOD_OVERRIDE=FQ","FILING_STATUS=MR","Sort=A","Dates=H","DateFormat=P","Fill=—","Direction=H","UseDPDF=Y")</f>
        <v>—</v>
      </c>
      <c r="E138" s="14" t="str">
        <f>_xll.BDH("AMGN US Equity","ARDR_STOCK_OPTION_VAL_DVD_YLD","FQ2 2019","FQ2 2019","Currency=USD","Period=FQ","BEST_FPERIOD_OVERRIDE=FQ","FILING_STATUS=MR","Sort=A","Dates=H","DateFormat=P","Fill=—","Direction=H","UseDPDF=Y")</f>
        <v>—</v>
      </c>
      <c r="F138" s="14" t="str">
        <f>_xll.BDH("AMGN US Equity","ARDR_STOCK_OPTION_VAL_DVD_YLD","FQ3 2019","FQ3 2019","Currency=USD","Period=FQ","BEST_FPERIOD_OVERRIDE=FQ","FILING_STATUS=MR","Sort=A","Dates=H","DateFormat=P","Fill=—","Direction=H","UseDPDF=Y")</f>
        <v>—</v>
      </c>
      <c r="G138" s="14">
        <f>_xll.BDH("AMGN US Equity","ARDR_STOCK_OPTION_VAL_DVD_YLD","FQ4 2019","FQ4 2019","Currency=USD","Period=FQ","BEST_FPERIOD_OVERRIDE=FQ","FILING_STATUS=MR","Sort=A","Dates=H","DateFormat=P","Fill=—","Direction=H","UseDPDF=Y")</f>
        <v>3.1</v>
      </c>
      <c r="H138" s="14" t="str">
        <f>_xll.BDH("AMGN US Equity","ARDR_STOCK_OPTION_VAL_DVD_YLD","FQ1 2020","FQ1 2020","Currency=USD","Period=FQ","BEST_FPERIOD_OVERRIDE=FQ","FILING_STATUS=MR","Sort=A","Dates=H","DateFormat=P","Fill=—","Direction=H","UseDPDF=Y")</f>
        <v>—</v>
      </c>
      <c r="I138" s="14" t="str">
        <f>_xll.BDH("AMGN US Equity","ARDR_STOCK_OPTION_VAL_DVD_YLD","FQ2 2020","FQ2 2020","Currency=USD","Period=FQ","BEST_FPERIOD_OVERRIDE=FQ","FILING_STATUS=MR","Sort=A","Dates=H","DateFormat=P","Fill=—","Direction=H","UseDPDF=Y")</f>
        <v>—</v>
      </c>
      <c r="J138" s="14" t="str">
        <f>_xll.BDH("AMGN US Equity","ARDR_STOCK_OPTION_VAL_DVD_YLD","FQ3 2020","FQ3 2020","Currency=USD","Period=FQ","BEST_FPERIOD_OVERRIDE=FQ","FILING_STATUS=MR","Sort=A","Dates=H","DateFormat=P","Fill=—","Direction=H","UseDPDF=Y")</f>
        <v>—</v>
      </c>
      <c r="K138" s="14">
        <f>_xll.BDH("AMGN US Equity","ARDR_STOCK_OPTION_VAL_DVD_YLD","FQ4 2020","FQ4 2020","Currency=USD","Period=FQ","BEST_FPERIOD_OVERRIDE=FQ","FILING_STATUS=MR","Sort=A","Dates=H","DateFormat=P","Fill=—","Direction=H","UseDPDF=Y")</f>
        <v>3</v>
      </c>
      <c r="L138" s="14" t="str">
        <f>_xll.BDH("AMGN US Equity","ARDR_STOCK_OPTION_VAL_DVD_YLD","FQ1 2021","FQ1 2021","Currency=USD","Period=FQ","BEST_FPERIOD_OVERRIDE=FQ","FILING_STATUS=MR","Sort=A","Dates=H","DateFormat=P","Fill=—","Direction=H","UseDPDF=Y")</f>
        <v>—</v>
      </c>
      <c r="M138" s="14" t="str">
        <f>_xll.BDH("AMGN US Equity","ARDR_STOCK_OPTION_VAL_DVD_YLD","FQ2 2021","FQ2 2021","Currency=USD","Period=FQ","BEST_FPERIOD_OVERRIDE=FQ","FILING_STATUS=MR","Sort=A","Dates=H","DateFormat=P","Fill=—","Direction=H","UseDPDF=Y")</f>
        <v>—</v>
      </c>
      <c r="N138" s="14" t="str">
        <f>_xll.BDH("AMGN US Equity","ARDR_STOCK_OPTION_VAL_DVD_YLD","FQ3 2021","FQ3 2021","Currency=USD","Period=FQ","BEST_FPERIOD_OVERRIDE=FQ","FILING_STATUS=MR","Sort=A","Dates=H","DateFormat=P","Fill=—","Direction=H","UseDPDF=Y")</f>
        <v>—</v>
      </c>
      <c r="O138" s="14">
        <f>_xll.BDH("AMGN US Equity","ARDR_STOCK_OPTION_VAL_DVD_YLD","FQ4 2021","FQ4 2021","Currency=USD","Period=FQ","BEST_FPERIOD_OVERRIDE=FQ","FILING_STATUS=MR","Sort=A","Dates=H","DateFormat=P","Fill=—","Direction=H","UseDPDF=Y")</f>
        <v>2.9</v>
      </c>
      <c r="P138" s="14" t="str">
        <f>_xll.BDH("AMGN US Equity","ARDR_STOCK_OPTION_VAL_DVD_YLD","FQ1 2022","FQ1 2022","Currency=USD","Period=FQ","BEST_FPERIOD_OVERRIDE=FQ","FILING_STATUS=MR","Sort=A","Dates=H","DateFormat=P","Fill=—","Direction=H","UseDPDF=Y")</f>
        <v>—</v>
      </c>
      <c r="Q138" s="14" t="str">
        <f>_xll.BDH("AMGN US Equity","ARDR_STOCK_OPTION_VAL_DVD_YLD","FQ2 2022","FQ2 2022","Currency=USD","Period=FQ","BEST_FPERIOD_OVERRIDE=FQ","FILING_STATUS=MR","Sort=A","Dates=H","DateFormat=P","Fill=—","Direction=H","UseDPDF=Y")</f>
        <v>—</v>
      </c>
      <c r="R138" s="14" t="str">
        <f>_xll.BDH("AMGN US Equity","ARDR_STOCK_OPTION_VAL_DVD_YLD","FQ3 2022","FQ3 2022","Currency=USD","Period=FQ","BEST_FPERIOD_OVERRIDE=FQ","FILING_STATUS=MR","Sort=A","Dates=H","DateFormat=P","Fill=—","Direction=H","UseDPDF=Y")</f>
        <v>—</v>
      </c>
      <c r="S138" s="14">
        <f>_xll.BDH("AMGN US Equity","ARDR_STOCK_OPTION_VAL_DVD_YLD","FQ4 2022","FQ4 2022","Currency=USD","Period=FQ","BEST_FPERIOD_OVERRIDE=FQ","FILING_STATUS=MR","Sort=A","Dates=H","DateFormat=P","Fill=—","Direction=H","UseDPDF=Y")</f>
        <v>3.3</v>
      </c>
      <c r="T138" s="14" t="str">
        <f>_xll.BDH("AMGN US Equity","ARDR_STOCK_OPTION_VAL_DVD_YLD","FQ1 2023","FQ1 2023","Currency=USD","Period=FQ","BEST_FPERIOD_OVERRIDE=FQ","FILING_STATUS=MR","Sort=A","Dates=H","DateFormat=P","Fill=—","Direction=H","UseDPDF=Y")</f>
        <v>—</v>
      </c>
      <c r="U138" s="14" t="str">
        <f>_xll.BDH("AMGN US Equity","ARDR_STOCK_OPTION_VAL_DVD_YLD","FQ2 2023","FQ2 2023","Currency=USD","Period=FQ","BEST_FPERIOD_OVERRIDE=FQ","FILING_STATUS=MR","Sort=A","Dates=H","DateFormat=P","Fill=—","Direction=H","UseDPDF=Y")</f>
        <v>—</v>
      </c>
      <c r="V138" s="14" t="str">
        <f>_xll.BDH("AMGN US Equity","ARDR_STOCK_OPTION_VAL_DVD_YLD","FQ3 2023","FQ3 2023","Currency=USD","Period=FQ","BEST_FPERIOD_OVERRIDE=FQ","FILING_STATUS=MR","Sort=A","Dates=H","DateFormat=P","Fill=—","Direction=H","UseDPDF=Y")</f>
        <v>—</v>
      </c>
      <c r="W138" s="14">
        <f>_xll.BDH("AMGN US Equity","ARDR_STOCK_OPTION_VAL_DVD_YLD","FQ4 2023","FQ4 2023","Currency=USD","Period=FQ","BEST_FPERIOD_OVERRIDE=FQ","FILING_STATUS=MR","Sort=A","Dates=H","DateFormat=P","Fill=—","Direction=H","UseDPDF=Y")</f>
        <v>3.5</v>
      </c>
      <c r="X138" s="14" t="str">
        <f>_xll.BDH("AMGN US Equity","ARDR_STOCK_OPTION_VAL_DVD_YLD","FQ1 2024","FQ1 2024","Currency=USD","Period=FQ","BEST_FPERIOD_OVERRIDE=FQ","FILING_STATUS=MR","Sort=A","Dates=H","DateFormat=P","Fill=—","Direction=H","UseDPDF=Y")</f>
        <v>—</v>
      </c>
      <c r="Y138" s="14" t="str">
        <f>_xll.BDH("AMGN US Equity","ARDR_STOCK_OPTION_VAL_DVD_YLD","FQ2 2024","FQ2 2024","Currency=USD","Period=FQ","BEST_FPERIOD_OVERRIDE=FQ","FILING_STATUS=MR","Sort=A","Dates=H","DateFormat=P","Fill=—","Direction=H","UseDPDF=Y")</f>
        <v>—</v>
      </c>
      <c r="Z138" s="14" t="str">
        <f>_xll.BDH("AMGN US Equity","ARDR_STOCK_OPTION_VAL_DVD_YLD","FQ3 2024","FQ3 2024","Currency=USD","Period=FQ","BEST_FPERIOD_OVERRIDE=FQ","FILING_STATUS=MR","Sort=A","Dates=H","DateFormat=P","Fill=—","Direction=H","UseDPDF=Y")</f>
        <v>—</v>
      </c>
      <c r="AA138" s="14">
        <f>_xll.BDH("AMGN US Equity","ARDR_STOCK_OPTION_VAL_DVD_YLD","FQ4 2024","FQ4 2024","Currency=USD","Period=FQ","BEST_FPERIOD_OVERRIDE=FQ","FILING_STATUS=MR","Sort=A","Dates=H","DateFormat=P","Fill=—","Direction=H","UseDPDF=Y")</f>
        <v>3.2</v>
      </c>
    </row>
    <row r="139" spans="1:27" x14ac:dyDescent="0.25">
      <c r="A139" s="10" t="s">
        <v>1092</v>
      </c>
      <c r="B139" s="10" t="s">
        <v>1093</v>
      </c>
      <c r="C139" s="14">
        <f>_xll.BDH("AMGN US Equity","ARDR_AVG_EXER_PX_OPT_EXERCISABLE","FQ4 2018","FQ4 2018","Currency=USD","Period=FQ","BEST_FPERIOD_OVERRIDE=FQ","FILING_STATUS=MR","Sort=A","Dates=H","DateFormat=P","Fill=—","Direction=H","UseDPDF=Y")</f>
        <v>84.01</v>
      </c>
      <c r="D139" s="14" t="str">
        <f>_xll.BDH("AMGN US Equity","ARDR_AVG_EXER_PX_OPT_EXERCISABLE","FQ1 2019","FQ1 2019","Currency=USD","Period=FQ","BEST_FPERIOD_OVERRIDE=FQ","FILING_STATUS=MR","Sort=A","Dates=H","DateFormat=P","Fill=—","Direction=H","UseDPDF=Y")</f>
        <v>—</v>
      </c>
      <c r="E139" s="14" t="str">
        <f>_xll.BDH("AMGN US Equity","ARDR_AVG_EXER_PX_OPT_EXERCISABLE","FQ2 2019","FQ2 2019","Currency=USD","Period=FQ","BEST_FPERIOD_OVERRIDE=FQ","FILING_STATUS=MR","Sort=A","Dates=H","DateFormat=P","Fill=—","Direction=H","UseDPDF=Y")</f>
        <v>—</v>
      </c>
      <c r="F139" s="14" t="str">
        <f>_xll.BDH("AMGN US Equity","ARDR_AVG_EXER_PX_OPT_EXERCISABLE","FQ3 2019","FQ3 2019","Currency=USD","Period=FQ","BEST_FPERIOD_OVERRIDE=FQ","FILING_STATUS=MR","Sort=A","Dates=H","DateFormat=P","Fill=—","Direction=H","UseDPDF=Y")</f>
        <v>—</v>
      </c>
      <c r="G139" s="14">
        <f>_xll.BDH("AMGN US Equity","ARDR_AVG_EXER_PX_OPT_EXERCISABLE","FQ4 2019","FQ4 2019","Currency=USD","Period=FQ","BEST_FPERIOD_OVERRIDE=FQ","FILING_STATUS=MR","Sort=A","Dates=H","DateFormat=P","Fill=—","Direction=H","UseDPDF=Y")</f>
        <v>117.13</v>
      </c>
      <c r="H139" s="14" t="str">
        <f>_xll.BDH("AMGN US Equity","ARDR_AVG_EXER_PX_OPT_EXERCISABLE","FQ1 2020","FQ1 2020","Currency=USD","Period=FQ","BEST_FPERIOD_OVERRIDE=FQ","FILING_STATUS=MR","Sort=A","Dates=H","DateFormat=P","Fill=—","Direction=H","UseDPDF=Y")</f>
        <v>—</v>
      </c>
      <c r="I139" s="14" t="str">
        <f>_xll.BDH("AMGN US Equity","ARDR_AVG_EXER_PX_OPT_EXERCISABLE","FQ2 2020","FQ2 2020","Currency=USD","Period=FQ","BEST_FPERIOD_OVERRIDE=FQ","FILING_STATUS=MR","Sort=A","Dates=H","DateFormat=P","Fill=—","Direction=H","UseDPDF=Y")</f>
        <v>—</v>
      </c>
      <c r="J139" s="14" t="str">
        <f>_xll.BDH("AMGN US Equity","ARDR_AVG_EXER_PX_OPT_EXERCISABLE","FQ3 2020","FQ3 2020","Currency=USD","Period=FQ","BEST_FPERIOD_OVERRIDE=FQ","FILING_STATUS=MR","Sort=A","Dates=H","DateFormat=P","Fill=—","Direction=H","UseDPDF=Y")</f>
        <v>—</v>
      </c>
      <c r="K139" s="14">
        <f>_xll.BDH("AMGN US Equity","ARDR_AVG_EXER_PX_OPT_EXERCISABLE","FQ4 2020","FQ4 2020","Currency=USD","Period=FQ","BEST_FPERIOD_OVERRIDE=FQ","FILING_STATUS=MR","Sort=A","Dates=H","DateFormat=P","Fill=—","Direction=H","UseDPDF=Y")</f>
        <v>150.80000000000001</v>
      </c>
      <c r="L139" s="14" t="str">
        <f>_xll.BDH("AMGN US Equity","ARDR_AVG_EXER_PX_OPT_EXERCISABLE","FQ1 2021","FQ1 2021","Currency=USD","Period=FQ","BEST_FPERIOD_OVERRIDE=FQ","FILING_STATUS=MR","Sort=A","Dates=H","DateFormat=P","Fill=—","Direction=H","UseDPDF=Y")</f>
        <v>—</v>
      </c>
      <c r="M139" s="14" t="str">
        <f>_xll.BDH("AMGN US Equity","ARDR_AVG_EXER_PX_OPT_EXERCISABLE","FQ2 2021","FQ2 2021","Currency=USD","Period=FQ","BEST_FPERIOD_OVERRIDE=FQ","FILING_STATUS=MR","Sort=A","Dates=H","DateFormat=P","Fill=—","Direction=H","UseDPDF=Y")</f>
        <v>—</v>
      </c>
      <c r="N139" s="14" t="str">
        <f>_xll.BDH("AMGN US Equity","ARDR_AVG_EXER_PX_OPT_EXERCISABLE","FQ3 2021","FQ3 2021","Currency=USD","Period=FQ","BEST_FPERIOD_OVERRIDE=FQ","FILING_STATUS=MR","Sort=A","Dates=H","DateFormat=P","Fill=—","Direction=H","UseDPDF=Y")</f>
        <v>—</v>
      </c>
      <c r="O139" s="14">
        <f>_xll.BDH("AMGN US Equity","ARDR_AVG_EXER_PX_OPT_EXERCISABLE","FQ4 2021","FQ4 2021","Currency=USD","Period=FQ","BEST_FPERIOD_OVERRIDE=FQ","FILING_STATUS=MR","Sort=A","Dates=H","DateFormat=P","Fill=—","Direction=H","UseDPDF=Y")</f>
        <v>165.46</v>
      </c>
      <c r="P139" s="14" t="str">
        <f>_xll.BDH("AMGN US Equity","ARDR_AVG_EXER_PX_OPT_EXERCISABLE","FQ1 2022","FQ1 2022","Currency=USD","Period=FQ","BEST_FPERIOD_OVERRIDE=FQ","FILING_STATUS=MR","Sort=A","Dates=H","DateFormat=P","Fill=—","Direction=H","UseDPDF=Y")</f>
        <v>—</v>
      </c>
      <c r="Q139" s="14" t="str">
        <f>_xll.BDH("AMGN US Equity","ARDR_AVG_EXER_PX_OPT_EXERCISABLE","FQ2 2022","FQ2 2022","Currency=USD","Period=FQ","BEST_FPERIOD_OVERRIDE=FQ","FILING_STATUS=MR","Sort=A","Dates=H","DateFormat=P","Fill=—","Direction=H","UseDPDF=Y")</f>
        <v>—</v>
      </c>
      <c r="R139" s="14" t="str">
        <f>_xll.BDH("AMGN US Equity","ARDR_AVG_EXER_PX_OPT_EXERCISABLE","FQ3 2022","FQ3 2022","Currency=USD","Period=FQ","BEST_FPERIOD_OVERRIDE=FQ","FILING_STATUS=MR","Sort=A","Dates=H","DateFormat=P","Fill=—","Direction=H","UseDPDF=Y")</f>
        <v>—</v>
      </c>
      <c r="S139" s="14">
        <f>_xll.BDH("AMGN US Equity","ARDR_AVG_EXER_PX_OPT_EXERCISABLE","FQ4 2022","FQ4 2022","Currency=USD","Period=FQ","BEST_FPERIOD_OVERRIDE=FQ","FILING_STATUS=MR","Sort=A","Dates=H","DateFormat=P","Fill=—","Direction=H","UseDPDF=Y")</f>
        <v>177.48</v>
      </c>
      <c r="T139" s="14" t="str">
        <f>_xll.BDH("AMGN US Equity","ARDR_AVG_EXER_PX_OPT_EXERCISABLE","FQ1 2023","FQ1 2023","Currency=USD","Period=FQ","BEST_FPERIOD_OVERRIDE=FQ","FILING_STATUS=MR","Sort=A","Dates=H","DateFormat=P","Fill=—","Direction=H","UseDPDF=Y")</f>
        <v>—</v>
      </c>
      <c r="U139" s="14" t="str">
        <f>_xll.BDH("AMGN US Equity","ARDR_AVG_EXER_PX_OPT_EXERCISABLE","FQ2 2023","FQ2 2023","Currency=USD","Period=FQ","BEST_FPERIOD_OVERRIDE=FQ","FILING_STATUS=MR","Sort=A","Dates=H","DateFormat=P","Fill=—","Direction=H","UseDPDF=Y")</f>
        <v>—</v>
      </c>
      <c r="V139" s="14" t="str">
        <f>_xll.BDH("AMGN US Equity","ARDR_AVG_EXER_PX_OPT_EXERCISABLE","FQ3 2023","FQ3 2023","Currency=USD","Period=FQ","BEST_FPERIOD_OVERRIDE=FQ","FILING_STATUS=MR","Sort=A","Dates=H","DateFormat=P","Fill=—","Direction=H","UseDPDF=Y")</f>
        <v>—</v>
      </c>
      <c r="W139" s="14">
        <f>_xll.BDH("AMGN US Equity","ARDR_AVG_EXER_PX_OPT_EXERCISABLE","FQ4 2023","FQ4 2023","Currency=USD","Period=FQ","BEST_FPERIOD_OVERRIDE=FQ","FILING_STATUS=MR","Sort=A","Dates=H","DateFormat=P","Fill=—","Direction=H","UseDPDF=Y")</f>
        <v>190.59</v>
      </c>
      <c r="X139" s="14" t="str">
        <f>_xll.BDH("AMGN US Equity","ARDR_AVG_EXER_PX_OPT_EXERCISABLE","FQ1 2024","FQ1 2024","Currency=USD","Period=FQ","BEST_FPERIOD_OVERRIDE=FQ","FILING_STATUS=MR","Sort=A","Dates=H","DateFormat=P","Fill=—","Direction=H","UseDPDF=Y")</f>
        <v>—</v>
      </c>
      <c r="Y139" s="14" t="str">
        <f>_xll.BDH("AMGN US Equity","ARDR_AVG_EXER_PX_OPT_EXERCISABLE","FQ2 2024","FQ2 2024","Currency=USD","Period=FQ","BEST_FPERIOD_OVERRIDE=FQ","FILING_STATUS=MR","Sort=A","Dates=H","DateFormat=P","Fill=—","Direction=H","UseDPDF=Y")</f>
        <v>—</v>
      </c>
      <c r="Z139" s="14" t="str">
        <f>_xll.BDH("AMGN US Equity","ARDR_AVG_EXER_PX_OPT_EXERCISABLE","FQ3 2024","FQ3 2024","Currency=USD","Period=FQ","BEST_FPERIOD_OVERRIDE=FQ","FILING_STATUS=MR","Sort=A","Dates=H","DateFormat=P","Fill=—","Direction=H","UseDPDF=Y")</f>
        <v>—</v>
      </c>
      <c r="AA139" s="14">
        <f>_xll.BDH("AMGN US Equity","ARDR_AVG_EXER_PX_OPT_EXERCISABLE","FQ4 2024","FQ4 2024","Currency=USD","Period=FQ","BEST_FPERIOD_OVERRIDE=FQ","FILING_STATUS=MR","Sort=A","Dates=H","DateFormat=P","Fill=—","Direction=H","UseDPDF=Y")</f>
        <v>202.02</v>
      </c>
    </row>
    <row r="140" spans="1:27" x14ac:dyDescent="0.25">
      <c r="A140" s="10" t="s">
        <v>1094</v>
      </c>
      <c r="B140" s="10" t="s">
        <v>1095</v>
      </c>
      <c r="C140" s="14">
        <f>_xll.BDH("AMGN US Equity","ARDR_AVG_EXER_PX_OPT_OUTSTANDING","FQ4 2018","FQ4 2018","Currency=USD","Period=FQ","BEST_FPERIOD_OVERRIDE=FQ","FILING_STATUS=MR","Sort=A","Dates=H","DateFormat=P","Fill=—","Direction=H","UseDPDF=Y")</f>
        <v>143.57</v>
      </c>
      <c r="D140" s="14" t="str">
        <f>_xll.BDH("AMGN US Equity","ARDR_AVG_EXER_PX_OPT_OUTSTANDING","FQ1 2019","FQ1 2019","Currency=USD","Period=FQ","BEST_FPERIOD_OVERRIDE=FQ","FILING_STATUS=MR","Sort=A","Dates=H","DateFormat=P","Fill=—","Direction=H","UseDPDF=Y")</f>
        <v>—</v>
      </c>
      <c r="E140" s="14" t="str">
        <f>_xll.BDH("AMGN US Equity","ARDR_AVG_EXER_PX_OPT_OUTSTANDING","FQ2 2019","FQ2 2019","Currency=USD","Period=FQ","BEST_FPERIOD_OVERRIDE=FQ","FILING_STATUS=MR","Sort=A","Dates=H","DateFormat=P","Fill=—","Direction=H","UseDPDF=Y")</f>
        <v>—</v>
      </c>
      <c r="F140" s="14" t="str">
        <f>_xll.BDH("AMGN US Equity","ARDR_AVG_EXER_PX_OPT_OUTSTANDING","FQ3 2019","FQ3 2019","Currency=USD","Period=FQ","BEST_FPERIOD_OVERRIDE=FQ","FILING_STATUS=MR","Sort=A","Dates=H","DateFormat=P","Fill=—","Direction=H","UseDPDF=Y")</f>
        <v>—</v>
      </c>
      <c r="G140" s="14">
        <f>_xll.BDH("AMGN US Equity","ARDR_AVG_EXER_PX_OPT_OUTSTANDING","FQ4 2019","FQ4 2019","Currency=USD","Period=FQ","BEST_FPERIOD_OVERRIDE=FQ","FILING_STATUS=MR","Sort=A","Dates=H","DateFormat=P","Fill=—","Direction=H","UseDPDF=Y")</f>
        <v>157</v>
      </c>
      <c r="H140" s="14" t="str">
        <f>_xll.BDH("AMGN US Equity","ARDR_AVG_EXER_PX_OPT_OUTSTANDING","FQ1 2020","FQ1 2020","Currency=USD","Period=FQ","BEST_FPERIOD_OVERRIDE=FQ","FILING_STATUS=MR","Sort=A","Dates=H","DateFormat=P","Fill=—","Direction=H","UseDPDF=Y")</f>
        <v>—</v>
      </c>
      <c r="I140" s="14" t="str">
        <f>_xll.BDH("AMGN US Equity","ARDR_AVG_EXER_PX_OPT_OUTSTANDING","FQ2 2020","FQ2 2020","Currency=USD","Period=FQ","BEST_FPERIOD_OVERRIDE=FQ","FILING_STATUS=MR","Sort=A","Dates=H","DateFormat=P","Fill=—","Direction=H","UseDPDF=Y")</f>
        <v>—</v>
      </c>
      <c r="J140" s="14" t="str">
        <f>_xll.BDH("AMGN US Equity","ARDR_AVG_EXER_PX_OPT_OUTSTANDING","FQ3 2020","FQ3 2020","Currency=USD","Period=FQ","BEST_FPERIOD_OVERRIDE=FQ","FILING_STATUS=MR","Sort=A","Dates=H","DateFormat=P","Fill=—","Direction=H","UseDPDF=Y")</f>
        <v>—</v>
      </c>
      <c r="K140" s="14">
        <f>_xll.BDH("AMGN US Equity","ARDR_AVG_EXER_PX_OPT_OUTSTANDING","FQ4 2020","FQ4 2020","Currency=USD","Period=FQ","BEST_FPERIOD_OVERRIDE=FQ","FILING_STATUS=MR","Sort=A","Dates=H","DateFormat=P","Fill=—","Direction=H","UseDPDF=Y")</f>
        <v>179.9</v>
      </c>
      <c r="L140" s="14" t="str">
        <f>_xll.BDH("AMGN US Equity","ARDR_AVG_EXER_PX_OPT_OUTSTANDING","FQ1 2021","FQ1 2021","Currency=USD","Period=FQ","BEST_FPERIOD_OVERRIDE=FQ","FILING_STATUS=MR","Sort=A","Dates=H","DateFormat=P","Fill=—","Direction=H","UseDPDF=Y")</f>
        <v>—</v>
      </c>
      <c r="M140" s="14" t="str">
        <f>_xll.BDH("AMGN US Equity","ARDR_AVG_EXER_PX_OPT_OUTSTANDING","FQ2 2021","FQ2 2021","Currency=USD","Period=FQ","BEST_FPERIOD_OVERRIDE=FQ","FILING_STATUS=MR","Sort=A","Dates=H","DateFormat=P","Fill=—","Direction=H","UseDPDF=Y")</f>
        <v>—</v>
      </c>
      <c r="N140" s="14" t="str">
        <f>_xll.BDH("AMGN US Equity","ARDR_AVG_EXER_PX_OPT_OUTSTANDING","FQ3 2021","FQ3 2021","Currency=USD","Period=FQ","BEST_FPERIOD_OVERRIDE=FQ","FILING_STATUS=MR","Sort=A","Dates=H","DateFormat=P","Fill=—","Direction=H","UseDPDF=Y")</f>
        <v>—</v>
      </c>
      <c r="O140" s="14">
        <f>_xll.BDH("AMGN US Equity","ARDR_AVG_EXER_PX_OPT_OUTSTANDING","FQ4 2021","FQ4 2021","Currency=USD","Period=FQ","BEST_FPERIOD_OVERRIDE=FQ","FILING_STATUS=MR","Sort=A","Dates=H","DateFormat=P","Fill=—","Direction=H","UseDPDF=Y")</f>
        <v>197.27</v>
      </c>
      <c r="P140" s="14" t="str">
        <f>_xll.BDH("AMGN US Equity","ARDR_AVG_EXER_PX_OPT_OUTSTANDING","FQ1 2022","FQ1 2022","Currency=USD","Period=FQ","BEST_FPERIOD_OVERRIDE=FQ","FILING_STATUS=MR","Sort=A","Dates=H","DateFormat=P","Fill=—","Direction=H","UseDPDF=Y")</f>
        <v>—</v>
      </c>
      <c r="Q140" s="14" t="str">
        <f>_xll.BDH("AMGN US Equity","ARDR_AVG_EXER_PX_OPT_OUTSTANDING","FQ2 2022","FQ2 2022","Currency=USD","Period=FQ","BEST_FPERIOD_OVERRIDE=FQ","FILING_STATUS=MR","Sort=A","Dates=H","DateFormat=P","Fill=—","Direction=H","UseDPDF=Y")</f>
        <v>—</v>
      </c>
      <c r="R140" s="14" t="str">
        <f>_xll.BDH("AMGN US Equity","ARDR_AVG_EXER_PX_OPT_OUTSTANDING","FQ3 2022","FQ3 2022","Currency=USD","Period=FQ","BEST_FPERIOD_OVERRIDE=FQ","FILING_STATUS=MR","Sort=A","Dates=H","DateFormat=P","Fill=—","Direction=H","UseDPDF=Y")</f>
        <v>—</v>
      </c>
      <c r="S140" s="14">
        <f>_xll.BDH("AMGN US Equity","ARDR_AVG_EXER_PX_OPT_OUTSTANDING","FQ4 2022","FQ4 2022","Currency=USD","Period=FQ","BEST_FPERIOD_OVERRIDE=FQ","FILING_STATUS=MR","Sort=A","Dates=H","DateFormat=P","Fill=—","Direction=H","UseDPDF=Y")</f>
        <v>207.29</v>
      </c>
      <c r="T140" s="14" t="str">
        <f>_xll.BDH("AMGN US Equity","ARDR_AVG_EXER_PX_OPT_OUTSTANDING","FQ1 2023","FQ1 2023","Currency=USD","Period=FQ","BEST_FPERIOD_OVERRIDE=FQ","FILING_STATUS=MR","Sort=A","Dates=H","DateFormat=P","Fill=—","Direction=H","UseDPDF=Y")</f>
        <v>—</v>
      </c>
      <c r="U140" s="14" t="str">
        <f>_xll.BDH("AMGN US Equity","ARDR_AVG_EXER_PX_OPT_OUTSTANDING","FQ2 2023","FQ2 2023","Currency=USD","Period=FQ","BEST_FPERIOD_OVERRIDE=FQ","FILING_STATUS=MR","Sort=A","Dates=H","DateFormat=P","Fill=—","Direction=H","UseDPDF=Y")</f>
        <v>—</v>
      </c>
      <c r="V140" s="14" t="str">
        <f>_xll.BDH("AMGN US Equity","ARDR_AVG_EXER_PX_OPT_OUTSTANDING","FQ3 2023","FQ3 2023","Currency=USD","Period=FQ","BEST_FPERIOD_OVERRIDE=FQ","FILING_STATUS=MR","Sort=A","Dates=H","DateFormat=P","Fill=—","Direction=H","UseDPDF=Y")</f>
        <v>—</v>
      </c>
      <c r="W140" s="14">
        <f>_xll.BDH("AMGN US Equity","ARDR_AVG_EXER_PX_OPT_OUTSTANDING","FQ4 2023","FQ4 2023","Currency=USD","Period=FQ","BEST_FPERIOD_OVERRIDE=FQ","FILING_STATUS=MR","Sort=A","Dates=H","DateFormat=P","Fill=—","Direction=H","UseDPDF=Y")</f>
        <v>213.9</v>
      </c>
      <c r="X140" s="14" t="str">
        <f>_xll.BDH("AMGN US Equity","ARDR_AVG_EXER_PX_OPT_OUTSTANDING","FQ1 2024","FQ1 2024","Currency=USD","Period=FQ","BEST_FPERIOD_OVERRIDE=FQ","FILING_STATUS=MR","Sort=A","Dates=H","DateFormat=P","Fill=—","Direction=H","UseDPDF=Y")</f>
        <v>—</v>
      </c>
      <c r="Y140" s="14" t="str">
        <f>_xll.BDH("AMGN US Equity","ARDR_AVG_EXER_PX_OPT_OUTSTANDING","FQ2 2024","FQ2 2024","Currency=USD","Period=FQ","BEST_FPERIOD_OVERRIDE=FQ","FILING_STATUS=MR","Sort=A","Dates=H","DateFormat=P","Fill=—","Direction=H","UseDPDF=Y")</f>
        <v>—</v>
      </c>
      <c r="Z140" s="14" t="str">
        <f>_xll.BDH("AMGN US Equity","ARDR_AVG_EXER_PX_OPT_OUTSTANDING","FQ3 2024","FQ3 2024","Currency=USD","Period=FQ","BEST_FPERIOD_OVERRIDE=FQ","FILING_STATUS=MR","Sort=A","Dates=H","DateFormat=P","Fill=—","Direction=H","UseDPDF=Y")</f>
        <v>—</v>
      </c>
      <c r="AA140" s="14">
        <f>_xll.BDH("AMGN US Equity","ARDR_AVG_EXER_PX_OPT_OUTSTANDING","FQ4 2024","FQ4 2024","Currency=USD","Period=FQ","BEST_FPERIOD_OVERRIDE=FQ","FILING_STATUS=MR","Sort=A","Dates=H","DateFormat=P","Fill=—","Direction=H","UseDPDF=Y")</f>
        <v>225.84</v>
      </c>
    </row>
    <row r="141" spans="1:27" x14ac:dyDescent="0.25">
      <c r="A141" s="10" t="s">
        <v>1096</v>
      </c>
      <c r="B141" s="10" t="s">
        <v>1097</v>
      </c>
      <c r="C141" s="13">
        <f>_xll.BDH("AMGN US Equity","ARDR_OPTIONS_EXERCISABLE","FQ4 2018","FQ4 2018","Currency=USD","Period=FQ","BEST_FPERIOD_OVERRIDE=FQ","FILING_STATUS=MR","Sort=A","Dates=H","DateFormat=P","Fill=—","Direction=H","UseDPDF=Y")</f>
        <v>1.2</v>
      </c>
      <c r="D141" s="13" t="str">
        <f>_xll.BDH("AMGN US Equity","ARDR_OPTIONS_EXERCISABLE","FQ1 2019","FQ1 2019","Currency=USD","Period=FQ","BEST_FPERIOD_OVERRIDE=FQ","FILING_STATUS=MR","Sort=A","Dates=H","DateFormat=P","Fill=—","Direction=H","UseDPDF=Y")</f>
        <v>—</v>
      </c>
      <c r="E141" s="13" t="str">
        <f>_xll.BDH("AMGN US Equity","ARDR_OPTIONS_EXERCISABLE","FQ2 2019","FQ2 2019","Currency=USD","Period=FQ","BEST_FPERIOD_OVERRIDE=FQ","FILING_STATUS=MR","Sort=A","Dates=H","DateFormat=P","Fill=—","Direction=H","UseDPDF=Y")</f>
        <v>—</v>
      </c>
      <c r="F141" s="13" t="str">
        <f>_xll.BDH("AMGN US Equity","ARDR_OPTIONS_EXERCISABLE","FQ3 2019","FQ3 2019","Currency=USD","Period=FQ","BEST_FPERIOD_OVERRIDE=FQ","FILING_STATUS=MR","Sort=A","Dates=H","DateFormat=P","Fill=—","Direction=H","UseDPDF=Y")</f>
        <v>—</v>
      </c>
      <c r="G141" s="13">
        <f>_xll.BDH("AMGN US Equity","ARDR_OPTIONS_EXERCISABLE","FQ4 2019","FQ4 2019","Currency=USD","Period=FQ","BEST_FPERIOD_OVERRIDE=FQ","FILING_STATUS=MR","Sort=A","Dates=H","DateFormat=P","Fill=—","Direction=H","UseDPDF=Y")</f>
        <v>1.3</v>
      </c>
      <c r="H141" s="13" t="str">
        <f>_xll.BDH("AMGN US Equity","ARDR_OPTIONS_EXERCISABLE","FQ1 2020","FQ1 2020","Currency=USD","Period=FQ","BEST_FPERIOD_OVERRIDE=FQ","FILING_STATUS=MR","Sort=A","Dates=H","DateFormat=P","Fill=—","Direction=H","UseDPDF=Y")</f>
        <v>—</v>
      </c>
      <c r="I141" s="13" t="str">
        <f>_xll.BDH("AMGN US Equity","ARDR_OPTIONS_EXERCISABLE","FQ2 2020","FQ2 2020","Currency=USD","Period=FQ","BEST_FPERIOD_OVERRIDE=FQ","FILING_STATUS=MR","Sort=A","Dates=H","DateFormat=P","Fill=—","Direction=H","UseDPDF=Y")</f>
        <v>—</v>
      </c>
      <c r="J141" s="13" t="str">
        <f>_xll.BDH("AMGN US Equity","ARDR_OPTIONS_EXERCISABLE","FQ3 2020","FQ3 2020","Currency=USD","Period=FQ","BEST_FPERIOD_OVERRIDE=FQ","FILING_STATUS=MR","Sort=A","Dates=H","DateFormat=P","Fill=—","Direction=H","UseDPDF=Y")</f>
        <v>—</v>
      </c>
      <c r="K141" s="13">
        <f>_xll.BDH("AMGN US Equity","ARDR_OPTIONS_EXERCISABLE","FQ4 2020","FQ4 2020","Currency=USD","Period=FQ","BEST_FPERIOD_OVERRIDE=FQ","FILING_STATUS=MR","Sort=A","Dates=H","DateFormat=P","Fill=—","Direction=H","UseDPDF=Y")</f>
        <v>1.5</v>
      </c>
      <c r="L141" s="13" t="str">
        <f>_xll.BDH("AMGN US Equity","ARDR_OPTIONS_EXERCISABLE","FQ1 2021","FQ1 2021","Currency=USD","Period=FQ","BEST_FPERIOD_OVERRIDE=FQ","FILING_STATUS=MR","Sort=A","Dates=H","DateFormat=P","Fill=—","Direction=H","UseDPDF=Y")</f>
        <v>—</v>
      </c>
      <c r="M141" s="13" t="str">
        <f>_xll.BDH("AMGN US Equity","ARDR_OPTIONS_EXERCISABLE","FQ2 2021","FQ2 2021","Currency=USD","Period=FQ","BEST_FPERIOD_OVERRIDE=FQ","FILING_STATUS=MR","Sort=A","Dates=H","DateFormat=P","Fill=—","Direction=H","UseDPDF=Y")</f>
        <v>—</v>
      </c>
      <c r="N141" s="13" t="str">
        <f>_xll.BDH("AMGN US Equity","ARDR_OPTIONS_EXERCISABLE","FQ3 2021","FQ3 2021","Currency=USD","Period=FQ","BEST_FPERIOD_OVERRIDE=FQ","FILING_STATUS=MR","Sort=A","Dates=H","DateFormat=P","Fill=—","Direction=H","UseDPDF=Y")</f>
        <v>—</v>
      </c>
      <c r="O141" s="13">
        <f>_xll.BDH("AMGN US Equity","ARDR_OPTIONS_EXERCISABLE","FQ4 2021","FQ4 2021","Currency=USD","Period=FQ","BEST_FPERIOD_OVERRIDE=FQ","FILING_STATUS=MR","Sort=A","Dates=H","DateFormat=P","Fill=—","Direction=H","UseDPDF=Y")</f>
        <v>2</v>
      </c>
      <c r="P141" s="13" t="str">
        <f>_xll.BDH("AMGN US Equity","ARDR_OPTIONS_EXERCISABLE","FQ1 2022","FQ1 2022","Currency=USD","Period=FQ","BEST_FPERIOD_OVERRIDE=FQ","FILING_STATUS=MR","Sort=A","Dates=H","DateFormat=P","Fill=—","Direction=H","UseDPDF=Y")</f>
        <v>—</v>
      </c>
      <c r="Q141" s="13" t="str">
        <f>_xll.BDH("AMGN US Equity","ARDR_OPTIONS_EXERCISABLE","FQ2 2022","FQ2 2022","Currency=USD","Period=FQ","BEST_FPERIOD_OVERRIDE=FQ","FILING_STATUS=MR","Sort=A","Dates=H","DateFormat=P","Fill=—","Direction=H","UseDPDF=Y")</f>
        <v>—</v>
      </c>
      <c r="R141" s="13" t="str">
        <f>_xll.BDH("AMGN US Equity","ARDR_OPTIONS_EXERCISABLE","FQ3 2022","FQ3 2022","Currency=USD","Period=FQ","BEST_FPERIOD_OVERRIDE=FQ","FILING_STATUS=MR","Sort=A","Dates=H","DateFormat=P","Fill=—","Direction=H","UseDPDF=Y")</f>
        <v>—</v>
      </c>
      <c r="S141" s="13">
        <f>_xll.BDH("AMGN US Equity","ARDR_OPTIONS_EXERCISABLE","FQ4 2022","FQ4 2022","Currency=USD","Period=FQ","BEST_FPERIOD_OVERRIDE=FQ","FILING_STATUS=MR","Sort=A","Dates=H","DateFormat=P","Fill=—","Direction=H","UseDPDF=Y")</f>
        <v>2.2000000000000002</v>
      </c>
      <c r="T141" s="13" t="str">
        <f>_xll.BDH("AMGN US Equity","ARDR_OPTIONS_EXERCISABLE","FQ1 2023","FQ1 2023","Currency=USD","Period=FQ","BEST_FPERIOD_OVERRIDE=FQ","FILING_STATUS=MR","Sort=A","Dates=H","DateFormat=P","Fill=—","Direction=H","UseDPDF=Y")</f>
        <v>—</v>
      </c>
      <c r="U141" s="13" t="str">
        <f>_xll.BDH("AMGN US Equity","ARDR_OPTIONS_EXERCISABLE","FQ2 2023","FQ2 2023","Currency=USD","Period=FQ","BEST_FPERIOD_OVERRIDE=FQ","FILING_STATUS=MR","Sort=A","Dates=H","DateFormat=P","Fill=—","Direction=H","UseDPDF=Y")</f>
        <v>—</v>
      </c>
      <c r="V141" s="13" t="str">
        <f>_xll.BDH("AMGN US Equity","ARDR_OPTIONS_EXERCISABLE","FQ3 2023","FQ3 2023","Currency=USD","Period=FQ","BEST_FPERIOD_OVERRIDE=FQ","FILING_STATUS=MR","Sort=A","Dates=H","DateFormat=P","Fill=—","Direction=H","UseDPDF=Y")</f>
        <v>—</v>
      </c>
      <c r="W141" s="13">
        <f>_xll.BDH("AMGN US Equity","ARDR_OPTIONS_EXERCISABLE","FQ4 2023","FQ4 2023","Currency=USD","Period=FQ","BEST_FPERIOD_OVERRIDE=FQ","FILING_STATUS=MR","Sort=A","Dates=H","DateFormat=P","Fill=—","Direction=H","UseDPDF=Y")</f>
        <v>2.8</v>
      </c>
      <c r="X141" s="13" t="str">
        <f>_xll.BDH("AMGN US Equity","ARDR_OPTIONS_EXERCISABLE","FQ1 2024","FQ1 2024","Currency=USD","Period=FQ","BEST_FPERIOD_OVERRIDE=FQ","FILING_STATUS=MR","Sort=A","Dates=H","DateFormat=P","Fill=—","Direction=H","UseDPDF=Y")</f>
        <v>—</v>
      </c>
      <c r="Y141" s="13" t="str">
        <f>_xll.BDH("AMGN US Equity","ARDR_OPTIONS_EXERCISABLE","FQ2 2024","FQ2 2024","Currency=USD","Period=FQ","BEST_FPERIOD_OVERRIDE=FQ","FILING_STATUS=MR","Sort=A","Dates=H","DateFormat=P","Fill=—","Direction=H","UseDPDF=Y")</f>
        <v>—</v>
      </c>
      <c r="Z141" s="13" t="str">
        <f>_xll.BDH("AMGN US Equity","ARDR_OPTIONS_EXERCISABLE","FQ3 2024","FQ3 2024","Currency=USD","Period=FQ","BEST_FPERIOD_OVERRIDE=FQ","FILING_STATUS=MR","Sort=A","Dates=H","DateFormat=P","Fill=—","Direction=H","UseDPDF=Y")</f>
        <v>—</v>
      </c>
      <c r="AA141" s="13">
        <f>_xll.BDH("AMGN US Equity","ARDR_OPTIONS_EXERCISABLE","FQ4 2024","FQ4 2024","Currency=USD","Period=FQ","BEST_FPERIOD_OVERRIDE=FQ","FILING_STATUS=MR","Sort=A","Dates=H","DateFormat=P","Fill=—","Direction=H","UseDPDF=Y")</f>
        <v>3.1</v>
      </c>
    </row>
    <row r="142" spans="1:27" x14ac:dyDescent="0.25">
      <c r="A142" s="10" t="s">
        <v>1098</v>
      </c>
      <c r="B142" s="10" t="s">
        <v>1099</v>
      </c>
      <c r="C142" s="13">
        <f>_xll.BDH("AMGN US Equity","ARDR_DEFERRED_TAX_ALLOWANCE","FQ4 2018","FQ4 2018","Currency=USD","Period=FQ","BEST_FPERIOD_OVERRIDE=FQ","FILING_STATUS=MR","SCALING_FORMAT=MLN","Sort=A","Dates=H","DateFormat=P","Fill=—","Direction=H","UseDPDF=Y")</f>
        <v>509</v>
      </c>
      <c r="D142" s="13" t="str">
        <f>_xll.BDH("AMGN US Equity","ARDR_DEFERRED_TAX_ALLOWANCE","FQ1 2019","FQ1 2019","Currency=USD","Period=FQ","BEST_FPERIOD_OVERRIDE=FQ","FILING_STATUS=MR","SCALING_FORMAT=MLN","Sort=A","Dates=H","DateFormat=P","Fill=—","Direction=H","UseDPDF=Y")</f>
        <v>—</v>
      </c>
      <c r="E142" s="13" t="str">
        <f>_xll.BDH("AMGN US Equity","ARDR_DEFERRED_TAX_ALLOWANCE","FQ2 2019","FQ2 2019","Currency=USD","Period=FQ","BEST_FPERIOD_OVERRIDE=FQ","FILING_STATUS=MR","SCALING_FORMAT=MLN","Sort=A","Dates=H","DateFormat=P","Fill=—","Direction=H","UseDPDF=Y")</f>
        <v>—</v>
      </c>
      <c r="F142" s="13" t="str">
        <f>_xll.BDH("AMGN US Equity","ARDR_DEFERRED_TAX_ALLOWANCE","FQ3 2019","FQ3 2019","Currency=USD","Period=FQ","BEST_FPERIOD_OVERRIDE=FQ","FILING_STATUS=MR","SCALING_FORMAT=MLN","Sort=A","Dates=H","DateFormat=P","Fill=—","Direction=H","UseDPDF=Y")</f>
        <v>—</v>
      </c>
      <c r="G142" s="13">
        <f>_xll.BDH("AMGN US Equity","ARDR_DEFERRED_TAX_ALLOWANCE","FQ4 2019","FQ4 2019","Currency=USD","Period=FQ","BEST_FPERIOD_OVERRIDE=FQ","FILING_STATUS=MR","SCALING_FORMAT=MLN","Sort=A","Dates=H","DateFormat=P","Fill=—","Direction=H","UseDPDF=Y")</f>
        <v>517</v>
      </c>
      <c r="H142" s="13" t="str">
        <f>_xll.BDH("AMGN US Equity","ARDR_DEFERRED_TAX_ALLOWANCE","FQ1 2020","FQ1 2020","Currency=USD","Period=FQ","BEST_FPERIOD_OVERRIDE=FQ","FILING_STATUS=MR","SCALING_FORMAT=MLN","Sort=A","Dates=H","DateFormat=P","Fill=—","Direction=H","UseDPDF=Y")</f>
        <v>—</v>
      </c>
      <c r="I142" s="13" t="str">
        <f>_xll.BDH("AMGN US Equity","ARDR_DEFERRED_TAX_ALLOWANCE","FQ2 2020","FQ2 2020","Currency=USD","Period=FQ","BEST_FPERIOD_OVERRIDE=FQ","FILING_STATUS=MR","SCALING_FORMAT=MLN","Sort=A","Dates=H","DateFormat=P","Fill=—","Direction=H","UseDPDF=Y")</f>
        <v>—</v>
      </c>
      <c r="J142" s="13" t="str">
        <f>_xll.BDH("AMGN US Equity","ARDR_DEFERRED_TAX_ALLOWANCE","FQ3 2020","FQ3 2020","Currency=USD","Period=FQ","BEST_FPERIOD_OVERRIDE=FQ","FILING_STATUS=MR","SCALING_FORMAT=MLN","Sort=A","Dates=H","DateFormat=P","Fill=—","Direction=H","UseDPDF=Y")</f>
        <v>—</v>
      </c>
      <c r="K142" s="13">
        <f>_xll.BDH("AMGN US Equity","ARDR_DEFERRED_TAX_ALLOWANCE","FQ4 2020","FQ4 2020","Currency=USD","Period=FQ","BEST_FPERIOD_OVERRIDE=FQ","FILING_STATUS=MR","SCALING_FORMAT=MLN","Sort=A","Dates=H","DateFormat=P","Fill=—","Direction=H","UseDPDF=Y")</f>
        <v>571</v>
      </c>
      <c r="L142" s="13" t="str">
        <f>_xll.BDH("AMGN US Equity","ARDR_DEFERRED_TAX_ALLOWANCE","FQ1 2021","FQ1 2021","Currency=USD","Period=FQ","BEST_FPERIOD_OVERRIDE=FQ","FILING_STATUS=MR","SCALING_FORMAT=MLN","Sort=A","Dates=H","DateFormat=P","Fill=—","Direction=H","UseDPDF=Y")</f>
        <v>—</v>
      </c>
      <c r="M142" s="13" t="str">
        <f>_xll.BDH("AMGN US Equity","ARDR_DEFERRED_TAX_ALLOWANCE","FQ2 2021","FQ2 2021","Currency=USD","Period=FQ","BEST_FPERIOD_OVERRIDE=FQ","FILING_STATUS=MR","SCALING_FORMAT=MLN","Sort=A","Dates=H","DateFormat=P","Fill=—","Direction=H","UseDPDF=Y")</f>
        <v>—</v>
      </c>
      <c r="N142" s="13" t="str">
        <f>_xll.BDH("AMGN US Equity","ARDR_DEFERRED_TAX_ALLOWANCE","FQ3 2021","FQ3 2021","Currency=USD","Period=FQ","BEST_FPERIOD_OVERRIDE=FQ","FILING_STATUS=MR","SCALING_FORMAT=MLN","Sort=A","Dates=H","DateFormat=P","Fill=—","Direction=H","UseDPDF=Y")</f>
        <v>—</v>
      </c>
      <c r="O142" s="13">
        <f>_xll.BDH("AMGN US Equity","ARDR_DEFERRED_TAX_ALLOWANCE","FQ4 2021","FQ4 2021","Currency=USD","Period=FQ","BEST_FPERIOD_OVERRIDE=FQ","FILING_STATUS=MR","SCALING_FORMAT=MLN","Sort=A","Dates=H","DateFormat=P","Fill=—","Direction=H","UseDPDF=Y")</f>
        <v>663</v>
      </c>
      <c r="P142" s="13" t="str">
        <f>_xll.BDH("AMGN US Equity","ARDR_DEFERRED_TAX_ALLOWANCE","FQ1 2022","FQ1 2022","Currency=USD","Period=FQ","BEST_FPERIOD_OVERRIDE=FQ","FILING_STATUS=MR","SCALING_FORMAT=MLN","Sort=A","Dates=H","DateFormat=P","Fill=—","Direction=H","UseDPDF=Y")</f>
        <v>—</v>
      </c>
      <c r="Q142" s="13" t="str">
        <f>_xll.BDH("AMGN US Equity","ARDR_DEFERRED_TAX_ALLOWANCE","FQ2 2022","FQ2 2022","Currency=USD","Period=FQ","BEST_FPERIOD_OVERRIDE=FQ","FILING_STATUS=MR","SCALING_FORMAT=MLN","Sort=A","Dates=H","DateFormat=P","Fill=—","Direction=H","UseDPDF=Y")</f>
        <v>—</v>
      </c>
      <c r="R142" s="13" t="str">
        <f>_xll.BDH("AMGN US Equity","ARDR_DEFERRED_TAX_ALLOWANCE","FQ3 2022","FQ3 2022","Currency=USD","Period=FQ","BEST_FPERIOD_OVERRIDE=FQ","FILING_STATUS=MR","SCALING_FORMAT=MLN","Sort=A","Dates=H","DateFormat=P","Fill=—","Direction=H","UseDPDF=Y")</f>
        <v>—</v>
      </c>
      <c r="S142" s="13">
        <f>_xll.BDH("AMGN US Equity","ARDR_DEFERRED_TAX_ALLOWANCE","FQ4 2022","FQ4 2022","Currency=USD","Period=FQ","BEST_FPERIOD_OVERRIDE=FQ","FILING_STATUS=MR","SCALING_FORMAT=MLN","Sort=A","Dates=H","DateFormat=P","Fill=—","Direction=H","UseDPDF=Y")</f>
        <v>718</v>
      </c>
      <c r="T142" s="13" t="str">
        <f>_xll.BDH("AMGN US Equity","ARDR_DEFERRED_TAX_ALLOWANCE","FQ1 2023","FQ1 2023","Currency=USD","Period=FQ","BEST_FPERIOD_OVERRIDE=FQ","FILING_STATUS=MR","SCALING_FORMAT=MLN","Sort=A","Dates=H","DateFormat=P","Fill=—","Direction=H","UseDPDF=Y")</f>
        <v>—</v>
      </c>
      <c r="U142" s="13" t="str">
        <f>_xll.BDH("AMGN US Equity","ARDR_DEFERRED_TAX_ALLOWANCE","FQ2 2023","FQ2 2023","Currency=USD","Period=FQ","BEST_FPERIOD_OVERRIDE=FQ","FILING_STATUS=MR","SCALING_FORMAT=MLN","Sort=A","Dates=H","DateFormat=P","Fill=—","Direction=H","UseDPDF=Y")</f>
        <v>—</v>
      </c>
      <c r="V142" s="13" t="str">
        <f>_xll.BDH("AMGN US Equity","ARDR_DEFERRED_TAX_ALLOWANCE","FQ3 2023","FQ3 2023","Currency=USD","Period=FQ","BEST_FPERIOD_OVERRIDE=FQ","FILING_STATUS=MR","SCALING_FORMAT=MLN","Sort=A","Dates=H","DateFormat=P","Fill=—","Direction=H","UseDPDF=Y")</f>
        <v>—</v>
      </c>
      <c r="W142" s="13">
        <f>_xll.BDH("AMGN US Equity","ARDR_DEFERRED_TAX_ALLOWANCE","FQ4 2023","FQ4 2023","Currency=USD","Period=FQ","BEST_FPERIOD_OVERRIDE=FQ","FILING_STATUS=MR","SCALING_FORMAT=MLN","Sort=A","Dates=H","DateFormat=P","Fill=—","Direction=H","UseDPDF=Y")</f>
        <v>957</v>
      </c>
      <c r="X142" s="13" t="str">
        <f>_xll.BDH("AMGN US Equity","ARDR_DEFERRED_TAX_ALLOWANCE","FQ1 2024","FQ1 2024","Currency=USD","Period=FQ","BEST_FPERIOD_OVERRIDE=FQ","FILING_STATUS=MR","SCALING_FORMAT=MLN","Sort=A","Dates=H","DateFormat=P","Fill=—","Direction=H","UseDPDF=Y")</f>
        <v>—</v>
      </c>
      <c r="Y142" s="13" t="str">
        <f>_xll.BDH("AMGN US Equity","ARDR_DEFERRED_TAX_ALLOWANCE","FQ2 2024","FQ2 2024","Currency=USD","Period=FQ","BEST_FPERIOD_OVERRIDE=FQ","FILING_STATUS=MR","SCALING_FORMAT=MLN","Sort=A","Dates=H","DateFormat=P","Fill=—","Direction=H","UseDPDF=Y")</f>
        <v>—</v>
      </c>
      <c r="Z142" s="13" t="str">
        <f>_xll.BDH("AMGN US Equity","ARDR_DEFERRED_TAX_ALLOWANCE","FQ3 2024","FQ3 2024","Currency=USD","Period=FQ","BEST_FPERIOD_OVERRIDE=FQ","FILING_STATUS=MR","SCALING_FORMAT=MLN","Sort=A","Dates=H","DateFormat=P","Fill=—","Direction=H","UseDPDF=Y")</f>
        <v>—</v>
      </c>
      <c r="AA142" s="13">
        <f>_xll.BDH("AMGN US Equity","ARDR_DEFERRED_TAX_ALLOWANCE","FQ4 2024","FQ4 2024","Currency=USD","Period=FQ","BEST_FPERIOD_OVERRIDE=FQ","FILING_STATUS=MR","SCALING_FORMAT=MLN","Sort=A","Dates=H","DateFormat=P","Fill=—","Direction=H","UseDPDF=Y")</f>
        <v>1019</v>
      </c>
    </row>
    <row r="143" spans="1:27" x14ac:dyDescent="0.25">
      <c r="A143" s="10" t="s">
        <v>1100</v>
      </c>
      <c r="B143" s="10" t="s">
        <v>1101</v>
      </c>
      <c r="C143" s="13">
        <f>_xll.BDH("AMGN US Equity","ARDR_SHARES_AUTH_REPURCH_AMOUNT","FQ4 2018","FQ4 2018","Currency=USD","Period=FQ","BEST_FPERIOD_OVERRIDE=FQ","FILING_STATUS=MR","SCALING_FORMAT=MLN","Sort=A","Dates=H","DateFormat=P","Fill=—","Direction=H","UseDPDF=Y")</f>
        <v>8600</v>
      </c>
      <c r="D143" s="13">
        <f>_xll.BDH("AMGN US Equity","ARDR_SHARES_AUTH_REPURCH_AMOUNT","FQ1 2019","FQ1 2019","Currency=USD","Period=FQ","BEST_FPERIOD_OVERRIDE=FQ","FILING_STATUS=MR","SCALING_FORMAT=MLN","Sort=A","Dates=H","DateFormat=P","Fill=—","Direction=H","UseDPDF=Y")</f>
        <v>3600</v>
      </c>
      <c r="E143" s="13">
        <f>_xll.BDH("AMGN US Equity","ARDR_SHARES_AUTH_REPURCH_AMOUNT","FQ2 2019","FQ2 2019","Currency=USD","Period=FQ","BEST_FPERIOD_OVERRIDE=FQ","FILING_STATUS=MR","SCALING_FORMAT=MLN","Sort=A","Dates=H","DateFormat=P","Fill=—","Direction=H","UseDPDF=Y")</f>
        <v>5000</v>
      </c>
      <c r="F143" s="13">
        <f>_xll.BDH("AMGN US Equity","ARDR_SHARES_AUTH_REPURCH_AMOUNT","FQ3 2019","FQ3 2019","Currency=USD","Period=FQ","BEST_FPERIOD_OVERRIDE=FQ","FILING_STATUS=MR","SCALING_FORMAT=MLN","Sort=A","Dates=H","DateFormat=P","Fill=—","Direction=H","UseDPDF=Y")</f>
        <v>5000</v>
      </c>
      <c r="G143" s="13">
        <f>_xll.BDH("AMGN US Equity","ARDR_SHARES_AUTH_REPURCH_AMOUNT","FQ4 2019","FQ4 2019","Currency=USD","Period=FQ","BEST_FPERIOD_OVERRIDE=FQ","FILING_STATUS=MR","SCALING_FORMAT=MLN","Sort=A","Dates=H","DateFormat=P","Fill=—","Direction=H","UseDPDF=Y")</f>
        <v>8600</v>
      </c>
      <c r="H143" s="13">
        <f>_xll.BDH("AMGN US Equity","ARDR_SHARES_AUTH_REPURCH_AMOUNT","FQ1 2020","FQ1 2020","Currency=USD","Period=FQ","BEST_FPERIOD_OVERRIDE=FQ","FILING_STATUS=MR","SCALING_FORMAT=MLN","Sort=A","Dates=H","DateFormat=P","Fill=—","Direction=H","UseDPDF=Y")</f>
        <v>5540.777</v>
      </c>
      <c r="I143" s="13">
        <f>_xll.BDH("AMGN US Equity","ARDR_SHARES_AUTH_REPURCH_AMOUNT","FQ2 2020","FQ2 2020","Currency=USD","Period=FQ","BEST_FPERIOD_OVERRIDE=FQ","FILING_STATUS=MR","SCALING_FORMAT=MLN","Sort=A","Dates=H","DateFormat=P","Fill=—","Direction=H","UseDPDF=Y")</f>
        <v>8000</v>
      </c>
      <c r="J143" s="13">
        <f>_xll.BDH("AMGN US Equity","ARDR_SHARES_AUTH_REPURCH_AMOUNT","FQ3 2020","FQ3 2020","Currency=USD","Period=FQ","BEST_FPERIOD_OVERRIDE=FQ","FILING_STATUS=MR","SCALING_FORMAT=MLN","Sort=A","Dates=H","DateFormat=P","Fill=—","Direction=H","UseDPDF=Y")</f>
        <v>4200</v>
      </c>
      <c r="K143" s="13">
        <f>_xll.BDH("AMGN US Equity","ARDR_SHARES_AUTH_REPURCH_AMOUNT","FQ4 2020","FQ4 2020","Currency=USD","Period=FQ","BEST_FPERIOD_OVERRIDE=FQ","FILING_STATUS=MR","SCALING_FORMAT=MLN","Sort=A","Dates=H","DateFormat=P","Fill=—","Direction=H","UseDPDF=Y")</f>
        <v>3000</v>
      </c>
      <c r="L143" s="13">
        <f>_xll.BDH("AMGN US Equity","ARDR_SHARES_AUTH_REPURCH_AMOUNT","FQ1 2021","FQ1 2021","Currency=USD","Period=FQ","BEST_FPERIOD_OVERRIDE=FQ","FILING_STATUS=MR","SCALING_FORMAT=MLN","Sort=A","Dates=H","DateFormat=P","Fill=—","Direction=H","UseDPDF=Y")</f>
        <v>3400</v>
      </c>
      <c r="M143" s="13">
        <f>_xll.BDH("AMGN US Equity","ARDR_SHARES_AUTH_REPURCH_AMOUNT","FQ2 2021","FQ2 2021","Currency=USD","Period=FQ","BEST_FPERIOD_OVERRIDE=FQ","FILING_STATUS=MR","SCALING_FORMAT=MLN","Sort=A","Dates=H","DateFormat=P","Fill=—","Direction=H","UseDPDF=Y")</f>
        <v>6800</v>
      </c>
      <c r="N143" s="13">
        <f>_xll.BDH("AMGN US Equity","ARDR_SHARES_AUTH_REPURCH_AMOUNT","FQ3 2021","FQ3 2021","Currency=USD","Period=FQ","BEST_FPERIOD_OVERRIDE=FQ","FILING_STATUS=MR","SCALING_FORMAT=MLN","Sort=A","Dates=H","DateFormat=P","Fill=—","Direction=H","UseDPDF=Y")</f>
        <v>4500</v>
      </c>
      <c r="O143" s="13">
        <f>_xll.BDH("AMGN US Equity","ARDR_SHARES_AUTH_REPURCH_AMOUNT","FQ4 2021","FQ4 2021","Currency=USD","Period=FQ","BEST_FPERIOD_OVERRIDE=FQ","FILING_STATUS=MR","SCALING_FORMAT=MLN","Sort=A","Dates=H","DateFormat=P","Fill=—","Direction=H","UseDPDF=Y")</f>
        <v>9500</v>
      </c>
      <c r="P143" s="13">
        <f>_xll.BDH("AMGN US Equity","ARDR_SHARES_AUTH_REPURCH_AMOUNT","FQ1 2022","FQ1 2022","Currency=USD","Period=FQ","BEST_FPERIOD_OVERRIDE=FQ","FILING_STATUS=MR","SCALING_FORMAT=MLN","Sort=A","Dates=H","DateFormat=P","Fill=—","Direction=H","UseDPDF=Y")</f>
        <v>6300</v>
      </c>
      <c r="Q143" s="13">
        <f>_xll.BDH("AMGN US Equity","ARDR_SHARES_AUTH_REPURCH_AMOUNT","FQ2 2022","FQ2 2022","Currency=USD","Period=FQ","BEST_FPERIOD_OVERRIDE=FQ","FILING_STATUS=MR","SCALING_FORMAT=MLN","Sort=A","Dates=H","DateFormat=P","Fill=—","Direction=H","UseDPDF=Y")</f>
        <v>6000</v>
      </c>
      <c r="R143" s="13">
        <f>_xll.BDH("AMGN US Equity","ARDR_SHARES_AUTH_REPURCH_AMOUNT","FQ3 2022","FQ3 2022","Currency=USD","Period=FQ","BEST_FPERIOD_OVERRIDE=FQ","FILING_STATUS=MR","SCALING_FORMAT=MLN","Sort=A","Dates=H","DateFormat=P","Fill=—","Direction=H","UseDPDF=Y")</f>
        <v>4600</v>
      </c>
      <c r="S143" s="13">
        <f>_xll.BDH("AMGN US Equity","ARDR_SHARES_AUTH_REPURCH_AMOUNT","FQ4 2022","FQ4 2022","Currency=USD","Period=FQ","BEST_FPERIOD_OVERRIDE=FQ","FILING_STATUS=MR","SCALING_FORMAT=MLN","Sort=A","Dates=H","DateFormat=P","Fill=—","Direction=H","UseDPDF=Y")</f>
        <v>7000</v>
      </c>
      <c r="T143" s="13">
        <f>_xll.BDH("AMGN US Equity","ARDR_SHARES_AUTH_REPURCH_AMOUNT","FQ1 2023","FQ1 2023","Currency=USD","Period=FQ","BEST_FPERIOD_OVERRIDE=FQ","FILING_STATUS=MR","SCALING_FORMAT=MLN","Sort=A","Dates=H","DateFormat=P","Fill=—","Direction=H","UseDPDF=Y")</f>
        <v>7000</v>
      </c>
      <c r="U143" s="13">
        <f>_xll.BDH("AMGN US Equity","ARDR_SHARES_AUTH_REPURCH_AMOUNT","FQ2 2023","FQ2 2023","Currency=USD","Period=FQ","BEST_FPERIOD_OVERRIDE=FQ","FILING_STATUS=MR","SCALING_FORMAT=MLN","Sort=A","Dates=H","DateFormat=P","Fill=—","Direction=H","UseDPDF=Y")</f>
        <v>7000</v>
      </c>
      <c r="V143" s="13">
        <f>_xll.BDH("AMGN US Equity","ARDR_SHARES_AUTH_REPURCH_AMOUNT","FQ3 2023","FQ3 2023","Currency=USD","Period=FQ","BEST_FPERIOD_OVERRIDE=FQ","FILING_STATUS=MR","SCALING_FORMAT=MLN","Sort=A","Dates=H","DateFormat=P","Fill=—","Direction=H","UseDPDF=Y")</f>
        <v>7000</v>
      </c>
      <c r="W143" s="13">
        <f>_xll.BDH("AMGN US Equity","ARDR_SHARES_AUTH_REPURCH_AMOUNT","FQ4 2023","FQ4 2023","Currency=USD","Period=FQ","BEST_FPERIOD_OVERRIDE=FQ","FILING_STATUS=MR","SCALING_FORMAT=MLN","Sort=A","Dates=H","DateFormat=P","Fill=—","Direction=H","UseDPDF=Y")</f>
        <v>7000</v>
      </c>
      <c r="X143" s="13">
        <f>_xll.BDH("AMGN US Equity","ARDR_SHARES_AUTH_REPURCH_AMOUNT","FQ1 2024","FQ1 2024","Currency=USD","Period=FQ","BEST_FPERIOD_OVERRIDE=FQ","FILING_STATUS=MR","SCALING_FORMAT=MLN","Sort=A","Dates=H","DateFormat=P","Fill=—","Direction=H","UseDPDF=Y")</f>
        <v>7000</v>
      </c>
      <c r="Y143" s="13">
        <f>_xll.BDH("AMGN US Equity","ARDR_SHARES_AUTH_REPURCH_AMOUNT","FQ2 2024","FQ2 2024","Currency=USD","Period=FQ","BEST_FPERIOD_OVERRIDE=FQ","FILING_STATUS=MR","SCALING_FORMAT=MLN","Sort=A","Dates=H","DateFormat=P","Fill=—","Direction=H","UseDPDF=Y")</f>
        <v>7000</v>
      </c>
      <c r="Z143" s="13">
        <f>_xll.BDH("AMGN US Equity","ARDR_SHARES_AUTH_REPURCH_AMOUNT","FQ3 2024","FQ3 2024","Currency=USD","Period=FQ","BEST_FPERIOD_OVERRIDE=FQ","FILING_STATUS=MR","SCALING_FORMAT=MLN","Sort=A","Dates=H","DateFormat=P","Fill=—","Direction=H","UseDPDF=Y")</f>
        <v>7000</v>
      </c>
      <c r="AA143" s="13">
        <f>_xll.BDH("AMGN US Equity","ARDR_SHARES_AUTH_REPURCH_AMOUNT","FQ4 2024","FQ4 2024","Currency=USD","Period=FQ","BEST_FPERIOD_OVERRIDE=FQ","FILING_STATUS=MR","SCALING_FORMAT=MLN","Sort=A","Dates=H","DateFormat=P","Fill=—","Direction=H","UseDPDF=Y")</f>
        <v>6800</v>
      </c>
    </row>
    <row r="144" spans="1:27" x14ac:dyDescent="0.25">
      <c r="A144" s="10" t="s">
        <v>1102</v>
      </c>
      <c r="B144" s="10" t="s">
        <v>1103</v>
      </c>
      <c r="C144" s="13">
        <f>_xll.BDH("AMGN US Equity","ARDR_REMAINING_SH_AUTH_REP_AMT","FQ4 2018","FQ4 2018","Currency=USD","Period=FQ","BEST_FPERIOD_OVERRIDE=FQ","FILING_STATUS=MR","SCALING_FORMAT=MLN","Sort=A","Dates=H","DateFormat=P","Fill=—","Direction=H","UseDPDF=Y")</f>
        <v>5100</v>
      </c>
      <c r="D144" s="13">
        <f>_xll.BDH("AMGN US Equity","ARDR_REMAINING_SH_AUTH_REP_AMT","FQ1 2019","FQ1 2019","Currency=USD","Period=FQ","BEST_FPERIOD_OVERRIDE=FQ","FILING_STATUS=MR","SCALING_FORMAT=MLN","Sort=A","Dates=H","DateFormat=P","Fill=—","Direction=H","UseDPDF=Y")</f>
        <v>2082.9931000000001</v>
      </c>
      <c r="E144" s="13">
        <f>_xll.BDH("AMGN US Equity","ARDR_REMAINING_SH_AUTH_REP_AMT","FQ2 2019","FQ2 2019","Currency=USD","Period=FQ","BEST_FPERIOD_OVERRIDE=FQ","FILING_STATUS=MR","SCALING_FORMAT=MLN","Sort=A","Dates=H","DateFormat=P","Fill=—","Direction=H","UseDPDF=Y")</f>
        <v>4733.8656000000001</v>
      </c>
      <c r="F144" s="13">
        <f>_xll.BDH("AMGN US Equity","ARDR_REMAINING_SH_AUTH_REP_AMT","FQ3 2019","FQ3 2019","Currency=USD","Period=FQ","BEST_FPERIOD_OVERRIDE=FQ","FILING_STATUS=MR","SCALING_FORMAT=MLN","Sort=A","Dates=H","DateFormat=P","Fill=—","Direction=H","UseDPDF=Y")</f>
        <v>3564.4576999999999</v>
      </c>
      <c r="G144" s="13">
        <f>_xll.BDH("AMGN US Equity","ARDR_REMAINING_SH_AUTH_REP_AMT","FQ4 2019","FQ4 2019","Currency=USD","Period=FQ","BEST_FPERIOD_OVERRIDE=FQ","FILING_STATUS=MR","SCALING_FORMAT=MLN","Sort=A","Dates=H","DateFormat=P","Fill=—","Direction=H","UseDPDF=Y")</f>
        <v>6500</v>
      </c>
      <c r="H144" s="13">
        <f>_xll.BDH("AMGN US Equity","ARDR_REMAINING_SH_AUTH_REP_AMT","FQ1 2020","FQ1 2020","Currency=USD","Period=FQ","BEST_FPERIOD_OVERRIDE=FQ","FILING_STATUS=MR","SCALING_FORMAT=MLN","Sort=A","Dates=H","DateFormat=P","Fill=—","Direction=H","UseDPDF=Y")</f>
        <v>5540.777</v>
      </c>
      <c r="I144" s="13">
        <f>_xll.BDH("AMGN US Equity","ARDR_REMAINING_SH_AUTH_REP_AMT","FQ2 2020","FQ2 2020","Currency=USD","Period=FQ","BEST_FPERIOD_OVERRIDE=FQ","FILING_STATUS=MR","SCALING_FORMAT=MLN","Sort=A","Dates=H","DateFormat=P","Fill=—","Direction=H","UseDPDF=Y")</f>
        <v>4949.6144999999997</v>
      </c>
      <c r="J144" s="13">
        <f>_xll.BDH("AMGN US Equity","ARDR_REMAINING_SH_AUTH_REP_AMT","FQ3 2020","FQ3 2020","Currency=USD","Period=FQ","BEST_FPERIOD_OVERRIDE=FQ","FILING_STATUS=MR","SCALING_FORMAT=MLN","Sort=A","Dates=H","DateFormat=P","Fill=—","Direction=H","UseDPDF=Y")</f>
        <v>4198.4371000000001</v>
      </c>
      <c r="K144" s="13">
        <f>_xll.BDH("AMGN US Equity","ARDR_REMAINING_SH_AUTH_REP_AMT","FQ4 2020","FQ4 2020","Currency=USD","Period=FQ","BEST_FPERIOD_OVERRIDE=FQ","FILING_STATUS=MR","SCALING_FORMAT=MLN","Sort=A","Dates=H","DateFormat=P","Fill=—","Direction=H","UseDPDF=Y")</f>
        <v>2976.5799000000002</v>
      </c>
      <c r="L144" s="13">
        <f>_xll.BDH("AMGN US Equity","ARDR_REMAINING_SH_AUTH_REP_AMT","FQ1 2021","FQ1 2021","Currency=USD","Period=FQ","BEST_FPERIOD_OVERRIDE=FQ","FILING_STATUS=MR","SCALING_FORMAT=MLN","Sort=A","Dates=H","DateFormat=P","Fill=—","Direction=H","UseDPDF=Y")</f>
        <v>5511.2891</v>
      </c>
      <c r="M144" s="13">
        <f>_xll.BDH("AMGN US Equity","ARDR_REMAINING_SH_AUTH_REP_AMT","FQ2 2021","FQ2 2021","Currency=USD","Period=FQ","BEST_FPERIOD_OVERRIDE=FQ","FILING_STATUS=MR","SCALING_FORMAT=MLN","Sort=A","Dates=H","DateFormat=P","Fill=—","Direction=H","UseDPDF=Y")</f>
        <v>3919.3494000000001</v>
      </c>
      <c r="N144" s="13">
        <f>_xll.BDH("AMGN US Equity","ARDR_REMAINING_SH_AUTH_REP_AMT","FQ3 2021","FQ3 2021","Currency=USD","Period=FQ","BEST_FPERIOD_OVERRIDE=FQ","FILING_STATUS=MR","SCALING_FORMAT=MLN","Sort=A","Dates=H","DateFormat=P","Fill=—","Direction=H","UseDPDF=Y")</f>
        <v>2900</v>
      </c>
      <c r="O144" s="13">
        <f>_xll.BDH("AMGN US Equity","ARDR_REMAINING_SH_AUTH_REP_AMT","FQ4 2021","FQ4 2021","Currency=USD","Period=FQ","BEST_FPERIOD_OVERRIDE=FQ","FILING_STATUS=MR","SCALING_FORMAT=MLN","Sort=A","Dates=H","DateFormat=P","Fill=—","Direction=H","UseDPDF=Y")</f>
        <v>10889.377500000001</v>
      </c>
      <c r="P144" s="13">
        <f>_xll.BDH("AMGN US Equity","ARDR_REMAINING_SH_AUTH_REP_AMT","FQ1 2022","FQ1 2022","Currency=USD","Period=FQ","BEST_FPERIOD_OVERRIDE=FQ","FILING_STATUS=MR","SCALING_FORMAT=MLN","Sort=A","Dates=H","DateFormat=P","Fill=—","Direction=H","UseDPDF=Y")</f>
        <v>4600</v>
      </c>
      <c r="Q144" s="13">
        <f>_xll.BDH("AMGN US Equity","ARDR_REMAINING_SH_AUTH_REP_AMT","FQ2 2022","FQ2 2022","Currency=USD","Period=FQ","BEST_FPERIOD_OVERRIDE=FQ","FILING_STATUS=MR","SCALING_FORMAT=MLN","Sort=A","Dates=H","DateFormat=P","Fill=—","Direction=H","UseDPDF=Y")</f>
        <v>4579.2637999999997</v>
      </c>
      <c r="R144" s="13">
        <f>_xll.BDH("AMGN US Equity","ARDR_REMAINING_SH_AUTH_REP_AMT","FQ3 2022","FQ3 2022","Currency=USD","Period=FQ","BEST_FPERIOD_OVERRIDE=FQ","FILING_STATUS=MR","SCALING_FORMAT=MLN","Sort=A","Dates=H","DateFormat=P","Fill=—","Direction=H","UseDPDF=Y")</f>
        <v>4579.2637999999997</v>
      </c>
      <c r="S144" s="13">
        <f>_xll.BDH("AMGN US Equity","ARDR_REMAINING_SH_AUTH_REP_AMT","FQ4 2022","FQ4 2022","Currency=USD","Period=FQ","BEST_FPERIOD_OVERRIDE=FQ","FILING_STATUS=MR","SCALING_FORMAT=MLN","Sort=A","Dates=H","DateFormat=P","Fill=—","Direction=H","UseDPDF=Y")</f>
        <v>6979.2637999999997</v>
      </c>
      <c r="T144" s="13" t="str">
        <f>_xll.BDH("AMGN US Equity","ARDR_REMAINING_SH_AUTH_REP_AMT","FQ1 2023","FQ1 2023","Currency=USD","Period=FQ","BEST_FPERIOD_OVERRIDE=FQ","FILING_STATUS=MR","SCALING_FORMAT=MLN","Sort=A","Dates=H","DateFormat=P","Fill=—","Direction=H","UseDPDF=Y")</f>
        <v>—</v>
      </c>
      <c r="U144" s="13">
        <f>_xll.BDH("AMGN US Equity","ARDR_REMAINING_SH_AUTH_REP_AMT","FQ2 2023","FQ2 2023","Currency=USD","Period=FQ","BEST_FPERIOD_OVERRIDE=FQ","FILING_STATUS=MR","SCALING_FORMAT=MLN","Sort=A","Dates=H","DateFormat=P","Fill=—","Direction=H","UseDPDF=Y")</f>
        <v>6979.2637999999997</v>
      </c>
      <c r="V144" s="13">
        <f>_xll.BDH("AMGN US Equity","ARDR_REMAINING_SH_AUTH_REP_AMT","FQ3 2023","FQ3 2023","Currency=USD","Period=FQ","BEST_FPERIOD_OVERRIDE=FQ","FILING_STATUS=MR","SCALING_FORMAT=MLN","Sort=A","Dates=H","DateFormat=P","Fill=—","Direction=H","UseDPDF=Y")</f>
        <v>6979.2637999999997</v>
      </c>
      <c r="W144" s="13">
        <f>_xll.BDH("AMGN US Equity","ARDR_REMAINING_SH_AUTH_REP_AMT","FQ4 2023","FQ4 2023","Currency=USD","Period=FQ","BEST_FPERIOD_OVERRIDE=FQ","FILING_STATUS=MR","SCALING_FORMAT=MLN","Sort=A","Dates=H","DateFormat=P","Fill=—","Direction=H","UseDPDF=Y")</f>
        <v>6979.2637999999997</v>
      </c>
      <c r="X144" s="13" t="str">
        <f>_xll.BDH("AMGN US Equity","ARDR_REMAINING_SH_AUTH_REP_AMT","FQ1 2024","FQ1 2024","Currency=USD","Period=FQ","BEST_FPERIOD_OVERRIDE=FQ","FILING_STATUS=MR","SCALING_FORMAT=MLN","Sort=A","Dates=H","DateFormat=P","Fill=—","Direction=H","UseDPDF=Y")</f>
        <v>—</v>
      </c>
      <c r="Y144" s="13">
        <f>_xll.BDH("AMGN US Equity","ARDR_REMAINING_SH_AUTH_REP_AMT","FQ2 2024","FQ2 2024","Currency=USD","Period=FQ","BEST_FPERIOD_OVERRIDE=FQ","FILING_STATUS=MR","SCALING_FORMAT=MLN","Sort=A","Dates=H","DateFormat=P","Fill=—","Direction=H","UseDPDF=Y")</f>
        <v>6979.2637999999997</v>
      </c>
      <c r="Z144" s="13">
        <f>_xll.BDH("AMGN US Equity","ARDR_REMAINING_SH_AUTH_REP_AMT","FQ3 2024","FQ3 2024","Currency=USD","Period=FQ","BEST_FPERIOD_OVERRIDE=FQ","FILING_STATUS=MR","SCALING_FORMAT=MLN","Sort=A","Dates=H","DateFormat=P","Fill=—","Direction=H","UseDPDF=Y")</f>
        <v>6979.2637999999997</v>
      </c>
      <c r="AA144" s="13">
        <f>_xll.BDH("AMGN US Equity","ARDR_REMAINING_SH_AUTH_REP_AMT","FQ4 2024","FQ4 2024","Currency=USD","Period=FQ","BEST_FPERIOD_OVERRIDE=FQ","FILING_STATUS=MR","SCALING_FORMAT=MLN","Sort=A","Dates=H","DateFormat=P","Fill=—","Direction=H","UseDPDF=Y")</f>
        <v>6779.2538999999997</v>
      </c>
    </row>
    <row r="145" spans="1:27" x14ac:dyDescent="0.25">
      <c r="A145" s="10" t="s">
        <v>1104</v>
      </c>
      <c r="B145" s="10" t="s">
        <v>1105</v>
      </c>
      <c r="C145" s="13">
        <f>_xll.BDH("AMGN US Equity","ARDR_FV_ASSETS_REC_L1_TRAD_TREAS","FQ4 2018","FQ4 2018","Currency=USD","Period=FQ","BEST_FPERIOD_OVERRIDE=FQ","FILING_STATUS=MR","SCALING_FORMAT=MLN","Sort=A","Dates=H","DateFormat=P","Fill=—","Direction=H","UseDPDF=Y")</f>
        <v>10854</v>
      </c>
      <c r="D145" s="13">
        <f>_xll.BDH("AMGN US Equity","ARDR_FV_ASSETS_REC_L1_TRAD_TREAS","FQ1 2019","FQ1 2019","Currency=USD","Period=FQ","BEST_FPERIOD_OVERRIDE=FQ","FILING_STATUS=MR","SCALING_FORMAT=MLN","Sort=A","Dates=H","DateFormat=P","Fill=—","Direction=H","UseDPDF=Y")</f>
        <v>6157</v>
      </c>
      <c r="E145" s="13">
        <f>_xll.BDH("AMGN US Equity","ARDR_FV_ASSETS_REC_L1_TRAD_TREAS","FQ2 2019","FQ2 2019","Currency=USD","Period=FQ","BEST_FPERIOD_OVERRIDE=FQ","FILING_STATUS=MR","SCALING_FORMAT=MLN","Sort=A","Dates=H","DateFormat=P","Fill=—","Direction=H","UseDPDF=Y")</f>
        <v>6214</v>
      </c>
      <c r="F145" s="13">
        <f>_xll.BDH("AMGN US Equity","ARDR_FV_ASSETS_REC_L1_TRAD_TREAS","FQ3 2019","FQ3 2019","Currency=USD","Period=FQ","BEST_FPERIOD_OVERRIDE=FQ","FILING_STATUS=MR","SCALING_FORMAT=MLN","Sort=A","Dates=H","DateFormat=P","Fill=—","Direction=H","UseDPDF=Y")</f>
        <v>3661</v>
      </c>
      <c r="G145" s="13">
        <f>_xll.BDH("AMGN US Equity","ARDR_FV_ASSETS_REC_L1_TRAD_TREAS","FQ4 2019","FQ4 2019","Currency=USD","Period=FQ","BEST_FPERIOD_OVERRIDE=FQ","FILING_STATUS=MR","SCALING_FORMAT=MLN","Sort=A","Dates=H","DateFormat=P","Fill=—","Direction=H","UseDPDF=Y")</f>
        <v>360</v>
      </c>
      <c r="H145" s="13">
        <f>_xll.BDH("AMGN US Equity","ARDR_FV_ASSETS_REC_L1_TRAD_TREAS","FQ1 2020","FQ1 2020","Currency=USD","Period=FQ","BEST_FPERIOD_OVERRIDE=FQ","FILING_STATUS=MR","SCALING_FORMAT=MLN","Sort=A","Dates=H","DateFormat=P","Fill=—","Direction=H","UseDPDF=Y")</f>
        <v>1076</v>
      </c>
      <c r="I145" s="13">
        <f>_xll.BDH("AMGN US Equity","ARDR_FV_ASSETS_REC_L1_TRAD_TREAS","FQ2 2020","FQ2 2020","Currency=USD","Period=FQ","BEST_FPERIOD_OVERRIDE=FQ","FILING_STATUS=MR","SCALING_FORMAT=MLN","Sort=A","Dates=H","DateFormat=P","Fill=—","Direction=H","UseDPDF=Y")</f>
        <v>3574</v>
      </c>
      <c r="J145" s="13">
        <f>_xll.BDH("AMGN US Equity","ARDR_FV_ASSETS_REC_L1_TRAD_TREAS","FQ3 2020","FQ3 2020","Currency=USD","Period=FQ","BEST_FPERIOD_OVERRIDE=FQ","FILING_STATUS=MR","SCALING_FORMAT=MLN","Sort=A","Dates=H","DateFormat=P","Fill=—","Direction=H","UseDPDF=Y")</f>
        <v>6573</v>
      </c>
      <c r="K145" s="13">
        <f>_xll.BDH("AMGN US Equity","ARDR_FV_ASSETS_REC_L1_TRAD_TREAS","FQ4 2020","FQ4 2020","Currency=USD","Period=FQ","BEST_FPERIOD_OVERRIDE=FQ","FILING_STATUS=MR","SCALING_FORMAT=MLN","Sort=A","Dates=H","DateFormat=P","Fill=—","Direction=H","UseDPDF=Y")</f>
        <v>5078</v>
      </c>
      <c r="L145" s="13">
        <f>_xll.BDH("AMGN US Equity","ARDR_FV_ASSETS_REC_L1_TRAD_TREAS","FQ1 2021","FQ1 2021","Currency=USD","Period=FQ","BEST_FPERIOD_OVERRIDE=FQ","FILING_STATUS=MR","SCALING_FORMAT=MLN","Sort=A","Dates=H","DateFormat=P","Fill=—","Direction=H","UseDPDF=Y")</f>
        <v>5053</v>
      </c>
      <c r="M145" s="13">
        <f>_xll.BDH("AMGN US Equity","ARDR_FV_ASSETS_REC_L1_TRAD_TREAS","FQ2 2021","FQ2 2021","Currency=USD","Period=FQ","BEST_FPERIOD_OVERRIDE=FQ","FILING_STATUS=MR","SCALING_FORMAT=MLN","Sort=A","Dates=H","DateFormat=P","Fill=—","Direction=H","UseDPDF=Y")</f>
        <v>1452</v>
      </c>
      <c r="N145" s="13">
        <f>_xll.BDH("AMGN US Equity","ARDR_FV_ASSETS_REC_L1_TRAD_TREAS","FQ3 2021","FQ3 2021","Currency=USD","Period=FQ","BEST_FPERIOD_OVERRIDE=FQ","FILING_STATUS=MR","SCALING_FORMAT=MLN","Sort=A","Dates=H","DateFormat=P","Fill=—","Direction=H","UseDPDF=Y")</f>
        <v>8323</v>
      </c>
      <c r="O145" s="13">
        <f>_xll.BDH("AMGN US Equity","ARDR_FV_ASSETS_REC_L1_TRAD_TREAS","FQ4 2021","FQ4 2021","Currency=USD","Period=FQ","BEST_FPERIOD_OVERRIDE=FQ","FILING_STATUS=MR","SCALING_FORMAT=MLN","Sort=A","Dates=H","DateFormat=P","Fill=—","Direction=H","UseDPDF=Y")</f>
        <v>1447</v>
      </c>
      <c r="P145" s="13">
        <f>_xll.BDH("AMGN US Equity","ARDR_FV_ASSETS_REC_L1_TRAD_TREAS","FQ1 2022","FQ1 2022","Currency=USD","Period=FQ","BEST_FPERIOD_OVERRIDE=FQ","FILING_STATUS=MR","SCALING_FORMAT=MLN","Sort=A","Dates=H","DateFormat=P","Fill=—","Direction=H","UseDPDF=Y")</f>
        <v>16</v>
      </c>
      <c r="Q145" s="13">
        <f>_xll.BDH("AMGN US Equity","ARDR_FV_ASSETS_REC_L1_TRAD_TREAS","FQ2 2022","FQ2 2022","Currency=USD","Period=FQ","BEST_FPERIOD_OVERRIDE=FQ","FILING_STATUS=MR","SCALING_FORMAT=MLN","Sort=A","Dates=H","DateFormat=P","Fill=—","Direction=H","UseDPDF=Y")</f>
        <v>1980</v>
      </c>
      <c r="R145" s="13">
        <f>_xll.BDH("AMGN US Equity","ARDR_FV_ASSETS_REC_L1_TRAD_TREAS","FQ3 2022","FQ3 2022","Currency=USD","Period=FQ","BEST_FPERIOD_OVERRIDE=FQ","FILING_STATUS=MR","SCALING_FORMAT=MLN","Sort=A","Dates=H","DateFormat=P","Fill=—","Direction=H","UseDPDF=Y")</f>
        <v>1976</v>
      </c>
      <c r="S145" s="13">
        <f>_xll.BDH("AMGN US Equity","ARDR_FV_ASSETS_REC_L1_TRAD_TREAS","FQ4 2022","FQ4 2022","Currency=USD","Period=FQ","BEST_FPERIOD_OVERRIDE=FQ","FILING_STATUS=MR","SCALING_FORMAT=MLN","Sort=A","Dates=H","DateFormat=P","Fill=—","Direction=H","UseDPDF=Y")</f>
        <v>1676</v>
      </c>
      <c r="T145" s="13">
        <f>_xll.BDH("AMGN US Equity","ARDR_FV_ASSETS_REC_L1_TRAD_TREAS","FQ1 2023","FQ1 2023","Currency=USD","Period=FQ","BEST_FPERIOD_OVERRIDE=FQ","FILING_STATUS=MR","SCALING_FORMAT=MLN","Sort=A","Dates=H","DateFormat=P","Fill=—","Direction=H","UseDPDF=Y")</f>
        <v>0</v>
      </c>
      <c r="U145" s="13">
        <f>_xll.BDH("AMGN US Equity","ARDR_FV_ASSETS_REC_L1_TRAD_TREAS","FQ2 2023","FQ2 2023","Currency=USD","Period=FQ","BEST_FPERIOD_OVERRIDE=FQ","FILING_STATUS=MR","SCALING_FORMAT=MLN","Sort=A","Dates=H","DateFormat=P","Fill=—","Direction=H","UseDPDF=Y")</f>
        <v>0</v>
      </c>
      <c r="V145" s="13">
        <f>_xll.BDH("AMGN US Equity","ARDR_FV_ASSETS_REC_L1_TRAD_TREAS","FQ3 2023","FQ3 2023","Currency=USD","Period=FQ","BEST_FPERIOD_OVERRIDE=FQ","FILING_STATUS=MR","SCALING_FORMAT=MLN","Sort=A","Dates=H","DateFormat=P","Fill=—","Direction=H","UseDPDF=Y")</f>
        <v>0</v>
      </c>
      <c r="W145" s="13">
        <f>_xll.BDH("AMGN US Equity","ARDR_FV_ASSETS_REC_L1_TRAD_TREAS","FQ4 2023","FQ4 2023","Currency=USD","Period=FQ","BEST_FPERIOD_OVERRIDE=FQ","FILING_STATUS=MR","SCALING_FORMAT=MLN","Sort=A","Dates=H","DateFormat=P","Fill=—","Direction=H","UseDPDF=Y")</f>
        <v>0</v>
      </c>
      <c r="X145" s="13">
        <f>_xll.BDH("AMGN US Equity","ARDR_FV_ASSETS_REC_L1_TRAD_TREAS","FQ1 2024","FQ1 2024","Currency=USD","Period=FQ","BEST_FPERIOD_OVERRIDE=FQ","FILING_STATUS=MR","SCALING_FORMAT=MLN","Sort=A","Dates=H","DateFormat=P","Fill=—","Direction=H","UseDPDF=Y")</f>
        <v>0</v>
      </c>
      <c r="Y145" s="13" t="str">
        <f>_xll.BDH("AMGN US Equity","ARDR_FV_ASSETS_REC_L1_TRAD_TREAS","FQ2 2024","FQ2 2024","Currency=USD","Period=FQ","BEST_FPERIOD_OVERRIDE=FQ","FILING_STATUS=MR","SCALING_FORMAT=MLN","Sort=A","Dates=H","DateFormat=P","Fill=—","Direction=H","UseDPDF=Y")</f>
        <v>—</v>
      </c>
      <c r="Z145" s="13" t="str">
        <f>_xll.BDH("AMGN US Equity","ARDR_FV_ASSETS_REC_L1_TRAD_TREAS","FQ3 2024","FQ3 2024","Currency=USD","Period=FQ","BEST_FPERIOD_OVERRIDE=FQ","FILING_STATUS=MR","SCALING_FORMAT=MLN","Sort=A","Dates=H","DateFormat=P","Fill=—","Direction=H","UseDPDF=Y")</f>
        <v>—</v>
      </c>
      <c r="AA145" s="13">
        <f>_xll.BDH("AMGN US Equity","ARDR_FV_ASSETS_REC_L1_TRAD_TREAS","FQ4 2024","FQ4 2024","Currency=USD","Period=FQ","BEST_FPERIOD_OVERRIDE=FQ","FILING_STATUS=MR","SCALING_FORMAT=MLN","Sort=A","Dates=H","DateFormat=P","Fill=—","Direction=H","UseDPDF=Y")</f>
        <v>0</v>
      </c>
    </row>
    <row r="146" spans="1:27" x14ac:dyDescent="0.25">
      <c r="A146" s="10" t="s">
        <v>1106</v>
      </c>
      <c r="B146" s="10" t="s">
        <v>1107</v>
      </c>
      <c r="C146" s="13">
        <f>_xll.BDH("AMGN US Equity","ARDR_FV_ASSETS_REC_L1_AFS_TREAS","FQ4 2018","FQ4 2018","Currency=USD","Period=FQ","BEST_FPERIOD_OVERRIDE=FQ","FILING_STATUS=MR","SCALING_FORMAT=MLN","Sort=A","Dates=H","DateFormat=P","Fill=—","Direction=H","UseDPDF=Y")</f>
        <v>5659</v>
      </c>
      <c r="D146" s="13">
        <f>_xll.BDH("AMGN US Equity","ARDR_FV_ASSETS_REC_L1_AFS_TREAS","FQ1 2019","FQ1 2019","Currency=USD","Period=FQ","BEST_FPERIOD_OVERRIDE=FQ","FILING_STATUS=MR","SCALING_FORMAT=MLN","Sort=A","Dates=H","DateFormat=P","Fill=—","Direction=H","UseDPDF=Y")</f>
        <v>4375</v>
      </c>
      <c r="E146" s="13">
        <f>_xll.BDH("AMGN US Equity","ARDR_FV_ASSETS_REC_L1_AFS_TREAS","FQ2 2019","FQ2 2019","Currency=USD","Period=FQ","BEST_FPERIOD_OVERRIDE=FQ","FILING_STATUS=MR","SCALING_FORMAT=MLN","Sort=A","Dates=H","DateFormat=P","Fill=—","Direction=H","UseDPDF=Y")</f>
        <v>3886</v>
      </c>
      <c r="F146" s="13">
        <f>_xll.BDH("AMGN US Equity","ARDR_FV_ASSETS_REC_L1_AFS_TREAS","FQ3 2019","FQ3 2019","Currency=USD","Period=FQ","BEST_FPERIOD_OVERRIDE=FQ","FILING_STATUS=MR","SCALING_FORMAT=MLN","Sort=A","Dates=H","DateFormat=P","Fill=—","Direction=H","UseDPDF=Y")</f>
        <v>8017</v>
      </c>
      <c r="G146" s="13">
        <f>_xll.BDH("AMGN US Equity","ARDR_FV_ASSETS_REC_L1_AFS_TREAS","FQ4 2019","FQ4 2019","Currency=USD","Period=FQ","BEST_FPERIOD_OVERRIDE=FQ","FILING_STATUS=MR","SCALING_FORMAT=MLN","Sort=A","Dates=H","DateFormat=P","Fill=—","Direction=H","UseDPDF=Y")</f>
        <v>5250</v>
      </c>
      <c r="H146" s="13">
        <f>_xll.BDH("AMGN US Equity","ARDR_FV_ASSETS_REC_L1_AFS_TREAS","FQ1 2020","FQ1 2020","Currency=USD","Period=FQ","BEST_FPERIOD_OVERRIDE=FQ","FILING_STATUS=MR","SCALING_FORMAT=MLN","Sort=A","Dates=H","DateFormat=P","Fill=—","Direction=H","UseDPDF=Y")</f>
        <v>5762</v>
      </c>
      <c r="I146" s="13">
        <f>_xll.BDH("AMGN US Equity","ARDR_FV_ASSETS_REC_L1_AFS_TREAS","FQ2 2020","FQ2 2020","Currency=USD","Period=FQ","BEST_FPERIOD_OVERRIDE=FQ","FILING_STATUS=MR","SCALING_FORMAT=MLN","Sort=A","Dates=H","DateFormat=P","Fill=—","Direction=H","UseDPDF=Y")</f>
        <v>7158</v>
      </c>
      <c r="J146" s="13">
        <f>_xll.BDH("AMGN US Equity","ARDR_FV_ASSETS_REC_L1_AFS_TREAS","FQ3 2020","FQ3 2020","Currency=USD","Period=FQ","BEST_FPERIOD_OVERRIDE=FQ","FILING_STATUS=MR","SCALING_FORMAT=MLN","Sort=A","Dates=H","DateFormat=P","Fill=—","Direction=H","UseDPDF=Y")</f>
        <v>0</v>
      </c>
      <c r="K146" s="13">
        <f>_xll.BDH("AMGN US Equity","ARDR_FV_ASSETS_REC_L1_AFS_TREAS","FQ4 2020","FQ4 2020","Currency=USD","Period=FQ","BEST_FPERIOD_OVERRIDE=FQ","FILING_STATUS=MR","SCALING_FORMAT=MLN","Sort=A","Dates=H","DateFormat=P","Fill=—","Direction=H","UseDPDF=Y")</f>
        <v>4765</v>
      </c>
      <c r="L146" s="13">
        <f>_xll.BDH("AMGN US Equity","ARDR_FV_ASSETS_REC_L1_AFS_TREAS","FQ1 2021","FQ1 2021","Currency=USD","Period=FQ","BEST_FPERIOD_OVERRIDE=FQ","FILING_STATUS=MR","SCALING_FORMAT=MLN","Sort=A","Dates=H","DateFormat=P","Fill=—","Direction=H","UseDPDF=Y")</f>
        <v>4668</v>
      </c>
      <c r="M146" s="13">
        <f>_xll.BDH("AMGN US Equity","ARDR_FV_ASSETS_REC_L1_AFS_TREAS","FQ2 2021","FQ2 2021","Currency=USD","Period=FQ","BEST_FPERIOD_OVERRIDE=FQ","FILING_STATUS=MR","SCALING_FORMAT=MLN","Sort=A","Dates=H","DateFormat=P","Fill=—","Direction=H","UseDPDF=Y")</f>
        <v>5707</v>
      </c>
      <c r="N146" s="13">
        <f>_xll.BDH("AMGN US Equity","ARDR_FV_ASSETS_REC_L1_AFS_TREAS","FQ3 2021","FQ3 2021","Currency=USD","Period=FQ","BEST_FPERIOD_OVERRIDE=FQ","FILING_STATUS=MR","SCALING_FORMAT=MLN","Sort=A","Dates=H","DateFormat=P","Fill=—","Direction=H","UseDPDF=Y")</f>
        <v>3951</v>
      </c>
      <c r="O146" s="13">
        <f>_xll.BDH("AMGN US Equity","ARDR_FV_ASSETS_REC_L1_AFS_TREAS","FQ4 2021","FQ4 2021","Currency=USD","Period=FQ","BEST_FPERIOD_OVERRIDE=FQ","FILING_STATUS=MR","SCALING_FORMAT=MLN","Sort=A","Dates=H","DateFormat=P","Fill=—","Direction=H","UseDPDF=Y")</f>
        <v>5856</v>
      </c>
      <c r="P146" s="13">
        <f>_xll.BDH("AMGN US Equity","ARDR_FV_ASSETS_REC_L1_AFS_TREAS","FQ1 2022","FQ1 2022","Currency=USD","Period=FQ","BEST_FPERIOD_OVERRIDE=FQ","FILING_STATUS=MR","SCALING_FORMAT=MLN","Sort=A","Dates=H","DateFormat=P","Fill=—","Direction=H","UseDPDF=Y")</f>
        <v>5837</v>
      </c>
      <c r="Q146" s="13">
        <f>_xll.BDH("AMGN US Equity","ARDR_FV_ASSETS_REC_L1_AFS_TREAS","FQ2 2022","FQ2 2022","Currency=USD","Period=FQ","BEST_FPERIOD_OVERRIDE=FQ","FILING_STATUS=MR","SCALING_FORMAT=MLN","Sort=A","Dates=H","DateFormat=P","Fill=—","Direction=H","UseDPDF=Y")</f>
        <v>4433</v>
      </c>
      <c r="R146" s="13">
        <f>_xll.BDH("AMGN US Equity","ARDR_FV_ASSETS_REC_L1_AFS_TREAS","FQ3 2022","FQ3 2022","Currency=USD","Period=FQ","BEST_FPERIOD_OVERRIDE=FQ","FILING_STATUS=MR","SCALING_FORMAT=MLN","Sort=A","Dates=H","DateFormat=P","Fill=—","Direction=H","UseDPDF=Y")</f>
        <v>8945</v>
      </c>
      <c r="S146" s="13">
        <f>_xll.BDH("AMGN US Equity","ARDR_FV_ASSETS_REC_L1_AFS_TREAS","FQ4 2022","FQ4 2022","Currency=USD","Period=FQ","BEST_FPERIOD_OVERRIDE=FQ","FILING_STATUS=MR","SCALING_FORMAT=MLN","Sort=A","Dates=H","DateFormat=P","Fill=—","Direction=H","UseDPDF=Y")</f>
        <v>2659</v>
      </c>
      <c r="T146" s="13">
        <f>_xll.BDH("AMGN US Equity","ARDR_FV_ASSETS_REC_L1_AFS_TREAS","FQ1 2023","FQ1 2023","Currency=USD","Period=FQ","BEST_FPERIOD_OVERRIDE=FQ","FILING_STATUS=MR","SCALING_FORMAT=MLN","Sort=A","Dates=H","DateFormat=P","Fill=—","Direction=H","UseDPDF=Y")</f>
        <v>31064</v>
      </c>
      <c r="U146" s="13">
        <f>_xll.BDH("AMGN US Equity","ARDR_FV_ASSETS_REC_L1_AFS_TREAS","FQ2 2023","FQ2 2023","Currency=USD","Period=FQ","BEST_FPERIOD_OVERRIDE=FQ","FILING_STATUS=MR","SCALING_FORMAT=MLN","Sort=A","Dates=H","DateFormat=P","Fill=—","Direction=H","UseDPDF=Y")</f>
        <v>33618</v>
      </c>
      <c r="V146" s="13">
        <f>_xll.BDH("AMGN US Equity","ARDR_FV_ASSETS_REC_L1_AFS_TREAS","FQ3 2023","FQ3 2023","Currency=USD","Period=FQ","BEST_FPERIOD_OVERRIDE=FQ","FILING_STATUS=MR","SCALING_FORMAT=MLN","Sort=A","Dates=H","DateFormat=P","Fill=—","Direction=H","UseDPDF=Y")</f>
        <v>34208</v>
      </c>
      <c r="W146" s="13">
        <f>_xll.BDH("AMGN US Equity","ARDR_FV_ASSETS_REC_L1_AFS_TREAS","FQ4 2023","FQ4 2023","Currency=USD","Period=FQ","BEST_FPERIOD_OVERRIDE=FQ","FILING_STATUS=MR","SCALING_FORMAT=MLN","Sort=A","Dates=H","DateFormat=P","Fill=—","Direction=H","UseDPDF=Y")</f>
        <v>20532</v>
      </c>
      <c r="X146" s="13">
        <f>_xll.BDH("AMGN US Equity","ARDR_FV_ASSETS_REC_L1_AFS_TREAS","FQ1 2024","FQ1 2024","Currency=USD","Period=FQ","BEST_FPERIOD_OVERRIDE=FQ","FILING_STATUS=MR","SCALING_FORMAT=MLN","Sort=A","Dates=H","DateFormat=P","Fill=—","Direction=H","UseDPDF=Y")</f>
        <v>9099</v>
      </c>
      <c r="Y146" s="13">
        <f>_xll.BDH("AMGN US Equity","ARDR_FV_ASSETS_REC_L1_AFS_TREAS","FQ2 2024","FQ2 2024","Currency=USD","Period=FQ","BEST_FPERIOD_OVERRIDE=FQ","FILING_STATUS=MR","SCALING_FORMAT=MLN","Sort=A","Dates=H","DateFormat=P","Fill=—","Direction=H","UseDPDF=Y")</f>
        <v>7678</v>
      </c>
      <c r="Z146" s="13">
        <f>_xll.BDH("AMGN US Equity","ARDR_FV_ASSETS_REC_L1_AFS_TREAS","FQ3 2024","FQ3 2024","Currency=USD","Period=FQ","BEST_FPERIOD_OVERRIDE=FQ","FILING_STATUS=MR","SCALING_FORMAT=MLN","Sort=A","Dates=H","DateFormat=P","Fill=—","Direction=H","UseDPDF=Y")</f>
        <v>7437</v>
      </c>
      <c r="AA146" s="13">
        <f>_xll.BDH("AMGN US Equity","ARDR_FV_ASSETS_REC_L1_AFS_TREAS","FQ4 2024","FQ4 2024","Currency=USD","Period=FQ","BEST_FPERIOD_OVERRIDE=FQ","FILING_STATUS=MR","SCALING_FORMAT=MLN","Sort=A","Dates=H","DateFormat=P","Fill=—","Direction=H","UseDPDF=Y")</f>
        <v>10354</v>
      </c>
    </row>
    <row r="147" spans="1:27" x14ac:dyDescent="0.25">
      <c r="A147" s="10" t="s">
        <v>1108</v>
      </c>
      <c r="B147" s="10" t="s">
        <v>1109</v>
      </c>
      <c r="C147" s="13">
        <f>_xll.BDH("AMGN US Equity","ARDR_FV_ASTS_REC_L1_AFS_CORP_BDS","FQ4 2018","FQ4 2018","Currency=USD","Period=FQ","BEST_FPERIOD_OVERRIDE=FQ","FILING_STATUS=MR","SCALING_FORMAT=MLN","Sort=A","Dates=H","DateFormat=P","Fill=—","Direction=H","UseDPDF=Y")</f>
        <v>0</v>
      </c>
      <c r="D147" s="13">
        <f>_xll.BDH("AMGN US Equity","ARDR_FV_ASTS_REC_L1_AFS_CORP_BDS","FQ1 2019","FQ1 2019","Currency=USD","Period=FQ","BEST_FPERIOD_OVERRIDE=FQ","FILING_STATUS=MR","SCALING_FORMAT=MLN","Sort=A","Dates=H","DateFormat=P","Fill=—","Direction=H","UseDPDF=Y")</f>
        <v>0</v>
      </c>
      <c r="E147" s="13">
        <f>_xll.BDH("AMGN US Equity","ARDR_FV_ASTS_REC_L1_AFS_CORP_BDS","FQ2 2019","FQ2 2019","Currency=USD","Period=FQ","BEST_FPERIOD_OVERRIDE=FQ","FILING_STATUS=MR","SCALING_FORMAT=MLN","Sort=A","Dates=H","DateFormat=P","Fill=—","Direction=H","UseDPDF=Y")</f>
        <v>0</v>
      </c>
      <c r="F147" s="13">
        <f>_xll.BDH("AMGN US Equity","ARDR_FV_ASTS_REC_L1_AFS_CORP_BDS","FQ3 2019","FQ3 2019","Currency=USD","Period=FQ","BEST_FPERIOD_OVERRIDE=FQ","FILING_STATUS=MR","SCALING_FORMAT=MLN","Sort=A","Dates=H","DateFormat=P","Fill=—","Direction=H","UseDPDF=Y")</f>
        <v>0</v>
      </c>
      <c r="G147" s="13">
        <f>_xll.BDH("AMGN US Equity","ARDR_FV_ASTS_REC_L1_AFS_CORP_BDS","FQ4 2019","FQ4 2019","Currency=USD","Period=FQ","BEST_FPERIOD_OVERRIDE=FQ","FILING_STATUS=MR","SCALING_FORMAT=MLN","Sort=A","Dates=H","DateFormat=P","Fill=—","Direction=H","UseDPDF=Y")</f>
        <v>0</v>
      </c>
      <c r="H147" s="13">
        <f>_xll.BDH("AMGN US Equity","ARDR_FV_ASTS_REC_L1_AFS_CORP_BDS","FQ1 2020","FQ1 2020","Currency=USD","Period=FQ","BEST_FPERIOD_OVERRIDE=FQ","FILING_STATUS=MR","SCALING_FORMAT=MLN","Sort=A","Dates=H","DateFormat=P","Fill=—","Direction=H","UseDPDF=Y")</f>
        <v>0</v>
      </c>
      <c r="I147" s="13">
        <f>_xll.BDH("AMGN US Equity","ARDR_FV_ASTS_REC_L1_AFS_CORP_BDS","FQ2 2020","FQ2 2020","Currency=USD","Period=FQ","BEST_FPERIOD_OVERRIDE=FQ","FILING_STATUS=MR","SCALING_FORMAT=MLN","Sort=A","Dates=H","DateFormat=P","Fill=—","Direction=H","UseDPDF=Y")</f>
        <v>0</v>
      </c>
      <c r="J147" s="13">
        <f>_xll.BDH("AMGN US Equity","ARDR_FV_ASTS_REC_L1_AFS_CORP_BDS","FQ3 2020","FQ3 2020","Currency=USD","Period=FQ","BEST_FPERIOD_OVERRIDE=FQ","FILING_STATUS=MR","SCALING_FORMAT=MLN","Sort=A","Dates=H","DateFormat=P","Fill=—","Direction=H","UseDPDF=Y")</f>
        <v>5016</v>
      </c>
      <c r="K147" s="13" t="str">
        <f>_xll.BDH("AMGN US Equity","ARDR_FV_ASTS_REC_L1_AFS_CORP_BDS","FQ4 2020","FQ4 2020","Currency=USD","Period=FQ","BEST_FPERIOD_OVERRIDE=FQ","FILING_STATUS=MR","SCALING_FORMAT=MLN","Sort=A","Dates=H","DateFormat=P","Fill=—","Direction=H","UseDPDF=Y")</f>
        <v>—</v>
      </c>
      <c r="L147" s="13" t="str">
        <f>_xll.BDH("AMGN US Equity","ARDR_FV_ASTS_REC_L1_AFS_CORP_BDS","FQ1 2021","FQ1 2021","Currency=USD","Period=FQ","BEST_FPERIOD_OVERRIDE=FQ","FILING_STATUS=MR","SCALING_FORMAT=MLN","Sort=A","Dates=H","DateFormat=P","Fill=—","Direction=H","UseDPDF=Y")</f>
        <v>—</v>
      </c>
      <c r="M147" s="13" t="str">
        <f>_xll.BDH("AMGN US Equity","ARDR_FV_ASTS_REC_L1_AFS_CORP_BDS","FQ2 2021","FQ2 2021","Currency=USD","Period=FQ","BEST_FPERIOD_OVERRIDE=FQ","FILING_STATUS=MR","SCALING_FORMAT=MLN","Sort=A","Dates=H","DateFormat=P","Fill=—","Direction=H","UseDPDF=Y")</f>
        <v>—</v>
      </c>
      <c r="N147" s="13" t="str">
        <f>_xll.BDH("AMGN US Equity","ARDR_FV_ASTS_REC_L1_AFS_CORP_BDS","FQ3 2021","FQ3 2021","Currency=USD","Period=FQ","BEST_FPERIOD_OVERRIDE=FQ","FILING_STATUS=MR","SCALING_FORMAT=MLN","Sort=A","Dates=H","DateFormat=P","Fill=—","Direction=H","UseDPDF=Y")</f>
        <v>—</v>
      </c>
      <c r="O147" s="13" t="str">
        <f>_xll.BDH("AMGN US Equity","ARDR_FV_ASTS_REC_L1_AFS_CORP_BDS","FQ4 2021","FQ4 2021","Currency=USD","Period=FQ","BEST_FPERIOD_OVERRIDE=FQ","FILING_STATUS=MR","SCALING_FORMAT=MLN","Sort=A","Dates=H","DateFormat=P","Fill=—","Direction=H","UseDPDF=Y")</f>
        <v>—</v>
      </c>
      <c r="P147" s="13" t="str">
        <f>_xll.BDH("AMGN US Equity","ARDR_FV_ASTS_REC_L1_AFS_CORP_BDS","FQ1 2022","FQ1 2022","Currency=USD","Period=FQ","BEST_FPERIOD_OVERRIDE=FQ","FILING_STATUS=MR","SCALING_FORMAT=MLN","Sort=A","Dates=H","DateFormat=P","Fill=—","Direction=H","UseDPDF=Y")</f>
        <v>—</v>
      </c>
      <c r="Q147" s="13" t="str">
        <f>_xll.BDH("AMGN US Equity","ARDR_FV_ASTS_REC_L1_AFS_CORP_BDS","FQ2 2022","FQ2 2022","Currency=USD","Period=FQ","BEST_FPERIOD_OVERRIDE=FQ","FILING_STATUS=MR","SCALING_FORMAT=MLN","Sort=A","Dates=H","DateFormat=P","Fill=—","Direction=H","UseDPDF=Y")</f>
        <v>—</v>
      </c>
      <c r="R147" s="13" t="str">
        <f>_xll.BDH("AMGN US Equity","ARDR_FV_ASTS_REC_L1_AFS_CORP_BDS","FQ3 2022","FQ3 2022","Currency=USD","Period=FQ","BEST_FPERIOD_OVERRIDE=FQ","FILING_STATUS=MR","SCALING_FORMAT=MLN","Sort=A","Dates=H","DateFormat=P","Fill=—","Direction=H","UseDPDF=Y")</f>
        <v>—</v>
      </c>
      <c r="S147" s="13" t="str">
        <f>_xll.BDH("AMGN US Equity","ARDR_FV_ASTS_REC_L1_AFS_CORP_BDS","FQ4 2022","FQ4 2022","Currency=USD","Period=FQ","BEST_FPERIOD_OVERRIDE=FQ","FILING_STATUS=MR","SCALING_FORMAT=MLN","Sort=A","Dates=H","DateFormat=P","Fill=—","Direction=H","UseDPDF=Y")</f>
        <v>—</v>
      </c>
      <c r="T147" s="13" t="str">
        <f>_xll.BDH("AMGN US Equity","ARDR_FV_ASTS_REC_L1_AFS_CORP_BDS","FQ1 2023","FQ1 2023","Currency=USD","Period=FQ","BEST_FPERIOD_OVERRIDE=FQ","FILING_STATUS=MR","SCALING_FORMAT=MLN","Sort=A","Dates=H","DateFormat=P","Fill=—","Direction=H","UseDPDF=Y")</f>
        <v>—</v>
      </c>
      <c r="U147" s="13">
        <f>_xll.BDH("AMGN US Equity","ARDR_FV_ASTS_REC_L1_AFS_CORP_BDS","FQ2 2023","FQ2 2023","Currency=USD","Period=FQ","BEST_FPERIOD_OVERRIDE=FQ","FILING_STATUS=MR","SCALING_FORMAT=MLN","Sort=A","Dates=H","DateFormat=P","Fill=—","Direction=H","UseDPDF=Y")</f>
        <v>0</v>
      </c>
      <c r="V147" s="13" t="str">
        <f>_xll.BDH("AMGN US Equity","ARDR_FV_ASTS_REC_L1_AFS_CORP_BDS","FQ3 2023","FQ3 2023","Currency=USD","Period=FQ","BEST_FPERIOD_OVERRIDE=FQ","FILING_STATUS=MR","SCALING_FORMAT=MLN","Sort=A","Dates=H","DateFormat=P","Fill=—","Direction=H","UseDPDF=Y")</f>
        <v>—</v>
      </c>
      <c r="W147" s="13">
        <f>_xll.BDH("AMGN US Equity","ARDR_FV_ASTS_REC_L1_AFS_CORP_BDS","FQ4 2023","FQ4 2023","Currency=USD","Period=FQ","BEST_FPERIOD_OVERRIDE=FQ","FILING_STATUS=MR","SCALING_FORMAT=MLN","Sort=A","Dates=H","DateFormat=P","Fill=—","Direction=H","UseDPDF=Y")</f>
        <v>0</v>
      </c>
      <c r="X147" s="13">
        <f>_xll.BDH("AMGN US Equity","ARDR_FV_ASTS_REC_L1_AFS_CORP_BDS","FQ1 2024","FQ1 2024","Currency=USD","Period=FQ","BEST_FPERIOD_OVERRIDE=FQ","FILING_STATUS=MR","SCALING_FORMAT=MLN","Sort=A","Dates=H","DateFormat=P","Fill=—","Direction=H","UseDPDF=Y")</f>
        <v>0</v>
      </c>
      <c r="Y147" s="13" t="str">
        <f>_xll.BDH("AMGN US Equity","ARDR_FV_ASTS_REC_L1_AFS_CORP_BDS","FQ2 2024","FQ2 2024","Currency=USD","Period=FQ","BEST_FPERIOD_OVERRIDE=FQ","FILING_STATUS=MR","SCALING_FORMAT=MLN","Sort=A","Dates=H","DateFormat=P","Fill=—","Direction=H","UseDPDF=Y")</f>
        <v>—</v>
      </c>
      <c r="Z147" s="13" t="str">
        <f>_xll.BDH("AMGN US Equity","ARDR_FV_ASTS_REC_L1_AFS_CORP_BDS","FQ3 2024","FQ3 2024","Currency=USD","Period=FQ","BEST_FPERIOD_OVERRIDE=FQ","FILING_STATUS=MR","SCALING_FORMAT=MLN","Sort=A","Dates=H","DateFormat=P","Fill=—","Direction=H","UseDPDF=Y")</f>
        <v>—</v>
      </c>
      <c r="AA147" s="13" t="str">
        <f>_xll.BDH("AMGN US Equity","ARDR_FV_ASTS_REC_L1_AFS_CORP_BDS","FQ4 2024","FQ4 2024","Currency=USD","Period=FQ","BEST_FPERIOD_OVERRIDE=FQ","FILING_STATUS=MR","SCALING_FORMAT=MLN","Sort=A","Dates=H","DateFormat=P","Fill=—","Direction=H","UseDPDF=Y")</f>
        <v>—</v>
      </c>
    </row>
    <row r="148" spans="1:27" x14ac:dyDescent="0.25">
      <c r="A148" s="10" t="s">
        <v>1110</v>
      </c>
      <c r="B148" s="10" t="s">
        <v>1111</v>
      </c>
      <c r="C148" s="13">
        <f>_xll.BDH("AMGN US Equity","ARDR_FV_ASTS_REC_L1_AFS_GSE_CMO","FQ4 2018","FQ4 2018","Currency=USD","Period=FQ","BEST_FPERIOD_OVERRIDE=FQ","FILING_STATUS=MR","SCALING_FORMAT=MLN","Sort=A","Dates=H","DateFormat=P","Fill=—","Direction=H","UseDPDF=Y")</f>
        <v>0</v>
      </c>
      <c r="D148" s="13">
        <f>_xll.BDH("AMGN US Equity","ARDR_FV_ASTS_REC_L1_AFS_GSE_CMO","FQ1 2019","FQ1 2019","Currency=USD","Period=FQ","BEST_FPERIOD_OVERRIDE=FQ","FILING_STATUS=MR","SCALING_FORMAT=MLN","Sort=A","Dates=H","DateFormat=P","Fill=—","Direction=H","UseDPDF=Y")</f>
        <v>0</v>
      </c>
      <c r="E148" s="13">
        <f>_xll.BDH("AMGN US Equity","ARDR_FV_ASTS_REC_L1_AFS_GSE_CMO","FQ2 2019","FQ2 2019","Currency=USD","Period=FQ","BEST_FPERIOD_OVERRIDE=FQ","FILING_STATUS=MR","SCALING_FORMAT=MLN","Sort=A","Dates=H","DateFormat=P","Fill=—","Direction=H","UseDPDF=Y")</f>
        <v>0</v>
      </c>
      <c r="F148" s="13">
        <f>_xll.BDH("AMGN US Equity","ARDR_FV_ASTS_REC_L1_AFS_GSE_CMO","FQ3 2019","FQ3 2019","Currency=USD","Period=FQ","BEST_FPERIOD_OVERRIDE=FQ","FILING_STATUS=MR","SCALING_FORMAT=MLN","Sort=A","Dates=H","DateFormat=P","Fill=—","Direction=H","UseDPDF=Y")</f>
        <v>0</v>
      </c>
      <c r="G148" s="13">
        <f>_xll.BDH("AMGN US Equity","ARDR_FV_ASTS_REC_L1_AFS_GSE_CMO","FQ4 2019","FQ4 2019","Currency=USD","Period=FQ","BEST_FPERIOD_OVERRIDE=FQ","FILING_STATUS=MR","SCALING_FORMAT=MLN","Sort=A","Dates=H","DateFormat=P","Fill=—","Direction=H","UseDPDF=Y")</f>
        <v>0</v>
      </c>
      <c r="H148" s="13">
        <f>_xll.BDH("AMGN US Equity","ARDR_FV_ASTS_REC_L1_AFS_GSE_CMO","FQ1 2020","FQ1 2020","Currency=USD","Period=FQ","BEST_FPERIOD_OVERRIDE=FQ","FILING_STATUS=MR","SCALING_FORMAT=MLN","Sort=A","Dates=H","DateFormat=P","Fill=—","Direction=H","UseDPDF=Y")</f>
        <v>0</v>
      </c>
      <c r="I148" s="13">
        <f>_xll.BDH("AMGN US Equity","ARDR_FV_ASTS_REC_L1_AFS_GSE_CMO","FQ2 2020","FQ2 2020","Currency=USD","Period=FQ","BEST_FPERIOD_OVERRIDE=FQ","FILING_STATUS=MR","SCALING_FORMAT=MLN","Sort=A","Dates=H","DateFormat=P","Fill=—","Direction=H","UseDPDF=Y")</f>
        <v>0</v>
      </c>
      <c r="J148" s="13">
        <f>_xll.BDH("AMGN US Equity","ARDR_FV_ASTS_REC_L1_AFS_GSE_CMO","FQ3 2020","FQ3 2020","Currency=USD","Period=FQ","BEST_FPERIOD_OVERRIDE=FQ","FILING_STATUS=MR","SCALING_FORMAT=MLN","Sort=A","Dates=H","DateFormat=P","Fill=—","Direction=H","UseDPDF=Y")</f>
        <v>0</v>
      </c>
      <c r="K148" s="13" t="str">
        <f>_xll.BDH("AMGN US Equity","ARDR_FV_ASTS_REC_L1_AFS_GSE_CMO","FQ4 2020","FQ4 2020","Currency=USD","Period=FQ","BEST_FPERIOD_OVERRIDE=FQ","FILING_STATUS=MR","SCALING_FORMAT=MLN","Sort=A","Dates=H","DateFormat=P","Fill=—","Direction=H","UseDPDF=Y")</f>
        <v>—</v>
      </c>
      <c r="L148" s="13" t="str">
        <f>_xll.BDH("AMGN US Equity","ARDR_FV_ASTS_REC_L1_AFS_GSE_CMO","FQ1 2021","FQ1 2021","Currency=USD","Period=FQ","BEST_FPERIOD_OVERRIDE=FQ","FILING_STATUS=MR","SCALING_FORMAT=MLN","Sort=A","Dates=H","DateFormat=P","Fill=—","Direction=H","UseDPDF=Y")</f>
        <v>—</v>
      </c>
      <c r="M148" s="13" t="str">
        <f>_xll.BDH("AMGN US Equity","ARDR_FV_ASTS_REC_L1_AFS_GSE_CMO","FQ2 2021","FQ2 2021","Currency=USD","Period=FQ","BEST_FPERIOD_OVERRIDE=FQ","FILING_STATUS=MR","SCALING_FORMAT=MLN","Sort=A","Dates=H","DateFormat=P","Fill=—","Direction=H","UseDPDF=Y")</f>
        <v>—</v>
      </c>
      <c r="N148" s="13" t="str">
        <f>_xll.BDH("AMGN US Equity","ARDR_FV_ASTS_REC_L1_AFS_GSE_CMO","FQ3 2021","FQ3 2021","Currency=USD","Period=FQ","BEST_FPERIOD_OVERRIDE=FQ","FILING_STATUS=MR","SCALING_FORMAT=MLN","Sort=A","Dates=H","DateFormat=P","Fill=—","Direction=H","UseDPDF=Y")</f>
        <v>—</v>
      </c>
      <c r="O148" s="13" t="str">
        <f>_xll.BDH("AMGN US Equity","ARDR_FV_ASTS_REC_L1_AFS_GSE_CMO","FQ4 2021","FQ4 2021","Currency=USD","Period=FQ","BEST_FPERIOD_OVERRIDE=FQ","FILING_STATUS=MR","SCALING_FORMAT=MLN","Sort=A","Dates=H","DateFormat=P","Fill=—","Direction=H","UseDPDF=Y")</f>
        <v>—</v>
      </c>
      <c r="P148" s="13" t="str">
        <f>_xll.BDH("AMGN US Equity","ARDR_FV_ASTS_REC_L1_AFS_GSE_CMO","FQ1 2022","FQ1 2022","Currency=USD","Period=FQ","BEST_FPERIOD_OVERRIDE=FQ","FILING_STATUS=MR","SCALING_FORMAT=MLN","Sort=A","Dates=H","DateFormat=P","Fill=—","Direction=H","UseDPDF=Y")</f>
        <v>—</v>
      </c>
      <c r="Q148" s="13" t="str">
        <f>_xll.BDH("AMGN US Equity","ARDR_FV_ASTS_REC_L1_AFS_GSE_CMO","FQ2 2022","FQ2 2022","Currency=USD","Period=FQ","BEST_FPERIOD_OVERRIDE=FQ","FILING_STATUS=MR","SCALING_FORMAT=MLN","Sort=A","Dates=H","DateFormat=P","Fill=—","Direction=H","UseDPDF=Y")</f>
        <v>—</v>
      </c>
      <c r="R148" s="13" t="str">
        <f>_xll.BDH("AMGN US Equity","ARDR_FV_ASTS_REC_L1_AFS_GSE_CMO","FQ3 2022","FQ3 2022","Currency=USD","Period=FQ","BEST_FPERIOD_OVERRIDE=FQ","FILING_STATUS=MR","SCALING_FORMAT=MLN","Sort=A","Dates=H","DateFormat=P","Fill=—","Direction=H","UseDPDF=Y")</f>
        <v>—</v>
      </c>
      <c r="S148" s="13" t="str">
        <f>_xll.BDH("AMGN US Equity","ARDR_FV_ASTS_REC_L1_AFS_GSE_CMO","FQ4 2022","FQ4 2022","Currency=USD","Period=FQ","BEST_FPERIOD_OVERRIDE=FQ","FILING_STATUS=MR","SCALING_FORMAT=MLN","Sort=A","Dates=H","DateFormat=P","Fill=—","Direction=H","UseDPDF=Y")</f>
        <v>—</v>
      </c>
      <c r="T148" s="13" t="str">
        <f>_xll.BDH("AMGN US Equity","ARDR_FV_ASTS_REC_L1_AFS_GSE_CMO","FQ1 2023","FQ1 2023","Currency=USD","Period=FQ","BEST_FPERIOD_OVERRIDE=FQ","FILING_STATUS=MR","SCALING_FORMAT=MLN","Sort=A","Dates=H","DateFormat=P","Fill=—","Direction=H","UseDPDF=Y")</f>
        <v>—</v>
      </c>
      <c r="U148" s="13" t="str">
        <f>_xll.BDH("AMGN US Equity","ARDR_FV_ASTS_REC_L1_AFS_GSE_CMO","FQ2 2023","FQ2 2023","Currency=USD","Period=FQ","BEST_FPERIOD_OVERRIDE=FQ","FILING_STATUS=MR","SCALING_FORMAT=MLN","Sort=A","Dates=H","DateFormat=P","Fill=—","Direction=H","UseDPDF=Y")</f>
        <v>—</v>
      </c>
      <c r="V148" s="13" t="str">
        <f>_xll.BDH("AMGN US Equity","ARDR_FV_ASTS_REC_L1_AFS_GSE_CMO","FQ3 2023","FQ3 2023","Currency=USD","Period=FQ","BEST_FPERIOD_OVERRIDE=FQ","FILING_STATUS=MR","SCALING_FORMAT=MLN","Sort=A","Dates=H","DateFormat=P","Fill=—","Direction=H","UseDPDF=Y")</f>
        <v>—</v>
      </c>
      <c r="W148" s="13">
        <f>_xll.BDH("AMGN US Equity","ARDR_FV_ASTS_REC_L1_AFS_GSE_CMO","FQ4 2023","FQ4 2023","Currency=USD","Period=FQ","BEST_FPERIOD_OVERRIDE=FQ","FILING_STATUS=MR","SCALING_FORMAT=MLN","Sort=A","Dates=H","DateFormat=P","Fill=—","Direction=H","UseDPDF=Y")</f>
        <v>0</v>
      </c>
      <c r="X148" s="13" t="str">
        <f>_xll.BDH("AMGN US Equity","ARDR_FV_ASTS_REC_L1_AFS_GSE_CMO","FQ1 2024","FQ1 2024","Currency=USD","Period=FQ","BEST_FPERIOD_OVERRIDE=FQ","FILING_STATUS=MR","SCALING_FORMAT=MLN","Sort=A","Dates=H","DateFormat=P","Fill=—","Direction=H","UseDPDF=Y")</f>
        <v>—</v>
      </c>
      <c r="Y148" s="13" t="str">
        <f>_xll.BDH("AMGN US Equity","ARDR_FV_ASTS_REC_L1_AFS_GSE_CMO","FQ2 2024","FQ2 2024","Currency=USD","Period=FQ","BEST_FPERIOD_OVERRIDE=FQ","FILING_STATUS=MR","SCALING_FORMAT=MLN","Sort=A","Dates=H","DateFormat=P","Fill=—","Direction=H","UseDPDF=Y")</f>
        <v>—</v>
      </c>
      <c r="Z148" s="13" t="str">
        <f>_xll.BDH("AMGN US Equity","ARDR_FV_ASTS_REC_L1_AFS_GSE_CMO","FQ3 2024","FQ3 2024","Currency=USD","Period=FQ","BEST_FPERIOD_OVERRIDE=FQ","FILING_STATUS=MR","SCALING_FORMAT=MLN","Sort=A","Dates=H","DateFormat=P","Fill=—","Direction=H","UseDPDF=Y")</f>
        <v>—</v>
      </c>
      <c r="AA148" s="13">
        <f>_xll.BDH("AMGN US Equity","ARDR_FV_ASTS_REC_L1_AFS_GSE_CMO","FQ4 2024","FQ4 2024","Currency=USD","Period=FQ","BEST_FPERIOD_OVERRIDE=FQ","FILING_STATUS=MR","SCALING_FORMAT=MLN","Sort=A","Dates=H","DateFormat=P","Fill=—","Direction=H","UseDPDF=Y")</f>
        <v>0</v>
      </c>
    </row>
    <row r="149" spans="1:27" x14ac:dyDescent="0.25">
      <c r="A149" s="10" t="s">
        <v>1112</v>
      </c>
      <c r="B149" s="10" t="s">
        <v>1113</v>
      </c>
      <c r="C149" s="13">
        <f>_xll.BDH("AMGN US Equity","ARDR_FV_ASTS_REC_L1_AFS_NON_GSE","FQ4 2018","FQ4 2018","Currency=USD","Period=FQ","BEST_FPERIOD_OVERRIDE=FQ","FILING_STATUS=MR","SCALING_FORMAT=MLN","Sort=A","Dates=H","DateFormat=P","Fill=—","Direction=H","UseDPDF=Y")</f>
        <v>0</v>
      </c>
      <c r="D149" s="13">
        <f>_xll.BDH("AMGN US Equity","ARDR_FV_ASTS_REC_L1_AFS_NON_GSE","FQ1 2019","FQ1 2019","Currency=USD","Period=FQ","BEST_FPERIOD_OVERRIDE=FQ","FILING_STATUS=MR","SCALING_FORMAT=MLN","Sort=A","Dates=H","DateFormat=P","Fill=—","Direction=H","UseDPDF=Y")</f>
        <v>0</v>
      </c>
      <c r="E149" s="13">
        <f>_xll.BDH("AMGN US Equity","ARDR_FV_ASTS_REC_L1_AFS_NON_GSE","FQ2 2019","FQ2 2019","Currency=USD","Period=FQ","BEST_FPERIOD_OVERRIDE=FQ","FILING_STATUS=MR","SCALING_FORMAT=MLN","Sort=A","Dates=H","DateFormat=P","Fill=—","Direction=H","UseDPDF=Y")</f>
        <v>0</v>
      </c>
      <c r="F149" s="13">
        <f>_xll.BDH("AMGN US Equity","ARDR_FV_ASTS_REC_L1_AFS_NON_GSE","FQ3 2019","FQ3 2019","Currency=USD","Period=FQ","BEST_FPERIOD_OVERRIDE=FQ","FILING_STATUS=MR","SCALING_FORMAT=MLN","Sort=A","Dates=H","DateFormat=P","Fill=—","Direction=H","UseDPDF=Y")</f>
        <v>0</v>
      </c>
      <c r="G149" s="13">
        <f>_xll.BDH("AMGN US Equity","ARDR_FV_ASTS_REC_L1_AFS_NON_GSE","FQ4 2019","FQ4 2019","Currency=USD","Period=FQ","BEST_FPERIOD_OVERRIDE=FQ","FILING_STATUS=MR","SCALING_FORMAT=MLN","Sort=A","Dates=H","DateFormat=P","Fill=—","Direction=H","UseDPDF=Y")</f>
        <v>0</v>
      </c>
      <c r="H149" s="13">
        <f>_xll.BDH("AMGN US Equity","ARDR_FV_ASTS_REC_L1_AFS_NON_GSE","FQ1 2020","FQ1 2020","Currency=USD","Period=FQ","BEST_FPERIOD_OVERRIDE=FQ","FILING_STATUS=MR","SCALING_FORMAT=MLN","Sort=A","Dates=H","DateFormat=P","Fill=—","Direction=H","UseDPDF=Y")</f>
        <v>220</v>
      </c>
      <c r="I149" s="13" t="str">
        <f>_xll.BDH("AMGN US Equity","ARDR_FV_ASTS_REC_L1_AFS_NON_GSE","FQ2 2020","FQ2 2020","Currency=USD","Period=FQ","BEST_FPERIOD_OVERRIDE=FQ","FILING_STATUS=MR","SCALING_FORMAT=MLN","Sort=A","Dates=H","DateFormat=P","Fill=—","Direction=H","UseDPDF=Y")</f>
        <v>—</v>
      </c>
      <c r="J149" s="13">
        <f>_xll.BDH("AMGN US Equity","ARDR_FV_ASTS_REC_L1_AFS_NON_GSE","FQ3 2020","FQ3 2020","Currency=USD","Period=FQ","BEST_FPERIOD_OVERRIDE=FQ","FILING_STATUS=MR","SCALING_FORMAT=MLN","Sort=A","Dates=H","DateFormat=P","Fill=—","Direction=H","UseDPDF=Y")</f>
        <v>376</v>
      </c>
      <c r="K149" s="13">
        <f>_xll.BDH("AMGN US Equity","ARDR_FV_ASTS_REC_L1_AFS_NON_GSE","FQ4 2020","FQ4 2020","Currency=USD","Period=FQ","BEST_FPERIOD_OVERRIDE=FQ","FILING_STATUS=MR","SCALING_FORMAT=MLN","Sort=A","Dates=H","DateFormat=P","Fill=—","Direction=H","UseDPDF=Y")</f>
        <v>477</v>
      </c>
      <c r="L149" s="13">
        <f>_xll.BDH("AMGN US Equity","ARDR_FV_ASTS_REC_L1_AFS_NON_GSE","FQ1 2021","FQ1 2021","Currency=USD","Period=FQ","BEST_FPERIOD_OVERRIDE=FQ","FILING_STATUS=MR","SCALING_FORMAT=MLN","Sort=A","Dates=H","DateFormat=P","Fill=—","Direction=H","UseDPDF=Y")</f>
        <v>394</v>
      </c>
      <c r="M149" s="13">
        <f>_xll.BDH("AMGN US Equity","ARDR_FV_ASTS_REC_L1_AFS_NON_GSE","FQ2 2021","FQ2 2021","Currency=USD","Period=FQ","BEST_FPERIOD_OVERRIDE=FQ","FILING_STATUS=MR","SCALING_FORMAT=MLN","Sort=A","Dates=H","DateFormat=P","Fill=—","Direction=H","UseDPDF=Y")</f>
        <v>403</v>
      </c>
      <c r="N149" s="13" t="str">
        <f>_xll.BDH("AMGN US Equity","ARDR_FV_ASTS_REC_L1_AFS_NON_GSE","FQ3 2021","FQ3 2021","Currency=USD","Period=FQ","BEST_FPERIOD_OVERRIDE=FQ","FILING_STATUS=MR","SCALING_FORMAT=MLN","Sort=A","Dates=H","DateFormat=P","Fill=—","Direction=H","UseDPDF=Y")</f>
        <v>—</v>
      </c>
      <c r="O149" s="13">
        <f>_xll.BDH("AMGN US Equity","ARDR_FV_ASTS_REC_L1_AFS_NON_GSE","FQ4 2021","FQ4 2021","Currency=USD","Period=FQ","BEST_FPERIOD_OVERRIDE=FQ","FILING_STATUS=MR","SCALING_FORMAT=MLN","Sort=A","Dates=H","DateFormat=P","Fill=—","Direction=H","UseDPDF=Y")</f>
        <v>611</v>
      </c>
      <c r="P149" s="13">
        <f>_xll.BDH("AMGN US Equity","ARDR_FV_ASTS_REC_L1_AFS_NON_GSE","FQ1 2022","FQ1 2022","Currency=USD","Period=FQ","BEST_FPERIOD_OVERRIDE=FQ","FILING_STATUS=MR","SCALING_FORMAT=MLN","Sort=A","Dates=H","DateFormat=P","Fill=—","Direction=H","UseDPDF=Y")</f>
        <v>473</v>
      </c>
      <c r="Q149" s="13">
        <f>_xll.BDH("AMGN US Equity","ARDR_FV_ASTS_REC_L1_AFS_NON_GSE","FQ2 2022","FQ2 2022","Currency=USD","Period=FQ","BEST_FPERIOD_OVERRIDE=FQ","FILING_STATUS=MR","SCALING_FORMAT=MLN","Sort=A","Dates=H","DateFormat=P","Fill=—","Direction=H","UseDPDF=Y")</f>
        <v>361</v>
      </c>
      <c r="R149" s="13">
        <f>_xll.BDH("AMGN US Equity","ARDR_FV_ASTS_REC_L1_AFS_NON_GSE","FQ3 2022","FQ3 2022","Currency=USD","Period=FQ","BEST_FPERIOD_OVERRIDE=FQ","FILING_STATUS=MR","SCALING_FORMAT=MLN","Sort=A","Dates=H","DateFormat=P","Fill=—","Direction=H","UseDPDF=Y")</f>
        <v>385</v>
      </c>
      <c r="S149" s="13">
        <f>_xll.BDH("AMGN US Equity","ARDR_FV_ASTS_REC_L1_AFS_NON_GSE","FQ4 2022","FQ4 2022","Currency=USD","Period=FQ","BEST_FPERIOD_OVERRIDE=FQ","FILING_STATUS=MR","SCALING_FORMAT=MLN","Sort=A","Dates=H","DateFormat=P","Fill=—","Direction=H","UseDPDF=Y")</f>
        <v>480</v>
      </c>
      <c r="T149" s="13">
        <f>_xll.BDH("AMGN US Equity","ARDR_FV_ASTS_REC_L1_AFS_NON_GSE","FQ1 2023","FQ1 2023","Currency=USD","Period=FQ","BEST_FPERIOD_OVERRIDE=FQ","FILING_STATUS=MR","SCALING_FORMAT=MLN","Sort=A","Dates=H","DateFormat=P","Fill=—","Direction=H","UseDPDF=Y")</f>
        <v>4545</v>
      </c>
      <c r="U149" s="13" t="str">
        <f>_xll.BDH("AMGN US Equity","ARDR_FV_ASTS_REC_L1_AFS_NON_GSE","FQ2 2023","FQ2 2023","Currency=USD","Period=FQ","BEST_FPERIOD_OVERRIDE=FQ","FILING_STATUS=MR","SCALING_FORMAT=MLN","Sort=A","Dates=H","DateFormat=P","Fill=—","Direction=H","UseDPDF=Y")</f>
        <v>—</v>
      </c>
      <c r="V149" s="13">
        <f>_xll.BDH("AMGN US Equity","ARDR_FV_ASTS_REC_L1_AFS_NON_GSE","FQ3 2023","FQ3 2023","Currency=USD","Period=FQ","BEST_FPERIOD_OVERRIDE=FQ","FILING_STATUS=MR","SCALING_FORMAT=MLN","Sort=A","Dates=H","DateFormat=P","Fill=—","Direction=H","UseDPDF=Y")</f>
        <v>4250</v>
      </c>
      <c r="W149" s="13">
        <f>_xll.BDH("AMGN US Equity","ARDR_FV_ASTS_REC_L1_AFS_NON_GSE","FQ4 2023","FQ4 2023","Currency=USD","Period=FQ","BEST_FPERIOD_OVERRIDE=FQ","FILING_STATUS=MR","SCALING_FORMAT=MLN","Sort=A","Dates=H","DateFormat=P","Fill=—","Direction=H","UseDPDF=Y")</f>
        <v>4514</v>
      </c>
      <c r="X149" s="13">
        <f>_xll.BDH("AMGN US Equity","ARDR_FV_ASTS_REC_L1_AFS_NON_GSE","FQ1 2024","FQ1 2024","Currency=USD","Period=FQ","BEST_FPERIOD_OVERRIDE=FQ","FILING_STATUS=MR","SCALING_FORMAT=MLN","Sort=A","Dates=H","DateFormat=P","Fill=—","Direction=H","UseDPDF=Y")</f>
        <v>3985</v>
      </c>
      <c r="Y149" s="13">
        <f>_xll.BDH("AMGN US Equity","ARDR_FV_ASTS_REC_L1_AFS_NON_GSE","FQ2 2024","FQ2 2024","Currency=USD","Period=FQ","BEST_FPERIOD_OVERRIDE=FQ","FILING_STATUS=MR","SCALING_FORMAT=MLN","Sort=A","Dates=H","DateFormat=P","Fill=—","Direction=H","UseDPDF=Y")</f>
        <v>3470</v>
      </c>
      <c r="Z149" s="13" t="str">
        <f>_xll.BDH("AMGN US Equity","ARDR_FV_ASTS_REC_L1_AFS_NON_GSE","FQ3 2024","FQ3 2024","Currency=USD","Period=FQ","BEST_FPERIOD_OVERRIDE=FQ","FILING_STATUS=MR","SCALING_FORMAT=MLN","Sort=A","Dates=H","DateFormat=P","Fill=—","Direction=H","UseDPDF=Y")</f>
        <v>—</v>
      </c>
      <c r="AA149" s="13">
        <f>_xll.BDH("AMGN US Equity","ARDR_FV_ASTS_REC_L1_AFS_NON_GSE","FQ4 2024","FQ4 2024","Currency=USD","Period=FQ","BEST_FPERIOD_OVERRIDE=FQ","FILING_STATUS=MR","SCALING_FORMAT=MLN","Sort=A","Dates=H","DateFormat=P","Fill=—","Direction=H","UseDPDF=Y")</f>
        <v>4188</v>
      </c>
    </row>
    <row r="150" spans="1:27" x14ac:dyDescent="0.25">
      <c r="A150" s="10" t="s">
        <v>1114</v>
      </c>
      <c r="B150" s="10" t="s">
        <v>1115</v>
      </c>
      <c r="C150" s="13">
        <f>_xll.BDH("AMGN US Equity","ARDR_FV_ASSETS_REC_L1_AFS_OTHER","FQ4 2018","FQ4 2018","Currency=USD","Period=FQ","BEST_FPERIOD_OVERRIDE=FQ","FILING_STATUS=MR","SCALING_FORMAT=MLN","Sort=A","Dates=H","DateFormat=P","Fill=—","Direction=H","UseDPDF=Y")</f>
        <v>176</v>
      </c>
      <c r="D150" s="13">
        <f>_xll.BDH("AMGN US Equity","ARDR_FV_ASSETS_REC_L1_AFS_OTHER","FQ1 2019","FQ1 2019","Currency=USD","Period=FQ","BEST_FPERIOD_OVERRIDE=FQ","FILING_STATUS=MR","SCALING_FORMAT=MLN","Sort=A","Dates=H","DateFormat=P","Fill=—","Direction=H","UseDPDF=Y")</f>
        <v>246</v>
      </c>
      <c r="E150" s="13">
        <f>_xll.BDH("AMGN US Equity","ARDR_FV_ASSETS_REC_L1_AFS_OTHER","FQ2 2019","FQ2 2019","Currency=USD","Period=FQ","BEST_FPERIOD_OVERRIDE=FQ","FILING_STATUS=MR","SCALING_FORMAT=MLN","Sort=A","Dates=H","DateFormat=P","Fill=—","Direction=H","UseDPDF=Y")</f>
        <v>287</v>
      </c>
      <c r="F150" s="13">
        <f>_xll.BDH("AMGN US Equity","ARDR_FV_ASSETS_REC_L1_AFS_OTHER","FQ3 2019","FQ3 2019","Currency=USD","Period=FQ","BEST_FPERIOD_OVERRIDE=FQ","FILING_STATUS=MR","SCALING_FORMAT=MLN","Sort=A","Dates=H","DateFormat=P","Fill=—","Direction=H","UseDPDF=Y")</f>
        <v>277</v>
      </c>
      <c r="G150" s="13">
        <f>_xll.BDH("AMGN US Equity","ARDR_FV_ASSETS_REC_L1_AFS_OTHER","FQ4 2019","FQ4 2019","Currency=USD","Period=FQ","BEST_FPERIOD_OVERRIDE=FQ","FILING_STATUS=MR","SCALING_FORMAT=MLN","Sort=A","Dates=H","DateFormat=P","Fill=—","Direction=H","UseDPDF=Y")</f>
        <v>303</v>
      </c>
      <c r="H150" s="13" t="str">
        <f>_xll.BDH("AMGN US Equity","ARDR_FV_ASSETS_REC_L1_AFS_OTHER","FQ1 2020","FQ1 2020","Currency=USD","Period=FQ","BEST_FPERIOD_OVERRIDE=FQ","FILING_STATUS=MR","SCALING_FORMAT=MLN","Sort=A","Dates=H","DateFormat=P","Fill=—","Direction=H","UseDPDF=Y")</f>
        <v>—</v>
      </c>
      <c r="I150" s="13">
        <f>_xll.BDH("AMGN US Equity","ARDR_FV_ASSETS_REC_L1_AFS_OTHER","FQ2 2020","FQ2 2020","Currency=USD","Period=FQ","BEST_FPERIOD_OVERRIDE=FQ","FILING_STATUS=MR","SCALING_FORMAT=MLN","Sort=A","Dates=H","DateFormat=P","Fill=—","Direction=H","UseDPDF=Y")</f>
        <v>297</v>
      </c>
      <c r="J150" s="13">
        <f>_xll.BDH("AMGN US Equity","ARDR_FV_ASSETS_REC_L1_AFS_OTHER","FQ3 2020","FQ3 2020","Currency=USD","Period=FQ","BEST_FPERIOD_OVERRIDE=FQ","FILING_STATUS=MR","SCALING_FORMAT=MLN","Sort=A","Dates=H","DateFormat=P","Fill=—","Direction=H","UseDPDF=Y")</f>
        <v>0</v>
      </c>
      <c r="K150" s="13" t="str">
        <f>_xll.BDH("AMGN US Equity","ARDR_FV_ASSETS_REC_L1_AFS_OTHER","FQ4 2020","FQ4 2020","Currency=USD","Period=FQ","BEST_FPERIOD_OVERRIDE=FQ","FILING_STATUS=MR","SCALING_FORMAT=MLN","Sort=A","Dates=H","DateFormat=P","Fill=—","Direction=H","UseDPDF=Y")</f>
        <v>—</v>
      </c>
      <c r="L150" s="13">
        <f>_xll.BDH("AMGN US Equity","ARDR_FV_ASSETS_REC_L1_AFS_OTHER","FQ1 2021","FQ1 2021","Currency=USD","Period=FQ","BEST_FPERIOD_OVERRIDE=FQ","FILING_STATUS=MR","SCALING_FORMAT=MLN","Sort=A","Dates=H","DateFormat=P","Fill=—","Direction=H","UseDPDF=Y")</f>
        <v>0</v>
      </c>
      <c r="M150" s="13" t="str">
        <f>_xll.BDH("AMGN US Equity","ARDR_FV_ASSETS_REC_L1_AFS_OTHER","FQ2 2021","FQ2 2021","Currency=USD","Period=FQ","BEST_FPERIOD_OVERRIDE=FQ","FILING_STATUS=MR","SCALING_FORMAT=MLN","Sort=A","Dates=H","DateFormat=P","Fill=—","Direction=H","UseDPDF=Y")</f>
        <v>—</v>
      </c>
      <c r="N150" s="13">
        <f>_xll.BDH("AMGN US Equity","ARDR_FV_ASSETS_REC_L1_AFS_OTHER","FQ3 2021","FQ3 2021","Currency=USD","Period=FQ","BEST_FPERIOD_OVERRIDE=FQ","FILING_STATUS=MR","SCALING_FORMAT=MLN","Sort=A","Dates=H","DateFormat=P","Fill=—","Direction=H","UseDPDF=Y")</f>
        <v>608</v>
      </c>
      <c r="O150" s="13" t="str">
        <f>_xll.BDH("AMGN US Equity","ARDR_FV_ASSETS_REC_L1_AFS_OTHER","FQ4 2021","FQ4 2021","Currency=USD","Period=FQ","BEST_FPERIOD_OVERRIDE=FQ","FILING_STATUS=MR","SCALING_FORMAT=MLN","Sort=A","Dates=H","DateFormat=P","Fill=—","Direction=H","UseDPDF=Y")</f>
        <v>—</v>
      </c>
      <c r="P150" s="13" t="str">
        <f>_xll.BDH("AMGN US Equity","ARDR_FV_ASSETS_REC_L1_AFS_OTHER","FQ1 2022","FQ1 2022","Currency=USD","Period=FQ","BEST_FPERIOD_OVERRIDE=FQ","FILING_STATUS=MR","SCALING_FORMAT=MLN","Sort=A","Dates=H","DateFormat=P","Fill=—","Direction=H","UseDPDF=Y")</f>
        <v>—</v>
      </c>
      <c r="Q150" s="13" t="str">
        <f>_xll.BDH("AMGN US Equity","ARDR_FV_ASSETS_REC_L1_AFS_OTHER","FQ2 2022","FQ2 2022","Currency=USD","Period=FQ","BEST_FPERIOD_OVERRIDE=FQ","FILING_STATUS=MR","SCALING_FORMAT=MLN","Sort=A","Dates=H","DateFormat=P","Fill=—","Direction=H","UseDPDF=Y")</f>
        <v>—</v>
      </c>
      <c r="R150" s="13" t="str">
        <f>_xll.BDH("AMGN US Equity","ARDR_FV_ASSETS_REC_L1_AFS_OTHER","FQ3 2022","FQ3 2022","Currency=USD","Period=FQ","BEST_FPERIOD_OVERRIDE=FQ","FILING_STATUS=MR","SCALING_FORMAT=MLN","Sort=A","Dates=H","DateFormat=P","Fill=—","Direction=H","UseDPDF=Y")</f>
        <v>—</v>
      </c>
      <c r="S150" s="13" t="str">
        <f>_xll.BDH("AMGN US Equity","ARDR_FV_ASSETS_REC_L1_AFS_OTHER","FQ4 2022","FQ4 2022","Currency=USD","Period=FQ","BEST_FPERIOD_OVERRIDE=FQ","FILING_STATUS=MR","SCALING_FORMAT=MLN","Sort=A","Dates=H","DateFormat=P","Fill=—","Direction=H","UseDPDF=Y")</f>
        <v>—</v>
      </c>
      <c r="T150" s="13" t="str">
        <f>_xll.BDH("AMGN US Equity","ARDR_FV_ASSETS_REC_L1_AFS_OTHER","FQ1 2023","FQ1 2023","Currency=USD","Period=FQ","BEST_FPERIOD_OVERRIDE=FQ","FILING_STATUS=MR","SCALING_FORMAT=MLN","Sort=A","Dates=H","DateFormat=P","Fill=—","Direction=H","UseDPDF=Y")</f>
        <v>—</v>
      </c>
      <c r="U150" s="13" t="str">
        <f>_xll.BDH("AMGN US Equity","ARDR_FV_ASSETS_REC_L1_AFS_OTHER","FQ2 2023","FQ2 2023","Currency=USD","Period=FQ","BEST_FPERIOD_OVERRIDE=FQ","FILING_STATUS=MR","SCALING_FORMAT=MLN","Sort=A","Dates=H","DateFormat=P","Fill=—","Direction=H","UseDPDF=Y")</f>
        <v>—</v>
      </c>
      <c r="V150" s="13" t="str">
        <f>_xll.BDH("AMGN US Equity","ARDR_FV_ASSETS_REC_L1_AFS_OTHER","FQ3 2023","FQ3 2023","Currency=USD","Period=FQ","BEST_FPERIOD_OVERRIDE=FQ","FILING_STATUS=MR","SCALING_FORMAT=MLN","Sort=A","Dates=H","DateFormat=P","Fill=—","Direction=H","UseDPDF=Y")</f>
        <v>—</v>
      </c>
      <c r="W150" s="13">
        <f>_xll.BDH("AMGN US Equity","ARDR_FV_ASSETS_REC_L1_AFS_OTHER","FQ4 2023","FQ4 2023","Currency=USD","Period=FQ","BEST_FPERIOD_OVERRIDE=FQ","FILING_STATUS=MR","SCALING_FORMAT=MLN","Sort=A","Dates=H","DateFormat=P","Fill=—","Direction=H","UseDPDF=Y")</f>
        <v>0</v>
      </c>
      <c r="X150" s="13" t="str">
        <f>_xll.BDH("AMGN US Equity","ARDR_FV_ASSETS_REC_L1_AFS_OTHER","FQ1 2024","FQ1 2024","Currency=USD","Period=FQ","BEST_FPERIOD_OVERRIDE=FQ","FILING_STATUS=MR","SCALING_FORMAT=MLN","Sort=A","Dates=H","DateFormat=P","Fill=—","Direction=H","UseDPDF=Y")</f>
        <v>—</v>
      </c>
      <c r="Y150" s="13" t="str">
        <f>_xll.BDH("AMGN US Equity","ARDR_FV_ASSETS_REC_L1_AFS_OTHER","FQ2 2024","FQ2 2024","Currency=USD","Period=FQ","BEST_FPERIOD_OVERRIDE=FQ","FILING_STATUS=MR","SCALING_FORMAT=MLN","Sort=A","Dates=H","DateFormat=P","Fill=—","Direction=H","UseDPDF=Y")</f>
        <v>—</v>
      </c>
      <c r="Z150" s="13">
        <f>_xll.BDH("AMGN US Equity","ARDR_FV_ASSETS_REC_L1_AFS_OTHER","FQ3 2024","FQ3 2024","Currency=USD","Period=FQ","BEST_FPERIOD_OVERRIDE=FQ","FILING_STATUS=MR","SCALING_FORMAT=MLN","Sort=A","Dates=H","DateFormat=P","Fill=—","Direction=H","UseDPDF=Y")</f>
        <v>5057</v>
      </c>
      <c r="AA150" s="13" t="str">
        <f>_xll.BDH("AMGN US Equity","ARDR_FV_ASSETS_REC_L1_AFS_OTHER","FQ4 2024","FQ4 2024","Currency=USD","Period=FQ","BEST_FPERIOD_OVERRIDE=FQ","FILING_STATUS=MR","SCALING_FORMAT=MLN","Sort=A","Dates=H","DateFormat=P","Fill=—","Direction=H","UseDPDF=Y")</f>
        <v>—</v>
      </c>
    </row>
    <row r="151" spans="1:27" x14ac:dyDescent="0.25">
      <c r="A151" s="10" t="s">
        <v>1116</v>
      </c>
      <c r="B151" s="10" t="s">
        <v>1117</v>
      </c>
      <c r="C151" s="13">
        <f>_xll.BDH("AMGN US Equity","ARDR_FV_ASTS_REC_L1_DERIVATIVES","FQ4 2018","FQ4 2018","Currency=USD","Period=FQ","BEST_FPERIOD_OVERRIDE=FQ","FILING_STATUS=MR","SCALING_FORMAT=MLN","Sort=A","Dates=H","DateFormat=P","Fill=—","Direction=H","UseDPDF=Y")</f>
        <v>0</v>
      </c>
      <c r="D151" s="13">
        <f>_xll.BDH("AMGN US Equity","ARDR_FV_ASTS_REC_L1_DERIVATIVES","FQ1 2019","FQ1 2019","Currency=USD","Period=FQ","BEST_FPERIOD_OVERRIDE=FQ","FILING_STATUS=MR","SCALING_FORMAT=MLN","Sort=A","Dates=H","DateFormat=P","Fill=—","Direction=H","UseDPDF=Y")</f>
        <v>0</v>
      </c>
      <c r="E151" s="13">
        <f>_xll.BDH("AMGN US Equity","ARDR_FV_ASTS_REC_L1_DERIVATIVES","FQ2 2019","FQ2 2019","Currency=USD","Period=FQ","BEST_FPERIOD_OVERRIDE=FQ","FILING_STATUS=MR","SCALING_FORMAT=MLN","Sort=A","Dates=H","DateFormat=P","Fill=—","Direction=H","UseDPDF=Y")</f>
        <v>0</v>
      </c>
      <c r="F151" s="13" t="str">
        <f>_xll.BDH("AMGN US Equity","ARDR_FV_ASTS_REC_L1_DERIVATIVES","FQ3 2019","FQ3 2019","Currency=USD","Period=FQ","BEST_FPERIOD_OVERRIDE=FQ","FILING_STATUS=MR","SCALING_FORMAT=MLN","Sort=A","Dates=H","DateFormat=P","Fill=—","Direction=H","UseDPDF=Y")</f>
        <v>—</v>
      </c>
      <c r="G151" s="13" t="str">
        <f>_xll.BDH("AMGN US Equity","ARDR_FV_ASTS_REC_L1_DERIVATIVES","FQ4 2019","FQ4 2019","Currency=USD","Period=FQ","BEST_FPERIOD_OVERRIDE=FQ","FILING_STATUS=MR","SCALING_FORMAT=MLN","Sort=A","Dates=H","DateFormat=P","Fill=—","Direction=H","UseDPDF=Y")</f>
        <v>—</v>
      </c>
      <c r="H151" s="13">
        <f>_xll.BDH("AMGN US Equity","ARDR_FV_ASTS_REC_L1_DERIVATIVES","FQ1 2020","FQ1 2020","Currency=USD","Period=FQ","BEST_FPERIOD_OVERRIDE=FQ","FILING_STATUS=MR","SCALING_FORMAT=MLN","Sort=A","Dates=H","DateFormat=P","Fill=—","Direction=H","UseDPDF=Y")</f>
        <v>0</v>
      </c>
      <c r="I151" s="13">
        <f>_xll.BDH("AMGN US Equity","ARDR_FV_ASTS_REC_L1_DERIVATIVES","FQ2 2020","FQ2 2020","Currency=USD","Period=FQ","BEST_FPERIOD_OVERRIDE=FQ","FILING_STATUS=MR","SCALING_FORMAT=MLN","Sort=A","Dates=H","DateFormat=P","Fill=—","Direction=H","UseDPDF=Y")</f>
        <v>0</v>
      </c>
      <c r="J151" s="13" t="str">
        <f>_xll.BDH("AMGN US Equity","ARDR_FV_ASTS_REC_L1_DERIVATIVES","FQ3 2020","FQ3 2020","Currency=USD","Period=FQ","BEST_FPERIOD_OVERRIDE=FQ","FILING_STATUS=MR","SCALING_FORMAT=MLN","Sort=A","Dates=H","DateFormat=P","Fill=—","Direction=H","UseDPDF=Y")</f>
        <v>—</v>
      </c>
      <c r="K151" s="13" t="str">
        <f>_xll.BDH("AMGN US Equity","ARDR_FV_ASTS_REC_L1_DERIVATIVES","FQ4 2020","FQ4 2020","Currency=USD","Period=FQ","BEST_FPERIOD_OVERRIDE=FQ","FILING_STATUS=MR","SCALING_FORMAT=MLN","Sort=A","Dates=H","DateFormat=P","Fill=—","Direction=H","UseDPDF=Y")</f>
        <v>—</v>
      </c>
      <c r="L151" s="13">
        <f>_xll.BDH("AMGN US Equity","ARDR_FV_ASTS_REC_L1_DERIVATIVES","FQ1 2021","FQ1 2021","Currency=USD","Period=FQ","BEST_FPERIOD_OVERRIDE=FQ","FILING_STATUS=MR","SCALING_FORMAT=MLN","Sort=A","Dates=H","DateFormat=P","Fill=—","Direction=H","UseDPDF=Y")</f>
        <v>0</v>
      </c>
      <c r="M151" s="13">
        <f>_xll.BDH("AMGN US Equity","ARDR_FV_ASTS_REC_L1_DERIVATIVES","FQ2 2021","FQ2 2021","Currency=USD","Period=FQ","BEST_FPERIOD_OVERRIDE=FQ","FILING_STATUS=MR","SCALING_FORMAT=MLN","Sort=A","Dates=H","DateFormat=P","Fill=—","Direction=H","UseDPDF=Y")</f>
        <v>0</v>
      </c>
      <c r="N151" s="13">
        <f>_xll.BDH("AMGN US Equity","ARDR_FV_ASTS_REC_L1_DERIVATIVES","FQ3 2021","FQ3 2021","Currency=USD","Period=FQ","BEST_FPERIOD_OVERRIDE=FQ","FILING_STATUS=MR","SCALING_FORMAT=MLN","Sort=A","Dates=H","DateFormat=P","Fill=—","Direction=H","UseDPDF=Y")</f>
        <v>0</v>
      </c>
      <c r="O151" s="13">
        <f>_xll.BDH("AMGN US Equity","ARDR_FV_ASTS_REC_L1_DERIVATIVES","FQ4 2021","FQ4 2021","Currency=USD","Period=FQ","BEST_FPERIOD_OVERRIDE=FQ","FILING_STATUS=MR","SCALING_FORMAT=MLN","Sort=A","Dates=H","DateFormat=P","Fill=—","Direction=H","UseDPDF=Y")</f>
        <v>0</v>
      </c>
      <c r="P151" s="13">
        <f>_xll.BDH("AMGN US Equity","ARDR_FV_ASTS_REC_L1_DERIVATIVES","FQ1 2022","FQ1 2022","Currency=USD","Period=FQ","BEST_FPERIOD_OVERRIDE=FQ","FILING_STATUS=MR","SCALING_FORMAT=MLN","Sort=A","Dates=H","DateFormat=P","Fill=—","Direction=H","UseDPDF=Y")</f>
        <v>0</v>
      </c>
      <c r="Q151" s="13">
        <f>_xll.BDH("AMGN US Equity","ARDR_FV_ASTS_REC_L1_DERIVATIVES","FQ2 2022","FQ2 2022","Currency=USD","Period=FQ","BEST_FPERIOD_OVERRIDE=FQ","FILING_STATUS=MR","SCALING_FORMAT=MLN","Sort=A","Dates=H","DateFormat=P","Fill=—","Direction=H","UseDPDF=Y")</f>
        <v>0</v>
      </c>
      <c r="R151" s="13">
        <f>_xll.BDH("AMGN US Equity","ARDR_FV_ASTS_REC_L1_DERIVATIVES","FQ3 2022","FQ3 2022","Currency=USD","Period=FQ","BEST_FPERIOD_OVERRIDE=FQ","FILING_STATUS=MR","SCALING_FORMAT=MLN","Sort=A","Dates=H","DateFormat=P","Fill=—","Direction=H","UseDPDF=Y")</f>
        <v>0</v>
      </c>
      <c r="S151" s="13">
        <f>_xll.BDH("AMGN US Equity","ARDR_FV_ASTS_REC_L1_DERIVATIVES","FQ4 2022","FQ4 2022","Currency=USD","Period=FQ","BEST_FPERIOD_OVERRIDE=FQ","FILING_STATUS=MR","SCALING_FORMAT=MLN","Sort=A","Dates=H","DateFormat=P","Fill=—","Direction=H","UseDPDF=Y")</f>
        <v>0</v>
      </c>
      <c r="T151" s="13">
        <f>_xll.BDH("AMGN US Equity","ARDR_FV_ASTS_REC_L1_DERIVATIVES","FQ1 2023","FQ1 2023","Currency=USD","Period=FQ","BEST_FPERIOD_OVERRIDE=FQ","FILING_STATUS=MR","SCALING_FORMAT=MLN","Sort=A","Dates=H","DateFormat=P","Fill=—","Direction=H","UseDPDF=Y")</f>
        <v>0</v>
      </c>
      <c r="U151" s="13">
        <f>_xll.BDH("AMGN US Equity","ARDR_FV_ASTS_REC_L1_DERIVATIVES","FQ2 2023","FQ2 2023","Currency=USD","Period=FQ","BEST_FPERIOD_OVERRIDE=FQ","FILING_STATUS=MR","SCALING_FORMAT=MLN","Sort=A","Dates=H","DateFormat=P","Fill=—","Direction=H","UseDPDF=Y")</f>
        <v>3775</v>
      </c>
      <c r="V151" s="13">
        <f>_xll.BDH("AMGN US Equity","ARDR_FV_ASTS_REC_L1_DERIVATIVES","FQ3 2023","FQ3 2023","Currency=USD","Period=FQ","BEST_FPERIOD_OVERRIDE=FQ","FILING_STATUS=MR","SCALING_FORMAT=MLN","Sort=A","Dates=H","DateFormat=P","Fill=—","Direction=H","UseDPDF=Y")</f>
        <v>0</v>
      </c>
      <c r="W151" s="13">
        <f>_xll.BDH("AMGN US Equity","ARDR_FV_ASTS_REC_L1_DERIVATIVES","FQ4 2023","FQ4 2023","Currency=USD","Period=FQ","BEST_FPERIOD_OVERRIDE=FQ","FILING_STATUS=MR","SCALING_FORMAT=MLN","Sort=A","Dates=H","DateFormat=P","Fill=—","Direction=H","UseDPDF=Y")</f>
        <v>0</v>
      </c>
      <c r="X151" s="13" t="str">
        <f>_xll.BDH("AMGN US Equity","ARDR_FV_ASTS_REC_L1_DERIVATIVES","FQ1 2024","FQ1 2024","Currency=USD","Period=FQ","BEST_FPERIOD_OVERRIDE=FQ","FILING_STATUS=MR","SCALING_FORMAT=MLN","Sort=A","Dates=H","DateFormat=P","Fill=—","Direction=H","UseDPDF=Y")</f>
        <v>—</v>
      </c>
      <c r="Y151" s="13" t="str">
        <f>_xll.BDH("AMGN US Equity","ARDR_FV_ASTS_REC_L1_DERIVATIVES","FQ2 2024","FQ2 2024","Currency=USD","Period=FQ","BEST_FPERIOD_OVERRIDE=FQ","FILING_STATUS=MR","SCALING_FORMAT=MLN","Sort=A","Dates=H","DateFormat=P","Fill=—","Direction=H","UseDPDF=Y")</f>
        <v>—</v>
      </c>
      <c r="Z151" s="13">
        <f>_xll.BDH("AMGN US Equity","ARDR_FV_ASTS_REC_L1_DERIVATIVES","FQ3 2024","FQ3 2024","Currency=USD","Period=FQ","BEST_FPERIOD_OVERRIDE=FQ","FILING_STATUS=MR","SCALING_FORMAT=MLN","Sort=A","Dates=H","DateFormat=P","Fill=—","Direction=H","UseDPDF=Y")</f>
        <v>0</v>
      </c>
      <c r="AA151" s="13">
        <f>_xll.BDH("AMGN US Equity","ARDR_FV_ASTS_REC_L1_DERIVATIVES","FQ4 2024","FQ4 2024","Currency=USD","Period=FQ","BEST_FPERIOD_OVERRIDE=FQ","FILING_STATUS=MR","SCALING_FORMAT=MLN","Sort=A","Dates=H","DateFormat=P","Fill=—","Direction=H","UseDPDF=Y")</f>
        <v>0</v>
      </c>
    </row>
    <row r="152" spans="1:27" x14ac:dyDescent="0.25">
      <c r="A152" s="10" t="s">
        <v>1118</v>
      </c>
      <c r="B152" s="10" t="s">
        <v>1119</v>
      </c>
      <c r="C152" s="13" t="str">
        <f>_xll.BDH("AMGN US Equity","ARDR_FV_ASSETS_REC_L1_OTHER","FQ4 2018","FQ4 2018","Currency=USD","Period=FQ","BEST_FPERIOD_OVERRIDE=FQ","FILING_STATUS=MR","SCALING_FORMAT=MLN","Sort=A","Dates=H","DateFormat=P","Fill=—","Direction=H","UseDPDF=Y")</f>
        <v>—</v>
      </c>
      <c r="D152" s="13" t="str">
        <f>_xll.BDH("AMGN US Equity","ARDR_FV_ASSETS_REC_L1_OTHER","FQ1 2019","FQ1 2019","Currency=USD","Period=FQ","BEST_FPERIOD_OVERRIDE=FQ","FILING_STATUS=MR","SCALING_FORMAT=MLN","Sort=A","Dates=H","DateFormat=P","Fill=—","Direction=H","UseDPDF=Y")</f>
        <v>—</v>
      </c>
      <c r="E152" s="13" t="str">
        <f>_xll.BDH("AMGN US Equity","ARDR_FV_ASSETS_REC_L1_OTHER","FQ2 2019","FQ2 2019","Currency=USD","Period=FQ","BEST_FPERIOD_OVERRIDE=FQ","FILING_STATUS=MR","SCALING_FORMAT=MLN","Sort=A","Dates=H","DateFormat=P","Fill=—","Direction=H","UseDPDF=Y")</f>
        <v>—</v>
      </c>
      <c r="F152" s="13" t="str">
        <f>_xll.BDH("AMGN US Equity","ARDR_FV_ASSETS_REC_L1_OTHER","FQ3 2019","FQ3 2019","Currency=USD","Period=FQ","BEST_FPERIOD_OVERRIDE=FQ","FILING_STATUS=MR","SCALING_FORMAT=MLN","Sort=A","Dates=H","DateFormat=P","Fill=—","Direction=H","UseDPDF=Y")</f>
        <v>—</v>
      </c>
      <c r="G152" s="13" t="str">
        <f>_xll.BDH("AMGN US Equity","ARDR_FV_ASSETS_REC_L1_OTHER","FQ4 2019","FQ4 2019","Currency=USD","Period=FQ","BEST_FPERIOD_OVERRIDE=FQ","FILING_STATUS=MR","SCALING_FORMAT=MLN","Sort=A","Dates=H","DateFormat=P","Fill=—","Direction=H","UseDPDF=Y")</f>
        <v>—</v>
      </c>
      <c r="H152" s="13" t="str">
        <f>_xll.BDH("AMGN US Equity","ARDR_FV_ASSETS_REC_L1_OTHER","FQ1 2020","FQ1 2020","Currency=USD","Period=FQ","BEST_FPERIOD_OVERRIDE=FQ","FILING_STATUS=MR","SCALING_FORMAT=MLN","Sort=A","Dates=H","DateFormat=P","Fill=—","Direction=H","UseDPDF=Y")</f>
        <v>—</v>
      </c>
      <c r="I152" s="13" t="str">
        <f>_xll.BDH("AMGN US Equity","ARDR_FV_ASSETS_REC_L1_OTHER","FQ2 2020","FQ2 2020","Currency=USD","Period=FQ","BEST_FPERIOD_OVERRIDE=FQ","FILING_STATUS=MR","SCALING_FORMAT=MLN","Sort=A","Dates=H","DateFormat=P","Fill=—","Direction=H","UseDPDF=Y")</f>
        <v>—</v>
      </c>
      <c r="J152" s="13" t="str">
        <f>_xll.BDH("AMGN US Equity","ARDR_FV_ASSETS_REC_L1_OTHER","FQ3 2020","FQ3 2020","Currency=USD","Period=FQ","BEST_FPERIOD_OVERRIDE=FQ","FILING_STATUS=MR","SCALING_FORMAT=MLN","Sort=A","Dates=H","DateFormat=P","Fill=—","Direction=H","UseDPDF=Y")</f>
        <v>—</v>
      </c>
      <c r="K152" s="13" t="str">
        <f>_xll.BDH("AMGN US Equity","ARDR_FV_ASSETS_REC_L1_OTHER","FQ4 2020","FQ4 2020","Currency=USD","Period=FQ","BEST_FPERIOD_OVERRIDE=FQ","FILING_STATUS=MR","SCALING_FORMAT=MLN","Sort=A","Dates=H","DateFormat=P","Fill=—","Direction=H","UseDPDF=Y")</f>
        <v>—</v>
      </c>
      <c r="L152" s="13" t="str">
        <f>_xll.BDH("AMGN US Equity","ARDR_FV_ASSETS_REC_L1_OTHER","FQ1 2021","FQ1 2021","Currency=USD","Period=FQ","BEST_FPERIOD_OVERRIDE=FQ","FILING_STATUS=MR","SCALING_FORMAT=MLN","Sort=A","Dates=H","DateFormat=P","Fill=—","Direction=H","UseDPDF=Y")</f>
        <v>—</v>
      </c>
      <c r="M152" s="13">
        <f>_xll.BDH("AMGN US Equity","ARDR_FV_ASSETS_REC_L1_OTHER","FQ2 2021","FQ2 2021","Currency=USD","Period=FQ","BEST_FPERIOD_OVERRIDE=FQ","FILING_STATUS=MR","SCALING_FORMAT=MLN","Sort=A","Dates=H","DateFormat=P","Fill=—","Direction=H","UseDPDF=Y")</f>
        <v>0</v>
      </c>
      <c r="N152" s="13" t="str">
        <f>_xll.BDH("AMGN US Equity","ARDR_FV_ASSETS_REC_L1_OTHER","FQ3 2021","FQ3 2021","Currency=USD","Period=FQ","BEST_FPERIOD_OVERRIDE=FQ","FILING_STATUS=MR","SCALING_FORMAT=MLN","Sort=A","Dates=H","DateFormat=P","Fill=—","Direction=H","UseDPDF=Y")</f>
        <v>—</v>
      </c>
      <c r="O152" s="13">
        <f>_xll.BDH("AMGN US Equity","ARDR_FV_ASSETS_REC_L1_OTHER","FQ4 2021","FQ4 2021","Currency=USD","Period=FQ","BEST_FPERIOD_OVERRIDE=FQ","FILING_STATUS=MR","SCALING_FORMAT=MLN","Sort=A","Dates=H","DateFormat=P","Fill=—","Direction=H","UseDPDF=Y")</f>
        <v>0</v>
      </c>
      <c r="P152" s="13">
        <f>_xll.BDH("AMGN US Equity","ARDR_FV_ASSETS_REC_L1_OTHER","FQ1 2022","FQ1 2022","Currency=USD","Period=FQ","BEST_FPERIOD_OVERRIDE=FQ","FILING_STATUS=MR","SCALING_FORMAT=MLN","Sort=A","Dates=H","DateFormat=P","Fill=—","Direction=H","UseDPDF=Y")</f>
        <v>0</v>
      </c>
      <c r="Q152" s="13">
        <f>_xll.BDH("AMGN US Equity","ARDR_FV_ASSETS_REC_L1_OTHER","FQ2 2022","FQ2 2022","Currency=USD","Period=FQ","BEST_FPERIOD_OVERRIDE=FQ","FILING_STATUS=MR","SCALING_FORMAT=MLN","Sort=A","Dates=H","DateFormat=P","Fill=—","Direction=H","UseDPDF=Y")</f>
        <v>0</v>
      </c>
      <c r="R152" s="13">
        <f>_xll.BDH("AMGN US Equity","ARDR_FV_ASSETS_REC_L1_OTHER","FQ3 2022","FQ3 2022","Currency=USD","Period=FQ","BEST_FPERIOD_OVERRIDE=FQ","FILING_STATUS=MR","SCALING_FORMAT=MLN","Sort=A","Dates=H","DateFormat=P","Fill=—","Direction=H","UseDPDF=Y")</f>
        <v>0</v>
      </c>
      <c r="S152" s="13">
        <f>_xll.BDH("AMGN US Equity","ARDR_FV_ASSETS_REC_L1_OTHER","FQ4 2022","FQ4 2022","Currency=USD","Period=FQ","BEST_FPERIOD_OVERRIDE=FQ","FILING_STATUS=MR","SCALING_FORMAT=MLN","Sort=A","Dates=H","DateFormat=P","Fill=—","Direction=H","UseDPDF=Y")</f>
        <v>0</v>
      </c>
      <c r="T152" s="13">
        <f>_xll.BDH("AMGN US Equity","ARDR_FV_ASSETS_REC_L1_OTHER","FQ1 2023","FQ1 2023","Currency=USD","Period=FQ","BEST_FPERIOD_OVERRIDE=FQ","FILING_STATUS=MR","SCALING_FORMAT=MLN","Sort=A","Dates=H","DateFormat=P","Fill=—","Direction=H","UseDPDF=Y")</f>
        <v>0</v>
      </c>
      <c r="U152" s="13" t="str">
        <f>_xll.BDH("AMGN US Equity","ARDR_FV_ASSETS_REC_L1_OTHER","FQ2 2023","FQ2 2023","Currency=USD","Period=FQ","BEST_FPERIOD_OVERRIDE=FQ","FILING_STATUS=MR","SCALING_FORMAT=MLN","Sort=A","Dates=H","DateFormat=P","Fill=—","Direction=H","UseDPDF=Y")</f>
        <v>—</v>
      </c>
      <c r="V152" s="13">
        <f>_xll.BDH("AMGN US Equity","ARDR_FV_ASSETS_REC_L1_OTHER","FQ3 2023","FQ3 2023","Currency=USD","Period=FQ","BEST_FPERIOD_OVERRIDE=FQ","FILING_STATUS=MR","SCALING_FORMAT=MLN","Sort=A","Dates=H","DateFormat=P","Fill=—","Direction=H","UseDPDF=Y")</f>
        <v>0</v>
      </c>
      <c r="W152" s="13">
        <f>_xll.BDH("AMGN US Equity","ARDR_FV_ASSETS_REC_L1_OTHER","FQ4 2023","FQ4 2023","Currency=USD","Period=FQ","BEST_FPERIOD_OVERRIDE=FQ","FILING_STATUS=MR","SCALING_FORMAT=MLN","Sort=A","Dates=H","DateFormat=P","Fill=—","Direction=H","UseDPDF=Y")</f>
        <v>0</v>
      </c>
      <c r="X152" s="13" t="str">
        <f>_xll.BDH("AMGN US Equity","ARDR_FV_ASSETS_REC_L1_OTHER","FQ1 2024","FQ1 2024","Currency=USD","Period=FQ","BEST_FPERIOD_OVERRIDE=FQ","FILING_STATUS=MR","SCALING_FORMAT=MLN","Sort=A","Dates=H","DateFormat=P","Fill=—","Direction=H","UseDPDF=Y")</f>
        <v>—</v>
      </c>
      <c r="Y152" s="13" t="str">
        <f>_xll.BDH("AMGN US Equity","ARDR_FV_ASSETS_REC_L1_OTHER","FQ2 2024","FQ2 2024","Currency=USD","Period=FQ","BEST_FPERIOD_OVERRIDE=FQ","FILING_STATUS=MR","SCALING_FORMAT=MLN","Sort=A","Dates=H","DateFormat=P","Fill=—","Direction=H","UseDPDF=Y")</f>
        <v>—</v>
      </c>
      <c r="Z152" s="13" t="str">
        <f>_xll.BDH("AMGN US Equity","ARDR_FV_ASSETS_REC_L1_OTHER","FQ3 2024","FQ3 2024","Currency=USD","Period=FQ","BEST_FPERIOD_OVERRIDE=FQ","FILING_STATUS=MR","SCALING_FORMAT=MLN","Sort=A","Dates=H","DateFormat=P","Fill=—","Direction=H","UseDPDF=Y")</f>
        <v>—</v>
      </c>
      <c r="AA152" s="13" t="str">
        <f>_xll.BDH("AMGN US Equity","ARDR_FV_ASSETS_REC_L1_OTHER","FQ4 2024","FQ4 2024","Currency=USD","Period=FQ","BEST_FPERIOD_OVERRIDE=FQ","FILING_STATUS=MR","SCALING_FORMAT=MLN","Sort=A","Dates=H","DateFormat=P","Fill=—","Direction=H","UseDPDF=Y")</f>
        <v>—</v>
      </c>
    </row>
    <row r="153" spans="1:27" x14ac:dyDescent="0.25">
      <c r="A153" s="10" t="s">
        <v>1120</v>
      </c>
      <c r="B153" s="10" t="s">
        <v>1121</v>
      </c>
      <c r="C153" s="13">
        <f>_xll.BDH("AMGN US Equity","ARDR_FV_ASTS_REC_L2_TRAD_TREAS","FQ4 2018","FQ4 2018","Currency=USD","Period=FQ","BEST_FPERIOD_OVERRIDE=FQ","FILING_STATUS=MR","SCALING_FORMAT=MLN","Sort=A","Dates=H","DateFormat=P","Fill=—","Direction=H","UseDPDF=Y")</f>
        <v>0</v>
      </c>
      <c r="D153" s="13">
        <f>_xll.BDH("AMGN US Equity","ARDR_FV_ASTS_REC_L2_TRAD_TREAS","FQ1 2019","FQ1 2019","Currency=USD","Period=FQ","BEST_FPERIOD_OVERRIDE=FQ","FILING_STATUS=MR","SCALING_FORMAT=MLN","Sort=A","Dates=H","DateFormat=P","Fill=—","Direction=H","UseDPDF=Y")</f>
        <v>0</v>
      </c>
      <c r="E153" s="13">
        <f>_xll.BDH("AMGN US Equity","ARDR_FV_ASTS_REC_L2_TRAD_TREAS","FQ2 2019","FQ2 2019","Currency=USD","Period=FQ","BEST_FPERIOD_OVERRIDE=FQ","FILING_STATUS=MR","SCALING_FORMAT=MLN","Sort=A","Dates=H","DateFormat=P","Fill=—","Direction=H","UseDPDF=Y")</f>
        <v>0</v>
      </c>
      <c r="F153" s="13">
        <f>_xll.BDH("AMGN US Equity","ARDR_FV_ASTS_REC_L2_TRAD_TREAS","FQ3 2019","FQ3 2019","Currency=USD","Period=FQ","BEST_FPERIOD_OVERRIDE=FQ","FILING_STATUS=MR","SCALING_FORMAT=MLN","Sort=A","Dates=H","DateFormat=P","Fill=—","Direction=H","UseDPDF=Y")</f>
        <v>0</v>
      </c>
      <c r="G153" s="13">
        <f>_xll.BDH("AMGN US Equity","ARDR_FV_ASTS_REC_L2_TRAD_TREAS","FQ4 2019","FQ4 2019","Currency=USD","Period=FQ","BEST_FPERIOD_OVERRIDE=FQ","FILING_STATUS=MR","SCALING_FORMAT=MLN","Sort=A","Dates=H","DateFormat=P","Fill=—","Direction=H","UseDPDF=Y")</f>
        <v>0</v>
      </c>
      <c r="H153" s="13">
        <f>_xll.BDH("AMGN US Equity","ARDR_FV_ASTS_REC_L2_TRAD_TREAS","FQ1 2020","FQ1 2020","Currency=USD","Period=FQ","BEST_FPERIOD_OVERRIDE=FQ","FILING_STATUS=MR","SCALING_FORMAT=MLN","Sort=A","Dates=H","DateFormat=P","Fill=—","Direction=H","UseDPDF=Y")</f>
        <v>0</v>
      </c>
      <c r="I153" s="13">
        <f>_xll.BDH("AMGN US Equity","ARDR_FV_ASTS_REC_L2_TRAD_TREAS","FQ2 2020","FQ2 2020","Currency=USD","Period=FQ","BEST_FPERIOD_OVERRIDE=FQ","FILING_STATUS=MR","SCALING_FORMAT=MLN","Sort=A","Dates=H","DateFormat=P","Fill=—","Direction=H","UseDPDF=Y")</f>
        <v>0</v>
      </c>
      <c r="J153" s="13">
        <f>_xll.BDH("AMGN US Equity","ARDR_FV_ASTS_REC_L2_TRAD_TREAS","FQ3 2020","FQ3 2020","Currency=USD","Period=FQ","BEST_FPERIOD_OVERRIDE=FQ","FILING_STATUS=MR","SCALING_FORMAT=MLN","Sort=A","Dates=H","DateFormat=P","Fill=—","Direction=H","UseDPDF=Y")</f>
        <v>0</v>
      </c>
      <c r="K153" s="13" t="str">
        <f>_xll.BDH("AMGN US Equity","ARDR_FV_ASTS_REC_L2_TRAD_TREAS","FQ4 2020","FQ4 2020","Currency=USD","Period=FQ","BEST_FPERIOD_OVERRIDE=FQ","FILING_STATUS=MR","SCALING_FORMAT=MLN","Sort=A","Dates=H","DateFormat=P","Fill=—","Direction=H","UseDPDF=Y")</f>
        <v>—</v>
      </c>
      <c r="L153" s="13">
        <f>_xll.BDH("AMGN US Equity","ARDR_FV_ASTS_REC_L2_TRAD_TREAS","FQ1 2021","FQ1 2021","Currency=USD","Period=FQ","BEST_FPERIOD_OVERRIDE=FQ","FILING_STATUS=MR","SCALING_FORMAT=MLN","Sort=A","Dates=H","DateFormat=P","Fill=—","Direction=H","UseDPDF=Y")</f>
        <v>0</v>
      </c>
      <c r="M153" s="13">
        <f>_xll.BDH("AMGN US Equity","ARDR_FV_ASTS_REC_L2_TRAD_TREAS","FQ2 2021","FQ2 2021","Currency=USD","Period=FQ","BEST_FPERIOD_OVERRIDE=FQ","FILING_STATUS=MR","SCALING_FORMAT=MLN","Sort=A","Dates=H","DateFormat=P","Fill=—","Direction=H","UseDPDF=Y")</f>
        <v>0</v>
      </c>
      <c r="N153" s="13">
        <f>_xll.BDH("AMGN US Equity","ARDR_FV_ASTS_REC_L2_TRAD_TREAS","FQ3 2021","FQ3 2021","Currency=USD","Period=FQ","BEST_FPERIOD_OVERRIDE=FQ","FILING_STATUS=MR","SCALING_FORMAT=MLN","Sort=A","Dates=H","DateFormat=P","Fill=—","Direction=H","UseDPDF=Y")</f>
        <v>0</v>
      </c>
      <c r="O153" s="13">
        <f>_xll.BDH("AMGN US Equity","ARDR_FV_ASTS_REC_L2_TRAD_TREAS","FQ4 2021","FQ4 2021","Currency=USD","Period=FQ","BEST_FPERIOD_OVERRIDE=FQ","FILING_STATUS=MR","SCALING_FORMAT=MLN","Sort=A","Dates=H","DateFormat=P","Fill=—","Direction=H","UseDPDF=Y")</f>
        <v>0</v>
      </c>
      <c r="P153" s="13">
        <f>_xll.BDH("AMGN US Equity","ARDR_FV_ASTS_REC_L2_TRAD_TREAS","FQ1 2022","FQ1 2022","Currency=USD","Period=FQ","BEST_FPERIOD_OVERRIDE=FQ","FILING_STATUS=MR","SCALING_FORMAT=MLN","Sort=A","Dates=H","DateFormat=P","Fill=—","Direction=H","UseDPDF=Y")</f>
        <v>0</v>
      </c>
      <c r="Q153" s="13">
        <f>_xll.BDH("AMGN US Equity","ARDR_FV_ASTS_REC_L2_TRAD_TREAS","FQ2 2022","FQ2 2022","Currency=USD","Period=FQ","BEST_FPERIOD_OVERRIDE=FQ","FILING_STATUS=MR","SCALING_FORMAT=MLN","Sort=A","Dates=H","DateFormat=P","Fill=—","Direction=H","UseDPDF=Y")</f>
        <v>0</v>
      </c>
      <c r="R153" s="13">
        <f>_xll.BDH("AMGN US Equity","ARDR_FV_ASTS_REC_L2_TRAD_TREAS","FQ3 2022","FQ3 2022","Currency=USD","Period=FQ","BEST_FPERIOD_OVERRIDE=FQ","FILING_STATUS=MR","SCALING_FORMAT=MLN","Sort=A","Dates=H","DateFormat=P","Fill=—","Direction=H","UseDPDF=Y")</f>
        <v>0</v>
      </c>
      <c r="S153" s="13">
        <f>_xll.BDH("AMGN US Equity","ARDR_FV_ASTS_REC_L2_TRAD_TREAS","FQ4 2022","FQ4 2022","Currency=USD","Period=FQ","BEST_FPERIOD_OVERRIDE=FQ","FILING_STATUS=MR","SCALING_FORMAT=MLN","Sort=A","Dates=H","DateFormat=P","Fill=—","Direction=H","UseDPDF=Y")</f>
        <v>0</v>
      </c>
      <c r="T153" s="13">
        <f>_xll.BDH("AMGN US Equity","ARDR_FV_ASTS_REC_L2_TRAD_TREAS","FQ1 2023","FQ1 2023","Currency=USD","Period=FQ","BEST_FPERIOD_OVERRIDE=FQ","FILING_STATUS=MR","SCALING_FORMAT=MLN","Sort=A","Dates=H","DateFormat=P","Fill=—","Direction=H","UseDPDF=Y")</f>
        <v>0</v>
      </c>
      <c r="U153" s="13">
        <f>_xll.BDH("AMGN US Equity","ARDR_FV_ASTS_REC_L2_TRAD_TREAS","FQ2 2023","FQ2 2023","Currency=USD","Period=FQ","BEST_FPERIOD_OVERRIDE=FQ","FILING_STATUS=MR","SCALING_FORMAT=MLN","Sort=A","Dates=H","DateFormat=P","Fill=—","Direction=H","UseDPDF=Y")</f>
        <v>137</v>
      </c>
      <c r="V153" s="13">
        <f>_xll.BDH("AMGN US Equity","ARDR_FV_ASTS_REC_L2_TRAD_TREAS","FQ3 2023","FQ3 2023","Currency=USD","Period=FQ","BEST_FPERIOD_OVERRIDE=FQ","FILING_STATUS=MR","SCALING_FORMAT=MLN","Sort=A","Dates=H","DateFormat=P","Fill=—","Direction=H","UseDPDF=Y")</f>
        <v>0</v>
      </c>
      <c r="W153" s="13">
        <f>_xll.BDH("AMGN US Equity","ARDR_FV_ASTS_REC_L2_TRAD_TREAS","FQ4 2023","FQ4 2023","Currency=USD","Period=FQ","BEST_FPERIOD_OVERRIDE=FQ","FILING_STATUS=MR","SCALING_FORMAT=MLN","Sort=A","Dates=H","DateFormat=P","Fill=—","Direction=H","UseDPDF=Y")</f>
        <v>0</v>
      </c>
      <c r="X153" s="13">
        <f>_xll.BDH("AMGN US Equity","ARDR_FV_ASTS_REC_L2_TRAD_TREAS","FQ1 2024","FQ1 2024","Currency=USD","Period=FQ","BEST_FPERIOD_OVERRIDE=FQ","FILING_STATUS=MR","SCALING_FORMAT=MLN","Sort=A","Dates=H","DateFormat=P","Fill=—","Direction=H","UseDPDF=Y")</f>
        <v>0</v>
      </c>
      <c r="Y153" s="13" t="str">
        <f>_xll.BDH("AMGN US Equity","ARDR_FV_ASTS_REC_L2_TRAD_TREAS","FQ2 2024","FQ2 2024","Currency=USD","Period=FQ","BEST_FPERIOD_OVERRIDE=FQ","FILING_STATUS=MR","SCALING_FORMAT=MLN","Sort=A","Dates=H","DateFormat=P","Fill=—","Direction=H","UseDPDF=Y")</f>
        <v>—</v>
      </c>
      <c r="Z153" s="13">
        <f>_xll.BDH("AMGN US Equity","ARDR_FV_ASTS_REC_L2_TRAD_TREAS","FQ3 2024","FQ3 2024","Currency=USD","Period=FQ","BEST_FPERIOD_OVERRIDE=FQ","FILING_STATUS=MR","SCALING_FORMAT=MLN","Sort=A","Dates=H","DateFormat=P","Fill=—","Direction=H","UseDPDF=Y")</f>
        <v>996</v>
      </c>
      <c r="AA153" s="13">
        <f>_xll.BDH("AMGN US Equity","ARDR_FV_ASTS_REC_L2_TRAD_TREAS","FQ4 2024","FQ4 2024","Currency=USD","Period=FQ","BEST_FPERIOD_OVERRIDE=FQ","FILING_STATUS=MR","SCALING_FORMAT=MLN","Sort=A","Dates=H","DateFormat=P","Fill=—","Direction=H","UseDPDF=Y")</f>
        <v>997</v>
      </c>
    </row>
    <row r="154" spans="1:27" x14ac:dyDescent="0.25">
      <c r="A154" s="10" t="s">
        <v>1122</v>
      </c>
      <c r="B154" s="10" t="s">
        <v>1123</v>
      </c>
      <c r="C154" s="13">
        <f>_xll.BDH("AMGN US Equity","ARDR_FV_ASSETS_REC_L2_AFS_TREAS","FQ4 2018","FQ4 2018","Currency=USD","Period=FQ","BEST_FPERIOD_OVERRIDE=FQ","FILING_STATUS=MR","SCALING_FORMAT=MLN","Sort=A","Dates=H","DateFormat=P","Fill=—","Direction=H","UseDPDF=Y")</f>
        <v>110</v>
      </c>
      <c r="D154" s="13">
        <f>_xll.BDH("AMGN US Equity","ARDR_FV_ASSETS_REC_L2_AFS_TREAS","FQ1 2019","FQ1 2019","Currency=USD","Period=FQ","BEST_FPERIOD_OVERRIDE=FQ","FILING_STATUS=MR","SCALING_FORMAT=MLN","Sort=A","Dates=H","DateFormat=P","Fill=—","Direction=H","UseDPDF=Y")</f>
        <v>0</v>
      </c>
      <c r="E154" s="13">
        <f>_xll.BDH("AMGN US Equity","ARDR_FV_ASSETS_REC_L2_AFS_TREAS","FQ2 2019","FQ2 2019","Currency=USD","Period=FQ","BEST_FPERIOD_OVERRIDE=FQ","FILING_STATUS=MR","SCALING_FORMAT=MLN","Sort=A","Dates=H","DateFormat=P","Fill=—","Direction=H","UseDPDF=Y")</f>
        <v>0</v>
      </c>
      <c r="F154" s="13">
        <f>_xll.BDH("AMGN US Equity","ARDR_FV_ASSETS_REC_L2_AFS_TREAS","FQ3 2019","FQ3 2019","Currency=USD","Period=FQ","BEST_FPERIOD_OVERRIDE=FQ","FILING_STATUS=MR","SCALING_FORMAT=MLN","Sort=A","Dates=H","DateFormat=P","Fill=—","Direction=H","UseDPDF=Y")</f>
        <v>0</v>
      </c>
      <c r="G154" s="13">
        <f>_xll.BDH("AMGN US Equity","ARDR_FV_ASSETS_REC_L2_AFS_TREAS","FQ4 2019","FQ4 2019","Currency=USD","Period=FQ","BEST_FPERIOD_OVERRIDE=FQ","FILING_STATUS=MR","SCALING_FORMAT=MLN","Sort=A","Dates=H","DateFormat=P","Fill=—","Direction=H","UseDPDF=Y")</f>
        <v>1121</v>
      </c>
      <c r="H154" s="13">
        <f>_xll.BDH("AMGN US Equity","ARDR_FV_ASSETS_REC_L2_AFS_TREAS","FQ1 2020","FQ1 2020","Currency=USD","Period=FQ","BEST_FPERIOD_OVERRIDE=FQ","FILING_STATUS=MR","SCALING_FORMAT=MLN","Sort=A","Dates=H","DateFormat=P","Fill=—","Direction=H","UseDPDF=Y")</f>
        <v>0</v>
      </c>
      <c r="I154" s="13">
        <f>_xll.BDH("AMGN US Equity","ARDR_FV_ASSETS_REC_L2_AFS_TREAS","FQ2 2020","FQ2 2020","Currency=USD","Period=FQ","BEST_FPERIOD_OVERRIDE=FQ","FILING_STATUS=MR","SCALING_FORMAT=MLN","Sort=A","Dates=H","DateFormat=P","Fill=—","Direction=H","UseDPDF=Y")</f>
        <v>0</v>
      </c>
      <c r="J154" s="13">
        <f>_xll.BDH("AMGN US Equity","ARDR_FV_ASSETS_REC_L2_AFS_TREAS","FQ3 2020","FQ3 2020","Currency=USD","Period=FQ","BEST_FPERIOD_OVERRIDE=FQ","FILING_STATUS=MR","SCALING_FORMAT=MLN","Sort=A","Dates=H","DateFormat=P","Fill=—","Direction=H","UseDPDF=Y")</f>
        <v>0</v>
      </c>
      <c r="K154" s="13" t="str">
        <f>_xll.BDH("AMGN US Equity","ARDR_FV_ASSETS_REC_L2_AFS_TREAS","FQ4 2020","FQ4 2020","Currency=USD","Period=FQ","BEST_FPERIOD_OVERRIDE=FQ","FILING_STATUS=MR","SCALING_FORMAT=MLN","Sort=A","Dates=H","DateFormat=P","Fill=—","Direction=H","UseDPDF=Y")</f>
        <v>—</v>
      </c>
      <c r="L154" s="13">
        <f>_xll.BDH("AMGN US Equity","ARDR_FV_ASSETS_REC_L2_AFS_TREAS","FQ1 2021","FQ1 2021","Currency=USD","Period=FQ","BEST_FPERIOD_OVERRIDE=FQ","FILING_STATUS=MR","SCALING_FORMAT=MLN","Sort=A","Dates=H","DateFormat=P","Fill=—","Direction=H","UseDPDF=Y")</f>
        <v>0</v>
      </c>
      <c r="M154" s="13">
        <f>_xll.BDH("AMGN US Equity","ARDR_FV_ASSETS_REC_L2_AFS_TREAS","FQ2 2021","FQ2 2021","Currency=USD","Period=FQ","BEST_FPERIOD_OVERRIDE=FQ","FILING_STATUS=MR","SCALING_FORMAT=MLN","Sort=A","Dates=H","DateFormat=P","Fill=—","Direction=H","UseDPDF=Y")</f>
        <v>0</v>
      </c>
      <c r="N154" s="13">
        <f>_xll.BDH("AMGN US Equity","ARDR_FV_ASSETS_REC_L2_AFS_TREAS","FQ3 2021","FQ3 2021","Currency=USD","Period=FQ","BEST_FPERIOD_OVERRIDE=FQ","FILING_STATUS=MR","SCALING_FORMAT=MLN","Sort=A","Dates=H","DateFormat=P","Fill=—","Direction=H","UseDPDF=Y")</f>
        <v>0</v>
      </c>
      <c r="O154" s="13">
        <f>_xll.BDH("AMGN US Equity","ARDR_FV_ASSETS_REC_L2_AFS_TREAS","FQ4 2021","FQ4 2021","Currency=USD","Period=FQ","BEST_FPERIOD_OVERRIDE=FQ","FILING_STATUS=MR","SCALING_FORMAT=MLN","Sort=A","Dates=H","DateFormat=P","Fill=—","Direction=H","UseDPDF=Y")</f>
        <v>0</v>
      </c>
      <c r="P154" s="13">
        <f>_xll.BDH("AMGN US Equity","ARDR_FV_ASSETS_REC_L2_AFS_TREAS","FQ1 2022","FQ1 2022","Currency=USD","Period=FQ","BEST_FPERIOD_OVERRIDE=FQ","FILING_STATUS=MR","SCALING_FORMAT=MLN","Sort=A","Dates=H","DateFormat=P","Fill=—","Direction=H","UseDPDF=Y")</f>
        <v>0</v>
      </c>
      <c r="Q154" s="13">
        <f>_xll.BDH("AMGN US Equity","ARDR_FV_ASSETS_REC_L2_AFS_TREAS","FQ2 2022","FQ2 2022","Currency=USD","Period=FQ","BEST_FPERIOD_OVERRIDE=FQ","FILING_STATUS=MR","SCALING_FORMAT=MLN","Sort=A","Dates=H","DateFormat=P","Fill=—","Direction=H","UseDPDF=Y")</f>
        <v>0</v>
      </c>
      <c r="R154" s="13">
        <f>_xll.BDH("AMGN US Equity","ARDR_FV_ASSETS_REC_L2_AFS_TREAS","FQ3 2022","FQ3 2022","Currency=USD","Period=FQ","BEST_FPERIOD_OVERRIDE=FQ","FILING_STATUS=MR","SCALING_FORMAT=MLN","Sort=A","Dates=H","DateFormat=P","Fill=—","Direction=H","UseDPDF=Y")</f>
        <v>0</v>
      </c>
      <c r="S154" s="13">
        <f>_xll.BDH("AMGN US Equity","ARDR_FV_ASSETS_REC_L2_AFS_TREAS","FQ4 2022","FQ4 2022","Currency=USD","Period=FQ","BEST_FPERIOD_OVERRIDE=FQ","FILING_STATUS=MR","SCALING_FORMAT=MLN","Sort=A","Dates=H","DateFormat=P","Fill=—","Direction=H","UseDPDF=Y")</f>
        <v>0</v>
      </c>
      <c r="T154" s="13">
        <f>_xll.BDH("AMGN US Equity","ARDR_FV_ASSETS_REC_L2_AFS_TREAS","FQ1 2023","FQ1 2023","Currency=USD","Period=FQ","BEST_FPERIOD_OVERRIDE=FQ","FILING_STATUS=MR","SCALING_FORMAT=MLN","Sort=A","Dates=H","DateFormat=P","Fill=—","Direction=H","UseDPDF=Y")</f>
        <v>0</v>
      </c>
      <c r="U154" s="13" t="str">
        <f>_xll.BDH("AMGN US Equity","ARDR_FV_ASSETS_REC_L2_AFS_TREAS","FQ2 2023","FQ2 2023","Currency=USD","Period=FQ","BEST_FPERIOD_OVERRIDE=FQ","FILING_STATUS=MR","SCALING_FORMAT=MLN","Sort=A","Dates=H","DateFormat=P","Fill=—","Direction=H","UseDPDF=Y")</f>
        <v>—</v>
      </c>
      <c r="V154" s="13">
        <f>_xll.BDH("AMGN US Equity","ARDR_FV_ASSETS_REC_L2_AFS_TREAS","FQ3 2023","FQ3 2023","Currency=USD","Period=FQ","BEST_FPERIOD_OVERRIDE=FQ","FILING_STATUS=MR","SCALING_FORMAT=MLN","Sort=A","Dates=H","DateFormat=P","Fill=—","Direction=H","UseDPDF=Y")</f>
        <v>0</v>
      </c>
      <c r="W154" s="13">
        <f>_xll.BDH("AMGN US Equity","ARDR_FV_ASSETS_REC_L2_AFS_TREAS","FQ4 2023","FQ4 2023","Currency=USD","Period=FQ","BEST_FPERIOD_OVERRIDE=FQ","FILING_STATUS=MR","SCALING_FORMAT=MLN","Sort=A","Dates=H","DateFormat=P","Fill=—","Direction=H","UseDPDF=Y")</f>
        <v>0</v>
      </c>
      <c r="X154" s="13" t="str">
        <f>_xll.BDH("AMGN US Equity","ARDR_FV_ASSETS_REC_L2_AFS_TREAS","FQ1 2024","FQ1 2024","Currency=USD","Period=FQ","BEST_FPERIOD_OVERRIDE=FQ","FILING_STATUS=MR","SCALING_FORMAT=MLN","Sort=A","Dates=H","DateFormat=P","Fill=—","Direction=H","UseDPDF=Y")</f>
        <v>—</v>
      </c>
      <c r="Y154" s="13" t="str">
        <f>_xll.BDH("AMGN US Equity","ARDR_FV_ASSETS_REC_L2_AFS_TREAS","FQ2 2024","FQ2 2024","Currency=USD","Period=FQ","BEST_FPERIOD_OVERRIDE=FQ","FILING_STATUS=MR","SCALING_FORMAT=MLN","Sort=A","Dates=H","DateFormat=P","Fill=—","Direction=H","UseDPDF=Y")</f>
        <v>—</v>
      </c>
      <c r="Z154" s="13" t="str">
        <f>_xll.BDH("AMGN US Equity","ARDR_FV_ASSETS_REC_L2_AFS_TREAS","FQ3 2024","FQ3 2024","Currency=USD","Period=FQ","BEST_FPERIOD_OVERRIDE=FQ","FILING_STATUS=MR","SCALING_FORMAT=MLN","Sort=A","Dates=H","DateFormat=P","Fill=—","Direction=H","UseDPDF=Y")</f>
        <v>—</v>
      </c>
      <c r="AA154" s="13">
        <f>_xll.BDH("AMGN US Equity","ARDR_FV_ASSETS_REC_L2_AFS_TREAS","FQ4 2024","FQ4 2024","Currency=USD","Period=FQ","BEST_FPERIOD_OVERRIDE=FQ","FILING_STATUS=MR","SCALING_FORMAT=MLN","Sort=A","Dates=H","DateFormat=P","Fill=—","Direction=H","UseDPDF=Y")</f>
        <v>0</v>
      </c>
    </row>
    <row r="155" spans="1:27" x14ac:dyDescent="0.25">
      <c r="A155" s="10" t="s">
        <v>1124</v>
      </c>
      <c r="B155" s="10" t="s">
        <v>1125</v>
      </c>
      <c r="C155" s="13">
        <f>_xll.BDH("AMGN US Equity","ARDR_FV_ASTS_REC_L2_AFS_CORP_BDS","FQ4 2018","FQ4 2018","Currency=USD","Period=FQ","BEST_FPERIOD_OVERRIDE=FQ","FILING_STATUS=MR","SCALING_FORMAT=MLN","Sort=A","Dates=H","DateFormat=P","Fill=—","Direction=H","UseDPDF=Y")</f>
        <v>6133</v>
      </c>
      <c r="D155" s="13">
        <f>_xll.BDH("AMGN US Equity","ARDR_FV_ASTS_REC_L2_AFS_CORP_BDS","FQ1 2019","FQ1 2019","Currency=USD","Period=FQ","BEST_FPERIOD_OVERRIDE=FQ","FILING_STATUS=MR","SCALING_FORMAT=MLN","Sort=A","Dates=H","DateFormat=P","Fill=—","Direction=H","UseDPDF=Y")</f>
        <v>5774</v>
      </c>
      <c r="E155" s="13">
        <f>_xll.BDH("AMGN US Equity","ARDR_FV_ASTS_REC_L2_AFS_CORP_BDS","FQ2 2019","FQ2 2019","Currency=USD","Period=FQ","BEST_FPERIOD_OVERRIDE=FQ","FILING_STATUS=MR","SCALING_FORMAT=MLN","Sort=A","Dates=H","DateFormat=P","Fill=—","Direction=H","UseDPDF=Y")</f>
        <v>5743</v>
      </c>
      <c r="F155" s="13">
        <f>_xll.BDH("AMGN US Equity","ARDR_FV_ASTS_REC_L2_AFS_CORP_BDS","FQ3 2019","FQ3 2019","Currency=USD","Period=FQ","BEST_FPERIOD_OVERRIDE=FQ","FILING_STATUS=MR","SCALING_FORMAT=MLN","Sort=A","Dates=H","DateFormat=P","Fill=—","Direction=H","UseDPDF=Y")</f>
        <v>4165</v>
      </c>
      <c r="G155" s="13">
        <f>_xll.BDH("AMGN US Equity","ARDR_FV_ASTS_REC_L2_AFS_CORP_BDS","FQ4 2019","FQ4 2019","Currency=USD","Period=FQ","BEST_FPERIOD_OVERRIDE=FQ","FILING_STATUS=MR","SCALING_FORMAT=MLN","Sort=A","Dates=H","DateFormat=P","Fill=—","Direction=H","UseDPDF=Y")</f>
        <v>1214</v>
      </c>
      <c r="H155" s="13">
        <f>_xll.BDH("AMGN US Equity","ARDR_FV_ASTS_REC_L2_AFS_CORP_BDS","FQ1 2020","FQ1 2020","Currency=USD","Period=FQ","BEST_FPERIOD_OVERRIDE=FQ","FILING_STATUS=MR","SCALING_FORMAT=MLN","Sort=A","Dates=H","DateFormat=P","Fill=—","Direction=H","UseDPDF=Y")</f>
        <v>24</v>
      </c>
      <c r="I155" s="13">
        <f>_xll.BDH("AMGN US Equity","ARDR_FV_ASTS_REC_L2_AFS_CORP_BDS","FQ2 2020","FQ2 2020","Currency=USD","Period=FQ","BEST_FPERIOD_OVERRIDE=FQ","FILING_STATUS=MR","SCALING_FORMAT=MLN","Sort=A","Dates=H","DateFormat=P","Fill=—","Direction=H","UseDPDF=Y")</f>
        <v>2</v>
      </c>
      <c r="J155" s="13">
        <f>_xll.BDH("AMGN US Equity","ARDR_FV_ASTS_REC_L2_AFS_CORP_BDS","FQ3 2020","FQ3 2020","Currency=USD","Period=FQ","BEST_FPERIOD_OVERRIDE=FQ","FILING_STATUS=MR","SCALING_FORMAT=MLN","Sort=A","Dates=H","DateFormat=P","Fill=—","Direction=H","UseDPDF=Y")</f>
        <v>0</v>
      </c>
      <c r="K155" s="13" t="str">
        <f>_xll.BDH("AMGN US Equity","ARDR_FV_ASTS_REC_L2_AFS_CORP_BDS","FQ4 2020","FQ4 2020","Currency=USD","Period=FQ","BEST_FPERIOD_OVERRIDE=FQ","FILING_STATUS=MR","SCALING_FORMAT=MLN","Sort=A","Dates=H","DateFormat=P","Fill=—","Direction=H","UseDPDF=Y")</f>
        <v>—</v>
      </c>
      <c r="L155" s="13" t="str">
        <f>_xll.BDH("AMGN US Equity","ARDR_FV_ASTS_REC_L2_AFS_CORP_BDS","FQ1 2021","FQ1 2021","Currency=USD","Period=FQ","BEST_FPERIOD_OVERRIDE=FQ","FILING_STATUS=MR","SCALING_FORMAT=MLN","Sort=A","Dates=H","DateFormat=P","Fill=—","Direction=H","UseDPDF=Y")</f>
        <v>—</v>
      </c>
      <c r="M155" s="13" t="str">
        <f>_xll.BDH("AMGN US Equity","ARDR_FV_ASTS_REC_L2_AFS_CORP_BDS","FQ2 2021","FQ2 2021","Currency=USD","Period=FQ","BEST_FPERIOD_OVERRIDE=FQ","FILING_STATUS=MR","SCALING_FORMAT=MLN","Sort=A","Dates=H","DateFormat=P","Fill=—","Direction=H","UseDPDF=Y")</f>
        <v>—</v>
      </c>
      <c r="N155" s="13" t="str">
        <f>_xll.BDH("AMGN US Equity","ARDR_FV_ASTS_REC_L2_AFS_CORP_BDS","FQ3 2021","FQ3 2021","Currency=USD","Period=FQ","BEST_FPERIOD_OVERRIDE=FQ","FILING_STATUS=MR","SCALING_FORMAT=MLN","Sort=A","Dates=H","DateFormat=P","Fill=—","Direction=H","UseDPDF=Y")</f>
        <v>—</v>
      </c>
      <c r="O155" s="13" t="str">
        <f>_xll.BDH("AMGN US Equity","ARDR_FV_ASTS_REC_L2_AFS_CORP_BDS","FQ4 2021","FQ4 2021","Currency=USD","Period=FQ","BEST_FPERIOD_OVERRIDE=FQ","FILING_STATUS=MR","SCALING_FORMAT=MLN","Sort=A","Dates=H","DateFormat=P","Fill=—","Direction=H","UseDPDF=Y")</f>
        <v>—</v>
      </c>
      <c r="P155" s="13" t="str">
        <f>_xll.BDH("AMGN US Equity","ARDR_FV_ASTS_REC_L2_AFS_CORP_BDS","FQ1 2022","FQ1 2022","Currency=USD","Period=FQ","BEST_FPERIOD_OVERRIDE=FQ","FILING_STATUS=MR","SCALING_FORMAT=MLN","Sort=A","Dates=H","DateFormat=P","Fill=—","Direction=H","UseDPDF=Y")</f>
        <v>—</v>
      </c>
      <c r="Q155" s="13" t="str">
        <f>_xll.BDH("AMGN US Equity","ARDR_FV_ASTS_REC_L2_AFS_CORP_BDS","FQ2 2022","FQ2 2022","Currency=USD","Period=FQ","BEST_FPERIOD_OVERRIDE=FQ","FILING_STATUS=MR","SCALING_FORMAT=MLN","Sort=A","Dates=H","DateFormat=P","Fill=—","Direction=H","UseDPDF=Y")</f>
        <v>—</v>
      </c>
      <c r="R155" s="13" t="str">
        <f>_xll.BDH("AMGN US Equity","ARDR_FV_ASTS_REC_L2_AFS_CORP_BDS","FQ3 2022","FQ3 2022","Currency=USD","Period=FQ","BEST_FPERIOD_OVERRIDE=FQ","FILING_STATUS=MR","SCALING_FORMAT=MLN","Sort=A","Dates=H","DateFormat=P","Fill=—","Direction=H","UseDPDF=Y")</f>
        <v>—</v>
      </c>
      <c r="S155" s="13" t="str">
        <f>_xll.BDH("AMGN US Equity","ARDR_FV_ASTS_REC_L2_AFS_CORP_BDS","FQ4 2022","FQ4 2022","Currency=USD","Period=FQ","BEST_FPERIOD_OVERRIDE=FQ","FILING_STATUS=MR","SCALING_FORMAT=MLN","Sort=A","Dates=H","DateFormat=P","Fill=—","Direction=H","UseDPDF=Y")</f>
        <v>—</v>
      </c>
      <c r="T155" s="13" t="str">
        <f>_xll.BDH("AMGN US Equity","ARDR_FV_ASTS_REC_L2_AFS_CORP_BDS","FQ1 2023","FQ1 2023","Currency=USD","Period=FQ","BEST_FPERIOD_OVERRIDE=FQ","FILING_STATUS=MR","SCALING_FORMAT=MLN","Sort=A","Dates=H","DateFormat=P","Fill=—","Direction=H","UseDPDF=Y")</f>
        <v>—</v>
      </c>
      <c r="U155" s="13" t="str">
        <f>_xll.BDH("AMGN US Equity","ARDR_FV_ASTS_REC_L2_AFS_CORP_BDS","FQ2 2023","FQ2 2023","Currency=USD","Period=FQ","BEST_FPERIOD_OVERRIDE=FQ","FILING_STATUS=MR","SCALING_FORMAT=MLN","Sort=A","Dates=H","DateFormat=P","Fill=—","Direction=H","UseDPDF=Y")</f>
        <v>—</v>
      </c>
      <c r="V155" s="13" t="str">
        <f>_xll.BDH("AMGN US Equity","ARDR_FV_ASTS_REC_L2_AFS_CORP_BDS","FQ3 2023","FQ3 2023","Currency=USD","Period=FQ","BEST_FPERIOD_OVERRIDE=FQ","FILING_STATUS=MR","SCALING_FORMAT=MLN","Sort=A","Dates=H","DateFormat=P","Fill=—","Direction=H","UseDPDF=Y")</f>
        <v>—</v>
      </c>
      <c r="W155" s="13" t="str">
        <f>_xll.BDH("AMGN US Equity","ARDR_FV_ASTS_REC_L2_AFS_CORP_BDS","FQ4 2023","FQ4 2023","Currency=USD","Period=FQ","BEST_FPERIOD_OVERRIDE=FQ","FILING_STATUS=MR","SCALING_FORMAT=MLN","Sort=A","Dates=H","DateFormat=P","Fill=—","Direction=H","UseDPDF=Y")</f>
        <v>—</v>
      </c>
      <c r="X155" s="13" t="str">
        <f>_xll.BDH("AMGN US Equity","ARDR_FV_ASTS_REC_L2_AFS_CORP_BDS","FQ1 2024","FQ1 2024","Currency=USD","Period=FQ","BEST_FPERIOD_OVERRIDE=FQ","FILING_STATUS=MR","SCALING_FORMAT=MLN","Sort=A","Dates=H","DateFormat=P","Fill=—","Direction=H","UseDPDF=Y")</f>
        <v>—</v>
      </c>
      <c r="Y155" s="13" t="str">
        <f>_xll.BDH("AMGN US Equity","ARDR_FV_ASTS_REC_L2_AFS_CORP_BDS","FQ2 2024","FQ2 2024","Currency=USD","Period=FQ","BEST_FPERIOD_OVERRIDE=FQ","FILING_STATUS=MR","SCALING_FORMAT=MLN","Sort=A","Dates=H","DateFormat=P","Fill=—","Direction=H","UseDPDF=Y")</f>
        <v>—</v>
      </c>
      <c r="Z155" s="13">
        <f>_xll.BDH("AMGN US Equity","ARDR_FV_ASTS_REC_L2_AFS_CORP_BDS","FQ3 2024","FQ3 2024","Currency=USD","Period=FQ","BEST_FPERIOD_OVERRIDE=FQ","FILING_STATUS=MR","SCALING_FORMAT=MLN","Sort=A","Dates=H","DateFormat=P","Fill=—","Direction=H","UseDPDF=Y")</f>
        <v>0</v>
      </c>
      <c r="AA155" s="13" t="str">
        <f>_xll.BDH("AMGN US Equity","ARDR_FV_ASTS_REC_L2_AFS_CORP_BDS","FQ4 2024","FQ4 2024","Currency=USD","Period=FQ","BEST_FPERIOD_OVERRIDE=FQ","FILING_STATUS=MR","SCALING_FORMAT=MLN","Sort=A","Dates=H","DateFormat=P","Fill=—","Direction=H","UseDPDF=Y")</f>
        <v>—</v>
      </c>
    </row>
    <row r="156" spans="1:27" x14ac:dyDescent="0.25">
      <c r="A156" s="10" t="s">
        <v>1126</v>
      </c>
      <c r="B156" s="10" t="s">
        <v>1127</v>
      </c>
      <c r="C156" s="13">
        <f>_xll.BDH("AMGN US Equity","ARDR_FV_ASTS_REC_L2_AFS_GSE_CMO","FQ4 2018","FQ4 2018","Currency=USD","Period=FQ","BEST_FPERIOD_OVERRIDE=FQ","FILING_STATUS=MR","SCALING_FORMAT=MLN","Sort=A","Dates=H","DateFormat=P","Fill=—","Direction=H","UseDPDF=Y")</f>
        <v>562</v>
      </c>
      <c r="D156" s="13">
        <f>_xll.BDH("AMGN US Equity","ARDR_FV_ASTS_REC_L2_AFS_GSE_CMO","FQ1 2019","FQ1 2019","Currency=USD","Period=FQ","BEST_FPERIOD_OVERRIDE=FQ","FILING_STATUS=MR","SCALING_FORMAT=MLN","Sort=A","Dates=H","DateFormat=P","Fill=—","Direction=H","UseDPDF=Y")</f>
        <v>1382</v>
      </c>
      <c r="E156" s="13">
        <f>_xll.BDH("AMGN US Equity","ARDR_FV_ASTS_REC_L2_AFS_GSE_CMO","FQ2 2019","FQ2 2019","Currency=USD","Period=FQ","BEST_FPERIOD_OVERRIDE=FQ","FILING_STATUS=MR","SCALING_FORMAT=MLN","Sort=A","Dates=H","DateFormat=P","Fill=—","Direction=H","UseDPDF=Y")</f>
        <v>1333</v>
      </c>
      <c r="F156" s="13">
        <f>_xll.BDH("AMGN US Equity","ARDR_FV_ASTS_REC_L2_AFS_GSE_CMO","FQ3 2019","FQ3 2019","Currency=USD","Period=FQ","BEST_FPERIOD_OVERRIDE=FQ","FILING_STATUS=MR","SCALING_FORMAT=MLN","Sort=A","Dates=H","DateFormat=P","Fill=—","Direction=H","UseDPDF=Y")</f>
        <v>537</v>
      </c>
      <c r="G156" s="13">
        <f>_xll.BDH("AMGN US Equity","ARDR_FV_ASTS_REC_L2_AFS_GSE_CMO","FQ4 2019","FQ4 2019","Currency=USD","Period=FQ","BEST_FPERIOD_OVERRIDE=FQ","FILING_STATUS=MR","SCALING_FORMAT=MLN","Sort=A","Dates=H","DateFormat=P","Fill=—","Direction=H","UseDPDF=Y")</f>
        <v>0</v>
      </c>
      <c r="H156" s="13">
        <f>_xll.BDH("AMGN US Equity","ARDR_FV_ASTS_REC_L2_AFS_GSE_CMO","FQ1 2020","FQ1 2020","Currency=USD","Period=FQ","BEST_FPERIOD_OVERRIDE=FQ","FILING_STATUS=MR","SCALING_FORMAT=MLN","Sort=A","Dates=H","DateFormat=P","Fill=—","Direction=H","UseDPDF=Y")</f>
        <v>0</v>
      </c>
      <c r="I156" s="13">
        <f>_xll.BDH("AMGN US Equity","ARDR_FV_ASTS_REC_L2_AFS_GSE_CMO","FQ2 2020","FQ2 2020","Currency=USD","Period=FQ","BEST_FPERIOD_OVERRIDE=FQ","FILING_STATUS=MR","SCALING_FORMAT=MLN","Sort=A","Dates=H","DateFormat=P","Fill=—","Direction=H","UseDPDF=Y")</f>
        <v>0</v>
      </c>
      <c r="J156" s="13">
        <f>_xll.BDH("AMGN US Equity","ARDR_FV_ASTS_REC_L2_AFS_GSE_CMO","FQ3 2020","FQ3 2020","Currency=USD","Period=FQ","BEST_FPERIOD_OVERRIDE=FQ","FILING_STATUS=MR","SCALING_FORMAT=MLN","Sort=A","Dates=H","DateFormat=P","Fill=—","Direction=H","UseDPDF=Y")</f>
        <v>0</v>
      </c>
      <c r="K156" s="13" t="str">
        <f>_xll.BDH("AMGN US Equity","ARDR_FV_ASTS_REC_L2_AFS_GSE_CMO","FQ4 2020","FQ4 2020","Currency=USD","Period=FQ","BEST_FPERIOD_OVERRIDE=FQ","FILING_STATUS=MR","SCALING_FORMAT=MLN","Sort=A","Dates=H","DateFormat=P","Fill=—","Direction=H","UseDPDF=Y")</f>
        <v>—</v>
      </c>
      <c r="L156" s="13" t="str">
        <f>_xll.BDH("AMGN US Equity","ARDR_FV_ASTS_REC_L2_AFS_GSE_CMO","FQ1 2021","FQ1 2021","Currency=USD","Period=FQ","BEST_FPERIOD_OVERRIDE=FQ","FILING_STATUS=MR","SCALING_FORMAT=MLN","Sort=A","Dates=H","DateFormat=P","Fill=—","Direction=H","UseDPDF=Y")</f>
        <v>—</v>
      </c>
      <c r="M156" s="13" t="str">
        <f>_xll.BDH("AMGN US Equity","ARDR_FV_ASTS_REC_L2_AFS_GSE_CMO","FQ2 2021","FQ2 2021","Currency=USD","Period=FQ","BEST_FPERIOD_OVERRIDE=FQ","FILING_STATUS=MR","SCALING_FORMAT=MLN","Sort=A","Dates=H","DateFormat=P","Fill=—","Direction=H","UseDPDF=Y")</f>
        <v>—</v>
      </c>
      <c r="N156" s="13" t="str">
        <f>_xll.BDH("AMGN US Equity","ARDR_FV_ASTS_REC_L2_AFS_GSE_CMO","FQ3 2021","FQ3 2021","Currency=USD","Period=FQ","BEST_FPERIOD_OVERRIDE=FQ","FILING_STATUS=MR","SCALING_FORMAT=MLN","Sort=A","Dates=H","DateFormat=P","Fill=—","Direction=H","UseDPDF=Y")</f>
        <v>—</v>
      </c>
      <c r="O156" s="13" t="str">
        <f>_xll.BDH("AMGN US Equity","ARDR_FV_ASTS_REC_L2_AFS_GSE_CMO","FQ4 2021","FQ4 2021","Currency=USD","Period=FQ","BEST_FPERIOD_OVERRIDE=FQ","FILING_STATUS=MR","SCALING_FORMAT=MLN","Sort=A","Dates=H","DateFormat=P","Fill=—","Direction=H","UseDPDF=Y")</f>
        <v>—</v>
      </c>
      <c r="P156" s="13" t="str">
        <f>_xll.BDH("AMGN US Equity","ARDR_FV_ASTS_REC_L2_AFS_GSE_CMO","FQ1 2022","FQ1 2022","Currency=USD","Period=FQ","BEST_FPERIOD_OVERRIDE=FQ","FILING_STATUS=MR","SCALING_FORMAT=MLN","Sort=A","Dates=H","DateFormat=P","Fill=—","Direction=H","UseDPDF=Y")</f>
        <v>—</v>
      </c>
      <c r="Q156" s="13" t="str">
        <f>_xll.BDH("AMGN US Equity","ARDR_FV_ASTS_REC_L2_AFS_GSE_CMO","FQ2 2022","FQ2 2022","Currency=USD","Period=FQ","BEST_FPERIOD_OVERRIDE=FQ","FILING_STATUS=MR","SCALING_FORMAT=MLN","Sort=A","Dates=H","DateFormat=P","Fill=—","Direction=H","UseDPDF=Y")</f>
        <v>—</v>
      </c>
      <c r="R156" s="13" t="str">
        <f>_xll.BDH("AMGN US Equity","ARDR_FV_ASTS_REC_L2_AFS_GSE_CMO","FQ3 2022","FQ3 2022","Currency=USD","Period=FQ","BEST_FPERIOD_OVERRIDE=FQ","FILING_STATUS=MR","SCALING_FORMAT=MLN","Sort=A","Dates=H","DateFormat=P","Fill=—","Direction=H","UseDPDF=Y")</f>
        <v>—</v>
      </c>
      <c r="S156" s="13" t="str">
        <f>_xll.BDH("AMGN US Equity","ARDR_FV_ASTS_REC_L2_AFS_GSE_CMO","FQ4 2022","FQ4 2022","Currency=USD","Period=FQ","BEST_FPERIOD_OVERRIDE=FQ","FILING_STATUS=MR","SCALING_FORMAT=MLN","Sort=A","Dates=H","DateFormat=P","Fill=—","Direction=H","UseDPDF=Y")</f>
        <v>—</v>
      </c>
      <c r="T156" s="13" t="str">
        <f>_xll.BDH("AMGN US Equity","ARDR_FV_ASTS_REC_L2_AFS_GSE_CMO","FQ1 2023","FQ1 2023","Currency=USD","Period=FQ","BEST_FPERIOD_OVERRIDE=FQ","FILING_STATUS=MR","SCALING_FORMAT=MLN","Sort=A","Dates=H","DateFormat=P","Fill=—","Direction=H","UseDPDF=Y")</f>
        <v>—</v>
      </c>
      <c r="U156" s="13" t="str">
        <f>_xll.BDH("AMGN US Equity","ARDR_FV_ASTS_REC_L2_AFS_GSE_CMO","FQ2 2023","FQ2 2023","Currency=USD","Period=FQ","BEST_FPERIOD_OVERRIDE=FQ","FILING_STATUS=MR","SCALING_FORMAT=MLN","Sort=A","Dates=H","DateFormat=P","Fill=—","Direction=H","UseDPDF=Y")</f>
        <v>—</v>
      </c>
      <c r="V156" s="13" t="str">
        <f>_xll.BDH("AMGN US Equity","ARDR_FV_ASTS_REC_L2_AFS_GSE_CMO","FQ3 2023","FQ3 2023","Currency=USD","Period=FQ","BEST_FPERIOD_OVERRIDE=FQ","FILING_STATUS=MR","SCALING_FORMAT=MLN","Sort=A","Dates=H","DateFormat=P","Fill=—","Direction=H","UseDPDF=Y")</f>
        <v>—</v>
      </c>
      <c r="W156" s="13" t="str">
        <f>_xll.BDH("AMGN US Equity","ARDR_FV_ASTS_REC_L2_AFS_GSE_CMO","FQ4 2023","FQ4 2023","Currency=USD","Period=FQ","BEST_FPERIOD_OVERRIDE=FQ","FILING_STATUS=MR","SCALING_FORMAT=MLN","Sort=A","Dates=H","DateFormat=P","Fill=—","Direction=H","UseDPDF=Y")</f>
        <v>—</v>
      </c>
      <c r="X156" s="13" t="str">
        <f>_xll.BDH("AMGN US Equity","ARDR_FV_ASTS_REC_L2_AFS_GSE_CMO","FQ1 2024","FQ1 2024","Currency=USD","Period=FQ","BEST_FPERIOD_OVERRIDE=FQ","FILING_STATUS=MR","SCALING_FORMAT=MLN","Sort=A","Dates=H","DateFormat=P","Fill=—","Direction=H","UseDPDF=Y")</f>
        <v>—</v>
      </c>
      <c r="Y156" s="13" t="str">
        <f>_xll.BDH("AMGN US Equity","ARDR_FV_ASTS_REC_L2_AFS_GSE_CMO","FQ2 2024","FQ2 2024","Currency=USD","Period=FQ","BEST_FPERIOD_OVERRIDE=FQ","FILING_STATUS=MR","SCALING_FORMAT=MLN","Sort=A","Dates=H","DateFormat=P","Fill=—","Direction=H","UseDPDF=Y")</f>
        <v>—</v>
      </c>
      <c r="Z156" s="13" t="str">
        <f>_xll.BDH("AMGN US Equity","ARDR_FV_ASTS_REC_L2_AFS_GSE_CMO","FQ3 2024","FQ3 2024","Currency=USD","Period=FQ","BEST_FPERIOD_OVERRIDE=FQ","FILING_STATUS=MR","SCALING_FORMAT=MLN","Sort=A","Dates=H","DateFormat=P","Fill=—","Direction=H","UseDPDF=Y")</f>
        <v>—</v>
      </c>
      <c r="AA156" s="13">
        <f>_xll.BDH("AMGN US Equity","ARDR_FV_ASTS_REC_L2_AFS_GSE_CMO","FQ4 2024","FQ4 2024","Currency=USD","Period=FQ","BEST_FPERIOD_OVERRIDE=FQ","FILING_STATUS=MR","SCALING_FORMAT=MLN","Sort=A","Dates=H","DateFormat=P","Fill=—","Direction=H","UseDPDF=Y")</f>
        <v>135</v>
      </c>
    </row>
    <row r="157" spans="1:27" x14ac:dyDescent="0.25">
      <c r="A157" s="10" t="s">
        <v>1128</v>
      </c>
      <c r="B157" s="10" t="s">
        <v>1129</v>
      </c>
      <c r="C157" s="13">
        <f>_xll.BDH("AMGN US Equity","ARDR_FV_ASTS_REC_L2_AFS_NON_GSE","FQ4 2018","FQ4 2018","Currency=USD","Period=FQ","BEST_FPERIOD_OVERRIDE=FQ","FILING_STATUS=MR","SCALING_FORMAT=MLN","Sort=A","Dates=H","DateFormat=P","Fill=—","Direction=H","UseDPDF=Y")</f>
        <v>1891</v>
      </c>
      <c r="D157" s="13">
        <f>_xll.BDH("AMGN US Equity","ARDR_FV_ASTS_REC_L2_AFS_NON_GSE","FQ1 2019","FQ1 2019","Currency=USD","Period=FQ","BEST_FPERIOD_OVERRIDE=FQ","FILING_STATUS=MR","SCALING_FORMAT=MLN","Sort=A","Dates=H","DateFormat=P","Fill=—","Direction=H","UseDPDF=Y")</f>
        <v>1536</v>
      </c>
      <c r="E157" s="13">
        <f>_xll.BDH("AMGN US Equity","ARDR_FV_ASTS_REC_L2_AFS_NON_GSE","FQ2 2019","FQ2 2019","Currency=USD","Period=FQ","BEST_FPERIOD_OVERRIDE=FQ","FILING_STATUS=MR","SCALING_FORMAT=MLN","Sort=A","Dates=H","DateFormat=P","Fill=—","Direction=H","UseDPDF=Y")</f>
        <v>1552</v>
      </c>
      <c r="F157" s="13">
        <f>_xll.BDH("AMGN US Equity","ARDR_FV_ASTS_REC_L2_AFS_NON_GSE","FQ3 2019","FQ3 2019","Currency=USD","Period=FQ","BEST_FPERIOD_OVERRIDE=FQ","FILING_STATUS=MR","SCALING_FORMAT=MLN","Sort=A","Dates=H","DateFormat=P","Fill=—","Direction=H","UseDPDF=Y")</f>
        <v>559</v>
      </c>
      <c r="G157" s="13">
        <f>_xll.BDH("AMGN US Equity","ARDR_FV_ASTS_REC_L2_AFS_NON_GSE","FQ4 2019","FQ4 2019","Currency=USD","Period=FQ","BEST_FPERIOD_OVERRIDE=FQ","FILING_STATUS=MR","SCALING_FORMAT=MLN","Sort=A","Dates=H","DateFormat=P","Fill=—","Direction=H","UseDPDF=Y")</f>
        <v>513</v>
      </c>
      <c r="H157" s="13">
        <f>_xll.BDH("AMGN US Equity","ARDR_FV_ASTS_REC_L2_AFS_NON_GSE","FQ1 2020","FQ1 2020","Currency=USD","Period=FQ","BEST_FPERIOD_OVERRIDE=FQ","FILING_STATUS=MR","SCALING_FORMAT=MLN","Sort=A","Dates=H","DateFormat=P","Fill=—","Direction=H","UseDPDF=Y")</f>
        <v>432</v>
      </c>
      <c r="I157" s="13" t="str">
        <f>_xll.BDH("AMGN US Equity","ARDR_FV_ASTS_REC_L2_AFS_NON_GSE","FQ2 2020","FQ2 2020","Currency=USD","Period=FQ","BEST_FPERIOD_OVERRIDE=FQ","FILING_STATUS=MR","SCALING_FORMAT=MLN","Sort=A","Dates=H","DateFormat=P","Fill=—","Direction=H","UseDPDF=Y")</f>
        <v>—</v>
      </c>
      <c r="J157" s="13">
        <f>_xll.BDH("AMGN US Equity","ARDR_FV_ASTS_REC_L2_AFS_NON_GSE","FQ3 2020","FQ3 2020","Currency=USD","Period=FQ","BEST_FPERIOD_OVERRIDE=FQ","FILING_STATUS=MR","SCALING_FORMAT=MLN","Sort=A","Dates=H","DateFormat=P","Fill=—","Direction=H","UseDPDF=Y")</f>
        <v>111</v>
      </c>
      <c r="K157" s="13">
        <f>_xll.BDH("AMGN US Equity","ARDR_FV_ASTS_REC_L2_AFS_NON_GSE","FQ4 2020","FQ4 2020","Currency=USD","Period=FQ","BEST_FPERIOD_OVERRIDE=FQ","FILING_STATUS=MR","SCALING_FORMAT=MLN","Sort=A","Dates=H","DateFormat=P","Fill=—","Direction=H","UseDPDF=Y")</f>
        <v>30</v>
      </c>
      <c r="L157" s="13">
        <f>_xll.BDH("AMGN US Equity","ARDR_FV_ASTS_REC_L2_AFS_NON_GSE","FQ1 2021","FQ1 2021","Currency=USD","Period=FQ","BEST_FPERIOD_OVERRIDE=FQ","FILING_STATUS=MR","SCALING_FORMAT=MLN","Sort=A","Dates=H","DateFormat=P","Fill=—","Direction=H","UseDPDF=Y")</f>
        <v>0</v>
      </c>
      <c r="M157" s="13">
        <f>_xll.BDH("AMGN US Equity","ARDR_FV_ASTS_REC_L2_AFS_NON_GSE","FQ2 2021","FQ2 2021","Currency=USD","Period=FQ","BEST_FPERIOD_OVERRIDE=FQ","FILING_STATUS=MR","SCALING_FORMAT=MLN","Sort=A","Dates=H","DateFormat=P","Fill=—","Direction=H","UseDPDF=Y")</f>
        <v>0</v>
      </c>
      <c r="N157" s="13" t="str">
        <f>_xll.BDH("AMGN US Equity","ARDR_FV_ASTS_REC_L2_AFS_NON_GSE","FQ3 2021","FQ3 2021","Currency=USD","Period=FQ","BEST_FPERIOD_OVERRIDE=FQ","FILING_STATUS=MR","SCALING_FORMAT=MLN","Sort=A","Dates=H","DateFormat=P","Fill=—","Direction=H","UseDPDF=Y")</f>
        <v>—</v>
      </c>
      <c r="O157" s="13">
        <f>_xll.BDH("AMGN US Equity","ARDR_FV_ASTS_REC_L2_AFS_NON_GSE","FQ4 2021","FQ4 2021","Currency=USD","Period=FQ","BEST_FPERIOD_OVERRIDE=FQ","FILING_STATUS=MR","SCALING_FORMAT=MLN","Sort=A","Dates=H","DateFormat=P","Fill=—","Direction=H","UseDPDF=Y")</f>
        <v>0</v>
      </c>
      <c r="P157" s="13">
        <f>_xll.BDH("AMGN US Equity","ARDR_FV_ASTS_REC_L2_AFS_NON_GSE","FQ1 2022","FQ1 2022","Currency=USD","Period=FQ","BEST_FPERIOD_OVERRIDE=FQ","FILING_STATUS=MR","SCALING_FORMAT=MLN","Sort=A","Dates=H","DateFormat=P","Fill=—","Direction=H","UseDPDF=Y")</f>
        <v>0</v>
      </c>
      <c r="Q157" s="13">
        <f>_xll.BDH("AMGN US Equity","ARDR_FV_ASTS_REC_L2_AFS_NON_GSE","FQ2 2022","FQ2 2022","Currency=USD","Period=FQ","BEST_FPERIOD_OVERRIDE=FQ","FILING_STATUS=MR","SCALING_FORMAT=MLN","Sort=A","Dates=H","DateFormat=P","Fill=—","Direction=H","UseDPDF=Y")</f>
        <v>0</v>
      </c>
      <c r="R157" s="13">
        <f>_xll.BDH("AMGN US Equity","ARDR_FV_ASTS_REC_L2_AFS_NON_GSE","FQ3 2022","FQ3 2022","Currency=USD","Period=FQ","BEST_FPERIOD_OVERRIDE=FQ","FILING_STATUS=MR","SCALING_FORMAT=MLN","Sort=A","Dates=H","DateFormat=P","Fill=—","Direction=H","UseDPDF=Y")</f>
        <v>0</v>
      </c>
      <c r="S157" s="13">
        <f>_xll.BDH("AMGN US Equity","ARDR_FV_ASTS_REC_L2_AFS_NON_GSE","FQ4 2022","FQ4 2022","Currency=USD","Period=FQ","BEST_FPERIOD_OVERRIDE=FQ","FILING_STATUS=MR","SCALING_FORMAT=MLN","Sort=A","Dates=H","DateFormat=P","Fill=—","Direction=H","UseDPDF=Y")</f>
        <v>0</v>
      </c>
      <c r="T157" s="13">
        <f>_xll.BDH("AMGN US Equity","ARDR_FV_ASTS_REC_L2_AFS_NON_GSE","FQ1 2023","FQ1 2023","Currency=USD","Period=FQ","BEST_FPERIOD_OVERRIDE=FQ","FILING_STATUS=MR","SCALING_FORMAT=MLN","Sort=A","Dates=H","DateFormat=P","Fill=—","Direction=H","UseDPDF=Y")</f>
        <v>0</v>
      </c>
      <c r="U157" s="13" t="str">
        <f>_xll.BDH("AMGN US Equity","ARDR_FV_ASTS_REC_L2_AFS_NON_GSE","FQ2 2023","FQ2 2023","Currency=USD","Period=FQ","BEST_FPERIOD_OVERRIDE=FQ","FILING_STATUS=MR","SCALING_FORMAT=MLN","Sort=A","Dates=H","DateFormat=P","Fill=—","Direction=H","UseDPDF=Y")</f>
        <v>—</v>
      </c>
      <c r="V157" s="13">
        <f>_xll.BDH("AMGN US Equity","ARDR_FV_ASTS_REC_L2_AFS_NON_GSE","FQ3 2023","FQ3 2023","Currency=USD","Period=FQ","BEST_FPERIOD_OVERRIDE=FQ","FILING_STATUS=MR","SCALING_FORMAT=MLN","Sort=A","Dates=H","DateFormat=P","Fill=—","Direction=H","UseDPDF=Y")</f>
        <v>0</v>
      </c>
      <c r="W157" s="13">
        <f>_xll.BDH("AMGN US Equity","ARDR_FV_ASTS_REC_L2_AFS_NON_GSE","FQ4 2023","FQ4 2023","Currency=USD","Period=FQ","BEST_FPERIOD_OVERRIDE=FQ","FILING_STATUS=MR","SCALING_FORMAT=MLN","Sort=A","Dates=H","DateFormat=P","Fill=—","Direction=H","UseDPDF=Y")</f>
        <v>0</v>
      </c>
      <c r="X157" s="13" t="str">
        <f>_xll.BDH("AMGN US Equity","ARDR_FV_ASTS_REC_L2_AFS_NON_GSE","FQ1 2024","FQ1 2024","Currency=USD","Period=FQ","BEST_FPERIOD_OVERRIDE=FQ","FILING_STATUS=MR","SCALING_FORMAT=MLN","Sort=A","Dates=H","DateFormat=P","Fill=—","Direction=H","UseDPDF=Y")</f>
        <v>—</v>
      </c>
      <c r="Y157" s="13" t="str">
        <f>_xll.BDH("AMGN US Equity","ARDR_FV_ASTS_REC_L2_AFS_NON_GSE","FQ2 2024","FQ2 2024","Currency=USD","Period=FQ","BEST_FPERIOD_OVERRIDE=FQ","FILING_STATUS=MR","SCALING_FORMAT=MLN","Sort=A","Dates=H","DateFormat=P","Fill=—","Direction=H","UseDPDF=Y")</f>
        <v>—</v>
      </c>
      <c r="Z157" s="13" t="str">
        <f>_xll.BDH("AMGN US Equity","ARDR_FV_ASTS_REC_L2_AFS_NON_GSE","FQ3 2024","FQ3 2024","Currency=USD","Period=FQ","BEST_FPERIOD_OVERRIDE=FQ","FILING_STATUS=MR","SCALING_FORMAT=MLN","Sort=A","Dates=H","DateFormat=P","Fill=—","Direction=H","UseDPDF=Y")</f>
        <v>—</v>
      </c>
      <c r="AA157" s="13">
        <f>_xll.BDH("AMGN US Equity","ARDR_FV_ASTS_REC_L2_AFS_NON_GSE","FQ4 2024","FQ4 2024","Currency=USD","Period=FQ","BEST_FPERIOD_OVERRIDE=FQ","FILING_STATUS=MR","SCALING_FORMAT=MLN","Sort=A","Dates=H","DateFormat=P","Fill=—","Direction=H","UseDPDF=Y")</f>
        <v>0</v>
      </c>
    </row>
    <row r="158" spans="1:27" x14ac:dyDescent="0.25">
      <c r="A158" s="10" t="s">
        <v>1130</v>
      </c>
      <c r="B158" s="10" t="s">
        <v>1131</v>
      </c>
      <c r="C158" s="13">
        <f>_xll.BDH("AMGN US Equity","ARDR_FV_ASSETS_REC_L2_AFS_OTHER","FQ4 2018","FQ4 2018","Currency=USD","Period=FQ","BEST_FPERIOD_OVERRIDE=FQ","FILING_STATUS=MR","SCALING_FORMAT=MLN","Sort=A","Dates=H","DateFormat=P","Fill=—","Direction=H","UseDPDF=Y")</f>
        <v>3515</v>
      </c>
      <c r="D158" s="13">
        <f>_xll.BDH("AMGN US Equity","ARDR_FV_ASSETS_REC_L2_AFS_OTHER","FQ1 2019","FQ1 2019","Currency=USD","Period=FQ","BEST_FPERIOD_OVERRIDE=FQ","FILING_STATUS=MR","SCALING_FORMAT=MLN","Sort=A","Dates=H","DateFormat=P","Fill=—","Direction=H","UseDPDF=Y")</f>
        <v>6428</v>
      </c>
      <c r="E158" s="13">
        <f>_xll.BDH("AMGN US Equity","ARDR_FV_ASSETS_REC_L2_AFS_OTHER","FQ2 2019","FQ2 2019","Currency=USD","Period=FQ","BEST_FPERIOD_OVERRIDE=FQ","FILING_STATUS=MR","SCALING_FORMAT=MLN","Sort=A","Dates=H","DateFormat=P","Fill=—","Direction=H","UseDPDF=Y")</f>
        <v>2389</v>
      </c>
      <c r="F158" s="13">
        <f>_xll.BDH("AMGN US Equity","ARDR_FV_ASSETS_REC_L2_AFS_OTHER","FQ3 2019","FQ3 2019","Currency=USD","Period=FQ","BEST_FPERIOD_OVERRIDE=FQ","FILING_STATUS=MR","SCALING_FORMAT=MLN","Sort=A","Dates=H","DateFormat=P","Fill=—","Direction=H","UseDPDF=Y")</f>
        <v>3288</v>
      </c>
      <c r="G158" s="13">
        <f>_xll.BDH("AMGN US Equity","ARDR_FV_ASSETS_REC_L2_AFS_OTHER","FQ4 2019","FQ4 2019","Currency=USD","Period=FQ","BEST_FPERIOD_OVERRIDE=FQ","FILING_STATUS=MR","SCALING_FORMAT=MLN","Sort=A","Dates=H","DateFormat=P","Fill=—","Direction=H","UseDPDF=Y")</f>
        <v>325</v>
      </c>
      <c r="H158" s="13" t="str">
        <f>_xll.BDH("AMGN US Equity","ARDR_FV_ASSETS_REC_L2_AFS_OTHER","FQ1 2020","FQ1 2020","Currency=USD","Period=FQ","BEST_FPERIOD_OVERRIDE=FQ","FILING_STATUS=MR","SCALING_FORMAT=MLN","Sort=A","Dates=H","DateFormat=P","Fill=—","Direction=H","UseDPDF=Y")</f>
        <v>—</v>
      </c>
      <c r="I158" s="13">
        <f>_xll.BDH("AMGN US Equity","ARDR_FV_ASSETS_REC_L2_AFS_OTHER","FQ2 2020","FQ2 2020","Currency=USD","Period=FQ","BEST_FPERIOD_OVERRIDE=FQ","FILING_STATUS=MR","SCALING_FORMAT=MLN","Sort=A","Dates=H","DateFormat=P","Fill=—","Direction=H","UseDPDF=Y")</f>
        <v>0</v>
      </c>
      <c r="J158" s="13">
        <f>_xll.BDH("AMGN US Equity","ARDR_FV_ASSETS_REC_L2_AFS_OTHER","FQ3 2020","FQ3 2020","Currency=USD","Period=FQ","BEST_FPERIOD_OVERRIDE=FQ","FILING_STATUS=MR","SCALING_FORMAT=MLN","Sort=A","Dates=H","DateFormat=P","Fill=—","Direction=H","UseDPDF=Y")</f>
        <v>233</v>
      </c>
      <c r="K158" s="13">
        <f>_xll.BDH("AMGN US Equity","ARDR_FV_ASSETS_REC_L2_AFS_OTHER","FQ4 2020","FQ4 2020","Currency=USD","Period=FQ","BEST_FPERIOD_OVERRIDE=FQ","FILING_STATUS=MR","SCALING_FORMAT=MLN","Sort=A","Dates=H","DateFormat=P","Fill=—","Direction=H","UseDPDF=Y")</f>
        <v>321</v>
      </c>
      <c r="L158" s="13">
        <f>_xll.BDH("AMGN US Equity","ARDR_FV_ASSETS_REC_L2_AFS_OTHER","FQ1 2021","FQ1 2021","Currency=USD","Period=FQ","BEST_FPERIOD_OVERRIDE=FQ","FILING_STATUS=MR","SCALING_FORMAT=MLN","Sort=A","Dates=H","DateFormat=P","Fill=—","Direction=H","UseDPDF=Y")</f>
        <v>0</v>
      </c>
      <c r="M158" s="13" t="str">
        <f>_xll.BDH("AMGN US Equity","ARDR_FV_ASSETS_REC_L2_AFS_OTHER","FQ2 2021","FQ2 2021","Currency=USD","Period=FQ","BEST_FPERIOD_OVERRIDE=FQ","FILING_STATUS=MR","SCALING_FORMAT=MLN","Sort=A","Dates=H","DateFormat=P","Fill=—","Direction=H","UseDPDF=Y")</f>
        <v>—</v>
      </c>
      <c r="N158" s="13">
        <f>_xll.BDH("AMGN US Equity","ARDR_FV_ASSETS_REC_L2_AFS_OTHER","FQ3 2021","FQ3 2021","Currency=USD","Period=FQ","BEST_FPERIOD_OVERRIDE=FQ","FILING_STATUS=MR","SCALING_FORMAT=MLN","Sort=A","Dates=H","DateFormat=P","Fill=—","Direction=H","UseDPDF=Y")</f>
        <v>1</v>
      </c>
      <c r="O158" s="13" t="str">
        <f>_xll.BDH("AMGN US Equity","ARDR_FV_ASSETS_REC_L2_AFS_OTHER","FQ4 2021","FQ4 2021","Currency=USD","Period=FQ","BEST_FPERIOD_OVERRIDE=FQ","FILING_STATUS=MR","SCALING_FORMAT=MLN","Sort=A","Dates=H","DateFormat=P","Fill=—","Direction=H","UseDPDF=Y")</f>
        <v>—</v>
      </c>
      <c r="P158" s="13" t="str">
        <f>_xll.BDH("AMGN US Equity","ARDR_FV_ASSETS_REC_L2_AFS_OTHER","FQ1 2022","FQ1 2022","Currency=USD","Period=FQ","BEST_FPERIOD_OVERRIDE=FQ","FILING_STATUS=MR","SCALING_FORMAT=MLN","Sort=A","Dates=H","DateFormat=P","Fill=—","Direction=H","UseDPDF=Y")</f>
        <v>—</v>
      </c>
      <c r="Q158" s="13" t="str">
        <f>_xll.BDH("AMGN US Equity","ARDR_FV_ASSETS_REC_L2_AFS_OTHER","FQ2 2022","FQ2 2022","Currency=USD","Period=FQ","BEST_FPERIOD_OVERRIDE=FQ","FILING_STATUS=MR","SCALING_FORMAT=MLN","Sort=A","Dates=H","DateFormat=P","Fill=—","Direction=H","UseDPDF=Y")</f>
        <v>—</v>
      </c>
      <c r="R158" s="13" t="str">
        <f>_xll.BDH("AMGN US Equity","ARDR_FV_ASSETS_REC_L2_AFS_OTHER","FQ3 2022","FQ3 2022","Currency=USD","Period=FQ","BEST_FPERIOD_OVERRIDE=FQ","FILING_STATUS=MR","SCALING_FORMAT=MLN","Sort=A","Dates=H","DateFormat=P","Fill=—","Direction=H","UseDPDF=Y")</f>
        <v>—</v>
      </c>
      <c r="S158" s="13" t="str">
        <f>_xll.BDH("AMGN US Equity","ARDR_FV_ASSETS_REC_L2_AFS_OTHER","FQ4 2022","FQ4 2022","Currency=USD","Period=FQ","BEST_FPERIOD_OVERRIDE=FQ","FILING_STATUS=MR","SCALING_FORMAT=MLN","Sort=A","Dates=H","DateFormat=P","Fill=—","Direction=H","UseDPDF=Y")</f>
        <v>—</v>
      </c>
      <c r="T158" s="13" t="str">
        <f>_xll.BDH("AMGN US Equity","ARDR_FV_ASSETS_REC_L2_AFS_OTHER","FQ1 2023","FQ1 2023","Currency=USD","Period=FQ","BEST_FPERIOD_OVERRIDE=FQ","FILING_STATUS=MR","SCALING_FORMAT=MLN","Sort=A","Dates=H","DateFormat=P","Fill=—","Direction=H","UseDPDF=Y")</f>
        <v>—</v>
      </c>
      <c r="U158" s="13" t="str">
        <f>_xll.BDH("AMGN US Equity","ARDR_FV_ASSETS_REC_L2_AFS_OTHER","FQ2 2023","FQ2 2023","Currency=USD","Period=FQ","BEST_FPERIOD_OVERRIDE=FQ","FILING_STATUS=MR","SCALING_FORMAT=MLN","Sort=A","Dates=H","DateFormat=P","Fill=—","Direction=H","UseDPDF=Y")</f>
        <v>—</v>
      </c>
      <c r="V158" s="13" t="str">
        <f>_xll.BDH("AMGN US Equity","ARDR_FV_ASSETS_REC_L2_AFS_OTHER","FQ3 2023","FQ3 2023","Currency=USD","Period=FQ","BEST_FPERIOD_OVERRIDE=FQ","FILING_STATUS=MR","SCALING_FORMAT=MLN","Sort=A","Dates=H","DateFormat=P","Fill=—","Direction=H","UseDPDF=Y")</f>
        <v>—</v>
      </c>
      <c r="W158" s="13" t="str">
        <f>_xll.BDH("AMGN US Equity","ARDR_FV_ASSETS_REC_L2_AFS_OTHER","FQ4 2023","FQ4 2023","Currency=USD","Period=FQ","BEST_FPERIOD_OVERRIDE=FQ","FILING_STATUS=MR","SCALING_FORMAT=MLN","Sort=A","Dates=H","DateFormat=P","Fill=—","Direction=H","UseDPDF=Y")</f>
        <v>—</v>
      </c>
      <c r="X158" s="13" t="str">
        <f>_xll.BDH("AMGN US Equity","ARDR_FV_ASSETS_REC_L2_AFS_OTHER","FQ1 2024","FQ1 2024","Currency=USD","Period=FQ","BEST_FPERIOD_OVERRIDE=FQ","FILING_STATUS=MR","SCALING_FORMAT=MLN","Sort=A","Dates=H","DateFormat=P","Fill=—","Direction=H","UseDPDF=Y")</f>
        <v>—</v>
      </c>
      <c r="Y158" s="13" t="str">
        <f>_xll.BDH("AMGN US Equity","ARDR_FV_ASSETS_REC_L2_AFS_OTHER","FQ2 2024","FQ2 2024","Currency=USD","Period=FQ","BEST_FPERIOD_OVERRIDE=FQ","FILING_STATUS=MR","SCALING_FORMAT=MLN","Sort=A","Dates=H","DateFormat=P","Fill=—","Direction=H","UseDPDF=Y")</f>
        <v>—</v>
      </c>
      <c r="Z158" s="13">
        <f>_xll.BDH("AMGN US Equity","ARDR_FV_ASSETS_REC_L2_AFS_OTHER","FQ3 2024","FQ3 2024","Currency=USD","Period=FQ","BEST_FPERIOD_OVERRIDE=FQ","FILING_STATUS=MR","SCALING_FORMAT=MLN","Sort=A","Dates=H","DateFormat=P","Fill=—","Direction=H","UseDPDF=Y")</f>
        <v>143</v>
      </c>
      <c r="AA158" s="13" t="str">
        <f>_xll.BDH("AMGN US Equity","ARDR_FV_ASSETS_REC_L2_AFS_OTHER","FQ4 2024","FQ4 2024","Currency=USD","Period=FQ","BEST_FPERIOD_OVERRIDE=FQ","FILING_STATUS=MR","SCALING_FORMAT=MLN","Sort=A","Dates=H","DateFormat=P","Fill=—","Direction=H","UseDPDF=Y")</f>
        <v>—</v>
      </c>
    </row>
    <row r="159" spans="1:27" x14ac:dyDescent="0.25">
      <c r="A159" s="10" t="s">
        <v>1132</v>
      </c>
      <c r="B159" s="10" t="s">
        <v>1133</v>
      </c>
      <c r="C159" s="13">
        <f>_xll.BDH("AMGN US Equity","ARDR_FV_ASTS_REC_L2_DERIVATIVES","FQ4 2018","FQ4 2018","Currency=USD","Period=FQ","BEST_FPERIOD_OVERRIDE=FQ","FILING_STATUS=MR","SCALING_FORMAT=MLN","Sort=A","Dates=H","DateFormat=P","Fill=—","Direction=H","UseDPDF=Y")</f>
        <v>408</v>
      </c>
      <c r="D159" s="13">
        <f>_xll.BDH("AMGN US Equity","ARDR_FV_ASTS_REC_L2_DERIVATIVES","FQ1 2019","FQ1 2019","Currency=USD","Period=FQ","BEST_FPERIOD_OVERRIDE=FQ","FILING_STATUS=MR","SCALING_FORMAT=MLN","Sort=A","Dates=H","DateFormat=P","Fill=—","Direction=H","UseDPDF=Y")</f>
        <v>475</v>
      </c>
      <c r="E159" s="13">
        <f>_xll.BDH("AMGN US Equity","ARDR_FV_ASTS_REC_L2_DERIVATIVES","FQ2 2019","FQ2 2019","Currency=USD","Period=FQ","BEST_FPERIOD_OVERRIDE=FQ","FILING_STATUS=MR","SCALING_FORMAT=MLN","Sort=A","Dates=H","DateFormat=P","Fill=—","Direction=H","UseDPDF=Y")</f>
        <v>613</v>
      </c>
      <c r="F159" s="13">
        <f>_xll.BDH("AMGN US Equity","ARDR_FV_ASTS_REC_L2_DERIVATIVES","FQ3 2019","FQ3 2019","Currency=USD","Period=FQ","BEST_FPERIOD_OVERRIDE=FQ","FILING_STATUS=MR","SCALING_FORMAT=MLN","Sort=A","Dates=H","DateFormat=P","Fill=—","Direction=H","UseDPDF=Y")</f>
        <v>705</v>
      </c>
      <c r="G159" s="13" t="str">
        <f>_xll.BDH("AMGN US Equity","ARDR_FV_ASTS_REC_L2_DERIVATIVES","FQ4 2019","FQ4 2019","Currency=USD","Period=FQ","BEST_FPERIOD_OVERRIDE=FQ","FILING_STATUS=MR","SCALING_FORMAT=MLN","Sort=A","Dates=H","DateFormat=P","Fill=—","Direction=H","UseDPDF=Y")</f>
        <v>—</v>
      </c>
      <c r="H159" s="13">
        <f>_xll.BDH("AMGN US Equity","ARDR_FV_ASTS_REC_L2_DERIVATIVES","FQ1 2020","FQ1 2020","Currency=USD","Period=FQ","BEST_FPERIOD_OVERRIDE=FQ","FILING_STATUS=MR","SCALING_FORMAT=MLN","Sort=A","Dates=H","DateFormat=P","Fill=—","Direction=H","UseDPDF=Y")</f>
        <v>474</v>
      </c>
      <c r="I159" s="13">
        <f>_xll.BDH("AMGN US Equity","ARDR_FV_ASTS_REC_L2_DERIVATIVES","FQ2 2020","FQ2 2020","Currency=USD","Period=FQ","BEST_FPERIOD_OVERRIDE=FQ","FILING_STATUS=MR","SCALING_FORMAT=MLN","Sort=A","Dates=H","DateFormat=P","Fill=—","Direction=H","UseDPDF=Y")</f>
        <v>384</v>
      </c>
      <c r="J159" s="13" t="str">
        <f>_xll.BDH("AMGN US Equity","ARDR_FV_ASTS_REC_L2_DERIVATIVES","FQ3 2020","FQ3 2020","Currency=USD","Period=FQ","BEST_FPERIOD_OVERRIDE=FQ","FILING_STATUS=MR","SCALING_FORMAT=MLN","Sort=A","Dates=H","DateFormat=P","Fill=—","Direction=H","UseDPDF=Y")</f>
        <v>—</v>
      </c>
      <c r="K159" s="13" t="str">
        <f>_xll.BDH("AMGN US Equity","ARDR_FV_ASTS_REC_L2_DERIVATIVES","FQ4 2020","FQ4 2020","Currency=USD","Period=FQ","BEST_FPERIOD_OVERRIDE=FQ","FILING_STATUS=MR","SCALING_FORMAT=MLN","Sort=A","Dates=H","DateFormat=P","Fill=—","Direction=H","UseDPDF=Y")</f>
        <v>—</v>
      </c>
      <c r="L159" s="13">
        <f>_xll.BDH("AMGN US Equity","ARDR_FV_ASTS_REC_L2_DERIVATIVES","FQ1 2021","FQ1 2021","Currency=USD","Period=FQ","BEST_FPERIOD_OVERRIDE=FQ","FILING_STATUS=MR","SCALING_FORMAT=MLN","Sort=A","Dates=H","DateFormat=P","Fill=—","Direction=H","UseDPDF=Y")</f>
        <v>265</v>
      </c>
      <c r="M159" s="13">
        <f>_xll.BDH("AMGN US Equity","ARDR_FV_ASTS_REC_L2_DERIVATIVES","FQ2 2021","FQ2 2021","Currency=USD","Period=FQ","BEST_FPERIOD_OVERRIDE=FQ","FILING_STATUS=MR","SCALING_FORMAT=MLN","Sort=A","Dates=H","DateFormat=P","Fill=—","Direction=H","UseDPDF=Y")</f>
        <v>289</v>
      </c>
      <c r="N159" s="13">
        <f>_xll.BDH("AMGN US Equity","ARDR_FV_ASTS_REC_L2_DERIVATIVES","FQ3 2021","FQ3 2021","Currency=USD","Period=FQ","BEST_FPERIOD_OVERRIDE=FQ","FILING_STATUS=MR","SCALING_FORMAT=MLN","Sort=A","Dates=H","DateFormat=P","Fill=—","Direction=H","UseDPDF=Y")</f>
        <v>275</v>
      </c>
      <c r="O159" s="13">
        <f>_xll.BDH("AMGN US Equity","ARDR_FV_ASTS_REC_L2_DERIVATIVES","FQ4 2021","FQ4 2021","Currency=USD","Period=FQ","BEST_FPERIOD_OVERRIDE=FQ","FILING_STATUS=MR","SCALING_FORMAT=MLN","Sort=A","Dates=H","DateFormat=P","Fill=—","Direction=H","UseDPDF=Y")</f>
        <v>265</v>
      </c>
      <c r="P159" s="13">
        <f>_xll.BDH("AMGN US Equity","ARDR_FV_ASTS_REC_L2_DERIVATIVES","FQ1 2022","FQ1 2022","Currency=USD","Period=FQ","BEST_FPERIOD_OVERRIDE=FQ","FILING_STATUS=MR","SCALING_FORMAT=MLN","Sort=A","Dates=H","DateFormat=P","Fill=—","Direction=H","UseDPDF=Y")</f>
        <v>300</v>
      </c>
      <c r="Q159" s="13">
        <f>_xll.BDH("AMGN US Equity","ARDR_FV_ASTS_REC_L2_DERIVATIVES","FQ2 2022","FQ2 2022","Currency=USD","Period=FQ","BEST_FPERIOD_OVERRIDE=FQ","FILING_STATUS=MR","SCALING_FORMAT=MLN","Sort=A","Dates=H","DateFormat=P","Fill=—","Direction=H","UseDPDF=Y")</f>
        <v>442</v>
      </c>
      <c r="R159" s="13">
        <f>_xll.BDH("AMGN US Equity","ARDR_FV_ASTS_REC_L2_DERIVATIVES","FQ3 2022","FQ3 2022","Currency=USD","Period=FQ","BEST_FPERIOD_OVERRIDE=FQ","FILING_STATUS=MR","SCALING_FORMAT=MLN","Sort=A","Dates=H","DateFormat=P","Fill=—","Direction=H","UseDPDF=Y")</f>
        <v>645</v>
      </c>
      <c r="S159" s="13">
        <f>_xll.BDH("AMGN US Equity","ARDR_FV_ASTS_REC_L2_DERIVATIVES","FQ4 2022","FQ4 2022","Currency=USD","Period=FQ","BEST_FPERIOD_OVERRIDE=FQ","FILING_STATUS=MR","SCALING_FORMAT=MLN","Sort=A","Dates=H","DateFormat=P","Fill=—","Direction=H","UseDPDF=Y")</f>
        <v>341</v>
      </c>
      <c r="T159" s="13">
        <f>_xll.BDH("AMGN US Equity","ARDR_FV_ASTS_REC_L2_DERIVATIVES","FQ1 2023","FQ1 2023","Currency=USD","Period=FQ","BEST_FPERIOD_OVERRIDE=FQ","FILING_STATUS=MR","SCALING_FORMAT=MLN","Sort=A","Dates=H","DateFormat=P","Fill=—","Direction=H","UseDPDF=Y")</f>
        <v>252</v>
      </c>
      <c r="U159" s="13">
        <f>_xll.BDH("AMGN US Equity","ARDR_FV_ASTS_REC_L2_DERIVATIVES","FQ2 2023","FQ2 2023","Currency=USD","Period=FQ","BEST_FPERIOD_OVERRIDE=FQ","FILING_STATUS=MR","SCALING_FORMAT=MLN","Sort=A","Dates=H","DateFormat=P","Fill=—","Direction=H","UseDPDF=Y")</f>
        <v>251</v>
      </c>
      <c r="V159" s="13">
        <f>_xll.BDH("AMGN US Equity","ARDR_FV_ASTS_REC_L2_DERIVATIVES","FQ3 2023","FQ3 2023","Currency=USD","Period=FQ","BEST_FPERIOD_OVERRIDE=FQ","FILING_STATUS=MR","SCALING_FORMAT=MLN","Sort=A","Dates=H","DateFormat=P","Fill=—","Direction=H","UseDPDF=Y")</f>
        <v>347</v>
      </c>
      <c r="W159" s="13">
        <f>_xll.BDH("AMGN US Equity","ARDR_FV_ASTS_REC_L2_DERIVATIVES","FQ4 2023","FQ4 2023","Currency=USD","Period=FQ","BEST_FPERIOD_OVERRIDE=FQ","FILING_STATUS=MR","SCALING_FORMAT=MLN","Sort=A","Dates=H","DateFormat=P","Fill=—","Direction=H","UseDPDF=Y")</f>
        <v>145</v>
      </c>
      <c r="X159" s="13">
        <f>_xll.BDH("AMGN US Equity","ARDR_FV_ASTS_REC_L2_DERIVATIVES","FQ1 2024","FQ1 2024","Currency=USD","Period=FQ","BEST_FPERIOD_OVERRIDE=FQ","FILING_STATUS=MR","SCALING_FORMAT=MLN","Sort=A","Dates=H","DateFormat=P","Fill=—","Direction=H","UseDPDF=Y")</f>
        <v>225</v>
      </c>
      <c r="Y159" s="13">
        <f>_xll.BDH("AMGN US Equity","ARDR_FV_ASTS_REC_L2_DERIVATIVES","FQ2 2024","FQ2 2024","Currency=USD","Period=FQ","BEST_FPERIOD_OVERRIDE=FQ","FILING_STATUS=MR","SCALING_FORMAT=MLN","Sort=A","Dates=H","DateFormat=P","Fill=—","Direction=H","UseDPDF=Y")</f>
        <v>1265</v>
      </c>
      <c r="Z159" s="13">
        <f>_xll.BDH("AMGN US Equity","ARDR_FV_ASTS_REC_L2_DERIVATIVES","FQ3 2024","FQ3 2024","Currency=USD","Period=FQ","BEST_FPERIOD_OVERRIDE=FQ","FILING_STATUS=MR","SCALING_FORMAT=MLN","Sort=A","Dates=H","DateFormat=P","Fill=—","Direction=H","UseDPDF=Y")</f>
        <v>112</v>
      </c>
      <c r="AA159" s="13">
        <f>_xll.BDH("AMGN US Equity","ARDR_FV_ASTS_REC_L2_DERIVATIVES","FQ4 2024","FQ4 2024","Currency=USD","Period=FQ","BEST_FPERIOD_OVERRIDE=FQ","FILING_STATUS=MR","SCALING_FORMAT=MLN","Sort=A","Dates=H","DateFormat=P","Fill=—","Direction=H","UseDPDF=Y")</f>
        <v>420</v>
      </c>
    </row>
    <row r="160" spans="1:27" x14ac:dyDescent="0.25">
      <c r="A160" s="10" t="s">
        <v>1134</v>
      </c>
      <c r="B160" s="10" t="s">
        <v>1135</v>
      </c>
      <c r="C160" s="13" t="str">
        <f>_xll.BDH("AMGN US Equity","ARDR_FV_ASSETS_REC_L2_OTH","FQ4 2018","FQ4 2018","Currency=USD","Period=FQ","BEST_FPERIOD_OVERRIDE=FQ","FILING_STATUS=MR","SCALING_FORMAT=MLN","Sort=A","Dates=H","DateFormat=P","Fill=—","Direction=H","UseDPDF=Y")</f>
        <v>—</v>
      </c>
      <c r="D160" s="13" t="str">
        <f>_xll.BDH("AMGN US Equity","ARDR_FV_ASSETS_REC_L2_OTH","FQ1 2019","FQ1 2019","Currency=USD","Period=FQ","BEST_FPERIOD_OVERRIDE=FQ","FILING_STATUS=MR","SCALING_FORMAT=MLN","Sort=A","Dates=H","DateFormat=P","Fill=—","Direction=H","UseDPDF=Y")</f>
        <v>—</v>
      </c>
      <c r="E160" s="13" t="str">
        <f>_xll.BDH("AMGN US Equity","ARDR_FV_ASSETS_REC_L2_OTH","FQ2 2019","FQ2 2019","Currency=USD","Period=FQ","BEST_FPERIOD_OVERRIDE=FQ","FILING_STATUS=MR","SCALING_FORMAT=MLN","Sort=A","Dates=H","DateFormat=P","Fill=—","Direction=H","UseDPDF=Y")</f>
        <v>—</v>
      </c>
      <c r="F160" s="13" t="str">
        <f>_xll.BDH("AMGN US Equity","ARDR_FV_ASSETS_REC_L2_OTH","FQ3 2019","FQ3 2019","Currency=USD","Period=FQ","BEST_FPERIOD_OVERRIDE=FQ","FILING_STATUS=MR","SCALING_FORMAT=MLN","Sort=A","Dates=H","DateFormat=P","Fill=—","Direction=H","UseDPDF=Y")</f>
        <v>—</v>
      </c>
      <c r="G160" s="13" t="str">
        <f>_xll.BDH("AMGN US Equity","ARDR_FV_ASSETS_REC_L2_OTH","FQ4 2019","FQ4 2019","Currency=USD","Period=FQ","BEST_FPERIOD_OVERRIDE=FQ","FILING_STATUS=MR","SCALING_FORMAT=MLN","Sort=A","Dates=H","DateFormat=P","Fill=—","Direction=H","UseDPDF=Y")</f>
        <v>—</v>
      </c>
      <c r="H160" s="13" t="str">
        <f>_xll.BDH("AMGN US Equity","ARDR_FV_ASSETS_REC_L2_OTH","FQ1 2020","FQ1 2020","Currency=USD","Period=FQ","BEST_FPERIOD_OVERRIDE=FQ","FILING_STATUS=MR","SCALING_FORMAT=MLN","Sort=A","Dates=H","DateFormat=P","Fill=—","Direction=H","UseDPDF=Y")</f>
        <v>—</v>
      </c>
      <c r="I160" s="13" t="str">
        <f>_xll.BDH("AMGN US Equity","ARDR_FV_ASSETS_REC_L2_OTH","FQ2 2020","FQ2 2020","Currency=USD","Period=FQ","BEST_FPERIOD_OVERRIDE=FQ","FILING_STATUS=MR","SCALING_FORMAT=MLN","Sort=A","Dates=H","DateFormat=P","Fill=—","Direction=H","UseDPDF=Y")</f>
        <v>—</v>
      </c>
      <c r="J160" s="13" t="str">
        <f>_xll.BDH("AMGN US Equity","ARDR_FV_ASSETS_REC_L2_OTH","FQ3 2020","FQ3 2020","Currency=USD","Period=FQ","BEST_FPERIOD_OVERRIDE=FQ","FILING_STATUS=MR","SCALING_FORMAT=MLN","Sort=A","Dates=H","DateFormat=P","Fill=—","Direction=H","UseDPDF=Y")</f>
        <v>—</v>
      </c>
      <c r="K160" s="13" t="str">
        <f>_xll.BDH("AMGN US Equity","ARDR_FV_ASSETS_REC_L2_OTH","FQ4 2020","FQ4 2020","Currency=USD","Period=FQ","BEST_FPERIOD_OVERRIDE=FQ","FILING_STATUS=MR","SCALING_FORMAT=MLN","Sort=A","Dates=H","DateFormat=P","Fill=—","Direction=H","UseDPDF=Y")</f>
        <v>—</v>
      </c>
      <c r="L160" s="13" t="str">
        <f>_xll.BDH("AMGN US Equity","ARDR_FV_ASSETS_REC_L2_OTH","FQ1 2021","FQ1 2021","Currency=USD","Period=FQ","BEST_FPERIOD_OVERRIDE=FQ","FILING_STATUS=MR","SCALING_FORMAT=MLN","Sort=A","Dates=H","DateFormat=P","Fill=—","Direction=H","UseDPDF=Y")</f>
        <v>—</v>
      </c>
      <c r="M160" s="13">
        <f>_xll.BDH("AMGN US Equity","ARDR_FV_ASSETS_REC_L2_OTH","FQ2 2021","FQ2 2021","Currency=USD","Period=FQ","BEST_FPERIOD_OVERRIDE=FQ","FILING_STATUS=MR","SCALING_FORMAT=MLN","Sort=A","Dates=H","DateFormat=P","Fill=—","Direction=H","UseDPDF=Y")</f>
        <v>0</v>
      </c>
      <c r="N160" s="13" t="str">
        <f>_xll.BDH("AMGN US Equity","ARDR_FV_ASSETS_REC_L2_OTH","FQ3 2021","FQ3 2021","Currency=USD","Period=FQ","BEST_FPERIOD_OVERRIDE=FQ","FILING_STATUS=MR","SCALING_FORMAT=MLN","Sort=A","Dates=H","DateFormat=P","Fill=—","Direction=H","UseDPDF=Y")</f>
        <v>—</v>
      </c>
      <c r="O160" s="13">
        <f>_xll.BDH("AMGN US Equity","ARDR_FV_ASSETS_REC_L2_OTH","FQ4 2021","FQ4 2021","Currency=USD","Period=FQ","BEST_FPERIOD_OVERRIDE=FQ","FILING_STATUS=MR","SCALING_FORMAT=MLN","Sort=A","Dates=H","DateFormat=P","Fill=—","Direction=H","UseDPDF=Y")</f>
        <v>1</v>
      </c>
      <c r="P160" s="13">
        <f>_xll.BDH("AMGN US Equity","ARDR_FV_ASSETS_REC_L2_OTH","FQ1 2022","FQ1 2022","Currency=USD","Period=FQ","BEST_FPERIOD_OVERRIDE=FQ","FILING_STATUS=MR","SCALING_FORMAT=MLN","Sort=A","Dates=H","DateFormat=P","Fill=—","Direction=H","UseDPDF=Y")</f>
        <v>0</v>
      </c>
      <c r="Q160" s="13">
        <f>_xll.BDH("AMGN US Equity","ARDR_FV_ASSETS_REC_L2_OTH","FQ2 2022","FQ2 2022","Currency=USD","Period=FQ","BEST_FPERIOD_OVERRIDE=FQ","FILING_STATUS=MR","SCALING_FORMAT=MLN","Sort=A","Dates=H","DateFormat=P","Fill=—","Direction=H","UseDPDF=Y")</f>
        <v>0</v>
      </c>
      <c r="R160" s="13">
        <f>_xll.BDH("AMGN US Equity","ARDR_FV_ASSETS_REC_L2_OTH","FQ3 2022","FQ3 2022","Currency=USD","Period=FQ","BEST_FPERIOD_OVERRIDE=FQ","FILING_STATUS=MR","SCALING_FORMAT=MLN","Sort=A","Dates=H","DateFormat=P","Fill=—","Direction=H","UseDPDF=Y")</f>
        <v>135</v>
      </c>
      <c r="S160" s="13">
        <f>_xll.BDH("AMGN US Equity","ARDR_FV_ASSETS_REC_L2_OTH","FQ4 2022","FQ4 2022","Currency=USD","Period=FQ","BEST_FPERIOD_OVERRIDE=FQ","FILING_STATUS=MR","SCALING_FORMAT=MLN","Sort=A","Dates=H","DateFormat=P","Fill=—","Direction=H","UseDPDF=Y")</f>
        <v>130</v>
      </c>
      <c r="T160" s="13">
        <f>_xll.BDH("AMGN US Equity","ARDR_FV_ASSETS_REC_L2_OTH","FQ1 2023","FQ1 2023","Currency=USD","Period=FQ","BEST_FPERIOD_OVERRIDE=FQ","FILING_STATUS=MR","SCALING_FORMAT=MLN","Sort=A","Dates=H","DateFormat=P","Fill=—","Direction=H","UseDPDF=Y")</f>
        <v>132</v>
      </c>
      <c r="U160" s="13" t="str">
        <f>_xll.BDH("AMGN US Equity","ARDR_FV_ASSETS_REC_L2_OTH","FQ2 2023","FQ2 2023","Currency=USD","Period=FQ","BEST_FPERIOD_OVERRIDE=FQ","FILING_STATUS=MR","SCALING_FORMAT=MLN","Sort=A","Dates=H","DateFormat=P","Fill=—","Direction=H","UseDPDF=Y")</f>
        <v>—</v>
      </c>
      <c r="V160" s="13">
        <f>_xll.BDH("AMGN US Equity","ARDR_FV_ASSETS_REC_L2_OTH","FQ3 2023","FQ3 2023","Currency=USD","Period=FQ","BEST_FPERIOD_OVERRIDE=FQ","FILING_STATUS=MR","SCALING_FORMAT=MLN","Sort=A","Dates=H","DateFormat=P","Fill=—","Direction=H","UseDPDF=Y")</f>
        <v>136</v>
      </c>
      <c r="W160" s="13">
        <f>_xll.BDH("AMGN US Equity","ARDR_FV_ASSETS_REC_L2_OTH","FQ4 2023","FQ4 2023","Currency=USD","Period=FQ","BEST_FPERIOD_OVERRIDE=FQ","FILING_STATUS=MR","SCALING_FORMAT=MLN","Sort=A","Dates=H","DateFormat=P","Fill=—","Direction=H","UseDPDF=Y")</f>
        <v>138</v>
      </c>
      <c r="X160" s="13">
        <f>_xll.BDH("AMGN US Equity","ARDR_FV_ASSETS_REC_L2_OTH","FQ1 2024","FQ1 2024","Currency=USD","Period=FQ","BEST_FPERIOD_OVERRIDE=FQ","FILING_STATUS=MR","SCALING_FORMAT=MLN","Sort=A","Dates=H","DateFormat=P","Fill=—","Direction=H","UseDPDF=Y")</f>
        <v>138</v>
      </c>
      <c r="Y160" s="13">
        <f>_xll.BDH("AMGN US Equity","ARDR_FV_ASSETS_REC_L2_OTH","FQ2 2024","FQ2 2024","Currency=USD","Period=FQ","BEST_FPERIOD_OVERRIDE=FQ","FILING_STATUS=MR","SCALING_FORMAT=MLN","Sort=A","Dates=H","DateFormat=P","Fill=—","Direction=H","UseDPDF=Y")</f>
        <v>139</v>
      </c>
      <c r="Z160" s="13" t="str">
        <f>_xll.BDH("AMGN US Equity","ARDR_FV_ASSETS_REC_L2_OTH","FQ3 2024","FQ3 2024","Currency=USD","Period=FQ","BEST_FPERIOD_OVERRIDE=FQ","FILING_STATUS=MR","SCALING_FORMAT=MLN","Sort=A","Dates=H","DateFormat=P","Fill=—","Direction=H","UseDPDF=Y")</f>
        <v>—</v>
      </c>
      <c r="AA160" s="13" t="str">
        <f>_xll.BDH("AMGN US Equity","ARDR_FV_ASSETS_REC_L2_OTH","FQ4 2024","FQ4 2024","Currency=USD","Period=FQ","BEST_FPERIOD_OVERRIDE=FQ","FILING_STATUS=MR","SCALING_FORMAT=MLN","Sort=A","Dates=H","DateFormat=P","Fill=—","Direction=H","UseDPDF=Y")</f>
        <v>—</v>
      </c>
    </row>
    <row r="161" spans="1:27" x14ac:dyDescent="0.25">
      <c r="A161" s="10" t="s">
        <v>1136</v>
      </c>
      <c r="B161" s="10" t="s">
        <v>1137</v>
      </c>
      <c r="C161" s="13">
        <f>_xll.BDH("AMGN US Equity","ARDR_FV_ASTS_REC_L3_TRAD_TREAS","FQ4 2018","FQ4 2018","Currency=USD","Period=FQ","BEST_FPERIOD_OVERRIDE=FQ","FILING_STATUS=MR","SCALING_FORMAT=MLN","Sort=A","Dates=H","DateFormat=P","Fill=—","Direction=H","UseDPDF=Y")</f>
        <v>0</v>
      </c>
      <c r="D161" s="13">
        <f>_xll.BDH("AMGN US Equity","ARDR_FV_ASTS_REC_L3_TRAD_TREAS","FQ1 2019","FQ1 2019","Currency=USD","Period=FQ","BEST_FPERIOD_OVERRIDE=FQ","FILING_STATUS=MR","SCALING_FORMAT=MLN","Sort=A","Dates=H","DateFormat=P","Fill=—","Direction=H","UseDPDF=Y")</f>
        <v>0</v>
      </c>
      <c r="E161" s="13">
        <f>_xll.BDH("AMGN US Equity","ARDR_FV_ASTS_REC_L3_TRAD_TREAS","FQ2 2019","FQ2 2019","Currency=USD","Period=FQ","BEST_FPERIOD_OVERRIDE=FQ","FILING_STATUS=MR","SCALING_FORMAT=MLN","Sort=A","Dates=H","DateFormat=P","Fill=—","Direction=H","UseDPDF=Y")</f>
        <v>0</v>
      </c>
      <c r="F161" s="13">
        <f>_xll.BDH("AMGN US Equity","ARDR_FV_ASTS_REC_L3_TRAD_TREAS","FQ3 2019","FQ3 2019","Currency=USD","Period=FQ","BEST_FPERIOD_OVERRIDE=FQ","FILING_STATUS=MR","SCALING_FORMAT=MLN","Sort=A","Dates=H","DateFormat=P","Fill=—","Direction=H","UseDPDF=Y")</f>
        <v>0</v>
      </c>
      <c r="G161" s="13">
        <f>_xll.BDH("AMGN US Equity","ARDR_FV_ASTS_REC_L3_TRAD_TREAS","FQ4 2019","FQ4 2019","Currency=USD","Period=FQ","BEST_FPERIOD_OVERRIDE=FQ","FILING_STATUS=MR","SCALING_FORMAT=MLN","Sort=A","Dates=H","DateFormat=P","Fill=—","Direction=H","UseDPDF=Y")</f>
        <v>0</v>
      </c>
      <c r="H161" s="13">
        <f>_xll.BDH("AMGN US Equity","ARDR_FV_ASTS_REC_L3_TRAD_TREAS","FQ1 2020","FQ1 2020","Currency=USD","Period=FQ","BEST_FPERIOD_OVERRIDE=FQ","FILING_STATUS=MR","SCALING_FORMAT=MLN","Sort=A","Dates=H","DateFormat=P","Fill=—","Direction=H","UseDPDF=Y")</f>
        <v>0</v>
      </c>
      <c r="I161" s="13">
        <f>_xll.BDH("AMGN US Equity","ARDR_FV_ASTS_REC_L3_TRAD_TREAS","FQ2 2020","FQ2 2020","Currency=USD","Period=FQ","BEST_FPERIOD_OVERRIDE=FQ","FILING_STATUS=MR","SCALING_FORMAT=MLN","Sort=A","Dates=H","DateFormat=P","Fill=—","Direction=H","UseDPDF=Y")</f>
        <v>0</v>
      </c>
      <c r="J161" s="13">
        <f>_xll.BDH("AMGN US Equity","ARDR_FV_ASTS_REC_L3_TRAD_TREAS","FQ3 2020","FQ3 2020","Currency=USD","Period=FQ","BEST_FPERIOD_OVERRIDE=FQ","FILING_STATUS=MR","SCALING_FORMAT=MLN","Sort=A","Dates=H","DateFormat=P","Fill=—","Direction=H","UseDPDF=Y")</f>
        <v>0</v>
      </c>
      <c r="K161" s="13">
        <f>_xll.BDH("AMGN US Equity","ARDR_FV_ASTS_REC_L3_TRAD_TREAS","FQ4 2020","FQ4 2020","Currency=USD","Period=FQ","BEST_FPERIOD_OVERRIDE=FQ","FILING_STATUS=MR","SCALING_FORMAT=MLN","Sort=A","Dates=H","DateFormat=P","Fill=—","Direction=H","UseDPDF=Y")</f>
        <v>0</v>
      </c>
      <c r="L161" s="13">
        <f>_xll.BDH("AMGN US Equity","ARDR_FV_ASTS_REC_L3_TRAD_TREAS","FQ1 2021","FQ1 2021","Currency=USD","Period=FQ","BEST_FPERIOD_OVERRIDE=FQ","FILING_STATUS=MR","SCALING_FORMAT=MLN","Sort=A","Dates=H","DateFormat=P","Fill=—","Direction=H","UseDPDF=Y")</f>
        <v>0</v>
      </c>
      <c r="M161" s="13">
        <f>_xll.BDH("AMGN US Equity","ARDR_FV_ASTS_REC_L3_TRAD_TREAS","FQ2 2021","FQ2 2021","Currency=USD","Period=FQ","BEST_FPERIOD_OVERRIDE=FQ","FILING_STATUS=MR","SCALING_FORMAT=MLN","Sort=A","Dates=H","DateFormat=P","Fill=—","Direction=H","UseDPDF=Y")</f>
        <v>0</v>
      </c>
      <c r="N161" s="13">
        <f>_xll.BDH("AMGN US Equity","ARDR_FV_ASTS_REC_L3_TRAD_TREAS","FQ3 2021","FQ3 2021","Currency=USD","Period=FQ","BEST_FPERIOD_OVERRIDE=FQ","FILING_STATUS=MR","SCALING_FORMAT=MLN","Sort=A","Dates=H","DateFormat=P","Fill=—","Direction=H","UseDPDF=Y")</f>
        <v>0</v>
      </c>
      <c r="O161" s="13">
        <f>_xll.BDH("AMGN US Equity","ARDR_FV_ASTS_REC_L3_TRAD_TREAS","FQ4 2021","FQ4 2021","Currency=USD","Period=FQ","BEST_FPERIOD_OVERRIDE=FQ","FILING_STATUS=MR","SCALING_FORMAT=MLN","Sort=A","Dates=H","DateFormat=P","Fill=—","Direction=H","UseDPDF=Y")</f>
        <v>0</v>
      </c>
      <c r="P161" s="13">
        <f>_xll.BDH("AMGN US Equity","ARDR_FV_ASTS_REC_L3_TRAD_TREAS","FQ1 2022","FQ1 2022","Currency=USD","Period=FQ","BEST_FPERIOD_OVERRIDE=FQ","FILING_STATUS=MR","SCALING_FORMAT=MLN","Sort=A","Dates=H","DateFormat=P","Fill=—","Direction=H","UseDPDF=Y")</f>
        <v>0</v>
      </c>
      <c r="Q161" s="13">
        <f>_xll.BDH("AMGN US Equity","ARDR_FV_ASTS_REC_L3_TRAD_TREAS","FQ2 2022","FQ2 2022","Currency=USD","Period=FQ","BEST_FPERIOD_OVERRIDE=FQ","FILING_STATUS=MR","SCALING_FORMAT=MLN","Sort=A","Dates=H","DateFormat=P","Fill=—","Direction=H","UseDPDF=Y")</f>
        <v>0</v>
      </c>
      <c r="R161" s="13">
        <f>_xll.BDH("AMGN US Equity","ARDR_FV_ASTS_REC_L3_TRAD_TREAS","FQ3 2022","FQ3 2022","Currency=USD","Period=FQ","BEST_FPERIOD_OVERRIDE=FQ","FILING_STATUS=MR","SCALING_FORMAT=MLN","Sort=A","Dates=H","DateFormat=P","Fill=—","Direction=H","UseDPDF=Y")</f>
        <v>0</v>
      </c>
      <c r="S161" s="13">
        <f>_xll.BDH("AMGN US Equity","ARDR_FV_ASTS_REC_L3_TRAD_TREAS","FQ4 2022","FQ4 2022","Currency=USD","Period=FQ","BEST_FPERIOD_OVERRIDE=FQ","FILING_STATUS=MR","SCALING_FORMAT=MLN","Sort=A","Dates=H","DateFormat=P","Fill=—","Direction=H","UseDPDF=Y")</f>
        <v>0</v>
      </c>
      <c r="T161" s="13">
        <f>_xll.BDH("AMGN US Equity","ARDR_FV_ASTS_REC_L3_TRAD_TREAS","FQ1 2023","FQ1 2023","Currency=USD","Period=FQ","BEST_FPERIOD_OVERRIDE=FQ","FILING_STATUS=MR","SCALING_FORMAT=MLN","Sort=A","Dates=H","DateFormat=P","Fill=—","Direction=H","UseDPDF=Y")</f>
        <v>0</v>
      </c>
      <c r="U161" s="13">
        <f>_xll.BDH("AMGN US Equity","ARDR_FV_ASTS_REC_L3_TRAD_TREAS","FQ2 2023","FQ2 2023","Currency=USD","Period=FQ","BEST_FPERIOD_OVERRIDE=FQ","FILING_STATUS=MR","SCALING_FORMAT=MLN","Sort=A","Dates=H","DateFormat=P","Fill=—","Direction=H","UseDPDF=Y")</f>
        <v>0</v>
      </c>
      <c r="V161" s="13">
        <f>_xll.BDH("AMGN US Equity","ARDR_FV_ASTS_REC_L3_TRAD_TREAS","FQ3 2023","FQ3 2023","Currency=USD","Period=FQ","BEST_FPERIOD_OVERRIDE=FQ","FILING_STATUS=MR","SCALING_FORMAT=MLN","Sort=A","Dates=H","DateFormat=P","Fill=—","Direction=H","UseDPDF=Y")</f>
        <v>0</v>
      </c>
      <c r="W161" s="13">
        <f>_xll.BDH("AMGN US Equity","ARDR_FV_ASTS_REC_L3_TRAD_TREAS","FQ4 2023","FQ4 2023","Currency=USD","Period=FQ","BEST_FPERIOD_OVERRIDE=FQ","FILING_STATUS=MR","SCALING_FORMAT=MLN","Sort=A","Dates=H","DateFormat=P","Fill=—","Direction=H","UseDPDF=Y")</f>
        <v>0</v>
      </c>
      <c r="X161" s="13">
        <f>_xll.BDH("AMGN US Equity","ARDR_FV_ASTS_REC_L3_TRAD_TREAS","FQ1 2024","FQ1 2024","Currency=USD","Period=FQ","BEST_FPERIOD_OVERRIDE=FQ","FILING_STATUS=MR","SCALING_FORMAT=MLN","Sort=A","Dates=H","DateFormat=P","Fill=—","Direction=H","UseDPDF=Y")</f>
        <v>0</v>
      </c>
      <c r="Y161" s="13">
        <f>_xll.BDH("AMGN US Equity","ARDR_FV_ASTS_REC_L3_TRAD_TREAS","FQ2 2024","FQ2 2024","Currency=USD","Period=FQ","BEST_FPERIOD_OVERRIDE=FQ","FILING_STATUS=MR","SCALING_FORMAT=MLN","Sort=A","Dates=H","DateFormat=P","Fill=—","Direction=H","UseDPDF=Y")</f>
        <v>0</v>
      </c>
      <c r="Z161" s="13">
        <f>_xll.BDH("AMGN US Equity","ARDR_FV_ASTS_REC_L3_TRAD_TREAS","FQ3 2024","FQ3 2024","Currency=USD","Period=FQ","BEST_FPERIOD_OVERRIDE=FQ","FILING_STATUS=MR","SCALING_FORMAT=MLN","Sort=A","Dates=H","DateFormat=P","Fill=—","Direction=H","UseDPDF=Y")</f>
        <v>0</v>
      </c>
      <c r="AA161" s="13">
        <f>_xll.BDH("AMGN US Equity","ARDR_FV_ASTS_REC_L3_TRAD_TREAS","FQ4 2024","FQ4 2024","Currency=USD","Period=FQ","BEST_FPERIOD_OVERRIDE=FQ","FILING_STATUS=MR","SCALING_FORMAT=MLN","Sort=A","Dates=H","DateFormat=P","Fill=—","Direction=H","UseDPDF=Y")</f>
        <v>0</v>
      </c>
    </row>
    <row r="162" spans="1:27" x14ac:dyDescent="0.25">
      <c r="A162" s="10" t="s">
        <v>1138</v>
      </c>
      <c r="B162" s="10" t="s">
        <v>1139</v>
      </c>
      <c r="C162" s="13">
        <f>_xll.BDH("AMGN US Equity","ARDR_FV_ASSETS_REC_L3_AFS_TREAS","FQ4 2018","FQ4 2018","Currency=USD","Period=FQ","BEST_FPERIOD_OVERRIDE=FQ","FILING_STATUS=MR","SCALING_FORMAT=MLN","Sort=A","Dates=H","DateFormat=P","Fill=—","Direction=H","UseDPDF=Y")</f>
        <v>0</v>
      </c>
      <c r="D162" s="13">
        <f>_xll.BDH("AMGN US Equity","ARDR_FV_ASSETS_REC_L3_AFS_TREAS","FQ1 2019","FQ1 2019","Currency=USD","Period=FQ","BEST_FPERIOD_OVERRIDE=FQ","FILING_STATUS=MR","SCALING_FORMAT=MLN","Sort=A","Dates=H","DateFormat=P","Fill=—","Direction=H","UseDPDF=Y")</f>
        <v>0</v>
      </c>
      <c r="E162" s="13">
        <f>_xll.BDH("AMGN US Equity","ARDR_FV_ASSETS_REC_L3_AFS_TREAS","FQ2 2019","FQ2 2019","Currency=USD","Period=FQ","BEST_FPERIOD_OVERRIDE=FQ","FILING_STATUS=MR","SCALING_FORMAT=MLN","Sort=A","Dates=H","DateFormat=P","Fill=—","Direction=H","UseDPDF=Y")</f>
        <v>0</v>
      </c>
      <c r="F162" s="13">
        <f>_xll.BDH("AMGN US Equity","ARDR_FV_ASSETS_REC_L3_AFS_TREAS","FQ3 2019","FQ3 2019","Currency=USD","Period=FQ","BEST_FPERIOD_OVERRIDE=FQ","FILING_STATUS=MR","SCALING_FORMAT=MLN","Sort=A","Dates=H","DateFormat=P","Fill=—","Direction=H","UseDPDF=Y")</f>
        <v>0</v>
      </c>
      <c r="G162" s="13">
        <f>_xll.BDH("AMGN US Equity","ARDR_FV_ASSETS_REC_L3_AFS_TREAS","FQ4 2019","FQ4 2019","Currency=USD","Period=FQ","BEST_FPERIOD_OVERRIDE=FQ","FILING_STATUS=MR","SCALING_FORMAT=MLN","Sort=A","Dates=H","DateFormat=P","Fill=—","Direction=H","UseDPDF=Y")</f>
        <v>0</v>
      </c>
      <c r="H162" s="13">
        <f>_xll.BDH("AMGN US Equity","ARDR_FV_ASSETS_REC_L3_AFS_TREAS","FQ1 2020","FQ1 2020","Currency=USD","Period=FQ","BEST_FPERIOD_OVERRIDE=FQ","FILING_STATUS=MR","SCALING_FORMAT=MLN","Sort=A","Dates=H","DateFormat=P","Fill=—","Direction=H","UseDPDF=Y")</f>
        <v>0</v>
      </c>
      <c r="I162" s="13">
        <f>_xll.BDH("AMGN US Equity","ARDR_FV_ASSETS_REC_L3_AFS_TREAS","FQ2 2020","FQ2 2020","Currency=USD","Period=FQ","BEST_FPERIOD_OVERRIDE=FQ","FILING_STATUS=MR","SCALING_FORMAT=MLN","Sort=A","Dates=H","DateFormat=P","Fill=—","Direction=H","UseDPDF=Y")</f>
        <v>0</v>
      </c>
      <c r="J162" s="13">
        <f>_xll.BDH("AMGN US Equity","ARDR_FV_ASSETS_REC_L3_AFS_TREAS","FQ3 2020","FQ3 2020","Currency=USD","Period=FQ","BEST_FPERIOD_OVERRIDE=FQ","FILING_STATUS=MR","SCALING_FORMAT=MLN","Sort=A","Dates=H","DateFormat=P","Fill=—","Direction=H","UseDPDF=Y")</f>
        <v>0</v>
      </c>
      <c r="K162" s="13">
        <f>_xll.BDH("AMGN US Equity","ARDR_FV_ASSETS_REC_L3_AFS_TREAS","FQ4 2020","FQ4 2020","Currency=USD","Period=FQ","BEST_FPERIOD_OVERRIDE=FQ","FILING_STATUS=MR","SCALING_FORMAT=MLN","Sort=A","Dates=H","DateFormat=P","Fill=—","Direction=H","UseDPDF=Y")</f>
        <v>0</v>
      </c>
      <c r="L162" s="13">
        <f>_xll.BDH("AMGN US Equity","ARDR_FV_ASSETS_REC_L3_AFS_TREAS","FQ1 2021","FQ1 2021","Currency=USD","Period=FQ","BEST_FPERIOD_OVERRIDE=FQ","FILING_STATUS=MR","SCALING_FORMAT=MLN","Sort=A","Dates=H","DateFormat=P","Fill=—","Direction=H","UseDPDF=Y")</f>
        <v>0</v>
      </c>
      <c r="M162" s="13">
        <f>_xll.BDH("AMGN US Equity","ARDR_FV_ASSETS_REC_L3_AFS_TREAS","FQ2 2021","FQ2 2021","Currency=USD","Period=FQ","BEST_FPERIOD_OVERRIDE=FQ","FILING_STATUS=MR","SCALING_FORMAT=MLN","Sort=A","Dates=H","DateFormat=P","Fill=—","Direction=H","UseDPDF=Y")</f>
        <v>0</v>
      </c>
      <c r="N162" s="13">
        <f>_xll.BDH("AMGN US Equity","ARDR_FV_ASSETS_REC_L3_AFS_TREAS","FQ3 2021","FQ3 2021","Currency=USD","Period=FQ","BEST_FPERIOD_OVERRIDE=FQ","FILING_STATUS=MR","SCALING_FORMAT=MLN","Sort=A","Dates=H","DateFormat=P","Fill=—","Direction=H","UseDPDF=Y")</f>
        <v>0</v>
      </c>
      <c r="O162" s="13">
        <f>_xll.BDH("AMGN US Equity","ARDR_FV_ASSETS_REC_L3_AFS_TREAS","FQ4 2021","FQ4 2021","Currency=USD","Period=FQ","BEST_FPERIOD_OVERRIDE=FQ","FILING_STATUS=MR","SCALING_FORMAT=MLN","Sort=A","Dates=H","DateFormat=P","Fill=—","Direction=H","UseDPDF=Y")</f>
        <v>0</v>
      </c>
      <c r="P162" s="13">
        <f>_xll.BDH("AMGN US Equity","ARDR_FV_ASSETS_REC_L3_AFS_TREAS","FQ1 2022","FQ1 2022","Currency=USD","Period=FQ","BEST_FPERIOD_OVERRIDE=FQ","FILING_STATUS=MR","SCALING_FORMAT=MLN","Sort=A","Dates=H","DateFormat=P","Fill=—","Direction=H","UseDPDF=Y")</f>
        <v>0</v>
      </c>
      <c r="Q162" s="13">
        <f>_xll.BDH("AMGN US Equity","ARDR_FV_ASSETS_REC_L3_AFS_TREAS","FQ2 2022","FQ2 2022","Currency=USD","Period=FQ","BEST_FPERIOD_OVERRIDE=FQ","FILING_STATUS=MR","SCALING_FORMAT=MLN","Sort=A","Dates=H","DateFormat=P","Fill=—","Direction=H","UseDPDF=Y")</f>
        <v>0</v>
      </c>
      <c r="R162" s="13">
        <f>_xll.BDH("AMGN US Equity","ARDR_FV_ASSETS_REC_L3_AFS_TREAS","FQ3 2022","FQ3 2022","Currency=USD","Period=FQ","BEST_FPERIOD_OVERRIDE=FQ","FILING_STATUS=MR","SCALING_FORMAT=MLN","Sort=A","Dates=H","DateFormat=P","Fill=—","Direction=H","UseDPDF=Y")</f>
        <v>0</v>
      </c>
      <c r="S162" s="13">
        <f>_xll.BDH("AMGN US Equity","ARDR_FV_ASSETS_REC_L3_AFS_TREAS","FQ4 2022","FQ4 2022","Currency=USD","Period=FQ","BEST_FPERIOD_OVERRIDE=FQ","FILING_STATUS=MR","SCALING_FORMAT=MLN","Sort=A","Dates=H","DateFormat=P","Fill=—","Direction=H","UseDPDF=Y")</f>
        <v>0</v>
      </c>
      <c r="T162" s="13">
        <f>_xll.BDH("AMGN US Equity","ARDR_FV_ASSETS_REC_L3_AFS_TREAS","FQ1 2023","FQ1 2023","Currency=USD","Period=FQ","BEST_FPERIOD_OVERRIDE=FQ","FILING_STATUS=MR","SCALING_FORMAT=MLN","Sort=A","Dates=H","DateFormat=P","Fill=—","Direction=H","UseDPDF=Y")</f>
        <v>0</v>
      </c>
      <c r="U162" s="13" t="str">
        <f>_xll.BDH("AMGN US Equity","ARDR_FV_ASSETS_REC_L3_AFS_TREAS","FQ2 2023","FQ2 2023","Currency=USD","Period=FQ","BEST_FPERIOD_OVERRIDE=FQ","FILING_STATUS=MR","SCALING_FORMAT=MLN","Sort=A","Dates=H","DateFormat=P","Fill=—","Direction=H","UseDPDF=Y")</f>
        <v>—</v>
      </c>
      <c r="V162" s="13">
        <f>_xll.BDH("AMGN US Equity","ARDR_FV_ASSETS_REC_L3_AFS_TREAS","FQ3 2023","FQ3 2023","Currency=USD","Period=FQ","BEST_FPERIOD_OVERRIDE=FQ","FILING_STATUS=MR","SCALING_FORMAT=MLN","Sort=A","Dates=H","DateFormat=P","Fill=—","Direction=H","UseDPDF=Y")</f>
        <v>0</v>
      </c>
      <c r="W162" s="13">
        <f>_xll.BDH("AMGN US Equity","ARDR_FV_ASSETS_REC_L3_AFS_TREAS","FQ4 2023","FQ4 2023","Currency=USD","Period=FQ","BEST_FPERIOD_OVERRIDE=FQ","FILING_STATUS=MR","SCALING_FORMAT=MLN","Sort=A","Dates=H","DateFormat=P","Fill=—","Direction=H","UseDPDF=Y")</f>
        <v>0</v>
      </c>
      <c r="X162" s="13">
        <f>_xll.BDH("AMGN US Equity","ARDR_FV_ASSETS_REC_L3_AFS_TREAS","FQ1 2024","FQ1 2024","Currency=USD","Period=FQ","BEST_FPERIOD_OVERRIDE=FQ","FILING_STATUS=MR","SCALING_FORMAT=MLN","Sort=A","Dates=H","DateFormat=P","Fill=—","Direction=H","UseDPDF=Y")</f>
        <v>0</v>
      </c>
      <c r="Y162" s="13" t="str">
        <f>_xll.BDH("AMGN US Equity","ARDR_FV_ASSETS_REC_L3_AFS_TREAS","FQ2 2024","FQ2 2024","Currency=USD","Period=FQ","BEST_FPERIOD_OVERRIDE=FQ","FILING_STATUS=MR","SCALING_FORMAT=MLN","Sort=A","Dates=H","DateFormat=P","Fill=—","Direction=H","UseDPDF=Y")</f>
        <v>—</v>
      </c>
      <c r="Z162" s="13" t="str">
        <f>_xll.BDH("AMGN US Equity","ARDR_FV_ASSETS_REC_L3_AFS_TREAS","FQ3 2024","FQ3 2024","Currency=USD","Period=FQ","BEST_FPERIOD_OVERRIDE=FQ","FILING_STATUS=MR","SCALING_FORMAT=MLN","Sort=A","Dates=H","DateFormat=P","Fill=—","Direction=H","UseDPDF=Y")</f>
        <v>—</v>
      </c>
      <c r="AA162" s="13">
        <f>_xll.BDH("AMGN US Equity","ARDR_FV_ASSETS_REC_L3_AFS_TREAS","FQ4 2024","FQ4 2024","Currency=USD","Period=FQ","BEST_FPERIOD_OVERRIDE=FQ","FILING_STATUS=MR","SCALING_FORMAT=MLN","Sort=A","Dates=H","DateFormat=P","Fill=—","Direction=H","UseDPDF=Y")</f>
        <v>0</v>
      </c>
    </row>
    <row r="163" spans="1:27" x14ac:dyDescent="0.25">
      <c r="A163" s="10" t="s">
        <v>1140</v>
      </c>
      <c r="B163" s="10" t="s">
        <v>1141</v>
      </c>
      <c r="C163" s="13">
        <f>_xll.BDH("AMGN US Equity","ARDR_FV_ASTS_REC_L3_AFS_CORP_BDS","FQ4 2018","FQ4 2018","Currency=USD","Period=FQ","BEST_FPERIOD_OVERRIDE=FQ","FILING_STATUS=MR","SCALING_FORMAT=MLN","Sort=A","Dates=H","DateFormat=P","Fill=—","Direction=H","UseDPDF=Y")</f>
        <v>0</v>
      </c>
      <c r="D163" s="13">
        <f>_xll.BDH("AMGN US Equity","ARDR_FV_ASTS_REC_L3_AFS_CORP_BDS","FQ1 2019","FQ1 2019","Currency=USD","Period=FQ","BEST_FPERIOD_OVERRIDE=FQ","FILING_STATUS=MR","SCALING_FORMAT=MLN","Sort=A","Dates=H","DateFormat=P","Fill=—","Direction=H","UseDPDF=Y")</f>
        <v>0</v>
      </c>
      <c r="E163" s="13">
        <f>_xll.BDH("AMGN US Equity","ARDR_FV_ASTS_REC_L3_AFS_CORP_BDS","FQ2 2019","FQ2 2019","Currency=USD","Period=FQ","BEST_FPERIOD_OVERRIDE=FQ","FILING_STATUS=MR","SCALING_FORMAT=MLN","Sort=A","Dates=H","DateFormat=P","Fill=—","Direction=H","UseDPDF=Y")</f>
        <v>0</v>
      </c>
      <c r="F163" s="13">
        <f>_xll.BDH("AMGN US Equity","ARDR_FV_ASTS_REC_L3_AFS_CORP_BDS","FQ3 2019","FQ3 2019","Currency=USD","Period=FQ","BEST_FPERIOD_OVERRIDE=FQ","FILING_STATUS=MR","SCALING_FORMAT=MLN","Sort=A","Dates=H","DateFormat=P","Fill=—","Direction=H","UseDPDF=Y")</f>
        <v>0</v>
      </c>
      <c r="G163" s="13">
        <f>_xll.BDH("AMGN US Equity","ARDR_FV_ASTS_REC_L3_AFS_CORP_BDS","FQ4 2019","FQ4 2019","Currency=USD","Period=FQ","BEST_FPERIOD_OVERRIDE=FQ","FILING_STATUS=MR","SCALING_FORMAT=MLN","Sort=A","Dates=H","DateFormat=P","Fill=—","Direction=H","UseDPDF=Y")</f>
        <v>0</v>
      </c>
      <c r="H163" s="13">
        <f>_xll.BDH("AMGN US Equity","ARDR_FV_ASTS_REC_L3_AFS_CORP_BDS","FQ1 2020","FQ1 2020","Currency=USD","Period=FQ","BEST_FPERIOD_OVERRIDE=FQ","FILING_STATUS=MR","SCALING_FORMAT=MLN","Sort=A","Dates=H","DateFormat=P","Fill=—","Direction=H","UseDPDF=Y")</f>
        <v>0</v>
      </c>
      <c r="I163" s="13">
        <f>_xll.BDH("AMGN US Equity","ARDR_FV_ASTS_REC_L3_AFS_CORP_BDS","FQ2 2020","FQ2 2020","Currency=USD","Period=FQ","BEST_FPERIOD_OVERRIDE=FQ","FILING_STATUS=MR","SCALING_FORMAT=MLN","Sort=A","Dates=H","DateFormat=P","Fill=—","Direction=H","UseDPDF=Y")</f>
        <v>0</v>
      </c>
      <c r="J163" s="13">
        <f>_xll.BDH("AMGN US Equity","ARDR_FV_ASTS_REC_L3_AFS_CORP_BDS","FQ3 2020","FQ3 2020","Currency=USD","Period=FQ","BEST_FPERIOD_OVERRIDE=FQ","FILING_STATUS=MR","SCALING_FORMAT=MLN","Sort=A","Dates=H","DateFormat=P","Fill=—","Direction=H","UseDPDF=Y")</f>
        <v>0</v>
      </c>
      <c r="K163" s="13" t="str">
        <f>_xll.BDH("AMGN US Equity","ARDR_FV_ASTS_REC_L3_AFS_CORP_BDS","FQ4 2020","FQ4 2020","Currency=USD","Period=FQ","BEST_FPERIOD_OVERRIDE=FQ","FILING_STATUS=MR","SCALING_FORMAT=MLN","Sort=A","Dates=H","DateFormat=P","Fill=—","Direction=H","UseDPDF=Y")</f>
        <v>—</v>
      </c>
      <c r="L163" s="13" t="str">
        <f>_xll.BDH("AMGN US Equity","ARDR_FV_ASTS_REC_L3_AFS_CORP_BDS","FQ1 2021","FQ1 2021","Currency=USD","Period=FQ","BEST_FPERIOD_OVERRIDE=FQ","FILING_STATUS=MR","SCALING_FORMAT=MLN","Sort=A","Dates=H","DateFormat=P","Fill=—","Direction=H","UseDPDF=Y")</f>
        <v>—</v>
      </c>
      <c r="M163" s="13" t="str">
        <f>_xll.BDH("AMGN US Equity","ARDR_FV_ASTS_REC_L3_AFS_CORP_BDS","FQ2 2021","FQ2 2021","Currency=USD","Period=FQ","BEST_FPERIOD_OVERRIDE=FQ","FILING_STATUS=MR","SCALING_FORMAT=MLN","Sort=A","Dates=H","DateFormat=P","Fill=—","Direction=H","UseDPDF=Y")</f>
        <v>—</v>
      </c>
      <c r="N163" s="13" t="str">
        <f>_xll.BDH("AMGN US Equity","ARDR_FV_ASTS_REC_L3_AFS_CORP_BDS","FQ3 2021","FQ3 2021","Currency=USD","Period=FQ","BEST_FPERIOD_OVERRIDE=FQ","FILING_STATUS=MR","SCALING_FORMAT=MLN","Sort=A","Dates=H","DateFormat=P","Fill=—","Direction=H","UseDPDF=Y")</f>
        <v>—</v>
      </c>
      <c r="O163" s="13" t="str">
        <f>_xll.BDH("AMGN US Equity","ARDR_FV_ASTS_REC_L3_AFS_CORP_BDS","FQ4 2021","FQ4 2021","Currency=USD","Period=FQ","BEST_FPERIOD_OVERRIDE=FQ","FILING_STATUS=MR","SCALING_FORMAT=MLN","Sort=A","Dates=H","DateFormat=P","Fill=—","Direction=H","UseDPDF=Y")</f>
        <v>—</v>
      </c>
      <c r="P163" s="13" t="str">
        <f>_xll.BDH("AMGN US Equity","ARDR_FV_ASTS_REC_L3_AFS_CORP_BDS","FQ1 2022","FQ1 2022","Currency=USD","Period=FQ","BEST_FPERIOD_OVERRIDE=FQ","FILING_STATUS=MR","SCALING_FORMAT=MLN","Sort=A","Dates=H","DateFormat=P","Fill=—","Direction=H","UseDPDF=Y")</f>
        <v>—</v>
      </c>
      <c r="Q163" s="13" t="str">
        <f>_xll.BDH("AMGN US Equity","ARDR_FV_ASTS_REC_L3_AFS_CORP_BDS","FQ2 2022","FQ2 2022","Currency=USD","Period=FQ","BEST_FPERIOD_OVERRIDE=FQ","FILING_STATUS=MR","SCALING_FORMAT=MLN","Sort=A","Dates=H","DateFormat=P","Fill=—","Direction=H","UseDPDF=Y")</f>
        <v>—</v>
      </c>
      <c r="R163" s="13" t="str">
        <f>_xll.BDH("AMGN US Equity","ARDR_FV_ASTS_REC_L3_AFS_CORP_BDS","FQ3 2022","FQ3 2022","Currency=USD","Period=FQ","BEST_FPERIOD_OVERRIDE=FQ","FILING_STATUS=MR","SCALING_FORMAT=MLN","Sort=A","Dates=H","DateFormat=P","Fill=—","Direction=H","UseDPDF=Y")</f>
        <v>—</v>
      </c>
      <c r="S163" s="13" t="str">
        <f>_xll.BDH("AMGN US Equity","ARDR_FV_ASTS_REC_L3_AFS_CORP_BDS","FQ4 2022","FQ4 2022","Currency=USD","Period=FQ","BEST_FPERIOD_OVERRIDE=FQ","FILING_STATUS=MR","SCALING_FORMAT=MLN","Sort=A","Dates=H","DateFormat=P","Fill=—","Direction=H","UseDPDF=Y")</f>
        <v>—</v>
      </c>
      <c r="T163" s="13" t="str">
        <f>_xll.BDH("AMGN US Equity","ARDR_FV_ASTS_REC_L3_AFS_CORP_BDS","FQ1 2023","FQ1 2023","Currency=USD","Period=FQ","BEST_FPERIOD_OVERRIDE=FQ","FILING_STATUS=MR","SCALING_FORMAT=MLN","Sort=A","Dates=H","DateFormat=P","Fill=—","Direction=H","UseDPDF=Y")</f>
        <v>—</v>
      </c>
      <c r="U163" s="13" t="str">
        <f>_xll.BDH("AMGN US Equity","ARDR_FV_ASTS_REC_L3_AFS_CORP_BDS","FQ2 2023","FQ2 2023","Currency=USD","Period=FQ","BEST_FPERIOD_OVERRIDE=FQ","FILING_STATUS=MR","SCALING_FORMAT=MLN","Sort=A","Dates=H","DateFormat=P","Fill=—","Direction=H","UseDPDF=Y")</f>
        <v>—</v>
      </c>
      <c r="V163" s="13" t="str">
        <f>_xll.BDH("AMGN US Equity","ARDR_FV_ASTS_REC_L3_AFS_CORP_BDS","FQ3 2023","FQ3 2023","Currency=USD","Period=FQ","BEST_FPERIOD_OVERRIDE=FQ","FILING_STATUS=MR","SCALING_FORMAT=MLN","Sort=A","Dates=H","DateFormat=P","Fill=—","Direction=H","UseDPDF=Y")</f>
        <v>—</v>
      </c>
      <c r="W163" s="13" t="str">
        <f>_xll.BDH("AMGN US Equity","ARDR_FV_ASTS_REC_L3_AFS_CORP_BDS","FQ4 2023","FQ4 2023","Currency=USD","Period=FQ","BEST_FPERIOD_OVERRIDE=FQ","FILING_STATUS=MR","SCALING_FORMAT=MLN","Sort=A","Dates=H","DateFormat=P","Fill=—","Direction=H","UseDPDF=Y")</f>
        <v>—</v>
      </c>
      <c r="X163" s="13" t="str">
        <f>_xll.BDH("AMGN US Equity","ARDR_FV_ASTS_REC_L3_AFS_CORP_BDS","FQ1 2024","FQ1 2024","Currency=USD","Period=FQ","BEST_FPERIOD_OVERRIDE=FQ","FILING_STATUS=MR","SCALING_FORMAT=MLN","Sort=A","Dates=H","DateFormat=P","Fill=—","Direction=H","UseDPDF=Y")</f>
        <v>—</v>
      </c>
      <c r="Y163" s="13" t="str">
        <f>_xll.BDH("AMGN US Equity","ARDR_FV_ASTS_REC_L3_AFS_CORP_BDS","FQ2 2024","FQ2 2024","Currency=USD","Period=FQ","BEST_FPERIOD_OVERRIDE=FQ","FILING_STATUS=MR","SCALING_FORMAT=MLN","Sort=A","Dates=H","DateFormat=P","Fill=—","Direction=H","UseDPDF=Y")</f>
        <v>—</v>
      </c>
      <c r="Z163" s="13" t="str">
        <f>_xll.BDH("AMGN US Equity","ARDR_FV_ASTS_REC_L3_AFS_CORP_BDS","FQ3 2024","FQ3 2024","Currency=USD","Period=FQ","BEST_FPERIOD_OVERRIDE=FQ","FILING_STATUS=MR","SCALING_FORMAT=MLN","Sort=A","Dates=H","DateFormat=P","Fill=—","Direction=H","UseDPDF=Y")</f>
        <v>—</v>
      </c>
      <c r="AA163" s="13" t="str">
        <f>_xll.BDH("AMGN US Equity","ARDR_FV_ASTS_REC_L3_AFS_CORP_BDS","FQ4 2024","FQ4 2024","Currency=USD","Period=FQ","BEST_FPERIOD_OVERRIDE=FQ","FILING_STATUS=MR","SCALING_FORMAT=MLN","Sort=A","Dates=H","DateFormat=P","Fill=—","Direction=H","UseDPDF=Y")</f>
        <v>—</v>
      </c>
    </row>
    <row r="164" spans="1:27" x14ac:dyDescent="0.25">
      <c r="A164" s="10" t="s">
        <v>1142</v>
      </c>
      <c r="B164" s="10" t="s">
        <v>1143</v>
      </c>
      <c r="C164" s="13">
        <f>_xll.BDH("AMGN US Equity","ARDR_FV_ASTS_REC_L3_AFS_GSE_CMO","FQ4 2018","FQ4 2018","Currency=USD","Period=FQ","BEST_FPERIOD_OVERRIDE=FQ","FILING_STATUS=MR","SCALING_FORMAT=MLN","Sort=A","Dates=H","DateFormat=P","Fill=—","Direction=H","UseDPDF=Y")</f>
        <v>0</v>
      </c>
      <c r="D164" s="13">
        <f>_xll.BDH("AMGN US Equity","ARDR_FV_ASTS_REC_L3_AFS_GSE_CMO","FQ1 2019","FQ1 2019","Currency=USD","Period=FQ","BEST_FPERIOD_OVERRIDE=FQ","FILING_STATUS=MR","SCALING_FORMAT=MLN","Sort=A","Dates=H","DateFormat=P","Fill=—","Direction=H","UseDPDF=Y")</f>
        <v>0</v>
      </c>
      <c r="E164" s="13">
        <f>_xll.BDH("AMGN US Equity","ARDR_FV_ASTS_REC_L3_AFS_GSE_CMO","FQ2 2019","FQ2 2019","Currency=USD","Period=FQ","BEST_FPERIOD_OVERRIDE=FQ","FILING_STATUS=MR","SCALING_FORMAT=MLN","Sort=A","Dates=H","DateFormat=P","Fill=—","Direction=H","UseDPDF=Y")</f>
        <v>0</v>
      </c>
      <c r="F164" s="13">
        <f>_xll.BDH("AMGN US Equity","ARDR_FV_ASTS_REC_L3_AFS_GSE_CMO","FQ3 2019","FQ3 2019","Currency=USD","Period=FQ","BEST_FPERIOD_OVERRIDE=FQ","FILING_STATUS=MR","SCALING_FORMAT=MLN","Sort=A","Dates=H","DateFormat=P","Fill=—","Direction=H","UseDPDF=Y")</f>
        <v>0</v>
      </c>
      <c r="G164" s="13">
        <f>_xll.BDH("AMGN US Equity","ARDR_FV_ASTS_REC_L3_AFS_GSE_CMO","FQ4 2019","FQ4 2019","Currency=USD","Period=FQ","BEST_FPERIOD_OVERRIDE=FQ","FILING_STATUS=MR","SCALING_FORMAT=MLN","Sort=A","Dates=H","DateFormat=P","Fill=—","Direction=H","UseDPDF=Y")</f>
        <v>0</v>
      </c>
      <c r="H164" s="13">
        <f>_xll.BDH("AMGN US Equity","ARDR_FV_ASTS_REC_L3_AFS_GSE_CMO","FQ1 2020","FQ1 2020","Currency=USD","Period=FQ","BEST_FPERIOD_OVERRIDE=FQ","FILING_STATUS=MR","SCALING_FORMAT=MLN","Sort=A","Dates=H","DateFormat=P","Fill=—","Direction=H","UseDPDF=Y")</f>
        <v>0</v>
      </c>
      <c r="I164" s="13">
        <f>_xll.BDH("AMGN US Equity","ARDR_FV_ASTS_REC_L3_AFS_GSE_CMO","FQ2 2020","FQ2 2020","Currency=USD","Period=FQ","BEST_FPERIOD_OVERRIDE=FQ","FILING_STATUS=MR","SCALING_FORMAT=MLN","Sort=A","Dates=H","DateFormat=P","Fill=—","Direction=H","UseDPDF=Y")</f>
        <v>0</v>
      </c>
      <c r="J164" s="13">
        <f>_xll.BDH("AMGN US Equity","ARDR_FV_ASTS_REC_L3_AFS_GSE_CMO","FQ3 2020","FQ3 2020","Currency=USD","Period=FQ","BEST_FPERIOD_OVERRIDE=FQ","FILING_STATUS=MR","SCALING_FORMAT=MLN","Sort=A","Dates=H","DateFormat=P","Fill=—","Direction=H","UseDPDF=Y")</f>
        <v>0</v>
      </c>
      <c r="K164" s="13" t="str">
        <f>_xll.BDH("AMGN US Equity","ARDR_FV_ASTS_REC_L3_AFS_GSE_CMO","FQ4 2020","FQ4 2020","Currency=USD","Period=FQ","BEST_FPERIOD_OVERRIDE=FQ","FILING_STATUS=MR","SCALING_FORMAT=MLN","Sort=A","Dates=H","DateFormat=P","Fill=—","Direction=H","UseDPDF=Y")</f>
        <v>—</v>
      </c>
      <c r="L164" s="13" t="str">
        <f>_xll.BDH("AMGN US Equity","ARDR_FV_ASTS_REC_L3_AFS_GSE_CMO","FQ1 2021","FQ1 2021","Currency=USD","Period=FQ","BEST_FPERIOD_OVERRIDE=FQ","FILING_STATUS=MR","SCALING_FORMAT=MLN","Sort=A","Dates=H","DateFormat=P","Fill=—","Direction=H","UseDPDF=Y")</f>
        <v>—</v>
      </c>
      <c r="M164" s="13" t="str">
        <f>_xll.BDH("AMGN US Equity","ARDR_FV_ASTS_REC_L3_AFS_GSE_CMO","FQ2 2021","FQ2 2021","Currency=USD","Period=FQ","BEST_FPERIOD_OVERRIDE=FQ","FILING_STATUS=MR","SCALING_FORMAT=MLN","Sort=A","Dates=H","DateFormat=P","Fill=—","Direction=H","UseDPDF=Y")</f>
        <v>—</v>
      </c>
      <c r="N164" s="13" t="str">
        <f>_xll.BDH("AMGN US Equity","ARDR_FV_ASTS_REC_L3_AFS_GSE_CMO","FQ3 2021","FQ3 2021","Currency=USD","Period=FQ","BEST_FPERIOD_OVERRIDE=FQ","FILING_STATUS=MR","SCALING_FORMAT=MLN","Sort=A","Dates=H","DateFormat=P","Fill=—","Direction=H","UseDPDF=Y")</f>
        <v>—</v>
      </c>
      <c r="O164" s="13" t="str">
        <f>_xll.BDH("AMGN US Equity","ARDR_FV_ASTS_REC_L3_AFS_GSE_CMO","FQ4 2021","FQ4 2021","Currency=USD","Period=FQ","BEST_FPERIOD_OVERRIDE=FQ","FILING_STATUS=MR","SCALING_FORMAT=MLN","Sort=A","Dates=H","DateFormat=P","Fill=—","Direction=H","UseDPDF=Y")</f>
        <v>—</v>
      </c>
      <c r="P164" s="13" t="str">
        <f>_xll.BDH("AMGN US Equity","ARDR_FV_ASTS_REC_L3_AFS_GSE_CMO","FQ1 2022","FQ1 2022","Currency=USD","Period=FQ","BEST_FPERIOD_OVERRIDE=FQ","FILING_STATUS=MR","SCALING_FORMAT=MLN","Sort=A","Dates=H","DateFormat=P","Fill=—","Direction=H","UseDPDF=Y")</f>
        <v>—</v>
      </c>
      <c r="Q164" s="13" t="str">
        <f>_xll.BDH("AMGN US Equity","ARDR_FV_ASTS_REC_L3_AFS_GSE_CMO","FQ2 2022","FQ2 2022","Currency=USD","Period=FQ","BEST_FPERIOD_OVERRIDE=FQ","FILING_STATUS=MR","SCALING_FORMAT=MLN","Sort=A","Dates=H","DateFormat=P","Fill=—","Direction=H","UseDPDF=Y")</f>
        <v>—</v>
      </c>
      <c r="R164" s="13" t="str">
        <f>_xll.BDH("AMGN US Equity","ARDR_FV_ASTS_REC_L3_AFS_GSE_CMO","FQ3 2022","FQ3 2022","Currency=USD","Period=FQ","BEST_FPERIOD_OVERRIDE=FQ","FILING_STATUS=MR","SCALING_FORMAT=MLN","Sort=A","Dates=H","DateFormat=P","Fill=—","Direction=H","UseDPDF=Y")</f>
        <v>—</v>
      </c>
      <c r="S164" s="13" t="str">
        <f>_xll.BDH("AMGN US Equity","ARDR_FV_ASTS_REC_L3_AFS_GSE_CMO","FQ4 2022","FQ4 2022","Currency=USD","Period=FQ","BEST_FPERIOD_OVERRIDE=FQ","FILING_STATUS=MR","SCALING_FORMAT=MLN","Sort=A","Dates=H","DateFormat=P","Fill=—","Direction=H","UseDPDF=Y")</f>
        <v>—</v>
      </c>
      <c r="T164" s="13" t="str">
        <f>_xll.BDH("AMGN US Equity","ARDR_FV_ASTS_REC_L3_AFS_GSE_CMO","FQ1 2023","FQ1 2023","Currency=USD","Period=FQ","BEST_FPERIOD_OVERRIDE=FQ","FILING_STATUS=MR","SCALING_FORMAT=MLN","Sort=A","Dates=H","DateFormat=P","Fill=—","Direction=H","UseDPDF=Y")</f>
        <v>—</v>
      </c>
      <c r="U164" s="13" t="str">
        <f>_xll.BDH("AMGN US Equity","ARDR_FV_ASTS_REC_L3_AFS_GSE_CMO","FQ2 2023","FQ2 2023","Currency=USD","Period=FQ","BEST_FPERIOD_OVERRIDE=FQ","FILING_STATUS=MR","SCALING_FORMAT=MLN","Sort=A","Dates=H","DateFormat=P","Fill=—","Direction=H","UseDPDF=Y")</f>
        <v>—</v>
      </c>
      <c r="V164" s="13" t="str">
        <f>_xll.BDH("AMGN US Equity","ARDR_FV_ASTS_REC_L3_AFS_GSE_CMO","FQ3 2023","FQ3 2023","Currency=USD","Period=FQ","BEST_FPERIOD_OVERRIDE=FQ","FILING_STATUS=MR","SCALING_FORMAT=MLN","Sort=A","Dates=H","DateFormat=P","Fill=—","Direction=H","UseDPDF=Y")</f>
        <v>—</v>
      </c>
      <c r="W164" s="13" t="str">
        <f>_xll.BDH("AMGN US Equity","ARDR_FV_ASTS_REC_L3_AFS_GSE_CMO","FQ4 2023","FQ4 2023","Currency=USD","Period=FQ","BEST_FPERIOD_OVERRIDE=FQ","FILING_STATUS=MR","SCALING_FORMAT=MLN","Sort=A","Dates=H","DateFormat=P","Fill=—","Direction=H","UseDPDF=Y")</f>
        <v>—</v>
      </c>
      <c r="X164" s="13" t="str">
        <f>_xll.BDH("AMGN US Equity","ARDR_FV_ASTS_REC_L3_AFS_GSE_CMO","FQ1 2024","FQ1 2024","Currency=USD","Period=FQ","BEST_FPERIOD_OVERRIDE=FQ","FILING_STATUS=MR","SCALING_FORMAT=MLN","Sort=A","Dates=H","DateFormat=P","Fill=—","Direction=H","UseDPDF=Y")</f>
        <v>—</v>
      </c>
      <c r="Y164" s="13" t="str">
        <f>_xll.BDH("AMGN US Equity","ARDR_FV_ASTS_REC_L3_AFS_GSE_CMO","FQ2 2024","FQ2 2024","Currency=USD","Period=FQ","BEST_FPERIOD_OVERRIDE=FQ","FILING_STATUS=MR","SCALING_FORMAT=MLN","Sort=A","Dates=H","DateFormat=P","Fill=—","Direction=H","UseDPDF=Y")</f>
        <v>—</v>
      </c>
      <c r="Z164" s="13" t="str">
        <f>_xll.BDH("AMGN US Equity","ARDR_FV_ASTS_REC_L3_AFS_GSE_CMO","FQ3 2024","FQ3 2024","Currency=USD","Period=FQ","BEST_FPERIOD_OVERRIDE=FQ","FILING_STATUS=MR","SCALING_FORMAT=MLN","Sort=A","Dates=H","DateFormat=P","Fill=—","Direction=H","UseDPDF=Y")</f>
        <v>—</v>
      </c>
      <c r="AA164" s="13">
        <f>_xll.BDH("AMGN US Equity","ARDR_FV_ASTS_REC_L3_AFS_GSE_CMO","FQ4 2024","FQ4 2024","Currency=USD","Period=FQ","BEST_FPERIOD_OVERRIDE=FQ","FILING_STATUS=MR","SCALING_FORMAT=MLN","Sort=A","Dates=H","DateFormat=P","Fill=—","Direction=H","UseDPDF=Y")</f>
        <v>0</v>
      </c>
    </row>
    <row r="165" spans="1:27" x14ac:dyDescent="0.25">
      <c r="A165" s="10" t="s">
        <v>1144</v>
      </c>
      <c r="B165" s="10" t="s">
        <v>1145</v>
      </c>
      <c r="C165" s="13">
        <f>_xll.BDH("AMGN US Equity","ARDR_FV_ASTS_REC_L3_AFS_NON_GSE","FQ4 2018","FQ4 2018","Currency=USD","Period=FQ","BEST_FPERIOD_OVERRIDE=FQ","FILING_STATUS=MR","SCALING_FORMAT=MLN","Sort=A","Dates=H","DateFormat=P","Fill=—","Direction=H","UseDPDF=Y")</f>
        <v>0</v>
      </c>
      <c r="D165" s="13">
        <f>_xll.BDH("AMGN US Equity","ARDR_FV_ASTS_REC_L3_AFS_NON_GSE","FQ1 2019","FQ1 2019","Currency=USD","Period=FQ","BEST_FPERIOD_OVERRIDE=FQ","FILING_STATUS=MR","SCALING_FORMAT=MLN","Sort=A","Dates=H","DateFormat=P","Fill=—","Direction=H","UseDPDF=Y")</f>
        <v>0</v>
      </c>
      <c r="E165" s="13">
        <f>_xll.BDH("AMGN US Equity","ARDR_FV_ASTS_REC_L3_AFS_NON_GSE","FQ2 2019","FQ2 2019","Currency=USD","Period=FQ","BEST_FPERIOD_OVERRIDE=FQ","FILING_STATUS=MR","SCALING_FORMAT=MLN","Sort=A","Dates=H","DateFormat=P","Fill=—","Direction=H","UseDPDF=Y")</f>
        <v>0</v>
      </c>
      <c r="F165" s="13">
        <f>_xll.BDH("AMGN US Equity","ARDR_FV_ASTS_REC_L3_AFS_NON_GSE","FQ3 2019","FQ3 2019","Currency=USD","Period=FQ","BEST_FPERIOD_OVERRIDE=FQ","FILING_STATUS=MR","SCALING_FORMAT=MLN","Sort=A","Dates=H","DateFormat=P","Fill=—","Direction=H","UseDPDF=Y")</f>
        <v>0</v>
      </c>
      <c r="G165" s="13">
        <f>_xll.BDH("AMGN US Equity","ARDR_FV_ASTS_REC_L3_AFS_NON_GSE","FQ4 2019","FQ4 2019","Currency=USD","Period=FQ","BEST_FPERIOD_OVERRIDE=FQ","FILING_STATUS=MR","SCALING_FORMAT=MLN","Sort=A","Dates=H","DateFormat=P","Fill=—","Direction=H","UseDPDF=Y")</f>
        <v>0</v>
      </c>
      <c r="H165" s="13">
        <f>_xll.BDH("AMGN US Equity","ARDR_FV_ASTS_REC_L3_AFS_NON_GSE","FQ1 2020","FQ1 2020","Currency=USD","Period=FQ","BEST_FPERIOD_OVERRIDE=FQ","FILING_STATUS=MR","SCALING_FORMAT=MLN","Sort=A","Dates=H","DateFormat=P","Fill=—","Direction=H","UseDPDF=Y")</f>
        <v>0</v>
      </c>
      <c r="I165" s="13" t="str">
        <f>_xll.BDH("AMGN US Equity","ARDR_FV_ASTS_REC_L3_AFS_NON_GSE","FQ2 2020","FQ2 2020","Currency=USD","Period=FQ","BEST_FPERIOD_OVERRIDE=FQ","FILING_STATUS=MR","SCALING_FORMAT=MLN","Sort=A","Dates=H","DateFormat=P","Fill=—","Direction=H","UseDPDF=Y")</f>
        <v>—</v>
      </c>
      <c r="J165" s="13">
        <f>_xll.BDH("AMGN US Equity","ARDR_FV_ASTS_REC_L3_AFS_NON_GSE","FQ3 2020","FQ3 2020","Currency=USD","Period=FQ","BEST_FPERIOD_OVERRIDE=FQ","FILING_STATUS=MR","SCALING_FORMAT=MLN","Sort=A","Dates=H","DateFormat=P","Fill=—","Direction=H","UseDPDF=Y")</f>
        <v>0</v>
      </c>
      <c r="K165" s="13">
        <f>_xll.BDH("AMGN US Equity","ARDR_FV_ASTS_REC_L3_AFS_NON_GSE","FQ4 2020","FQ4 2020","Currency=USD","Period=FQ","BEST_FPERIOD_OVERRIDE=FQ","FILING_STATUS=MR","SCALING_FORMAT=MLN","Sort=A","Dates=H","DateFormat=P","Fill=—","Direction=H","UseDPDF=Y")</f>
        <v>0</v>
      </c>
      <c r="L165" s="13">
        <f>_xll.BDH("AMGN US Equity","ARDR_FV_ASTS_REC_L3_AFS_NON_GSE","FQ1 2021","FQ1 2021","Currency=USD","Period=FQ","BEST_FPERIOD_OVERRIDE=FQ","FILING_STATUS=MR","SCALING_FORMAT=MLN","Sort=A","Dates=H","DateFormat=P","Fill=—","Direction=H","UseDPDF=Y")</f>
        <v>0</v>
      </c>
      <c r="M165" s="13">
        <f>_xll.BDH("AMGN US Equity","ARDR_FV_ASTS_REC_L3_AFS_NON_GSE","FQ2 2021","FQ2 2021","Currency=USD","Period=FQ","BEST_FPERIOD_OVERRIDE=FQ","FILING_STATUS=MR","SCALING_FORMAT=MLN","Sort=A","Dates=H","DateFormat=P","Fill=—","Direction=H","UseDPDF=Y")</f>
        <v>0</v>
      </c>
      <c r="N165" s="13" t="str">
        <f>_xll.BDH("AMGN US Equity","ARDR_FV_ASTS_REC_L3_AFS_NON_GSE","FQ3 2021","FQ3 2021","Currency=USD","Period=FQ","BEST_FPERIOD_OVERRIDE=FQ","FILING_STATUS=MR","SCALING_FORMAT=MLN","Sort=A","Dates=H","DateFormat=P","Fill=—","Direction=H","UseDPDF=Y")</f>
        <v>—</v>
      </c>
      <c r="O165" s="13">
        <f>_xll.BDH("AMGN US Equity","ARDR_FV_ASTS_REC_L3_AFS_NON_GSE","FQ4 2021","FQ4 2021","Currency=USD","Period=FQ","BEST_FPERIOD_OVERRIDE=FQ","FILING_STATUS=MR","SCALING_FORMAT=MLN","Sort=A","Dates=H","DateFormat=P","Fill=—","Direction=H","UseDPDF=Y")</f>
        <v>220</v>
      </c>
      <c r="P165" s="13">
        <f>_xll.BDH("AMGN US Equity","ARDR_FV_ASTS_REC_L3_AFS_NON_GSE","FQ1 2022","FQ1 2022","Currency=USD","Period=FQ","BEST_FPERIOD_OVERRIDE=FQ","FILING_STATUS=MR","SCALING_FORMAT=MLN","Sort=A","Dates=H","DateFormat=P","Fill=—","Direction=H","UseDPDF=Y")</f>
        <v>170</v>
      </c>
      <c r="Q165" s="13">
        <f>_xll.BDH("AMGN US Equity","ARDR_FV_ASTS_REC_L3_AFS_NON_GSE","FQ2 2022","FQ2 2022","Currency=USD","Period=FQ","BEST_FPERIOD_OVERRIDE=FQ","FILING_STATUS=MR","SCALING_FORMAT=MLN","Sort=A","Dates=H","DateFormat=P","Fill=—","Direction=H","UseDPDF=Y")</f>
        <v>131</v>
      </c>
      <c r="R165" s="13">
        <f>_xll.BDH("AMGN US Equity","ARDR_FV_ASTS_REC_L3_AFS_NON_GSE","FQ3 2022","FQ3 2022","Currency=USD","Period=FQ","BEST_FPERIOD_OVERRIDE=FQ","FILING_STATUS=MR","SCALING_FORMAT=MLN","Sort=A","Dates=H","DateFormat=P","Fill=—","Direction=H","UseDPDF=Y")</f>
        <v>382</v>
      </c>
      <c r="S165" s="13">
        <f>_xll.BDH("AMGN US Equity","ARDR_FV_ASTS_REC_L3_AFS_NON_GSE","FQ4 2022","FQ4 2022","Currency=USD","Period=FQ","BEST_FPERIOD_OVERRIDE=FQ","FILING_STATUS=MR","SCALING_FORMAT=MLN","Sort=A","Dates=H","DateFormat=P","Fill=—","Direction=H","UseDPDF=Y")</f>
        <v>335</v>
      </c>
      <c r="T165" s="13">
        <f>_xll.BDH("AMGN US Equity","ARDR_FV_ASTS_REC_L3_AFS_NON_GSE","FQ1 2023","FQ1 2023","Currency=USD","Period=FQ","BEST_FPERIOD_OVERRIDE=FQ","FILING_STATUS=MR","SCALING_FORMAT=MLN","Sort=A","Dates=H","DateFormat=P","Fill=—","Direction=H","UseDPDF=Y")</f>
        <v>288</v>
      </c>
      <c r="U165" s="13" t="str">
        <f>_xll.BDH("AMGN US Equity","ARDR_FV_ASTS_REC_L3_AFS_NON_GSE","FQ2 2023","FQ2 2023","Currency=USD","Period=FQ","BEST_FPERIOD_OVERRIDE=FQ","FILING_STATUS=MR","SCALING_FORMAT=MLN","Sort=A","Dates=H","DateFormat=P","Fill=—","Direction=H","UseDPDF=Y")</f>
        <v>—</v>
      </c>
      <c r="V165" s="13">
        <f>_xll.BDH("AMGN US Equity","ARDR_FV_ASTS_REC_L3_AFS_NON_GSE","FQ3 2023","FQ3 2023","Currency=USD","Period=FQ","BEST_FPERIOD_OVERRIDE=FQ","FILING_STATUS=MR","SCALING_FORMAT=MLN","Sort=A","Dates=H","DateFormat=P","Fill=—","Direction=H","UseDPDF=Y")</f>
        <v>0</v>
      </c>
      <c r="W165" s="13">
        <f>_xll.BDH("AMGN US Equity","ARDR_FV_ASTS_REC_L3_AFS_NON_GSE","FQ4 2023","FQ4 2023","Currency=USD","Period=FQ","BEST_FPERIOD_OVERRIDE=FQ","FILING_STATUS=MR","SCALING_FORMAT=MLN","Sort=A","Dates=H","DateFormat=P","Fill=—","Direction=H","UseDPDF=Y")</f>
        <v>0</v>
      </c>
      <c r="X165" s="13" t="str">
        <f>_xll.BDH("AMGN US Equity","ARDR_FV_ASTS_REC_L3_AFS_NON_GSE","FQ1 2024","FQ1 2024","Currency=USD","Period=FQ","BEST_FPERIOD_OVERRIDE=FQ","FILING_STATUS=MR","SCALING_FORMAT=MLN","Sort=A","Dates=H","DateFormat=P","Fill=—","Direction=H","UseDPDF=Y")</f>
        <v>—</v>
      </c>
      <c r="Y165" s="13" t="str">
        <f>_xll.BDH("AMGN US Equity","ARDR_FV_ASTS_REC_L3_AFS_NON_GSE","FQ2 2024","FQ2 2024","Currency=USD","Period=FQ","BEST_FPERIOD_OVERRIDE=FQ","FILING_STATUS=MR","SCALING_FORMAT=MLN","Sort=A","Dates=H","DateFormat=P","Fill=—","Direction=H","UseDPDF=Y")</f>
        <v>—</v>
      </c>
      <c r="Z165" s="13" t="str">
        <f>_xll.BDH("AMGN US Equity","ARDR_FV_ASTS_REC_L3_AFS_NON_GSE","FQ3 2024","FQ3 2024","Currency=USD","Period=FQ","BEST_FPERIOD_OVERRIDE=FQ","FILING_STATUS=MR","SCALING_FORMAT=MLN","Sort=A","Dates=H","DateFormat=P","Fill=—","Direction=H","UseDPDF=Y")</f>
        <v>—</v>
      </c>
      <c r="AA165" s="13">
        <f>_xll.BDH("AMGN US Equity","ARDR_FV_ASTS_REC_L3_AFS_NON_GSE","FQ4 2024","FQ4 2024","Currency=USD","Period=FQ","BEST_FPERIOD_OVERRIDE=FQ","FILING_STATUS=MR","SCALING_FORMAT=MLN","Sort=A","Dates=H","DateFormat=P","Fill=—","Direction=H","UseDPDF=Y")</f>
        <v>0</v>
      </c>
    </row>
    <row r="166" spans="1:27" x14ac:dyDescent="0.25">
      <c r="A166" s="10" t="s">
        <v>1146</v>
      </c>
      <c r="B166" s="10" t="s">
        <v>1147</v>
      </c>
      <c r="C166" s="13">
        <f>_xll.BDH("AMGN US Equity","ARDR_FV_ASSETS_REC_L3_AFS_OTHER","FQ4 2018","FQ4 2018","Currency=USD","Period=FQ","BEST_FPERIOD_OVERRIDE=FQ","FILING_STATUS=MR","SCALING_FORMAT=MLN","Sort=A","Dates=H","DateFormat=P","Fill=—","Direction=H","UseDPDF=Y")</f>
        <v>0</v>
      </c>
      <c r="D166" s="13">
        <f>_xll.BDH("AMGN US Equity","ARDR_FV_ASSETS_REC_L3_AFS_OTHER","FQ1 2019","FQ1 2019","Currency=USD","Period=FQ","BEST_FPERIOD_OVERRIDE=FQ","FILING_STATUS=MR","SCALING_FORMAT=MLN","Sort=A","Dates=H","DateFormat=P","Fill=—","Direction=H","UseDPDF=Y")</f>
        <v>0</v>
      </c>
      <c r="E166" s="13">
        <f>_xll.BDH("AMGN US Equity","ARDR_FV_ASSETS_REC_L3_AFS_OTHER","FQ2 2019","FQ2 2019","Currency=USD","Period=FQ","BEST_FPERIOD_OVERRIDE=FQ","FILING_STATUS=MR","SCALING_FORMAT=MLN","Sort=A","Dates=H","DateFormat=P","Fill=—","Direction=H","UseDPDF=Y")</f>
        <v>0</v>
      </c>
      <c r="F166" s="13">
        <f>_xll.BDH("AMGN US Equity","ARDR_FV_ASSETS_REC_L3_AFS_OTHER","FQ3 2019","FQ3 2019","Currency=USD","Period=FQ","BEST_FPERIOD_OVERRIDE=FQ","FILING_STATUS=MR","SCALING_FORMAT=MLN","Sort=A","Dates=H","DateFormat=P","Fill=—","Direction=H","UseDPDF=Y")</f>
        <v>0</v>
      </c>
      <c r="G166" s="13">
        <f>_xll.BDH("AMGN US Equity","ARDR_FV_ASSETS_REC_L3_AFS_OTHER","FQ4 2019","FQ4 2019","Currency=USD","Period=FQ","BEST_FPERIOD_OVERRIDE=FQ","FILING_STATUS=MR","SCALING_FORMAT=MLN","Sort=A","Dates=H","DateFormat=P","Fill=—","Direction=H","UseDPDF=Y")</f>
        <v>0</v>
      </c>
      <c r="H166" s="13">
        <f>_xll.BDH("AMGN US Equity","ARDR_FV_ASSETS_REC_L3_AFS_OTHER","FQ1 2020","FQ1 2020","Currency=USD","Period=FQ","BEST_FPERIOD_OVERRIDE=FQ","FILING_STATUS=MR","SCALING_FORMAT=MLN","Sort=A","Dates=H","DateFormat=P","Fill=—","Direction=H","UseDPDF=Y")</f>
        <v>0</v>
      </c>
      <c r="I166" s="13">
        <f>_xll.BDH("AMGN US Equity","ARDR_FV_ASSETS_REC_L3_AFS_OTHER","FQ2 2020","FQ2 2020","Currency=USD","Period=FQ","BEST_FPERIOD_OVERRIDE=FQ","FILING_STATUS=MR","SCALING_FORMAT=MLN","Sort=A","Dates=H","DateFormat=P","Fill=—","Direction=H","UseDPDF=Y")</f>
        <v>0</v>
      </c>
      <c r="J166" s="13">
        <f>_xll.BDH("AMGN US Equity","ARDR_FV_ASSETS_REC_L3_AFS_OTHER","FQ3 2020","FQ3 2020","Currency=USD","Period=FQ","BEST_FPERIOD_OVERRIDE=FQ","FILING_STATUS=MR","SCALING_FORMAT=MLN","Sort=A","Dates=H","DateFormat=P","Fill=—","Direction=H","UseDPDF=Y")</f>
        <v>0</v>
      </c>
      <c r="K166" s="13" t="str">
        <f>_xll.BDH("AMGN US Equity","ARDR_FV_ASSETS_REC_L3_AFS_OTHER","FQ4 2020","FQ4 2020","Currency=USD","Period=FQ","BEST_FPERIOD_OVERRIDE=FQ","FILING_STATUS=MR","SCALING_FORMAT=MLN","Sort=A","Dates=H","DateFormat=P","Fill=—","Direction=H","UseDPDF=Y")</f>
        <v>—</v>
      </c>
      <c r="L166" s="13">
        <f>_xll.BDH("AMGN US Equity","ARDR_FV_ASSETS_REC_L3_AFS_OTHER","FQ1 2021","FQ1 2021","Currency=USD","Period=FQ","BEST_FPERIOD_OVERRIDE=FQ","FILING_STATUS=MR","SCALING_FORMAT=MLN","Sort=A","Dates=H","DateFormat=P","Fill=—","Direction=H","UseDPDF=Y")</f>
        <v>0</v>
      </c>
      <c r="M166" s="13">
        <f>_xll.BDH("AMGN US Equity","ARDR_FV_ASSETS_REC_L3_AFS_OTHER","FQ2 2021","FQ2 2021","Currency=USD","Period=FQ","BEST_FPERIOD_OVERRIDE=FQ","FILING_STATUS=MR","SCALING_FORMAT=MLN","Sort=A","Dates=H","DateFormat=P","Fill=—","Direction=H","UseDPDF=Y")</f>
        <v>0</v>
      </c>
      <c r="N166" s="13">
        <f>_xll.BDH("AMGN US Equity","ARDR_FV_ASSETS_REC_L3_AFS_OTHER","FQ3 2021","FQ3 2021","Currency=USD","Period=FQ","BEST_FPERIOD_OVERRIDE=FQ","FILING_STATUS=MR","SCALING_FORMAT=MLN","Sort=A","Dates=H","DateFormat=P","Fill=—","Direction=H","UseDPDF=Y")</f>
        <v>257</v>
      </c>
      <c r="O166" s="13" t="str">
        <f>_xll.BDH("AMGN US Equity","ARDR_FV_ASSETS_REC_L3_AFS_OTHER","FQ4 2021","FQ4 2021","Currency=USD","Period=FQ","BEST_FPERIOD_OVERRIDE=FQ","FILING_STATUS=MR","SCALING_FORMAT=MLN","Sort=A","Dates=H","DateFormat=P","Fill=—","Direction=H","UseDPDF=Y")</f>
        <v>—</v>
      </c>
      <c r="P166" s="13" t="str">
        <f>_xll.BDH("AMGN US Equity","ARDR_FV_ASSETS_REC_L3_AFS_OTHER","FQ1 2022","FQ1 2022","Currency=USD","Period=FQ","BEST_FPERIOD_OVERRIDE=FQ","FILING_STATUS=MR","SCALING_FORMAT=MLN","Sort=A","Dates=H","DateFormat=P","Fill=—","Direction=H","UseDPDF=Y")</f>
        <v>—</v>
      </c>
      <c r="Q166" s="13" t="str">
        <f>_xll.BDH("AMGN US Equity","ARDR_FV_ASSETS_REC_L3_AFS_OTHER","FQ2 2022","FQ2 2022","Currency=USD","Period=FQ","BEST_FPERIOD_OVERRIDE=FQ","FILING_STATUS=MR","SCALING_FORMAT=MLN","Sort=A","Dates=H","DateFormat=P","Fill=—","Direction=H","UseDPDF=Y")</f>
        <v>—</v>
      </c>
      <c r="R166" s="13" t="str">
        <f>_xll.BDH("AMGN US Equity","ARDR_FV_ASSETS_REC_L3_AFS_OTHER","FQ3 2022","FQ3 2022","Currency=USD","Period=FQ","BEST_FPERIOD_OVERRIDE=FQ","FILING_STATUS=MR","SCALING_FORMAT=MLN","Sort=A","Dates=H","DateFormat=P","Fill=—","Direction=H","UseDPDF=Y")</f>
        <v>—</v>
      </c>
      <c r="S166" s="13" t="str">
        <f>_xll.BDH("AMGN US Equity","ARDR_FV_ASSETS_REC_L3_AFS_OTHER","FQ4 2022","FQ4 2022","Currency=USD","Period=FQ","BEST_FPERIOD_OVERRIDE=FQ","FILING_STATUS=MR","SCALING_FORMAT=MLN","Sort=A","Dates=H","DateFormat=P","Fill=—","Direction=H","UseDPDF=Y")</f>
        <v>—</v>
      </c>
      <c r="T166" s="13" t="str">
        <f>_xll.BDH("AMGN US Equity","ARDR_FV_ASSETS_REC_L3_AFS_OTHER","FQ1 2023","FQ1 2023","Currency=USD","Period=FQ","BEST_FPERIOD_OVERRIDE=FQ","FILING_STATUS=MR","SCALING_FORMAT=MLN","Sort=A","Dates=H","DateFormat=P","Fill=—","Direction=H","UseDPDF=Y")</f>
        <v>—</v>
      </c>
      <c r="U166" s="13" t="str">
        <f>_xll.BDH("AMGN US Equity","ARDR_FV_ASSETS_REC_L3_AFS_OTHER","FQ2 2023","FQ2 2023","Currency=USD","Period=FQ","BEST_FPERIOD_OVERRIDE=FQ","FILING_STATUS=MR","SCALING_FORMAT=MLN","Sort=A","Dates=H","DateFormat=P","Fill=—","Direction=H","UseDPDF=Y")</f>
        <v>—</v>
      </c>
      <c r="V166" s="13" t="str">
        <f>_xll.BDH("AMGN US Equity","ARDR_FV_ASSETS_REC_L3_AFS_OTHER","FQ3 2023","FQ3 2023","Currency=USD","Period=FQ","BEST_FPERIOD_OVERRIDE=FQ","FILING_STATUS=MR","SCALING_FORMAT=MLN","Sort=A","Dates=H","DateFormat=P","Fill=—","Direction=H","UseDPDF=Y")</f>
        <v>—</v>
      </c>
      <c r="W166" s="13" t="str">
        <f>_xll.BDH("AMGN US Equity","ARDR_FV_ASSETS_REC_L3_AFS_OTHER","FQ4 2023","FQ4 2023","Currency=USD","Period=FQ","BEST_FPERIOD_OVERRIDE=FQ","FILING_STATUS=MR","SCALING_FORMAT=MLN","Sort=A","Dates=H","DateFormat=P","Fill=—","Direction=H","UseDPDF=Y")</f>
        <v>—</v>
      </c>
      <c r="X166" s="13" t="str">
        <f>_xll.BDH("AMGN US Equity","ARDR_FV_ASSETS_REC_L3_AFS_OTHER","FQ1 2024","FQ1 2024","Currency=USD","Period=FQ","BEST_FPERIOD_OVERRIDE=FQ","FILING_STATUS=MR","SCALING_FORMAT=MLN","Sort=A","Dates=H","DateFormat=P","Fill=—","Direction=H","UseDPDF=Y")</f>
        <v>—</v>
      </c>
      <c r="Y166" s="13" t="str">
        <f>_xll.BDH("AMGN US Equity","ARDR_FV_ASSETS_REC_L3_AFS_OTHER","FQ2 2024","FQ2 2024","Currency=USD","Period=FQ","BEST_FPERIOD_OVERRIDE=FQ","FILING_STATUS=MR","SCALING_FORMAT=MLN","Sort=A","Dates=H","DateFormat=P","Fill=—","Direction=H","UseDPDF=Y")</f>
        <v>—</v>
      </c>
      <c r="Z166" s="13" t="str">
        <f>_xll.BDH("AMGN US Equity","ARDR_FV_ASSETS_REC_L3_AFS_OTHER","FQ3 2024","FQ3 2024","Currency=USD","Period=FQ","BEST_FPERIOD_OVERRIDE=FQ","FILING_STATUS=MR","SCALING_FORMAT=MLN","Sort=A","Dates=H","DateFormat=P","Fill=—","Direction=H","UseDPDF=Y")</f>
        <v>—</v>
      </c>
      <c r="AA166" s="13" t="str">
        <f>_xll.BDH("AMGN US Equity","ARDR_FV_ASSETS_REC_L3_AFS_OTHER","FQ4 2024","FQ4 2024","Currency=USD","Period=FQ","BEST_FPERIOD_OVERRIDE=FQ","FILING_STATUS=MR","SCALING_FORMAT=MLN","Sort=A","Dates=H","DateFormat=P","Fill=—","Direction=H","UseDPDF=Y")</f>
        <v>—</v>
      </c>
    </row>
    <row r="167" spans="1:27" x14ac:dyDescent="0.25">
      <c r="A167" s="10" t="s">
        <v>1148</v>
      </c>
      <c r="B167" s="10" t="s">
        <v>1149</v>
      </c>
      <c r="C167" s="13">
        <f>_xll.BDH("AMGN US Equity","ARDR_FV_ASTS_REC_L3_DERIVATIVES","FQ4 2018","FQ4 2018","Currency=USD","Period=FQ","BEST_FPERIOD_OVERRIDE=FQ","FILING_STATUS=MR","SCALING_FORMAT=MLN","Sort=A","Dates=H","DateFormat=P","Fill=—","Direction=H","UseDPDF=Y")</f>
        <v>0</v>
      </c>
      <c r="D167" s="13">
        <f>_xll.BDH("AMGN US Equity","ARDR_FV_ASTS_REC_L3_DERIVATIVES","FQ1 2019","FQ1 2019","Currency=USD","Period=FQ","BEST_FPERIOD_OVERRIDE=FQ","FILING_STATUS=MR","SCALING_FORMAT=MLN","Sort=A","Dates=H","DateFormat=P","Fill=—","Direction=H","UseDPDF=Y")</f>
        <v>0</v>
      </c>
      <c r="E167" s="13">
        <f>_xll.BDH("AMGN US Equity","ARDR_FV_ASTS_REC_L3_DERIVATIVES","FQ2 2019","FQ2 2019","Currency=USD","Period=FQ","BEST_FPERIOD_OVERRIDE=FQ","FILING_STATUS=MR","SCALING_FORMAT=MLN","Sort=A","Dates=H","DateFormat=P","Fill=—","Direction=H","UseDPDF=Y")</f>
        <v>0</v>
      </c>
      <c r="F167" s="13" t="str">
        <f>_xll.BDH("AMGN US Equity","ARDR_FV_ASTS_REC_L3_DERIVATIVES","FQ3 2019","FQ3 2019","Currency=USD","Period=FQ","BEST_FPERIOD_OVERRIDE=FQ","FILING_STATUS=MR","SCALING_FORMAT=MLN","Sort=A","Dates=H","DateFormat=P","Fill=—","Direction=H","UseDPDF=Y")</f>
        <v>—</v>
      </c>
      <c r="G167" s="13" t="str">
        <f>_xll.BDH("AMGN US Equity","ARDR_FV_ASTS_REC_L3_DERIVATIVES","FQ4 2019","FQ4 2019","Currency=USD","Period=FQ","BEST_FPERIOD_OVERRIDE=FQ","FILING_STATUS=MR","SCALING_FORMAT=MLN","Sort=A","Dates=H","DateFormat=P","Fill=—","Direction=H","UseDPDF=Y")</f>
        <v>—</v>
      </c>
      <c r="H167" s="13">
        <f>_xll.BDH("AMGN US Equity","ARDR_FV_ASTS_REC_L3_DERIVATIVES","FQ1 2020","FQ1 2020","Currency=USD","Period=FQ","BEST_FPERIOD_OVERRIDE=FQ","FILING_STATUS=MR","SCALING_FORMAT=MLN","Sort=A","Dates=H","DateFormat=P","Fill=—","Direction=H","UseDPDF=Y")</f>
        <v>0</v>
      </c>
      <c r="I167" s="13">
        <f>_xll.BDH("AMGN US Equity","ARDR_FV_ASTS_REC_L3_DERIVATIVES","FQ2 2020","FQ2 2020","Currency=USD","Period=FQ","BEST_FPERIOD_OVERRIDE=FQ","FILING_STATUS=MR","SCALING_FORMAT=MLN","Sort=A","Dates=H","DateFormat=P","Fill=—","Direction=H","UseDPDF=Y")</f>
        <v>0</v>
      </c>
      <c r="J167" s="13" t="str">
        <f>_xll.BDH("AMGN US Equity","ARDR_FV_ASTS_REC_L3_DERIVATIVES","FQ3 2020","FQ3 2020","Currency=USD","Period=FQ","BEST_FPERIOD_OVERRIDE=FQ","FILING_STATUS=MR","SCALING_FORMAT=MLN","Sort=A","Dates=H","DateFormat=P","Fill=—","Direction=H","UseDPDF=Y")</f>
        <v>—</v>
      </c>
      <c r="K167" s="13">
        <f>_xll.BDH("AMGN US Equity","ARDR_FV_ASTS_REC_L3_DERIVATIVES","FQ4 2020","FQ4 2020","Currency=USD","Period=FQ","BEST_FPERIOD_OVERRIDE=FQ","FILING_STATUS=MR","SCALING_FORMAT=MLN","Sort=A","Dates=H","DateFormat=P","Fill=—","Direction=H","UseDPDF=Y")</f>
        <v>0</v>
      </c>
      <c r="L167" s="13">
        <f>_xll.BDH("AMGN US Equity","ARDR_FV_ASTS_REC_L3_DERIVATIVES","FQ1 2021","FQ1 2021","Currency=USD","Period=FQ","BEST_FPERIOD_OVERRIDE=FQ","FILING_STATUS=MR","SCALING_FORMAT=MLN","Sort=A","Dates=H","DateFormat=P","Fill=—","Direction=H","UseDPDF=Y")</f>
        <v>0</v>
      </c>
      <c r="M167" s="13">
        <f>_xll.BDH("AMGN US Equity","ARDR_FV_ASTS_REC_L3_DERIVATIVES","FQ2 2021","FQ2 2021","Currency=USD","Period=FQ","BEST_FPERIOD_OVERRIDE=FQ","FILING_STATUS=MR","SCALING_FORMAT=MLN","Sort=A","Dates=H","DateFormat=P","Fill=—","Direction=H","UseDPDF=Y")</f>
        <v>0</v>
      </c>
      <c r="N167" s="13">
        <f>_xll.BDH("AMGN US Equity","ARDR_FV_ASTS_REC_L3_DERIVATIVES","FQ3 2021","FQ3 2021","Currency=USD","Period=FQ","BEST_FPERIOD_OVERRIDE=FQ","FILING_STATUS=MR","SCALING_FORMAT=MLN","Sort=A","Dates=H","DateFormat=P","Fill=—","Direction=H","UseDPDF=Y")</f>
        <v>0</v>
      </c>
      <c r="O167" s="13">
        <f>_xll.BDH("AMGN US Equity","ARDR_FV_ASTS_REC_L3_DERIVATIVES","FQ4 2021","FQ4 2021","Currency=USD","Period=FQ","BEST_FPERIOD_OVERRIDE=FQ","FILING_STATUS=MR","SCALING_FORMAT=MLN","Sort=A","Dates=H","DateFormat=P","Fill=—","Direction=H","UseDPDF=Y")</f>
        <v>0</v>
      </c>
      <c r="P167" s="13">
        <f>_xll.BDH("AMGN US Equity","ARDR_FV_ASTS_REC_L3_DERIVATIVES","FQ1 2022","FQ1 2022","Currency=USD","Period=FQ","BEST_FPERIOD_OVERRIDE=FQ","FILING_STATUS=MR","SCALING_FORMAT=MLN","Sort=A","Dates=H","DateFormat=P","Fill=—","Direction=H","UseDPDF=Y")</f>
        <v>0</v>
      </c>
      <c r="Q167" s="13">
        <f>_xll.BDH("AMGN US Equity","ARDR_FV_ASTS_REC_L3_DERIVATIVES","FQ2 2022","FQ2 2022","Currency=USD","Period=FQ","BEST_FPERIOD_OVERRIDE=FQ","FILING_STATUS=MR","SCALING_FORMAT=MLN","Sort=A","Dates=H","DateFormat=P","Fill=—","Direction=H","UseDPDF=Y")</f>
        <v>0</v>
      </c>
      <c r="R167" s="13">
        <f>_xll.BDH("AMGN US Equity","ARDR_FV_ASTS_REC_L3_DERIVATIVES","FQ3 2022","FQ3 2022","Currency=USD","Period=FQ","BEST_FPERIOD_OVERRIDE=FQ","FILING_STATUS=MR","SCALING_FORMAT=MLN","Sort=A","Dates=H","DateFormat=P","Fill=—","Direction=H","UseDPDF=Y")</f>
        <v>0</v>
      </c>
      <c r="S167" s="13">
        <f>_xll.BDH("AMGN US Equity","ARDR_FV_ASTS_REC_L3_DERIVATIVES","FQ4 2022","FQ4 2022","Currency=USD","Period=FQ","BEST_FPERIOD_OVERRIDE=FQ","FILING_STATUS=MR","SCALING_FORMAT=MLN","Sort=A","Dates=H","DateFormat=P","Fill=—","Direction=H","UseDPDF=Y")</f>
        <v>0</v>
      </c>
      <c r="T167" s="13">
        <f>_xll.BDH("AMGN US Equity","ARDR_FV_ASTS_REC_L3_DERIVATIVES","FQ1 2023","FQ1 2023","Currency=USD","Period=FQ","BEST_FPERIOD_OVERRIDE=FQ","FILING_STATUS=MR","SCALING_FORMAT=MLN","Sort=A","Dates=H","DateFormat=P","Fill=—","Direction=H","UseDPDF=Y")</f>
        <v>0</v>
      </c>
      <c r="U167" s="13">
        <f>_xll.BDH("AMGN US Equity","ARDR_FV_ASTS_REC_L3_DERIVATIVES","FQ2 2023","FQ2 2023","Currency=USD","Period=FQ","BEST_FPERIOD_OVERRIDE=FQ","FILING_STATUS=MR","SCALING_FORMAT=MLN","Sort=A","Dates=H","DateFormat=P","Fill=—","Direction=H","UseDPDF=Y")</f>
        <v>316</v>
      </c>
      <c r="V167" s="13">
        <f>_xll.BDH("AMGN US Equity","ARDR_FV_ASTS_REC_L3_DERIVATIVES","FQ3 2023","FQ3 2023","Currency=USD","Period=FQ","BEST_FPERIOD_OVERRIDE=FQ","FILING_STATUS=MR","SCALING_FORMAT=MLN","Sort=A","Dates=H","DateFormat=P","Fill=—","Direction=H","UseDPDF=Y")</f>
        <v>0</v>
      </c>
      <c r="W167" s="13">
        <f>_xll.BDH("AMGN US Equity","ARDR_FV_ASTS_REC_L3_DERIVATIVES","FQ4 2023","FQ4 2023","Currency=USD","Period=FQ","BEST_FPERIOD_OVERRIDE=FQ","FILING_STATUS=MR","SCALING_FORMAT=MLN","Sort=A","Dates=H","DateFormat=P","Fill=—","Direction=H","UseDPDF=Y")</f>
        <v>0</v>
      </c>
      <c r="X167" s="13">
        <f>_xll.BDH("AMGN US Equity","ARDR_FV_ASTS_REC_L3_DERIVATIVES","FQ1 2024","FQ1 2024","Currency=USD","Period=FQ","BEST_FPERIOD_OVERRIDE=FQ","FILING_STATUS=MR","SCALING_FORMAT=MLN","Sort=A","Dates=H","DateFormat=P","Fill=—","Direction=H","UseDPDF=Y")</f>
        <v>0</v>
      </c>
      <c r="Y167" s="13">
        <f>_xll.BDH("AMGN US Equity","ARDR_FV_ASTS_REC_L3_DERIVATIVES","FQ2 2024","FQ2 2024","Currency=USD","Period=FQ","BEST_FPERIOD_OVERRIDE=FQ","FILING_STATUS=MR","SCALING_FORMAT=MLN","Sort=A","Dates=H","DateFormat=P","Fill=—","Direction=H","UseDPDF=Y")</f>
        <v>0</v>
      </c>
      <c r="Z167" s="13">
        <f>_xll.BDH("AMGN US Equity","ARDR_FV_ASTS_REC_L3_DERIVATIVES","FQ3 2024","FQ3 2024","Currency=USD","Period=FQ","BEST_FPERIOD_OVERRIDE=FQ","FILING_STATUS=MR","SCALING_FORMAT=MLN","Sort=A","Dates=H","DateFormat=P","Fill=—","Direction=H","UseDPDF=Y")</f>
        <v>0</v>
      </c>
      <c r="AA167" s="13">
        <f>_xll.BDH("AMGN US Equity","ARDR_FV_ASTS_REC_L3_DERIVATIVES","FQ4 2024","FQ4 2024","Currency=USD","Period=FQ","BEST_FPERIOD_OVERRIDE=FQ","FILING_STATUS=MR","SCALING_FORMAT=MLN","Sort=A","Dates=H","DateFormat=P","Fill=—","Direction=H","UseDPDF=Y")</f>
        <v>0</v>
      </c>
    </row>
    <row r="168" spans="1:27" x14ac:dyDescent="0.25">
      <c r="A168" s="10" t="s">
        <v>1150</v>
      </c>
      <c r="B168" s="10" t="s">
        <v>1151</v>
      </c>
      <c r="C168" s="13" t="str">
        <f>_xll.BDH("AMGN US Equity","ARDR_FV_ASSETS_REC_L3_OTHER","FQ4 2018","FQ4 2018","Currency=USD","Period=FQ","BEST_FPERIOD_OVERRIDE=FQ","FILING_STATUS=MR","SCALING_FORMAT=MLN","Sort=A","Dates=H","DateFormat=P","Fill=—","Direction=H","UseDPDF=Y")</f>
        <v>—</v>
      </c>
      <c r="D168" s="13" t="str">
        <f>_xll.BDH("AMGN US Equity","ARDR_FV_ASSETS_REC_L3_OTHER","FQ1 2019","FQ1 2019","Currency=USD","Period=FQ","BEST_FPERIOD_OVERRIDE=FQ","FILING_STATUS=MR","SCALING_FORMAT=MLN","Sort=A","Dates=H","DateFormat=P","Fill=—","Direction=H","UseDPDF=Y")</f>
        <v>—</v>
      </c>
      <c r="E168" s="13" t="str">
        <f>_xll.BDH("AMGN US Equity","ARDR_FV_ASSETS_REC_L3_OTHER","FQ2 2019","FQ2 2019","Currency=USD","Period=FQ","BEST_FPERIOD_OVERRIDE=FQ","FILING_STATUS=MR","SCALING_FORMAT=MLN","Sort=A","Dates=H","DateFormat=P","Fill=—","Direction=H","UseDPDF=Y")</f>
        <v>—</v>
      </c>
      <c r="F168" s="13" t="str">
        <f>_xll.BDH("AMGN US Equity","ARDR_FV_ASSETS_REC_L3_OTHER","FQ3 2019","FQ3 2019","Currency=USD","Period=FQ","BEST_FPERIOD_OVERRIDE=FQ","FILING_STATUS=MR","SCALING_FORMAT=MLN","Sort=A","Dates=H","DateFormat=P","Fill=—","Direction=H","UseDPDF=Y")</f>
        <v>—</v>
      </c>
      <c r="G168" s="13" t="str">
        <f>_xll.BDH("AMGN US Equity","ARDR_FV_ASSETS_REC_L3_OTHER","FQ4 2019","FQ4 2019","Currency=USD","Period=FQ","BEST_FPERIOD_OVERRIDE=FQ","FILING_STATUS=MR","SCALING_FORMAT=MLN","Sort=A","Dates=H","DateFormat=P","Fill=—","Direction=H","UseDPDF=Y")</f>
        <v>—</v>
      </c>
      <c r="H168" s="13" t="str">
        <f>_xll.BDH("AMGN US Equity","ARDR_FV_ASSETS_REC_L3_OTHER","FQ1 2020","FQ1 2020","Currency=USD","Period=FQ","BEST_FPERIOD_OVERRIDE=FQ","FILING_STATUS=MR","SCALING_FORMAT=MLN","Sort=A","Dates=H","DateFormat=P","Fill=—","Direction=H","UseDPDF=Y")</f>
        <v>—</v>
      </c>
      <c r="I168" s="13" t="str">
        <f>_xll.BDH("AMGN US Equity","ARDR_FV_ASSETS_REC_L3_OTHER","FQ2 2020","FQ2 2020","Currency=USD","Period=FQ","BEST_FPERIOD_OVERRIDE=FQ","FILING_STATUS=MR","SCALING_FORMAT=MLN","Sort=A","Dates=H","DateFormat=P","Fill=—","Direction=H","UseDPDF=Y")</f>
        <v>—</v>
      </c>
      <c r="J168" s="13" t="str">
        <f>_xll.BDH("AMGN US Equity","ARDR_FV_ASSETS_REC_L3_OTHER","FQ3 2020","FQ3 2020","Currency=USD","Period=FQ","BEST_FPERIOD_OVERRIDE=FQ","FILING_STATUS=MR","SCALING_FORMAT=MLN","Sort=A","Dates=H","DateFormat=P","Fill=—","Direction=H","UseDPDF=Y")</f>
        <v>—</v>
      </c>
      <c r="K168" s="13" t="str">
        <f>_xll.BDH("AMGN US Equity","ARDR_FV_ASSETS_REC_L3_OTHER","FQ4 2020","FQ4 2020","Currency=USD","Period=FQ","BEST_FPERIOD_OVERRIDE=FQ","FILING_STATUS=MR","SCALING_FORMAT=MLN","Sort=A","Dates=H","DateFormat=P","Fill=—","Direction=H","UseDPDF=Y")</f>
        <v>—</v>
      </c>
      <c r="L168" s="13" t="str">
        <f>_xll.BDH("AMGN US Equity","ARDR_FV_ASSETS_REC_L3_OTHER","FQ1 2021","FQ1 2021","Currency=USD","Period=FQ","BEST_FPERIOD_OVERRIDE=FQ","FILING_STATUS=MR","SCALING_FORMAT=MLN","Sort=A","Dates=H","DateFormat=P","Fill=—","Direction=H","UseDPDF=Y")</f>
        <v>—</v>
      </c>
      <c r="M168" s="13" t="str">
        <f>_xll.BDH("AMGN US Equity","ARDR_FV_ASSETS_REC_L3_OTHER","FQ2 2021","FQ2 2021","Currency=USD","Period=FQ","BEST_FPERIOD_OVERRIDE=FQ","FILING_STATUS=MR","SCALING_FORMAT=MLN","Sort=A","Dates=H","DateFormat=P","Fill=—","Direction=H","UseDPDF=Y")</f>
        <v>—</v>
      </c>
      <c r="N168" s="13" t="str">
        <f>_xll.BDH("AMGN US Equity","ARDR_FV_ASSETS_REC_L3_OTHER","FQ3 2021","FQ3 2021","Currency=USD","Period=FQ","BEST_FPERIOD_OVERRIDE=FQ","FILING_STATUS=MR","SCALING_FORMAT=MLN","Sort=A","Dates=H","DateFormat=P","Fill=—","Direction=H","UseDPDF=Y")</f>
        <v>—</v>
      </c>
      <c r="O168" s="13">
        <f>_xll.BDH("AMGN US Equity","ARDR_FV_ASSETS_REC_L3_OTHER","FQ4 2021","FQ4 2021","Currency=USD","Period=FQ","BEST_FPERIOD_OVERRIDE=FQ","FILING_STATUS=MR","SCALING_FORMAT=MLN","Sort=A","Dates=H","DateFormat=P","Fill=—","Direction=H","UseDPDF=Y")</f>
        <v>0</v>
      </c>
      <c r="P168" s="13">
        <f>_xll.BDH("AMGN US Equity","ARDR_FV_ASSETS_REC_L3_OTHER","FQ1 2022","FQ1 2022","Currency=USD","Period=FQ","BEST_FPERIOD_OVERRIDE=FQ","FILING_STATUS=MR","SCALING_FORMAT=MLN","Sort=A","Dates=H","DateFormat=P","Fill=—","Direction=H","UseDPDF=Y")</f>
        <v>0</v>
      </c>
      <c r="Q168" s="13">
        <f>_xll.BDH("AMGN US Equity","ARDR_FV_ASSETS_REC_L3_OTHER","FQ2 2022","FQ2 2022","Currency=USD","Period=FQ","BEST_FPERIOD_OVERRIDE=FQ","FILING_STATUS=MR","SCALING_FORMAT=MLN","Sort=A","Dates=H","DateFormat=P","Fill=—","Direction=H","UseDPDF=Y")</f>
        <v>0</v>
      </c>
      <c r="R168" s="13">
        <f>_xll.BDH("AMGN US Equity","ARDR_FV_ASSETS_REC_L3_OTHER","FQ3 2022","FQ3 2022","Currency=USD","Period=FQ","BEST_FPERIOD_OVERRIDE=FQ","FILING_STATUS=MR","SCALING_FORMAT=MLN","Sort=A","Dates=H","DateFormat=P","Fill=—","Direction=H","UseDPDF=Y")</f>
        <v>0</v>
      </c>
      <c r="S168" s="13">
        <f>_xll.BDH("AMGN US Equity","ARDR_FV_ASSETS_REC_L3_OTHER","FQ4 2022","FQ4 2022","Currency=USD","Period=FQ","BEST_FPERIOD_OVERRIDE=FQ","FILING_STATUS=MR","SCALING_FORMAT=MLN","Sort=A","Dates=H","DateFormat=P","Fill=—","Direction=H","UseDPDF=Y")</f>
        <v>0</v>
      </c>
      <c r="T168" s="13">
        <f>_xll.BDH("AMGN US Equity","ARDR_FV_ASSETS_REC_L3_OTHER","FQ1 2023","FQ1 2023","Currency=USD","Period=FQ","BEST_FPERIOD_OVERRIDE=FQ","FILING_STATUS=MR","SCALING_FORMAT=MLN","Sort=A","Dates=H","DateFormat=P","Fill=—","Direction=H","UseDPDF=Y")</f>
        <v>0</v>
      </c>
      <c r="U168" s="13" t="str">
        <f>_xll.BDH("AMGN US Equity","ARDR_FV_ASSETS_REC_L3_OTHER","FQ2 2023","FQ2 2023","Currency=USD","Period=FQ","BEST_FPERIOD_OVERRIDE=FQ","FILING_STATUS=MR","SCALING_FORMAT=MLN","Sort=A","Dates=H","DateFormat=P","Fill=—","Direction=H","UseDPDF=Y")</f>
        <v>—</v>
      </c>
      <c r="V168" s="13">
        <f>_xll.BDH("AMGN US Equity","ARDR_FV_ASSETS_REC_L3_OTHER","FQ3 2023","FQ3 2023","Currency=USD","Period=FQ","BEST_FPERIOD_OVERRIDE=FQ","FILING_STATUS=MR","SCALING_FORMAT=MLN","Sort=A","Dates=H","DateFormat=P","Fill=—","Direction=H","UseDPDF=Y")</f>
        <v>0</v>
      </c>
      <c r="W168" s="13">
        <f>_xll.BDH("AMGN US Equity","ARDR_FV_ASSETS_REC_L3_OTHER","FQ4 2023","FQ4 2023","Currency=USD","Period=FQ","BEST_FPERIOD_OVERRIDE=FQ","FILING_STATUS=MR","SCALING_FORMAT=MLN","Sort=A","Dates=H","DateFormat=P","Fill=—","Direction=H","UseDPDF=Y")</f>
        <v>0</v>
      </c>
      <c r="X168" s="13">
        <f>_xll.BDH("AMGN US Equity","ARDR_FV_ASSETS_REC_L3_OTHER","FQ1 2024","FQ1 2024","Currency=USD","Period=FQ","BEST_FPERIOD_OVERRIDE=FQ","FILING_STATUS=MR","SCALING_FORMAT=MLN","Sort=A","Dates=H","DateFormat=P","Fill=—","Direction=H","UseDPDF=Y")</f>
        <v>0</v>
      </c>
      <c r="Y168" s="13" t="str">
        <f>_xll.BDH("AMGN US Equity","ARDR_FV_ASSETS_REC_L3_OTHER","FQ2 2024","FQ2 2024","Currency=USD","Period=FQ","BEST_FPERIOD_OVERRIDE=FQ","FILING_STATUS=MR","SCALING_FORMAT=MLN","Sort=A","Dates=H","DateFormat=P","Fill=—","Direction=H","UseDPDF=Y")</f>
        <v>—</v>
      </c>
      <c r="Z168" s="13">
        <f>_xll.BDH("AMGN US Equity","ARDR_FV_ASSETS_REC_L3_OTHER","FQ3 2024","FQ3 2024","Currency=USD","Period=FQ","BEST_FPERIOD_OVERRIDE=FQ","FILING_STATUS=MR","SCALING_FORMAT=MLN","Sort=A","Dates=H","DateFormat=P","Fill=—","Direction=H","UseDPDF=Y")</f>
        <v>0</v>
      </c>
      <c r="AA168" s="13" t="str">
        <f>_xll.BDH("AMGN US Equity","ARDR_FV_ASSETS_REC_L3_OTHER","FQ4 2024","FQ4 2024","Currency=USD","Period=FQ","BEST_FPERIOD_OVERRIDE=FQ","FILING_STATUS=MR","SCALING_FORMAT=MLN","Sort=A","Dates=H","DateFormat=P","Fill=—","Direction=H","UseDPDF=Y")</f>
        <v>—</v>
      </c>
    </row>
    <row r="169" spans="1:27" x14ac:dyDescent="0.25">
      <c r="A169" s="10" t="s">
        <v>1152</v>
      </c>
      <c r="B169" s="10" t="s">
        <v>1153</v>
      </c>
      <c r="C169" s="13" t="str">
        <f>_xll.BDH("AMGN US Equity","ARDR_FV_ASTS_REC_TOT_TRADING_ACC","FQ4 2018","FQ4 2018","Currency=USD","Period=FQ","BEST_FPERIOD_OVERRIDE=FQ","FILING_STATUS=MR","SCALING_FORMAT=MLN","Sort=A","Dates=H","DateFormat=P","Fill=—","Direction=H","UseDPDF=Y")</f>
        <v>—</v>
      </c>
      <c r="D169" s="13" t="str">
        <f>_xll.BDH("AMGN US Equity","ARDR_FV_ASTS_REC_TOT_TRADING_ACC","FQ1 2019","FQ1 2019","Currency=USD","Period=FQ","BEST_FPERIOD_OVERRIDE=FQ","FILING_STATUS=MR","SCALING_FORMAT=MLN","Sort=A","Dates=H","DateFormat=P","Fill=—","Direction=H","UseDPDF=Y")</f>
        <v>—</v>
      </c>
      <c r="E169" s="13" t="str">
        <f>_xll.BDH("AMGN US Equity","ARDR_FV_ASTS_REC_TOT_TRADING_ACC","FQ2 2019","FQ2 2019","Currency=USD","Period=FQ","BEST_FPERIOD_OVERRIDE=FQ","FILING_STATUS=MR","SCALING_FORMAT=MLN","Sort=A","Dates=H","DateFormat=P","Fill=—","Direction=H","UseDPDF=Y")</f>
        <v>—</v>
      </c>
      <c r="F169" s="13" t="str">
        <f>_xll.BDH("AMGN US Equity","ARDR_FV_ASTS_REC_TOT_TRADING_ACC","FQ3 2019","FQ3 2019","Currency=USD","Period=FQ","BEST_FPERIOD_OVERRIDE=FQ","FILING_STATUS=MR","SCALING_FORMAT=MLN","Sort=A","Dates=H","DateFormat=P","Fill=—","Direction=H","UseDPDF=Y")</f>
        <v>—</v>
      </c>
      <c r="G169" s="13" t="str">
        <f>_xll.BDH("AMGN US Equity","ARDR_FV_ASTS_REC_TOT_TRADING_ACC","FQ4 2019","FQ4 2019","Currency=USD","Period=FQ","BEST_FPERIOD_OVERRIDE=FQ","FILING_STATUS=MR","SCALING_FORMAT=MLN","Sort=A","Dates=H","DateFormat=P","Fill=—","Direction=H","UseDPDF=Y")</f>
        <v>—</v>
      </c>
      <c r="H169" s="13">
        <f>_xll.BDH("AMGN US Equity","ARDR_FV_ASTS_REC_TOT_TRADING_ACC","FQ1 2020","FQ1 2020","Currency=USD","Period=FQ","BEST_FPERIOD_OVERRIDE=FQ","FILING_STATUS=MR","SCALING_FORMAT=MLN","Sort=A","Dates=H","DateFormat=P","Fill=—","Direction=H","UseDPDF=Y")</f>
        <v>1076</v>
      </c>
      <c r="I169" s="13" t="str">
        <f>_xll.BDH("AMGN US Equity","ARDR_FV_ASTS_REC_TOT_TRADING_ACC","FQ2 2020","FQ2 2020","Currency=USD","Period=FQ","BEST_FPERIOD_OVERRIDE=FQ","FILING_STATUS=MR","SCALING_FORMAT=MLN","Sort=A","Dates=H","DateFormat=P","Fill=—","Direction=H","UseDPDF=Y")</f>
        <v>—</v>
      </c>
      <c r="J169" s="13" t="str">
        <f>_xll.BDH("AMGN US Equity","ARDR_FV_ASTS_REC_TOT_TRADING_ACC","FQ3 2020","FQ3 2020","Currency=USD","Period=FQ","BEST_FPERIOD_OVERRIDE=FQ","FILING_STATUS=MR","SCALING_FORMAT=MLN","Sort=A","Dates=H","DateFormat=P","Fill=—","Direction=H","UseDPDF=Y")</f>
        <v>—</v>
      </c>
      <c r="K169" s="13" t="str">
        <f>_xll.BDH("AMGN US Equity","ARDR_FV_ASTS_REC_TOT_TRADING_ACC","FQ4 2020","FQ4 2020","Currency=USD","Period=FQ","BEST_FPERIOD_OVERRIDE=FQ","FILING_STATUS=MR","SCALING_FORMAT=MLN","Sort=A","Dates=H","DateFormat=P","Fill=—","Direction=H","UseDPDF=Y")</f>
        <v>—</v>
      </c>
      <c r="L169" s="13" t="str">
        <f>_xll.BDH("AMGN US Equity","ARDR_FV_ASTS_REC_TOT_TRADING_ACC","FQ1 2021","FQ1 2021","Currency=USD","Period=FQ","BEST_FPERIOD_OVERRIDE=FQ","FILING_STATUS=MR","SCALING_FORMAT=MLN","Sort=A","Dates=H","DateFormat=P","Fill=—","Direction=H","UseDPDF=Y")</f>
        <v>—</v>
      </c>
      <c r="M169" s="13" t="str">
        <f>_xll.BDH("AMGN US Equity","ARDR_FV_ASTS_REC_TOT_TRADING_ACC","FQ2 2021","FQ2 2021","Currency=USD","Period=FQ","BEST_FPERIOD_OVERRIDE=FQ","FILING_STATUS=MR","SCALING_FORMAT=MLN","Sort=A","Dates=H","DateFormat=P","Fill=—","Direction=H","UseDPDF=Y")</f>
        <v>—</v>
      </c>
      <c r="N169" s="13" t="str">
        <f>_xll.BDH("AMGN US Equity","ARDR_FV_ASTS_REC_TOT_TRADING_ACC","FQ3 2021","FQ3 2021","Currency=USD","Period=FQ","BEST_FPERIOD_OVERRIDE=FQ","FILING_STATUS=MR","SCALING_FORMAT=MLN","Sort=A","Dates=H","DateFormat=P","Fill=—","Direction=H","UseDPDF=Y")</f>
        <v>—</v>
      </c>
      <c r="O169" s="13" t="str">
        <f>_xll.BDH("AMGN US Equity","ARDR_FV_ASTS_REC_TOT_TRADING_ACC","FQ4 2021","FQ4 2021","Currency=USD","Period=FQ","BEST_FPERIOD_OVERRIDE=FQ","FILING_STATUS=MR","SCALING_FORMAT=MLN","Sort=A","Dates=H","DateFormat=P","Fill=—","Direction=H","UseDPDF=Y")</f>
        <v>—</v>
      </c>
      <c r="P169" s="13">
        <f>_xll.BDH("AMGN US Equity","ARDR_FV_ASTS_REC_TOT_TRADING_ACC","FQ1 2022","FQ1 2022","Currency=USD","Period=FQ","BEST_FPERIOD_OVERRIDE=FQ","FILING_STATUS=MR","SCALING_FORMAT=MLN","Sort=A","Dates=H","DateFormat=P","Fill=—","Direction=H","UseDPDF=Y")</f>
        <v>16</v>
      </c>
      <c r="Q169" s="13">
        <f>_xll.BDH("AMGN US Equity","ARDR_FV_ASTS_REC_TOT_TRADING_ACC","FQ2 2022","FQ2 2022","Currency=USD","Period=FQ","BEST_FPERIOD_OVERRIDE=FQ","FILING_STATUS=MR","SCALING_FORMAT=MLN","Sort=A","Dates=H","DateFormat=P","Fill=—","Direction=H","UseDPDF=Y")</f>
        <v>1980</v>
      </c>
      <c r="R169" s="13" t="str">
        <f>_xll.BDH("AMGN US Equity","ARDR_FV_ASTS_REC_TOT_TRADING_ACC","FQ3 2022","FQ3 2022","Currency=USD","Period=FQ","BEST_FPERIOD_OVERRIDE=FQ","FILING_STATUS=MR","SCALING_FORMAT=MLN","Sort=A","Dates=H","DateFormat=P","Fill=—","Direction=H","UseDPDF=Y")</f>
        <v>—</v>
      </c>
      <c r="S169" s="13" t="str">
        <f>_xll.BDH("AMGN US Equity","ARDR_FV_ASTS_REC_TOT_TRADING_ACC","FQ4 2022","FQ4 2022","Currency=USD","Period=FQ","BEST_FPERIOD_OVERRIDE=FQ","FILING_STATUS=MR","SCALING_FORMAT=MLN","Sort=A","Dates=H","DateFormat=P","Fill=—","Direction=H","UseDPDF=Y")</f>
        <v>—</v>
      </c>
      <c r="T169" s="13" t="str">
        <f>_xll.BDH("AMGN US Equity","ARDR_FV_ASTS_REC_TOT_TRADING_ACC","FQ1 2023","FQ1 2023","Currency=USD","Period=FQ","BEST_FPERIOD_OVERRIDE=FQ","FILING_STATUS=MR","SCALING_FORMAT=MLN","Sort=A","Dates=H","DateFormat=P","Fill=—","Direction=H","UseDPDF=Y")</f>
        <v>—</v>
      </c>
      <c r="U169" s="13" t="str">
        <f>_xll.BDH("AMGN US Equity","ARDR_FV_ASTS_REC_TOT_TRADING_ACC","FQ2 2023","FQ2 2023","Currency=USD","Period=FQ","BEST_FPERIOD_OVERRIDE=FQ","FILING_STATUS=MR","SCALING_FORMAT=MLN","Sort=A","Dates=H","DateFormat=P","Fill=—","Direction=H","UseDPDF=Y")</f>
        <v>—</v>
      </c>
      <c r="V169" s="13" t="str">
        <f>_xll.BDH("AMGN US Equity","ARDR_FV_ASTS_REC_TOT_TRADING_ACC","FQ3 2023","FQ3 2023","Currency=USD","Period=FQ","BEST_FPERIOD_OVERRIDE=FQ","FILING_STATUS=MR","SCALING_FORMAT=MLN","Sort=A","Dates=H","DateFormat=P","Fill=—","Direction=H","UseDPDF=Y")</f>
        <v>—</v>
      </c>
      <c r="W169" s="13" t="str">
        <f>_xll.BDH("AMGN US Equity","ARDR_FV_ASTS_REC_TOT_TRADING_ACC","FQ4 2023","FQ4 2023","Currency=USD","Period=FQ","BEST_FPERIOD_OVERRIDE=FQ","FILING_STATUS=MR","SCALING_FORMAT=MLN","Sort=A","Dates=H","DateFormat=P","Fill=—","Direction=H","UseDPDF=Y")</f>
        <v>—</v>
      </c>
      <c r="X169" s="13" t="str">
        <f>_xll.BDH("AMGN US Equity","ARDR_FV_ASTS_REC_TOT_TRADING_ACC","FQ1 2024","FQ1 2024","Currency=USD","Period=FQ","BEST_FPERIOD_OVERRIDE=FQ","FILING_STATUS=MR","SCALING_FORMAT=MLN","Sort=A","Dates=H","DateFormat=P","Fill=—","Direction=H","UseDPDF=Y")</f>
        <v>—</v>
      </c>
      <c r="Y169" s="13" t="str">
        <f>_xll.BDH("AMGN US Equity","ARDR_FV_ASTS_REC_TOT_TRADING_ACC","FQ2 2024","FQ2 2024","Currency=USD","Period=FQ","BEST_FPERIOD_OVERRIDE=FQ","FILING_STATUS=MR","SCALING_FORMAT=MLN","Sort=A","Dates=H","DateFormat=P","Fill=—","Direction=H","UseDPDF=Y")</f>
        <v>—</v>
      </c>
      <c r="Z169" s="13" t="str">
        <f>_xll.BDH("AMGN US Equity","ARDR_FV_ASTS_REC_TOT_TRADING_ACC","FQ3 2024","FQ3 2024","Currency=USD","Period=FQ","BEST_FPERIOD_OVERRIDE=FQ","FILING_STATUS=MR","SCALING_FORMAT=MLN","Sort=A","Dates=H","DateFormat=P","Fill=—","Direction=H","UseDPDF=Y")</f>
        <v>—</v>
      </c>
      <c r="AA169" s="13">
        <f>_xll.BDH("AMGN US Equity","ARDR_FV_ASTS_REC_TOT_TRADING_ACC","FQ4 2024","FQ4 2024","Currency=USD","Period=FQ","BEST_FPERIOD_OVERRIDE=FQ","FILING_STATUS=MR","SCALING_FORMAT=MLN","Sort=A","Dates=H","DateFormat=P","Fill=—","Direction=H","UseDPDF=Y")</f>
        <v>997</v>
      </c>
    </row>
    <row r="170" spans="1:27" x14ac:dyDescent="0.25">
      <c r="A170" s="10" t="s">
        <v>1154</v>
      </c>
      <c r="B170" s="10" t="s">
        <v>1155</v>
      </c>
      <c r="C170" s="13" t="str">
        <f>_xll.BDH("AMGN US Equity","ARDR_FV_ASSETS_REC_TOT_AFS","FQ4 2018","FQ4 2018","Currency=USD","Period=FQ","BEST_FPERIOD_OVERRIDE=FQ","FILING_STATUS=MR","SCALING_FORMAT=MLN","Sort=A","Dates=H","DateFormat=P","Fill=—","Direction=H","UseDPDF=Y")</f>
        <v>—</v>
      </c>
      <c r="D170" s="13" t="str">
        <f>_xll.BDH("AMGN US Equity","ARDR_FV_ASSETS_REC_TOT_AFS","FQ1 2019","FQ1 2019","Currency=USD","Period=FQ","BEST_FPERIOD_OVERRIDE=FQ","FILING_STATUS=MR","SCALING_FORMAT=MLN","Sort=A","Dates=H","DateFormat=P","Fill=—","Direction=H","UseDPDF=Y")</f>
        <v>—</v>
      </c>
      <c r="E170" s="13" t="str">
        <f>_xll.BDH("AMGN US Equity","ARDR_FV_ASSETS_REC_TOT_AFS","FQ2 2019","FQ2 2019","Currency=USD","Period=FQ","BEST_FPERIOD_OVERRIDE=FQ","FILING_STATUS=MR","SCALING_FORMAT=MLN","Sort=A","Dates=H","DateFormat=P","Fill=—","Direction=H","UseDPDF=Y")</f>
        <v>—</v>
      </c>
      <c r="F170" s="13" t="str">
        <f>_xll.BDH("AMGN US Equity","ARDR_FV_ASSETS_REC_TOT_AFS","FQ3 2019","FQ3 2019","Currency=USD","Period=FQ","BEST_FPERIOD_OVERRIDE=FQ","FILING_STATUS=MR","SCALING_FORMAT=MLN","Sort=A","Dates=H","DateFormat=P","Fill=—","Direction=H","UseDPDF=Y")</f>
        <v>—</v>
      </c>
      <c r="G170" s="13" t="str">
        <f>_xll.BDH("AMGN US Equity","ARDR_FV_ASSETS_REC_TOT_AFS","FQ4 2019","FQ4 2019","Currency=USD","Period=FQ","BEST_FPERIOD_OVERRIDE=FQ","FILING_STATUS=MR","SCALING_FORMAT=MLN","Sort=A","Dates=H","DateFormat=P","Fill=—","Direction=H","UseDPDF=Y")</f>
        <v>—</v>
      </c>
      <c r="H170" s="13">
        <f>_xll.BDH("AMGN US Equity","ARDR_FV_ASSETS_REC_TOT_AFS","FQ1 2020","FQ1 2020","Currency=USD","Period=FQ","BEST_FPERIOD_OVERRIDE=FQ","FILING_STATUS=MR","SCALING_FORMAT=MLN","Sort=A","Dates=H","DateFormat=P","Fill=—","Direction=H","UseDPDF=Y")</f>
        <v>6438</v>
      </c>
      <c r="I170" s="13" t="str">
        <f>_xll.BDH("AMGN US Equity","ARDR_FV_ASSETS_REC_TOT_AFS","FQ2 2020","FQ2 2020","Currency=USD","Period=FQ","BEST_FPERIOD_OVERRIDE=FQ","FILING_STATUS=MR","SCALING_FORMAT=MLN","Sort=A","Dates=H","DateFormat=P","Fill=—","Direction=H","UseDPDF=Y")</f>
        <v>—</v>
      </c>
      <c r="J170" s="13" t="str">
        <f>_xll.BDH("AMGN US Equity","ARDR_FV_ASSETS_REC_TOT_AFS","FQ3 2020","FQ3 2020","Currency=USD","Period=FQ","BEST_FPERIOD_OVERRIDE=FQ","FILING_STATUS=MR","SCALING_FORMAT=MLN","Sort=A","Dates=H","DateFormat=P","Fill=—","Direction=H","UseDPDF=Y")</f>
        <v>—</v>
      </c>
      <c r="K170" s="13" t="str">
        <f>_xll.BDH("AMGN US Equity","ARDR_FV_ASSETS_REC_TOT_AFS","FQ4 2020","FQ4 2020","Currency=USD","Period=FQ","BEST_FPERIOD_OVERRIDE=FQ","FILING_STATUS=MR","SCALING_FORMAT=MLN","Sort=A","Dates=H","DateFormat=P","Fill=—","Direction=H","UseDPDF=Y")</f>
        <v>—</v>
      </c>
      <c r="L170" s="13" t="str">
        <f>_xll.BDH("AMGN US Equity","ARDR_FV_ASSETS_REC_TOT_AFS","FQ1 2021","FQ1 2021","Currency=USD","Period=FQ","BEST_FPERIOD_OVERRIDE=FQ","FILING_STATUS=MR","SCALING_FORMAT=MLN","Sort=A","Dates=H","DateFormat=P","Fill=—","Direction=H","UseDPDF=Y")</f>
        <v>—</v>
      </c>
      <c r="M170" s="13">
        <f>_xll.BDH("AMGN US Equity","ARDR_FV_ASSETS_REC_TOT_AFS","FQ2 2021","FQ2 2021","Currency=USD","Period=FQ","BEST_FPERIOD_OVERRIDE=FQ","FILING_STATUS=MR","SCALING_FORMAT=MLN","Sort=A","Dates=H","DateFormat=P","Fill=—","Direction=H","UseDPDF=Y")</f>
        <v>1452</v>
      </c>
      <c r="N170" s="13">
        <f>_xll.BDH("AMGN US Equity","ARDR_FV_ASSETS_REC_TOT_AFS","FQ3 2021","FQ3 2021","Currency=USD","Period=FQ","BEST_FPERIOD_OVERRIDE=FQ","FILING_STATUS=MR","SCALING_FORMAT=MLN","Sort=A","Dates=H","DateFormat=P","Fill=—","Direction=H","UseDPDF=Y")</f>
        <v>12274</v>
      </c>
      <c r="O170" s="13">
        <f>_xll.BDH("AMGN US Equity","ARDR_FV_ASSETS_REC_TOT_AFS","FQ4 2021","FQ4 2021","Currency=USD","Period=FQ","BEST_FPERIOD_OVERRIDE=FQ","FILING_STATUS=MR","SCALING_FORMAT=MLN","Sort=A","Dates=H","DateFormat=P","Fill=—","Direction=H","UseDPDF=Y")</f>
        <v>1447</v>
      </c>
      <c r="P170" s="13">
        <f>_xll.BDH("AMGN US Equity","ARDR_FV_ASSETS_REC_TOT_AFS","FQ1 2022","FQ1 2022","Currency=USD","Period=FQ","BEST_FPERIOD_OVERRIDE=FQ","FILING_STATUS=MR","SCALING_FORMAT=MLN","Sort=A","Dates=H","DateFormat=P","Fill=—","Direction=H","UseDPDF=Y")</f>
        <v>6480</v>
      </c>
      <c r="Q170" s="13">
        <f>_xll.BDH("AMGN US Equity","ARDR_FV_ASSETS_REC_TOT_AFS","FQ2 2022","FQ2 2022","Currency=USD","Period=FQ","BEST_FPERIOD_OVERRIDE=FQ","FILING_STATUS=MR","SCALING_FORMAT=MLN","Sort=A","Dates=H","DateFormat=P","Fill=—","Direction=H","UseDPDF=Y")</f>
        <v>4433</v>
      </c>
      <c r="R170" s="13">
        <f>_xll.BDH("AMGN US Equity","ARDR_FV_ASSETS_REC_TOT_AFS","FQ3 2022","FQ3 2022","Currency=USD","Period=FQ","BEST_FPERIOD_OVERRIDE=FQ","FILING_STATUS=MR","SCALING_FORMAT=MLN","Sort=A","Dates=H","DateFormat=P","Fill=—","Direction=H","UseDPDF=Y")</f>
        <v>10921</v>
      </c>
      <c r="S170" s="13">
        <f>_xll.BDH("AMGN US Equity","ARDR_FV_ASSETS_REC_TOT_AFS","FQ4 2022","FQ4 2022","Currency=USD","Period=FQ","BEST_FPERIOD_OVERRIDE=FQ","FILING_STATUS=MR","SCALING_FORMAT=MLN","Sort=A","Dates=H","DateFormat=P","Fill=—","Direction=H","UseDPDF=Y")</f>
        <v>2491</v>
      </c>
      <c r="T170" s="13">
        <f>_xll.BDH("AMGN US Equity","ARDR_FV_ASSETS_REC_TOT_AFS","FQ1 2023","FQ1 2023","Currency=USD","Period=FQ","BEST_FPERIOD_OVERRIDE=FQ","FILING_STATUS=MR","SCALING_FORMAT=MLN","Sort=A","Dates=H","DateFormat=P","Fill=—","Direction=H","UseDPDF=Y")</f>
        <v>31064</v>
      </c>
      <c r="U170" s="13" t="str">
        <f>_xll.BDH("AMGN US Equity","ARDR_FV_ASSETS_REC_TOT_AFS","FQ2 2023","FQ2 2023","Currency=USD","Period=FQ","BEST_FPERIOD_OVERRIDE=FQ","FILING_STATUS=MR","SCALING_FORMAT=MLN","Sort=A","Dates=H","DateFormat=P","Fill=—","Direction=H","UseDPDF=Y")</f>
        <v>—</v>
      </c>
      <c r="V170" s="13">
        <f>_xll.BDH("AMGN US Equity","ARDR_FV_ASSETS_REC_TOT_AFS","FQ3 2023","FQ3 2023","Currency=USD","Period=FQ","BEST_FPERIOD_OVERRIDE=FQ","FILING_STATUS=MR","SCALING_FORMAT=MLN","Sort=A","Dates=H","DateFormat=P","Fill=—","Direction=H","UseDPDF=Y")</f>
        <v>0</v>
      </c>
      <c r="W170" s="13">
        <f>_xll.BDH("AMGN US Equity","ARDR_FV_ASSETS_REC_TOT_AFS","FQ4 2023","FQ4 2023","Currency=USD","Period=FQ","BEST_FPERIOD_OVERRIDE=FQ","FILING_STATUS=MR","SCALING_FORMAT=MLN","Sort=A","Dates=H","DateFormat=P","Fill=—","Direction=H","UseDPDF=Y")</f>
        <v>10266</v>
      </c>
      <c r="X170" s="13">
        <f>_xll.BDH("AMGN US Equity","ARDR_FV_ASSETS_REC_TOT_AFS","FQ1 2024","FQ1 2024","Currency=USD","Period=FQ","BEST_FPERIOD_OVERRIDE=FQ","FILING_STATUS=MR","SCALING_FORMAT=MLN","Sort=A","Dates=H","DateFormat=P","Fill=—","Direction=H","UseDPDF=Y")</f>
        <v>9099</v>
      </c>
      <c r="Y170" s="13" t="str">
        <f>_xll.BDH("AMGN US Equity","ARDR_FV_ASSETS_REC_TOT_AFS","FQ2 2024","FQ2 2024","Currency=USD","Period=FQ","BEST_FPERIOD_OVERRIDE=FQ","FILING_STATUS=MR","SCALING_FORMAT=MLN","Sort=A","Dates=H","DateFormat=P","Fill=—","Direction=H","UseDPDF=Y")</f>
        <v>—</v>
      </c>
      <c r="Z170" s="13">
        <f>_xll.BDH("AMGN US Equity","ARDR_FV_ASSETS_REC_TOT_AFS","FQ3 2024","FQ3 2024","Currency=USD","Period=FQ","BEST_FPERIOD_OVERRIDE=FQ","FILING_STATUS=MR","SCALING_FORMAT=MLN","Sort=A","Dates=H","DateFormat=P","Fill=—","Direction=H","UseDPDF=Y")</f>
        <v>996</v>
      </c>
      <c r="AA170" s="13">
        <f>_xll.BDH("AMGN US Equity","ARDR_FV_ASSETS_REC_TOT_AFS","FQ4 2024","FQ4 2024","Currency=USD","Period=FQ","BEST_FPERIOD_OVERRIDE=FQ","FILING_STATUS=MR","SCALING_FORMAT=MLN","Sort=A","Dates=H","DateFormat=P","Fill=—","Direction=H","UseDPDF=Y")</f>
        <v>4323</v>
      </c>
    </row>
    <row r="171" spans="1:27" x14ac:dyDescent="0.25">
      <c r="A171" s="10" t="s">
        <v>1156</v>
      </c>
      <c r="B171" s="10" t="s">
        <v>1157</v>
      </c>
      <c r="C171" s="13" t="str">
        <f>_xll.BDH("AMGN US Equity","ARDR_FV_ASSETS_REC_TOT_CP","FQ4 2018","FQ4 2018","Currency=USD","Period=FQ","BEST_FPERIOD_OVERRIDE=FQ","FILING_STATUS=MR","SCALING_FORMAT=MLN","Sort=A","Dates=H","DateFormat=P","Fill=—","Direction=H","UseDPDF=Y")</f>
        <v>—</v>
      </c>
      <c r="D171" s="13" t="str">
        <f>_xll.BDH("AMGN US Equity","ARDR_FV_ASSETS_REC_TOT_CP","FQ1 2019","FQ1 2019","Currency=USD","Period=FQ","BEST_FPERIOD_OVERRIDE=FQ","FILING_STATUS=MR","SCALING_FORMAT=MLN","Sort=A","Dates=H","DateFormat=P","Fill=—","Direction=H","UseDPDF=Y")</f>
        <v>—</v>
      </c>
      <c r="E171" s="13">
        <f>_xll.BDH("AMGN US Equity","ARDR_FV_ASSETS_REC_TOT_CP","FQ2 2019","FQ2 2019","Currency=USD","Period=FQ","BEST_FPERIOD_OVERRIDE=FQ","FILING_STATUS=MR","SCALING_FORMAT=MLN","Sort=A","Dates=H","DateFormat=P","Fill=—","Direction=H","UseDPDF=Y")</f>
        <v>10100</v>
      </c>
      <c r="F171" s="13" t="str">
        <f>_xll.BDH("AMGN US Equity","ARDR_FV_ASSETS_REC_TOT_CP","FQ3 2019","FQ3 2019","Currency=USD","Period=FQ","BEST_FPERIOD_OVERRIDE=FQ","FILING_STATUS=MR","SCALING_FORMAT=MLN","Sort=A","Dates=H","DateFormat=P","Fill=—","Direction=H","UseDPDF=Y")</f>
        <v>—</v>
      </c>
      <c r="G171" s="13" t="str">
        <f>_xll.BDH("AMGN US Equity","ARDR_FV_ASSETS_REC_TOT_CP","FQ4 2019","FQ4 2019","Currency=USD","Period=FQ","BEST_FPERIOD_OVERRIDE=FQ","FILING_STATUS=MR","SCALING_FORMAT=MLN","Sort=A","Dates=H","DateFormat=P","Fill=—","Direction=H","UseDPDF=Y")</f>
        <v>—</v>
      </c>
      <c r="H171" s="13" t="str">
        <f>_xll.BDH("AMGN US Equity","ARDR_FV_ASSETS_REC_TOT_CP","FQ1 2020","FQ1 2020","Currency=USD","Period=FQ","BEST_FPERIOD_OVERRIDE=FQ","FILING_STATUS=MR","SCALING_FORMAT=MLN","Sort=A","Dates=H","DateFormat=P","Fill=—","Direction=H","UseDPDF=Y")</f>
        <v>—</v>
      </c>
      <c r="I171" s="13">
        <f>_xll.BDH("AMGN US Equity","ARDR_FV_ASSETS_REC_TOT_CP","FQ2 2020","FQ2 2020","Currency=USD","Period=FQ","BEST_FPERIOD_OVERRIDE=FQ","FILING_STATUS=MR","SCALING_FORMAT=MLN","Sort=A","Dates=H","DateFormat=P","Fill=—","Direction=H","UseDPDF=Y")</f>
        <v>11029</v>
      </c>
      <c r="J171" s="13" t="str">
        <f>_xll.BDH("AMGN US Equity","ARDR_FV_ASSETS_REC_TOT_CP","FQ3 2020","FQ3 2020","Currency=USD","Period=FQ","BEST_FPERIOD_OVERRIDE=FQ","FILING_STATUS=MR","SCALING_FORMAT=MLN","Sort=A","Dates=H","DateFormat=P","Fill=—","Direction=H","UseDPDF=Y")</f>
        <v>—</v>
      </c>
      <c r="K171" s="13" t="str">
        <f>_xll.BDH("AMGN US Equity","ARDR_FV_ASSETS_REC_TOT_CP","FQ4 2020","FQ4 2020","Currency=USD","Period=FQ","BEST_FPERIOD_OVERRIDE=FQ","FILING_STATUS=MR","SCALING_FORMAT=MLN","Sort=A","Dates=H","DateFormat=P","Fill=—","Direction=H","UseDPDF=Y")</f>
        <v>—</v>
      </c>
      <c r="L171" s="13" t="str">
        <f>_xll.BDH("AMGN US Equity","ARDR_FV_ASSETS_REC_TOT_CP","FQ1 2021","FQ1 2021","Currency=USD","Period=FQ","BEST_FPERIOD_OVERRIDE=FQ","FILING_STATUS=MR","SCALING_FORMAT=MLN","Sort=A","Dates=H","DateFormat=P","Fill=—","Direction=H","UseDPDF=Y")</f>
        <v>—</v>
      </c>
      <c r="M171" s="13">
        <f>_xll.BDH("AMGN US Equity","ARDR_FV_ASSETS_REC_TOT_CP","FQ2 2021","FQ2 2021","Currency=USD","Period=FQ","BEST_FPERIOD_OVERRIDE=FQ","FILING_STATUS=MR","SCALING_FORMAT=MLN","Sort=A","Dates=H","DateFormat=P","Fill=—","Direction=H","UseDPDF=Y")</f>
        <v>5707</v>
      </c>
      <c r="N171" s="13" t="str">
        <f>_xll.BDH("AMGN US Equity","ARDR_FV_ASSETS_REC_TOT_CP","FQ3 2021","FQ3 2021","Currency=USD","Period=FQ","BEST_FPERIOD_OVERRIDE=FQ","FILING_STATUS=MR","SCALING_FORMAT=MLN","Sort=A","Dates=H","DateFormat=P","Fill=—","Direction=H","UseDPDF=Y")</f>
        <v>—</v>
      </c>
      <c r="O171" s="13">
        <f>_xll.BDH("AMGN US Equity","ARDR_FV_ASSETS_REC_TOT_CP","FQ4 2021","FQ4 2021","Currency=USD","Period=FQ","BEST_FPERIOD_OVERRIDE=FQ","FILING_STATUS=MR","SCALING_FORMAT=MLN","Sort=A","Dates=H","DateFormat=P","Fill=—","Direction=H","UseDPDF=Y")</f>
        <v>5856</v>
      </c>
      <c r="P171" s="13" t="str">
        <f>_xll.BDH("AMGN US Equity","ARDR_FV_ASSETS_REC_TOT_CP","FQ1 2022","FQ1 2022","Currency=USD","Period=FQ","BEST_FPERIOD_OVERRIDE=FQ","FILING_STATUS=MR","SCALING_FORMAT=MLN","Sort=A","Dates=H","DateFormat=P","Fill=—","Direction=H","UseDPDF=Y")</f>
        <v>—</v>
      </c>
      <c r="Q171" s="13" t="str">
        <f>_xll.BDH("AMGN US Equity","ARDR_FV_ASSETS_REC_TOT_CP","FQ2 2022","FQ2 2022","Currency=USD","Period=FQ","BEST_FPERIOD_OVERRIDE=FQ","FILING_STATUS=MR","SCALING_FORMAT=MLN","Sort=A","Dates=H","DateFormat=P","Fill=—","Direction=H","UseDPDF=Y")</f>
        <v>—</v>
      </c>
      <c r="R171" s="13">
        <f>_xll.BDH("AMGN US Equity","ARDR_FV_ASSETS_REC_TOT_CP","FQ3 2022","FQ3 2022","Currency=USD","Period=FQ","BEST_FPERIOD_OVERRIDE=FQ","FILING_STATUS=MR","SCALING_FORMAT=MLN","Sort=A","Dates=H","DateFormat=P","Fill=—","Direction=H","UseDPDF=Y")</f>
        <v>767</v>
      </c>
      <c r="S171" s="13">
        <f>_xll.BDH("AMGN US Equity","ARDR_FV_ASSETS_REC_TOT_CP","FQ4 2022","FQ4 2022","Currency=USD","Period=FQ","BEST_FPERIOD_OVERRIDE=FQ","FILING_STATUS=MR","SCALING_FORMAT=MLN","Sort=A","Dates=H","DateFormat=P","Fill=—","Direction=H","UseDPDF=Y")</f>
        <v>2659</v>
      </c>
      <c r="T171" s="13" t="str">
        <f>_xll.BDH("AMGN US Equity","ARDR_FV_ASSETS_REC_TOT_CP","FQ1 2023","FQ1 2023","Currency=USD","Period=FQ","BEST_FPERIOD_OVERRIDE=FQ","FILING_STATUS=MR","SCALING_FORMAT=MLN","Sort=A","Dates=H","DateFormat=P","Fill=—","Direction=H","UseDPDF=Y")</f>
        <v>—</v>
      </c>
      <c r="U171" s="13" t="str">
        <f>_xll.BDH("AMGN US Equity","ARDR_FV_ASSETS_REC_TOT_CP","FQ2 2023","FQ2 2023","Currency=USD","Period=FQ","BEST_FPERIOD_OVERRIDE=FQ","FILING_STATUS=MR","SCALING_FORMAT=MLN","Sort=A","Dates=H","DateFormat=P","Fill=—","Direction=H","UseDPDF=Y")</f>
        <v>—</v>
      </c>
      <c r="V171" s="13">
        <f>_xll.BDH("AMGN US Equity","ARDR_FV_ASSETS_REC_TOT_CP","FQ3 2023","FQ3 2023","Currency=USD","Period=FQ","BEST_FPERIOD_OVERRIDE=FQ","FILING_STATUS=MR","SCALING_FORMAT=MLN","Sort=A","Dates=H","DateFormat=P","Fill=—","Direction=H","UseDPDF=Y")</f>
        <v>34208</v>
      </c>
      <c r="W171" s="13" t="str">
        <f>_xll.BDH("AMGN US Equity","ARDR_FV_ASSETS_REC_TOT_CP","FQ4 2023","FQ4 2023","Currency=USD","Period=FQ","BEST_FPERIOD_OVERRIDE=FQ","FILING_STATUS=MR","SCALING_FORMAT=MLN","Sort=A","Dates=H","DateFormat=P","Fill=—","Direction=H","UseDPDF=Y")</f>
        <v>—</v>
      </c>
      <c r="X171" s="13" t="str">
        <f>_xll.BDH("AMGN US Equity","ARDR_FV_ASSETS_REC_TOT_CP","FQ1 2024","FQ1 2024","Currency=USD","Period=FQ","BEST_FPERIOD_OVERRIDE=FQ","FILING_STATUS=MR","SCALING_FORMAT=MLN","Sort=A","Dates=H","DateFormat=P","Fill=—","Direction=H","UseDPDF=Y")</f>
        <v>—</v>
      </c>
      <c r="Y171" s="13" t="str">
        <f>_xll.BDH("AMGN US Equity","ARDR_FV_ASSETS_REC_TOT_CP","FQ2 2024","FQ2 2024","Currency=USD","Period=FQ","BEST_FPERIOD_OVERRIDE=FQ","FILING_STATUS=MR","SCALING_FORMAT=MLN","Sort=A","Dates=H","DateFormat=P","Fill=—","Direction=H","UseDPDF=Y")</f>
        <v>—</v>
      </c>
      <c r="Z171" s="13">
        <f>_xll.BDH("AMGN US Equity","ARDR_FV_ASSETS_REC_TOT_CP","FQ3 2024","FQ3 2024","Currency=USD","Period=FQ","BEST_FPERIOD_OVERRIDE=FQ","FILING_STATUS=MR","SCALING_FORMAT=MLN","Sort=A","Dates=H","DateFormat=P","Fill=—","Direction=H","UseDPDF=Y")</f>
        <v>7437</v>
      </c>
      <c r="AA171" s="13">
        <f>_xll.BDH("AMGN US Equity","ARDR_FV_ASSETS_REC_TOT_CP","FQ4 2024","FQ4 2024","Currency=USD","Period=FQ","BEST_FPERIOD_OVERRIDE=FQ","FILING_STATUS=MR","SCALING_FORMAT=MLN","Sort=A","Dates=H","DateFormat=P","Fill=—","Direction=H","UseDPDF=Y")</f>
        <v>10354</v>
      </c>
    </row>
    <row r="172" spans="1:27" x14ac:dyDescent="0.25">
      <c r="A172" s="10" t="s">
        <v>1158</v>
      </c>
      <c r="B172" s="10" t="s">
        <v>1159</v>
      </c>
      <c r="C172" s="13">
        <f>_xll.BDH("AMGN US Equity","ARDR_FV_ASTS_REC_TOT_DERIVATIVES","FQ4 2018","FQ4 2018","Currency=USD","Period=FQ","BEST_FPERIOD_OVERRIDE=FQ","FILING_STATUS=MR","SCALING_FORMAT=MLN","Sort=A","Dates=H","DateFormat=P","Fill=—","Direction=H","UseDPDF=Y")</f>
        <v>408</v>
      </c>
      <c r="D172" s="13">
        <f>_xll.BDH("AMGN US Equity","ARDR_FV_ASTS_REC_TOT_DERIVATIVES","FQ1 2019","FQ1 2019","Currency=USD","Period=FQ","BEST_FPERIOD_OVERRIDE=FQ","FILING_STATUS=MR","SCALING_FORMAT=MLN","Sort=A","Dates=H","DateFormat=P","Fill=—","Direction=H","UseDPDF=Y")</f>
        <v>475</v>
      </c>
      <c r="E172" s="13">
        <f>_xll.BDH("AMGN US Equity","ARDR_FV_ASTS_REC_TOT_DERIVATIVES","FQ2 2019","FQ2 2019","Currency=USD","Period=FQ","BEST_FPERIOD_OVERRIDE=FQ","FILING_STATUS=MR","SCALING_FORMAT=MLN","Sort=A","Dates=H","DateFormat=P","Fill=—","Direction=H","UseDPDF=Y")</f>
        <v>613</v>
      </c>
      <c r="F172" s="13" t="str">
        <f>_xll.BDH("AMGN US Equity","ARDR_FV_ASTS_REC_TOT_DERIVATIVES","FQ3 2019","FQ3 2019","Currency=USD","Period=FQ","BEST_FPERIOD_OVERRIDE=FQ","FILING_STATUS=MR","SCALING_FORMAT=MLN","Sort=A","Dates=H","DateFormat=P","Fill=—","Direction=H","UseDPDF=Y")</f>
        <v>—</v>
      </c>
      <c r="G172" s="13" t="str">
        <f>_xll.BDH("AMGN US Equity","ARDR_FV_ASTS_REC_TOT_DERIVATIVES","FQ4 2019","FQ4 2019","Currency=USD","Period=FQ","BEST_FPERIOD_OVERRIDE=FQ","FILING_STATUS=MR","SCALING_FORMAT=MLN","Sort=A","Dates=H","DateFormat=P","Fill=—","Direction=H","UseDPDF=Y")</f>
        <v>—</v>
      </c>
      <c r="H172" s="13">
        <f>_xll.BDH("AMGN US Equity","ARDR_FV_ASTS_REC_TOT_DERIVATIVES","FQ1 2020","FQ1 2020","Currency=USD","Period=FQ","BEST_FPERIOD_OVERRIDE=FQ","FILING_STATUS=MR","SCALING_FORMAT=MLN","Sort=A","Dates=H","DateFormat=P","Fill=—","Direction=H","UseDPDF=Y")</f>
        <v>474</v>
      </c>
      <c r="I172" s="13">
        <f>_xll.BDH("AMGN US Equity","ARDR_FV_ASTS_REC_TOT_DERIVATIVES","FQ2 2020","FQ2 2020","Currency=USD","Period=FQ","BEST_FPERIOD_OVERRIDE=FQ","FILING_STATUS=MR","SCALING_FORMAT=MLN","Sort=A","Dates=H","DateFormat=P","Fill=—","Direction=H","UseDPDF=Y")</f>
        <v>384</v>
      </c>
      <c r="J172" s="13" t="str">
        <f>_xll.BDH("AMGN US Equity","ARDR_FV_ASTS_REC_TOT_DERIVATIVES","FQ3 2020","FQ3 2020","Currency=USD","Period=FQ","BEST_FPERIOD_OVERRIDE=FQ","FILING_STATUS=MR","SCALING_FORMAT=MLN","Sort=A","Dates=H","DateFormat=P","Fill=—","Direction=H","UseDPDF=Y")</f>
        <v>—</v>
      </c>
      <c r="K172" s="13" t="str">
        <f>_xll.BDH("AMGN US Equity","ARDR_FV_ASTS_REC_TOT_DERIVATIVES","FQ4 2020","FQ4 2020","Currency=USD","Period=FQ","BEST_FPERIOD_OVERRIDE=FQ","FILING_STATUS=MR","SCALING_FORMAT=MLN","Sort=A","Dates=H","DateFormat=P","Fill=—","Direction=H","UseDPDF=Y")</f>
        <v>—</v>
      </c>
      <c r="L172" s="13">
        <f>_xll.BDH("AMGN US Equity","ARDR_FV_ASTS_REC_TOT_DERIVATIVES","FQ1 2021","FQ1 2021","Currency=USD","Period=FQ","BEST_FPERIOD_OVERRIDE=FQ","FILING_STATUS=MR","SCALING_FORMAT=MLN","Sort=A","Dates=H","DateFormat=P","Fill=—","Direction=H","UseDPDF=Y")</f>
        <v>265</v>
      </c>
      <c r="M172" s="13">
        <f>_xll.BDH("AMGN US Equity","ARDR_FV_ASTS_REC_TOT_DERIVATIVES","FQ2 2021","FQ2 2021","Currency=USD","Period=FQ","BEST_FPERIOD_OVERRIDE=FQ","FILING_STATUS=MR","SCALING_FORMAT=MLN","Sort=A","Dates=H","DateFormat=P","Fill=—","Direction=H","UseDPDF=Y")</f>
        <v>289</v>
      </c>
      <c r="N172" s="13">
        <f>_xll.BDH("AMGN US Equity","ARDR_FV_ASTS_REC_TOT_DERIVATIVES","FQ3 2021","FQ3 2021","Currency=USD","Period=FQ","BEST_FPERIOD_OVERRIDE=FQ","FILING_STATUS=MR","SCALING_FORMAT=MLN","Sort=A","Dates=H","DateFormat=P","Fill=—","Direction=H","UseDPDF=Y")</f>
        <v>275</v>
      </c>
      <c r="O172" s="13">
        <f>_xll.BDH("AMGN US Equity","ARDR_FV_ASTS_REC_TOT_DERIVATIVES","FQ4 2021","FQ4 2021","Currency=USD","Period=FQ","BEST_FPERIOD_OVERRIDE=FQ","FILING_STATUS=MR","SCALING_FORMAT=MLN","Sort=A","Dates=H","DateFormat=P","Fill=—","Direction=H","UseDPDF=Y")</f>
        <v>265</v>
      </c>
      <c r="P172" s="13">
        <f>_xll.BDH("AMGN US Equity","ARDR_FV_ASTS_REC_TOT_DERIVATIVES","FQ1 2022","FQ1 2022","Currency=USD","Period=FQ","BEST_FPERIOD_OVERRIDE=FQ","FILING_STATUS=MR","SCALING_FORMAT=MLN","Sort=A","Dates=H","DateFormat=P","Fill=—","Direction=H","UseDPDF=Y")</f>
        <v>300</v>
      </c>
      <c r="Q172" s="13">
        <f>_xll.BDH("AMGN US Equity","ARDR_FV_ASTS_REC_TOT_DERIVATIVES","FQ2 2022","FQ2 2022","Currency=USD","Period=FQ","BEST_FPERIOD_OVERRIDE=FQ","FILING_STATUS=MR","SCALING_FORMAT=MLN","Sort=A","Dates=H","DateFormat=P","Fill=—","Direction=H","UseDPDF=Y")</f>
        <v>442</v>
      </c>
      <c r="R172" s="13">
        <f>_xll.BDH("AMGN US Equity","ARDR_FV_ASTS_REC_TOT_DERIVATIVES","FQ3 2022","FQ3 2022","Currency=USD","Period=FQ","BEST_FPERIOD_OVERRIDE=FQ","FILING_STATUS=MR","SCALING_FORMAT=MLN","Sort=A","Dates=H","DateFormat=P","Fill=—","Direction=H","UseDPDF=Y")</f>
        <v>645</v>
      </c>
      <c r="S172" s="13">
        <f>_xll.BDH("AMGN US Equity","ARDR_FV_ASTS_REC_TOT_DERIVATIVES","FQ4 2022","FQ4 2022","Currency=USD","Period=FQ","BEST_FPERIOD_OVERRIDE=FQ","FILING_STATUS=MR","SCALING_FORMAT=MLN","Sort=A","Dates=H","DateFormat=P","Fill=—","Direction=H","UseDPDF=Y")</f>
        <v>341</v>
      </c>
      <c r="T172" s="13">
        <f>_xll.BDH("AMGN US Equity","ARDR_FV_ASTS_REC_TOT_DERIVATIVES","FQ1 2023","FQ1 2023","Currency=USD","Period=FQ","BEST_FPERIOD_OVERRIDE=FQ","FILING_STATUS=MR","SCALING_FORMAT=MLN","Sort=A","Dates=H","DateFormat=P","Fill=—","Direction=H","UseDPDF=Y")</f>
        <v>252</v>
      </c>
      <c r="U172" s="13" t="str">
        <f>_xll.BDH("AMGN US Equity","ARDR_FV_ASTS_REC_TOT_DERIVATIVES","FQ2 2023","FQ2 2023","Currency=USD","Period=FQ","BEST_FPERIOD_OVERRIDE=FQ","FILING_STATUS=MR","SCALING_FORMAT=MLN","Sort=A","Dates=H","DateFormat=P","Fill=—","Direction=H","UseDPDF=Y")</f>
        <v>—</v>
      </c>
      <c r="V172" s="13">
        <f>_xll.BDH("AMGN US Equity","ARDR_FV_ASTS_REC_TOT_DERIVATIVES","FQ3 2023","FQ3 2023","Currency=USD","Period=FQ","BEST_FPERIOD_OVERRIDE=FQ","FILING_STATUS=MR","SCALING_FORMAT=MLN","Sort=A","Dates=H","DateFormat=P","Fill=—","Direction=H","UseDPDF=Y")</f>
        <v>347</v>
      </c>
      <c r="W172" s="13">
        <f>_xll.BDH("AMGN US Equity","ARDR_FV_ASTS_REC_TOT_DERIVATIVES","FQ4 2023","FQ4 2023","Currency=USD","Period=FQ","BEST_FPERIOD_OVERRIDE=FQ","FILING_STATUS=MR","SCALING_FORMAT=MLN","Sort=A","Dates=H","DateFormat=P","Fill=—","Direction=H","UseDPDF=Y")</f>
        <v>145</v>
      </c>
      <c r="X172" s="13">
        <f>_xll.BDH("AMGN US Equity","ARDR_FV_ASTS_REC_TOT_DERIVATIVES","FQ1 2024","FQ1 2024","Currency=USD","Period=FQ","BEST_FPERIOD_OVERRIDE=FQ","FILING_STATUS=MR","SCALING_FORMAT=MLN","Sort=A","Dates=H","DateFormat=P","Fill=—","Direction=H","UseDPDF=Y")</f>
        <v>225</v>
      </c>
      <c r="Y172" s="13" t="str">
        <f>_xll.BDH("AMGN US Equity","ARDR_FV_ASTS_REC_TOT_DERIVATIVES","FQ2 2024","FQ2 2024","Currency=USD","Period=FQ","BEST_FPERIOD_OVERRIDE=FQ","FILING_STATUS=MR","SCALING_FORMAT=MLN","Sort=A","Dates=H","DateFormat=P","Fill=—","Direction=H","UseDPDF=Y")</f>
        <v>—</v>
      </c>
      <c r="Z172" s="13">
        <f>_xll.BDH("AMGN US Equity","ARDR_FV_ASTS_REC_TOT_DERIVATIVES","FQ3 2024","FQ3 2024","Currency=USD","Period=FQ","BEST_FPERIOD_OVERRIDE=FQ","FILING_STATUS=MR","SCALING_FORMAT=MLN","Sort=A","Dates=H","DateFormat=P","Fill=—","Direction=H","UseDPDF=Y")</f>
        <v>112</v>
      </c>
      <c r="AA172" s="13">
        <f>_xll.BDH("AMGN US Equity","ARDR_FV_ASTS_REC_TOT_DERIVATIVES","FQ4 2024","FQ4 2024","Currency=USD","Period=FQ","BEST_FPERIOD_OVERRIDE=FQ","FILING_STATUS=MR","SCALING_FORMAT=MLN","Sort=A","Dates=H","DateFormat=P","Fill=—","Direction=H","UseDPDF=Y")</f>
        <v>420</v>
      </c>
    </row>
    <row r="173" spans="1:27" x14ac:dyDescent="0.25">
      <c r="A173" s="10" t="s">
        <v>1160</v>
      </c>
      <c r="B173" s="10" t="s">
        <v>1161</v>
      </c>
      <c r="C173" s="13" t="str">
        <f>_xll.BDH("AMGN US Equity","ARDR_FV_ASSETS_REC_TOT_OTHER","FQ4 2018","FQ4 2018","Currency=USD","Period=FQ","BEST_FPERIOD_OVERRIDE=FQ","FILING_STATUS=MR","SCALING_FORMAT=MLN","Sort=A","Dates=H","DateFormat=P","Fill=—","Direction=H","UseDPDF=Y")</f>
        <v>—</v>
      </c>
      <c r="D173" s="13" t="str">
        <f>_xll.BDH("AMGN US Equity","ARDR_FV_ASSETS_REC_TOT_OTHER","FQ1 2019","FQ1 2019","Currency=USD","Period=FQ","BEST_FPERIOD_OVERRIDE=FQ","FILING_STATUS=MR","SCALING_FORMAT=MLN","Sort=A","Dates=H","DateFormat=P","Fill=—","Direction=H","UseDPDF=Y")</f>
        <v>—</v>
      </c>
      <c r="E173" s="13">
        <f>_xll.BDH("AMGN US Equity","ARDR_FV_ASSETS_REC_TOT_OTHER","FQ2 2019","FQ2 2019","Currency=USD","Period=FQ","BEST_FPERIOD_OVERRIDE=FQ","FILING_STATUS=MR","SCALING_FORMAT=MLN","Sort=A","Dates=H","DateFormat=P","Fill=—","Direction=H","UseDPDF=Y")</f>
        <v>11304</v>
      </c>
      <c r="F173" s="13" t="str">
        <f>_xll.BDH("AMGN US Equity","ARDR_FV_ASSETS_REC_TOT_OTHER","FQ3 2019","FQ3 2019","Currency=USD","Period=FQ","BEST_FPERIOD_OVERRIDE=FQ","FILING_STATUS=MR","SCALING_FORMAT=MLN","Sort=A","Dates=H","DateFormat=P","Fill=—","Direction=H","UseDPDF=Y")</f>
        <v>—</v>
      </c>
      <c r="G173" s="13" t="str">
        <f>_xll.BDH("AMGN US Equity","ARDR_FV_ASSETS_REC_TOT_OTHER","FQ4 2019","FQ4 2019","Currency=USD","Period=FQ","BEST_FPERIOD_OVERRIDE=FQ","FILING_STATUS=MR","SCALING_FORMAT=MLN","Sort=A","Dates=H","DateFormat=P","Fill=—","Direction=H","UseDPDF=Y")</f>
        <v>—</v>
      </c>
      <c r="H173" s="13" t="str">
        <f>_xll.BDH("AMGN US Equity","ARDR_FV_ASSETS_REC_TOT_OTHER","FQ1 2020","FQ1 2020","Currency=USD","Period=FQ","BEST_FPERIOD_OVERRIDE=FQ","FILING_STATUS=MR","SCALING_FORMAT=MLN","Sort=A","Dates=H","DateFormat=P","Fill=—","Direction=H","UseDPDF=Y")</f>
        <v>—</v>
      </c>
      <c r="I173" s="13">
        <f>_xll.BDH("AMGN US Equity","ARDR_FV_ASSETS_REC_TOT_OTHER","FQ2 2020","FQ2 2020","Currency=USD","Period=FQ","BEST_FPERIOD_OVERRIDE=FQ","FILING_STATUS=MR","SCALING_FORMAT=MLN","Sort=A","Dates=H","DateFormat=P","Fill=—","Direction=H","UseDPDF=Y")</f>
        <v>2</v>
      </c>
      <c r="J173" s="13" t="str">
        <f>_xll.BDH("AMGN US Equity","ARDR_FV_ASSETS_REC_TOT_OTHER","FQ3 2020","FQ3 2020","Currency=USD","Period=FQ","BEST_FPERIOD_OVERRIDE=FQ","FILING_STATUS=MR","SCALING_FORMAT=MLN","Sort=A","Dates=H","DateFormat=P","Fill=—","Direction=H","UseDPDF=Y")</f>
        <v>—</v>
      </c>
      <c r="K173" s="13" t="str">
        <f>_xll.BDH("AMGN US Equity","ARDR_FV_ASSETS_REC_TOT_OTHER","FQ4 2020","FQ4 2020","Currency=USD","Period=FQ","BEST_FPERIOD_OVERRIDE=FQ","FILING_STATUS=MR","SCALING_FORMAT=MLN","Sort=A","Dates=H","DateFormat=P","Fill=—","Direction=H","UseDPDF=Y")</f>
        <v>—</v>
      </c>
      <c r="L173" s="13" t="str">
        <f>_xll.BDH("AMGN US Equity","ARDR_FV_ASSETS_REC_TOT_OTHER","FQ1 2021","FQ1 2021","Currency=USD","Period=FQ","BEST_FPERIOD_OVERRIDE=FQ","FILING_STATUS=MR","SCALING_FORMAT=MLN","Sort=A","Dates=H","DateFormat=P","Fill=—","Direction=H","UseDPDF=Y")</f>
        <v>—</v>
      </c>
      <c r="M173" s="13">
        <f>_xll.BDH("AMGN US Equity","ARDR_FV_ASSETS_REC_TOT_OTHER","FQ2 2021","FQ2 2021","Currency=USD","Period=FQ","BEST_FPERIOD_OVERRIDE=FQ","FILING_STATUS=MR","SCALING_FORMAT=MLN","Sort=A","Dates=H","DateFormat=P","Fill=—","Direction=H","UseDPDF=Y")</f>
        <v>403</v>
      </c>
      <c r="N173" s="13">
        <f>_xll.BDH("AMGN US Equity","ARDR_FV_ASSETS_REC_TOT_OTHER","FQ3 2021","FQ3 2021","Currency=USD","Period=FQ","BEST_FPERIOD_OVERRIDE=FQ","FILING_STATUS=MR","SCALING_FORMAT=MLN","Sort=A","Dates=H","DateFormat=P","Fill=—","Direction=H","UseDPDF=Y")</f>
        <v>866</v>
      </c>
      <c r="O173" s="13">
        <f>_xll.BDH("AMGN US Equity","ARDR_FV_ASSETS_REC_TOT_OTHER","FQ4 2021","FQ4 2021","Currency=USD","Period=FQ","BEST_FPERIOD_OVERRIDE=FQ","FILING_STATUS=MR","SCALING_FORMAT=MLN","Sort=A","Dates=H","DateFormat=P","Fill=—","Direction=H","UseDPDF=Y")</f>
        <v>1</v>
      </c>
      <c r="P173" s="13">
        <f>_xll.BDH("AMGN US Equity","ARDR_FV_ASSETS_REC_TOT_OTHER","FQ1 2022","FQ1 2022","Currency=USD","Period=FQ","BEST_FPERIOD_OVERRIDE=FQ","FILING_STATUS=MR","SCALING_FORMAT=MLN","Sort=A","Dates=H","DateFormat=P","Fill=—","Direction=H","UseDPDF=Y")</f>
        <v>0</v>
      </c>
      <c r="Q173" s="13">
        <f>_xll.BDH("AMGN US Equity","ARDR_FV_ASSETS_REC_TOT_OTHER","FQ2 2022","FQ2 2022","Currency=USD","Period=FQ","BEST_FPERIOD_OVERRIDE=FQ","FILING_STATUS=MR","SCALING_FORMAT=MLN","Sort=A","Dates=H","DateFormat=P","Fill=—","Direction=H","UseDPDF=Y")</f>
        <v>0</v>
      </c>
      <c r="R173" s="13">
        <f>_xll.BDH("AMGN US Equity","ARDR_FV_ASSETS_REC_TOT_OTHER","FQ3 2022","FQ3 2022","Currency=USD","Period=FQ","BEST_FPERIOD_OVERRIDE=FQ","FILING_STATUS=MR","SCALING_FORMAT=MLN","Sort=A","Dates=H","DateFormat=P","Fill=—","Direction=H","UseDPDF=Y")</f>
        <v>135</v>
      </c>
      <c r="S173" s="13">
        <f>_xll.BDH("AMGN US Equity","ARDR_FV_ASSETS_REC_TOT_OTHER","FQ4 2022","FQ4 2022","Currency=USD","Period=FQ","BEST_FPERIOD_OVERRIDE=FQ","FILING_STATUS=MR","SCALING_FORMAT=MLN","Sort=A","Dates=H","DateFormat=P","Fill=—","Direction=H","UseDPDF=Y")</f>
        <v>130</v>
      </c>
      <c r="T173" s="13">
        <f>_xll.BDH("AMGN US Equity","ARDR_FV_ASSETS_REC_TOT_OTHER","FQ1 2023","FQ1 2023","Currency=USD","Period=FQ","BEST_FPERIOD_OVERRIDE=FQ","FILING_STATUS=MR","SCALING_FORMAT=MLN","Sort=A","Dates=H","DateFormat=P","Fill=—","Direction=H","UseDPDF=Y")</f>
        <v>132</v>
      </c>
      <c r="U173" s="13" t="str">
        <f>_xll.BDH("AMGN US Equity","ARDR_FV_ASSETS_REC_TOT_OTHER","FQ2 2023","FQ2 2023","Currency=USD","Period=FQ","BEST_FPERIOD_OVERRIDE=FQ","FILING_STATUS=MR","SCALING_FORMAT=MLN","Sort=A","Dates=H","DateFormat=P","Fill=—","Direction=H","UseDPDF=Y")</f>
        <v>—</v>
      </c>
      <c r="V173" s="13">
        <f>_xll.BDH("AMGN US Equity","ARDR_FV_ASSETS_REC_TOT_OTHER","FQ3 2023","FQ3 2023","Currency=USD","Period=FQ","BEST_FPERIOD_OVERRIDE=FQ","FILING_STATUS=MR","SCALING_FORMAT=MLN","Sort=A","Dates=H","DateFormat=P","Fill=—","Direction=H","UseDPDF=Y")</f>
        <v>4386</v>
      </c>
      <c r="W173" s="13">
        <f>_xll.BDH("AMGN US Equity","ARDR_FV_ASSETS_REC_TOT_OTHER","FQ4 2023","FQ4 2023","Currency=USD","Period=FQ","BEST_FPERIOD_OVERRIDE=FQ","FILING_STATUS=MR","SCALING_FORMAT=MLN","Sort=A","Dates=H","DateFormat=P","Fill=—","Direction=H","UseDPDF=Y")</f>
        <v>4652</v>
      </c>
      <c r="X173" s="13">
        <f>_xll.BDH("AMGN US Equity","ARDR_FV_ASSETS_REC_TOT_OTHER","FQ1 2024","FQ1 2024","Currency=USD","Period=FQ","BEST_FPERIOD_OVERRIDE=FQ","FILING_STATUS=MR","SCALING_FORMAT=MLN","Sort=A","Dates=H","DateFormat=P","Fill=—","Direction=H","UseDPDF=Y")</f>
        <v>4123</v>
      </c>
      <c r="Y173" s="13" t="str">
        <f>_xll.BDH("AMGN US Equity","ARDR_FV_ASSETS_REC_TOT_OTHER","FQ2 2024","FQ2 2024","Currency=USD","Period=FQ","BEST_FPERIOD_OVERRIDE=FQ","FILING_STATUS=MR","SCALING_FORMAT=MLN","Sort=A","Dates=H","DateFormat=P","Fill=—","Direction=H","UseDPDF=Y")</f>
        <v>—</v>
      </c>
      <c r="Z173" s="13">
        <f>_xll.BDH("AMGN US Equity","ARDR_FV_ASSETS_REC_TOT_OTHER","FQ3 2024","FQ3 2024","Currency=USD","Period=FQ","BEST_FPERIOD_OVERRIDE=FQ","FILING_STATUS=MR","SCALING_FORMAT=MLN","Sort=A","Dates=H","DateFormat=P","Fill=—","Direction=H","UseDPDF=Y")</f>
        <v>5200</v>
      </c>
      <c r="AA173" s="13" t="str">
        <f>_xll.BDH("AMGN US Equity","ARDR_FV_ASSETS_REC_TOT_OTHER","FQ4 2024","FQ4 2024","Currency=USD","Period=FQ","BEST_FPERIOD_OVERRIDE=FQ","FILING_STATUS=MR","SCALING_FORMAT=MLN","Sort=A","Dates=H","DateFormat=P","Fill=—","Direction=H","UseDPDF=Y")</f>
        <v>—</v>
      </c>
    </row>
    <row r="174" spans="1:27" x14ac:dyDescent="0.25">
      <c r="A174" s="10" t="s">
        <v>1162</v>
      </c>
      <c r="B174" s="10" t="s">
        <v>1163</v>
      </c>
      <c r="C174" s="13">
        <f>_xll.BDH("AMGN US Equity","ARDR_FV_LIABS_REC_L1_DERIVATIVES","FQ4 2018","FQ4 2018","Currency=USD","Period=FQ","BEST_FPERIOD_OVERRIDE=FQ","FILING_STATUS=MR","SCALING_FORMAT=MLN","Sort=A","Dates=H","DateFormat=P","Fill=—","Direction=H","UseDPDF=Y")</f>
        <v>0</v>
      </c>
      <c r="D174" s="13">
        <f>_xll.BDH("AMGN US Equity","ARDR_FV_LIABS_REC_L1_DERIVATIVES","FQ1 2019","FQ1 2019","Currency=USD","Period=FQ","BEST_FPERIOD_OVERRIDE=FQ","FILING_STATUS=MR","SCALING_FORMAT=MLN","Sort=A","Dates=H","DateFormat=P","Fill=—","Direction=H","UseDPDF=Y")</f>
        <v>0</v>
      </c>
      <c r="E174" s="13">
        <f>_xll.BDH("AMGN US Equity","ARDR_FV_LIABS_REC_L1_DERIVATIVES","FQ2 2019","FQ2 2019","Currency=USD","Period=FQ","BEST_FPERIOD_OVERRIDE=FQ","FILING_STATUS=MR","SCALING_FORMAT=MLN","Sort=A","Dates=H","DateFormat=P","Fill=—","Direction=H","UseDPDF=Y")</f>
        <v>0</v>
      </c>
      <c r="F174" s="13">
        <f>_xll.BDH("AMGN US Equity","ARDR_FV_LIABS_REC_L1_DERIVATIVES","FQ3 2019","FQ3 2019","Currency=USD","Period=FQ","BEST_FPERIOD_OVERRIDE=FQ","FILING_STATUS=MR","SCALING_FORMAT=MLN","Sort=A","Dates=H","DateFormat=P","Fill=—","Direction=H","UseDPDF=Y")</f>
        <v>0</v>
      </c>
      <c r="G174" s="13">
        <f>_xll.BDH("AMGN US Equity","ARDR_FV_LIABS_REC_L1_DERIVATIVES","FQ4 2019","FQ4 2019","Currency=USD","Period=FQ","BEST_FPERIOD_OVERRIDE=FQ","FILING_STATUS=MR","SCALING_FORMAT=MLN","Sort=A","Dates=H","DateFormat=P","Fill=—","Direction=H","UseDPDF=Y")</f>
        <v>0</v>
      </c>
      <c r="H174" s="13">
        <f>_xll.BDH("AMGN US Equity","ARDR_FV_LIABS_REC_L1_DERIVATIVES","FQ1 2020","FQ1 2020","Currency=USD","Period=FQ","BEST_FPERIOD_OVERRIDE=FQ","FILING_STATUS=MR","SCALING_FORMAT=MLN","Sort=A","Dates=H","DateFormat=P","Fill=—","Direction=H","UseDPDF=Y")</f>
        <v>0</v>
      </c>
      <c r="I174" s="13">
        <f>_xll.BDH("AMGN US Equity","ARDR_FV_LIABS_REC_L1_DERIVATIVES","FQ2 2020","FQ2 2020","Currency=USD","Period=FQ","BEST_FPERIOD_OVERRIDE=FQ","FILING_STATUS=MR","SCALING_FORMAT=MLN","Sort=A","Dates=H","DateFormat=P","Fill=—","Direction=H","UseDPDF=Y")</f>
        <v>0</v>
      </c>
      <c r="J174" s="13">
        <f>_xll.BDH("AMGN US Equity","ARDR_FV_LIABS_REC_L1_DERIVATIVES","FQ3 2020","FQ3 2020","Currency=USD","Period=FQ","BEST_FPERIOD_OVERRIDE=FQ","FILING_STATUS=MR","SCALING_FORMAT=MLN","Sort=A","Dates=H","DateFormat=P","Fill=—","Direction=H","UseDPDF=Y")</f>
        <v>0</v>
      </c>
      <c r="K174" s="13">
        <f>_xll.BDH("AMGN US Equity","ARDR_FV_LIABS_REC_L1_DERIVATIVES","FQ4 2020","FQ4 2020","Currency=USD","Period=FQ","BEST_FPERIOD_OVERRIDE=FQ","FILING_STATUS=MR","SCALING_FORMAT=MLN","Sort=A","Dates=H","DateFormat=P","Fill=—","Direction=H","UseDPDF=Y")</f>
        <v>0</v>
      </c>
      <c r="L174" s="13">
        <f>_xll.BDH("AMGN US Equity","ARDR_FV_LIABS_REC_L1_DERIVATIVES","FQ1 2021","FQ1 2021","Currency=USD","Period=FQ","BEST_FPERIOD_OVERRIDE=FQ","FILING_STATUS=MR","SCALING_FORMAT=MLN","Sort=A","Dates=H","DateFormat=P","Fill=—","Direction=H","UseDPDF=Y")</f>
        <v>0</v>
      </c>
      <c r="M174" s="13">
        <f>_xll.BDH("AMGN US Equity","ARDR_FV_LIABS_REC_L1_DERIVATIVES","FQ2 2021","FQ2 2021","Currency=USD","Period=FQ","BEST_FPERIOD_OVERRIDE=FQ","FILING_STATUS=MR","SCALING_FORMAT=MLN","Sort=A","Dates=H","DateFormat=P","Fill=—","Direction=H","UseDPDF=Y")</f>
        <v>0</v>
      </c>
      <c r="N174" s="13">
        <f>_xll.BDH("AMGN US Equity","ARDR_FV_LIABS_REC_L1_DERIVATIVES","FQ3 2021","FQ3 2021","Currency=USD","Period=FQ","BEST_FPERIOD_OVERRIDE=FQ","FILING_STATUS=MR","SCALING_FORMAT=MLN","Sort=A","Dates=H","DateFormat=P","Fill=—","Direction=H","UseDPDF=Y")</f>
        <v>0</v>
      </c>
      <c r="O174" s="13">
        <f>_xll.BDH("AMGN US Equity","ARDR_FV_LIABS_REC_L1_DERIVATIVES","FQ4 2021","FQ4 2021","Currency=USD","Period=FQ","BEST_FPERIOD_OVERRIDE=FQ","FILING_STATUS=MR","SCALING_FORMAT=MLN","Sort=A","Dates=H","DateFormat=P","Fill=—","Direction=H","UseDPDF=Y")</f>
        <v>0</v>
      </c>
      <c r="P174" s="13">
        <f>_xll.BDH("AMGN US Equity","ARDR_FV_LIABS_REC_L1_DERIVATIVES","FQ1 2022","FQ1 2022","Currency=USD","Period=FQ","BEST_FPERIOD_OVERRIDE=FQ","FILING_STATUS=MR","SCALING_FORMAT=MLN","Sort=A","Dates=H","DateFormat=P","Fill=—","Direction=H","UseDPDF=Y")</f>
        <v>0</v>
      </c>
      <c r="Q174" s="13">
        <f>_xll.BDH("AMGN US Equity","ARDR_FV_LIABS_REC_L1_DERIVATIVES","FQ2 2022","FQ2 2022","Currency=USD","Period=FQ","BEST_FPERIOD_OVERRIDE=FQ","FILING_STATUS=MR","SCALING_FORMAT=MLN","Sort=A","Dates=H","DateFormat=P","Fill=—","Direction=H","UseDPDF=Y")</f>
        <v>0</v>
      </c>
      <c r="R174" s="13">
        <f>_xll.BDH("AMGN US Equity","ARDR_FV_LIABS_REC_L1_DERIVATIVES","FQ3 2022","FQ3 2022","Currency=USD","Period=FQ","BEST_FPERIOD_OVERRIDE=FQ","FILING_STATUS=MR","SCALING_FORMAT=MLN","Sort=A","Dates=H","DateFormat=P","Fill=—","Direction=H","UseDPDF=Y")</f>
        <v>0</v>
      </c>
      <c r="S174" s="13">
        <f>_xll.BDH("AMGN US Equity","ARDR_FV_LIABS_REC_L1_DERIVATIVES","FQ4 2022","FQ4 2022","Currency=USD","Period=FQ","BEST_FPERIOD_OVERRIDE=FQ","FILING_STATUS=MR","SCALING_FORMAT=MLN","Sort=A","Dates=H","DateFormat=P","Fill=—","Direction=H","UseDPDF=Y")</f>
        <v>0</v>
      </c>
      <c r="T174" s="13">
        <f>_xll.BDH("AMGN US Equity","ARDR_FV_LIABS_REC_L1_DERIVATIVES","FQ1 2023","FQ1 2023","Currency=USD","Period=FQ","BEST_FPERIOD_OVERRIDE=FQ","FILING_STATUS=MR","SCALING_FORMAT=MLN","Sort=A","Dates=H","DateFormat=P","Fill=—","Direction=H","UseDPDF=Y")</f>
        <v>0</v>
      </c>
      <c r="U174" s="13">
        <f>_xll.BDH("AMGN US Equity","ARDR_FV_LIABS_REC_L1_DERIVATIVES","FQ2 2023","FQ2 2023","Currency=USD","Period=FQ","BEST_FPERIOD_OVERRIDE=FQ","FILING_STATUS=MR","SCALING_FORMAT=MLN","Sort=A","Dates=H","DateFormat=P","Fill=—","Direction=H","UseDPDF=Y")</f>
        <v>0</v>
      </c>
      <c r="V174" s="13">
        <f>_xll.BDH("AMGN US Equity","ARDR_FV_LIABS_REC_L1_DERIVATIVES","FQ3 2023","FQ3 2023","Currency=USD","Period=FQ","BEST_FPERIOD_OVERRIDE=FQ","FILING_STATUS=MR","SCALING_FORMAT=MLN","Sort=A","Dates=H","DateFormat=P","Fill=—","Direction=H","UseDPDF=Y")</f>
        <v>0</v>
      </c>
      <c r="W174" s="13">
        <f>_xll.BDH("AMGN US Equity","ARDR_FV_LIABS_REC_L1_DERIVATIVES","FQ4 2023","FQ4 2023","Currency=USD","Period=FQ","BEST_FPERIOD_OVERRIDE=FQ","FILING_STATUS=MR","SCALING_FORMAT=MLN","Sort=A","Dates=H","DateFormat=P","Fill=—","Direction=H","UseDPDF=Y")</f>
        <v>0</v>
      </c>
      <c r="X174" s="13">
        <f>_xll.BDH("AMGN US Equity","ARDR_FV_LIABS_REC_L1_DERIVATIVES","FQ1 2024","FQ1 2024","Currency=USD","Period=FQ","BEST_FPERIOD_OVERRIDE=FQ","FILING_STATUS=MR","SCALING_FORMAT=MLN","Sort=A","Dates=H","DateFormat=P","Fill=—","Direction=H","UseDPDF=Y")</f>
        <v>0</v>
      </c>
      <c r="Y174" s="13">
        <f>_xll.BDH("AMGN US Equity","ARDR_FV_LIABS_REC_L1_DERIVATIVES","FQ2 2024","FQ2 2024","Currency=USD","Period=FQ","BEST_FPERIOD_OVERRIDE=FQ","FILING_STATUS=MR","SCALING_FORMAT=MLN","Sort=A","Dates=H","DateFormat=P","Fill=—","Direction=H","UseDPDF=Y")</f>
        <v>0</v>
      </c>
      <c r="Z174" s="13">
        <f>_xll.BDH("AMGN US Equity","ARDR_FV_LIABS_REC_L1_DERIVATIVES","FQ3 2024","FQ3 2024","Currency=USD","Period=FQ","BEST_FPERIOD_OVERRIDE=FQ","FILING_STATUS=MR","SCALING_FORMAT=MLN","Sort=A","Dates=H","DateFormat=P","Fill=—","Direction=H","UseDPDF=Y")</f>
        <v>0</v>
      </c>
      <c r="AA174" s="13">
        <f>_xll.BDH("AMGN US Equity","ARDR_FV_LIABS_REC_L1_DERIVATIVES","FQ4 2024","FQ4 2024","Currency=USD","Period=FQ","BEST_FPERIOD_OVERRIDE=FQ","FILING_STATUS=MR","SCALING_FORMAT=MLN","Sort=A","Dates=H","DateFormat=P","Fill=—","Direction=H","UseDPDF=Y")</f>
        <v>0</v>
      </c>
    </row>
    <row r="175" spans="1:27" x14ac:dyDescent="0.25">
      <c r="A175" s="10" t="s">
        <v>1164</v>
      </c>
      <c r="B175" s="10" t="s">
        <v>1165</v>
      </c>
      <c r="C175" s="13">
        <f>_xll.BDH("AMGN US Equity","ARDR_FV_LIABS_REC_L1_OTHER","FQ4 2018","FQ4 2018","Currency=USD","Period=FQ","BEST_FPERIOD_OVERRIDE=FQ","FILING_STATUS=MR","SCALING_FORMAT=MLN","Sort=A","Dates=H","DateFormat=P","Fill=—","Direction=H","UseDPDF=Y")</f>
        <v>0</v>
      </c>
      <c r="D175" s="13">
        <f>_xll.BDH("AMGN US Equity","ARDR_FV_LIABS_REC_L1_OTHER","FQ1 2019","FQ1 2019","Currency=USD","Period=FQ","BEST_FPERIOD_OVERRIDE=FQ","FILING_STATUS=MR","SCALING_FORMAT=MLN","Sort=A","Dates=H","DateFormat=P","Fill=—","Direction=H","UseDPDF=Y")</f>
        <v>0</v>
      </c>
      <c r="E175" s="13">
        <f>_xll.BDH("AMGN US Equity","ARDR_FV_LIABS_REC_L1_OTHER","FQ2 2019","FQ2 2019","Currency=USD","Period=FQ","BEST_FPERIOD_OVERRIDE=FQ","FILING_STATUS=MR","SCALING_FORMAT=MLN","Sort=A","Dates=H","DateFormat=P","Fill=—","Direction=H","UseDPDF=Y")</f>
        <v>0</v>
      </c>
      <c r="F175" s="13">
        <f>_xll.BDH("AMGN US Equity","ARDR_FV_LIABS_REC_L1_OTHER","FQ3 2019","FQ3 2019","Currency=USD","Period=FQ","BEST_FPERIOD_OVERRIDE=FQ","FILING_STATUS=MR","SCALING_FORMAT=MLN","Sort=A","Dates=H","DateFormat=P","Fill=—","Direction=H","UseDPDF=Y")</f>
        <v>0</v>
      </c>
      <c r="G175" s="13">
        <f>_xll.BDH("AMGN US Equity","ARDR_FV_LIABS_REC_L1_OTHER","FQ4 2019","FQ4 2019","Currency=USD","Period=FQ","BEST_FPERIOD_OVERRIDE=FQ","FILING_STATUS=MR","SCALING_FORMAT=MLN","Sort=A","Dates=H","DateFormat=P","Fill=—","Direction=H","UseDPDF=Y")</f>
        <v>0</v>
      </c>
      <c r="H175" s="13">
        <f>_xll.BDH("AMGN US Equity","ARDR_FV_LIABS_REC_L1_OTHER","FQ1 2020","FQ1 2020","Currency=USD","Period=FQ","BEST_FPERIOD_OVERRIDE=FQ","FILING_STATUS=MR","SCALING_FORMAT=MLN","Sort=A","Dates=H","DateFormat=P","Fill=—","Direction=H","UseDPDF=Y")</f>
        <v>0</v>
      </c>
      <c r="I175" s="13">
        <f>_xll.BDH("AMGN US Equity","ARDR_FV_LIABS_REC_L1_OTHER","FQ2 2020","FQ2 2020","Currency=USD","Period=FQ","BEST_FPERIOD_OVERRIDE=FQ","FILING_STATUS=MR","SCALING_FORMAT=MLN","Sort=A","Dates=H","DateFormat=P","Fill=—","Direction=H","UseDPDF=Y")</f>
        <v>0</v>
      </c>
      <c r="J175" s="13">
        <f>_xll.BDH("AMGN US Equity","ARDR_FV_LIABS_REC_L1_OTHER","FQ3 2020","FQ3 2020","Currency=USD","Period=FQ","BEST_FPERIOD_OVERRIDE=FQ","FILING_STATUS=MR","SCALING_FORMAT=MLN","Sort=A","Dates=H","DateFormat=P","Fill=—","Direction=H","UseDPDF=Y")</f>
        <v>0</v>
      </c>
      <c r="K175" s="13" t="str">
        <f>_xll.BDH("AMGN US Equity","ARDR_FV_LIABS_REC_L1_OTHER","FQ4 2020","FQ4 2020","Currency=USD","Period=FQ","BEST_FPERIOD_OVERRIDE=FQ","FILING_STATUS=MR","SCALING_FORMAT=MLN","Sort=A","Dates=H","DateFormat=P","Fill=—","Direction=H","UseDPDF=Y")</f>
        <v>—</v>
      </c>
      <c r="L175" s="13">
        <f>_xll.BDH("AMGN US Equity","ARDR_FV_LIABS_REC_L1_OTHER","FQ1 2021","FQ1 2021","Currency=USD","Period=FQ","BEST_FPERIOD_OVERRIDE=FQ","FILING_STATUS=MR","SCALING_FORMAT=MLN","Sort=A","Dates=H","DateFormat=P","Fill=—","Direction=H","UseDPDF=Y")</f>
        <v>0</v>
      </c>
      <c r="M175" s="13">
        <f>_xll.BDH("AMGN US Equity","ARDR_FV_LIABS_REC_L1_OTHER","FQ2 2021","FQ2 2021","Currency=USD","Period=FQ","BEST_FPERIOD_OVERRIDE=FQ","FILING_STATUS=MR","SCALING_FORMAT=MLN","Sort=A","Dates=H","DateFormat=P","Fill=—","Direction=H","UseDPDF=Y")</f>
        <v>0</v>
      </c>
      <c r="N175" s="13">
        <f>_xll.BDH("AMGN US Equity","ARDR_FV_LIABS_REC_L1_OTHER","FQ3 2021","FQ3 2021","Currency=USD","Period=FQ","BEST_FPERIOD_OVERRIDE=FQ","FILING_STATUS=MR","SCALING_FORMAT=MLN","Sort=A","Dates=H","DateFormat=P","Fill=—","Direction=H","UseDPDF=Y")</f>
        <v>0</v>
      </c>
      <c r="O175" s="13">
        <f>_xll.BDH("AMGN US Equity","ARDR_FV_LIABS_REC_L1_OTHER","FQ4 2021","FQ4 2021","Currency=USD","Period=FQ","BEST_FPERIOD_OVERRIDE=FQ","FILING_STATUS=MR","SCALING_FORMAT=MLN","Sort=A","Dates=H","DateFormat=P","Fill=—","Direction=H","UseDPDF=Y")</f>
        <v>0</v>
      </c>
      <c r="P175" s="13">
        <f>_xll.BDH("AMGN US Equity","ARDR_FV_LIABS_REC_L1_OTHER","FQ1 2022","FQ1 2022","Currency=USD","Period=FQ","BEST_FPERIOD_OVERRIDE=FQ","FILING_STATUS=MR","SCALING_FORMAT=MLN","Sort=A","Dates=H","DateFormat=P","Fill=—","Direction=H","UseDPDF=Y")</f>
        <v>0</v>
      </c>
      <c r="Q175" s="13">
        <f>_xll.BDH("AMGN US Equity","ARDR_FV_LIABS_REC_L1_OTHER","FQ2 2022","FQ2 2022","Currency=USD","Period=FQ","BEST_FPERIOD_OVERRIDE=FQ","FILING_STATUS=MR","SCALING_FORMAT=MLN","Sort=A","Dates=H","DateFormat=P","Fill=—","Direction=H","UseDPDF=Y")</f>
        <v>0</v>
      </c>
      <c r="R175" s="13">
        <f>_xll.BDH("AMGN US Equity","ARDR_FV_LIABS_REC_L1_OTHER","FQ3 2022","FQ3 2022","Currency=USD","Period=FQ","BEST_FPERIOD_OVERRIDE=FQ","FILING_STATUS=MR","SCALING_FORMAT=MLN","Sort=A","Dates=H","DateFormat=P","Fill=—","Direction=H","UseDPDF=Y")</f>
        <v>0</v>
      </c>
      <c r="S175" s="13">
        <f>_xll.BDH("AMGN US Equity","ARDR_FV_LIABS_REC_L1_OTHER","FQ4 2022","FQ4 2022","Currency=USD","Period=FQ","BEST_FPERIOD_OVERRIDE=FQ","FILING_STATUS=MR","SCALING_FORMAT=MLN","Sort=A","Dates=H","DateFormat=P","Fill=—","Direction=H","UseDPDF=Y")</f>
        <v>0</v>
      </c>
      <c r="T175" s="13">
        <f>_xll.BDH("AMGN US Equity","ARDR_FV_LIABS_REC_L1_OTHER","FQ1 2023","FQ1 2023","Currency=USD","Period=FQ","BEST_FPERIOD_OVERRIDE=FQ","FILING_STATUS=MR","SCALING_FORMAT=MLN","Sort=A","Dates=H","DateFormat=P","Fill=—","Direction=H","UseDPDF=Y")</f>
        <v>0</v>
      </c>
      <c r="U175" s="13">
        <f>_xll.BDH("AMGN US Equity","ARDR_FV_LIABS_REC_L1_OTHER","FQ2 2023","FQ2 2023","Currency=USD","Period=FQ","BEST_FPERIOD_OVERRIDE=FQ","FILING_STATUS=MR","SCALING_FORMAT=MLN","Sort=A","Dates=H","DateFormat=P","Fill=—","Direction=H","UseDPDF=Y")</f>
        <v>0</v>
      </c>
      <c r="V175" s="13">
        <f>_xll.BDH("AMGN US Equity","ARDR_FV_LIABS_REC_L1_OTHER","FQ3 2023","FQ3 2023","Currency=USD","Period=FQ","BEST_FPERIOD_OVERRIDE=FQ","FILING_STATUS=MR","SCALING_FORMAT=MLN","Sort=A","Dates=H","DateFormat=P","Fill=—","Direction=H","UseDPDF=Y")</f>
        <v>0</v>
      </c>
      <c r="W175" s="13">
        <f>_xll.BDH("AMGN US Equity","ARDR_FV_LIABS_REC_L1_OTHER","FQ4 2023","FQ4 2023","Currency=USD","Period=FQ","BEST_FPERIOD_OVERRIDE=FQ","FILING_STATUS=MR","SCALING_FORMAT=MLN","Sort=A","Dates=H","DateFormat=P","Fill=—","Direction=H","UseDPDF=Y")</f>
        <v>0</v>
      </c>
      <c r="X175" s="13">
        <f>_xll.BDH("AMGN US Equity","ARDR_FV_LIABS_REC_L1_OTHER","FQ1 2024","FQ1 2024","Currency=USD","Period=FQ","BEST_FPERIOD_OVERRIDE=FQ","FILING_STATUS=MR","SCALING_FORMAT=MLN","Sort=A","Dates=H","DateFormat=P","Fill=—","Direction=H","UseDPDF=Y")</f>
        <v>0</v>
      </c>
      <c r="Y175" s="13" t="str">
        <f>_xll.BDH("AMGN US Equity","ARDR_FV_LIABS_REC_L1_OTHER","FQ2 2024","FQ2 2024","Currency=USD","Period=FQ","BEST_FPERIOD_OVERRIDE=FQ","FILING_STATUS=MR","SCALING_FORMAT=MLN","Sort=A","Dates=H","DateFormat=P","Fill=—","Direction=H","UseDPDF=Y")</f>
        <v>—</v>
      </c>
      <c r="Z175" s="13" t="str">
        <f>_xll.BDH("AMGN US Equity","ARDR_FV_LIABS_REC_L1_OTHER","FQ3 2024","FQ3 2024","Currency=USD","Period=FQ","BEST_FPERIOD_OVERRIDE=FQ","FILING_STATUS=MR","SCALING_FORMAT=MLN","Sort=A","Dates=H","DateFormat=P","Fill=—","Direction=H","UseDPDF=Y")</f>
        <v>—</v>
      </c>
      <c r="AA175" s="13">
        <f>_xll.BDH("AMGN US Equity","ARDR_FV_LIABS_REC_L1_OTHER","FQ4 2024","FQ4 2024","Currency=USD","Period=FQ","BEST_FPERIOD_OVERRIDE=FQ","FILING_STATUS=MR","SCALING_FORMAT=MLN","Sort=A","Dates=H","DateFormat=P","Fill=—","Direction=H","UseDPDF=Y")</f>
        <v>0</v>
      </c>
    </row>
    <row r="176" spans="1:27" x14ac:dyDescent="0.25">
      <c r="A176" s="10" t="s">
        <v>1166</v>
      </c>
      <c r="B176" s="10" t="s">
        <v>1167</v>
      </c>
      <c r="C176" s="13">
        <f>_xll.BDH("AMGN US Equity","ARDR_FV_LIABS_REC_L2_DERIVATIVES","FQ4 2018","FQ4 2018","Currency=USD","Period=FQ","BEST_FPERIOD_OVERRIDE=FQ","FILING_STATUS=MR","SCALING_FORMAT=MLN","Sort=A","Dates=H","DateFormat=P","Fill=—","Direction=H","UseDPDF=Y")</f>
        <v>576</v>
      </c>
      <c r="D176" s="13">
        <f>_xll.BDH("AMGN US Equity","ARDR_FV_LIABS_REC_L2_DERIVATIVES","FQ1 2019","FQ1 2019","Currency=USD","Period=FQ","BEST_FPERIOD_OVERRIDE=FQ","FILING_STATUS=MR","SCALING_FORMAT=MLN","Sort=A","Dates=H","DateFormat=P","Fill=—","Direction=H","UseDPDF=Y")</f>
        <v>491</v>
      </c>
      <c r="E176" s="13">
        <f>_xll.BDH("AMGN US Equity","ARDR_FV_LIABS_REC_L2_DERIVATIVES","FQ2 2019","FQ2 2019","Currency=USD","Period=FQ","BEST_FPERIOD_OVERRIDE=FQ","FILING_STATUS=MR","SCALING_FORMAT=MLN","Sort=A","Dates=H","DateFormat=P","Fill=—","Direction=H","UseDPDF=Y")</f>
        <v>530</v>
      </c>
      <c r="F176" s="13">
        <f>_xll.BDH("AMGN US Equity","ARDR_FV_LIABS_REC_L2_DERIVATIVES","FQ3 2019","FQ3 2019","Currency=USD","Period=FQ","BEST_FPERIOD_OVERRIDE=FQ","FILING_STATUS=MR","SCALING_FORMAT=MLN","Sort=A","Dates=H","DateFormat=P","Fill=—","Direction=H","UseDPDF=Y")</f>
        <v>484</v>
      </c>
      <c r="G176" s="13">
        <f>_xll.BDH("AMGN US Equity","ARDR_FV_LIABS_REC_L2_DERIVATIVES","FQ4 2019","FQ4 2019","Currency=USD","Period=FQ","BEST_FPERIOD_OVERRIDE=FQ","FILING_STATUS=MR","SCALING_FORMAT=MLN","Sort=A","Dates=H","DateFormat=P","Fill=—","Direction=H","UseDPDF=Y")</f>
        <v>346</v>
      </c>
      <c r="H176" s="13">
        <f>_xll.BDH("AMGN US Equity","ARDR_FV_LIABS_REC_L2_DERIVATIVES","FQ1 2020","FQ1 2020","Currency=USD","Period=FQ","BEST_FPERIOD_OVERRIDE=FQ","FILING_STATUS=MR","SCALING_FORMAT=MLN","Sort=A","Dates=H","DateFormat=P","Fill=—","Direction=H","UseDPDF=Y")</f>
        <v>685</v>
      </c>
      <c r="I176" s="13">
        <f>_xll.BDH("AMGN US Equity","ARDR_FV_LIABS_REC_L2_DERIVATIVES","FQ2 2020","FQ2 2020","Currency=USD","Period=FQ","BEST_FPERIOD_OVERRIDE=FQ","FILING_STATUS=MR","SCALING_FORMAT=MLN","Sort=A","Dates=H","DateFormat=P","Fill=—","Direction=H","UseDPDF=Y")</f>
        <v>632</v>
      </c>
      <c r="J176" s="13">
        <f>_xll.BDH("AMGN US Equity","ARDR_FV_LIABS_REC_L2_DERIVATIVES","FQ3 2020","FQ3 2020","Currency=USD","Period=FQ","BEST_FPERIOD_OVERRIDE=FQ","FILING_STATUS=MR","SCALING_FORMAT=MLN","Sort=A","Dates=H","DateFormat=P","Fill=—","Direction=H","UseDPDF=Y")</f>
        <v>573</v>
      </c>
      <c r="K176" s="13">
        <f>_xll.BDH("AMGN US Equity","ARDR_FV_LIABS_REC_L2_DERIVATIVES","FQ4 2020","FQ4 2020","Currency=USD","Period=FQ","BEST_FPERIOD_OVERRIDE=FQ","FILING_STATUS=MR","SCALING_FORMAT=MLN","Sort=A","Dates=H","DateFormat=P","Fill=—","Direction=H","UseDPDF=Y")</f>
        <v>570</v>
      </c>
      <c r="L176" s="13">
        <f>_xll.BDH("AMGN US Equity","ARDR_FV_LIABS_REC_L2_DERIVATIVES","FQ1 2021","FQ1 2021","Currency=USD","Period=FQ","BEST_FPERIOD_OVERRIDE=FQ","FILING_STATUS=MR","SCALING_FORMAT=MLN","Sort=A","Dates=H","DateFormat=P","Fill=—","Direction=H","UseDPDF=Y")</f>
        <v>532</v>
      </c>
      <c r="M176" s="13">
        <f>_xll.BDH("AMGN US Equity","ARDR_FV_LIABS_REC_L2_DERIVATIVES","FQ2 2021","FQ2 2021","Currency=USD","Period=FQ","BEST_FPERIOD_OVERRIDE=FQ","FILING_STATUS=MR","SCALING_FORMAT=MLN","Sort=A","Dates=H","DateFormat=P","Fill=—","Direction=H","UseDPDF=Y")</f>
        <v>514</v>
      </c>
      <c r="N176" s="13">
        <f>_xll.BDH("AMGN US Equity","ARDR_FV_LIABS_REC_L2_DERIVATIVES","FQ3 2021","FQ3 2021","Currency=USD","Period=FQ","BEST_FPERIOD_OVERRIDE=FQ","FILING_STATUS=MR","SCALING_FORMAT=MLN","Sort=A","Dates=H","DateFormat=P","Fill=—","Direction=H","UseDPDF=Y")</f>
        <v>519</v>
      </c>
      <c r="O176" s="13">
        <f>_xll.BDH("AMGN US Equity","ARDR_FV_LIABS_REC_L2_DERIVATIVES","FQ4 2021","FQ4 2021","Currency=USD","Period=FQ","BEST_FPERIOD_OVERRIDE=FQ","FILING_STATUS=MR","SCALING_FORMAT=MLN","Sort=A","Dates=H","DateFormat=P","Fill=—","Direction=H","UseDPDF=Y")</f>
        <v>534</v>
      </c>
      <c r="P176" s="13">
        <f>_xll.BDH("AMGN US Equity","ARDR_FV_LIABS_REC_L2_DERIVATIVES","FQ1 2022","FQ1 2022","Currency=USD","Period=FQ","BEST_FPERIOD_OVERRIDE=FQ","FILING_STATUS=MR","SCALING_FORMAT=MLN","Sort=A","Dates=H","DateFormat=P","Fill=—","Direction=H","UseDPDF=Y")</f>
        <v>865</v>
      </c>
      <c r="Q176" s="13">
        <f>_xll.BDH("AMGN US Equity","ARDR_FV_LIABS_REC_L2_DERIVATIVES","FQ2 2022","FQ2 2022","Currency=USD","Period=FQ","BEST_FPERIOD_OVERRIDE=FQ","FILING_STATUS=MR","SCALING_FORMAT=MLN","Sort=A","Dates=H","DateFormat=P","Fill=—","Direction=H","UseDPDF=Y")</f>
        <v>1124</v>
      </c>
      <c r="R176" s="13">
        <f>_xll.BDH("AMGN US Equity","ARDR_FV_LIABS_REC_L2_DERIVATIVES","FQ3 2022","FQ3 2022","Currency=USD","Period=FQ","BEST_FPERIOD_OVERRIDE=FQ","FILING_STATUS=MR","SCALING_FORMAT=MLN","Sort=A","Dates=H","DateFormat=P","Fill=—","Direction=H","UseDPDF=Y")</f>
        <v>1586</v>
      </c>
      <c r="S176" s="13">
        <f>_xll.BDH("AMGN US Equity","ARDR_FV_LIABS_REC_L2_DERIVATIVES","FQ4 2022","FQ4 2022","Currency=USD","Period=FQ","BEST_FPERIOD_OVERRIDE=FQ","FILING_STATUS=MR","SCALING_FORMAT=MLN","Sort=A","Dates=H","DateFormat=P","Fill=—","Direction=H","UseDPDF=Y")</f>
        <v>1398</v>
      </c>
      <c r="T176" s="13">
        <f>_xll.BDH("AMGN US Equity","ARDR_FV_LIABS_REC_L2_DERIVATIVES","FQ1 2023","FQ1 2023","Currency=USD","Period=FQ","BEST_FPERIOD_OVERRIDE=FQ","FILING_STATUS=MR","SCALING_FORMAT=MLN","Sort=A","Dates=H","DateFormat=P","Fill=—","Direction=H","UseDPDF=Y")</f>
        <v>1252</v>
      </c>
      <c r="U176" s="13">
        <f>_xll.BDH("AMGN US Equity","ARDR_FV_LIABS_REC_L2_DERIVATIVES","FQ2 2023","FQ2 2023","Currency=USD","Period=FQ","BEST_FPERIOD_OVERRIDE=FQ","FILING_STATUS=MR","SCALING_FORMAT=MLN","Sort=A","Dates=H","DateFormat=P","Fill=—","Direction=H","UseDPDF=Y")</f>
        <v>1311</v>
      </c>
      <c r="V176" s="13">
        <f>_xll.BDH("AMGN US Equity","ARDR_FV_LIABS_REC_L2_DERIVATIVES","FQ3 2023","FQ3 2023","Currency=USD","Period=FQ","BEST_FPERIOD_OVERRIDE=FQ","FILING_STATUS=MR","SCALING_FORMAT=MLN","Sort=A","Dates=H","DateFormat=P","Fill=—","Direction=H","UseDPDF=Y")</f>
        <v>1314</v>
      </c>
      <c r="W176" s="13">
        <f>_xll.BDH("AMGN US Equity","ARDR_FV_LIABS_REC_L2_DERIVATIVES","FQ4 2023","FQ4 2023","Currency=USD","Period=FQ","BEST_FPERIOD_OVERRIDE=FQ","FILING_STATUS=MR","SCALING_FORMAT=MLN","Sort=A","Dates=H","DateFormat=P","Fill=—","Direction=H","UseDPDF=Y")</f>
        <v>1092</v>
      </c>
      <c r="X176" s="13">
        <f>_xll.BDH("AMGN US Equity","ARDR_FV_LIABS_REC_L2_DERIVATIVES","FQ1 2024","FQ1 2024","Currency=USD","Period=FQ","BEST_FPERIOD_OVERRIDE=FQ","FILING_STATUS=MR","SCALING_FORMAT=MLN","Sort=A","Dates=H","DateFormat=P","Fill=—","Direction=H","UseDPDF=Y")</f>
        <v>1072</v>
      </c>
      <c r="Y176" s="13">
        <f>_xll.BDH("AMGN US Equity","ARDR_FV_LIABS_REC_L2_DERIVATIVES","FQ2 2024","FQ2 2024","Currency=USD","Period=FQ","BEST_FPERIOD_OVERRIDE=FQ","FILING_STATUS=MR","SCALING_FORMAT=MLN","Sort=A","Dates=H","DateFormat=P","Fill=—","Direction=H","UseDPDF=Y")</f>
        <v>1027</v>
      </c>
      <c r="Z176" s="13">
        <f>_xll.BDH("AMGN US Equity","ARDR_FV_LIABS_REC_L2_DERIVATIVES","FQ3 2024","FQ3 2024","Currency=USD","Period=FQ","BEST_FPERIOD_OVERRIDE=FQ","FILING_STATUS=MR","SCALING_FORMAT=MLN","Sort=A","Dates=H","DateFormat=P","Fill=—","Direction=H","UseDPDF=Y")</f>
        <v>886</v>
      </c>
      <c r="AA176" s="13">
        <f>_xll.BDH("AMGN US Equity","ARDR_FV_LIABS_REC_L2_DERIVATIVES","FQ4 2024","FQ4 2024","Currency=USD","Period=FQ","BEST_FPERIOD_OVERRIDE=FQ","FILING_STATUS=MR","SCALING_FORMAT=MLN","Sort=A","Dates=H","DateFormat=P","Fill=—","Direction=H","UseDPDF=Y")</f>
        <v>1022</v>
      </c>
    </row>
    <row r="177" spans="1:27" x14ac:dyDescent="0.25">
      <c r="A177" s="10" t="s">
        <v>1168</v>
      </c>
      <c r="B177" s="10" t="s">
        <v>1169</v>
      </c>
      <c r="C177" s="13">
        <f>_xll.BDH("AMGN US Equity","ARDR_FV_LIABS_REC_L2_OTHER","FQ4 2018","FQ4 2018","Currency=USD","Period=FQ","BEST_FPERIOD_OVERRIDE=FQ","FILING_STATUS=MR","SCALING_FORMAT=MLN","Sort=A","Dates=H","DateFormat=P","Fill=—","Direction=H","UseDPDF=Y")</f>
        <v>0</v>
      </c>
      <c r="D177" s="13">
        <f>_xll.BDH("AMGN US Equity","ARDR_FV_LIABS_REC_L2_OTHER","FQ1 2019","FQ1 2019","Currency=USD","Period=FQ","BEST_FPERIOD_OVERRIDE=FQ","FILING_STATUS=MR","SCALING_FORMAT=MLN","Sort=A","Dates=H","DateFormat=P","Fill=—","Direction=H","UseDPDF=Y")</f>
        <v>0</v>
      </c>
      <c r="E177" s="13">
        <f>_xll.BDH("AMGN US Equity","ARDR_FV_LIABS_REC_L2_OTHER","FQ2 2019","FQ2 2019","Currency=USD","Period=FQ","BEST_FPERIOD_OVERRIDE=FQ","FILING_STATUS=MR","SCALING_FORMAT=MLN","Sort=A","Dates=H","DateFormat=P","Fill=—","Direction=H","UseDPDF=Y")</f>
        <v>0</v>
      </c>
      <c r="F177" s="13">
        <f>_xll.BDH("AMGN US Equity","ARDR_FV_LIABS_REC_L2_OTHER","FQ3 2019","FQ3 2019","Currency=USD","Period=FQ","BEST_FPERIOD_OVERRIDE=FQ","FILING_STATUS=MR","SCALING_FORMAT=MLN","Sort=A","Dates=H","DateFormat=P","Fill=—","Direction=H","UseDPDF=Y")</f>
        <v>0</v>
      </c>
      <c r="G177" s="13">
        <f>_xll.BDH("AMGN US Equity","ARDR_FV_LIABS_REC_L2_OTHER","FQ4 2019","FQ4 2019","Currency=USD","Period=FQ","BEST_FPERIOD_OVERRIDE=FQ","FILING_STATUS=MR","SCALING_FORMAT=MLN","Sort=A","Dates=H","DateFormat=P","Fill=—","Direction=H","UseDPDF=Y")</f>
        <v>0</v>
      </c>
      <c r="H177" s="13">
        <f>_xll.BDH("AMGN US Equity","ARDR_FV_LIABS_REC_L2_OTHER","FQ1 2020","FQ1 2020","Currency=USD","Period=FQ","BEST_FPERIOD_OVERRIDE=FQ","FILING_STATUS=MR","SCALING_FORMAT=MLN","Sort=A","Dates=H","DateFormat=P","Fill=—","Direction=H","UseDPDF=Y")</f>
        <v>0</v>
      </c>
      <c r="I177" s="13">
        <f>_xll.BDH("AMGN US Equity","ARDR_FV_LIABS_REC_L2_OTHER","FQ2 2020","FQ2 2020","Currency=USD","Period=FQ","BEST_FPERIOD_OVERRIDE=FQ","FILING_STATUS=MR","SCALING_FORMAT=MLN","Sort=A","Dates=H","DateFormat=P","Fill=—","Direction=H","UseDPDF=Y")</f>
        <v>0</v>
      </c>
      <c r="J177" s="13">
        <f>_xll.BDH("AMGN US Equity","ARDR_FV_LIABS_REC_L2_OTHER","FQ3 2020","FQ3 2020","Currency=USD","Period=FQ","BEST_FPERIOD_OVERRIDE=FQ","FILING_STATUS=MR","SCALING_FORMAT=MLN","Sort=A","Dates=H","DateFormat=P","Fill=—","Direction=H","UseDPDF=Y")</f>
        <v>0</v>
      </c>
      <c r="K177" s="13">
        <f>_xll.BDH("AMGN US Equity","ARDR_FV_LIABS_REC_L2_OTHER","FQ4 2020","FQ4 2020","Currency=USD","Period=FQ","BEST_FPERIOD_OVERRIDE=FQ","FILING_STATUS=MR","SCALING_FORMAT=MLN","Sort=A","Dates=H","DateFormat=P","Fill=—","Direction=H","UseDPDF=Y")</f>
        <v>0</v>
      </c>
      <c r="L177" s="13">
        <f>_xll.BDH("AMGN US Equity","ARDR_FV_LIABS_REC_L2_OTHER","FQ1 2021","FQ1 2021","Currency=USD","Period=FQ","BEST_FPERIOD_OVERRIDE=FQ","FILING_STATUS=MR","SCALING_FORMAT=MLN","Sort=A","Dates=H","DateFormat=P","Fill=—","Direction=H","UseDPDF=Y")</f>
        <v>0</v>
      </c>
      <c r="M177" s="13">
        <f>_xll.BDH("AMGN US Equity","ARDR_FV_LIABS_REC_L2_OTHER","FQ2 2021","FQ2 2021","Currency=USD","Period=FQ","BEST_FPERIOD_OVERRIDE=FQ","FILING_STATUS=MR","SCALING_FORMAT=MLN","Sort=A","Dates=H","DateFormat=P","Fill=—","Direction=H","UseDPDF=Y")</f>
        <v>0</v>
      </c>
      <c r="N177" s="13">
        <f>_xll.BDH("AMGN US Equity","ARDR_FV_LIABS_REC_L2_OTHER","FQ3 2021","FQ3 2021","Currency=USD","Period=FQ","BEST_FPERIOD_OVERRIDE=FQ","FILING_STATUS=MR","SCALING_FORMAT=MLN","Sort=A","Dates=H","DateFormat=P","Fill=—","Direction=H","UseDPDF=Y")</f>
        <v>0</v>
      </c>
      <c r="O177" s="13" t="str">
        <f>_xll.BDH("AMGN US Equity","ARDR_FV_LIABS_REC_L2_OTHER","FQ4 2021","FQ4 2021","Currency=USD","Period=FQ","BEST_FPERIOD_OVERRIDE=FQ","FILING_STATUS=MR","SCALING_FORMAT=MLN","Sort=A","Dates=H","DateFormat=P","Fill=—","Direction=H","UseDPDF=Y")</f>
        <v>—</v>
      </c>
      <c r="P177" s="13">
        <f>_xll.BDH("AMGN US Equity","ARDR_FV_LIABS_REC_L2_OTHER","FQ1 2022","FQ1 2022","Currency=USD","Period=FQ","BEST_FPERIOD_OVERRIDE=FQ","FILING_STATUS=MR","SCALING_FORMAT=MLN","Sort=A","Dates=H","DateFormat=P","Fill=—","Direction=H","UseDPDF=Y")</f>
        <v>0</v>
      </c>
      <c r="Q177" s="13">
        <f>_xll.BDH("AMGN US Equity","ARDR_FV_LIABS_REC_L2_OTHER","FQ2 2022","FQ2 2022","Currency=USD","Period=FQ","BEST_FPERIOD_OVERRIDE=FQ","FILING_STATUS=MR","SCALING_FORMAT=MLN","Sort=A","Dates=H","DateFormat=P","Fill=—","Direction=H","UseDPDF=Y")</f>
        <v>0</v>
      </c>
      <c r="R177" s="13">
        <f>_xll.BDH("AMGN US Equity","ARDR_FV_LIABS_REC_L2_OTHER","FQ3 2022","FQ3 2022","Currency=USD","Period=FQ","BEST_FPERIOD_OVERRIDE=FQ","FILING_STATUS=MR","SCALING_FORMAT=MLN","Sort=A","Dates=H","DateFormat=P","Fill=—","Direction=H","UseDPDF=Y")</f>
        <v>0</v>
      </c>
      <c r="S177" s="13">
        <f>_xll.BDH("AMGN US Equity","ARDR_FV_LIABS_REC_L2_OTHER","FQ4 2022","FQ4 2022","Currency=USD","Period=FQ","BEST_FPERIOD_OVERRIDE=FQ","FILING_STATUS=MR","SCALING_FORMAT=MLN","Sort=A","Dates=H","DateFormat=P","Fill=—","Direction=H","UseDPDF=Y")</f>
        <v>0</v>
      </c>
      <c r="T177" s="13">
        <f>_xll.BDH("AMGN US Equity","ARDR_FV_LIABS_REC_L2_OTHER","FQ1 2023","FQ1 2023","Currency=USD","Period=FQ","BEST_FPERIOD_OVERRIDE=FQ","FILING_STATUS=MR","SCALING_FORMAT=MLN","Sort=A","Dates=H","DateFormat=P","Fill=—","Direction=H","UseDPDF=Y")</f>
        <v>0</v>
      </c>
      <c r="U177" s="13">
        <f>_xll.BDH("AMGN US Equity","ARDR_FV_LIABS_REC_L2_OTHER","FQ2 2023","FQ2 2023","Currency=USD","Period=FQ","BEST_FPERIOD_OVERRIDE=FQ","FILING_STATUS=MR","SCALING_FORMAT=MLN","Sort=A","Dates=H","DateFormat=P","Fill=—","Direction=H","UseDPDF=Y")</f>
        <v>0</v>
      </c>
      <c r="V177" s="13">
        <f>_xll.BDH("AMGN US Equity","ARDR_FV_LIABS_REC_L2_OTHER","FQ3 2023","FQ3 2023","Currency=USD","Period=FQ","BEST_FPERIOD_OVERRIDE=FQ","FILING_STATUS=MR","SCALING_FORMAT=MLN","Sort=A","Dates=H","DateFormat=P","Fill=—","Direction=H","UseDPDF=Y")</f>
        <v>0</v>
      </c>
      <c r="W177" s="13">
        <f>_xll.BDH("AMGN US Equity","ARDR_FV_LIABS_REC_L2_OTHER","FQ4 2023","FQ4 2023","Currency=USD","Period=FQ","BEST_FPERIOD_OVERRIDE=FQ","FILING_STATUS=MR","SCALING_FORMAT=MLN","Sort=A","Dates=H","DateFormat=P","Fill=—","Direction=H","UseDPDF=Y")</f>
        <v>0</v>
      </c>
      <c r="X177" s="13">
        <f>_xll.BDH("AMGN US Equity","ARDR_FV_LIABS_REC_L2_OTHER","FQ1 2024","FQ1 2024","Currency=USD","Period=FQ","BEST_FPERIOD_OVERRIDE=FQ","FILING_STATUS=MR","SCALING_FORMAT=MLN","Sort=A","Dates=H","DateFormat=P","Fill=—","Direction=H","UseDPDF=Y")</f>
        <v>0</v>
      </c>
      <c r="Y177" s="13" t="str">
        <f>_xll.BDH("AMGN US Equity","ARDR_FV_LIABS_REC_L2_OTHER","FQ2 2024","FQ2 2024","Currency=USD","Period=FQ","BEST_FPERIOD_OVERRIDE=FQ","FILING_STATUS=MR","SCALING_FORMAT=MLN","Sort=A","Dates=H","DateFormat=P","Fill=—","Direction=H","UseDPDF=Y")</f>
        <v>—</v>
      </c>
      <c r="Z177" s="13" t="str">
        <f>_xll.BDH("AMGN US Equity","ARDR_FV_LIABS_REC_L2_OTHER","FQ3 2024","FQ3 2024","Currency=USD","Period=FQ","BEST_FPERIOD_OVERRIDE=FQ","FILING_STATUS=MR","SCALING_FORMAT=MLN","Sort=A","Dates=H","DateFormat=P","Fill=—","Direction=H","UseDPDF=Y")</f>
        <v>—</v>
      </c>
      <c r="AA177" s="13">
        <f>_xll.BDH("AMGN US Equity","ARDR_FV_LIABS_REC_L2_OTHER","FQ4 2024","FQ4 2024","Currency=USD","Period=FQ","BEST_FPERIOD_OVERRIDE=FQ","FILING_STATUS=MR","SCALING_FORMAT=MLN","Sort=A","Dates=H","DateFormat=P","Fill=—","Direction=H","UseDPDF=Y")</f>
        <v>0</v>
      </c>
    </row>
    <row r="178" spans="1:27" x14ac:dyDescent="0.25">
      <c r="A178" s="10" t="s">
        <v>1170</v>
      </c>
      <c r="B178" s="10" t="s">
        <v>1171</v>
      </c>
      <c r="C178" s="13">
        <f>_xll.BDH("AMGN US Equity","ARDR_FV_LIABS_REC_L3_DERIVATIVES","FQ4 2018","FQ4 2018","Currency=USD","Period=FQ","BEST_FPERIOD_OVERRIDE=FQ","FILING_STATUS=MR","SCALING_FORMAT=MLN","Sort=A","Dates=H","DateFormat=P","Fill=—","Direction=H","UseDPDF=Y")</f>
        <v>0</v>
      </c>
      <c r="D178" s="13">
        <f>_xll.BDH("AMGN US Equity","ARDR_FV_LIABS_REC_L3_DERIVATIVES","FQ1 2019","FQ1 2019","Currency=USD","Period=FQ","BEST_FPERIOD_OVERRIDE=FQ","FILING_STATUS=MR","SCALING_FORMAT=MLN","Sort=A","Dates=H","DateFormat=P","Fill=—","Direction=H","UseDPDF=Y")</f>
        <v>0</v>
      </c>
      <c r="E178" s="13">
        <f>_xll.BDH("AMGN US Equity","ARDR_FV_LIABS_REC_L3_DERIVATIVES","FQ2 2019","FQ2 2019","Currency=USD","Period=FQ","BEST_FPERIOD_OVERRIDE=FQ","FILING_STATUS=MR","SCALING_FORMAT=MLN","Sort=A","Dates=H","DateFormat=P","Fill=—","Direction=H","UseDPDF=Y")</f>
        <v>0</v>
      </c>
      <c r="F178" s="13">
        <f>_xll.BDH("AMGN US Equity","ARDR_FV_LIABS_REC_L3_DERIVATIVES","FQ3 2019","FQ3 2019","Currency=USD","Period=FQ","BEST_FPERIOD_OVERRIDE=FQ","FILING_STATUS=MR","SCALING_FORMAT=MLN","Sort=A","Dates=H","DateFormat=P","Fill=—","Direction=H","UseDPDF=Y")</f>
        <v>0</v>
      </c>
      <c r="G178" s="13">
        <f>_xll.BDH("AMGN US Equity","ARDR_FV_LIABS_REC_L3_DERIVATIVES","FQ4 2019","FQ4 2019","Currency=USD","Period=FQ","BEST_FPERIOD_OVERRIDE=FQ","FILING_STATUS=MR","SCALING_FORMAT=MLN","Sort=A","Dates=H","DateFormat=P","Fill=—","Direction=H","UseDPDF=Y")</f>
        <v>0</v>
      </c>
      <c r="H178" s="13">
        <f>_xll.BDH("AMGN US Equity","ARDR_FV_LIABS_REC_L3_DERIVATIVES","FQ1 2020","FQ1 2020","Currency=USD","Period=FQ","BEST_FPERIOD_OVERRIDE=FQ","FILING_STATUS=MR","SCALING_FORMAT=MLN","Sort=A","Dates=H","DateFormat=P","Fill=—","Direction=H","UseDPDF=Y")</f>
        <v>0</v>
      </c>
      <c r="I178" s="13">
        <f>_xll.BDH("AMGN US Equity","ARDR_FV_LIABS_REC_L3_DERIVATIVES","FQ2 2020","FQ2 2020","Currency=USD","Period=FQ","BEST_FPERIOD_OVERRIDE=FQ","FILING_STATUS=MR","SCALING_FORMAT=MLN","Sort=A","Dates=H","DateFormat=P","Fill=—","Direction=H","UseDPDF=Y")</f>
        <v>0</v>
      </c>
      <c r="J178" s="13">
        <f>_xll.BDH("AMGN US Equity","ARDR_FV_LIABS_REC_L3_DERIVATIVES","FQ3 2020","FQ3 2020","Currency=USD","Period=FQ","BEST_FPERIOD_OVERRIDE=FQ","FILING_STATUS=MR","SCALING_FORMAT=MLN","Sort=A","Dates=H","DateFormat=P","Fill=—","Direction=H","UseDPDF=Y")</f>
        <v>0</v>
      </c>
      <c r="K178" s="13">
        <f>_xll.BDH("AMGN US Equity","ARDR_FV_LIABS_REC_L3_DERIVATIVES","FQ4 2020","FQ4 2020","Currency=USD","Period=FQ","BEST_FPERIOD_OVERRIDE=FQ","FILING_STATUS=MR","SCALING_FORMAT=MLN","Sort=A","Dates=H","DateFormat=P","Fill=—","Direction=H","UseDPDF=Y")</f>
        <v>0</v>
      </c>
      <c r="L178" s="13">
        <f>_xll.BDH("AMGN US Equity","ARDR_FV_LIABS_REC_L3_DERIVATIVES","FQ1 2021","FQ1 2021","Currency=USD","Period=FQ","BEST_FPERIOD_OVERRIDE=FQ","FILING_STATUS=MR","SCALING_FORMAT=MLN","Sort=A","Dates=H","DateFormat=P","Fill=—","Direction=H","UseDPDF=Y")</f>
        <v>0</v>
      </c>
      <c r="M178" s="13">
        <f>_xll.BDH("AMGN US Equity","ARDR_FV_LIABS_REC_L3_DERIVATIVES","FQ2 2021","FQ2 2021","Currency=USD","Period=FQ","BEST_FPERIOD_OVERRIDE=FQ","FILING_STATUS=MR","SCALING_FORMAT=MLN","Sort=A","Dates=H","DateFormat=P","Fill=—","Direction=H","UseDPDF=Y")</f>
        <v>0</v>
      </c>
      <c r="N178" s="13">
        <f>_xll.BDH("AMGN US Equity","ARDR_FV_LIABS_REC_L3_DERIVATIVES","FQ3 2021","FQ3 2021","Currency=USD","Period=FQ","BEST_FPERIOD_OVERRIDE=FQ","FILING_STATUS=MR","SCALING_FORMAT=MLN","Sort=A","Dates=H","DateFormat=P","Fill=—","Direction=H","UseDPDF=Y")</f>
        <v>0</v>
      </c>
      <c r="O178" s="13">
        <f>_xll.BDH("AMGN US Equity","ARDR_FV_LIABS_REC_L3_DERIVATIVES","FQ4 2021","FQ4 2021","Currency=USD","Period=FQ","BEST_FPERIOD_OVERRIDE=FQ","FILING_STATUS=MR","SCALING_FORMAT=MLN","Sort=A","Dates=H","DateFormat=P","Fill=—","Direction=H","UseDPDF=Y")</f>
        <v>0</v>
      </c>
      <c r="P178" s="13">
        <f>_xll.BDH("AMGN US Equity","ARDR_FV_LIABS_REC_L3_DERIVATIVES","FQ1 2022","FQ1 2022","Currency=USD","Period=FQ","BEST_FPERIOD_OVERRIDE=FQ","FILING_STATUS=MR","SCALING_FORMAT=MLN","Sort=A","Dates=H","DateFormat=P","Fill=—","Direction=H","UseDPDF=Y")</f>
        <v>0</v>
      </c>
      <c r="Q178" s="13">
        <f>_xll.BDH("AMGN US Equity","ARDR_FV_LIABS_REC_L3_DERIVATIVES","FQ2 2022","FQ2 2022","Currency=USD","Period=FQ","BEST_FPERIOD_OVERRIDE=FQ","FILING_STATUS=MR","SCALING_FORMAT=MLN","Sort=A","Dates=H","DateFormat=P","Fill=—","Direction=H","UseDPDF=Y")</f>
        <v>0</v>
      </c>
      <c r="R178" s="13">
        <f>_xll.BDH("AMGN US Equity","ARDR_FV_LIABS_REC_L3_DERIVATIVES","FQ3 2022","FQ3 2022","Currency=USD","Period=FQ","BEST_FPERIOD_OVERRIDE=FQ","FILING_STATUS=MR","SCALING_FORMAT=MLN","Sort=A","Dates=H","DateFormat=P","Fill=—","Direction=H","UseDPDF=Y")</f>
        <v>0</v>
      </c>
      <c r="S178" s="13">
        <f>_xll.BDH("AMGN US Equity","ARDR_FV_LIABS_REC_L3_DERIVATIVES","FQ4 2022","FQ4 2022","Currency=USD","Period=FQ","BEST_FPERIOD_OVERRIDE=FQ","FILING_STATUS=MR","SCALING_FORMAT=MLN","Sort=A","Dates=H","DateFormat=P","Fill=—","Direction=H","UseDPDF=Y")</f>
        <v>0</v>
      </c>
      <c r="T178" s="13">
        <f>_xll.BDH("AMGN US Equity","ARDR_FV_LIABS_REC_L3_DERIVATIVES","FQ1 2023","FQ1 2023","Currency=USD","Period=FQ","BEST_FPERIOD_OVERRIDE=FQ","FILING_STATUS=MR","SCALING_FORMAT=MLN","Sort=A","Dates=H","DateFormat=P","Fill=—","Direction=H","UseDPDF=Y")</f>
        <v>0</v>
      </c>
      <c r="U178" s="13">
        <f>_xll.BDH("AMGN US Equity","ARDR_FV_LIABS_REC_L3_DERIVATIVES","FQ2 2023","FQ2 2023","Currency=USD","Period=FQ","BEST_FPERIOD_OVERRIDE=FQ","FILING_STATUS=MR","SCALING_FORMAT=MLN","Sort=A","Dates=H","DateFormat=P","Fill=—","Direction=H","UseDPDF=Y")</f>
        <v>0</v>
      </c>
      <c r="V178" s="13">
        <f>_xll.BDH("AMGN US Equity","ARDR_FV_LIABS_REC_L3_DERIVATIVES","FQ3 2023","FQ3 2023","Currency=USD","Period=FQ","BEST_FPERIOD_OVERRIDE=FQ","FILING_STATUS=MR","SCALING_FORMAT=MLN","Sort=A","Dates=H","DateFormat=P","Fill=—","Direction=H","UseDPDF=Y")</f>
        <v>0</v>
      </c>
      <c r="W178" s="13">
        <f>_xll.BDH("AMGN US Equity","ARDR_FV_LIABS_REC_L3_DERIVATIVES","FQ4 2023","FQ4 2023","Currency=USD","Period=FQ","BEST_FPERIOD_OVERRIDE=FQ","FILING_STATUS=MR","SCALING_FORMAT=MLN","Sort=A","Dates=H","DateFormat=P","Fill=—","Direction=H","UseDPDF=Y")</f>
        <v>0</v>
      </c>
      <c r="X178" s="13">
        <f>_xll.BDH("AMGN US Equity","ARDR_FV_LIABS_REC_L3_DERIVATIVES","FQ1 2024","FQ1 2024","Currency=USD","Period=FQ","BEST_FPERIOD_OVERRIDE=FQ","FILING_STATUS=MR","SCALING_FORMAT=MLN","Sort=A","Dates=H","DateFormat=P","Fill=—","Direction=H","UseDPDF=Y")</f>
        <v>0</v>
      </c>
      <c r="Y178" s="13">
        <f>_xll.BDH("AMGN US Equity","ARDR_FV_LIABS_REC_L3_DERIVATIVES","FQ2 2024","FQ2 2024","Currency=USD","Period=FQ","BEST_FPERIOD_OVERRIDE=FQ","FILING_STATUS=MR","SCALING_FORMAT=MLN","Sort=A","Dates=H","DateFormat=P","Fill=—","Direction=H","UseDPDF=Y")</f>
        <v>107</v>
      </c>
      <c r="Z178" s="13">
        <f>_xll.BDH("AMGN US Equity","ARDR_FV_LIABS_REC_L3_DERIVATIVES","FQ3 2024","FQ3 2024","Currency=USD","Period=FQ","BEST_FPERIOD_OVERRIDE=FQ","FILING_STATUS=MR","SCALING_FORMAT=MLN","Sort=A","Dates=H","DateFormat=P","Fill=—","Direction=H","UseDPDF=Y")</f>
        <v>112</v>
      </c>
      <c r="AA178" s="13">
        <f>_xll.BDH("AMGN US Equity","ARDR_FV_LIABS_REC_L3_DERIVATIVES","FQ4 2024","FQ4 2024","Currency=USD","Period=FQ","BEST_FPERIOD_OVERRIDE=FQ","FILING_STATUS=MR","SCALING_FORMAT=MLN","Sort=A","Dates=H","DateFormat=P","Fill=—","Direction=H","UseDPDF=Y")</f>
        <v>0</v>
      </c>
    </row>
    <row r="179" spans="1:27" x14ac:dyDescent="0.25">
      <c r="A179" s="10" t="s">
        <v>1172</v>
      </c>
      <c r="B179" s="10" t="s">
        <v>1173</v>
      </c>
      <c r="C179" s="13">
        <f>_xll.BDH("AMGN US Equity","ARDR_FV_LIABS_REC_L3_OTHER","FQ4 2018","FQ4 2018","Currency=USD","Period=FQ","BEST_FPERIOD_OVERRIDE=FQ","FILING_STATUS=MR","SCALING_FORMAT=MLN","Sort=A","Dates=H","DateFormat=P","Fill=—","Direction=H","UseDPDF=Y")</f>
        <v>72</v>
      </c>
      <c r="D179" s="13">
        <f>_xll.BDH("AMGN US Equity","ARDR_FV_LIABS_REC_L3_OTHER","FQ1 2019","FQ1 2019","Currency=USD","Period=FQ","BEST_FPERIOD_OVERRIDE=FQ","FILING_STATUS=MR","SCALING_FORMAT=MLN","Sort=A","Dates=H","DateFormat=P","Fill=—","Direction=H","UseDPDF=Y")</f>
        <v>66</v>
      </c>
      <c r="E179" s="13">
        <f>_xll.BDH("AMGN US Equity","ARDR_FV_LIABS_REC_L3_OTHER","FQ2 2019","FQ2 2019","Currency=USD","Period=FQ","BEST_FPERIOD_OVERRIDE=FQ","FILING_STATUS=MR","SCALING_FORMAT=MLN","Sort=A","Dates=H","DateFormat=P","Fill=—","Direction=H","UseDPDF=Y")</f>
        <v>63</v>
      </c>
      <c r="F179" s="13">
        <f>_xll.BDH("AMGN US Equity","ARDR_FV_LIABS_REC_L3_OTHER","FQ3 2019","FQ3 2019","Currency=USD","Period=FQ","BEST_FPERIOD_OVERRIDE=FQ","FILING_STATUS=MR","SCALING_FORMAT=MLN","Sort=A","Dates=H","DateFormat=P","Fill=—","Direction=H","UseDPDF=Y")</f>
        <v>62</v>
      </c>
      <c r="G179" s="13">
        <f>_xll.BDH("AMGN US Equity","ARDR_FV_LIABS_REC_L3_OTHER","FQ4 2019","FQ4 2019","Currency=USD","Period=FQ","BEST_FPERIOD_OVERRIDE=FQ","FILING_STATUS=MR","SCALING_FORMAT=MLN","Sort=A","Dates=H","DateFormat=P","Fill=—","Direction=H","UseDPDF=Y")</f>
        <v>61</v>
      </c>
      <c r="H179" s="13">
        <f>_xll.BDH("AMGN US Equity","ARDR_FV_LIABS_REC_L3_OTHER","FQ1 2020","FQ1 2020","Currency=USD","Period=FQ","BEST_FPERIOD_OVERRIDE=FQ","FILING_STATUS=MR","SCALING_FORMAT=MLN","Sort=A","Dates=H","DateFormat=P","Fill=—","Direction=H","UseDPDF=Y")</f>
        <v>60</v>
      </c>
      <c r="I179" s="13">
        <f>_xll.BDH("AMGN US Equity","ARDR_FV_LIABS_REC_L3_OTHER","FQ2 2020","FQ2 2020","Currency=USD","Period=FQ","BEST_FPERIOD_OVERRIDE=FQ","FILING_STATUS=MR","SCALING_FORMAT=MLN","Sort=A","Dates=H","DateFormat=P","Fill=—","Direction=H","UseDPDF=Y")</f>
        <v>55</v>
      </c>
      <c r="J179" s="13">
        <f>_xll.BDH("AMGN US Equity","ARDR_FV_LIABS_REC_L3_OTHER","FQ3 2020","FQ3 2020","Currency=USD","Period=FQ","BEST_FPERIOD_OVERRIDE=FQ","FILING_STATUS=MR","SCALING_FORMAT=MLN","Sort=A","Dates=H","DateFormat=P","Fill=—","Direction=H","UseDPDF=Y")</f>
        <v>54</v>
      </c>
      <c r="K179" s="13">
        <f>_xll.BDH("AMGN US Equity","ARDR_FV_LIABS_REC_L3_OTHER","FQ4 2020","FQ4 2020","Currency=USD","Period=FQ","BEST_FPERIOD_OVERRIDE=FQ","FILING_STATUS=MR","SCALING_FORMAT=MLN","Sort=A","Dates=H","DateFormat=P","Fill=—","Direction=H","UseDPDF=Y")</f>
        <v>33</v>
      </c>
      <c r="L179" s="13">
        <f>_xll.BDH("AMGN US Equity","ARDR_FV_LIABS_REC_L3_OTHER","FQ1 2021","FQ1 2021","Currency=USD","Period=FQ","BEST_FPERIOD_OVERRIDE=FQ","FILING_STATUS=MR","SCALING_FORMAT=MLN","Sort=A","Dates=H","DateFormat=P","Fill=—","Direction=H","UseDPDF=Y")</f>
        <v>39</v>
      </c>
      <c r="M179" s="13">
        <f>_xll.BDH("AMGN US Equity","ARDR_FV_LIABS_REC_L3_OTHER","FQ2 2021","FQ2 2021","Currency=USD","Period=FQ","BEST_FPERIOD_OVERRIDE=FQ","FILING_STATUS=MR","SCALING_FORMAT=MLN","Sort=A","Dates=H","DateFormat=P","Fill=—","Direction=H","UseDPDF=Y")</f>
        <v>48</v>
      </c>
      <c r="N179" s="13">
        <f>_xll.BDH("AMGN US Equity","ARDR_FV_LIABS_REC_L3_OTHER","FQ3 2021","FQ3 2021","Currency=USD","Period=FQ","BEST_FPERIOD_OVERRIDE=FQ","FILING_STATUS=MR","SCALING_FORMAT=MLN","Sort=A","Dates=H","DateFormat=P","Fill=—","Direction=H","UseDPDF=Y")</f>
        <v>35</v>
      </c>
      <c r="O179" s="13">
        <f>_xll.BDH("AMGN US Equity","ARDR_FV_LIABS_REC_L3_OTHER","FQ4 2021","FQ4 2021","Currency=USD","Period=FQ","BEST_FPERIOD_OVERRIDE=FQ","FILING_STATUS=MR","SCALING_FORMAT=MLN","Sort=A","Dates=H","DateFormat=P","Fill=—","Direction=H","UseDPDF=Y")</f>
        <v>342</v>
      </c>
      <c r="P179" s="13">
        <f>_xll.BDH("AMGN US Equity","ARDR_FV_LIABS_REC_L3_OTHER","FQ1 2022","FQ1 2022","Currency=USD","Period=FQ","BEST_FPERIOD_OVERRIDE=FQ","FILING_STATUS=MR","SCALING_FORMAT=MLN","Sort=A","Dates=H","DateFormat=P","Fill=—","Direction=H","UseDPDF=Y")</f>
        <v>330</v>
      </c>
      <c r="Q179" s="13">
        <f>_xll.BDH("AMGN US Equity","ARDR_FV_LIABS_REC_L3_OTHER","FQ2 2022","FQ2 2022","Currency=USD","Period=FQ","BEST_FPERIOD_OVERRIDE=FQ","FILING_STATUS=MR","SCALING_FORMAT=MLN","Sort=A","Dates=H","DateFormat=P","Fill=—","Direction=H","UseDPDF=Y")</f>
        <v>310</v>
      </c>
      <c r="R179" s="13">
        <f>_xll.BDH("AMGN US Equity","ARDR_FV_LIABS_REC_L3_OTHER","FQ3 2022","FQ3 2022","Currency=USD","Period=FQ","BEST_FPERIOD_OVERRIDE=FQ","FILING_STATUS=MR","SCALING_FORMAT=MLN","Sort=A","Dates=H","DateFormat=P","Fill=—","Direction=H","UseDPDF=Y")</f>
        <v>302</v>
      </c>
      <c r="S179" s="13">
        <f>_xll.BDH("AMGN US Equity","ARDR_FV_LIABS_REC_L3_OTHER","FQ4 2022","FQ4 2022","Currency=USD","Period=FQ","BEST_FPERIOD_OVERRIDE=FQ","FILING_STATUS=MR","SCALING_FORMAT=MLN","Sort=A","Dates=H","DateFormat=P","Fill=—","Direction=H","UseDPDF=Y")</f>
        <v>270</v>
      </c>
      <c r="T179" s="13">
        <f>_xll.BDH("AMGN US Equity","ARDR_FV_LIABS_REC_L3_OTHER","FQ1 2023","FQ1 2023","Currency=USD","Period=FQ","BEST_FPERIOD_OVERRIDE=FQ","FILING_STATUS=MR","SCALING_FORMAT=MLN","Sort=A","Dates=H","DateFormat=P","Fill=—","Direction=H","UseDPDF=Y")</f>
        <v>273</v>
      </c>
      <c r="U179" s="13">
        <f>_xll.BDH("AMGN US Equity","ARDR_FV_LIABS_REC_L3_OTHER","FQ2 2023","FQ2 2023","Currency=USD","Period=FQ","BEST_FPERIOD_OVERRIDE=FQ","FILING_STATUS=MR","SCALING_FORMAT=MLN","Sort=A","Dates=H","DateFormat=P","Fill=—","Direction=H","UseDPDF=Y")</f>
        <v>248</v>
      </c>
      <c r="V179" s="13">
        <f>_xll.BDH("AMGN US Equity","ARDR_FV_LIABS_REC_L3_OTHER","FQ3 2023","FQ3 2023","Currency=USD","Period=FQ","BEST_FPERIOD_OVERRIDE=FQ","FILING_STATUS=MR","SCALING_FORMAT=MLN","Sort=A","Dates=H","DateFormat=P","Fill=—","Direction=H","UseDPDF=Y")</f>
        <v>98</v>
      </c>
      <c r="W179" s="13">
        <f>_xll.BDH("AMGN US Equity","ARDR_FV_LIABS_REC_L3_OTHER","FQ4 2023","FQ4 2023","Currency=USD","Period=FQ","BEST_FPERIOD_OVERRIDE=FQ","FILING_STATUS=MR","SCALING_FORMAT=MLN","Sort=A","Dates=H","DateFormat=P","Fill=—","Direction=H","UseDPDF=Y")</f>
        <v>192</v>
      </c>
      <c r="X179" s="13">
        <f>_xll.BDH("AMGN US Equity","ARDR_FV_LIABS_REC_L3_OTHER","FQ1 2024","FQ1 2024","Currency=USD","Period=FQ","BEST_FPERIOD_OVERRIDE=FQ","FILING_STATUS=MR","SCALING_FORMAT=MLN","Sort=A","Dates=H","DateFormat=P","Fill=—","Direction=H","UseDPDF=Y")</f>
        <v>96</v>
      </c>
      <c r="Y179" s="13" t="str">
        <f>_xll.BDH("AMGN US Equity","ARDR_FV_LIABS_REC_L3_OTHER","FQ2 2024","FQ2 2024","Currency=USD","Period=FQ","BEST_FPERIOD_OVERRIDE=FQ","FILING_STATUS=MR","SCALING_FORMAT=MLN","Sort=A","Dates=H","DateFormat=P","Fill=—","Direction=H","UseDPDF=Y")</f>
        <v>—</v>
      </c>
      <c r="Z179" s="13" t="str">
        <f>_xll.BDH("AMGN US Equity","ARDR_FV_LIABS_REC_L3_OTHER","FQ3 2024","FQ3 2024","Currency=USD","Period=FQ","BEST_FPERIOD_OVERRIDE=FQ","FILING_STATUS=MR","SCALING_FORMAT=MLN","Sort=A","Dates=H","DateFormat=P","Fill=—","Direction=H","UseDPDF=Y")</f>
        <v>—</v>
      </c>
      <c r="AA179" s="13" t="str">
        <f>_xll.BDH("AMGN US Equity","ARDR_FV_LIABS_REC_L3_OTHER","FQ4 2024","FQ4 2024","Currency=USD","Period=FQ","BEST_FPERIOD_OVERRIDE=FQ","FILING_STATUS=MR","SCALING_FORMAT=MLN","Sort=A","Dates=H","DateFormat=P","Fill=—","Direction=H","UseDPDF=Y")</f>
        <v>—</v>
      </c>
    </row>
    <row r="180" spans="1:27" x14ac:dyDescent="0.25">
      <c r="A180" s="10" t="s">
        <v>1174</v>
      </c>
      <c r="B180" s="10" t="s">
        <v>1175</v>
      </c>
      <c r="C180" s="13">
        <f>_xll.BDH("AMGN US Equity","ARDR_FV_LIABS_REC_TOT_DERV","FQ4 2018","FQ4 2018","Currency=USD","Period=FQ","BEST_FPERIOD_OVERRIDE=FQ","FILING_STATUS=MR","SCALING_FORMAT=MLN","Sort=A","Dates=H","DateFormat=P","Fill=—","Direction=H","UseDPDF=Y")</f>
        <v>648</v>
      </c>
      <c r="D180" s="13">
        <f>_xll.BDH("AMGN US Equity","ARDR_FV_LIABS_REC_TOT_DERV","FQ1 2019","FQ1 2019","Currency=USD","Period=FQ","BEST_FPERIOD_OVERRIDE=FQ","FILING_STATUS=MR","SCALING_FORMAT=MLN","Sort=A","Dates=H","DateFormat=P","Fill=—","Direction=H","UseDPDF=Y")</f>
        <v>491</v>
      </c>
      <c r="E180" s="13">
        <f>_xll.BDH("AMGN US Equity","ARDR_FV_LIABS_REC_TOT_DERV","FQ2 2019","FQ2 2019","Currency=USD","Period=FQ","BEST_FPERIOD_OVERRIDE=FQ","FILING_STATUS=MR","SCALING_FORMAT=MLN","Sort=A","Dates=H","DateFormat=P","Fill=—","Direction=H","UseDPDF=Y")</f>
        <v>530</v>
      </c>
      <c r="F180" s="13">
        <f>_xll.BDH("AMGN US Equity","ARDR_FV_LIABS_REC_TOT_DERV","FQ3 2019","FQ3 2019","Currency=USD","Period=FQ","BEST_FPERIOD_OVERRIDE=FQ","FILING_STATUS=MR","SCALING_FORMAT=MLN","Sort=A","Dates=H","DateFormat=P","Fill=—","Direction=H","UseDPDF=Y")</f>
        <v>484</v>
      </c>
      <c r="G180" s="13">
        <f>_xll.BDH("AMGN US Equity","ARDR_FV_LIABS_REC_TOT_DERV","FQ4 2019","FQ4 2019","Currency=USD","Period=FQ","BEST_FPERIOD_OVERRIDE=FQ","FILING_STATUS=MR","SCALING_FORMAT=MLN","Sort=A","Dates=H","DateFormat=P","Fill=—","Direction=H","UseDPDF=Y")</f>
        <v>346</v>
      </c>
      <c r="H180" s="13">
        <f>_xll.BDH("AMGN US Equity","ARDR_FV_LIABS_REC_TOT_DERV","FQ1 2020","FQ1 2020","Currency=USD","Period=FQ","BEST_FPERIOD_OVERRIDE=FQ","FILING_STATUS=MR","SCALING_FORMAT=MLN","Sort=A","Dates=H","DateFormat=P","Fill=—","Direction=H","UseDPDF=Y")</f>
        <v>685</v>
      </c>
      <c r="I180" s="13">
        <f>_xll.BDH("AMGN US Equity","ARDR_FV_LIABS_REC_TOT_DERV","FQ2 2020","FQ2 2020","Currency=USD","Period=FQ","BEST_FPERIOD_OVERRIDE=FQ","FILING_STATUS=MR","SCALING_FORMAT=MLN","Sort=A","Dates=H","DateFormat=P","Fill=—","Direction=H","UseDPDF=Y")</f>
        <v>632</v>
      </c>
      <c r="J180" s="13">
        <f>_xll.BDH("AMGN US Equity","ARDR_FV_LIABS_REC_TOT_DERV","FQ3 2020","FQ3 2020","Currency=USD","Period=FQ","BEST_FPERIOD_OVERRIDE=FQ","FILING_STATUS=MR","SCALING_FORMAT=MLN","Sort=A","Dates=H","DateFormat=P","Fill=—","Direction=H","UseDPDF=Y")</f>
        <v>573</v>
      </c>
      <c r="K180" s="13">
        <f>_xll.BDH("AMGN US Equity","ARDR_FV_LIABS_REC_TOT_DERV","FQ4 2020","FQ4 2020","Currency=USD","Period=FQ","BEST_FPERIOD_OVERRIDE=FQ","FILING_STATUS=MR","SCALING_FORMAT=MLN","Sort=A","Dates=H","DateFormat=P","Fill=—","Direction=H","UseDPDF=Y")</f>
        <v>252</v>
      </c>
      <c r="L180" s="13">
        <f>_xll.BDH("AMGN US Equity","ARDR_FV_LIABS_REC_TOT_DERV","FQ1 2021","FQ1 2021","Currency=USD","Period=FQ","BEST_FPERIOD_OVERRIDE=FQ","FILING_STATUS=MR","SCALING_FORMAT=MLN","Sort=A","Dates=H","DateFormat=P","Fill=—","Direction=H","UseDPDF=Y")</f>
        <v>532</v>
      </c>
      <c r="M180" s="13">
        <f>_xll.BDH("AMGN US Equity","ARDR_FV_LIABS_REC_TOT_DERV","FQ2 2021","FQ2 2021","Currency=USD","Period=FQ","BEST_FPERIOD_OVERRIDE=FQ","FILING_STATUS=MR","SCALING_FORMAT=MLN","Sort=A","Dates=H","DateFormat=P","Fill=—","Direction=H","UseDPDF=Y")</f>
        <v>514</v>
      </c>
      <c r="N180" s="13">
        <f>_xll.BDH("AMGN US Equity","ARDR_FV_LIABS_REC_TOT_DERV","FQ3 2021","FQ3 2021","Currency=USD","Period=FQ","BEST_FPERIOD_OVERRIDE=FQ","FILING_STATUS=MR","SCALING_FORMAT=MLN","Sort=A","Dates=H","DateFormat=P","Fill=—","Direction=H","UseDPDF=Y")</f>
        <v>519</v>
      </c>
      <c r="O180" s="13">
        <f>_xll.BDH("AMGN US Equity","ARDR_FV_LIABS_REC_TOT_DERV","FQ4 2021","FQ4 2021","Currency=USD","Period=FQ","BEST_FPERIOD_OVERRIDE=FQ","FILING_STATUS=MR","SCALING_FORMAT=MLN","Sort=A","Dates=H","DateFormat=P","Fill=—","Direction=H","UseDPDF=Y")</f>
        <v>534</v>
      </c>
      <c r="P180" s="13">
        <f>_xll.BDH("AMGN US Equity","ARDR_FV_LIABS_REC_TOT_DERV","FQ1 2022","FQ1 2022","Currency=USD","Period=FQ","BEST_FPERIOD_OVERRIDE=FQ","FILING_STATUS=MR","SCALING_FORMAT=MLN","Sort=A","Dates=H","DateFormat=P","Fill=—","Direction=H","UseDPDF=Y")</f>
        <v>865</v>
      </c>
      <c r="Q180" s="13">
        <f>_xll.BDH("AMGN US Equity","ARDR_FV_LIABS_REC_TOT_DERV","FQ2 2022","FQ2 2022","Currency=USD","Period=FQ","BEST_FPERIOD_OVERRIDE=FQ","FILING_STATUS=MR","SCALING_FORMAT=MLN","Sort=A","Dates=H","DateFormat=P","Fill=—","Direction=H","UseDPDF=Y")</f>
        <v>1124</v>
      </c>
      <c r="R180" s="13">
        <f>_xll.BDH("AMGN US Equity","ARDR_FV_LIABS_REC_TOT_DERV","FQ3 2022","FQ3 2022","Currency=USD","Period=FQ","BEST_FPERIOD_OVERRIDE=FQ","FILING_STATUS=MR","SCALING_FORMAT=MLN","Sort=A","Dates=H","DateFormat=P","Fill=—","Direction=H","UseDPDF=Y")</f>
        <v>1586</v>
      </c>
      <c r="S180" s="13">
        <f>_xll.BDH("AMGN US Equity","ARDR_FV_LIABS_REC_TOT_DERV","FQ4 2022","FQ4 2022","Currency=USD","Period=FQ","BEST_FPERIOD_OVERRIDE=FQ","FILING_STATUS=MR","SCALING_FORMAT=MLN","Sort=A","Dates=H","DateFormat=P","Fill=—","Direction=H","UseDPDF=Y")</f>
        <v>1398</v>
      </c>
      <c r="T180" s="13">
        <f>_xll.BDH("AMGN US Equity","ARDR_FV_LIABS_REC_TOT_DERV","FQ1 2023","FQ1 2023","Currency=USD","Period=FQ","BEST_FPERIOD_OVERRIDE=FQ","FILING_STATUS=MR","SCALING_FORMAT=MLN","Sort=A","Dates=H","DateFormat=P","Fill=—","Direction=H","UseDPDF=Y")</f>
        <v>1252</v>
      </c>
      <c r="U180" s="13">
        <f>_xll.BDH("AMGN US Equity","ARDR_FV_LIABS_REC_TOT_DERV","FQ2 2023","FQ2 2023","Currency=USD","Period=FQ","BEST_FPERIOD_OVERRIDE=FQ","FILING_STATUS=MR","SCALING_FORMAT=MLN","Sort=A","Dates=H","DateFormat=P","Fill=—","Direction=H","UseDPDF=Y")</f>
        <v>1311</v>
      </c>
      <c r="V180" s="13">
        <f>_xll.BDH("AMGN US Equity","ARDR_FV_LIABS_REC_TOT_DERV","FQ3 2023","FQ3 2023","Currency=USD","Period=FQ","BEST_FPERIOD_OVERRIDE=FQ","FILING_STATUS=MR","SCALING_FORMAT=MLN","Sort=A","Dates=H","DateFormat=P","Fill=—","Direction=H","UseDPDF=Y")</f>
        <v>1314</v>
      </c>
      <c r="W180" s="13">
        <f>_xll.BDH("AMGN US Equity","ARDR_FV_LIABS_REC_TOT_DERV","FQ4 2023","FQ4 2023","Currency=USD","Period=FQ","BEST_FPERIOD_OVERRIDE=FQ","FILING_STATUS=MR","SCALING_FORMAT=MLN","Sort=A","Dates=H","DateFormat=P","Fill=—","Direction=H","UseDPDF=Y")</f>
        <v>1092</v>
      </c>
      <c r="X180" s="13">
        <f>_xll.BDH("AMGN US Equity","ARDR_FV_LIABS_REC_TOT_DERV","FQ1 2024","FQ1 2024","Currency=USD","Period=FQ","BEST_FPERIOD_OVERRIDE=FQ","FILING_STATUS=MR","SCALING_FORMAT=MLN","Sort=A","Dates=H","DateFormat=P","Fill=—","Direction=H","UseDPDF=Y")</f>
        <v>1072</v>
      </c>
      <c r="Y180" s="13">
        <f>_xll.BDH("AMGN US Equity","ARDR_FV_LIABS_REC_TOT_DERV","FQ2 2024","FQ2 2024","Currency=USD","Period=FQ","BEST_FPERIOD_OVERRIDE=FQ","FILING_STATUS=MR","SCALING_FORMAT=MLN","Sort=A","Dates=H","DateFormat=P","Fill=—","Direction=H","UseDPDF=Y")</f>
        <v>1134</v>
      </c>
      <c r="Z180" s="13">
        <f>_xll.BDH("AMGN US Equity","ARDR_FV_LIABS_REC_TOT_DERV","FQ3 2024","FQ3 2024","Currency=USD","Period=FQ","BEST_FPERIOD_OVERRIDE=FQ","FILING_STATUS=MR","SCALING_FORMAT=MLN","Sort=A","Dates=H","DateFormat=P","Fill=—","Direction=H","UseDPDF=Y")</f>
        <v>998</v>
      </c>
      <c r="AA180" s="13">
        <f>_xll.BDH("AMGN US Equity","ARDR_FV_LIABS_REC_TOT_DERV","FQ4 2024","FQ4 2024","Currency=USD","Period=FQ","BEST_FPERIOD_OVERRIDE=FQ","FILING_STATUS=MR","SCALING_FORMAT=MLN","Sort=A","Dates=H","DateFormat=P","Fill=—","Direction=H","UseDPDF=Y")</f>
        <v>1022</v>
      </c>
    </row>
    <row r="181" spans="1:27" x14ac:dyDescent="0.25">
      <c r="A181" s="10" t="s">
        <v>1176</v>
      </c>
      <c r="B181" s="10" t="s">
        <v>1177</v>
      </c>
      <c r="C181" s="13" t="str">
        <f>_xll.BDH("AMGN US Equity","ARDR_FV_LIABS_REC_TOT_OTHER","FQ4 2018","FQ4 2018","Currency=USD","Period=FQ","BEST_FPERIOD_OVERRIDE=FQ","FILING_STATUS=MR","SCALING_FORMAT=MLN","Sort=A","Dates=H","DateFormat=P","Fill=—","Direction=H","UseDPDF=Y")</f>
        <v>—</v>
      </c>
      <c r="D181" s="13">
        <f>_xll.BDH("AMGN US Equity","ARDR_FV_LIABS_REC_TOT_OTHER","FQ1 2019","FQ1 2019","Currency=USD","Period=FQ","BEST_FPERIOD_OVERRIDE=FQ","FILING_STATUS=MR","SCALING_FORMAT=MLN","Sort=A","Dates=H","DateFormat=P","Fill=—","Direction=H","UseDPDF=Y")</f>
        <v>66</v>
      </c>
      <c r="E181" s="13">
        <f>_xll.BDH("AMGN US Equity","ARDR_FV_LIABS_REC_TOT_OTHER","FQ2 2019","FQ2 2019","Currency=USD","Period=FQ","BEST_FPERIOD_OVERRIDE=FQ","FILING_STATUS=MR","SCALING_FORMAT=MLN","Sort=A","Dates=H","DateFormat=P","Fill=—","Direction=H","UseDPDF=Y")</f>
        <v>63</v>
      </c>
      <c r="F181" s="13">
        <f>_xll.BDH("AMGN US Equity","ARDR_FV_LIABS_REC_TOT_OTHER","FQ3 2019","FQ3 2019","Currency=USD","Period=FQ","BEST_FPERIOD_OVERRIDE=FQ","FILING_STATUS=MR","SCALING_FORMAT=MLN","Sort=A","Dates=H","DateFormat=P","Fill=—","Direction=H","UseDPDF=Y")</f>
        <v>62</v>
      </c>
      <c r="G181" s="13">
        <f>_xll.BDH("AMGN US Equity","ARDR_FV_LIABS_REC_TOT_OTHER","FQ4 2019","FQ4 2019","Currency=USD","Period=FQ","BEST_FPERIOD_OVERRIDE=FQ","FILING_STATUS=MR","SCALING_FORMAT=MLN","Sort=A","Dates=H","DateFormat=P","Fill=—","Direction=H","UseDPDF=Y")</f>
        <v>61</v>
      </c>
      <c r="H181" s="13">
        <f>_xll.BDH("AMGN US Equity","ARDR_FV_LIABS_REC_TOT_OTHER","FQ1 2020","FQ1 2020","Currency=USD","Period=FQ","BEST_FPERIOD_OVERRIDE=FQ","FILING_STATUS=MR","SCALING_FORMAT=MLN","Sort=A","Dates=H","DateFormat=P","Fill=—","Direction=H","UseDPDF=Y")</f>
        <v>60</v>
      </c>
      <c r="I181" s="13">
        <f>_xll.BDH("AMGN US Equity","ARDR_FV_LIABS_REC_TOT_OTHER","FQ2 2020","FQ2 2020","Currency=USD","Period=FQ","BEST_FPERIOD_OVERRIDE=FQ","FILING_STATUS=MR","SCALING_FORMAT=MLN","Sort=A","Dates=H","DateFormat=P","Fill=—","Direction=H","UseDPDF=Y")</f>
        <v>55</v>
      </c>
      <c r="J181" s="13">
        <f>_xll.BDH("AMGN US Equity","ARDR_FV_LIABS_REC_TOT_OTHER","FQ3 2020","FQ3 2020","Currency=USD","Period=FQ","BEST_FPERIOD_OVERRIDE=FQ","FILING_STATUS=MR","SCALING_FORMAT=MLN","Sort=A","Dates=H","DateFormat=P","Fill=—","Direction=H","UseDPDF=Y")</f>
        <v>54</v>
      </c>
      <c r="K181" s="13">
        <f>_xll.BDH("AMGN US Equity","ARDR_FV_LIABS_REC_TOT_OTHER","FQ4 2020","FQ4 2020","Currency=USD","Period=FQ","BEST_FPERIOD_OVERRIDE=FQ","FILING_STATUS=MR","SCALING_FORMAT=MLN","Sort=A","Dates=H","DateFormat=P","Fill=—","Direction=H","UseDPDF=Y")</f>
        <v>33</v>
      </c>
      <c r="L181" s="13">
        <f>_xll.BDH("AMGN US Equity","ARDR_FV_LIABS_REC_TOT_OTHER","FQ1 2021","FQ1 2021","Currency=USD","Period=FQ","BEST_FPERIOD_OVERRIDE=FQ","FILING_STATUS=MR","SCALING_FORMAT=MLN","Sort=A","Dates=H","DateFormat=P","Fill=—","Direction=H","UseDPDF=Y")</f>
        <v>39</v>
      </c>
      <c r="M181" s="13">
        <f>_xll.BDH("AMGN US Equity","ARDR_FV_LIABS_REC_TOT_OTHER","FQ2 2021","FQ2 2021","Currency=USD","Period=FQ","BEST_FPERIOD_OVERRIDE=FQ","FILING_STATUS=MR","SCALING_FORMAT=MLN","Sort=A","Dates=H","DateFormat=P","Fill=—","Direction=H","UseDPDF=Y")</f>
        <v>48</v>
      </c>
      <c r="N181" s="13">
        <f>_xll.BDH("AMGN US Equity","ARDR_FV_LIABS_REC_TOT_OTHER","FQ3 2021","FQ3 2021","Currency=USD","Period=FQ","BEST_FPERIOD_OVERRIDE=FQ","FILING_STATUS=MR","SCALING_FORMAT=MLN","Sort=A","Dates=H","DateFormat=P","Fill=—","Direction=H","UseDPDF=Y")</f>
        <v>35</v>
      </c>
      <c r="O181" s="13">
        <f>_xll.BDH("AMGN US Equity","ARDR_FV_LIABS_REC_TOT_OTHER","FQ4 2021","FQ4 2021","Currency=USD","Period=FQ","BEST_FPERIOD_OVERRIDE=FQ","FILING_STATUS=MR","SCALING_FORMAT=MLN","Sort=A","Dates=H","DateFormat=P","Fill=—","Direction=H","UseDPDF=Y")</f>
        <v>342</v>
      </c>
      <c r="P181" s="13">
        <f>_xll.BDH("AMGN US Equity","ARDR_FV_LIABS_REC_TOT_OTHER","FQ1 2022","FQ1 2022","Currency=USD","Period=FQ","BEST_FPERIOD_OVERRIDE=FQ","FILING_STATUS=MR","SCALING_FORMAT=MLN","Sort=A","Dates=H","DateFormat=P","Fill=—","Direction=H","UseDPDF=Y")</f>
        <v>330</v>
      </c>
      <c r="Q181" s="13">
        <f>_xll.BDH("AMGN US Equity","ARDR_FV_LIABS_REC_TOT_OTHER","FQ2 2022","FQ2 2022","Currency=USD","Period=FQ","BEST_FPERIOD_OVERRIDE=FQ","FILING_STATUS=MR","SCALING_FORMAT=MLN","Sort=A","Dates=H","DateFormat=P","Fill=—","Direction=H","UseDPDF=Y")</f>
        <v>310</v>
      </c>
      <c r="R181" s="13">
        <f>_xll.BDH("AMGN US Equity","ARDR_FV_LIABS_REC_TOT_OTHER","FQ3 2022","FQ3 2022","Currency=USD","Period=FQ","BEST_FPERIOD_OVERRIDE=FQ","FILING_STATUS=MR","SCALING_FORMAT=MLN","Sort=A","Dates=H","DateFormat=P","Fill=—","Direction=H","UseDPDF=Y")</f>
        <v>302</v>
      </c>
      <c r="S181" s="13">
        <f>_xll.BDH("AMGN US Equity","ARDR_FV_LIABS_REC_TOT_OTHER","FQ4 2022","FQ4 2022","Currency=USD","Period=FQ","BEST_FPERIOD_OVERRIDE=FQ","FILING_STATUS=MR","SCALING_FORMAT=MLN","Sort=A","Dates=H","DateFormat=P","Fill=—","Direction=H","UseDPDF=Y")</f>
        <v>270</v>
      </c>
      <c r="T181" s="13">
        <f>_xll.BDH("AMGN US Equity","ARDR_FV_LIABS_REC_TOT_OTHER","FQ1 2023","FQ1 2023","Currency=USD","Period=FQ","BEST_FPERIOD_OVERRIDE=FQ","FILING_STATUS=MR","SCALING_FORMAT=MLN","Sort=A","Dates=H","DateFormat=P","Fill=—","Direction=H","UseDPDF=Y")</f>
        <v>273</v>
      </c>
      <c r="U181" s="13">
        <f>_xll.BDH("AMGN US Equity","ARDR_FV_LIABS_REC_TOT_OTHER","FQ2 2023","FQ2 2023","Currency=USD","Period=FQ","BEST_FPERIOD_OVERRIDE=FQ","FILING_STATUS=MR","SCALING_FORMAT=MLN","Sort=A","Dates=H","DateFormat=P","Fill=—","Direction=H","UseDPDF=Y")</f>
        <v>248</v>
      </c>
      <c r="V181" s="13">
        <f>_xll.BDH("AMGN US Equity","ARDR_FV_LIABS_REC_TOT_OTHER","FQ3 2023","FQ3 2023","Currency=USD","Period=FQ","BEST_FPERIOD_OVERRIDE=FQ","FILING_STATUS=MR","SCALING_FORMAT=MLN","Sort=A","Dates=H","DateFormat=P","Fill=—","Direction=H","UseDPDF=Y")</f>
        <v>98</v>
      </c>
      <c r="W181" s="13">
        <f>_xll.BDH("AMGN US Equity","ARDR_FV_LIABS_REC_TOT_OTHER","FQ4 2023","FQ4 2023","Currency=USD","Period=FQ","BEST_FPERIOD_OVERRIDE=FQ","FILING_STATUS=MR","SCALING_FORMAT=MLN","Sort=A","Dates=H","DateFormat=P","Fill=—","Direction=H","UseDPDF=Y")</f>
        <v>96</v>
      </c>
      <c r="X181" s="13">
        <f>_xll.BDH("AMGN US Equity","ARDR_FV_LIABS_REC_TOT_OTHER","FQ1 2024","FQ1 2024","Currency=USD","Period=FQ","BEST_FPERIOD_OVERRIDE=FQ","FILING_STATUS=MR","SCALING_FORMAT=MLN","Sort=A","Dates=H","DateFormat=P","Fill=—","Direction=H","UseDPDF=Y")</f>
        <v>96</v>
      </c>
      <c r="Y181" s="13" t="str">
        <f>_xll.BDH("AMGN US Equity","ARDR_FV_LIABS_REC_TOT_OTHER","FQ2 2024","FQ2 2024","Currency=USD","Period=FQ","BEST_FPERIOD_OVERRIDE=FQ","FILING_STATUS=MR","SCALING_FORMAT=MLN","Sort=A","Dates=H","DateFormat=P","Fill=—","Direction=H","UseDPDF=Y")</f>
        <v>—</v>
      </c>
      <c r="Z181" s="13" t="str">
        <f>_xll.BDH("AMGN US Equity","ARDR_FV_LIABS_REC_TOT_OTHER","FQ3 2024","FQ3 2024","Currency=USD","Period=FQ","BEST_FPERIOD_OVERRIDE=FQ","FILING_STATUS=MR","SCALING_FORMAT=MLN","Sort=A","Dates=H","DateFormat=P","Fill=—","Direction=H","UseDPDF=Y")</f>
        <v>—</v>
      </c>
      <c r="AA181" s="13">
        <f>_xll.BDH("AMGN US Equity","ARDR_FV_LIABS_REC_TOT_OTHER","FQ4 2024","FQ4 2024","Currency=USD","Period=FQ","BEST_FPERIOD_OVERRIDE=FQ","FILING_STATUS=MR","SCALING_FORMAT=MLN","Sort=A","Dates=H","DateFormat=P","Fill=—","Direction=H","UseDPDF=Y")</f>
        <v>106</v>
      </c>
    </row>
    <row r="182" spans="1:27" x14ac:dyDescent="0.25">
      <c r="A182" s="10" t="s">
        <v>1178</v>
      </c>
      <c r="B182" s="10" t="s">
        <v>1179</v>
      </c>
      <c r="C182" s="13">
        <f>_xll.BDH("AMGN US Equity","ARDR_FV_HEDG_DERIV_ASSETS_FX","FQ4 2018","FQ4 2018","Currency=USD","Period=FQ","BEST_FPERIOD_OVERRIDE=FQ","FILING_STATUS=MR","SCALING_FORMAT=MLN","Sort=A","Dates=H","DateFormat=P","Fill=—","Direction=H","UseDPDF=Y")</f>
        <v>182</v>
      </c>
      <c r="D182" s="13">
        <f>_xll.BDH("AMGN US Equity","ARDR_FV_HEDG_DERIV_ASSETS_FX","FQ1 2019","FQ1 2019","Currency=USD","Period=FQ","BEST_FPERIOD_OVERRIDE=FQ","FILING_STATUS=MR","SCALING_FORMAT=MLN","Sort=A","Dates=H","DateFormat=P","Fill=—","Direction=H","UseDPDF=Y")</f>
        <v>238</v>
      </c>
      <c r="E182" s="13">
        <f>_xll.BDH("AMGN US Equity","ARDR_FV_HEDG_DERIV_ASSETS_FX","FQ2 2019","FQ2 2019","Currency=USD","Period=FQ","BEST_FPERIOD_OVERRIDE=FQ","FILING_STATUS=MR","SCALING_FORMAT=MLN","Sort=A","Dates=H","DateFormat=P","Fill=—","Direction=H","UseDPDF=Y")</f>
        <v>205</v>
      </c>
      <c r="F182" s="13">
        <f>_xll.BDH("AMGN US Equity","ARDR_FV_HEDG_DERIV_ASSETS_FX","FQ3 2019","FQ3 2019","Currency=USD","Period=FQ","BEST_FPERIOD_OVERRIDE=FQ","FILING_STATUS=MR","SCALING_FORMAT=MLN","Sort=A","Dates=H","DateFormat=P","Fill=—","Direction=H","UseDPDF=Y")</f>
        <v>339</v>
      </c>
      <c r="G182" s="13">
        <f>_xll.BDH("AMGN US Equity","ARDR_FV_HEDG_DERIV_ASSETS_FX","FQ4 2019","FQ4 2019","Currency=USD","Period=FQ","BEST_FPERIOD_OVERRIDE=FQ","FILING_STATUS=MR","SCALING_FORMAT=MLN","Sort=A","Dates=H","DateFormat=P","Fill=—","Direction=H","UseDPDF=Y")</f>
        <v>224</v>
      </c>
      <c r="H182" s="13">
        <f>_xll.BDH("AMGN US Equity","ARDR_FV_HEDG_DERIV_ASSETS_FX","FQ1 2020","FQ1 2020","Currency=USD","Period=FQ","BEST_FPERIOD_OVERRIDE=FQ","FILING_STATUS=MR","SCALING_FORMAT=MLN","Sort=A","Dates=H","DateFormat=P","Fill=—","Direction=H","UseDPDF=Y")</f>
        <v>375</v>
      </c>
      <c r="I182" s="13">
        <f>_xll.BDH("AMGN US Equity","ARDR_FV_HEDG_DERIV_ASSETS_FX","FQ2 2020","FQ2 2020","Currency=USD","Period=FQ","BEST_FPERIOD_OVERRIDE=FQ","FILING_STATUS=MR","SCALING_FORMAT=MLN","Sort=A","Dates=H","DateFormat=P","Fill=—","Direction=H","UseDPDF=Y")</f>
        <v>263</v>
      </c>
      <c r="J182" s="13">
        <f>_xll.BDH("AMGN US Equity","ARDR_FV_HEDG_DERIV_ASSETS_FX","FQ3 2020","FQ3 2020","Currency=USD","Period=FQ","BEST_FPERIOD_OVERRIDE=FQ","FILING_STATUS=MR","SCALING_FORMAT=MLN","Sort=A","Dates=H","DateFormat=P","Fill=—","Direction=H","UseDPDF=Y")</f>
        <v>111</v>
      </c>
      <c r="K182" s="13">
        <f>_xll.BDH("AMGN US Equity","ARDR_FV_HEDG_DERIV_ASSETS_FX","FQ4 2020","FQ4 2020","Currency=USD","Period=FQ","BEST_FPERIOD_OVERRIDE=FQ","FILING_STATUS=MR","SCALING_FORMAT=MLN","Sort=A","Dates=H","DateFormat=P","Fill=—","Direction=H","UseDPDF=Y")</f>
        <v>28</v>
      </c>
      <c r="L182" s="13">
        <f>_xll.BDH("AMGN US Equity","ARDR_FV_HEDG_DERIV_ASSETS_FX","FQ1 2021","FQ1 2021","Currency=USD","Period=FQ","BEST_FPERIOD_OVERRIDE=FQ","FILING_STATUS=MR","SCALING_FORMAT=MLN","Sort=A","Dates=H","DateFormat=P","Fill=—","Direction=H","UseDPDF=Y")</f>
        <v>79</v>
      </c>
      <c r="M182" s="13">
        <f>_xll.BDH("AMGN US Equity","ARDR_FV_HEDG_DERIV_ASSETS_FX","FQ2 2021","FQ2 2021","Currency=USD","Period=FQ","BEST_FPERIOD_OVERRIDE=FQ","FILING_STATUS=MR","SCALING_FORMAT=MLN","Sort=A","Dates=H","DateFormat=P","Fill=—","Direction=H","UseDPDF=Y")</f>
        <v>62</v>
      </c>
      <c r="N182" s="13">
        <f>_xll.BDH("AMGN US Equity","ARDR_FV_HEDG_DERIV_ASSETS_FX","FQ3 2021","FQ3 2021","Currency=USD","Period=FQ","BEST_FPERIOD_OVERRIDE=FQ","FILING_STATUS=MR","SCALING_FORMAT=MLN","Sort=A","Dates=H","DateFormat=P","Fill=—","Direction=H","UseDPDF=Y")</f>
        <v>127</v>
      </c>
      <c r="O182" s="13">
        <f>_xll.BDH("AMGN US Equity","ARDR_FV_HEDG_DERIV_ASSETS_FX","FQ4 2021","FQ4 2021","Currency=USD","Period=FQ","BEST_FPERIOD_OVERRIDE=FQ","FILING_STATUS=MR","SCALING_FORMAT=MLN","Sort=A","Dates=H","DateFormat=P","Fill=—","Direction=H","UseDPDF=Y")</f>
        <v>183</v>
      </c>
      <c r="P182" s="13">
        <f>_xll.BDH("AMGN US Equity","ARDR_FV_HEDG_DERIV_ASSETS_FX","FQ1 2022","FQ1 2022","Currency=USD","Period=FQ","BEST_FPERIOD_OVERRIDE=FQ","FILING_STATUS=MR","SCALING_FORMAT=MLN","Sort=A","Dates=H","DateFormat=P","Fill=—","Direction=H","UseDPDF=Y")</f>
        <v>235</v>
      </c>
      <c r="Q182" s="13">
        <f>_xll.BDH("AMGN US Equity","ARDR_FV_HEDG_DERIV_ASSETS_FX","FQ2 2022","FQ2 2022","Currency=USD","Period=FQ","BEST_FPERIOD_OVERRIDE=FQ","FILING_STATUS=MR","SCALING_FORMAT=MLN","Sort=A","Dates=H","DateFormat=P","Fill=—","Direction=H","UseDPDF=Y")</f>
        <v>413</v>
      </c>
      <c r="R182" s="13">
        <f>_xll.BDH("AMGN US Equity","ARDR_FV_HEDG_DERIV_ASSETS_FX","FQ3 2022","FQ3 2022","Currency=USD","Period=FQ","BEST_FPERIOD_OVERRIDE=FQ","FILING_STATUS=MR","SCALING_FORMAT=MLN","Sort=A","Dates=H","DateFormat=P","Fill=—","Direction=H","UseDPDF=Y")</f>
        <v>639</v>
      </c>
      <c r="S182" s="13">
        <f>_xll.BDH("AMGN US Equity","ARDR_FV_HEDG_DERIV_ASSETS_FX","FQ4 2022","FQ4 2022","Currency=USD","Period=FQ","BEST_FPERIOD_OVERRIDE=FQ","FILING_STATUS=MR","SCALING_FORMAT=MLN","Sort=A","Dates=H","DateFormat=P","Fill=—","Direction=H","UseDPDF=Y")</f>
        <v>287</v>
      </c>
      <c r="T182" s="13">
        <f>_xll.BDH("AMGN US Equity","ARDR_FV_HEDG_DERIV_ASSETS_FX","FQ1 2023","FQ1 2023","Currency=USD","Period=FQ","BEST_FPERIOD_OVERRIDE=FQ","FILING_STATUS=MR","SCALING_FORMAT=MLN","Sort=A","Dates=H","DateFormat=P","Fill=—","Direction=H","UseDPDF=Y")</f>
        <v>252</v>
      </c>
      <c r="U182" s="13">
        <f>_xll.BDH("AMGN US Equity","ARDR_FV_HEDG_DERIV_ASSETS_FX","FQ2 2023","FQ2 2023","Currency=USD","Period=FQ","BEST_FPERIOD_OVERRIDE=FQ","FILING_STATUS=MR","SCALING_FORMAT=MLN","Sort=A","Dates=H","DateFormat=P","Fill=—","Direction=H","UseDPDF=Y")</f>
        <v>251</v>
      </c>
      <c r="V182" s="13">
        <f>_xll.BDH("AMGN US Equity","ARDR_FV_HEDG_DERIV_ASSETS_FX","FQ3 2023","FQ3 2023","Currency=USD","Period=FQ","BEST_FPERIOD_OVERRIDE=FQ","FILING_STATUS=MR","SCALING_FORMAT=MLN","Sort=A","Dates=H","DateFormat=P","Fill=—","Direction=H","UseDPDF=Y")</f>
        <v>347</v>
      </c>
      <c r="W182" s="13" t="str">
        <f>_xll.BDH("AMGN US Equity","ARDR_FV_HEDG_DERIV_ASSETS_FX","FQ4 2023","FQ4 2023","Currency=USD","Period=FQ","BEST_FPERIOD_OVERRIDE=FQ","FILING_STATUS=MR","SCALING_FORMAT=MLN","Sort=A","Dates=H","DateFormat=P","Fill=—","Direction=H","UseDPDF=Y")</f>
        <v>—</v>
      </c>
      <c r="X182" s="13" t="str">
        <f>_xll.BDH("AMGN US Equity","ARDR_FV_HEDG_DERIV_ASSETS_FX","FQ1 2024","FQ1 2024","Currency=USD","Period=FQ","BEST_FPERIOD_OVERRIDE=FQ","FILING_STATUS=MR","SCALING_FORMAT=MLN","Sort=A","Dates=H","DateFormat=P","Fill=—","Direction=H","UseDPDF=Y")</f>
        <v>—</v>
      </c>
      <c r="Y182" s="13" t="str">
        <f>_xll.BDH("AMGN US Equity","ARDR_FV_HEDG_DERIV_ASSETS_FX","FQ2 2024","FQ2 2024","Currency=USD","Period=FQ","BEST_FPERIOD_OVERRIDE=FQ","FILING_STATUS=MR","SCALING_FORMAT=MLN","Sort=A","Dates=H","DateFormat=P","Fill=—","Direction=H","UseDPDF=Y")</f>
        <v>—</v>
      </c>
      <c r="Z182" s="13">
        <f>_xll.BDH("AMGN US Equity","ARDR_FV_HEDG_DERIV_ASSETS_FX","FQ3 2024","FQ3 2024","Currency=USD","Period=FQ","BEST_FPERIOD_OVERRIDE=FQ","FILING_STATUS=MR","SCALING_FORMAT=MLN","Sort=A","Dates=H","DateFormat=P","Fill=—","Direction=H","UseDPDF=Y")</f>
        <v>99</v>
      </c>
      <c r="AA182" s="13" t="str">
        <f>_xll.BDH("AMGN US Equity","ARDR_FV_HEDG_DERIV_ASSETS_FX","FQ4 2024","FQ4 2024","Currency=USD","Period=FQ","BEST_FPERIOD_OVERRIDE=FQ","FILING_STATUS=MR","SCALING_FORMAT=MLN","Sort=A","Dates=H","DateFormat=P","Fill=—","Direction=H","UseDPDF=Y")</f>
        <v>—</v>
      </c>
    </row>
    <row r="183" spans="1:27" x14ac:dyDescent="0.25">
      <c r="A183" s="10" t="s">
        <v>1180</v>
      </c>
      <c r="B183" s="10" t="s">
        <v>1181</v>
      </c>
      <c r="C183" s="13" t="str">
        <f>_xll.BDH("AMGN US Equity","ARDR_FV_DER_HEDG_LIABS_IR_FV_HDG","FQ4 2018","FQ4 2018","Currency=USD","Period=FQ","BEST_FPERIOD_OVERRIDE=FQ","FILING_STATUS=MR","SCALING_FORMAT=MLN","Sort=A","Dates=H","DateFormat=P","Fill=—","Direction=H","UseDPDF=Y")</f>
        <v>—</v>
      </c>
      <c r="D183" s="13" t="str">
        <f>_xll.BDH("AMGN US Equity","ARDR_FV_DER_HEDG_LIABS_IR_FV_HDG","FQ1 2019","FQ1 2019","Currency=USD","Period=FQ","BEST_FPERIOD_OVERRIDE=FQ","FILING_STATUS=MR","SCALING_FORMAT=MLN","Sort=A","Dates=H","DateFormat=P","Fill=—","Direction=H","UseDPDF=Y")</f>
        <v>—</v>
      </c>
      <c r="E183" s="13" t="str">
        <f>_xll.BDH("AMGN US Equity","ARDR_FV_DER_HEDG_LIABS_IR_FV_HDG","FQ2 2019","FQ2 2019","Currency=USD","Period=FQ","BEST_FPERIOD_OVERRIDE=FQ","FILING_STATUS=MR","SCALING_FORMAT=MLN","Sort=A","Dates=H","DateFormat=P","Fill=—","Direction=H","UseDPDF=Y")</f>
        <v>—</v>
      </c>
      <c r="F183" s="13" t="str">
        <f>_xll.BDH("AMGN US Equity","ARDR_FV_DER_HEDG_LIABS_IR_FV_HDG","FQ3 2019","FQ3 2019","Currency=USD","Period=FQ","BEST_FPERIOD_OVERRIDE=FQ","FILING_STATUS=MR","SCALING_FORMAT=MLN","Sort=A","Dates=H","DateFormat=P","Fill=—","Direction=H","UseDPDF=Y")</f>
        <v>—</v>
      </c>
      <c r="G183" s="13" t="str">
        <f>_xll.BDH("AMGN US Equity","ARDR_FV_DER_HEDG_LIABS_IR_FV_HDG","FQ4 2019","FQ4 2019","Currency=USD","Period=FQ","BEST_FPERIOD_OVERRIDE=FQ","FILING_STATUS=MR","SCALING_FORMAT=MLN","Sort=A","Dates=H","DateFormat=P","Fill=—","Direction=H","UseDPDF=Y")</f>
        <v>—</v>
      </c>
      <c r="H183" s="13" t="str">
        <f>_xll.BDH("AMGN US Equity","ARDR_FV_DER_HEDG_LIABS_IR_FV_HDG","FQ1 2020","FQ1 2020","Currency=USD","Period=FQ","BEST_FPERIOD_OVERRIDE=FQ","FILING_STATUS=MR","SCALING_FORMAT=MLN","Sort=A","Dates=H","DateFormat=P","Fill=—","Direction=H","UseDPDF=Y")</f>
        <v>—</v>
      </c>
      <c r="I183" s="13" t="str">
        <f>_xll.BDH("AMGN US Equity","ARDR_FV_DER_HEDG_LIABS_IR_FV_HDG","FQ2 2020","FQ2 2020","Currency=USD","Period=FQ","BEST_FPERIOD_OVERRIDE=FQ","FILING_STATUS=MR","SCALING_FORMAT=MLN","Sort=A","Dates=H","DateFormat=P","Fill=—","Direction=H","UseDPDF=Y")</f>
        <v>—</v>
      </c>
      <c r="J183" s="13" t="str">
        <f>_xll.BDH("AMGN US Equity","ARDR_FV_DER_HEDG_LIABS_IR_FV_HDG","FQ3 2020","FQ3 2020","Currency=USD","Period=FQ","BEST_FPERIOD_OVERRIDE=FQ","FILING_STATUS=MR","SCALING_FORMAT=MLN","Sort=A","Dates=H","DateFormat=P","Fill=—","Direction=H","UseDPDF=Y")</f>
        <v>—</v>
      </c>
      <c r="K183" s="13" t="str">
        <f>_xll.BDH("AMGN US Equity","ARDR_FV_DER_HEDG_LIABS_IR_FV_HDG","FQ4 2020","FQ4 2020","Currency=USD","Period=FQ","BEST_FPERIOD_OVERRIDE=FQ","FILING_STATUS=MR","SCALING_FORMAT=MLN","Sort=A","Dates=H","DateFormat=P","Fill=—","Direction=H","UseDPDF=Y")</f>
        <v>—</v>
      </c>
      <c r="L183" s="13" t="str">
        <f>_xll.BDH("AMGN US Equity","ARDR_FV_DER_HEDG_LIABS_IR_FV_HDG","FQ1 2021","FQ1 2021","Currency=USD","Period=FQ","BEST_FPERIOD_OVERRIDE=FQ","FILING_STATUS=MR","SCALING_FORMAT=MLN","Sort=A","Dates=H","DateFormat=P","Fill=—","Direction=H","UseDPDF=Y")</f>
        <v>—</v>
      </c>
      <c r="M183" s="13" t="str">
        <f>_xll.BDH("AMGN US Equity","ARDR_FV_DER_HEDG_LIABS_IR_FV_HDG","FQ2 2021","FQ2 2021","Currency=USD","Period=FQ","BEST_FPERIOD_OVERRIDE=FQ","FILING_STATUS=MR","SCALING_FORMAT=MLN","Sort=A","Dates=H","DateFormat=P","Fill=—","Direction=H","UseDPDF=Y")</f>
        <v>—</v>
      </c>
      <c r="N183" s="13" t="str">
        <f>_xll.BDH("AMGN US Equity","ARDR_FV_DER_HEDG_LIABS_IR_FV_HDG","FQ3 2021","FQ3 2021","Currency=USD","Period=FQ","BEST_FPERIOD_OVERRIDE=FQ","FILING_STATUS=MR","SCALING_FORMAT=MLN","Sort=A","Dates=H","DateFormat=P","Fill=—","Direction=H","UseDPDF=Y")</f>
        <v>—</v>
      </c>
      <c r="O183" s="13" t="str">
        <f>_xll.BDH("AMGN US Equity","ARDR_FV_DER_HEDG_LIABS_IR_FV_HDG","FQ4 2021","FQ4 2021","Currency=USD","Period=FQ","BEST_FPERIOD_OVERRIDE=FQ","FILING_STATUS=MR","SCALING_FORMAT=MLN","Sort=A","Dates=H","DateFormat=P","Fill=—","Direction=H","UseDPDF=Y")</f>
        <v>—</v>
      </c>
      <c r="P183" s="13" t="str">
        <f>_xll.BDH("AMGN US Equity","ARDR_FV_DER_HEDG_LIABS_IR_FV_HDG","FQ1 2022","FQ1 2022","Currency=USD","Period=FQ","BEST_FPERIOD_OVERRIDE=FQ","FILING_STATUS=MR","SCALING_FORMAT=MLN","Sort=A","Dates=H","DateFormat=P","Fill=—","Direction=H","UseDPDF=Y")</f>
        <v>—</v>
      </c>
      <c r="Q183" s="13" t="str">
        <f>_xll.BDH("AMGN US Equity","ARDR_FV_DER_HEDG_LIABS_IR_FV_HDG","FQ2 2022","FQ2 2022","Currency=USD","Period=FQ","BEST_FPERIOD_OVERRIDE=FQ","FILING_STATUS=MR","SCALING_FORMAT=MLN","Sort=A","Dates=H","DateFormat=P","Fill=—","Direction=H","UseDPDF=Y")</f>
        <v>—</v>
      </c>
      <c r="R183" s="13" t="str">
        <f>_xll.BDH("AMGN US Equity","ARDR_FV_DER_HEDG_LIABS_IR_FV_HDG","FQ3 2022","FQ3 2022","Currency=USD","Period=FQ","BEST_FPERIOD_OVERRIDE=FQ","FILING_STATUS=MR","SCALING_FORMAT=MLN","Sort=A","Dates=H","DateFormat=P","Fill=—","Direction=H","UseDPDF=Y")</f>
        <v>—</v>
      </c>
      <c r="S183" s="13" t="str">
        <f>_xll.BDH("AMGN US Equity","ARDR_FV_DER_HEDG_LIABS_IR_FV_HDG","FQ4 2022","FQ4 2022","Currency=USD","Period=FQ","BEST_FPERIOD_OVERRIDE=FQ","FILING_STATUS=MR","SCALING_FORMAT=MLN","Sort=A","Dates=H","DateFormat=P","Fill=—","Direction=H","UseDPDF=Y")</f>
        <v>—</v>
      </c>
      <c r="T183" s="13" t="str">
        <f>_xll.BDH("AMGN US Equity","ARDR_FV_DER_HEDG_LIABS_IR_FV_HDG","FQ1 2023","FQ1 2023","Currency=USD","Period=FQ","BEST_FPERIOD_OVERRIDE=FQ","FILING_STATUS=MR","SCALING_FORMAT=MLN","Sort=A","Dates=H","DateFormat=P","Fill=—","Direction=H","UseDPDF=Y")</f>
        <v>—</v>
      </c>
      <c r="U183" s="13" t="str">
        <f>_xll.BDH("AMGN US Equity","ARDR_FV_DER_HEDG_LIABS_IR_FV_HDG","FQ2 2023","FQ2 2023","Currency=USD","Period=FQ","BEST_FPERIOD_OVERRIDE=FQ","FILING_STATUS=MR","SCALING_FORMAT=MLN","Sort=A","Dates=H","DateFormat=P","Fill=—","Direction=H","UseDPDF=Y")</f>
        <v>—</v>
      </c>
      <c r="V183" s="13" t="str">
        <f>_xll.BDH("AMGN US Equity","ARDR_FV_DER_HEDG_LIABS_IR_FV_HDG","FQ3 2023","FQ3 2023","Currency=USD","Period=FQ","BEST_FPERIOD_OVERRIDE=FQ","FILING_STATUS=MR","SCALING_FORMAT=MLN","Sort=A","Dates=H","DateFormat=P","Fill=—","Direction=H","UseDPDF=Y")</f>
        <v>—</v>
      </c>
      <c r="W183" s="13" t="str">
        <f>_xll.BDH("AMGN US Equity","ARDR_FV_DER_HEDG_LIABS_IR_FV_HDG","FQ4 2023","FQ4 2023","Currency=USD","Period=FQ","BEST_FPERIOD_OVERRIDE=FQ","FILING_STATUS=MR","SCALING_FORMAT=MLN","Sort=A","Dates=H","DateFormat=P","Fill=—","Direction=H","UseDPDF=Y")</f>
        <v>—</v>
      </c>
      <c r="X183" s="13" t="str">
        <f>_xll.BDH("AMGN US Equity","ARDR_FV_DER_HEDG_LIABS_IR_FV_HDG","FQ1 2024","FQ1 2024","Currency=USD","Period=FQ","BEST_FPERIOD_OVERRIDE=FQ","FILING_STATUS=MR","SCALING_FORMAT=MLN","Sort=A","Dates=H","DateFormat=P","Fill=—","Direction=H","UseDPDF=Y")</f>
        <v>—</v>
      </c>
      <c r="Y183" s="13" t="str">
        <f>_xll.BDH("AMGN US Equity","ARDR_FV_DER_HEDG_LIABS_IR_FV_HDG","FQ2 2024","FQ2 2024","Currency=USD","Period=FQ","BEST_FPERIOD_OVERRIDE=FQ","FILING_STATUS=MR","SCALING_FORMAT=MLN","Sort=A","Dates=H","DateFormat=P","Fill=—","Direction=H","UseDPDF=Y")</f>
        <v>—</v>
      </c>
      <c r="Z183" s="13">
        <f>_xll.BDH("AMGN US Equity","ARDR_FV_DER_HEDG_LIABS_IR_FV_HDG","FQ3 2024","FQ3 2024","Currency=USD","Period=FQ","BEST_FPERIOD_OVERRIDE=FQ","FILING_STATUS=MR","SCALING_FORMAT=MLN","Sort=A","Dates=H","DateFormat=P","Fill=—","Direction=H","UseDPDF=Y")</f>
        <v>404</v>
      </c>
      <c r="AA183" s="13" t="str">
        <f>_xll.BDH("AMGN US Equity","ARDR_FV_DER_HEDG_LIABS_IR_FV_HDG","FQ4 2024","FQ4 2024","Currency=USD","Period=FQ","BEST_FPERIOD_OVERRIDE=FQ","FILING_STATUS=MR","SCALING_FORMAT=MLN","Sort=A","Dates=H","DateFormat=P","Fill=—","Direction=H","UseDPDF=Y")</f>
        <v>—</v>
      </c>
    </row>
    <row r="184" spans="1:27" x14ac:dyDescent="0.25">
      <c r="A184" s="10" t="s">
        <v>1182</v>
      </c>
      <c r="B184" s="10" t="s">
        <v>1183</v>
      </c>
      <c r="C184" s="13" t="str">
        <f>_xll.BDH("AMGN US Equity","ARDR_FV_NON_HEDG_DERIV_ASSETS_FX","FQ4 2018","FQ4 2018","Currency=USD","Period=FQ","BEST_FPERIOD_OVERRIDE=FQ","FILING_STATUS=MR","SCALING_FORMAT=MLN","Sort=A","Dates=H","DateFormat=P","Fill=—","Direction=H","UseDPDF=Y")</f>
        <v>—</v>
      </c>
      <c r="D184" s="13" t="str">
        <f>_xll.BDH("AMGN US Equity","ARDR_FV_NON_HEDG_DERIV_ASSETS_FX","FQ1 2019","FQ1 2019","Currency=USD","Period=FQ","BEST_FPERIOD_OVERRIDE=FQ","FILING_STATUS=MR","SCALING_FORMAT=MLN","Sort=A","Dates=H","DateFormat=P","Fill=—","Direction=H","UseDPDF=Y")</f>
        <v>—</v>
      </c>
      <c r="E184" s="13" t="str">
        <f>_xll.BDH("AMGN US Equity","ARDR_FV_NON_HEDG_DERIV_ASSETS_FX","FQ2 2019","FQ2 2019","Currency=USD","Period=FQ","BEST_FPERIOD_OVERRIDE=FQ","FILING_STATUS=MR","SCALING_FORMAT=MLN","Sort=A","Dates=H","DateFormat=P","Fill=—","Direction=H","UseDPDF=Y")</f>
        <v>—</v>
      </c>
      <c r="F184" s="13">
        <f>_xll.BDH("AMGN US Equity","ARDR_FV_NON_HEDG_DERIV_ASSETS_FX","FQ3 2019","FQ3 2019","Currency=USD","Period=FQ","BEST_FPERIOD_OVERRIDE=FQ","FILING_STATUS=MR","SCALING_FORMAT=MLN","Sort=A","Dates=H","DateFormat=P","Fill=—","Direction=H","UseDPDF=Y")</f>
        <v>0</v>
      </c>
      <c r="G184" s="13" t="str">
        <f>_xll.BDH("AMGN US Equity","ARDR_FV_NON_HEDG_DERIV_ASSETS_FX","FQ4 2019","FQ4 2019","Currency=USD","Period=FQ","BEST_FPERIOD_OVERRIDE=FQ","FILING_STATUS=MR","SCALING_FORMAT=MLN","Sort=A","Dates=H","DateFormat=P","Fill=—","Direction=H","UseDPDF=Y")</f>
        <v>—</v>
      </c>
      <c r="H184" s="13" t="str">
        <f>_xll.BDH("AMGN US Equity","ARDR_FV_NON_HEDG_DERIV_ASSETS_FX","FQ1 2020","FQ1 2020","Currency=USD","Period=FQ","BEST_FPERIOD_OVERRIDE=FQ","FILING_STATUS=MR","SCALING_FORMAT=MLN","Sort=A","Dates=H","DateFormat=P","Fill=—","Direction=H","UseDPDF=Y")</f>
        <v>—</v>
      </c>
      <c r="I184" s="13">
        <f>_xll.BDH("AMGN US Equity","ARDR_FV_NON_HEDG_DERIV_ASSETS_FX","FQ2 2020","FQ2 2020","Currency=USD","Period=FQ","BEST_FPERIOD_OVERRIDE=FQ","FILING_STATUS=MR","SCALING_FORMAT=MLN","Sort=A","Dates=H","DateFormat=P","Fill=—","Direction=H","UseDPDF=Y")</f>
        <v>0</v>
      </c>
      <c r="J184" s="13" t="str">
        <f>_xll.BDH("AMGN US Equity","ARDR_FV_NON_HEDG_DERIV_ASSETS_FX","FQ3 2020","FQ3 2020","Currency=USD","Period=FQ","BEST_FPERIOD_OVERRIDE=FQ","FILING_STATUS=MR","SCALING_FORMAT=MLN","Sort=A","Dates=H","DateFormat=P","Fill=—","Direction=H","UseDPDF=Y")</f>
        <v>—</v>
      </c>
      <c r="K184" s="13" t="str">
        <f>_xll.BDH("AMGN US Equity","ARDR_FV_NON_HEDG_DERIV_ASSETS_FX","FQ4 2020","FQ4 2020","Currency=USD","Period=FQ","BEST_FPERIOD_OVERRIDE=FQ","FILING_STATUS=MR","SCALING_FORMAT=MLN","Sort=A","Dates=H","DateFormat=P","Fill=—","Direction=H","UseDPDF=Y")</f>
        <v>—</v>
      </c>
      <c r="L184" s="13" t="str">
        <f>_xll.BDH("AMGN US Equity","ARDR_FV_NON_HEDG_DERIV_ASSETS_FX","FQ1 2021","FQ1 2021","Currency=USD","Period=FQ","BEST_FPERIOD_OVERRIDE=FQ","FILING_STATUS=MR","SCALING_FORMAT=MLN","Sort=A","Dates=H","DateFormat=P","Fill=—","Direction=H","UseDPDF=Y")</f>
        <v>—</v>
      </c>
      <c r="M184" s="13" t="str">
        <f>_xll.BDH("AMGN US Equity","ARDR_FV_NON_HEDG_DERIV_ASSETS_FX","FQ2 2021","FQ2 2021","Currency=USD","Period=FQ","BEST_FPERIOD_OVERRIDE=FQ","FILING_STATUS=MR","SCALING_FORMAT=MLN","Sort=A","Dates=H","DateFormat=P","Fill=—","Direction=H","UseDPDF=Y")</f>
        <v>—</v>
      </c>
      <c r="N184" s="13" t="str">
        <f>_xll.BDH("AMGN US Equity","ARDR_FV_NON_HEDG_DERIV_ASSETS_FX","FQ3 2021","FQ3 2021","Currency=USD","Period=FQ","BEST_FPERIOD_OVERRIDE=FQ","FILING_STATUS=MR","SCALING_FORMAT=MLN","Sort=A","Dates=H","DateFormat=P","Fill=—","Direction=H","UseDPDF=Y")</f>
        <v>—</v>
      </c>
      <c r="O184" s="13" t="str">
        <f>_xll.BDH("AMGN US Equity","ARDR_FV_NON_HEDG_DERIV_ASSETS_FX","FQ4 2021","FQ4 2021","Currency=USD","Period=FQ","BEST_FPERIOD_OVERRIDE=FQ","FILING_STATUS=MR","SCALING_FORMAT=MLN","Sort=A","Dates=H","DateFormat=P","Fill=—","Direction=H","UseDPDF=Y")</f>
        <v>—</v>
      </c>
      <c r="P184" s="13" t="str">
        <f>_xll.BDH("AMGN US Equity","ARDR_FV_NON_HEDG_DERIV_ASSETS_FX","FQ1 2022","FQ1 2022","Currency=USD","Period=FQ","BEST_FPERIOD_OVERRIDE=FQ","FILING_STATUS=MR","SCALING_FORMAT=MLN","Sort=A","Dates=H","DateFormat=P","Fill=—","Direction=H","UseDPDF=Y")</f>
        <v>—</v>
      </c>
      <c r="Q184" s="13" t="str">
        <f>_xll.BDH("AMGN US Equity","ARDR_FV_NON_HEDG_DERIV_ASSETS_FX","FQ2 2022","FQ2 2022","Currency=USD","Period=FQ","BEST_FPERIOD_OVERRIDE=FQ","FILING_STATUS=MR","SCALING_FORMAT=MLN","Sort=A","Dates=H","DateFormat=P","Fill=—","Direction=H","UseDPDF=Y")</f>
        <v>—</v>
      </c>
      <c r="R184" s="13" t="str">
        <f>_xll.BDH("AMGN US Equity","ARDR_FV_NON_HEDG_DERIV_ASSETS_FX","FQ3 2022","FQ3 2022","Currency=USD","Period=FQ","BEST_FPERIOD_OVERRIDE=FQ","FILING_STATUS=MR","SCALING_FORMAT=MLN","Sort=A","Dates=H","DateFormat=P","Fill=—","Direction=H","UseDPDF=Y")</f>
        <v>—</v>
      </c>
      <c r="S184" s="13" t="str">
        <f>_xll.BDH("AMGN US Equity","ARDR_FV_NON_HEDG_DERIV_ASSETS_FX","FQ4 2022","FQ4 2022","Currency=USD","Period=FQ","BEST_FPERIOD_OVERRIDE=FQ","FILING_STATUS=MR","SCALING_FORMAT=MLN","Sort=A","Dates=H","DateFormat=P","Fill=—","Direction=H","UseDPDF=Y")</f>
        <v>—</v>
      </c>
      <c r="T184" s="13" t="str">
        <f>_xll.BDH("AMGN US Equity","ARDR_FV_NON_HEDG_DERIV_ASSETS_FX","FQ1 2023","FQ1 2023","Currency=USD","Period=FQ","BEST_FPERIOD_OVERRIDE=FQ","FILING_STATUS=MR","SCALING_FORMAT=MLN","Sort=A","Dates=H","DateFormat=P","Fill=—","Direction=H","UseDPDF=Y")</f>
        <v>—</v>
      </c>
      <c r="U184" s="13" t="str">
        <f>_xll.BDH("AMGN US Equity","ARDR_FV_NON_HEDG_DERIV_ASSETS_FX","FQ2 2023","FQ2 2023","Currency=USD","Period=FQ","BEST_FPERIOD_OVERRIDE=FQ","FILING_STATUS=MR","SCALING_FORMAT=MLN","Sort=A","Dates=H","DateFormat=P","Fill=—","Direction=H","UseDPDF=Y")</f>
        <v>—</v>
      </c>
      <c r="V184" s="13" t="str">
        <f>_xll.BDH("AMGN US Equity","ARDR_FV_NON_HEDG_DERIV_ASSETS_FX","FQ3 2023","FQ3 2023","Currency=USD","Period=FQ","BEST_FPERIOD_OVERRIDE=FQ","FILING_STATUS=MR","SCALING_FORMAT=MLN","Sort=A","Dates=H","DateFormat=P","Fill=—","Direction=H","UseDPDF=Y")</f>
        <v>—</v>
      </c>
      <c r="W184" s="13" t="str">
        <f>_xll.BDH("AMGN US Equity","ARDR_FV_NON_HEDG_DERIV_ASSETS_FX","FQ4 2023","FQ4 2023","Currency=USD","Period=FQ","BEST_FPERIOD_OVERRIDE=FQ","FILING_STATUS=MR","SCALING_FORMAT=MLN","Sort=A","Dates=H","DateFormat=P","Fill=—","Direction=H","UseDPDF=Y")</f>
        <v>—</v>
      </c>
      <c r="X184" s="13" t="str">
        <f>_xll.BDH("AMGN US Equity","ARDR_FV_NON_HEDG_DERIV_ASSETS_FX","FQ1 2024","FQ1 2024","Currency=USD","Period=FQ","BEST_FPERIOD_OVERRIDE=FQ","FILING_STATUS=MR","SCALING_FORMAT=MLN","Sort=A","Dates=H","DateFormat=P","Fill=—","Direction=H","UseDPDF=Y")</f>
        <v>—</v>
      </c>
      <c r="Y184" s="13" t="str">
        <f>_xll.BDH("AMGN US Equity","ARDR_FV_NON_HEDG_DERIV_ASSETS_FX","FQ2 2024","FQ2 2024","Currency=USD","Period=FQ","BEST_FPERIOD_OVERRIDE=FQ","FILING_STATUS=MR","SCALING_FORMAT=MLN","Sort=A","Dates=H","DateFormat=P","Fill=—","Direction=H","UseDPDF=Y")</f>
        <v>—</v>
      </c>
      <c r="Z184" s="13" t="str">
        <f>_xll.BDH("AMGN US Equity","ARDR_FV_NON_HEDG_DERIV_ASSETS_FX","FQ3 2024","FQ3 2024","Currency=USD","Period=FQ","BEST_FPERIOD_OVERRIDE=FQ","FILING_STATUS=MR","SCALING_FORMAT=MLN","Sort=A","Dates=H","DateFormat=P","Fill=—","Direction=H","UseDPDF=Y")</f>
        <v>—</v>
      </c>
      <c r="AA184" s="13" t="str">
        <f>_xll.BDH("AMGN US Equity","ARDR_FV_NON_HEDG_DERIV_ASSETS_FX","FQ4 2024","FQ4 2024","Currency=USD","Period=FQ","BEST_FPERIOD_OVERRIDE=FQ","FILING_STATUS=MR","SCALING_FORMAT=MLN","Sort=A","Dates=H","DateFormat=P","Fill=—","Direction=H","UseDPDF=Y")</f>
        <v>—</v>
      </c>
    </row>
    <row r="185" spans="1:27" x14ac:dyDescent="0.25">
      <c r="A185" s="10" t="s">
        <v>1184</v>
      </c>
      <c r="B185" s="10" t="s">
        <v>1185</v>
      </c>
      <c r="C185" s="13" t="str">
        <f>_xll.BDH("AMGN US Equity","ARDR_FV_HEDG_DERIV_LIABS_FX","FQ4 2018","FQ4 2018","Currency=USD","Period=FQ","BEST_FPERIOD_OVERRIDE=FQ","FILING_STATUS=MR","SCALING_FORMAT=MLN","Sort=A","Dates=H","DateFormat=P","Fill=—","Direction=H","UseDPDF=Y")</f>
        <v>—</v>
      </c>
      <c r="D185" s="13" t="str">
        <f>_xll.BDH("AMGN US Equity","ARDR_FV_HEDG_DERIV_LIABS_FX","FQ1 2019","FQ1 2019","Currency=USD","Period=FQ","BEST_FPERIOD_OVERRIDE=FQ","FILING_STATUS=MR","SCALING_FORMAT=MLN","Sort=A","Dates=H","DateFormat=P","Fill=—","Direction=H","UseDPDF=Y")</f>
        <v>—</v>
      </c>
      <c r="E185" s="13" t="str">
        <f>_xll.BDH("AMGN US Equity","ARDR_FV_HEDG_DERIV_LIABS_FX","FQ2 2019","FQ2 2019","Currency=USD","Period=FQ","BEST_FPERIOD_OVERRIDE=FQ","FILING_STATUS=MR","SCALING_FORMAT=MLN","Sort=A","Dates=H","DateFormat=P","Fill=—","Direction=H","UseDPDF=Y")</f>
        <v>—</v>
      </c>
      <c r="F185" s="13">
        <f>_xll.BDH("AMGN US Equity","ARDR_FV_HEDG_DERIV_LIABS_FX","FQ3 2019","FQ3 2019","Currency=USD","Period=FQ","BEST_FPERIOD_OVERRIDE=FQ","FILING_STATUS=MR","SCALING_FORMAT=MLN","Sort=A","Dates=H","DateFormat=P","Fill=—","Direction=H","UseDPDF=Y")</f>
        <v>0</v>
      </c>
      <c r="G185" s="13" t="str">
        <f>_xll.BDH("AMGN US Equity","ARDR_FV_HEDG_DERIV_LIABS_FX","FQ4 2019","FQ4 2019","Currency=USD","Period=FQ","BEST_FPERIOD_OVERRIDE=FQ","FILING_STATUS=MR","SCALING_FORMAT=MLN","Sort=A","Dates=H","DateFormat=P","Fill=—","Direction=H","UseDPDF=Y")</f>
        <v>—</v>
      </c>
      <c r="H185" s="13" t="str">
        <f>_xll.BDH("AMGN US Equity","ARDR_FV_HEDG_DERIV_LIABS_FX","FQ1 2020","FQ1 2020","Currency=USD","Period=FQ","BEST_FPERIOD_OVERRIDE=FQ","FILING_STATUS=MR","SCALING_FORMAT=MLN","Sort=A","Dates=H","DateFormat=P","Fill=—","Direction=H","UseDPDF=Y")</f>
        <v>—</v>
      </c>
      <c r="I185" s="13">
        <f>_xll.BDH("AMGN US Equity","ARDR_FV_HEDG_DERIV_LIABS_FX","FQ2 2020","FQ2 2020","Currency=USD","Period=FQ","BEST_FPERIOD_OVERRIDE=FQ","FILING_STATUS=MR","SCALING_FORMAT=MLN","Sort=A","Dates=H","DateFormat=P","Fill=—","Direction=H","UseDPDF=Y")</f>
        <v>0</v>
      </c>
      <c r="J185" s="13">
        <f>_xll.BDH("AMGN US Equity","ARDR_FV_HEDG_DERIV_LIABS_FX","FQ3 2020","FQ3 2020","Currency=USD","Period=FQ","BEST_FPERIOD_OVERRIDE=FQ","FILING_STATUS=MR","SCALING_FORMAT=MLN","Sort=A","Dates=H","DateFormat=P","Fill=—","Direction=H","UseDPDF=Y")</f>
        <v>0</v>
      </c>
      <c r="K185" s="13" t="str">
        <f>_xll.BDH("AMGN US Equity","ARDR_FV_HEDG_DERIV_LIABS_FX","FQ4 2020","FQ4 2020","Currency=USD","Period=FQ","BEST_FPERIOD_OVERRIDE=FQ","FILING_STATUS=MR","SCALING_FORMAT=MLN","Sort=A","Dates=H","DateFormat=P","Fill=—","Direction=H","UseDPDF=Y")</f>
        <v>—</v>
      </c>
      <c r="L185" s="13" t="str">
        <f>_xll.BDH("AMGN US Equity","ARDR_FV_HEDG_DERIV_LIABS_FX","FQ1 2021","FQ1 2021","Currency=USD","Period=FQ","BEST_FPERIOD_OVERRIDE=FQ","FILING_STATUS=MR","SCALING_FORMAT=MLN","Sort=A","Dates=H","DateFormat=P","Fill=—","Direction=H","UseDPDF=Y")</f>
        <v>—</v>
      </c>
      <c r="M185" s="13" t="str">
        <f>_xll.BDH("AMGN US Equity","ARDR_FV_HEDG_DERIV_LIABS_FX","FQ2 2021","FQ2 2021","Currency=USD","Period=FQ","BEST_FPERIOD_OVERRIDE=FQ","FILING_STATUS=MR","SCALING_FORMAT=MLN","Sort=A","Dates=H","DateFormat=P","Fill=—","Direction=H","UseDPDF=Y")</f>
        <v>—</v>
      </c>
      <c r="N185" s="13" t="str">
        <f>_xll.BDH("AMGN US Equity","ARDR_FV_HEDG_DERIV_LIABS_FX","FQ3 2021","FQ3 2021","Currency=USD","Period=FQ","BEST_FPERIOD_OVERRIDE=FQ","FILING_STATUS=MR","SCALING_FORMAT=MLN","Sort=A","Dates=H","DateFormat=P","Fill=—","Direction=H","UseDPDF=Y")</f>
        <v>—</v>
      </c>
      <c r="O185" s="13" t="str">
        <f>_xll.BDH("AMGN US Equity","ARDR_FV_HEDG_DERIV_LIABS_FX","FQ4 2021","FQ4 2021","Currency=USD","Period=FQ","BEST_FPERIOD_OVERRIDE=FQ","FILING_STATUS=MR","SCALING_FORMAT=MLN","Sort=A","Dates=H","DateFormat=P","Fill=—","Direction=H","UseDPDF=Y")</f>
        <v>—</v>
      </c>
      <c r="P185" s="13" t="str">
        <f>_xll.BDH("AMGN US Equity","ARDR_FV_HEDG_DERIV_LIABS_FX","FQ1 2022","FQ1 2022","Currency=USD","Period=FQ","BEST_FPERIOD_OVERRIDE=FQ","FILING_STATUS=MR","SCALING_FORMAT=MLN","Sort=A","Dates=H","DateFormat=P","Fill=—","Direction=H","UseDPDF=Y")</f>
        <v>—</v>
      </c>
      <c r="Q185" s="13" t="str">
        <f>_xll.BDH("AMGN US Equity","ARDR_FV_HEDG_DERIV_LIABS_FX","FQ2 2022","FQ2 2022","Currency=USD","Period=FQ","BEST_FPERIOD_OVERRIDE=FQ","FILING_STATUS=MR","SCALING_FORMAT=MLN","Sort=A","Dates=H","DateFormat=P","Fill=—","Direction=H","UseDPDF=Y")</f>
        <v>—</v>
      </c>
      <c r="R185" s="13" t="str">
        <f>_xll.BDH("AMGN US Equity","ARDR_FV_HEDG_DERIV_LIABS_FX","FQ3 2022","FQ3 2022","Currency=USD","Period=FQ","BEST_FPERIOD_OVERRIDE=FQ","FILING_STATUS=MR","SCALING_FORMAT=MLN","Sort=A","Dates=H","DateFormat=P","Fill=—","Direction=H","UseDPDF=Y")</f>
        <v>—</v>
      </c>
      <c r="S185" s="13" t="str">
        <f>_xll.BDH("AMGN US Equity","ARDR_FV_HEDG_DERIV_LIABS_FX","FQ4 2022","FQ4 2022","Currency=USD","Period=FQ","BEST_FPERIOD_OVERRIDE=FQ","FILING_STATUS=MR","SCALING_FORMAT=MLN","Sort=A","Dates=H","DateFormat=P","Fill=—","Direction=H","UseDPDF=Y")</f>
        <v>—</v>
      </c>
      <c r="T185" s="13" t="str">
        <f>_xll.BDH("AMGN US Equity","ARDR_FV_HEDG_DERIV_LIABS_FX","FQ1 2023","FQ1 2023","Currency=USD","Period=FQ","BEST_FPERIOD_OVERRIDE=FQ","FILING_STATUS=MR","SCALING_FORMAT=MLN","Sort=A","Dates=H","DateFormat=P","Fill=—","Direction=H","UseDPDF=Y")</f>
        <v>—</v>
      </c>
      <c r="U185" s="13" t="str">
        <f>_xll.BDH("AMGN US Equity","ARDR_FV_HEDG_DERIV_LIABS_FX","FQ2 2023","FQ2 2023","Currency=USD","Period=FQ","BEST_FPERIOD_OVERRIDE=FQ","FILING_STATUS=MR","SCALING_FORMAT=MLN","Sort=A","Dates=H","DateFormat=P","Fill=—","Direction=H","UseDPDF=Y")</f>
        <v>—</v>
      </c>
      <c r="V185" s="13" t="str">
        <f>_xll.BDH("AMGN US Equity","ARDR_FV_HEDG_DERIV_LIABS_FX","FQ3 2023","FQ3 2023","Currency=USD","Period=FQ","BEST_FPERIOD_OVERRIDE=FQ","FILING_STATUS=MR","SCALING_FORMAT=MLN","Sort=A","Dates=H","DateFormat=P","Fill=—","Direction=H","UseDPDF=Y")</f>
        <v>—</v>
      </c>
      <c r="W185" s="13" t="str">
        <f>_xll.BDH("AMGN US Equity","ARDR_FV_HEDG_DERIV_LIABS_FX","FQ4 2023","FQ4 2023","Currency=USD","Period=FQ","BEST_FPERIOD_OVERRIDE=FQ","FILING_STATUS=MR","SCALING_FORMAT=MLN","Sort=A","Dates=H","DateFormat=P","Fill=—","Direction=H","UseDPDF=Y")</f>
        <v>—</v>
      </c>
      <c r="X185" s="13" t="str">
        <f>_xll.BDH("AMGN US Equity","ARDR_FV_HEDG_DERIV_LIABS_FX","FQ1 2024","FQ1 2024","Currency=USD","Period=FQ","BEST_FPERIOD_OVERRIDE=FQ","FILING_STATUS=MR","SCALING_FORMAT=MLN","Sort=A","Dates=H","DateFormat=P","Fill=—","Direction=H","UseDPDF=Y")</f>
        <v>—</v>
      </c>
      <c r="Y185" s="13" t="str">
        <f>_xll.BDH("AMGN US Equity","ARDR_FV_HEDG_DERIV_LIABS_FX","FQ2 2024","FQ2 2024","Currency=USD","Period=FQ","BEST_FPERIOD_OVERRIDE=FQ","FILING_STATUS=MR","SCALING_FORMAT=MLN","Sort=A","Dates=H","DateFormat=P","Fill=—","Direction=H","UseDPDF=Y")</f>
        <v>—</v>
      </c>
      <c r="Z185" s="13" t="str">
        <f>_xll.BDH("AMGN US Equity","ARDR_FV_HEDG_DERIV_LIABS_FX","FQ3 2024","FQ3 2024","Currency=USD","Period=FQ","BEST_FPERIOD_OVERRIDE=FQ","FILING_STATUS=MR","SCALING_FORMAT=MLN","Sort=A","Dates=H","DateFormat=P","Fill=—","Direction=H","UseDPDF=Y")</f>
        <v>—</v>
      </c>
      <c r="AA185" s="13" t="str">
        <f>_xll.BDH("AMGN US Equity","ARDR_FV_HEDG_DERIV_LIABS_FX","FQ4 2024","FQ4 2024","Currency=USD","Period=FQ","BEST_FPERIOD_OVERRIDE=FQ","FILING_STATUS=MR","SCALING_FORMAT=MLN","Sort=A","Dates=H","DateFormat=P","Fill=—","Direction=H","UseDPDF=Y")</f>
        <v>—</v>
      </c>
    </row>
    <row r="186" spans="1:27" x14ac:dyDescent="0.25">
      <c r="A186" s="10" t="s">
        <v>1186</v>
      </c>
      <c r="B186" s="10" t="s">
        <v>1187</v>
      </c>
      <c r="C186" s="13">
        <f>_xll.BDH("AMGN US Equity","ARDR_FV_HEDG_DERIV_LIABI_FX","FQ4 2018","FQ4 2018","Currency=USD","Period=FQ","BEST_FPERIOD_OVERRIDE=FQ","FILING_STATUS=MR","SCALING_FORMAT=MLN","Sort=A","Dates=H","DateFormat=P","Fill=—","Direction=H","UseDPDF=Y")</f>
        <v>26</v>
      </c>
      <c r="D186" s="13">
        <f>_xll.BDH("AMGN US Equity","ARDR_FV_HEDG_DERIV_LIABI_FX","FQ1 2019","FQ1 2019","Currency=USD","Period=FQ","BEST_FPERIOD_OVERRIDE=FQ","FILING_STATUS=MR","SCALING_FORMAT=MLN","Sort=A","Dates=H","DateFormat=P","Fill=—","Direction=H","UseDPDF=Y")</f>
        <v>8</v>
      </c>
      <c r="E186" s="13">
        <f>_xll.BDH("AMGN US Equity","ARDR_FV_HEDG_DERIV_LIABI_FX","FQ2 2019","FQ2 2019","Currency=USD","Period=FQ","BEST_FPERIOD_OVERRIDE=FQ","FILING_STATUS=MR","SCALING_FORMAT=MLN","Sort=A","Dates=H","DateFormat=P","Fill=—","Direction=H","UseDPDF=Y")</f>
        <v>15</v>
      </c>
      <c r="F186" s="13">
        <f>_xll.BDH("AMGN US Equity","ARDR_FV_HEDG_DERIV_LIABI_FX","FQ3 2019","FQ3 2019","Currency=USD","Period=FQ","BEST_FPERIOD_OVERRIDE=FQ","FILING_STATUS=MR","SCALING_FORMAT=MLN","Sort=A","Dates=H","DateFormat=P","Fill=—","Direction=H","UseDPDF=Y")</f>
        <v>6</v>
      </c>
      <c r="G186" s="13">
        <f>_xll.BDH("AMGN US Equity","ARDR_FV_HEDG_DERIV_LIABI_FX","FQ4 2019","FQ4 2019","Currency=USD","Period=FQ","BEST_FPERIOD_OVERRIDE=FQ","FILING_STATUS=MR","SCALING_FORMAT=MLN","Sort=A","Dates=H","DateFormat=P","Fill=—","Direction=H","UseDPDF=Y")</f>
        <v>31</v>
      </c>
      <c r="H186" s="13">
        <f>_xll.BDH("AMGN US Equity","ARDR_FV_HEDG_DERIV_LIABI_FX","FQ1 2020","FQ1 2020","Currency=USD","Period=FQ","BEST_FPERIOD_OVERRIDE=FQ","FILING_STATUS=MR","SCALING_FORMAT=MLN","Sort=A","Dates=H","DateFormat=P","Fill=—","Direction=H","UseDPDF=Y")</f>
        <v>5</v>
      </c>
      <c r="I186" s="13">
        <f>_xll.BDH("AMGN US Equity","ARDR_FV_HEDG_DERIV_LIABI_FX","FQ2 2020","FQ2 2020","Currency=USD","Period=FQ","BEST_FPERIOD_OVERRIDE=FQ","FILING_STATUS=MR","SCALING_FORMAT=MLN","Sort=A","Dates=H","DateFormat=P","Fill=—","Direction=H","UseDPDF=Y")</f>
        <v>630</v>
      </c>
      <c r="J186" s="13">
        <f>_xll.BDH("AMGN US Equity","ARDR_FV_HEDG_DERIV_LIABI_FX","FQ3 2020","FQ3 2020","Currency=USD","Period=FQ","BEST_FPERIOD_OVERRIDE=FQ","FILING_STATUS=MR","SCALING_FORMAT=MLN","Sort=A","Dates=H","DateFormat=P","Fill=—","Direction=H","UseDPDF=Y")</f>
        <v>569</v>
      </c>
      <c r="K186" s="13">
        <f>_xll.BDH("AMGN US Equity","ARDR_FV_HEDG_DERIV_LIABI_FX","FQ4 2020","FQ4 2020","Currency=USD","Period=FQ","BEST_FPERIOD_OVERRIDE=FQ","FILING_STATUS=MR","SCALING_FORMAT=MLN","Sort=A","Dates=H","DateFormat=P","Fill=—","Direction=H","UseDPDF=Y")</f>
        <v>237</v>
      </c>
      <c r="L186" s="13">
        <f>_xll.BDH("AMGN US Equity","ARDR_FV_HEDG_DERIV_LIABI_FX","FQ1 2021","FQ1 2021","Currency=USD","Period=FQ","BEST_FPERIOD_OVERRIDE=FQ","FILING_STATUS=MR","SCALING_FORMAT=MLN","Sort=A","Dates=H","DateFormat=P","Fill=—","Direction=H","UseDPDF=Y")</f>
        <v>107</v>
      </c>
      <c r="M186" s="13">
        <f>_xll.BDH("AMGN US Equity","ARDR_FV_HEDG_DERIV_LIABI_FX","FQ2 2021","FQ2 2021","Currency=USD","Period=FQ","BEST_FPERIOD_OVERRIDE=FQ","FILING_STATUS=MR","SCALING_FORMAT=MLN","Sort=A","Dates=H","DateFormat=P","Fill=—","Direction=H","UseDPDF=Y")</f>
        <v>119</v>
      </c>
      <c r="N186" s="13">
        <f>_xll.BDH("AMGN US Equity","ARDR_FV_HEDG_DERIV_LIABI_FX","FQ3 2021","FQ3 2021","Currency=USD","Period=FQ","BEST_FPERIOD_OVERRIDE=FQ","FILING_STATUS=MR","SCALING_FORMAT=MLN","Sort=A","Dates=H","DateFormat=P","Fill=—","Direction=H","UseDPDF=Y")</f>
        <v>54</v>
      </c>
      <c r="O186" s="13">
        <f>_xll.BDH("AMGN US Equity","ARDR_FV_HEDG_DERIV_LIABI_FX","FQ4 2021","FQ4 2021","Currency=USD","Period=FQ","BEST_FPERIOD_OVERRIDE=FQ","FILING_STATUS=MR","SCALING_FORMAT=MLN","Sort=A","Dates=H","DateFormat=P","Fill=—","Direction=H","UseDPDF=Y")</f>
        <v>39</v>
      </c>
      <c r="P186" s="13">
        <f>_xll.BDH("AMGN US Equity","ARDR_FV_HEDG_DERIV_LIABI_FX","FQ1 2022","FQ1 2022","Currency=USD","Period=FQ","BEST_FPERIOD_OVERRIDE=FQ","FILING_STATUS=MR","SCALING_FORMAT=MLN","Sort=A","Dates=H","DateFormat=P","Fill=—","Direction=H","UseDPDF=Y")</f>
        <v>51</v>
      </c>
      <c r="Q186" s="13">
        <f>_xll.BDH("AMGN US Equity","ARDR_FV_HEDG_DERIV_LIABI_FX","FQ2 2022","FQ2 2022","Currency=USD","Period=FQ","BEST_FPERIOD_OVERRIDE=FQ","FILING_STATUS=MR","SCALING_FORMAT=MLN","Sort=A","Dates=H","DateFormat=P","Fill=—","Direction=H","UseDPDF=Y")</f>
        <v>30</v>
      </c>
      <c r="R186" s="13">
        <f>_xll.BDH("AMGN US Equity","ARDR_FV_HEDG_DERIV_LIABI_FX","FQ3 2022","FQ3 2022","Currency=USD","Period=FQ","BEST_FPERIOD_OVERRIDE=FQ","FILING_STATUS=MR","SCALING_FORMAT=MLN","Sort=A","Dates=H","DateFormat=P","Fill=—","Direction=H","UseDPDF=Y")</f>
        <v>22</v>
      </c>
      <c r="S186" s="13">
        <f>_xll.BDH("AMGN US Equity","ARDR_FV_HEDG_DERIV_LIABI_FX","FQ4 2022","FQ4 2022","Currency=USD","Period=FQ","BEST_FPERIOD_OVERRIDE=FQ","FILING_STATUS=MR","SCALING_FORMAT=MLN","Sort=A","Dates=H","DateFormat=P","Fill=—","Direction=H","UseDPDF=Y")</f>
        <v>76</v>
      </c>
      <c r="T186" s="13">
        <f>_xll.BDH("AMGN US Equity","ARDR_FV_HEDG_DERIV_LIABI_FX","FQ1 2023","FQ1 2023","Currency=USD","Period=FQ","BEST_FPERIOD_OVERRIDE=FQ","FILING_STATUS=MR","SCALING_FORMAT=MLN","Sort=A","Dates=H","DateFormat=P","Fill=—","Direction=H","UseDPDF=Y")</f>
        <v>73</v>
      </c>
      <c r="U186" s="13">
        <f>_xll.BDH("AMGN US Equity","ARDR_FV_HEDG_DERIV_LIABI_FX","FQ2 2023","FQ2 2023","Currency=USD","Period=FQ","BEST_FPERIOD_OVERRIDE=FQ","FILING_STATUS=MR","SCALING_FORMAT=MLN","Sort=A","Dates=H","DateFormat=P","Fill=—","Direction=H","UseDPDF=Y")</f>
        <v>83</v>
      </c>
      <c r="V186" s="13">
        <f>_xll.BDH("AMGN US Equity","ARDR_FV_HEDG_DERIV_LIABI_FX","FQ3 2023","FQ3 2023","Currency=USD","Period=FQ","BEST_FPERIOD_OVERRIDE=FQ","FILING_STATUS=MR","SCALING_FORMAT=MLN","Sort=A","Dates=H","DateFormat=P","Fill=—","Direction=H","UseDPDF=Y")</f>
        <v>29</v>
      </c>
      <c r="W186" s="13">
        <f>_xll.BDH("AMGN US Equity","ARDR_FV_HEDG_DERIV_LIABI_FX","FQ4 2023","FQ4 2023","Currency=USD","Period=FQ","BEST_FPERIOD_OVERRIDE=FQ","FILING_STATUS=MR","SCALING_FORMAT=MLN","Sort=A","Dates=H","DateFormat=P","Fill=—","Direction=H","UseDPDF=Y")</f>
        <v>116</v>
      </c>
      <c r="X186" s="13">
        <f>_xll.BDH("AMGN US Equity","ARDR_FV_HEDG_DERIV_LIABI_FX","FQ1 2024","FQ1 2024","Currency=USD","Period=FQ","BEST_FPERIOD_OVERRIDE=FQ","FILING_STATUS=MR","SCALING_FORMAT=MLN","Sort=A","Dates=H","DateFormat=P","Fill=—","Direction=H","UseDPDF=Y")</f>
        <v>43</v>
      </c>
      <c r="Y186" s="13">
        <f>_xll.BDH("AMGN US Equity","ARDR_FV_HEDG_DERIV_LIABI_FX","FQ2 2024","FQ2 2024","Currency=USD","Period=FQ","BEST_FPERIOD_OVERRIDE=FQ","FILING_STATUS=MR","SCALING_FORMAT=MLN","Sort=A","Dates=H","DateFormat=P","Fill=—","Direction=H","UseDPDF=Y")</f>
        <v>28</v>
      </c>
      <c r="Z186" s="13">
        <f>_xll.BDH("AMGN US Equity","ARDR_FV_HEDG_DERIV_LIABI_FX","FQ3 2024","FQ3 2024","Currency=USD","Period=FQ","BEST_FPERIOD_OVERRIDE=FQ","FILING_STATUS=MR","SCALING_FORMAT=MLN","Sort=A","Dates=H","DateFormat=P","Fill=—","Direction=H","UseDPDF=Y")</f>
        <v>121</v>
      </c>
      <c r="AA186" s="13">
        <f>_xll.BDH("AMGN US Equity","ARDR_FV_HEDG_DERIV_LIABI_FX","FQ4 2024","FQ4 2024","Currency=USD","Period=FQ","BEST_FPERIOD_OVERRIDE=FQ","FILING_STATUS=MR","SCALING_FORMAT=MLN","Sort=A","Dates=H","DateFormat=P","Fill=—","Direction=H","UseDPDF=Y")</f>
        <v>8</v>
      </c>
    </row>
    <row r="187" spans="1:27" x14ac:dyDescent="0.25">
      <c r="A187" s="10" t="s">
        <v>1188</v>
      </c>
      <c r="B187" s="10" t="s">
        <v>1189</v>
      </c>
      <c r="C187" s="13">
        <f>_xll.BDH("AMGN US Equity","ARDR_DTA_NOL_CARRYFORWARD","FQ4 2018","FQ4 2018","Currency=USD","Period=FQ","BEST_FPERIOD_OVERRIDE=FQ","FILING_STATUS=MR","SCALING_FORMAT=MLN","Sort=A","Dates=H","DateFormat=P","Fill=—","Direction=H","UseDPDF=Y")</f>
        <v>810</v>
      </c>
      <c r="D187" s="13" t="str">
        <f>_xll.BDH("AMGN US Equity","ARDR_DTA_NOL_CARRYFORWARD","FQ1 2019","FQ1 2019","Currency=USD","Period=FQ","BEST_FPERIOD_OVERRIDE=FQ","FILING_STATUS=MR","SCALING_FORMAT=MLN","Sort=A","Dates=H","DateFormat=P","Fill=—","Direction=H","UseDPDF=Y")</f>
        <v>—</v>
      </c>
      <c r="E187" s="13" t="str">
        <f>_xll.BDH("AMGN US Equity","ARDR_DTA_NOL_CARRYFORWARD","FQ2 2019","FQ2 2019","Currency=USD","Period=FQ","BEST_FPERIOD_OVERRIDE=FQ","FILING_STATUS=MR","SCALING_FORMAT=MLN","Sort=A","Dates=H","DateFormat=P","Fill=—","Direction=H","UseDPDF=Y")</f>
        <v>—</v>
      </c>
      <c r="F187" s="13" t="str">
        <f>_xll.BDH("AMGN US Equity","ARDR_DTA_NOL_CARRYFORWARD","FQ3 2019","FQ3 2019","Currency=USD","Period=FQ","BEST_FPERIOD_OVERRIDE=FQ","FILING_STATUS=MR","SCALING_FORMAT=MLN","Sort=A","Dates=H","DateFormat=P","Fill=—","Direction=H","UseDPDF=Y")</f>
        <v>—</v>
      </c>
      <c r="G187" s="13">
        <f>_xll.BDH("AMGN US Equity","ARDR_DTA_NOL_CARRYFORWARD","FQ4 2019","FQ4 2019","Currency=USD","Period=FQ","BEST_FPERIOD_OVERRIDE=FQ","FILING_STATUS=MR","SCALING_FORMAT=MLN","Sort=A","Dates=H","DateFormat=P","Fill=—","Direction=H","UseDPDF=Y")</f>
        <v>800</v>
      </c>
      <c r="H187" s="13" t="str">
        <f>_xll.BDH("AMGN US Equity","ARDR_DTA_NOL_CARRYFORWARD","FQ1 2020","FQ1 2020","Currency=USD","Period=FQ","BEST_FPERIOD_OVERRIDE=FQ","FILING_STATUS=MR","SCALING_FORMAT=MLN","Sort=A","Dates=H","DateFormat=P","Fill=—","Direction=H","UseDPDF=Y")</f>
        <v>—</v>
      </c>
      <c r="I187" s="13" t="str">
        <f>_xll.BDH("AMGN US Equity","ARDR_DTA_NOL_CARRYFORWARD","FQ2 2020","FQ2 2020","Currency=USD","Period=FQ","BEST_FPERIOD_OVERRIDE=FQ","FILING_STATUS=MR","SCALING_FORMAT=MLN","Sort=A","Dates=H","DateFormat=P","Fill=—","Direction=H","UseDPDF=Y")</f>
        <v>—</v>
      </c>
      <c r="J187" s="13" t="str">
        <f>_xll.BDH("AMGN US Equity","ARDR_DTA_NOL_CARRYFORWARD","FQ3 2020","FQ3 2020","Currency=USD","Period=FQ","BEST_FPERIOD_OVERRIDE=FQ","FILING_STATUS=MR","SCALING_FORMAT=MLN","Sort=A","Dates=H","DateFormat=P","Fill=—","Direction=H","UseDPDF=Y")</f>
        <v>—</v>
      </c>
      <c r="K187" s="13">
        <f>_xll.BDH("AMGN US Equity","ARDR_DTA_NOL_CARRYFORWARD","FQ4 2020","FQ4 2020","Currency=USD","Period=FQ","BEST_FPERIOD_OVERRIDE=FQ","FILING_STATUS=MR","SCALING_FORMAT=MLN","Sort=A","Dates=H","DateFormat=P","Fill=—","Direction=H","UseDPDF=Y")</f>
        <v>794</v>
      </c>
      <c r="L187" s="13" t="str">
        <f>_xll.BDH("AMGN US Equity","ARDR_DTA_NOL_CARRYFORWARD","FQ1 2021","FQ1 2021","Currency=USD","Period=FQ","BEST_FPERIOD_OVERRIDE=FQ","FILING_STATUS=MR","SCALING_FORMAT=MLN","Sort=A","Dates=H","DateFormat=P","Fill=—","Direction=H","UseDPDF=Y")</f>
        <v>—</v>
      </c>
      <c r="M187" s="13" t="str">
        <f>_xll.BDH("AMGN US Equity","ARDR_DTA_NOL_CARRYFORWARD","FQ2 2021","FQ2 2021","Currency=USD","Period=FQ","BEST_FPERIOD_OVERRIDE=FQ","FILING_STATUS=MR","SCALING_FORMAT=MLN","Sort=A","Dates=H","DateFormat=P","Fill=—","Direction=H","UseDPDF=Y")</f>
        <v>—</v>
      </c>
      <c r="N187" s="13" t="str">
        <f>_xll.BDH("AMGN US Equity","ARDR_DTA_NOL_CARRYFORWARD","FQ3 2021","FQ3 2021","Currency=USD","Period=FQ","BEST_FPERIOD_OVERRIDE=FQ","FILING_STATUS=MR","SCALING_FORMAT=MLN","Sort=A","Dates=H","DateFormat=P","Fill=—","Direction=H","UseDPDF=Y")</f>
        <v>—</v>
      </c>
      <c r="O187" s="13">
        <f>_xll.BDH("AMGN US Equity","ARDR_DTA_NOL_CARRYFORWARD","FQ4 2021","FQ4 2021","Currency=USD","Period=FQ","BEST_FPERIOD_OVERRIDE=FQ","FILING_STATUS=MR","SCALING_FORMAT=MLN","Sort=A","Dates=H","DateFormat=P","Fill=—","Direction=H","UseDPDF=Y")</f>
        <v>1065</v>
      </c>
      <c r="P187" s="13" t="str">
        <f>_xll.BDH("AMGN US Equity","ARDR_DTA_NOL_CARRYFORWARD","FQ1 2022","FQ1 2022","Currency=USD","Period=FQ","BEST_FPERIOD_OVERRIDE=FQ","FILING_STATUS=MR","SCALING_FORMAT=MLN","Sort=A","Dates=H","DateFormat=P","Fill=—","Direction=H","UseDPDF=Y")</f>
        <v>—</v>
      </c>
      <c r="Q187" s="13" t="str">
        <f>_xll.BDH("AMGN US Equity","ARDR_DTA_NOL_CARRYFORWARD","FQ2 2022","FQ2 2022","Currency=USD","Period=FQ","BEST_FPERIOD_OVERRIDE=FQ","FILING_STATUS=MR","SCALING_FORMAT=MLN","Sort=A","Dates=H","DateFormat=P","Fill=—","Direction=H","UseDPDF=Y")</f>
        <v>—</v>
      </c>
      <c r="R187" s="13" t="str">
        <f>_xll.BDH("AMGN US Equity","ARDR_DTA_NOL_CARRYFORWARD","FQ3 2022","FQ3 2022","Currency=USD","Period=FQ","BEST_FPERIOD_OVERRIDE=FQ","FILING_STATUS=MR","SCALING_FORMAT=MLN","Sort=A","Dates=H","DateFormat=P","Fill=—","Direction=H","UseDPDF=Y")</f>
        <v>—</v>
      </c>
      <c r="S187" s="13">
        <f>_xll.BDH("AMGN US Equity","ARDR_DTA_NOL_CARRYFORWARD","FQ4 2022","FQ4 2022","Currency=USD","Period=FQ","BEST_FPERIOD_OVERRIDE=FQ","FILING_STATUS=MR","SCALING_FORMAT=MLN","Sort=A","Dates=H","DateFormat=P","Fill=—","Direction=H","UseDPDF=Y")</f>
        <v>1344</v>
      </c>
      <c r="T187" s="13" t="str">
        <f>_xll.BDH("AMGN US Equity","ARDR_DTA_NOL_CARRYFORWARD","FQ1 2023","FQ1 2023","Currency=USD","Period=FQ","BEST_FPERIOD_OVERRIDE=FQ","FILING_STATUS=MR","SCALING_FORMAT=MLN","Sort=A","Dates=H","DateFormat=P","Fill=—","Direction=H","UseDPDF=Y")</f>
        <v>—</v>
      </c>
      <c r="U187" s="13" t="str">
        <f>_xll.BDH("AMGN US Equity","ARDR_DTA_NOL_CARRYFORWARD","FQ2 2023","FQ2 2023","Currency=USD","Period=FQ","BEST_FPERIOD_OVERRIDE=FQ","FILING_STATUS=MR","SCALING_FORMAT=MLN","Sort=A","Dates=H","DateFormat=P","Fill=—","Direction=H","UseDPDF=Y")</f>
        <v>—</v>
      </c>
      <c r="V187" s="13" t="str">
        <f>_xll.BDH("AMGN US Equity","ARDR_DTA_NOL_CARRYFORWARD","FQ3 2023","FQ3 2023","Currency=USD","Period=FQ","BEST_FPERIOD_OVERRIDE=FQ","FILING_STATUS=MR","SCALING_FORMAT=MLN","Sort=A","Dates=H","DateFormat=P","Fill=—","Direction=H","UseDPDF=Y")</f>
        <v>—</v>
      </c>
      <c r="W187" s="13">
        <f>_xll.BDH("AMGN US Equity","ARDR_DTA_NOL_CARRYFORWARD","FQ4 2023","FQ4 2023","Currency=USD","Period=FQ","BEST_FPERIOD_OVERRIDE=FQ","FILING_STATUS=MR","SCALING_FORMAT=MLN","Sort=A","Dates=H","DateFormat=P","Fill=—","Direction=H","UseDPDF=Y")</f>
        <v>1465</v>
      </c>
      <c r="X187" s="13" t="str">
        <f>_xll.BDH("AMGN US Equity","ARDR_DTA_NOL_CARRYFORWARD","FQ1 2024","FQ1 2024","Currency=USD","Period=FQ","BEST_FPERIOD_OVERRIDE=FQ","FILING_STATUS=MR","SCALING_FORMAT=MLN","Sort=A","Dates=H","DateFormat=P","Fill=—","Direction=H","UseDPDF=Y")</f>
        <v>—</v>
      </c>
      <c r="Y187" s="13" t="str">
        <f>_xll.BDH("AMGN US Equity","ARDR_DTA_NOL_CARRYFORWARD","FQ2 2024","FQ2 2024","Currency=USD","Period=FQ","BEST_FPERIOD_OVERRIDE=FQ","FILING_STATUS=MR","SCALING_FORMAT=MLN","Sort=A","Dates=H","DateFormat=P","Fill=—","Direction=H","UseDPDF=Y")</f>
        <v>—</v>
      </c>
      <c r="Z187" s="13" t="str">
        <f>_xll.BDH("AMGN US Equity","ARDR_DTA_NOL_CARRYFORWARD","FQ3 2024","FQ3 2024","Currency=USD","Period=FQ","BEST_FPERIOD_OVERRIDE=FQ","FILING_STATUS=MR","SCALING_FORMAT=MLN","Sort=A","Dates=H","DateFormat=P","Fill=—","Direction=H","UseDPDF=Y")</f>
        <v>—</v>
      </c>
      <c r="AA187" s="13">
        <f>_xll.BDH("AMGN US Equity","ARDR_DTA_NOL_CARRYFORWARD","FQ4 2024","FQ4 2024","Currency=USD","Period=FQ","BEST_FPERIOD_OVERRIDE=FQ","FILING_STATUS=MR","SCALING_FORMAT=MLN","Sort=A","Dates=H","DateFormat=P","Fill=—","Direction=H","UseDPDF=Y")</f>
        <v>1352</v>
      </c>
    </row>
    <row r="188" spans="1:27" x14ac:dyDescent="0.25">
      <c r="A188" s="10" t="s">
        <v>1190</v>
      </c>
      <c r="B188" s="10" t="s">
        <v>1191</v>
      </c>
      <c r="C188" s="13" t="str">
        <f>_xll.BDH("AMGN US Equity","ARDR_FV_HEDG_DERIV_ASSETS_IR","FQ4 2018","FQ4 2018","Currency=USD","Period=FQ","BEST_FPERIOD_OVERRIDE=FQ","FILING_STATUS=MR","SCALING_FORMAT=MLN","Sort=A","Dates=H","DateFormat=P","Fill=—","Direction=H","UseDPDF=Y")</f>
        <v>—</v>
      </c>
      <c r="D188" s="13" t="str">
        <f>_xll.BDH("AMGN US Equity","ARDR_FV_HEDG_DERIV_ASSETS_IR","FQ1 2019","FQ1 2019","Currency=USD","Period=FQ","BEST_FPERIOD_OVERRIDE=FQ","FILING_STATUS=MR","SCALING_FORMAT=MLN","Sort=A","Dates=H","DateFormat=P","Fill=—","Direction=H","UseDPDF=Y")</f>
        <v>—</v>
      </c>
      <c r="E188" s="13" t="str">
        <f>_xll.BDH("AMGN US Equity","ARDR_FV_HEDG_DERIV_ASSETS_IR","FQ2 2019","FQ2 2019","Currency=USD","Period=FQ","BEST_FPERIOD_OVERRIDE=FQ","FILING_STATUS=MR","SCALING_FORMAT=MLN","Sort=A","Dates=H","DateFormat=P","Fill=—","Direction=H","UseDPDF=Y")</f>
        <v>—</v>
      </c>
      <c r="F188" s="13">
        <f>_xll.BDH("AMGN US Equity","ARDR_FV_HEDG_DERIV_ASSETS_IR","FQ3 2019","FQ3 2019","Currency=USD","Period=FQ","BEST_FPERIOD_OVERRIDE=FQ","FILING_STATUS=MR","SCALING_FORMAT=MLN","Sort=A","Dates=H","DateFormat=P","Fill=—","Direction=H","UseDPDF=Y")</f>
        <v>354</v>
      </c>
      <c r="G188" s="13" t="str">
        <f>_xll.BDH("AMGN US Equity","ARDR_FV_HEDG_DERIV_ASSETS_IR","FQ4 2019","FQ4 2019","Currency=USD","Period=FQ","BEST_FPERIOD_OVERRIDE=FQ","FILING_STATUS=MR","SCALING_FORMAT=MLN","Sort=A","Dates=H","DateFormat=P","Fill=—","Direction=H","UseDPDF=Y")</f>
        <v>—</v>
      </c>
      <c r="H188" s="13" t="str">
        <f>_xll.BDH("AMGN US Equity","ARDR_FV_HEDG_DERIV_ASSETS_IR","FQ1 2020","FQ1 2020","Currency=USD","Period=FQ","BEST_FPERIOD_OVERRIDE=FQ","FILING_STATUS=MR","SCALING_FORMAT=MLN","Sort=A","Dates=H","DateFormat=P","Fill=—","Direction=H","UseDPDF=Y")</f>
        <v>—</v>
      </c>
      <c r="I188" s="13">
        <f>_xll.BDH("AMGN US Equity","ARDR_FV_HEDG_DERIV_ASSETS_IR","FQ2 2020","FQ2 2020","Currency=USD","Period=FQ","BEST_FPERIOD_OVERRIDE=FQ","FILING_STATUS=MR","SCALING_FORMAT=MLN","Sort=A","Dates=H","DateFormat=P","Fill=—","Direction=H","UseDPDF=Y")</f>
        <v>121</v>
      </c>
      <c r="J188" s="13" t="str">
        <f>_xll.BDH("AMGN US Equity","ARDR_FV_HEDG_DERIV_ASSETS_IR","FQ3 2020","FQ3 2020","Currency=USD","Period=FQ","BEST_FPERIOD_OVERRIDE=FQ","FILING_STATUS=MR","SCALING_FORMAT=MLN","Sort=A","Dates=H","DateFormat=P","Fill=—","Direction=H","UseDPDF=Y")</f>
        <v>—</v>
      </c>
      <c r="K188" s="13" t="str">
        <f>_xll.BDH("AMGN US Equity","ARDR_FV_HEDG_DERIV_ASSETS_IR","FQ4 2020","FQ4 2020","Currency=USD","Period=FQ","BEST_FPERIOD_OVERRIDE=FQ","FILING_STATUS=MR","SCALING_FORMAT=MLN","Sort=A","Dates=H","DateFormat=P","Fill=—","Direction=H","UseDPDF=Y")</f>
        <v>—</v>
      </c>
      <c r="L188" s="13" t="str">
        <f>_xll.BDH("AMGN US Equity","ARDR_FV_HEDG_DERIV_ASSETS_IR","FQ1 2021","FQ1 2021","Currency=USD","Period=FQ","BEST_FPERIOD_OVERRIDE=FQ","FILING_STATUS=MR","SCALING_FORMAT=MLN","Sort=A","Dates=H","DateFormat=P","Fill=—","Direction=H","UseDPDF=Y")</f>
        <v>—</v>
      </c>
      <c r="M188" s="13" t="str">
        <f>_xll.BDH("AMGN US Equity","ARDR_FV_HEDG_DERIV_ASSETS_IR","FQ2 2021","FQ2 2021","Currency=USD","Period=FQ","BEST_FPERIOD_OVERRIDE=FQ","FILING_STATUS=MR","SCALING_FORMAT=MLN","Sort=A","Dates=H","DateFormat=P","Fill=—","Direction=H","UseDPDF=Y")</f>
        <v>—</v>
      </c>
      <c r="N188" s="13" t="str">
        <f>_xll.BDH("AMGN US Equity","ARDR_FV_HEDG_DERIV_ASSETS_IR","FQ3 2021","FQ3 2021","Currency=USD","Period=FQ","BEST_FPERIOD_OVERRIDE=FQ","FILING_STATUS=MR","SCALING_FORMAT=MLN","Sort=A","Dates=H","DateFormat=P","Fill=—","Direction=H","UseDPDF=Y")</f>
        <v>—</v>
      </c>
      <c r="O188" s="13" t="str">
        <f>_xll.BDH("AMGN US Equity","ARDR_FV_HEDG_DERIV_ASSETS_IR","FQ4 2021","FQ4 2021","Currency=USD","Period=FQ","BEST_FPERIOD_OVERRIDE=FQ","FILING_STATUS=MR","SCALING_FORMAT=MLN","Sort=A","Dates=H","DateFormat=P","Fill=—","Direction=H","UseDPDF=Y")</f>
        <v>—</v>
      </c>
      <c r="P188" s="13" t="str">
        <f>_xll.BDH("AMGN US Equity","ARDR_FV_HEDG_DERIV_ASSETS_IR","FQ1 2022","FQ1 2022","Currency=USD","Period=FQ","BEST_FPERIOD_OVERRIDE=FQ","FILING_STATUS=MR","SCALING_FORMAT=MLN","Sort=A","Dates=H","DateFormat=P","Fill=—","Direction=H","UseDPDF=Y")</f>
        <v>—</v>
      </c>
      <c r="Q188" s="13" t="str">
        <f>_xll.BDH("AMGN US Equity","ARDR_FV_HEDG_DERIV_ASSETS_IR","FQ2 2022","FQ2 2022","Currency=USD","Period=FQ","BEST_FPERIOD_OVERRIDE=FQ","FILING_STATUS=MR","SCALING_FORMAT=MLN","Sort=A","Dates=H","DateFormat=P","Fill=—","Direction=H","UseDPDF=Y")</f>
        <v>—</v>
      </c>
      <c r="R188" s="13" t="str">
        <f>_xll.BDH("AMGN US Equity","ARDR_FV_HEDG_DERIV_ASSETS_IR","FQ3 2022","FQ3 2022","Currency=USD","Period=FQ","BEST_FPERIOD_OVERRIDE=FQ","FILING_STATUS=MR","SCALING_FORMAT=MLN","Sort=A","Dates=H","DateFormat=P","Fill=—","Direction=H","UseDPDF=Y")</f>
        <v>—</v>
      </c>
      <c r="S188" s="13" t="str">
        <f>_xll.BDH("AMGN US Equity","ARDR_FV_HEDG_DERIV_ASSETS_IR","FQ4 2022","FQ4 2022","Currency=USD","Period=FQ","BEST_FPERIOD_OVERRIDE=FQ","FILING_STATUS=MR","SCALING_FORMAT=MLN","Sort=A","Dates=H","DateFormat=P","Fill=—","Direction=H","UseDPDF=Y")</f>
        <v>—</v>
      </c>
      <c r="T188" s="13" t="str">
        <f>_xll.BDH("AMGN US Equity","ARDR_FV_HEDG_DERIV_ASSETS_IR","FQ1 2023","FQ1 2023","Currency=USD","Period=FQ","BEST_FPERIOD_OVERRIDE=FQ","FILING_STATUS=MR","SCALING_FORMAT=MLN","Sort=A","Dates=H","DateFormat=P","Fill=—","Direction=H","UseDPDF=Y")</f>
        <v>—</v>
      </c>
      <c r="U188" s="13" t="str">
        <f>_xll.BDH("AMGN US Equity","ARDR_FV_HEDG_DERIV_ASSETS_IR","FQ2 2023","FQ2 2023","Currency=USD","Period=FQ","BEST_FPERIOD_OVERRIDE=FQ","FILING_STATUS=MR","SCALING_FORMAT=MLN","Sort=A","Dates=H","DateFormat=P","Fill=—","Direction=H","UseDPDF=Y")</f>
        <v>—</v>
      </c>
      <c r="V188" s="13" t="str">
        <f>_xll.BDH("AMGN US Equity","ARDR_FV_HEDG_DERIV_ASSETS_IR","FQ3 2023","FQ3 2023","Currency=USD","Period=FQ","BEST_FPERIOD_OVERRIDE=FQ","FILING_STATUS=MR","SCALING_FORMAT=MLN","Sort=A","Dates=H","DateFormat=P","Fill=—","Direction=H","UseDPDF=Y")</f>
        <v>—</v>
      </c>
      <c r="W188" s="13">
        <f>_xll.BDH("AMGN US Equity","ARDR_FV_HEDG_DERIV_ASSETS_IR","FQ4 2023","FQ4 2023","Currency=USD","Period=FQ","BEST_FPERIOD_OVERRIDE=FQ","FILING_STATUS=MR","SCALING_FORMAT=MLN","Sort=A","Dates=H","DateFormat=P","Fill=—","Direction=H","UseDPDF=Y")</f>
        <v>145</v>
      </c>
      <c r="X188" s="13">
        <f>_xll.BDH("AMGN US Equity","ARDR_FV_HEDG_DERIV_ASSETS_IR","FQ1 2024","FQ1 2024","Currency=USD","Period=FQ","BEST_FPERIOD_OVERRIDE=FQ","FILING_STATUS=MR","SCALING_FORMAT=MLN","Sort=A","Dates=H","DateFormat=P","Fill=—","Direction=H","UseDPDF=Y")</f>
        <v>225</v>
      </c>
      <c r="Y188" s="13">
        <f>_xll.BDH("AMGN US Equity","ARDR_FV_HEDG_DERIV_ASSETS_IR","FQ2 2024","FQ2 2024","Currency=USD","Period=FQ","BEST_FPERIOD_OVERRIDE=FQ","FILING_STATUS=MR","SCALING_FORMAT=MLN","Sort=A","Dates=H","DateFormat=P","Fill=—","Direction=H","UseDPDF=Y")</f>
        <v>270</v>
      </c>
      <c r="Z188" s="13">
        <f>_xll.BDH("AMGN US Equity","ARDR_FV_HEDG_DERIV_ASSETS_IR","FQ3 2024","FQ3 2024","Currency=USD","Period=FQ","BEST_FPERIOD_OVERRIDE=FQ","FILING_STATUS=MR","SCALING_FORMAT=MLN","Sort=A","Dates=H","DateFormat=P","Fill=—","Direction=H","UseDPDF=Y")</f>
        <v>9</v>
      </c>
      <c r="AA188" s="13">
        <f>_xll.BDH("AMGN US Equity","ARDR_FV_HEDG_DERIV_ASSETS_IR","FQ4 2024","FQ4 2024","Currency=USD","Period=FQ","BEST_FPERIOD_OVERRIDE=FQ","FILING_STATUS=MR","SCALING_FORMAT=MLN","Sort=A","Dates=H","DateFormat=P","Fill=—","Direction=H","UseDPDF=Y")</f>
        <v>420</v>
      </c>
    </row>
    <row r="189" spans="1:27" x14ac:dyDescent="0.25">
      <c r="A189" s="10" t="s">
        <v>1192</v>
      </c>
      <c r="B189" s="10" t="s">
        <v>1193</v>
      </c>
      <c r="C189" s="13" t="str">
        <f>_xll.BDH("AMGN US Equity","ARDR_FV_DERIV_LIABS_IR","FQ4 2018","FQ4 2018","Currency=USD","Period=FQ","BEST_FPERIOD_OVERRIDE=FQ","FILING_STATUS=MR","SCALING_FORMAT=MLN","Sort=A","Dates=H","DateFormat=P","Fill=—","Direction=H","UseDPDF=Y")</f>
        <v>—</v>
      </c>
      <c r="D189" s="13" t="str">
        <f>_xll.BDH("AMGN US Equity","ARDR_FV_DERIV_LIABS_IR","FQ1 2019","FQ1 2019","Currency=USD","Period=FQ","BEST_FPERIOD_OVERRIDE=FQ","FILING_STATUS=MR","SCALING_FORMAT=MLN","Sort=A","Dates=H","DateFormat=P","Fill=—","Direction=H","UseDPDF=Y")</f>
        <v>—</v>
      </c>
      <c r="E189" s="13" t="str">
        <f>_xll.BDH("AMGN US Equity","ARDR_FV_DERIV_LIABS_IR","FQ2 2019","FQ2 2019","Currency=USD","Period=FQ","BEST_FPERIOD_OVERRIDE=FQ","FILING_STATUS=MR","SCALING_FORMAT=MLN","Sort=A","Dates=H","DateFormat=P","Fill=—","Direction=H","UseDPDF=Y")</f>
        <v>—</v>
      </c>
      <c r="F189" s="13">
        <f>_xll.BDH("AMGN US Equity","ARDR_FV_DERIV_LIABS_IR","FQ3 2019","FQ3 2019","Currency=USD","Period=FQ","BEST_FPERIOD_OVERRIDE=FQ","FILING_STATUS=MR","SCALING_FORMAT=MLN","Sort=A","Dates=H","DateFormat=P","Fill=—","Direction=H","UseDPDF=Y")</f>
        <v>0</v>
      </c>
      <c r="G189" s="13" t="str">
        <f>_xll.BDH("AMGN US Equity","ARDR_FV_DERIV_LIABS_IR","FQ4 2019","FQ4 2019","Currency=USD","Period=FQ","BEST_FPERIOD_OVERRIDE=FQ","FILING_STATUS=MR","SCALING_FORMAT=MLN","Sort=A","Dates=H","DateFormat=P","Fill=—","Direction=H","UseDPDF=Y")</f>
        <v>—</v>
      </c>
      <c r="H189" s="13" t="str">
        <f>_xll.BDH("AMGN US Equity","ARDR_FV_DERIV_LIABS_IR","FQ1 2020","FQ1 2020","Currency=USD","Period=FQ","BEST_FPERIOD_OVERRIDE=FQ","FILING_STATUS=MR","SCALING_FORMAT=MLN","Sort=A","Dates=H","DateFormat=P","Fill=—","Direction=H","UseDPDF=Y")</f>
        <v>—</v>
      </c>
      <c r="I189" s="13">
        <f>_xll.BDH("AMGN US Equity","ARDR_FV_DERIV_LIABS_IR","FQ2 2020","FQ2 2020","Currency=USD","Period=FQ","BEST_FPERIOD_OVERRIDE=FQ","FILING_STATUS=MR","SCALING_FORMAT=MLN","Sort=A","Dates=H","DateFormat=P","Fill=—","Direction=H","UseDPDF=Y")</f>
        <v>2</v>
      </c>
      <c r="J189" s="13">
        <f>_xll.BDH("AMGN US Equity","ARDR_FV_DERIV_LIABS_IR","FQ3 2020","FQ3 2020","Currency=USD","Period=FQ","BEST_FPERIOD_OVERRIDE=FQ","FILING_STATUS=MR","SCALING_FORMAT=MLN","Sort=A","Dates=H","DateFormat=P","Fill=—","Direction=H","UseDPDF=Y")</f>
        <v>4</v>
      </c>
      <c r="K189" s="13" t="str">
        <f>_xll.BDH("AMGN US Equity","ARDR_FV_DERIV_LIABS_IR","FQ4 2020","FQ4 2020","Currency=USD","Period=FQ","BEST_FPERIOD_OVERRIDE=FQ","FILING_STATUS=MR","SCALING_FORMAT=MLN","Sort=A","Dates=H","DateFormat=P","Fill=—","Direction=H","UseDPDF=Y")</f>
        <v>—</v>
      </c>
      <c r="L189" s="13" t="str">
        <f>_xll.BDH("AMGN US Equity","ARDR_FV_DERIV_LIABS_IR","FQ1 2021","FQ1 2021","Currency=USD","Period=FQ","BEST_FPERIOD_OVERRIDE=FQ","FILING_STATUS=MR","SCALING_FORMAT=MLN","Sort=A","Dates=H","DateFormat=P","Fill=—","Direction=H","UseDPDF=Y")</f>
        <v>—</v>
      </c>
      <c r="M189" s="13" t="str">
        <f>_xll.BDH("AMGN US Equity","ARDR_FV_DERIV_LIABS_IR","FQ2 2021","FQ2 2021","Currency=USD","Period=FQ","BEST_FPERIOD_OVERRIDE=FQ","FILING_STATUS=MR","SCALING_FORMAT=MLN","Sort=A","Dates=H","DateFormat=P","Fill=—","Direction=H","UseDPDF=Y")</f>
        <v>—</v>
      </c>
      <c r="N189" s="13">
        <f>_xll.BDH("AMGN US Equity","ARDR_FV_DERIV_LIABS_IR","FQ3 2021","FQ3 2021","Currency=USD","Period=FQ","BEST_FPERIOD_OVERRIDE=FQ","FILING_STATUS=MR","SCALING_FORMAT=MLN","Sort=A","Dates=H","DateFormat=P","Fill=—","Direction=H","UseDPDF=Y")</f>
        <v>465</v>
      </c>
      <c r="O189" s="13" t="str">
        <f>_xll.BDH("AMGN US Equity","ARDR_FV_DERIV_LIABS_IR","FQ4 2021","FQ4 2021","Currency=USD","Period=FQ","BEST_FPERIOD_OVERRIDE=FQ","FILING_STATUS=MR","SCALING_FORMAT=MLN","Sort=A","Dates=H","DateFormat=P","Fill=—","Direction=H","UseDPDF=Y")</f>
        <v>—</v>
      </c>
      <c r="P189" s="13" t="str">
        <f>_xll.BDH("AMGN US Equity","ARDR_FV_DERIV_LIABS_IR","FQ1 2022","FQ1 2022","Currency=USD","Period=FQ","BEST_FPERIOD_OVERRIDE=FQ","FILING_STATUS=MR","SCALING_FORMAT=MLN","Sort=A","Dates=H","DateFormat=P","Fill=—","Direction=H","UseDPDF=Y")</f>
        <v>—</v>
      </c>
      <c r="Q189" s="13" t="str">
        <f>_xll.BDH("AMGN US Equity","ARDR_FV_DERIV_LIABS_IR","FQ2 2022","FQ2 2022","Currency=USD","Period=FQ","BEST_FPERIOD_OVERRIDE=FQ","FILING_STATUS=MR","SCALING_FORMAT=MLN","Sort=A","Dates=H","DateFormat=P","Fill=—","Direction=H","UseDPDF=Y")</f>
        <v>—</v>
      </c>
      <c r="R189" s="13" t="str">
        <f>_xll.BDH("AMGN US Equity","ARDR_FV_DERIV_LIABS_IR","FQ3 2022","FQ3 2022","Currency=USD","Period=FQ","BEST_FPERIOD_OVERRIDE=FQ","FILING_STATUS=MR","SCALING_FORMAT=MLN","Sort=A","Dates=H","DateFormat=P","Fill=—","Direction=H","UseDPDF=Y")</f>
        <v>—</v>
      </c>
      <c r="S189" s="13" t="str">
        <f>_xll.BDH("AMGN US Equity","ARDR_FV_DERIV_LIABS_IR","FQ4 2022","FQ4 2022","Currency=USD","Period=FQ","BEST_FPERIOD_OVERRIDE=FQ","FILING_STATUS=MR","SCALING_FORMAT=MLN","Sort=A","Dates=H","DateFormat=P","Fill=—","Direction=H","UseDPDF=Y")</f>
        <v>—</v>
      </c>
      <c r="T189" s="13" t="str">
        <f>_xll.BDH("AMGN US Equity","ARDR_FV_DERIV_LIABS_IR","FQ1 2023","FQ1 2023","Currency=USD","Period=FQ","BEST_FPERIOD_OVERRIDE=FQ","FILING_STATUS=MR","SCALING_FORMAT=MLN","Sort=A","Dates=H","DateFormat=P","Fill=—","Direction=H","UseDPDF=Y")</f>
        <v>—</v>
      </c>
      <c r="U189" s="13" t="str">
        <f>_xll.BDH("AMGN US Equity","ARDR_FV_DERIV_LIABS_IR","FQ2 2023","FQ2 2023","Currency=USD","Period=FQ","BEST_FPERIOD_OVERRIDE=FQ","FILING_STATUS=MR","SCALING_FORMAT=MLN","Sort=A","Dates=H","DateFormat=P","Fill=—","Direction=H","UseDPDF=Y")</f>
        <v>—</v>
      </c>
      <c r="V189" s="13" t="str">
        <f>_xll.BDH("AMGN US Equity","ARDR_FV_DERIV_LIABS_IR","FQ3 2023","FQ3 2023","Currency=USD","Period=FQ","BEST_FPERIOD_OVERRIDE=FQ","FILING_STATUS=MR","SCALING_FORMAT=MLN","Sort=A","Dates=H","DateFormat=P","Fill=—","Direction=H","UseDPDF=Y")</f>
        <v>—</v>
      </c>
      <c r="W189" s="13" t="str">
        <f>_xll.BDH("AMGN US Equity","ARDR_FV_DERIV_LIABS_IR","FQ4 2023","FQ4 2023","Currency=USD","Period=FQ","BEST_FPERIOD_OVERRIDE=FQ","FILING_STATUS=MR","SCALING_FORMAT=MLN","Sort=A","Dates=H","DateFormat=P","Fill=—","Direction=H","UseDPDF=Y")</f>
        <v>—</v>
      </c>
      <c r="X189" s="13" t="str">
        <f>_xll.BDH("AMGN US Equity","ARDR_FV_DERIV_LIABS_IR","FQ1 2024","FQ1 2024","Currency=USD","Period=FQ","BEST_FPERIOD_OVERRIDE=FQ","FILING_STATUS=MR","SCALING_FORMAT=MLN","Sort=A","Dates=H","DateFormat=P","Fill=—","Direction=H","UseDPDF=Y")</f>
        <v>—</v>
      </c>
      <c r="Y189" s="13" t="str">
        <f>_xll.BDH("AMGN US Equity","ARDR_FV_DERIV_LIABS_IR","FQ2 2024","FQ2 2024","Currency=USD","Period=FQ","BEST_FPERIOD_OVERRIDE=FQ","FILING_STATUS=MR","SCALING_FORMAT=MLN","Sort=A","Dates=H","DateFormat=P","Fill=—","Direction=H","UseDPDF=Y")</f>
        <v>—</v>
      </c>
      <c r="Z189" s="13" t="str">
        <f>_xll.BDH("AMGN US Equity","ARDR_FV_DERIV_LIABS_IR","FQ3 2024","FQ3 2024","Currency=USD","Period=FQ","BEST_FPERIOD_OVERRIDE=FQ","FILING_STATUS=MR","SCALING_FORMAT=MLN","Sort=A","Dates=H","DateFormat=P","Fill=—","Direction=H","UseDPDF=Y")</f>
        <v>—</v>
      </c>
      <c r="AA189" s="13" t="str">
        <f>_xll.BDH("AMGN US Equity","ARDR_FV_DERIV_LIABS_IR","FQ4 2024","FQ4 2024","Currency=USD","Period=FQ","BEST_FPERIOD_OVERRIDE=FQ","FILING_STATUS=MR","SCALING_FORMAT=MLN","Sort=A","Dates=H","DateFormat=P","Fill=—","Direction=H","UseDPDF=Y")</f>
        <v>—</v>
      </c>
    </row>
    <row r="190" spans="1:27" x14ac:dyDescent="0.25">
      <c r="A190" s="10" t="s">
        <v>1194</v>
      </c>
      <c r="B190" s="10" t="s">
        <v>1195</v>
      </c>
      <c r="C190" s="13">
        <f>_xll.BDH("AMGN US Equity","ARDR_FV_HEDGING_DERIV_AST_OTHRS","FQ4 2018","FQ4 2018","Currency=USD","Period=FQ","BEST_FPERIOD_OVERRIDE=FQ","FILING_STATUS=MR","SCALING_FORMAT=MLN","Sort=A","Dates=H","DateFormat=P","Fill=—","Direction=H","UseDPDF=Y")</f>
        <v>226</v>
      </c>
      <c r="D190" s="13">
        <f>_xll.BDH("AMGN US Equity","ARDR_FV_HEDGING_DERIV_AST_OTHRS","FQ1 2019","FQ1 2019","Currency=USD","Period=FQ","BEST_FPERIOD_OVERRIDE=FQ","FILING_STATUS=MR","SCALING_FORMAT=MLN","Sort=A","Dates=H","DateFormat=P","Fill=—","Direction=H","UseDPDF=Y")</f>
        <v>237</v>
      </c>
      <c r="E190" s="13">
        <f>_xll.BDH("AMGN US Equity","ARDR_FV_HEDGING_DERIV_AST_OTHRS","FQ2 2019","FQ2 2019","Currency=USD","Period=FQ","BEST_FPERIOD_OVERRIDE=FQ","FILING_STATUS=MR","SCALING_FORMAT=MLN","Sort=A","Dates=H","DateFormat=P","Fill=—","Direction=H","UseDPDF=Y")</f>
        <v>408</v>
      </c>
      <c r="F190" s="13">
        <f>_xll.BDH("AMGN US Equity","ARDR_FV_HEDGING_DERIV_AST_OTHRS","FQ3 2019","FQ3 2019","Currency=USD","Period=FQ","BEST_FPERIOD_OVERRIDE=FQ","FILING_STATUS=MR","SCALING_FORMAT=MLN","Sort=A","Dates=H","DateFormat=P","Fill=—","Direction=H","UseDPDF=Y")</f>
        <v>12</v>
      </c>
      <c r="G190" s="13">
        <f>_xll.BDH("AMGN US Equity","ARDR_FV_HEDGING_DERIV_AST_OTHRS","FQ4 2019","FQ4 2019","Currency=USD","Period=FQ","BEST_FPERIOD_OVERRIDE=FQ","FILING_STATUS=MR","SCALING_FORMAT=MLN","Sort=A","Dates=H","DateFormat=P","Fill=—","Direction=H","UseDPDF=Y")</f>
        <v>325</v>
      </c>
      <c r="H190" s="13">
        <f>_xll.BDH("AMGN US Equity","ARDR_FV_HEDGING_DERIV_AST_OTHRS","FQ1 2020","FQ1 2020","Currency=USD","Period=FQ","BEST_FPERIOD_OVERRIDE=FQ","FILING_STATUS=MR","SCALING_FORMAT=MLN","Sort=A","Dates=H","DateFormat=P","Fill=—","Direction=H","UseDPDF=Y")</f>
        <v>99</v>
      </c>
      <c r="I190" s="13" t="str">
        <f>_xll.BDH("AMGN US Equity","ARDR_FV_HEDGING_DERIV_AST_OTHRS","FQ2 2020","FQ2 2020","Currency=USD","Period=FQ","BEST_FPERIOD_OVERRIDE=FQ","FILING_STATUS=MR","SCALING_FORMAT=MLN","Sort=A","Dates=H","DateFormat=P","Fill=—","Direction=H","UseDPDF=Y")</f>
        <v>—</v>
      </c>
      <c r="J190" s="13">
        <f>_xll.BDH("AMGN US Equity","ARDR_FV_HEDGING_DERIV_AST_OTHRS","FQ3 2020","FQ3 2020","Currency=USD","Period=FQ","BEST_FPERIOD_OVERRIDE=FQ","FILING_STATUS=MR","SCALING_FORMAT=MLN","Sort=A","Dates=H","DateFormat=P","Fill=—","Direction=H","UseDPDF=Y")</f>
        <v>233</v>
      </c>
      <c r="K190" s="13">
        <f>_xll.BDH("AMGN US Equity","ARDR_FV_HEDGING_DERIV_AST_OTHRS","FQ4 2020","FQ4 2020","Currency=USD","Period=FQ","BEST_FPERIOD_OVERRIDE=FQ","FILING_STATUS=MR","SCALING_FORMAT=MLN","Sort=A","Dates=H","DateFormat=P","Fill=—","Direction=H","UseDPDF=Y")</f>
        <v>321</v>
      </c>
      <c r="L190" s="13">
        <f>_xll.BDH("AMGN US Equity","ARDR_FV_HEDGING_DERIV_AST_OTHRS","FQ1 2021","FQ1 2021","Currency=USD","Period=FQ","BEST_FPERIOD_OVERRIDE=FQ","FILING_STATUS=MR","SCALING_FORMAT=MLN","Sort=A","Dates=H","DateFormat=P","Fill=—","Direction=H","UseDPDF=Y")</f>
        <v>186</v>
      </c>
      <c r="M190" s="13">
        <f>_xll.BDH("AMGN US Equity","ARDR_FV_HEDGING_DERIV_AST_OTHRS","FQ2 2021","FQ2 2021","Currency=USD","Period=FQ","BEST_FPERIOD_OVERRIDE=FQ","FILING_STATUS=MR","SCALING_FORMAT=MLN","Sort=A","Dates=H","DateFormat=P","Fill=—","Direction=H","UseDPDF=Y")</f>
        <v>227</v>
      </c>
      <c r="N190" s="13">
        <f>_xll.BDH("AMGN US Equity","ARDR_FV_HEDGING_DERIV_AST_OTHRS","FQ3 2021","FQ3 2021","Currency=USD","Period=FQ","BEST_FPERIOD_OVERRIDE=FQ","FILING_STATUS=MR","SCALING_FORMAT=MLN","Sort=A","Dates=H","DateFormat=P","Fill=—","Direction=H","UseDPDF=Y")</f>
        <v>148</v>
      </c>
      <c r="O190" s="13">
        <f>_xll.BDH("AMGN US Equity","ARDR_FV_HEDGING_DERIV_AST_OTHRS","FQ4 2021","FQ4 2021","Currency=USD","Period=FQ","BEST_FPERIOD_OVERRIDE=FQ","FILING_STATUS=MR","SCALING_FORMAT=MLN","Sort=A","Dates=H","DateFormat=P","Fill=—","Direction=H","UseDPDF=Y")</f>
        <v>82</v>
      </c>
      <c r="P190" s="13">
        <f>_xll.BDH("AMGN US Equity","ARDR_FV_HEDGING_DERIV_AST_OTHRS","FQ1 2022","FQ1 2022","Currency=USD","Period=FQ","BEST_FPERIOD_OVERRIDE=FQ","FILING_STATUS=MR","SCALING_FORMAT=MLN","Sort=A","Dates=H","DateFormat=P","Fill=—","Direction=H","UseDPDF=Y")</f>
        <v>65</v>
      </c>
      <c r="Q190" s="13">
        <f>_xll.BDH("AMGN US Equity","ARDR_FV_HEDGING_DERIV_AST_OTHRS","FQ2 2022","FQ2 2022","Currency=USD","Period=FQ","BEST_FPERIOD_OVERRIDE=FQ","FILING_STATUS=MR","SCALING_FORMAT=MLN","Sort=A","Dates=H","DateFormat=P","Fill=—","Direction=H","UseDPDF=Y")</f>
        <v>29</v>
      </c>
      <c r="R190" s="13">
        <f>_xll.BDH("AMGN US Equity","ARDR_FV_HEDGING_DERIV_AST_OTHRS","FQ3 2022","FQ3 2022","Currency=USD","Period=FQ","BEST_FPERIOD_OVERRIDE=FQ","FILING_STATUS=MR","SCALING_FORMAT=MLN","Sort=A","Dates=H","DateFormat=P","Fill=—","Direction=H","UseDPDF=Y")</f>
        <v>6</v>
      </c>
      <c r="S190" s="13">
        <f>_xll.BDH("AMGN US Equity","ARDR_FV_HEDGING_DERIV_AST_OTHRS","FQ4 2022","FQ4 2022","Currency=USD","Period=FQ","BEST_FPERIOD_OVERRIDE=FQ","FILING_STATUS=MR","SCALING_FORMAT=MLN","Sort=A","Dates=H","DateFormat=P","Fill=—","Direction=H","UseDPDF=Y")</f>
        <v>54</v>
      </c>
      <c r="T190" s="13">
        <f>_xll.BDH("AMGN US Equity","ARDR_FV_HEDGING_DERIV_AST_OTHRS","FQ1 2023","FQ1 2023","Currency=USD","Period=FQ","BEST_FPERIOD_OVERRIDE=FQ","FILING_STATUS=MR","SCALING_FORMAT=MLN","Sort=A","Dates=H","DateFormat=P","Fill=—","Direction=H","UseDPDF=Y")</f>
        <v>0</v>
      </c>
      <c r="U190" s="13">
        <f>_xll.BDH("AMGN US Equity","ARDR_FV_HEDGING_DERIV_AST_OTHRS","FQ2 2023","FQ2 2023","Currency=USD","Period=FQ","BEST_FPERIOD_OVERRIDE=FQ","FILING_STATUS=MR","SCALING_FORMAT=MLN","Sort=A","Dates=H","DateFormat=P","Fill=—","Direction=H","UseDPDF=Y")</f>
        <v>0</v>
      </c>
      <c r="V190" s="13">
        <f>_xll.BDH("AMGN US Equity","ARDR_FV_HEDGING_DERIV_AST_OTHRS","FQ3 2023","FQ3 2023","Currency=USD","Period=FQ","BEST_FPERIOD_OVERRIDE=FQ","FILING_STATUS=MR","SCALING_FORMAT=MLN","Sort=A","Dates=H","DateFormat=P","Fill=—","Direction=H","UseDPDF=Y")</f>
        <v>0</v>
      </c>
      <c r="W190" s="13">
        <f>_xll.BDH("AMGN US Equity","ARDR_FV_HEDGING_DERIV_AST_OTHRS","FQ4 2023","FQ4 2023","Currency=USD","Period=FQ","BEST_FPERIOD_OVERRIDE=FQ","FILING_STATUS=MR","SCALING_FORMAT=MLN","Sort=A","Dates=H","DateFormat=P","Fill=—","Direction=H","UseDPDF=Y")</f>
        <v>0</v>
      </c>
      <c r="X190" s="13">
        <f>_xll.BDH("AMGN US Equity","ARDR_FV_HEDGING_DERIV_AST_OTHRS","FQ1 2024","FQ1 2024","Currency=USD","Period=FQ","BEST_FPERIOD_OVERRIDE=FQ","FILING_STATUS=MR","SCALING_FORMAT=MLN","Sort=A","Dates=H","DateFormat=P","Fill=—","Direction=H","UseDPDF=Y")</f>
        <v>0</v>
      </c>
      <c r="Y190" s="13" t="str">
        <f>_xll.BDH("AMGN US Equity","ARDR_FV_HEDGING_DERIV_AST_OTHRS","FQ2 2024","FQ2 2024","Currency=USD","Period=FQ","BEST_FPERIOD_OVERRIDE=FQ","FILING_STATUS=MR","SCALING_FORMAT=MLN","Sort=A","Dates=H","DateFormat=P","Fill=—","Direction=H","UseDPDF=Y")</f>
        <v>—</v>
      </c>
      <c r="Z190" s="13">
        <f>_xll.BDH("AMGN US Equity","ARDR_FV_HEDGING_DERIV_AST_OTHRS","FQ3 2024","FQ3 2024","Currency=USD","Period=FQ","BEST_FPERIOD_OVERRIDE=FQ","FILING_STATUS=MR","SCALING_FORMAT=MLN","Sort=A","Dates=H","DateFormat=P","Fill=—","Direction=H","UseDPDF=Y")</f>
        <v>4</v>
      </c>
      <c r="AA190" s="13">
        <f>_xll.BDH("AMGN US Equity","ARDR_FV_HEDGING_DERIV_AST_OTHRS","FQ4 2024","FQ4 2024","Currency=USD","Period=FQ","BEST_FPERIOD_OVERRIDE=FQ","FILING_STATUS=MR","SCALING_FORMAT=MLN","Sort=A","Dates=H","DateFormat=P","Fill=—","Direction=H","UseDPDF=Y")</f>
        <v>0</v>
      </c>
    </row>
    <row r="191" spans="1:27" x14ac:dyDescent="0.25">
      <c r="A191" s="10" t="s">
        <v>1196</v>
      </c>
      <c r="B191" s="10" t="s">
        <v>1197</v>
      </c>
      <c r="C191" s="13">
        <f>_xll.BDH("AMGN US Equity","ARDR_FV_HEDG_DERIV_LIABS_OTHRS","FQ4 2018","FQ4 2018","Currency=USD","Period=FQ","BEST_FPERIOD_OVERRIDE=FQ","FILING_STATUS=MR","SCALING_FORMAT=MLN","Sort=A","Dates=H","DateFormat=P","Fill=—","Direction=H","UseDPDF=Y")</f>
        <v>550</v>
      </c>
      <c r="D191" s="13">
        <f>_xll.BDH("AMGN US Equity","ARDR_FV_HEDG_DERIV_LIABS_OTHRS","FQ1 2019","FQ1 2019","Currency=USD","Period=FQ","BEST_FPERIOD_OVERRIDE=FQ","FILING_STATUS=MR","SCALING_FORMAT=MLN","Sort=A","Dates=H","DateFormat=P","Fill=—","Direction=H","UseDPDF=Y")</f>
        <v>483</v>
      </c>
      <c r="E191" s="13">
        <f>_xll.BDH("AMGN US Equity","ARDR_FV_HEDG_DERIV_LIABS_OTHRS","FQ2 2019","FQ2 2019","Currency=USD","Period=FQ","BEST_FPERIOD_OVERRIDE=FQ","FILING_STATUS=MR","SCALING_FORMAT=MLN","Sort=A","Dates=H","DateFormat=P","Fill=—","Direction=H","UseDPDF=Y")</f>
        <v>515</v>
      </c>
      <c r="F191" s="13">
        <f>_xll.BDH("AMGN US Equity","ARDR_FV_HEDG_DERIV_LIABS_OTHRS","FQ3 2019","FQ3 2019","Currency=USD","Period=FQ","BEST_FPERIOD_OVERRIDE=FQ","FILING_STATUS=MR","SCALING_FORMAT=MLN","Sort=A","Dates=H","DateFormat=P","Fill=—","Direction=H","UseDPDF=Y")</f>
        <v>478</v>
      </c>
      <c r="G191" s="13">
        <f>_xll.BDH("AMGN US Equity","ARDR_FV_HEDG_DERIV_LIABS_OTHRS","FQ4 2019","FQ4 2019","Currency=USD","Period=FQ","BEST_FPERIOD_OVERRIDE=FQ","FILING_STATUS=MR","SCALING_FORMAT=MLN","Sort=A","Dates=H","DateFormat=P","Fill=—","Direction=H","UseDPDF=Y")</f>
        <v>315</v>
      </c>
      <c r="H191" s="13">
        <f>_xll.BDH("AMGN US Equity","ARDR_FV_HEDG_DERIV_LIABS_OTHRS","FQ1 2020","FQ1 2020","Currency=USD","Period=FQ","BEST_FPERIOD_OVERRIDE=FQ","FILING_STATUS=MR","SCALING_FORMAT=MLN","Sort=A","Dates=H","DateFormat=P","Fill=—","Direction=H","UseDPDF=Y")</f>
        <v>680</v>
      </c>
      <c r="I191" s="13" t="str">
        <f>_xll.BDH("AMGN US Equity","ARDR_FV_HEDG_DERIV_LIABS_OTHRS","FQ2 2020","FQ2 2020","Currency=USD","Period=FQ","BEST_FPERIOD_OVERRIDE=FQ","FILING_STATUS=MR","SCALING_FORMAT=MLN","Sort=A","Dates=H","DateFormat=P","Fill=—","Direction=H","UseDPDF=Y")</f>
        <v>—</v>
      </c>
      <c r="J191" s="13" t="str">
        <f>_xll.BDH("AMGN US Equity","ARDR_FV_HEDG_DERIV_LIABS_OTHRS","FQ3 2020","FQ3 2020","Currency=USD","Period=FQ","BEST_FPERIOD_OVERRIDE=FQ","FILING_STATUS=MR","SCALING_FORMAT=MLN","Sort=A","Dates=H","DateFormat=P","Fill=—","Direction=H","UseDPDF=Y")</f>
        <v>—</v>
      </c>
      <c r="K191" s="13">
        <f>_xll.BDH("AMGN US Equity","ARDR_FV_HEDG_DERIV_LIABS_OTHRS","FQ4 2020","FQ4 2020","Currency=USD","Period=FQ","BEST_FPERIOD_OVERRIDE=FQ","FILING_STATUS=MR","SCALING_FORMAT=MLN","Sort=A","Dates=H","DateFormat=P","Fill=—","Direction=H","UseDPDF=Y")</f>
        <v>333</v>
      </c>
      <c r="L191" s="13">
        <f>_xll.BDH("AMGN US Equity","ARDR_FV_HEDG_DERIV_LIABS_OTHRS","FQ1 2021","FQ1 2021","Currency=USD","Period=FQ","BEST_FPERIOD_OVERRIDE=FQ","FILING_STATUS=MR","SCALING_FORMAT=MLN","Sort=A","Dates=H","DateFormat=P","Fill=—","Direction=H","UseDPDF=Y")</f>
        <v>425</v>
      </c>
      <c r="M191" s="13">
        <f>_xll.BDH("AMGN US Equity","ARDR_FV_HEDG_DERIV_LIABS_OTHRS","FQ2 2021","FQ2 2021","Currency=USD","Period=FQ","BEST_FPERIOD_OVERRIDE=FQ","FILING_STATUS=MR","SCALING_FORMAT=MLN","Sort=A","Dates=H","DateFormat=P","Fill=—","Direction=H","UseDPDF=Y")</f>
        <v>395</v>
      </c>
      <c r="N191" s="13">
        <f>_xll.BDH("AMGN US Equity","ARDR_FV_HEDG_DERIV_LIABS_OTHRS","FQ3 2021","FQ3 2021","Currency=USD","Period=FQ","BEST_FPERIOD_OVERRIDE=FQ","FILING_STATUS=MR","SCALING_FORMAT=MLN","Sort=A","Dates=H","DateFormat=P","Fill=—","Direction=H","UseDPDF=Y")</f>
        <v>35</v>
      </c>
      <c r="O191" s="13">
        <f>_xll.BDH("AMGN US Equity","ARDR_FV_HEDG_DERIV_LIABS_OTHRS","FQ4 2021","FQ4 2021","Currency=USD","Period=FQ","BEST_FPERIOD_OVERRIDE=FQ","FILING_STATUS=MR","SCALING_FORMAT=MLN","Sort=A","Dates=H","DateFormat=P","Fill=—","Direction=H","UseDPDF=Y")</f>
        <v>495</v>
      </c>
      <c r="P191" s="13">
        <f>_xll.BDH("AMGN US Equity","ARDR_FV_HEDG_DERIV_LIABS_OTHRS","FQ1 2022","FQ1 2022","Currency=USD","Period=FQ","BEST_FPERIOD_OVERRIDE=FQ","FILING_STATUS=MR","SCALING_FORMAT=MLN","Sort=A","Dates=H","DateFormat=P","Fill=—","Direction=H","UseDPDF=Y")</f>
        <v>814</v>
      </c>
      <c r="Q191" s="13">
        <f>_xll.BDH("AMGN US Equity","ARDR_FV_HEDG_DERIV_LIABS_OTHRS","FQ2 2022","FQ2 2022","Currency=USD","Period=FQ","BEST_FPERIOD_OVERRIDE=FQ","FILING_STATUS=MR","SCALING_FORMAT=MLN","Sort=A","Dates=H","DateFormat=P","Fill=—","Direction=H","UseDPDF=Y")</f>
        <v>1094</v>
      </c>
      <c r="R191" s="13">
        <f>_xll.BDH("AMGN US Equity","ARDR_FV_HEDG_DERIV_LIABS_OTHRS","FQ3 2022","FQ3 2022","Currency=USD","Period=FQ","BEST_FPERIOD_OVERRIDE=FQ","FILING_STATUS=MR","SCALING_FORMAT=MLN","Sort=A","Dates=H","DateFormat=P","Fill=—","Direction=H","UseDPDF=Y")</f>
        <v>1564</v>
      </c>
      <c r="S191" s="13">
        <f>_xll.BDH("AMGN US Equity","ARDR_FV_HEDG_DERIV_LIABS_OTHRS","FQ4 2022","FQ4 2022","Currency=USD","Period=FQ","BEST_FPERIOD_OVERRIDE=FQ","FILING_STATUS=MR","SCALING_FORMAT=MLN","Sort=A","Dates=H","DateFormat=P","Fill=—","Direction=H","UseDPDF=Y")</f>
        <v>1322</v>
      </c>
      <c r="T191" s="13">
        <f>_xll.BDH("AMGN US Equity","ARDR_FV_HEDG_DERIV_LIABS_OTHRS","FQ1 2023","FQ1 2023","Currency=USD","Period=FQ","BEST_FPERIOD_OVERRIDE=FQ","FILING_STATUS=MR","SCALING_FORMAT=MLN","Sort=A","Dates=H","DateFormat=P","Fill=—","Direction=H","UseDPDF=Y")</f>
        <v>1179</v>
      </c>
      <c r="U191" s="13">
        <f>_xll.BDH("AMGN US Equity","ARDR_FV_HEDG_DERIV_LIABS_OTHRS","FQ2 2023","FQ2 2023","Currency=USD","Period=FQ","BEST_FPERIOD_OVERRIDE=FQ","FILING_STATUS=MR","SCALING_FORMAT=MLN","Sort=A","Dates=H","DateFormat=P","Fill=—","Direction=H","UseDPDF=Y")</f>
        <v>1228</v>
      </c>
      <c r="V191" s="13">
        <f>_xll.BDH("AMGN US Equity","ARDR_FV_HEDG_DERIV_LIABS_OTHRS","FQ3 2023","FQ3 2023","Currency=USD","Period=FQ","BEST_FPERIOD_OVERRIDE=FQ","FILING_STATUS=MR","SCALING_FORMAT=MLN","Sort=A","Dates=H","DateFormat=P","Fill=—","Direction=H","UseDPDF=Y")</f>
        <v>1285</v>
      </c>
      <c r="W191" s="13">
        <f>_xll.BDH("AMGN US Equity","ARDR_FV_HEDG_DERIV_LIABS_OTHRS","FQ4 2023","FQ4 2023","Currency=USD","Period=FQ","BEST_FPERIOD_OVERRIDE=FQ","FILING_STATUS=MR","SCALING_FORMAT=MLN","Sort=A","Dates=H","DateFormat=P","Fill=—","Direction=H","UseDPDF=Y")</f>
        <v>976</v>
      </c>
      <c r="X191" s="13">
        <f>_xll.BDH("AMGN US Equity","ARDR_FV_HEDG_DERIV_LIABS_OTHRS","FQ1 2024","FQ1 2024","Currency=USD","Period=FQ","BEST_FPERIOD_OVERRIDE=FQ","FILING_STATUS=MR","SCALING_FORMAT=MLN","Sort=A","Dates=H","DateFormat=P","Fill=—","Direction=H","UseDPDF=Y")</f>
        <v>1029</v>
      </c>
      <c r="Y191" s="13">
        <f>_xll.BDH("AMGN US Equity","ARDR_FV_HEDG_DERIV_LIABS_OTHRS","FQ2 2024","FQ2 2024","Currency=USD","Period=FQ","BEST_FPERIOD_OVERRIDE=FQ","FILING_STATUS=MR","SCALING_FORMAT=MLN","Sort=A","Dates=H","DateFormat=P","Fill=—","Direction=H","UseDPDF=Y")</f>
        <v>999</v>
      </c>
      <c r="Z191" s="13">
        <f>_xll.BDH("AMGN US Equity","ARDR_FV_HEDG_DERIV_LIABS_OTHRS","FQ3 2024","FQ3 2024","Currency=USD","Period=FQ","BEST_FPERIOD_OVERRIDE=FQ","FILING_STATUS=MR","SCALING_FORMAT=MLN","Sort=A","Dates=H","DateFormat=P","Fill=—","Direction=H","UseDPDF=Y")</f>
        <v>361</v>
      </c>
      <c r="AA191" s="13">
        <f>_xll.BDH("AMGN US Equity","ARDR_FV_HEDG_DERIV_LIABS_OTHRS","FQ4 2024","FQ4 2024","Currency=USD","Period=FQ","BEST_FPERIOD_OVERRIDE=FQ","FILING_STATUS=MR","SCALING_FORMAT=MLN","Sort=A","Dates=H","DateFormat=P","Fill=—","Direction=H","UseDPDF=Y")</f>
        <v>1014</v>
      </c>
    </row>
    <row r="192" spans="1:27" x14ac:dyDescent="0.25">
      <c r="A192" s="10" t="s">
        <v>1198</v>
      </c>
      <c r="B192" s="10" t="s">
        <v>1199</v>
      </c>
      <c r="C192" s="13">
        <f>_xll.BDH("AMGN US Equity","ARDR_FV_HEDGING_TOTAL_ASSETS","FQ4 2018","FQ4 2018","Currency=USD","Period=FQ","BEST_FPERIOD_OVERRIDE=FQ","FILING_STATUS=MR","SCALING_FORMAT=MLN","Sort=A","Dates=H","DateFormat=P","Fill=—","Direction=H","UseDPDF=Y")</f>
        <v>408</v>
      </c>
      <c r="D192" s="13">
        <f>_xll.BDH("AMGN US Equity","ARDR_FV_HEDGING_TOTAL_ASSETS","FQ1 2019","FQ1 2019","Currency=USD","Period=FQ","BEST_FPERIOD_OVERRIDE=FQ","FILING_STATUS=MR","SCALING_FORMAT=MLN","Sort=A","Dates=H","DateFormat=P","Fill=—","Direction=H","UseDPDF=Y")</f>
        <v>475</v>
      </c>
      <c r="E192" s="13">
        <f>_xll.BDH("AMGN US Equity","ARDR_FV_HEDGING_TOTAL_ASSETS","FQ2 2019","FQ2 2019","Currency=USD","Period=FQ","BEST_FPERIOD_OVERRIDE=FQ","FILING_STATUS=MR","SCALING_FORMAT=MLN","Sort=A","Dates=H","DateFormat=P","Fill=—","Direction=H","UseDPDF=Y")</f>
        <v>613</v>
      </c>
      <c r="F192" s="13">
        <f>_xll.BDH("AMGN US Equity","ARDR_FV_HEDGING_TOTAL_ASSETS","FQ3 2019","FQ3 2019","Currency=USD","Period=FQ","BEST_FPERIOD_OVERRIDE=FQ","FILING_STATUS=MR","SCALING_FORMAT=MLN","Sort=A","Dates=H","DateFormat=P","Fill=—","Direction=H","UseDPDF=Y")</f>
        <v>705</v>
      </c>
      <c r="G192" s="13">
        <f>_xll.BDH("AMGN US Equity","ARDR_FV_HEDGING_TOTAL_ASSETS","FQ4 2019","FQ4 2019","Currency=USD","Period=FQ","BEST_FPERIOD_OVERRIDE=FQ","FILING_STATUS=MR","SCALING_FORMAT=MLN","Sort=A","Dates=H","DateFormat=P","Fill=—","Direction=H","UseDPDF=Y")</f>
        <v>1097</v>
      </c>
      <c r="H192" s="13">
        <f>_xll.BDH("AMGN US Equity","ARDR_FV_HEDGING_TOTAL_ASSETS","FQ1 2020","FQ1 2020","Currency=USD","Period=FQ","BEST_FPERIOD_OVERRIDE=FQ","FILING_STATUS=MR","SCALING_FORMAT=MLN","Sort=A","Dates=H","DateFormat=P","Fill=—","Direction=H","UseDPDF=Y")</f>
        <v>474</v>
      </c>
      <c r="I192" s="13">
        <f>_xll.BDH("AMGN US Equity","ARDR_FV_HEDGING_TOTAL_ASSETS","FQ2 2020","FQ2 2020","Currency=USD","Period=FQ","BEST_FPERIOD_OVERRIDE=FQ","FILING_STATUS=MR","SCALING_FORMAT=MLN","Sort=A","Dates=H","DateFormat=P","Fill=—","Direction=H","UseDPDF=Y")</f>
        <v>384</v>
      </c>
      <c r="J192" s="13">
        <f>_xll.BDH("AMGN US Equity","ARDR_FV_HEDGING_TOTAL_ASSETS","FQ3 2020","FQ3 2020","Currency=USD","Period=FQ","BEST_FPERIOD_OVERRIDE=FQ","FILING_STATUS=MR","SCALING_FORMAT=MLN","Sort=A","Dates=H","DateFormat=P","Fill=—","Direction=H","UseDPDF=Y")</f>
        <v>344</v>
      </c>
      <c r="K192" s="13">
        <f>_xll.BDH("AMGN US Equity","ARDR_FV_HEDGING_TOTAL_ASSETS","FQ4 2020","FQ4 2020","Currency=USD","Period=FQ","BEST_FPERIOD_OVERRIDE=FQ","FILING_STATUS=MR","SCALING_FORMAT=MLN","Sort=A","Dates=H","DateFormat=P","Fill=—","Direction=H","UseDPDF=Y")</f>
        <v>349</v>
      </c>
      <c r="L192" s="13">
        <f>_xll.BDH("AMGN US Equity","ARDR_FV_HEDGING_TOTAL_ASSETS","FQ1 2021","FQ1 2021","Currency=USD","Period=FQ","BEST_FPERIOD_OVERRIDE=FQ","FILING_STATUS=MR","SCALING_FORMAT=MLN","Sort=A","Dates=H","DateFormat=P","Fill=—","Direction=H","UseDPDF=Y")</f>
        <v>265</v>
      </c>
      <c r="M192" s="13">
        <f>_xll.BDH("AMGN US Equity","ARDR_FV_HEDGING_TOTAL_ASSETS","FQ2 2021","FQ2 2021","Currency=USD","Period=FQ","BEST_FPERIOD_OVERRIDE=FQ","FILING_STATUS=MR","SCALING_FORMAT=MLN","Sort=A","Dates=H","DateFormat=P","Fill=—","Direction=H","UseDPDF=Y")</f>
        <v>289</v>
      </c>
      <c r="N192" s="13">
        <f>_xll.BDH("AMGN US Equity","ARDR_FV_HEDGING_TOTAL_ASSETS","FQ3 2021","FQ3 2021","Currency=USD","Period=FQ","BEST_FPERIOD_OVERRIDE=FQ","FILING_STATUS=MR","SCALING_FORMAT=MLN","Sort=A","Dates=H","DateFormat=P","Fill=—","Direction=H","UseDPDF=Y")</f>
        <v>275</v>
      </c>
      <c r="O192" s="13">
        <f>_xll.BDH("AMGN US Equity","ARDR_FV_HEDGING_TOTAL_ASSETS","FQ4 2021","FQ4 2021","Currency=USD","Period=FQ","BEST_FPERIOD_OVERRIDE=FQ","FILING_STATUS=MR","SCALING_FORMAT=MLN","Sort=A","Dates=H","DateFormat=P","Fill=—","Direction=H","UseDPDF=Y")</f>
        <v>265</v>
      </c>
      <c r="P192" s="13">
        <f>_xll.BDH("AMGN US Equity","ARDR_FV_HEDGING_TOTAL_ASSETS","FQ1 2022","FQ1 2022","Currency=USD","Period=FQ","BEST_FPERIOD_OVERRIDE=FQ","FILING_STATUS=MR","SCALING_FORMAT=MLN","Sort=A","Dates=H","DateFormat=P","Fill=—","Direction=H","UseDPDF=Y")</f>
        <v>300</v>
      </c>
      <c r="Q192" s="13">
        <f>_xll.BDH("AMGN US Equity","ARDR_FV_HEDGING_TOTAL_ASSETS","FQ2 2022","FQ2 2022","Currency=USD","Period=FQ","BEST_FPERIOD_OVERRIDE=FQ","FILING_STATUS=MR","SCALING_FORMAT=MLN","Sort=A","Dates=H","DateFormat=P","Fill=—","Direction=H","UseDPDF=Y")</f>
        <v>442</v>
      </c>
      <c r="R192" s="13">
        <f>_xll.BDH("AMGN US Equity","ARDR_FV_HEDGING_TOTAL_ASSETS","FQ3 2022","FQ3 2022","Currency=USD","Period=FQ","BEST_FPERIOD_OVERRIDE=FQ","FILING_STATUS=MR","SCALING_FORMAT=MLN","Sort=A","Dates=H","DateFormat=P","Fill=—","Direction=H","UseDPDF=Y")</f>
        <v>645</v>
      </c>
      <c r="S192" s="13">
        <f>_xll.BDH("AMGN US Equity","ARDR_FV_HEDGING_TOTAL_ASSETS","FQ4 2022","FQ4 2022","Currency=USD","Period=FQ","BEST_FPERIOD_OVERRIDE=FQ","FILING_STATUS=MR","SCALING_FORMAT=MLN","Sort=A","Dates=H","DateFormat=P","Fill=—","Direction=H","UseDPDF=Y")</f>
        <v>341</v>
      </c>
      <c r="T192" s="13">
        <f>_xll.BDH("AMGN US Equity","ARDR_FV_HEDGING_TOTAL_ASSETS","FQ1 2023","FQ1 2023","Currency=USD","Period=FQ","BEST_FPERIOD_OVERRIDE=FQ","FILING_STATUS=MR","SCALING_FORMAT=MLN","Sort=A","Dates=H","DateFormat=P","Fill=—","Direction=H","UseDPDF=Y")</f>
        <v>252</v>
      </c>
      <c r="U192" s="13">
        <f>_xll.BDH("AMGN US Equity","ARDR_FV_HEDGING_TOTAL_ASSETS","FQ2 2023","FQ2 2023","Currency=USD","Period=FQ","BEST_FPERIOD_OVERRIDE=FQ","FILING_STATUS=MR","SCALING_FORMAT=MLN","Sort=A","Dates=H","DateFormat=P","Fill=—","Direction=H","UseDPDF=Y")</f>
        <v>251</v>
      </c>
      <c r="V192" s="13">
        <f>_xll.BDH("AMGN US Equity","ARDR_FV_HEDGING_TOTAL_ASSETS","FQ3 2023","FQ3 2023","Currency=USD","Period=FQ","BEST_FPERIOD_OVERRIDE=FQ","FILING_STATUS=MR","SCALING_FORMAT=MLN","Sort=A","Dates=H","DateFormat=P","Fill=—","Direction=H","UseDPDF=Y")</f>
        <v>347</v>
      </c>
      <c r="W192" s="13">
        <f>_xll.BDH("AMGN US Equity","ARDR_FV_HEDGING_TOTAL_ASSETS","FQ4 2023","FQ4 2023","Currency=USD","Period=FQ","BEST_FPERIOD_OVERRIDE=FQ","FILING_STATUS=MR","SCALING_FORMAT=MLN","Sort=A","Dates=H","DateFormat=P","Fill=—","Direction=H","UseDPDF=Y")</f>
        <v>145</v>
      </c>
      <c r="X192" s="13">
        <f>_xll.BDH("AMGN US Equity","ARDR_FV_HEDGING_TOTAL_ASSETS","FQ1 2024","FQ1 2024","Currency=USD","Period=FQ","BEST_FPERIOD_OVERRIDE=FQ","FILING_STATUS=MR","SCALING_FORMAT=MLN","Sort=A","Dates=H","DateFormat=P","Fill=—","Direction=H","UseDPDF=Y")</f>
        <v>225</v>
      </c>
      <c r="Y192" s="13">
        <f>_xll.BDH("AMGN US Equity","ARDR_FV_HEDGING_TOTAL_ASSETS","FQ2 2024","FQ2 2024","Currency=USD","Period=FQ","BEST_FPERIOD_OVERRIDE=FQ","FILING_STATUS=MR","SCALING_FORMAT=MLN","Sort=A","Dates=H","DateFormat=P","Fill=—","Direction=H","UseDPDF=Y")</f>
        <v>270</v>
      </c>
      <c r="Z192" s="13">
        <f>_xll.BDH("AMGN US Equity","ARDR_FV_HEDGING_TOTAL_ASSETS","FQ3 2024","FQ3 2024","Currency=USD","Period=FQ","BEST_FPERIOD_OVERRIDE=FQ","FILING_STATUS=MR","SCALING_FORMAT=MLN","Sort=A","Dates=H","DateFormat=P","Fill=—","Direction=H","UseDPDF=Y")</f>
        <v>112</v>
      </c>
      <c r="AA192" s="13">
        <f>_xll.BDH("AMGN US Equity","ARDR_FV_HEDGING_TOTAL_ASSETS","FQ4 2024","FQ4 2024","Currency=USD","Period=FQ","BEST_FPERIOD_OVERRIDE=FQ","FILING_STATUS=MR","SCALING_FORMAT=MLN","Sort=A","Dates=H","DateFormat=P","Fill=—","Direction=H","UseDPDF=Y")</f>
        <v>420</v>
      </c>
    </row>
    <row r="193" spans="1:27" x14ac:dyDescent="0.25">
      <c r="A193" s="10" t="s">
        <v>1200</v>
      </c>
      <c r="B193" s="10" t="s">
        <v>1201</v>
      </c>
      <c r="C193" s="13">
        <f>_xll.BDH("AMGN US Equity","ARDR_FV_HEDGING_TOTAL_LIABS","FQ4 2018","FQ4 2018","Currency=USD","Period=FQ","BEST_FPERIOD_OVERRIDE=FQ","FILING_STATUS=MR","SCALING_FORMAT=MLN","Sort=A","Dates=H","DateFormat=P","Fill=—","Direction=H","UseDPDF=Y")</f>
        <v>576</v>
      </c>
      <c r="D193" s="13">
        <f>_xll.BDH("AMGN US Equity","ARDR_FV_HEDGING_TOTAL_LIABS","FQ1 2019","FQ1 2019","Currency=USD","Period=FQ","BEST_FPERIOD_OVERRIDE=FQ","FILING_STATUS=MR","SCALING_FORMAT=MLN","Sort=A","Dates=H","DateFormat=P","Fill=—","Direction=H","UseDPDF=Y")</f>
        <v>491</v>
      </c>
      <c r="E193" s="13">
        <f>_xll.BDH("AMGN US Equity","ARDR_FV_HEDGING_TOTAL_LIABS","FQ2 2019","FQ2 2019","Currency=USD","Period=FQ","BEST_FPERIOD_OVERRIDE=FQ","FILING_STATUS=MR","SCALING_FORMAT=MLN","Sort=A","Dates=H","DateFormat=P","Fill=—","Direction=H","UseDPDF=Y")</f>
        <v>530</v>
      </c>
      <c r="F193" s="13">
        <f>_xll.BDH("AMGN US Equity","ARDR_FV_HEDGING_TOTAL_LIABS","FQ3 2019","FQ3 2019","Currency=USD","Period=FQ","BEST_FPERIOD_OVERRIDE=FQ","FILING_STATUS=MR","SCALING_FORMAT=MLN","Sort=A","Dates=H","DateFormat=P","Fill=—","Direction=H","UseDPDF=Y")</f>
        <v>484</v>
      </c>
      <c r="G193" s="13">
        <f>_xll.BDH("AMGN US Equity","ARDR_FV_HEDGING_TOTAL_LIABS","FQ4 2019","FQ4 2019","Currency=USD","Period=FQ","BEST_FPERIOD_OVERRIDE=FQ","FILING_STATUS=MR","SCALING_FORMAT=MLN","Sort=A","Dates=H","DateFormat=P","Fill=—","Direction=H","UseDPDF=Y")</f>
        <v>346</v>
      </c>
      <c r="H193" s="13">
        <f>_xll.BDH("AMGN US Equity","ARDR_FV_HEDGING_TOTAL_LIABS","FQ1 2020","FQ1 2020","Currency=USD","Period=FQ","BEST_FPERIOD_OVERRIDE=FQ","FILING_STATUS=MR","SCALING_FORMAT=MLN","Sort=A","Dates=H","DateFormat=P","Fill=—","Direction=H","UseDPDF=Y")</f>
        <v>685</v>
      </c>
      <c r="I193" s="13">
        <f>_xll.BDH("AMGN US Equity","ARDR_FV_HEDGING_TOTAL_LIABS","FQ2 2020","FQ2 2020","Currency=USD","Period=FQ","BEST_FPERIOD_OVERRIDE=FQ","FILING_STATUS=MR","SCALING_FORMAT=MLN","Sort=A","Dates=H","DateFormat=P","Fill=—","Direction=H","UseDPDF=Y")</f>
        <v>632</v>
      </c>
      <c r="J193" s="13">
        <f>_xll.BDH("AMGN US Equity","ARDR_FV_HEDGING_TOTAL_LIABS","FQ3 2020","FQ3 2020","Currency=USD","Period=FQ","BEST_FPERIOD_OVERRIDE=FQ","FILING_STATUS=MR","SCALING_FORMAT=MLN","Sort=A","Dates=H","DateFormat=P","Fill=—","Direction=H","UseDPDF=Y")</f>
        <v>573</v>
      </c>
      <c r="K193" s="13">
        <f>_xll.BDH("AMGN US Equity","ARDR_FV_HEDGING_TOTAL_LIABS","FQ4 2020","FQ4 2020","Currency=USD","Period=FQ","BEST_FPERIOD_OVERRIDE=FQ","FILING_STATUS=MR","SCALING_FORMAT=MLN","Sort=A","Dates=H","DateFormat=P","Fill=—","Direction=H","UseDPDF=Y")</f>
        <v>570</v>
      </c>
      <c r="L193" s="13">
        <f>_xll.BDH("AMGN US Equity","ARDR_FV_HEDGING_TOTAL_LIABS","FQ1 2021","FQ1 2021","Currency=USD","Period=FQ","BEST_FPERIOD_OVERRIDE=FQ","FILING_STATUS=MR","SCALING_FORMAT=MLN","Sort=A","Dates=H","DateFormat=P","Fill=—","Direction=H","UseDPDF=Y")</f>
        <v>532</v>
      </c>
      <c r="M193" s="13">
        <f>_xll.BDH("AMGN US Equity","ARDR_FV_HEDGING_TOTAL_LIABS","FQ2 2021","FQ2 2021","Currency=USD","Period=FQ","BEST_FPERIOD_OVERRIDE=FQ","FILING_STATUS=MR","SCALING_FORMAT=MLN","Sort=A","Dates=H","DateFormat=P","Fill=—","Direction=H","UseDPDF=Y")</f>
        <v>514</v>
      </c>
      <c r="N193" s="13">
        <f>_xll.BDH("AMGN US Equity","ARDR_FV_HEDGING_TOTAL_LIABS","FQ3 2021","FQ3 2021","Currency=USD","Period=FQ","BEST_FPERIOD_OVERRIDE=FQ","FILING_STATUS=MR","SCALING_FORMAT=MLN","Sort=A","Dates=H","DateFormat=P","Fill=—","Direction=H","UseDPDF=Y")</f>
        <v>554</v>
      </c>
      <c r="O193" s="13">
        <f>_xll.BDH("AMGN US Equity","ARDR_FV_HEDGING_TOTAL_LIABS","FQ4 2021","FQ4 2021","Currency=USD","Period=FQ","BEST_FPERIOD_OVERRIDE=FQ","FILING_STATUS=MR","SCALING_FORMAT=MLN","Sort=A","Dates=H","DateFormat=P","Fill=—","Direction=H","UseDPDF=Y")</f>
        <v>534</v>
      </c>
      <c r="P193" s="13">
        <f>_xll.BDH("AMGN US Equity","ARDR_FV_HEDGING_TOTAL_LIABS","FQ1 2022","FQ1 2022","Currency=USD","Period=FQ","BEST_FPERIOD_OVERRIDE=FQ","FILING_STATUS=MR","SCALING_FORMAT=MLN","Sort=A","Dates=H","DateFormat=P","Fill=—","Direction=H","UseDPDF=Y")</f>
        <v>865</v>
      </c>
      <c r="Q193" s="13">
        <f>_xll.BDH("AMGN US Equity","ARDR_FV_HEDGING_TOTAL_LIABS","FQ2 2022","FQ2 2022","Currency=USD","Period=FQ","BEST_FPERIOD_OVERRIDE=FQ","FILING_STATUS=MR","SCALING_FORMAT=MLN","Sort=A","Dates=H","DateFormat=P","Fill=—","Direction=H","UseDPDF=Y")</f>
        <v>1124</v>
      </c>
      <c r="R193" s="13">
        <f>_xll.BDH("AMGN US Equity","ARDR_FV_HEDGING_TOTAL_LIABS","FQ3 2022","FQ3 2022","Currency=USD","Period=FQ","BEST_FPERIOD_OVERRIDE=FQ","FILING_STATUS=MR","SCALING_FORMAT=MLN","Sort=A","Dates=H","DateFormat=P","Fill=—","Direction=H","UseDPDF=Y")</f>
        <v>1586</v>
      </c>
      <c r="S193" s="13">
        <f>_xll.BDH("AMGN US Equity","ARDR_FV_HEDGING_TOTAL_LIABS","FQ4 2022","FQ4 2022","Currency=USD","Period=FQ","BEST_FPERIOD_OVERRIDE=FQ","FILING_STATUS=MR","SCALING_FORMAT=MLN","Sort=A","Dates=H","DateFormat=P","Fill=—","Direction=H","UseDPDF=Y")</f>
        <v>1398</v>
      </c>
      <c r="T193" s="13">
        <f>_xll.BDH("AMGN US Equity","ARDR_FV_HEDGING_TOTAL_LIABS","FQ1 2023","FQ1 2023","Currency=USD","Period=FQ","BEST_FPERIOD_OVERRIDE=FQ","FILING_STATUS=MR","SCALING_FORMAT=MLN","Sort=A","Dates=H","DateFormat=P","Fill=—","Direction=H","UseDPDF=Y")</f>
        <v>1252</v>
      </c>
      <c r="U193" s="13">
        <f>_xll.BDH("AMGN US Equity","ARDR_FV_HEDGING_TOTAL_LIABS","FQ2 2023","FQ2 2023","Currency=USD","Period=FQ","BEST_FPERIOD_OVERRIDE=FQ","FILING_STATUS=MR","SCALING_FORMAT=MLN","Sort=A","Dates=H","DateFormat=P","Fill=—","Direction=H","UseDPDF=Y")</f>
        <v>1311</v>
      </c>
      <c r="V193" s="13">
        <f>_xll.BDH("AMGN US Equity","ARDR_FV_HEDGING_TOTAL_LIABS","FQ3 2023","FQ3 2023","Currency=USD","Period=FQ","BEST_FPERIOD_OVERRIDE=FQ","FILING_STATUS=MR","SCALING_FORMAT=MLN","Sort=A","Dates=H","DateFormat=P","Fill=—","Direction=H","UseDPDF=Y")</f>
        <v>1314</v>
      </c>
      <c r="W193" s="13">
        <f>_xll.BDH("AMGN US Equity","ARDR_FV_HEDGING_TOTAL_LIABS","FQ4 2023","FQ4 2023","Currency=USD","Period=FQ","BEST_FPERIOD_OVERRIDE=FQ","FILING_STATUS=MR","SCALING_FORMAT=MLN","Sort=A","Dates=H","DateFormat=P","Fill=—","Direction=H","UseDPDF=Y")</f>
        <v>1092</v>
      </c>
      <c r="X193" s="13">
        <f>_xll.BDH("AMGN US Equity","ARDR_FV_HEDGING_TOTAL_LIABS","FQ1 2024","FQ1 2024","Currency=USD","Period=FQ","BEST_FPERIOD_OVERRIDE=FQ","FILING_STATUS=MR","SCALING_FORMAT=MLN","Sort=A","Dates=H","DateFormat=P","Fill=—","Direction=H","UseDPDF=Y")</f>
        <v>1072</v>
      </c>
      <c r="Y193" s="13">
        <f>_xll.BDH("AMGN US Equity","ARDR_FV_HEDGING_TOTAL_LIABS","FQ2 2024","FQ2 2024","Currency=USD","Period=FQ","BEST_FPERIOD_OVERRIDE=FQ","FILING_STATUS=MR","SCALING_FORMAT=MLN","Sort=A","Dates=H","DateFormat=P","Fill=—","Direction=H","UseDPDF=Y")</f>
        <v>1027</v>
      </c>
      <c r="Z193" s="13">
        <f>_xll.BDH("AMGN US Equity","ARDR_FV_HEDGING_TOTAL_LIABS","FQ3 2024","FQ3 2024","Currency=USD","Period=FQ","BEST_FPERIOD_OVERRIDE=FQ","FILING_STATUS=MR","SCALING_FORMAT=MLN","Sort=A","Dates=H","DateFormat=P","Fill=—","Direction=H","UseDPDF=Y")</f>
        <v>886</v>
      </c>
      <c r="AA193" s="13">
        <f>_xll.BDH("AMGN US Equity","ARDR_FV_HEDGING_TOTAL_LIABS","FQ4 2024","FQ4 2024","Currency=USD","Period=FQ","BEST_FPERIOD_OVERRIDE=FQ","FILING_STATUS=MR","SCALING_FORMAT=MLN","Sort=A","Dates=H","DateFormat=P","Fill=—","Direction=H","UseDPDF=Y")</f>
        <v>1022</v>
      </c>
    </row>
    <row r="194" spans="1:27" x14ac:dyDescent="0.25">
      <c r="A194" s="10" t="s">
        <v>1202</v>
      </c>
      <c r="B194" s="10" t="s">
        <v>1203</v>
      </c>
      <c r="C194" s="13" t="str">
        <f>_xll.BDH("AMGN US Equity","ARDR_FV_NON_HEDGING_TOTAL_ASSETS","FQ4 2018","FQ4 2018","Currency=USD","Period=FQ","BEST_FPERIOD_OVERRIDE=FQ","FILING_STATUS=MR","SCALING_FORMAT=MLN","Sort=A","Dates=H","DateFormat=P","Fill=—","Direction=H","UseDPDF=Y")</f>
        <v>—</v>
      </c>
      <c r="D194" s="13" t="str">
        <f>_xll.BDH("AMGN US Equity","ARDR_FV_NON_HEDGING_TOTAL_ASSETS","FQ1 2019","FQ1 2019","Currency=USD","Period=FQ","BEST_FPERIOD_OVERRIDE=FQ","FILING_STATUS=MR","SCALING_FORMAT=MLN","Sort=A","Dates=H","DateFormat=P","Fill=—","Direction=H","UseDPDF=Y")</f>
        <v>—</v>
      </c>
      <c r="E194" s="13" t="str">
        <f>_xll.BDH("AMGN US Equity","ARDR_FV_NON_HEDGING_TOTAL_ASSETS","FQ2 2019","FQ2 2019","Currency=USD","Period=FQ","BEST_FPERIOD_OVERRIDE=FQ","FILING_STATUS=MR","SCALING_FORMAT=MLN","Sort=A","Dates=H","DateFormat=P","Fill=—","Direction=H","UseDPDF=Y")</f>
        <v>—</v>
      </c>
      <c r="F194" s="13">
        <f>_xll.BDH("AMGN US Equity","ARDR_FV_NON_HEDGING_TOTAL_ASSETS","FQ3 2019","FQ3 2019","Currency=USD","Period=FQ","BEST_FPERIOD_OVERRIDE=FQ","FILING_STATUS=MR","SCALING_FORMAT=MLN","Sort=A","Dates=H","DateFormat=P","Fill=—","Direction=H","UseDPDF=Y")</f>
        <v>0</v>
      </c>
      <c r="G194" s="13" t="str">
        <f>_xll.BDH("AMGN US Equity","ARDR_FV_NON_HEDGING_TOTAL_ASSETS","FQ4 2019","FQ4 2019","Currency=USD","Period=FQ","BEST_FPERIOD_OVERRIDE=FQ","FILING_STATUS=MR","SCALING_FORMAT=MLN","Sort=A","Dates=H","DateFormat=P","Fill=—","Direction=H","UseDPDF=Y")</f>
        <v>—</v>
      </c>
      <c r="H194" s="13" t="str">
        <f>_xll.BDH("AMGN US Equity","ARDR_FV_NON_HEDGING_TOTAL_ASSETS","FQ1 2020","FQ1 2020","Currency=USD","Period=FQ","BEST_FPERIOD_OVERRIDE=FQ","FILING_STATUS=MR","SCALING_FORMAT=MLN","Sort=A","Dates=H","DateFormat=P","Fill=—","Direction=H","UseDPDF=Y")</f>
        <v>—</v>
      </c>
      <c r="I194" s="13">
        <f>_xll.BDH("AMGN US Equity","ARDR_FV_NON_HEDGING_TOTAL_ASSETS","FQ2 2020","FQ2 2020","Currency=USD","Period=FQ","BEST_FPERIOD_OVERRIDE=FQ","FILING_STATUS=MR","SCALING_FORMAT=MLN","Sort=A","Dates=H","DateFormat=P","Fill=—","Direction=H","UseDPDF=Y")</f>
        <v>0</v>
      </c>
      <c r="J194" s="13" t="str">
        <f>_xll.BDH("AMGN US Equity","ARDR_FV_NON_HEDGING_TOTAL_ASSETS","FQ3 2020","FQ3 2020","Currency=USD","Period=FQ","BEST_FPERIOD_OVERRIDE=FQ","FILING_STATUS=MR","SCALING_FORMAT=MLN","Sort=A","Dates=H","DateFormat=P","Fill=—","Direction=H","UseDPDF=Y")</f>
        <v>—</v>
      </c>
      <c r="K194" s="13" t="str">
        <f>_xll.BDH("AMGN US Equity","ARDR_FV_NON_HEDGING_TOTAL_ASSETS","FQ4 2020","FQ4 2020","Currency=USD","Period=FQ","BEST_FPERIOD_OVERRIDE=FQ","FILING_STATUS=MR","SCALING_FORMAT=MLN","Sort=A","Dates=H","DateFormat=P","Fill=—","Direction=H","UseDPDF=Y")</f>
        <v>—</v>
      </c>
      <c r="L194" s="13" t="str">
        <f>_xll.BDH("AMGN US Equity","ARDR_FV_NON_HEDGING_TOTAL_ASSETS","FQ1 2021","FQ1 2021","Currency=USD","Period=FQ","BEST_FPERIOD_OVERRIDE=FQ","FILING_STATUS=MR","SCALING_FORMAT=MLN","Sort=A","Dates=H","DateFormat=P","Fill=—","Direction=H","UseDPDF=Y")</f>
        <v>—</v>
      </c>
      <c r="M194" s="13" t="str">
        <f>_xll.BDH("AMGN US Equity","ARDR_FV_NON_HEDGING_TOTAL_ASSETS","FQ2 2021","FQ2 2021","Currency=USD","Period=FQ","BEST_FPERIOD_OVERRIDE=FQ","FILING_STATUS=MR","SCALING_FORMAT=MLN","Sort=A","Dates=H","DateFormat=P","Fill=—","Direction=H","UseDPDF=Y")</f>
        <v>—</v>
      </c>
      <c r="N194" s="13" t="str">
        <f>_xll.BDH("AMGN US Equity","ARDR_FV_NON_HEDGING_TOTAL_ASSETS","FQ3 2021","FQ3 2021","Currency=USD","Period=FQ","BEST_FPERIOD_OVERRIDE=FQ","FILING_STATUS=MR","SCALING_FORMAT=MLN","Sort=A","Dates=H","DateFormat=P","Fill=—","Direction=H","UseDPDF=Y")</f>
        <v>—</v>
      </c>
      <c r="O194" s="13" t="str">
        <f>_xll.BDH("AMGN US Equity","ARDR_FV_NON_HEDGING_TOTAL_ASSETS","FQ4 2021","FQ4 2021","Currency=USD","Period=FQ","BEST_FPERIOD_OVERRIDE=FQ","FILING_STATUS=MR","SCALING_FORMAT=MLN","Sort=A","Dates=H","DateFormat=P","Fill=—","Direction=H","UseDPDF=Y")</f>
        <v>—</v>
      </c>
      <c r="P194" s="13" t="str">
        <f>_xll.BDH("AMGN US Equity","ARDR_FV_NON_HEDGING_TOTAL_ASSETS","FQ1 2022","FQ1 2022","Currency=USD","Period=FQ","BEST_FPERIOD_OVERRIDE=FQ","FILING_STATUS=MR","SCALING_FORMAT=MLN","Sort=A","Dates=H","DateFormat=P","Fill=—","Direction=H","UseDPDF=Y")</f>
        <v>—</v>
      </c>
      <c r="Q194" s="13" t="str">
        <f>_xll.BDH("AMGN US Equity","ARDR_FV_NON_HEDGING_TOTAL_ASSETS","FQ2 2022","FQ2 2022","Currency=USD","Period=FQ","BEST_FPERIOD_OVERRIDE=FQ","FILING_STATUS=MR","SCALING_FORMAT=MLN","Sort=A","Dates=H","DateFormat=P","Fill=—","Direction=H","UseDPDF=Y")</f>
        <v>—</v>
      </c>
      <c r="R194" s="13" t="str">
        <f>_xll.BDH("AMGN US Equity","ARDR_FV_NON_HEDGING_TOTAL_ASSETS","FQ3 2022","FQ3 2022","Currency=USD","Period=FQ","BEST_FPERIOD_OVERRIDE=FQ","FILING_STATUS=MR","SCALING_FORMAT=MLN","Sort=A","Dates=H","DateFormat=P","Fill=—","Direction=H","UseDPDF=Y")</f>
        <v>—</v>
      </c>
      <c r="S194" s="13" t="str">
        <f>_xll.BDH("AMGN US Equity","ARDR_FV_NON_HEDGING_TOTAL_ASSETS","FQ4 2022","FQ4 2022","Currency=USD","Period=FQ","BEST_FPERIOD_OVERRIDE=FQ","FILING_STATUS=MR","SCALING_FORMAT=MLN","Sort=A","Dates=H","DateFormat=P","Fill=—","Direction=H","UseDPDF=Y")</f>
        <v>—</v>
      </c>
      <c r="T194" s="13" t="str">
        <f>_xll.BDH("AMGN US Equity","ARDR_FV_NON_HEDGING_TOTAL_ASSETS","FQ1 2023","FQ1 2023","Currency=USD","Period=FQ","BEST_FPERIOD_OVERRIDE=FQ","FILING_STATUS=MR","SCALING_FORMAT=MLN","Sort=A","Dates=H","DateFormat=P","Fill=—","Direction=H","UseDPDF=Y")</f>
        <v>—</v>
      </c>
      <c r="U194" s="13" t="str">
        <f>_xll.BDH("AMGN US Equity","ARDR_FV_NON_HEDGING_TOTAL_ASSETS","FQ2 2023","FQ2 2023","Currency=USD","Period=FQ","BEST_FPERIOD_OVERRIDE=FQ","FILING_STATUS=MR","SCALING_FORMAT=MLN","Sort=A","Dates=H","DateFormat=P","Fill=—","Direction=H","UseDPDF=Y")</f>
        <v>—</v>
      </c>
      <c r="V194" s="13" t="str">
        <f>_xll.BDH("AMGN US Equity","ARDR_FV_NON_HEDGING_TOTAL_ASSETS","FQ3 2023","FQ3 2023","Currency=USD","Period=FQ","BEST_FPERIOD_OVERRIDE=FQ","FILING_STATUS=MR","SCALING_FORMAT=MLN","Sort=A","Dates=H","DateFormat=P","Fill=—","Direction=H","UseDPDF=Y")</f>
        <v>—</v>
      </c>
      <c r="W194" s="13" t="str">
        <f>_xll.BDH("AMGN US Equity","ARDR_FV_NON_HEDGING_TOTAL_ASSETS","FQ4 2023","FQ4 2023","Currency=USD","Period=FQ","BEST_FPERIOD_OVERRIDE=FQ","FILING_STATUS=MR","SCALING_FORMAT=MLN","Sort=A","Dates=H","DateFormat=P","Fill=—","Direction=H","UseDPDF=Y")</f>
        <v>—</v>
      </c>
      <c r="X194" s="13" t="str">
        <f>_xll.BDH("AMGN US Equity","ARDR_FV_NON_HEDGING_TOTAL_ASSETS","FQ1 2024","FQ1 2024","Currency=USD","Period=FQ","BEST_FPERIOD_OVERRIDE=FQ","FILING_STATUS=MR","SCALING_FORMAT=MLN","Sort=A","Dates=H","DateFormat=P","Fill=—","Direction=H","UseDPDF=Y")</f>
        <v>—</v>
      </c>
      <c r="Y194" s="13" t="str">
        <f>_xll.BDH("AMGN US Equity","ARDR_FV_NON_HEDGING_TOTAL_ASSETS","FQ2 2024","FQ2 2024","Currency=USD","Period=FQ","BEST_FPERIOD_OVERRIDE=FQ","FILING_STATUS=MR","SCALING_FORMAT=MLN","Sort=A","Dates=H","DateFormat=P","Fill=—","Direction=H","UseDPDF=Y")</f>
        <v>—</v>
      </c>
      <c r="Z194" s="13" t="str">
        <f>_xll.BDH("AMGN US Equity","ARDR_FV_NON_HEDGING_TOTAL_ASSETS","FQ3 2024","FQ3 2024","Currency=USD","Period=FQ","BEST_FPERIOD_OVERRIDE=FQ","FILING_STATUS=MR","SCALING_FORMAT=MLN","Sort=A","Dates=H","DateFormat=P","Fill=—","Direction=H","UseDPDF=Y")</f>
        <v>—</v>
      </c>
      <c r="AA194" s="13" t="str">
        <f>_xll.BDH("AMGN US Equity","ARDR_FV_NON_HEDGING_TOTAL_ASSETS","FQ4 2024","FQ4 2024","Currency=USD","Period=FQ","BEST_FPERIOD_OVERRIDE=FQ","FILING_STATUS=MR","SCALING_FORMAT=MLN","Sort=A","Dates=H","DateFormat=P","Fill=—","Direction=H","UseDPDF=Y")</f>
        <v>—</v>
      </c>
    </row>
    <row r="195" spans="1:27" x14ac:dyDescent="0.25">
      <c r="A195" s="10" t="s">
        <v>1204</v>
      </c>
      <c r="B195" s="10" t="s">
        <v>1205</v>
      </c>
      <c r="C195" s="13" t="str">
        <f>_xll.BDH("AMGN US Equity","ARDR_FV_NON_HEDGING_TOTAL_LIABS","FQ4 2018","FQ4 2018","Currency=USD","Period=FQ","BEST_FPERIOD_OVERRIDE=FQ","FILING_STATUS=MR","SCALING_FORMAT=MLN","Sort=A","Dates=H","DateFormat=P","Fill=—","Direction=H","UseDPDF=Y")</f>
        <v>—</v>
      </c>
      <c r="D195" s="13" t="str">
        <f>_xll.BDH("AMGN US Equity","ARDR_FV_NON_HEDGING_TOTAL_LIABS","FQ1 2019","FQ1 2019","Currency=USD","Period=FQ","BEST_FPERIOD_OVERRIDE=FQ","FILING_STATUS=MR","SCALING_FORMAT=MLN","Sort=A","Dates=H","DateFormat=P","Fill=—","Direction=H","UseDPDF=Y")</f>
        <v>—</v>
      </c>
      <c r="E195" s="13" t="str">
        <f>_xll.BDH("AMGN US Equity","ARDR_FV_NON_HEDGING_TOTAL_LIABS","FQ2 2019","FQ2 2019","Currency=USD","Period=FQ","BEST_FPERIOD_OVERRIDE=FQ","FILING_STATUS=MR","SCALING_FORMAT=MLN","Sort=A","Dates=H","DateFormat=P","Fill=—","Direction=H","UseDPDF=Y")</f>
        <v>—</v>
      </c>
      <c r="F195" s="13">
        <f>_xll.BDH("AMGN US Equity","ARDR_FV_NON_HEDGING_TOTAL_LIABS","FQ3 2019","FQ3 2019","Currency=USD","Period=FQ","BEST_FPERIOD_OVERRIDE=FQ","FILING_STATUS=MR","SCALING_FORMAT=MLN","Sort=A","Dates=H","DateFormat=P","Fill=—","Direction=H","UseDPDF=Y")</f>
        <v>0</v>
      </c>
      <c r="G195" s="13" t="str">
        <f>_xll.BDH("AMGN US Equity","ARDR_FV_NON_HEDGING_TOTAL_LIABS","FQ4 2019","FQ4 2019","Currency=USD","Period=FQ","BEST_FPERIOD_OVERRIDE=FQ","FILING_STATUS=MR","SCALING_FORMAT=MLN","Sort=A","Dates=H","DateFormat=P","Fill=—","Direction=H","UseDPDF=Y")</f>
        <v>—</v>
      </c>
      <c r="H195" s="13" t="str">
        <f>_xll.BDH("AMGN US Equity","ARDR_FV_NON_HEDGING_TOTAL_LIABS","FQ1 2020","FQ1 2020","Currency=USD","Period=FQ","BEST_FPERIOD_OVERRIDE=FQ","FILING_STATUS=MR","SCALING_FORMAT=MLN","Sort=A","Dates=H","DateFormat=P","Fill=—","Direction=H","UseDPDF=Y")</f>
        <v>—</v>
      </c>
      <c r="I195" s="13">
        <f>_xll.BDH("AMGN US Equity","ARDR_FV_NON_HEDGING_TOTAL_LIABS","FQ2 2020","FQ2 2020","Currency=USD","Period=FQ","BEST_FPERIOD_OVERRIDE=FQ","FILING_STATUS=MR","SCALING_FORMAT=MLN","Sort=A","Dates=H","DateFormat=P","Fill=—","Direction=H","UseDPDF=Y")</f>
        <v>0</v>
      </c>
      <c r="J195" s="13" t="str">
        <f>_xll.BDH("AMGN US Equity","ARDR_FV_NON_HEDGING_TOTAL_LIABS","FQ3 2020","FQ3 2020","Currency=USD","Period=FQ","BEST_FPERIOD_OVERRIDE=FQ","FILING_STATUS=MR","SCALING_FORMAT=MLN","Sort=A","Dates=H","DateFormat=P","Fill=—","Direction=H","UseDPDF=Y")</f>
        <v>—</v>
      </c>
      <c r="K195" s="13" t="str">
        <f>_xll.BDH("AMGN US Equity","ARDR_FV_NON_HEDGING_TOTAL_LIABS","FQ4 2020","FQ4 2020","Currency=USD","Period=FQ","BEST_FPERIOD_OVERRIDE=FQ","FILING_STATUS=MR","SCALING_FORMAT=MLN","Sort=A","Dates=H","DateFormat=P","Fill=—","Direction=H","UseDPDF=Y")</f>
        <v>—</v>
      </c>
      <c r="L195" s="13" t="str">
        <f>_xll.BDH("AMGN US Equity","ARDR_FV_NON_HEDGING_TOTAL_LIABS","FQ1 2021","FQ1 2021","Currency=USD","Period=FQ","BEST_FPERIOD_OVERRIDE=FQ","FILING_STATUS=MR","SCALING_FORMAT=MLN","Sort=A","Dates=H","DateFormat=P","Fill=—","Direction=H","UseDPDF=Y")</f>
        <v>—</v>
      </c>
      <c r="M195" s="13" t="str">
        <f>_xll.BDH("AMGN US Equity","ARDR_FV_NON_HEDGING_TOTAL_LIABS","FQ2 2021","FQ2 2021","Currency=USD","Period=FQ","BEST_FPERIOD_OVERRIDE=FQ","FILING_STATUS=MR","SCALING_FORMAT=MLN","Sort=A","Dates=H","DateFormat=P","Fill=—","Direction=H","UseDPDF=Y")</f>
        <v>—</v>
      </c>
      <c r="N195" s="13" t="str">
        <f>_xll.BDH("AMGN US Equity","ARDR_FV_NON_HEDGING_TOTAL_LIABS","FQ3 2021","FQ3 2021","Currency=USD","Period=FQ","BEST_FPERIOD_OVERRIDE=FQ","FILING_STATUS=MR","SCALING_FORMAT=MLN","Sort=A","Dates=H","DateFormat=P","Fill=—","Direction=H","UseDPDF=Y")</f>
        <v>—</v>
      </c>
      <c r="O195" s="13" t="str">
        <f>_xll.BDH("AMGN US Equity","ARDR_FV_NON_HEDGING_TOTAL_LIABS","FQ4 2021","FQ4 2021","Currency=USD","Period=FQ","BEST_FPERIOD_OVERRIDE=FQ","FILING_STATUS=MR","SCALING_FORMAT=MLN","Sort=A","Dates=H","DateFormat=P","Fill=—","Direction=H","UseDPDF=Y")</f>
        <v>—</v>
      </c>
      <c r="P195" s="13" t="str">
        <f>_xll.BDH("AMGN US Equity","ARDR_FV_NON_HEDGING_TOTAL_LIABS","FQ1 2022","FQ1 2022","Currency=USD","Period=FQ","BEST_FPERIOD_OVERRIDE=FQ","FILING_STATUS=MR","SCALING_FORMAT=MLN","Sort=A","Dates=H","DateFormat=P","Fill=—","Direction=H","UseDPDF=Y")</f>
        <v>—</v>
      </c>
      <c r="Q195" s="13" t="str">
        <f>_xll.BDH("AMGN US Equity","ARDR_FV_NON_HEDGING_TOTAL_LIABS","FQ2 2022","FQ2 2022","Currency=USD","Period=FQ","BEST_FPERIOD_OVERRIDE=FQ","FILING_STATUS=MR","SCALING_FORMAT=MLN","Sort=A","Dates=H","DateFormat=P","Fill=—","Direction=H","UseDPDF=Y")</f>
        <v>—</v>
      </c>
      <c r="R195" s="13" t="str">
        <f>_xll.BDH("AMGN US Equity","ARDR_FV_NON_HEDGING_TOTAL_LIABS","FQ3 2022","FQ3 2022","Currency=USD","Period=FQ","BEST_FPERIOD_OVERRIDE=FQ","FILING_STATUS=MR","SCALING_FORMAT=MLN","Sort=A","Dates=H","DateFormat=P","Fill=—","Direction=H","UseDPDF=Y")</f>
        <v>—</v>
      </c>
      <c r="S195" s="13" t="str">
        <f>_xll.BDH("AMGN US Equity","ARDR_FV_NON_HEDGING_TOTAL_LIABS","FQ4 2022","FQ4 2022","Currency=USD","Period=FQ","BEST_FPERIOD_OVERRIDE=FQ","FILING_STATUS=MR","SCALING_FORMAT=MLN","Sort=A","Dates=H","DateFormat=P","Fill=—","Direction=H","UseDPDF=Y")</f>
        <v>—</v>
      </c>
      <c r="T195" s="13" t="str">
        <f>_xll.BDH("AMGN US Equity","ARDR_FV_NON_HEDGING_TOTAL_LIABS","FQ1 2023","FQ1 2023","Currency=USD","Period=FQ","BEST_FPERIOD_OVERRIDE=FQ","FILING_STATUS=MR","SCALING_FORMAT=MLN","Sort=A","Dates=H","DateFormat=P","Fill=—","Direction=H","UseDPDF=Y")</f>
        <v>—</v>
      </c>
      <c r="U195" s="13" t="str">
        <f>_xll.BDH("AMGN US Equity","ARDR_FV_NON_HEDGING_TOTAL_LIABS","FQ2 2023","FQ2 2023","Currency=USD","Period=FQ","BEST_FPERIOD_OVERRIDE=FQ","FILING_STATUS=MR","SCALING_FORMAT=MLN","Sort=A","Dates=H","DateFormat=P","Fill=—","Direction=H","UseDPDF=Y")</f>
        <v>—</v>
      </c>
      <c r="V195" s="13" t="str">
        <f>_xll.BDH("AMGN US Equity","ARDR_FV_NON_HEDGING_TOTAL_LIABS","FQ3 2023","FQ3 2023","Currency=USD","Period=FQ","BEST_FPERIOD_OVERRIDE=FQ","FILING_STATUS=MR","SCALING_FORMAT=MLN","Sort=A","Dates=H","DateFormat=P","Fill=—","Direction=H","UseDPDF=Y")</f>
        <v>—</v>
      </c>
      <c r="W195" s="13" t="str">
        <f>_xll.BDH("AMGN US Equity","ARDR_FV_NON_HEDGING_TOTAL_LIABS","FQ4 2023","FQ4 2023","Currency=USD","Period=FQ","BEST_FPERIOD_OVERRIDE=FQ","FILING_STATUS=MR","SCALING_FORMAT=MLN","Sort=A","Dates=H","DateFormat=P","Fill=—","Direction=H","UseDPDF=Y")</f>
        <v>—</v>
      </c>
      <c r="X195" s="13">
        <f>_xll.BDH("AMGN US Equity","ARDR_FV_NON_HEDGING_TOTAL_LIABS","FQ1 2024","FQ1 2024","Currency=USD","Period=FQ","BEST_FPERIOD_OVERRIDE=FQ","FILING_STATUS=MR","SCALING_FORMAT=MLN","Sort=A","Dates=H","DateFormat=P","Fill=—","Direction=H","UseDPDF=Y")</f>
        <v>1072</v>
      </c>
      <c r="Y195" s="13" t="str">
        <f>_xll.BDH("AMGN US Equity","ARDR_FV_NON_HEDGING_TOTAL_LIABS","FQ2 2024","FQ2 2024","Currency=USD","Period=FQ","BEST_FPERIOD_OVERRIDE=FQ","FILING_STATUS=MR","SCALING_FORMAT=MLN","Sort=A","Dates=H","DateFormat=P","Fill=—","Direction=H","UseDPDF=Y")</f>
        <v>—</v>
      </c>
      <c r="Z195" s="13" t="str">
        <f>_xll.BDH("AMGN US Equity","ARDR_FV_NON_HEDGING_TOTAL_LIABS","FQ3 2024","FQ3 2024","Currency=USD","Period=FQ","BEST_FPERIOD_OVERRIDE=FQ","FILING_STATUS=MR","SCALING_FORMAT=MLN","Sort=A","Dates=H","DateFormat=P","Fill=—","Direction=H","UseDPDF=Y")</f>
        <v>—</v>
      </c>
      <c r="AA195" s="13" t="str">
        <f>_xll.BDH("AMGN US Equity","ARDR_FV_NON_HEDGING_TOTAL_LIABS","FQ4 2024","FQ4 2024","Currency=USD","Period=FQ","BEST_FPERIOD_OVERRIDE=FQ","FILING_STATUS=MR","SCALING_FORMAT=MLN","Sort=A","Dates=H","DateFormat=P","Fill=—","Direction=H","UseDPDF=Y")</f>
        <v>—</v>
      </c>
    </row>
    <row r="196" spans="1:27" x14ac:dyDescent="0.25">
      <c r="A196" s="10" t="s">
        <v>1206</v>
      </c>
      <c r="B196" s="10" t="s">
        <v>1207</v>
      </c>
      <c r="C196" s="13" t="str">
        <f>_xll.BDH("AMGN US Equity","ARDR_OPTIONS_BEGINNING_OF_PERIOD","FQ4 2018","FQ4 2018","Currency=USD","Period=FQ","BEST_FPERIOD_OVERRIDE=FQ","FILING_STATUS=MR","Sort=A","Dates=H","DateFormat=P","Fill=—","Direction=H","UseDPDF=Y")</f>
        <v>—</v>
      </c>
      <c r="D196" s="13" t="str">
        <f>_xll.BDH("AMGN US Equity","ARDR_OPTIONS_BEGINNING_OF_PERIOD","FQ1 2019","FQ1 2019","Currency=USD","Period=FQ","BEST_FPERIOD_OVERRIDE=FQ","FILING_STATUS=MR","Sort=A","Dates=H","DateFormat=P","Fill=—","Direction=H","UseDPDF=Y")</f>
        <v>—</v>
      </c>
      <c r="E196" s="13" t="str">
        <f>_xll.BDH("AMGN US Equity","ARDR_OPTIONS_BEGINNING_OF_PERIOD","FQ2 2019","FQ2 2019","Currency=USD","Period=FQ","BEST_FPERIOD_OVERRIDE=FQ","FILING_STATUS=MR","Sort=A","Dates=H","DateFormat=P","Fill=—","Direction=H","UseDPDF=Y")</f>
        <v>—</v>
      </c>
      <c r="F196" s="13" t="str">
        <f>_xll.BDH("AMGN US Equity","ARDR_OPTIONS_BEGINNING_OF_PERIOD","FQ3 2019","FQ3 2019","Currency=USD","Period=FQ","BEST_FPERIOD_OVERRIDE=FQ","FILING_STATUS=MR","Sort=A","Dates=H","DateFormat=P","Fill=—","Direction=H","UseDPDF=Y")</f>
        <v>—</v>
      </c>
      <c r="G196" s="13" t="str">
        <f>_xll.BDH("AMGN US Equity","ARDR_OPTIONS_BEGINNING_OF_PERIOD","FQ4 2019","FQ4 2019","Currency=USD","Period=FQ","BEST_FPERIOD_OVERRIDE=FQ","FILING_STATUS=MR","Sort=A","Dates=H","DateFormat=P","Fill=—","Direction=H","UseDPDF=Y")</f>
        <v>—</v>
      </c>
      <c r="H196" s="13" t="str">
        <f>_xll.BDH("AMGN US Equity","ARDR_OPTIONS_BEGINNING_OF_PERIOD","FQ1 2020","FQ1 2020","Currency=USD","Period=FQ","BEST_FPERIOD_OVERRIDE=FQ","FILING_STATUS=MR","Sort=A","Dates=H","DateFormat=P","Fill=—","Direction=H","UseDPDF=Y")</f>
        <v>—</v>
      </c>
      <c r="I196" s="13" t="str">
        <f>_xll.BDH("AMGN US Equity","ARDR_OPTIONS_BEGINNING_OF_PERIOD","FQ2 2020","FQ2 2020","Currency=USD","Period=FQ","BEST_FPERIOD_OVERRIDE=FQ","FILING_STATUS=MR","Sort=A","Dates=H","DateFormat=P","Fill=—","Direction=H","UseDPDF=Y")</f>
        <v>—</v>
      </c>
      <c r="J196" s="13" t="str">
        <f>_xll.BDH("AMGN US Equity","ARDR_OPTIONS_BEGINNING_OF_PERIOD","FQ3 2020","FQ3 2020","Currency=USD","Period=FQ","BEST_FPERIOD_OVERRIDE=FQ","FILING_STATUS=MR","Sort=A","Dates=H","DateFormat=P","Fill=—","Direction=H","UseDPDF=Y")</f>
        <v>—</v>
      </c>
      <c r="K196" s="13">
        <f>_xll.BDH("AMGN US Equity","ARDR_OPTIONS_BEGINNING_OF_PERIOD","FQ4 2020","FQ4 2020","Currency=USD","Period=FQ","BEST_FPERIOD_OVERRIDE=FQ","FILING_STATUS=MR","Sort=A","Dates=H","DateFormat=P","Fill=—","Direction=H","UseDPDF=Y")</f>
        <v>4.8</v>
      </c>
      <c r="L196" s="13" t="str">
        <f>_xll.BDH("AMGN US Equity","ARDR_OPTIONS_BEGINNING_OF_PERIOD","FQ1 2021","FQ1 2021","Currency=USD","Period=FQ","BEST_FPERIOD_OVERRIDE=FQ","FILING_STATUS=MR","Sort=A","Dates=H","DateFormat=P","Fill=—","Direction=H","UseDPDF=Y")</f>
        <v>—</v>
      </c>
      <c r="M196" s="13" t="str">
        <f>_xll.BDH("AMGN US Equity","ARDR_OPTIONS_BEGINNING_OF_PERIOD","FQ2 2021","FQ2 2021","Currency=USD","Period=FQ","BEST_FPERIOD_OVERRIDE=FQ","FILING_STATUS=MR","Sort=A","Dates=H","DateFormat=P","Fill=—","Direction=H","UseDPDF=Y")</f>
        <v>—</v>
      </c>
      <c r="N196" s="13" t="str">
        <f>_xll.BDH("AMGN US Equity","ARDR_OPTIONS_BEGINNING_OF_PERIOD","FQ3 2021","FQ3 2021","Currency=USD","Period=FQ","BEST_FPERIOD_OVERRIDE=FQ","FILING_STATUS=MR","Sort=A","Dates=H","DateFormat=P","Fill=—","Direction=H","UseDPDF=Y")</f>
        <v>—</v>
      </c>
      <c r="O196" s="13">
        <f>_xll.BDH("AMGN US Equity","ARDR_OPTIONS_BEGINNING_OF_PERIOD","FQ4 2021","FQ4 2021","Currency=USD","Period=FQ","BEST_FPERIOD_OVERRIDE=FQ","FILING_STATUS=MR","Sort=A","Dates=H","DateFormat=P","Fill=—","Direction=H","UseDPDF=Y")</f>
        <v>4.7</v>
      </c>
      <c r="P196" s="13" t="str">
        <f>_xll.BDH("AMGN US Equity","ARDR_OPTIONS_BEGINNING_OF_PERIOD","FQ1 2022","FQ1 2022","Currency=USD","Period=FQ","BEST_FPERIOD_OVERRIDE=FQ","FILING_STATUS=MR","Sort=A","Dates=H","DateFormat=P","Fill=—","Direction=H","UseDPDF=Y")</f>
        <v>—</v>
      </c>
      <c r="Q196" s="13" t="str">
        <f>_xll.BDH("AMGN US Equity","ARDR_OPTIONS_BEGINNING_OF_PERIOD","FQ2 2022","FQ2 2022","Currency=USD","Period=FQ","BEST_FPERIOD_OVERRIDE=FQ","FILING_STATUS=MR","Sort=A","Dates=H","DateFormat=P","Fill=—","Direction=H","UseDPDF=Y")</f>
        <v>—</v>
      </c>
      <c r="R196" s="13" t="str">
        <f>_xll.BDH("AMGN US Equity","ARDR_OPTIONS_BEGINNING_OF_PERIOD","FQ3 2022","FQ3 2022","Currency=USD","Period=FQ","BEST_FPERIOD_OVERRIDE=FQ","FILING_STATUS=MR","Sort=A","Dates=H","DateFormat=P","Fill=—","Direction=H","UseDPDF=Y")</f>
        <v>—</v>
      </c>
      <c r="S196" s="13" t="str">
        <f>_xll.BDH("AMGN US Equity","ARDR_OPTIONS_BEGINNING_OF_PERIOD","FQ4 2022","FQ4 2022","Currency=USD","Period=FQ","BEST_FPERIOD_OVERRIDE=FQ","FILING_STATUS=MR","Sort=A","Dates=H","DateFormat=P","Fill=—","Direction=H","UseDPDF=Y")</f>
        <v>—</v>
      </c>
      <c r="T196" s="13" t="str">
        <f>_xll.BDH("AMGN US Equity","ARDR_OPTIONS_BEGINNING_OF_PERIOD","FQ1 2023","FQ1 2023","Currency=USD","Period=FQ","BEST_FPERIOD_OVERRIDE=FQ","FILING_STATUS=MR","Sort=A","Dates=H","DateFormat=P","Fill=—","Direction=H","UseDPDF=Y")</f>
        <v>—</v>
      </c>
      <c r="U196" s="13" t="str">
        <f>_xll.BDH("AMGN US Equity","ARDR_OPTIONS_BEGINNING_OF_PERIOD","FQ2 2023","FQ2 2023","Currency=USD","Period=FQ","BEST_FPERIOD_OVERRIDE=FQ","FILING_STATUS=MR","Sort=A","Dates=H","DateFormat=P","Fill=—","Direction=H","UseDPDF=Y")</f>
        <v>—</v>
      </c>
      <c r="V196" s="13" t="str">
        <f>_xll.BDH("AMGN US Equity","ARDR_OPTIONS_BEGINNING_OF_PERIOD","FQ3 2023","FQ3 2023","Currency=USD","Period=FQ","BEST_FPERIOD_OVERRIDE=FQ","FILING_STATUS=MR","Sort=A","Dates=H","DateFormat=P","Fill=—","Direction=H","UseDPDF=Y")</f>
        <v>—</v>
      </c>
      <c r="W196" s="13" t="str">
        <f>_xll.BDH("AMGN US Equity","ARDR_OPTIONS_BEGINNING_OF_PERIOD","FQ4 2023","FQ4 2023","Currency=USD","Period=FQ","BEST_FPERIOD_OVERRIDE=FQ","FILING_STATUS=MR","Sort=A","Dates=H","DateFormat=P","Fill=—","Direction=H","UseDPDF=Y")</f>
        <v>—</v>
      </c>
      <c r="X196" s="13" t="str">
        <f>_xll.BDH("AMGN US Equity","ARDR_OPTIONS_BEGINNING_OF_PERIOD","FQ1 2024","FQ1 2024","Currency=USD","Period=FQ","BEST_FPERIOD_OVERRIDE=FQ","FILING_STATUS=MR","Sort=A","Dates=H","DateFormat=P","Fill=—","Direction=H","UseDPDF=Y")</f>
        <v>—</v>
      </c>
      <c r="Y196" s="13" t="str">
        <f>_xll.BDH("AMGN US Equity","ARDR_OPTIONS_BEGINNING_OF_PERIOD","FQ2 2024","FQ2 2024","Currency=USD","Period=FQ","BEST_FPERIOD_OVERRIDE=FQ","FILING_STATUS=MR","Sort=A","Dates=H","DateFormat=P","Fill=—","Direction=H","UseDPDF=Y")</f>
        <v>—</v>
      </c>
      <c r="Z196" s="13" t="str">
        <f>_xll.BDH("AMGN US Equity","ARDR_OPTIONS_BEGINNING_OF_PERIOD","FQ3 2024","FQ3 2024","Currency=USD","Period=FQ","BEST_FPERIOD_OVERRIDE=FQ","FILING_STATUS=MR","Sort=A","Dates=H","DateFormat=P","Fill=—","Direction=H","UseDPDF=Y")</f>
        <v>—</v>
      </c>
      <c r="AA196" s="13" t="str">
        <f>_xll.BDH("AMGN US Equity","ARDR_OPTIONS_BEGINNING_OF_PERIOD","FQ4 2024","FQ4 2024","Currency=USD","Period=FQ","BEST_FPERIOD_OVERRIDE=FQ","FILING_STATUS=MR","Sort=A","Dates=H","DateFormat=P","Fill=—","Direction=H","UseDPDF=Y")</f>
        <v>—</v>
      </c>
    </row>
    <row r="197" spans="1:27" x14ac:dyDescent="0.25">
      <c r="A197" s="10" t="s">
        <v>1208</v>
      </c>
      <c r="B197" s="10" t="s">
        <v>1209</v>
      </c>
      <c r="C197" s="14">
        <f>_xll.BDH("AMGN US Equity","ARDR_AVG_PRICE_PER_SHARE_REPURCH","FQ4 2018","FQ4 2018","Currency=USD","Period=FQ","BEST_FPERIOD_OVERRIDE=FQ","FILING_STATUS=MR","Sort=A","Dates=H","DateFormat=P","Fill=—","Direction=H","UseDPDF=Y")</f>
        <v>194.67</v>
      </c>
      <c r="D197" s="14">
        <f>_xll.BDH("AMGN US Equity","ARDR_AVG_PRICE_PER_SHARE_REPURCH","FQ1 2019","FQ1 2019","Currency=USD","Period=FQ","BEST_FPERIOD_OVERRIDE=FQ","FILING_STATUS=MR","Sort=A","Dates=H","DateFormat=P","Fill=—","Direction=H","UseDPDF=Y")</f>
        <v>191.19</v>
      </c>
      <c r="E197" s="14">
        <f>_xll.BDH("AMGN US Equity","ARDR_AVG_PRICE_PER_SHARE_REPURCH","FQ2 2019","FQ2 2019","Currency=USD","Period=FQ","BEST_FPERIOD_OVERRIDE=FQ","FILING_STATUS=MR","Sort=A","Dates=H","DateFormat=P","Fill=—","Direction=H","UseDPDF=Y")</f>
        <v>179.51</v>
      </c>
      <c r="F197" s="14">
        <f>_xll.BDH("AMGN US Equity","ARDR_AVG_PRICE_PER_SHARE_REPURCH","FQ3 2019","FQ3 2019","Currency=USD","Period=FQ","BEST_FPERIOD_OVERRIDE=FQ","FILING_STATUS=MR","Sort=A","Dates=H","DateFormat=P","Fill=—","Direction=H","UseDPDF=Y")</f>
        <v>187.6</v>
      </c>
      <c r="G197" s="14" t="str">
        <f>_xll.BDH("AMGN US Equity","ARDR_AVG_PRICE_PER_SHARE_REPURCH","FQ4 2019","FQ4 2019","Currency=USD","Period=FQ","BEST_FPERIOD_OVERRIDE=FQ","FILING_STATUS=MR","Sort=A","Dates=H","DateFormat=P","Fill=—","Direction=H","UseDPDF=Y")</f>
        <v>—</v>
      </c>
      <c r="H197" s="14">
        <f>_xll.BDH("AMGN US Equity","ARDR_AVG_PRICE_PER_SHARE_REPURCH","FQ1 2020","FQ1 2020","Currency=USD","Period=FQ","BEST_FPERIOD_OVERRIDE=FQ","FILING_STATUS=MR","Sort=A","Dates=H","DateFormat=P","Fill=—","Direction=H","UseDPDF=Y")</f>
        <v>219.4</v>
      </c>
      <c r="I197" s="14">
        <f>_xll.BDH("AMGN US Equity","ARDR_AVG_PRICE_PER_SHARE_REPURCH","FQ2 2020","FQ2 2020","Currency=USD","Period=FQ","BEST_FPERIOD_OVERRIDE=FQ","FILING_STATUS=MR","Sort=A","Dates=H","DateFormat=P","Fill=—","Direction=H","UseDPDF=Y")</f>
        <v>227.6</v>
      </c>
      <c r="J197" s="14">
        <f>_xll.BDH("AMGN US Equity","ARDR_AVG_PRICE_PER_SHARE_REPURCH","FQ3 2020","FQ3 2020","Currency=USD","Period=FQ","BEST_FPERIOD_OVERRIDE=FQ","FILING_STATUS=MR","Sort=A","Dates=H","DateFormat=P","Fill=—","Direction=H","UseDPDF=Y")</f>
        <v>247.51</v>
      </c>
      <c r="K197" s="14">
        <f>_xll.BDH("AMGN US Equity","ARDR_AVG_PRICE_PER_SHARE_REPURCH","FQ4 2020","FQ4 2020","Currency=USD","Period=FQ","BEST_FPERIOD_OVERRIDE=FQ","FILING_STATUS=MR","Sort=A","Dates=H","DateFormat=P","Fill=—","Direction=H","UseDPDF=Y")</f>
        <v>230.35</v>
      </c>
      <c r="L197" s="14" t="str">
        <f>_xll.BDH("AMGN US Equity","ARDR_AVG_PRICE_PER_SHARE_REPURCH","FQ1 2021","FQ1 2021","Currency=USD","Period=FQ","BEST_FPERIOD_OVERRIDE=FQ","FILING_STATUS=MR","Sort=A","Dates=H","DateFormat=P","Fill=—","Direction=H","UseDPDF=Y")</f>
        <v>—</v>
      </c>
      <c r="M197" s="14">
        <f>_xll.BDH("AMGN US Equity","ARDR_AVG_PRICE_PER_SHARE_REPURCH","FQ2 2021","FQ2 2021","Currency=USD","Period=FQ","BEST_FPERIOD_OVERRIDE=FQ","FILING_STATUS=MR","Sort=A","Dates=H","DateFormat=P","Fill=—","Direction=H","UseDPDF=Y")</f>
        <v>244.2</v>
      </c>
      <c r="N197" s="14" t="str">
        <f>_xll.BDH("AMGN US Equity","ARDR_AVG_PRICE_PER_SHARE_REPURCH","FQ3 2021","FQ3 2021","Currency=USD","Period=FQ","BEST_FPERIOD_OVERRIDE=FQ","FILING_STATUS=MR","Sort=A","Dates=H","DateFormat=P","Fill=—","Direction=H","UseDPDF=Y")</f>
        <v>—</v>
      </c>
      <c r="O197" s="14">
        <f>_xll.BDH("AMGN US Equity","ARDR_AVG_PRICE_PER_SHARE_REPURCH","FQ4 2021","FQ4 2021","Currency=USD","Period=FQ","BEST_FPERIOD_OVERRIDE=FQ","FILING_STATUS=MR","Sort=A","Dates=H","DateFormat=P","Fill=—","Direction=H","UseDPDF=Y")</f>
        <v>211.15</v>
      </c>
      <c r="P197" s="14" t="str">
        <f>_xll.BDH("AMGN US Equity","ARDR_AVG_PRICE_PER_SHARE_REPURCH","FQ1 2022","FQ1 2022","Currency=USD","Period=FQ","BEST_FPERIOD_OVERRIDE=FQ","FILING_STATUS=MR","Sort=A","Dates=H","DateFormat=P","Fill=—","Direction=H","UseDPDF=Y")</f>
        <v>—</v>
      </c>
      <c r="Q197" s="14" t="str">
        <f>_xll.BDH("AMGN US Equity","ARDR_AVG_PRICE_PER_SHARE_REPURCH","FQ2 2022","FQ2 2022","Currency=USD","Period=FQ","BEST_FPERIOD_OVERRIDE=FQ","FILING_STATUS=MR","Sort=A","Dates=H","DateFormat=P","Fill=—","Direction=H","UseDPDF=Y")</f>
        <v>—</v>
      </c>
      <c r="R197" s="14" t="str">
        <f>_xll.BDH("AMGN US Equity","ARDR_AVG_PRICE_PER_SHARE_REPURCH","FQ3 2022","FQ3 2022","Currency=USD","Period=FQ","BEST_FPERIOD_OVERRIDE=FQ","FILING_STATUS=MR","Sort=A","Dates=H","DateFormat=P","Fill=—","Direction=H","UseDPDF=Y")</f>
        <v>—</v>
      </c>
      <c r="S197" s="14">
        <f>_xll.BDH("AMGN US Equity","ARDR_AVG_PRICE_PER_SHARE_REPURCH","FQ4 2022","FQ4 2022","Currency=USD","Period=FQ","BEST_FPERIOD_OVERRIDE=FQ","FILING_STATUS=MR","Sort=A","Dates=H","DateFormat=P","Fill=—","Direction=H","UseDPDF=Y")</f>
        <v>241.32</v>
      </c>
      <c r="T197" s="14" t="str">
        <f>_xll.BDH("AMGN US Equity","ARDR_AVG_PRICE_PER_SHARE_REPURCH","FQ1 2023","FQ1 2023","Currency=USD","Period=FQ","BEST_FPERIOD_OVERRIDE=FQ","FILING_STATUS=MR","Sort=A","Dates=H","DateFormat=P","Fill=—","Direction=H","UseDPDF=Y")</f>
        <v>—</v>
      </c>
      <c r="U197" s="14" t="str">
        <f>_xll.BDH("AMGN US Equity","ARDR_AVG_PRICE_PER_SHARE_REPURCH","FQ2 2023","FQ2 2023","Currency=USD","Period=FQ","BEST_FPERIOD_OVERRIDE=FQ","FILING_STATUS=MR","Sort=A","Dates=H","DateFormat=P","Fill=—","Direction=H","UseDPDF=Y")</f>
        <v>—</v>
      </c>
      <c r="V197" s="14" t="str">
        <f>_xll.BDH("AMGN US Equity","ARDR_AVG_PRICE_PER_SHARE_REPURCH","FQ3 2023","FQ3 2023","Currency=USD","Period=FQ","BEST_FPERIOD_OVERRIDE=FQ","FILING_STATUS=MR","Sort=A","Dates=H","DateFormat=P","Fill=—","Direction=H","UseDPDF=Y")</f>
        <v>—</v>
      </c>
      <c r="W197" s="14" t="str">
        <f>_xll.BDH("AMGN US Equity","ARDR_AVG_PRICE_PER_SHARE_REPURCH","FQ4 2023","FQ4 2023","Currency=USD","Period=FQ","BEST_FPERIOD_OVERRIDE=FQ","FILING_STATUS=MR","Sort=A","Dates=H","DateFormat=P","Fill=—","Direction=H","UseDPDF=Y")</f>
        <v>—</v>
      </c>
      <c r="X197" s="14" t="str">
        <f>_xll.BDH("AMGN US Equity","ARDR_AVG_PRICE_PER_SHARE_REPURCH","FQ1 2024","FQ1 2024","Currency=USD","Period=FQ","BEST_FPERIOD_OVERRIDE=FQ","FILING_STATUS=MR","Sort=A","Dates=H","DateFormat=P","Fill=—","Direction=H","UseDPDF=Y")</f>
        <v>—</v>
      </c>
      <c r="Y197" s="14" t="str">
        <f>_xll.BDH("AMGN US Equity","ARDR_AVG_PRICE_PER_SHARE_REPURCH","FQ2 2024","FQ2 2024","Currency=USD","Period=FQ","BEST_FPERIOD_OVERRIDE=FQ","FILING_STATUS=MR","Sort=A","Dates=H","DateFormat=P","Fill=—","Direction=H","UseDPDF=Y")</f>
        <v>—</v>
      </c>
      <c r="Z197" s="14" t="str">
        <f>_xll.BDH("AMGN US Equity","ARDR_AVG_PRICE_PER_SHARE_REPURCH","FQ3 2024","FQ3 2024","Currency=USD","Period=FQ","BEST_FPERIOD_OVERRIDE=FQ","FILING_STATUS=MR","Sort=A","Dates=H","DateFormat=P","Fill=—","Direction=H","UseDPDF=Y")</f>
        <v>—</v>
      </c>
      <c r="AA197" s="14">
        <f>_xll.BDH("AMGN US Equity","ARDR_AVG_PRICE_PER_SHARE_REPURCH","FQ4 2024","FQ4 2024","Currency=USD","Period=FQ","BEST_FPERIOD_OVERRIDE=FQ","FILING_STATUS=MR","Sort=A","Dates=H","DateFormat=P","Fill=—","Direction=H","UseDPDF=Y")</f>
        <v>278.26</v>
      </c>
    </row>
    <row r="198" spans="1:27" x14ac:dyDescent="0.25">
      <c r="A198" s="10" t="s">
        <v>1210</v>
      </c>
      <c r="B198" s="10" t="s">
        <v>1211</v>
      </c>
      <c r="C198" s="13">
        <f>_xll.BDH("AMGN US Equity","ARDR_UTB_BALANCE_END_PERIOD","FQ4 2018","FQ4 2018","Currency=USD","Period=FQ","BEST_FPERIOD_OVERRIDE=FQ","FILING_STATUS=MR","SCALING_FORMAT=MLN","Sort=A","Dates=H","DateFormat=P","Fill=—","Direction=H","UseDPDF=Y")</f>
        <v>3061</v>
      </c>
      <c r="D198" s="13" t="str">
        <f>_xll.BDH("AMGN US Equity","ARDR_UTB_BALANCE_END_PERIOD","FQ1 2019","FQ1 2019","Currency=USD","Period=FQ","BEST_FPERIOD_OVERRIDE=FQ","FILING_STATUS=MR","SCALING_FORMAT=MLN","Sort=A","Dates=H","DateFormat=P","Fill=—","Direction=H","UseDPDF=Y")</f>
        <v>—</v>
      </c>
      <c r="E198" s="13" t="str">
        <f>_xll.BDH("AMGN US Equity","ARDR_UTB_BALANCE_END_PERIOD","FQ2 2019","FQ2 2019","Currency=USD","Period=FQ","BEST_FPERIOD_OVERRIDE=FQ","FILING_STATUS=MR","SCALING_FORMAT=MLN","Sort=A","Dates=H","DateFormat=P","Fill=—","Direction=H","UseDPDF=Y")</f>
        <v>—</v>
      </c>
      <c r="F198" s="13" t="str">
        <f>_xll.BDH("AMGN US Equity","ARDR_UTB_BALANCE_END_PERIOD","FQ3 2019","FQ3 2019","Currency=USD","Period=FQ","BEST_FPERIOD_OVERRIDE=FQ","FILING_STATUS=MR","SCALING_FORMAT=MLN","Sort=A","Dates=H","DateFormat=P","Fill=—","Direction=H","UseDPDF=Y")</f>
        <v>—</v>
      </c>
      <c r="G198" s="13">
        <f>_xll.BDH("AMGN US Equity","ARDR_UTB_BALANCE_END_PERIOD","FQ4 2019","FQ4 2019","Currency=USD","Period=FQ","BEST_FPERIOD_OVERRIDE=FQ","FILING_STATUS=MR","SCALING_FORMAT=MLN","Sort=A","Dates=H","DateFormat=P","Fill=—","Direction=H","UseDPDF=Y")</f>
        <v>3287</v>
      </c>
      <c r="H198" s="13" t="str">
        <f>_xll.BDH("AMGN US Equity","ARDR_UTB_BALANCE_END_PERIOD","FQ1 2020","FQ1 2020","Currency=USD","Period=FQ","BEST_FPERIOD_OVERRIDE=FQ","FILING_STATUS=MR","SCALING_FORMAT=MLN","Sort=A","Dates=H","DateFormat=P","Fill=—","Direction=H","UseDPDF=Y")</f>
        <v>—</v>
      </c>
      <c r="I198" s="13" t="str">
        <f>_xll.BDH("AMGN US Equity","ARDR_UTB_BALANCE_END_PERIOD","FQ2 2020","FQ2 2020","Currency=USD","Period=FQ","BEST_FPERIOD_OVERRIDE=FQ","FILING_STATUS=MR","SCALING_FORMAT=MLN","Sort=A","Dates=H","DateFormat=P","Fill=—","Direction=H","UseDPDF=Y")</f>
        <v>—</v>
      </c>
      <c r="J198" s="13" t="str">
        <f>_xll.BDH("AMGN US Equity","ARDR_UTB_BALANCE_END_PERIOD","FQ3 2020","FQ3 2020","Currency=USD","Period=FQ","BEST_FPERIOD_OVERRIDE=FQ","FILING_STATUS=MR","SCALING_FORMAT=MLN","Sort=A","Dates=H","DateFormat=P","Fill=—","Direction=H","UseDPDF=Y")</f>
        <v>—</v>
      </c>
      <c r="K198" s="13">
        <f>_xll.BDH("AMGN US Equity","ARDR_UTB_BALANCE_END_PERIOD","FQ4 2020","FQ4 2020","Currency=USD","Period=FQ","BEST_FPERIOD_OVERRIDE=FQ","FILING_STATUS=MR","SCALING_FORMAT=MLN","Sort=A","Dates=H","DateFormat=P","Fill=—","Direction=H","UseDPDF=Y")</f>
        <v>3352</v>
      </c>
      <c r="L198" s="13" t="str">
        <f>_xll.BDH("AMGN US Equity","ARDR_UTB_BALANCE_END_PERIOD","FQ1 2021","FQ1 2021","Currency=USD","Period=FQ","BEST_FPERIOD_OVERRIDE=FQ","FILING_STATUS=MR","SCALING_FORMAT=MLN","Sort=A","Dates=H","DateFormat=P","Fill=—","Direction=H","UseDPDF=Y")</f>
        <v>—</v>
      </c>
      <c r="M198" s="13" t="str">
        <f>_xll.BDH("AMGN US Equity","ARDR_UTB_BALANCE_END_PERIOD","FQ2 2021","FQ2 2021","Currency=USD","Period=FQ","BEST_FPERIOD_OVERRIDE=FQ","FILING_STATUS=MR","SCALING_FORMAT=MLN","Sort=A","Dates=H","DateFormat=P","Fill=—","Direction=H","UseDPDF=Y")</f>
        <v>—</v>
      </c>
      <c r="N198" s="13" t="str">
        <f>_xll.BDH("AMGN US Equity","ARDR_UTB_BALANCE_END_PERIOD","FQ3 2021","FQ3 2021","Currency=USD","Period=FQ","BEST_FPERIOD_OVERRIDE=FQ","FILING_STATUS=MR","SCALING_FORMAT=MLN","Sort=A","Dates=H","DateFormat=P","Fill=—","Direction=H","UseDPDF=Y")</f>
        <v>—</v>
      </c>
      <c r="O198" s="13">
        <f>_xll.BDH("AMGN US Equity","ARDR_UTB_BALANCE_END_PERIOD","FQ4 2021","FQ4 2021","Currency=USD","Period=FQ","BEST_FPERIOD_OVERRIDE=FQ","FILING_STATUS=MR","SCALING_FORMAT=MLN","Sort=A","Dates=H","DateFormat=P","Fill=—","Direction=H","UseDPDF=Y")</f>
        <v>3546</v>
      </c>
      <c r="P198" s="13" t="str">
        <f>_xll.BDH("AMGN US Equity","ARDR_UTB_BALANCE_END_PERIOD","FQ1 2022","FQ1 2022","Currency=USD","Period=FQ","BEST_FPERIOD_OVERRIDE=FQ","FILING_STATUS=MR","SCALING_FORMAT=MLN","Sort=A","Dates=H","DateFormat=P","Fill=—","Direction=H","UseDPDF=Y")</f>
        <v>—</v>
      </c>
      <c r="Q198" s="13" t="str">
        <f>_xll.BDH("AMGN US Equity","ARDR_UTB_BALANCE_END_PERIOD","FQ2 2022","FQ2 2022","Currency=USD","Period=FQ","BEST_FPERIOD_OVERRIDE=FQ","FILING_STATUS=MR","SCALING_FORMAT=MLN","Sort=A","Dates=H","DateFormat=P","Fill=—","Direction=H","UseDPDF=Y")</f>
        <v>—</v>
      </c>
      <c r="R198" s="13" t="str">
        <f>_xll.BDH("AMGN US Equity","ARDR_UTB_BALANCE_END_PERIOD","FQ3 2022","FQ3 2022","Currency=USD","Period=FQ","BEST_FPERIOD_OVERRIDE=FQ","FILING_STATUS=MR","SCALING_FORMAT=MLN","Sort=A","Dates=H","DateFormat=P","Fill=—","Direction=H","UseDPDF=Y")</f>
        <v>—</v>
      </c>
      <c r="S198" s="13">
        <f>_xll.BDH("AMGN US Equity","ARDR_UTB_BALANCE_END_PERIOD","FQ4 2022","FQ4 2022","Currency=USD","Period=FQ","BEST_FPERIOD_OVERRIDE=FQ","FILING_STATUS=MR","SCALING_FORMAT=MLN","Sort=A","Dates=H","DateFormat=P","Fill=—","Direction=H","UseDPDF=Y")</f>
        <v>3770</v>
      </c>
      <c r="T198" s="13" t="str">
        <f>_xll.BDH("AMGN US Equity","ARDR_UTB_BALANCE_END_PERIOD","FQ1 2023","FQ1 2023","Currency=USD","Period=FQ","BEST_FPERIOD_OVERRIDE=FQ","FILING_STATUS=MR","SCALING_FORMAT=MLN","Sort=A","Dates=H","DateFormat=P","Fill=—","Direction=H","UseDPDF=Y")</f>
        <v>—</v>
      </c>
      <c r="U198" s="13" t="str">
        <f>_xll.BDH("AMGN US Equity","ARDR_UTB_BALANCE_END_PERIOD","FQ2 2023","FQ2 2023","Currency=USD","Period=FQ","BEST_FPERIOD_OVERRIDE=FQ","FILING_STATUS=MR","SCALING_FORMAT=MLN","Sort=A","Dates=H","DateFormat=P","Fill=—","Direction=H","UseDPDF=Y")</f>
        <v>—</v>
      </c>
      <c r="V198" s="13" t="str">
        <f>_xll.BDH("AMGN US Equity","ARDR_UTB_BALANCE_END_PERIOD","FQ3 2023","FQ3 2023","Currency=USD","Period=FQ","BEST_FPERIOD_OVERRIDE=FQ","FILING_STATUS=MR","SCALING_FORMAT=MLN","Sort=A","Dates=H","DateFormat=P","Fill=—","Direction=H","UseDPDF=Y")</f>
        <v>—</v>
      </c>
      <c r="W198" s="13">
        <f>_xll.BDH("AMGN US Equity","ARDR_UTB_BALANCE_END_PERIOD","FQ4 2023","FQ4 2023","Currency=USD","Period=FQ","BEST_FPERIOD_OVERRIDE=FQ","FILING_STATUS=MR","SCALING_FORMAT=MLN","Sort=A","Dates=H","DateFormat=P","Fill=—","Direction=H","UseDPDF=Y")</f>
        <v>4012</v>
      </c>
      <c r="X198" s="13" t="str">
        <f>_xll.BDH("AMGN US Equity","ARDR_UTB_BALANCE_END_PERIOD","FQ1 2024","FQ1 2024","Currency=USD","Period=FQ","BEST_FPERIOD_OVERRIDE=FQ","FILING_STATUS=MR","SCALING_FORMAT=MLN","Sort=A","Dates=H","DateFormat=P","Fill=—","Direction=H","UseDPDF=Y")</f>
        <v>—</v>
      </c>
      <c r="Y198" s="13" t="str">
        <f>_xll.BDH("AMGN US Equity","ARDR_UTB_BALANCE_END_PERIOD","FQ2 2024","FQ2 2024","Currency=USD","Period=FQ","BEST_FPERIOD_OVERRIDE=FQ","FILING_STATUS=MR","SCALING_FORMAT=MLN","Sort=A","Dates=H","DateFormat=P","Fill=—","Direction=H","UseDPDF=Y")</f>
        <v>—</v>
      </c>
      <c r="Z198" s="13" t="str">
        <f>_xll.BDH("AMGN US Equity","ARDR_UTB_BALANCE_END_PERIOD","FQ3 2024","FQ3 2024","Currency=USD","Period=FQ","BEST_FPERIOD_OVERRIDE=FQ","FILING_STATUS=MR","SCALING_FORMAT=MLN","Sort=A","Dates=H","DateFormat=P","Fill=—","Direction=H","UseDPDF=Y")</f>
        <v>—</v>
      </c>
      <c r="AA198" s="13">
        <f>_xll.BDH("AMGN US Equity","ARDR_UTB_BALANCE_END_PERIOD","FQ4 2024","FQ4 2024","Currency=USD","Period=FQ","BEST_FPERIOD_OVERRIDE=FQ","FILING_STATUS=MR","SCALING_FORMAT=MLN","Sort=A","Dates=H","DateFormat=P","Fill=—","Direction=H","UseDPDF=Y")</f>
        <v>4184</v>
      </c>
    </row>
    <row r="199" spans="1:27" x14ac:dyDescent="0.25">
      <c r="A199" s="10" t="s">
        <v>1212</v>
      </c>
      <c r="B199" s="10" t="s">
        <v>1213</v>
      </c>
      <c r="C199" s="13">
        <f>_xll.BDH("AMGN US Equity","ARDR_ADDITIONS_TAX_POS_CUR_YR","FQ4 2018","FQ4 2018","Currency=USD","Period=FQ","BEST_FPERIOD_OVERRIDE=FQ","FILING_STATUS=MR","SCALING_FORMAT=MLN","Sort=A","Dates=H","DateFormat=P","Fill=—","Direction=H","UseDPDF=Y")</f>
        <v>173</v>
      </c>
      <c r="D199" s="13" t="str">
        <f>_xll.BDH("AMGN US Equity","ARDR_ADDITIONS_TAX_POS_CUR_YR","FQ1 2019","FQ1 2019","Currency=USD","Period=FQ","BEST_FPERIOD_OVERRIDE=FQ","FILING_STATUS=MR","SCALING_FORMAT=MLN","Sort=A","Dates=H","DateFormat=P","Fill=—","Direction=H","UseDPDF=Y")</f>
        <v>—</v>
      </c>
      <c r="E199" s="13" t="str">
        <f>_xll.BDH("AMGN US Equity","ARDR_ADDITIONS_TAX_POS_CUR_YR","FQ2 2019","FQ2 2019","Currency=USD","Period=FQ","BEST_FPERIOD_OVERRIDE=FQ","FILING_STATUS=MR","SCALING_FORMAT=MLN","Sort=A","Dates=H","DateFormat=P","Fill=—","Direction=H","UseDPDF=Y")</f>
        <v>—</v>
      </c>
      <c r="F199" s="13" t="str">
        <f>_xll.BDH("AMGN US Equity","ARDR_ADDITIONS_TAX_POS_CUR_YR","FQ3 2019","FQ3 2019","Currency=USD","Period=FQ","BEST_FPERIOD_OVERRIDE=FQ","FILING_STATUS=MR","SCALING_FORMAT=MLN","Sort=A","Dates=H","DateFormat=P","Fill=—","Direction=H","UseDPDF=Y")</f>
        <v>—</v>
      </c>
      <c r="G199" s="13">
        <f>_xll.BDH("AMGN US Equity","ARDR_ADDITIONS_TAX_POS_CUR_YR","FQ4 2019","FQ4 2019","Currency=USD","Period=FQ","BEST_FPERIOD_OVERRIDE=FQ","FILING_STATUS=MR","SCALING_FORMAT=MLN","Sort=A","Dates=H","DateFormat=P","Fill=—","Direction=H","UseDPDF=Y")</f>
        <v>215</v>
      </c>
      <c r="H199" s="13" t="str">
        <f>_xll.BDH("AMGN US Equity","ARDR_ADDITIONS_TAX_POS_CUR_YR","FQ1 2020","FQ1 2020","Currency=USD","Period=FQ","BEST_FPERIOD_OVERRIDE=FQ","FILING_STATUS=MR","SCALING_FORMAT=MLN","Sort=A","Dates=H","DateFormat=P","Fill=—","Direction=H","UseDPDF=Y")</f>
        <v>—</v>
      </c>
      <c r="I199" s="13" t="str">
        <f>_xll.BDH("AMGN US Equity","ARDR_ADDITIONS_TAX_POS_CUR_YR","FQ2 2020","FQ2 2020","Currency=USD","Period=FQ","BEST_FPERIOD_OVERRIDE=FQ","FILING_STATUS=MR","SCALING_FORMAT=MLN","Sort=A","Dates=H","DateFormat=P","Fill=—","Direction=H","UseDPDF=Y")</f>
        <v>—</v>
      </c>
      <c r="J199" s="13" t="str">
        <f>_xll.BDH("AMGN US Equity","ARDR_ADDITIONS_TAX_POS_CUR_YR","FQ3 2020","FQ3 2020","Currency=USD","Period=FQ","BEST_FPERIOD_OVERRIDE=FQ","FILING_STATUS=MR","SCALING_FORMAT=MLN","Sort=A","Dates=H","DateFormat=P","Fill=—","Direction=H","UseDPDF=Y")</f>
        <v>—</v>
      </c>
      <c r="K199" s="13">
        <f>_xll.BDH("AMGN US Equity","ARDR_ADDITIONS_TAX_POS_CUR_YR","FQ4 2020","FQ4 2020","Currency=USD","Period=FQ","BEST_FPERIOD_OVERRIDE=FQ","FILING_STATUS=MR","SCALING_FORMAT=MLN","Sort=A","Dates=H","DateFormat=P","Fill=—","Direction=H","UseDPDF=Y")</f>
        <v>165</v>
      </c>
      <c r="L199" s="13" t="str">
        <f>_xll.BDH("AMGN US Equity","ARDR_ADDITIONS_TAX_POS_CUR_YR","FQ1 2021","FQ1 2021","Currency=USD","Period=FQ","BEST_FPERIOD_OVERRIDE=FQ","FILING_STATUS=MR","SCALING_FORMAT=MLN","Sort=A","Dates=H","DateFormat=P","Fill=—","Direction=H","UseDPDF=Y")</f>
        <v>—</v>
      </c>
      <c r="M199" s="13" t="str">
        <f>_xll.BDH("AMGN US Equity","ARDR_ADDITIONS_TAX_POS_CUR_YR","FQ2 2021","FQ2 2021","Currency=USD","Period=FQ","BEST_FPERIOD_OVERRIDE=FQ","FILING_STATUS=MR","SCALING_FORMAT=MLN","Sort=A","Dates=H","DateFormat=P","Fill=—","Direction=H","UseDPDF=Y")</f>
        <v>—</v>
      </c>
      <c r="N199" s="13" t="str">
        <f>_xll.BDH("AMGN US Equity","ARDR_ADDITIONS_TAX_POS_CUR_YR","FQ3 2021","FQ3 2021","Currency=USD","Period=FQ","BEST_FPERIOD_OVERRIDE=FQ","FILING_STATUS=MR","SCALING_FORMAT=MLN","Sort=A","Dates=H","DateFormat=P","Fill=—","Direction=H","UseDPDF=Y")</f>
        <v>—</v>
      </c>
      <c r="O199" s="13">
        <f>_xll.BDH("AMGN US Equity","ARDR_ADDITIONS_TAX_POS_CUR_YR","FQ4 2021","FQ4 2021","Currency=USD","Period=FQ","BEST_FPERIOD_OVERRIDE=FQ","FILING_STATUS=MR","SCALING_FORMAT=MLN","Sort=A","Dates=H","DateFormat=P","Fill=—","Direction=H","UseDPDF=Y")</f>
        <v>171</v>
      </c>
      <c r="P199" s="13" t="str">
        <f>_xll.BDH("AMGN US Equity","ARDR_ADDITIONS_TAX_POS_CUR_YR","FQ1 2022","FQ1 2022","Currency=USD","Period=FQ","BEST_FPERIOD_OVERRIDE=FQ","FILING_STATUS=MR","SCALING_FORMAT=MLN","Sort=A","Dates=H","DateFormat=P","Fill=—","Direction=H","UseDPDF=Y")</f>
        <v>—</v>
      </c>
      <c r="Q199" s="13" t="str">
        <f>_xll.BDH("AMGN US Equity","ARDR_ADDITIONS_TAX_POS_CUR_YR","FQ2 2022","FQ2 2022","Currency=USD","Period=FQ","BEST_FPERIOD_OVERRIDE=FQ","FILING_STATUS=MR","SCALING_FORMAT=MLN","Sort=A","Dates=H","DateFormat=P","Fill=—","Direction=H","UseDPDF=Y")</f>
        <v>—</v>
      </c>
      <c r="R199" s="13" t="str">
        <f>_xll.BDH("AMGN US Equity","ARDR_ADDITIONS_TAX_POS_CUR_YR","FQ3 2022","FQ3 2022","Currency=USD","Period=FQ","BEST_FPERIOD_OVERRIDE=FQ","FILING_STATUS=MR","SCALING_FORMAT=MLN","Sort=A","Dates=H","DateFormat=P","Fill=—","Direction=H","UseDPDF=Y")</f>
        <v>—</v>
      </c>
      <c r="S199" s="13">
        <f>_xll.BDH("AMGN US Equity","ARDR_ADDITIONS_TAX_POS_CUR_YR","FQ4 2022","FQ4 2022","Currency=USD","Period=FQ","BEST_FPERIOD_OVERRIDE=FQ","FILING_STATUS=MR","SCALING_FORMAT=MLN","Sort=A","Dates=H","DateFormat=P","Fill=—","Direction=H","UseDPDF=Y")</f>
        <v>151</v>
      </c>
      <c r="T199" s="13" t="str">
        <f>_xll.BDH("AMGN US Equity","ARDR_ADDITIONS_TAX_POS_CUR_YR","FQ1 2023","FQ1 2023","Currency=USD","Period=FQ","BEST_FPERIOD_OVERRIDE=FQ","FILING_STATUS=MR","SCALING_FORMAT=MLN","Sort=A","Dates=H","DateFormat=P","Fill=—","Direction=H","UseDPDF=Y")</f>
        <v>—</v>
      </c>
      <c r="U199" s="13" t="str">
        <f>_xll.BDH("AMGN US Equity","ARDR_ADDITIONS_TAX_POS_CUR_YR","FQ2 2023","FQ2 2023","Currency=USD","Period=FQ","BEST_FPERIOD_OVERRIDE=FQ","FILING_STATUS=MR","SCALING_FORMAT=MLN","Sort=A","Dates=H","DateFormat=P","Fill=—","Direction=H","UseDPDF=Y")</f>
        <v>—</v>
      </c>
      <c r="V199" s="13" t="str">
        <f>_xll.BDH("AMGN US Equity","ARDR_ADDITIONS_TAX_POS_CUR_YR","FQ3 2023","FQ3 2023","Currency=USD","Period=FQ","BEST_FPERIOD_OVERRIDE=FQ","FILING_STATUS=MR","SCALING_FORMAT=MLN","Sort=A","Dates=H","DateFormat=P","Fill=—","Direction=H","UseDPDF=Y")</f>
        <v>—</v>
      </c>
      <c r="W199" s="13">
        <f>_xll.BDH("AMGN US Equity","ARDR_ADDITIONS_TAX_POS_CUR_YR","FQ4 2023","FQ4 2023","Currency=USD","Period=FQ","BEST_FPERIOD_OVERRIDE=FQ","FILING_STATUS=MR","SCALING_FORMAT=MLN","Sort=A","Dates=H","DateFormat=P","Fill=—","Direction=H","UseDPDF=Y")</f>
        <v>196</v>
      </c>
      <c r="X199" s="13" t="str">
        <f>_xll.BDH("AMGN US Equity","ARDR_ADDITIONS_TAX_POS_CUR_YR","FQ1 2024","FQ1 2024","Currency=USD","Period=FQ","BEST_FPERIOD_OVERRIDE=FQ","FILING_STATUS=MR","SCALING_FORMAT=MLN","Sort=A","Dates=H","DateFormat=P","Fill=—","Direction=H","UseDPDF=Y")</f>
        <v>—</v>
      </c>
      <c r="Y199" s="13" t="str">
        <f>_xll.BDH("AMGN US Equity","ARDR_ADDITIONS_TAX_POS_CUR_YR","FQ2 2024","FQ2 2024","Currency=USD","Period=FQ","BEST_FPERIOD_OVERRIDE=FQ","FILING_STATUS=MR","SCALING_FORMAT=MLN","Sort=A","Dates=H","DateFormat=P","Fill=—","Direction=H","UseDPDF=Y")</f>
        <v>—</v>
      </c>
      <c r="Z199" s="13" t="str">
        <f>_xll.BDH("AMGN US Equity","ARDR_ADDITIONS_TAX_POS_CUR_YR","FQ3 2024","FQ3 2024","Currency=USD","Period=FQ","BEST_FPERIOD_OVERRIDE=FQ","FILING_STATUS=MR","SCALING_FORMAT=MLN","Sort=A","Dates=H","DateFormat=P","Fill=—","Direction=H","UseDPDF=Y")</f>
        <v>—</v>
      </c>
      <c r="AA199" s="13">
        <f>_xll.BDH("AMGN US Equity","ARDR_ADDITIONS_TAX_POS_CUR_YR","FQ4 2024","FQ4 2024","Currency=USD","Period=FQ","BEST_FPERIOD_OVERRIDE=FQ","FILING_STATUS=MR","SCALING_FORMAT=MLN","Sort=A","Dates=H","DateFormat=P","Fill=—","Direction=H","UseDPDF=Y")</f>
        <v>188</v>
      </c>
    </row>
    <row r="200" spans="1:27" x14ac:dyDescent="0.25">
      <c r="A200" s="10" t="s">
        <v>1214</v>
      </c>
      <c r="B200" s="10" t="s">
        <v>1215</v>
      </c>
      <c r="C200" s="13">
        <f>_xll.BDH("AMGN US Equity","ARDR_ADDITIONS_TAX_POS_PR_YR","FQ4 2018","FQ4 2018","Currency=USD","Period=FQ","BEST_FPERIOD_OVERRIDE=FQ","FILING_STATUS=MR","SCALING_FORMAT=MLN","Sort=A","Dates=H","DateFormat=P","Fill=—","Direction=H","UseDPDF=Y")</f>
        <v>13</v>
      </c>
      <c r="D200" s="13" t="str">
        <f>_xll.BDH("AMGN US Equity","ARDR_ADDITIONS_TAX_POS_PR_YR","FQ1 2019","FQ1 2019","Currency=USD","Period=FQ","BEST_FPERIOD_OVERRIDE=FQ","FILING_STATUS=MR","SCALING_FORMAT=MLN","Sort=A","Dates=H","DateFormat=P","Fill=—","Direction=H","UseDPDF=Y")</f>
        <v>—</v>
      </c>
      <c r="E200" s="13" t="str">
        <f>_xll.BDH("AMGN US Equity","ARDR_ADDITIONS_TAX_POS_PR_YR","FQ2 2019","FQ2 2019","Currency=USD","Period=FQ","BEST_FPERIOD_OVERRIDE=FQ","FILING_STATUS=MR","SCALING_FORMAT=MLN","Sort=A","Dates=H","DateFormat=P","Fill=—","Direction=H","UseDPDF=Y")</f>
        <v>—</v>
      </c>
      <c r="F200" s="13" t="str">
        <f>_xll.BDH("AMGN US Equity","ARDR_ADDITIONS_TAX_POS_PR_YR","FQ3 2019","FQ3 2019","Currency=USD","Period=FQ","BEST_FPERIOD_OVERRIDE=FQ","FILING_STATUS=MR","SCALING_FORMAT=MLN","Sort=A","Dates=H","DateFormat=P","Fill=—","Direction=H","UseDPDF=Y")</f>
        <v>—</v>
      </c>
      <c r="G200" s="13">
        <f>_xll.BDH("AMGN US Equity","ARDR_ADDITIONS_TAX_POS_PR_YR","FQ4 2019","FQ4 2019","Currency=USD","Period=FQ","BEST_FPERIOD_OVERRIDE=FQ","FILING_STATUS=MR","SCALING_FORMAT=MLN","Sort=A","Dates=H","DateFormat=P","Fill=—","Direction=H","UseDPDF=Y")</f>
        <v>22</v>
      </c>
      <c r="H200" s="13" t="str">
        <f>_xll.BDH("AMGN US Equity","ARDR_ADDITIONS_TAX_POS_PR_YR","FQ1 2020","FQ1 2020","Currency=USD","Period=FQ","BEST_FPERIOD_OVERRIDE=FQ","FILING_STATUS=MR","SCALING_FORMAT=MLN","Sort=A","Dates=H","DateFormat=P","Fill=—","Direction=H","UseDPDF=Y")</f>
        <v>—</v>
      </c>
      <c r="I200" s="13" t="str">
        <f>_xll.BDH("AMGN US Equity","ARDR_ADDITIONS_TAX_POS_PR_YR","FQ2 2020","FQ2 2020","Currency=USD","Period=FQ","BEST_FPERIOD_OVERRIDE=FQ","FILING_STATUS=MR","SCALING_FORMAT=MLN","Sort=A","Dates=H","DateFormat=P","Fill=—","Direction=H","UseDPDF=Y")</f>
        <v>—</v>
      </c>
      <c r="J200" s="13" t="str">
        <f>_xll.BDH("AMGN US Equity","ARDR_ADDITIONS_TAX_POS_PR_YR","FQ3 2020","FQ3 2020","Currency=USD","Period=FQ","BEST_FPERIOD_OVERRIDE=FQ","FILING_STATUS=MR","SCALING_FORMAT=MLN","Sort=A","Dates=H","DateFormat=P","Fill=—","Direction=H","UseDPDF=Y")</f>
        <v>—</v>
      </c>
      <c r="K200" s="13">
        <f>_xll.BDH("AMGN US Equity","ARDR_ADDITIONS_TAX_POS_PR_YR","FQ4 2020","FQ4 2020","Currency=USD","Period=FQ","BEST_FPERIOD_OVERRIDE=FQ","FILING_STATUS=MR","SCALING_FORMAT=MLN","Sort=A","Dates=H","DateFormat=P","Fill=—","Direction=H","UseDPDF=Y")</f>
        <v>3</v>
      </c>
      <c r="L200" s="13" t="str">
        <f>_xll.BDH("AMGN US Equity","ARDR_ADDITIONS_TAX_POS_PR_YR","FQ1 2021","FQ1 2021","Currency=USD","Period=FQ","BEST_FPERIOD_OVERRIDE=FQ","FILING_STATUS=MR","SCALING_FORMAT=MLN","Sort=A","Dates=H","DateFormat=P","Fill=—","Direction=H","UseDPDF=Y")</f>
        <v>—</v>
      </c>
      <c r="M200" s="13" t="str">
        <f>_xll.BDH("AMGN US Equity","ARDR_ADDITIONS_TAX_POS_PR_YR","FQ2 2021","FQ2 2021","Currency=USD","Period=FQ","BEST_FPERIOD_OVERRIDE=FQ","FILING_STATUS=MR","SCALING_FORMAT=MLN","Sort=A","Dates=H","DateFormat=P","Fill=—","Direction=H","UseDPDF=Y")</f>
        <v>—</v>
      </c>
      <c r="N200" s="13" t="str">
        <f>_xll.BDH("AMGN US Equity","ARDR_ADDITIONS_TAX_POS_PR_YR","FQ3 2021","FQ3 2021","Currency=USD","Period=FQ","BEST_FPERIOD_OVERRIDE=FQ","FILING_STATUS=MR","SCALING_FORMAT=MLN","Sort=A","Dates=H","DateFormat=P","Fill=—","Direction=H","UseDPDF=Y")</f>
        <v>—</v>
      </c>
      <c r="O200" s="13">
        <f>_xll.BDH("AMGN US Equity","ARDR_ADDITIONS_TAX_POS_PR_YR","FQ4 2021","FQ4 2021","Currency=USD","Period=FQ","BEST_FPERIOD_OVERRIDE=FQ","FILING_STATUS=MR","SCALING_FORMAT=MLN","Sort=A","Dates=H","DateFormat=P","Fill=—","Direction=H","UseDPDF=Y")</f>
        <v>35</v>
      </c>
      <c r="P200" s="13" t="str">
        <f>_xll.BDH("AMGN US Equity","ARDR_ADDITIONS_TAX_POS_PR_YR","FQ1 2022","FQ1 2022","Currency=USD","Period=FQ","BEST_FPERIOD_OVERRIDE=FQ","FILING_STATUS=MR","SCALING_FORMAT=MLN","Sort=A","Dates=H","DateFormat=P","Fill=—","Direction=H","UseDPDF=Y")</f>
        <v>—</v>
      </c>
      <c r="Q200" s="13" t="str">
        <f>_xll.BDH("AMGN US Equity","ARDR_ADDITIONS_TAX_POS_PR_YR","FQ2 2022","FQ2 2022","Currency=USD","Period=FQ","BEST_FPERIOD_OVERRIDE=FQ","FILING_STATUS=MR","SCALING_FORMAT=MLN","Sort=A","Dates=H","DateFormat=P","Fill=—","Direction=H","UseDPDF=Y")</f>
        <v>—</v>
      </c>
      <c r="R200" s="13" t="str">
        <f>_xll.BDH("AMGN US Equity","ARDR_ADDITIONS_TAX_POS_PR_YR","FQ3 2022","FQ3 2022","Currency=USD","Period=FQ","BEST_FPERIOD_OVERRIDE=FQ","FILING_STATUS=MR","SCALING_FORMAT=MLN","Sort=A","Dates=H","DateFormat=P","Fill=—","Direction=H","UseDPDF=Y")</f>
        <v>—</v>
      </c>
      <c r="S200" s="13">
        <f>_xll.BDH("AMGN US Equity","ARDR_ADDITIONS_TAX_POS_PR_YR","FQ4 2022","FQ4 2022","Currency=USD","Period=FQ","BEST_FPERIOD_OVERRIDE=FQ","FILING_STATUS=MR","SCALING_FORMAT=MLN","Sort=A","Dates=H","DateFormat=P","Fill=—","Direction=H","UseDPDF=Y")</f>
        <v>90</v>
      </c>
      <c r="T200" s="13" t="str">
        <f>_xll.BDH("AMGN US Equity","ARDR_ADDITIONS_TAX_POS_PR_YR","FQ1 2023","FQ1 2023","Currency=USD","Period=FQ","BEST_FPERIOD_OVERRIDE=FQ","FILING_STATUS=MR","SCALING_FORMAT=MLN","Sort=A","Dates=H","DateFormat=P","Fill=—","Direction=H","UseDPDF=Y")</f>
        <v>—</v>
      </c>
      <c r="U200" s="13" t="str">
        <f>_xll.BDH("AMGN US Equity","ARDR_ADDITIONS_TAX_POS_PR_YR","FQ2 2023","FQ2 2023","Currency=USD","Period=FQ","BEST_FPERIOD_OVERRIDE=FQ","FILING_STATUS=MR","SCALING_FORMAT=MLN","Sort=A","Dates=H","DateFormat=P","Fill=—","Direction=H","UseDPDF=Y")</f>
        <v>—</v>
      </c>
      <c r="V200" s="13" t="str">
        <f>_xll.BDH("AMGN US Equity","ARDR_ADDITIONS_TAX_POS_PR_YR","FQ3 2023","FQ3 2023","Currency=USD","Period=FQ","BEST_FPERIOD_OVERRIDE=FQ","FILING_STATUS=MR","SCALING_FORMAT=MLN","Sort=A","Dates=H","DateFormat=P","Fill=—","Direction=H","UseDPDF=Y")</f>
        <v>—</v>
      </c>
      <c r="W200" s="13">
        <f>_xll.BDH("AMGN US Equity","ARDR_ADDITIONS_TAX_POS_PR_YR","FQ4 2023","FQ4 2023","Currency=USD","Period=FQ","BEST_FPERIOD_OVERRIDE=FQ","FILING_STATUS=MR","SCALING_FORMAT=MLN","Sort=A","Dates=H","DateFormat=P","Fill=—","Direction=H","UseDPDF=Y")</f>
        <v>56</v>
      </c>
      <c r="X200" s="13" t="str">
        <f>_xll.BDH("AMGN US Equity","ARDR_ADDITIONS_TAX_POS_PR_YR","FQ1 2024","FQ1 2024","Currency=USD","Period=FQ","BEST_FPERIOD_OVERRIDE=FQ","FILING_STATUS=MR","SCALING_FORMAT=MLN","Sort=A","Dates=H","DateFormat=P","Fill=—","Direction=H","UseDPDF=Y")</f>
        <v>—</v>
      </c>
      <c r="Y200" s="13" t="str">
        <f>_xll.BDH("AMGN US Equity","ARDR_ADDITIONS_TAX_POS_PR_YR","FQ2 2024","FQ2 2024","Currency=USD","Period=FQ","BEST_FPERIOD_OVERRIDE=FQ","FILING_STATUS=MR","SCALING_FORMAT=MLN","Sort=A","Dates=H","DateFormat=P","Fill=—","Direction=H","UseDPDF=Y")</f>
        <v>—</v>
      </c>
      <c r="Z200" s="13" t="str">
        <f>_xll.BDH("AMGN US Equity","ARDR_ADDITIONS_TAX_POS_PR_YR","FQ3 2024","FQ3 2024","Currency=USD","Period=FQ","BEST_FPERIOD_OVERRIDE=FQ","FILING_STATUS=MR","SCALING_FORMAT=MLN","Sort=A","Dates=H","DateFormat=P","Fill=—","Direction=H","UseDPDF=Y")</f>
        <v>—</v>
      </c>
      <c r="AA200" s="13">
        <f>_xll.BDH("AMGN US Equity","ARDR_ADDITIONS_TAX_POS_PR_YR","FQ4 2024","FQ4 2024","Currency=USD","Period=FQ","BEST_FPERIOD_OVERRIDE=FQ","FILING_STATUS=MR","SCALING_FORMAT=MLN","Sort=A","Dates=H","DateFormat=P","Fill=—","Direction=H","UseDPDF=Y")</f>
        <v>9</v>
      </c>
    </row>
    <row r="201" spans="1:27" x14ac:dyDescent="0.25">
      <c r="A201" s="10" t="s">
        <v>1216</v>
      </c>
      <c r="B201" s="10" t="s">
        <v>1217</v>
      </c>
      <c r="C201" s="13">
        <f>_xll.BDH("AMGN US Equity","ARDR_REDUCTIONS_TAX_POS_PR_YR","FQ4 2018","FQ4 2018","Currency=USD","Period=FQ","BEST_FPERIOD_OVERRIDE=FQ","FILING_STATUS=MR","SCALING_FORMAT=MLN","Sort=A","Dates=H","DateFormat=P","Fill=—","Direction=H","UseDPDF=Y")</f>
        <v>-17</v>
      </c>
      <c r="D201" s="13" t="str">
        <f>_xll.BDH("AMGN US Equity","ARDR_REDUCTIONS_TAX_POS_PR_YR","FQ1 2019","FQ1 2019","Currency=USD","Period=FQ","BEST_FPERIOD_OVERRIDE=FQ","FILING_STATUS=MR","SCALING_FORMAT=MLN","Sort=A","Dates=H","DateFormat=P","Fill=—","Direction=H","UseDPDF=Y")</f>
        <v>—</v>
      </c>
      <c r="E201" s="13" t="str">
        <f>_xll.BDH("AMGN US Equity","ARDR_REDUCTIONS_TAX_POS_PR_YR","FQ2 2019","FQ2 2019","Currency=USD","Period=FQ","BEST_FPERIOD_OVERRIDE=FQ","FILING_STATUS=MR","SCALING_FORMAT=MLN","Sort=A","Dates=H","DateFormat=P","Fill=—","Direction=H","UseDPDF=Y")</f>
        <v>—</v>
      </c>
      <c r="F201" s="13" t="str">
        <f>_xll.BDH("AMGN US Equity","ARDR_REDUCTIONS_TAX_POS_PR_YR","FQ3 2019","FQ3 2019","Currency=USD","Period=FQ","BEST_FPERIOD_OVERRIDE=FQ","FILING_STATUS=MR","SCALING_FORMAT=MLN","Sort=A","Dates=H","DateFormat=P","Fill=—","Direction=H","UseDPDF=Y")</f>
        <v>—</v>
      </c>
      <c r="G201" s="13">
        <f>_xll.BDH("AMGN US Equity","ARDR_REDUCTIONS_TAX_POS_PR_YR","FQ4 2019","FQ4 2019","Currency=USD","Period=FQ","BEST_FPERIOD_OVERRIDE=FQ","FILING_STATUS=MR","SCALING_FORMAT=MLN","Sort=A","Dates=H","DateFormat=P","Fill=—","Direction=H","UseDPDF=Y")</f>
        <v>-11</v>
      </c>
      <c r="H201" s="13" t="str">
        <f>_xll.BDH("AMGN US Equity","ARDR_REDUCTIONS_TAX_POS_PR_YR","FQ1 2020","FQ1 2020","Currency=USD","Period=FQ","BEST_FPERIOD_OVERRIDE=FQ","FILING_STATUS=MR","SCALING_FORMAT=MLN","Sort=A","Dates=H","DateFormat=P","Fill=—","Direction=H","UseDPDF=Y")</f>
        <v>—</v>
      </c>
      <c r="I201" s="13" t="str">
        <f>_xll.BDH("AMGN US Equity","ARDR_REDUCTIONS_TAX_POS_PR_YR","FQ2 2020","FQ2 2020","Currency=USD","Period=FQ","BEST_FPERIOD_OVERRIDE=FQ","FILING_STATUS=MR","SCALING_FORMAT=MLN","Sort=A","Dates=H","DateFormat=P","Fill=—","Direction=H","UseDPDF=Y")</f>
        <v>—</v>
      </c>
      <c r="J201" s="13" t="str">
        <f>_xll.BDH("AMGN US Equity","ARDR_REDUCTIONS_TAX_POS_PR_YR","FQ3 2020","FQ3 2020","Currency=USD","Period=FQ","BEST_FPERIOD_OVERRIDE=FQ","FILING_STATUS=MR","SCALING_FORMAT=MLN","Sort=A","Dates=H","DateFormat=P","Fill=—","Direction=H","UseDPDF=Y")</f>
        <v>—</v>
      </c>
      <c r="K201" s="13">
        <f>_xll.BDH("AMGN US Equity","ARDR_REDUCTIONS_TAX_POS_PR_YR","FQ4 2020","FQ4 2020","Currency=USD","Period=FQ","BEST_FPERIOD_OVERRIDE=FQ","FILING_STATUS=MR","SCALING_FORMAT=MLN","Sort=A","Dates=H","DateFormat=P","Fill=—","Direction=H","UseDPDF=Y")</f>
        <v>-35</v>
      </c>
      <c r="L201" s="13" t="str">
        <f>_xll.BDH("AMGN US Equity","ARDR_REDUCTIONS_TAX_POS_PR_YR","FQ1 2021","FQ1 2021","Currency=USD","Period=FQ","BEST_FPERIOD_OVERRIDE=FQ","FILING_STATUS=MR","SCALING_FORMAT=MLN","Sort=A","Dates=H","DateFormat=P","Fill=—","Direction=H","UseDPDF=Y")</f>
        <v>—</v>
      </c>
      <c r="M201" s="13" t="str">
        <f>_xll.BDH("AMGN US Equity","ARDR_REDUCTIONS_TAX_POS_PR_YR","FQ2 2021","FQ2 2021","Currency=USD","Period=FQ","BEST_FPERIOD_OVERRIDE=FQ","FILING_STATUS=MR","SCALING_FORMAT=MLN","Sort=A","Dates=H","DateFormat=P","Fill=—","Direction=H","UseDPDF=Y")</f>
        <v>—</v>
      </c>
      <c r="N201" s="13" t="str">
        <f>_xll.BDH("AMGN US Equity","ARDR_REDUCTIONS_TAX_POS_PR_YR","FQ3 2021","FQ3 2021","Currency=USD","Period=FQ","BEST_FPERIOD_OVERRIDE=FQ","FILING_STATUS=MR","SCALING_FORMAT=MLN","Sort=A","Dates=H","DateFormat=P","Fill=—","Direction=H","UseDPDF=Y")</f>
        <v>—</v>
      </c>
      <c r="O201" s="13">
        <f>_xll.BDH("AMGN US Equity","ARDR_REDUCTIONS_TAX_POS_PR_YR","FQ4 2021","FQ4 2021","Currency=USD","Period=FQ","BEST_FPERIOD_OVERRIDE=FQ","FILING_STATUS=MR","SCALING_FORMAT=MLN","Sort=A","Dates=H","DateFormat=P","Fill=—","Direction=H","UseDPDF=Y")</f>
        <v>-4</v>
      </c>
      <c r="P201" s="13" t="str">
        <f>_xll.BDH("AMGN US Equity","ARDR_REDUCTIONS_TAX_POS_PR_YR","FQ1 2022","FQ1 2022","Currency=USD","Period=FQ","BEST_FPERIOD_OVERRIDE=FQ","FILING_STATUS=MR","SCALING_FORMAT=MLN","Sort=A","Dates=H","DateFormat=P","Fill=—","Direction=H","UseDPDF=Y")</f>
        <v>—</v>
      </c>
      <c r="Q201" s="13" t="str">
        <f>_xll.BDH("AMGN US Equity","ARDR_REDUCTIONS_TAX_POS_PR_YR","FQ2 2022","FQ2 2022","Currency=USD","Period=FQ","BEST_FPERIOD_OVERRIDE=FQ","FILING_STATUS=MR","SCALING_FORMAT=MLN","Sort=A","Dates=H","DateFormat=P","Fill=—","Direction=H","UseDPDF=Y")</f>
        <v>—</v>
      </c>
      <c r="R201" s="13" t="str">
        <f>_xll.BDH("AMGN US Equity","ARDR_REDUCTIONS_TAX_POS_PR_YR","FQ3 2022","FQ3 2022","Currency=USD","Period=FQ","BEST_FPERIOD_OVERRIDE=FQ","FILING_STATUS=MR","SCALING_FORMAT=MLN","Sort=A","Dates=H","DateFormat=P","Fill=—","Direction=H","UseDPDF=Y")</f>
        <v>—</v>
      </c>
      <c r="S201" s="13">
        <f>_xll.BDH("AMGN US Equity","ARDR_REDUCTIONS_TAX_POS_PR_YR","FQ4 2022","FQ4 2022","Currency=USD","Period=FQ","BEST_FPERIOD_OVERRIDE=FQ","FILING_STATUS=MR","SCALING_FORMAT=MLN","Sort=A","Dates=H","DateFormat=P","Fill=—","Direction=H","UseDPDF=Y")</f>
        <v>-11</v>
      </c>
      <c r="T201" s="13" t="str">
        <f>_xll.BDH("AMGN US Equity","ARDR_REDUCTIONS_TAX_POS_PR_YR","FQ1 2023","FQ1 2023","Currency=USD","Period=FQ","BEST_FPERIOD_OVERRIDE=FQ","FILING_STATUS=MR","SCALING_FORMAT=MLN","Sort=A","Dates=H","DateFormat=P","Fill=—","Direction=H","UseDPDF=Y")</f>
        <v>—</v>
      </c>
      <c r="U201" s="13" t="str">
        <f>_xll.BDH("AMGN US Equity","ARDR_REDUCTIONS_TAX_POS_PR_YR","FQ2 2023","FQ2 2023","Currency=USD","Period=FQ","BEST_FPERIOD_OVERRIDE=FQ","FILING_STATUS=MR","SCALING_FORMAT=MLN","Sort=A","Dates=H","DateFormat=P","Fill=—","Direction=H","UseDPDF=Y")</f>
        <v>—</v>
      </c>
      <c r="V201" s="13" t="str">
        <f>_xll.BDH("AMGN US Equity","ARDR_REDUCTIONS_TAX_POS_PR_YR","FQ3 2023","FQ3 2023","Currency=USD","Period=FQ","BEST_FPERIOD_OVERRIDE=FQ","FILING_STATUS=MR","SCALING_FORMAT=MLN","Sort=A","Dates=H","DateFormat=P","Fill=—","Direction=H","UseDPDF=Y")</f>
        <v>—</v>
      </c>
      <c r="W201" s="13">
        <f>_xll.BDH("AMGN US Equity","ARDR_REDUCTIONS_TAX_POS_PR_YR","FQ4 2023","FQ4 2023","Currency=USD","Period=FQ","BEST_FPERIOD_OVERRIDE=FQ","FILING_STATUS=MR","SCALING_FORMAT=MLN","Sort=A","Dates=H","DateFormat=P","Fill=—","Direction=H","UseDPDF=Y")</f>
        <v>4</v>
      </c>
      <c r="X201" s="13" t="str">
        <f>_xll.BDH("AMGN US Equity","ARDR_REDUCTIONS_TAX_POS_PR_YR","FQ1 2024","FQ1 2024","Currency=USD","Period=FQ","BEST_FPERIOD_OVERRIDE=FQ","FILING_STATUS=MR","SCALING_FORMAT=MLN","Sort=A","Dates=H","DateFormat=P","Fill=—","Direction=H","UseDPDF=Y")</f>
        <v>—</v>
      </c>
      <c r="Y201" s="13" t="str">
        <f>_xll.BDH("AMGN US Equity","ARDR_REDUCTIONS_TAX_POS_PR_YR","FQ2 2024","FQ2 2024","Currency=USD","Period=FQ","BEST_FPERIOD_OVERRIDE=FQ","FILING_STATUS=MR","SCALING_FORMAT=MLN","Sort=A","Dates=H","DateFormat=P","Fill=—","Direction=H","UseDPDF=Y")</f>
        <v>—</v>
      </c>
      <c r="Z201" s="13" t="str">
        <f>_xll.BDH("AMGN US Equity","ARDR_REDUCTIONS_TAX_POS_PR_YR","FQ3 2024","FQ3 2024","Currency=USD","Period=FQ","BEST_FPERIOD_OVERRIDE=FQ","FILING_STATUS=MR","SCALING_FORMAT=MLN","Sort=A","Dates=H","DateFormat=P","Fill=—","Direction=H","UseDPDF=Y")</f>
        <v>—</v>
      </c>
      <c r="AA201" s="13">
        <f>_xll.BDH("AMGN US Equity","ARDR_REDUCTIONS_TAX_POS_PR_YR","FQ4 2024","FQ4 2024","Currency=USD","Period=FQ","BEST_FPERIOD_OVERRIDE=FQ","FILING_STATUS=MR","SCALING_FORMAT=MLN","Sort=A","Dates=H","DateFormat=P","Fill=—","Direction=H","UseDPDF=Y")</f>
        <v>21</v>
      </c>
    </row>
    <row r="202" spans="1:27" x14ac:dyDescent="0.25">
      <c r="A202" s="10" t="s">
        <v>1218</v>
      </c>
      <c r="B202" s="10" t="s">
        <v>1219</v>
      </c>
      <c r="C202" s="13">
        <f>_xll.BDH("AMGN US Equity","ARDR_SETTLEMENTS","FQ4 2018","FQ4 2018","Currency=USD","Period=FQ","BEST_FPERIOD_OVERRIDE=FQ","FILING_STATUS=MR","SCALING_FORMAT=MLN","Sort=A","Dates=H","DateFormat=P","Fill=—","Direction=H","UseDPDF=Y")</f>
        <v>-61</v>
      </c>
      <c r="D202" s="13" t="str">
        <f>_xll.BDH("AMGN US Equity","ARDR_SETTLEMENTS","FQ1 2019","FQ1 2019","Currency=USD","Period=FQ","BEST_FPERIOD_OVERRIDE=FQ","FILING_STATUS=MR","SCALING_FORMAT=MLN","Sort=A","Dates=H","DateFormat=P","Fill=—","Direction=H","UseDPDF=Y")</f>
        <v>—</v>
      </c>
      <c r="E202" s="13" t="str">
        <f>_xll.BDH("AMGN US Equity","ARDR_SETTLEMENTS","FQ2 2019","FQ2 2019","Currency=USD","Period=FQ","BEST_FPERIOD_OVERRIDE=FQ","FILING_STATUS=MR","SCALING_FORMAT=MLN","Sort=A","Dates=H","DateFormat=P","Fill=—","Direction=H","UseDPDF=Y")</f>
        <v>—</v>
      </c>
      <c r="F202" s="13" t="str">
        <f>_xll.BDH("AMGN US Equity","ARDR_SETTLEMENTS","FQ3 2019","FQ3 2019","Currency=USD","Period=FQ","BEST_FPERIOD_OVERRIDE=FQ","FILING_STATUS=MR","SCALING_FORMAT=MLN","Sort=A","Dates=H","DateFormat=P","Fill=—","Direction=H","UseDPDF=Y")</f>
        <v>—</v>
      </c>
      <c r="G202" s="13">
        <f>_xll.BDH("AMGN US Equity","ARDR_SETTLEMENTS","FQ4 2019","FQ4 2019","Currency=USD","Period=FQ","BEST_FPERIOD_OVERRIDE=FQ","FILING_STATUS=MR","SCALING_FORMAT=MLN","Sort=A","Dates=H","DateFormat=P","Fill=—","Direction=H","UseDPDF=Y")</f>
        <v>0</v>
      </c>
      <c r="H202" s="13" t="str">
        <f>_xll.BDH("AMGN US Equity","ARDR_SETTLEMENTS","FQ1 2020","FQ1 2020","Currency=USD","Period=FQ","BEST_FPERIOD_OVERRIDE=FQ","FILING_STATUS=MR","SCALING_FORMAT=MLN","Sort=A","Dates=H","DateFormat=P","Fill=—","Direction=H","UseDPDF=Y")</f>
        <v>—</v>
      </c>
      <c r="I202" s="13" t="str">
        <f>_xll.BDH("AMGN US Equity","ARDR_SETTLEMENTS","FQ2 2020","FQ2 2020","Currency=USD","Period=FQ","BEST_FPERIOD_OVERRIDE=FQ","FILING_STATUS=MR","SCALING_FORMAT=MLN","Sort=A","Dates=H","DateFormat=P","Fill=—","Direction=H","UseDPDF=Y")</f>
        <v>—</v>
      </c>
      <c r="J202" s="13" t="str">
        <f>_xll.BDH("AMGN US Equity","ARDR_SETTLEMENTS","FQ3 2020","FQ3 2020","Currency=USD","Period=FQ","BEST_FPERIOD_OVERRIDE=FQ","FILING_STATUS=MR","SCALING_FORMAT=MLN","Sort=A","Dates=H","DateFormat=P","Fill=—","Direction=H","UseDPDF=Y")</f>
        <v>—</v>
      </c>
      <c r="K202" s="13">
        <f>_xll.BDH("AMGN US Equity","ARDR_SETTLEMENTS","FQ4 2020","FQ4 2020","Currency=USD","Period=FQ","BEST_FPERIOD_OVERRIDE=FQ","FILING_STATUS=MR","SCALING_FORMAT=MLN","Sort=A","Dates=H","DateFormat=P","Fill=—","Direction=H","UseDPDF=Y")</f>
        <v>-68</v>
      </c>
      <c r="L202" s="13" t="str">
        <f>_xll.BDH("AMGN US Equity","ARDR_SETTLEMENTS","FQ1 2021","FQ1 2021","Currency=USD","Period=FQ","BEST_FPERIOD_OVERRIDE=FQ","FILING_STATUS=MR","SCALING_FORMAT=MLN","Sort=A","Dates=H","DateFormat=P","Fill=—","Direction=H","UseDPDF=Y")</f>
        <v>—</v>
      </c>
      <c r="M202" s="13" t="str">
        <f>_xll.BDH("AMGN US Equity","ARDR_SETTLEMENTS","FQ2 2021","FQ2 2021","Currency=USD","Period=FQ","BEST_FPERIOD_OVERRIDE=FQ","FILING_STATUS=MR","SCALING_FORMAT=MLN","Sort=A","Dates=H","DateFormat=P","Fill=—","Direction=H","UseDPDF=Y")</f>
        <v>—</v>
      </c>
      <c r="N202" s="13" t="str">
        <f>_xll.BDH("AMGN US Equity","ARDR_SETTLEMENTS","FQ3 2021","FQ3 2021","Currency=USD","Period=FQ","BEST_FPERIOD_OVERRIDE=FQ","FILING_STATUS=MR","SCALING_FORMAT=MLN","Sort=A","Dates=H","DateFormat=P","Fill=—","Direction=H","UseDPDF=Y")</f>
        <v>—</v>
      </c>
      <c r="O202" s="13">
        <f>_xll.BDH("AMGN US Equity","ARDR_SETTLEMENTS","FQ4 2021","FQ4 2021","Currency=USD","Period=FQ","BEST_FPERIOD_OVERRIDE=FQ","FILING_STATUS=MR","SCALING_FORMAT=MLN","Sort=A","Dates=H","DateFormat=P","Fill=—","Direction=H","UseDPDF=Y")</f>
        <v>-8</v>
      </c>
      <c r="P202" s="13" t="str">
        <f>_xll.BDH("AMGN US Equity","ARDR_SETTLEMENTS","FQ1 2022","FQ1 2022","Currency=USD","Period=FQ","BEST_FPERIOD_OVERRIDE=FQ","FILING_STATUS=MR","SCALING_FORMAT=MLN","Sort=A","Dates=H","DateFormat=P","Fill=—","Direction=H","UseDPDF=Y")</f>
        <v>—</v>
      </c>
      <c r="Q202" s="13" t="str">
        <f>_xll.BDH("AMGN US Equity","ARDR_SETTLEMENTS","FQ2 2022","FQ2 2022","Currency=USD","Period=FQ","BEST_FPERIOD_OVERRIDE=FQ","FILING_STATUS=MR","SCALING_FORMAT=MLN","Sort=A","Dates=H","DateFormat=P","Fill=—","Direction=H","UseDPDF=Y")</f>
        <v>—</v>
      </c>
      <c r="R202" s="13" t="str">
        <f>_xll.BDH("AMGN US Equity","ARDR_SETTLEMENTS","FQ3 2022","FQ3 2022","Currency=USD","Period=FQ","BEST_FPERIOD_OVERRIDE=FQ","FILING_STATUS=MR","SCALING_FORMAT=MLN","Sort=A","Dates=H","DateFormat=P","Fill=—","Direction=H","UseDPDF=Y")</f>
        <v>—</v>
      </c>
      <c r="S202" s="13">
        <f>_xll.BDH("AMGN US Equity","ARDR_SETTLEMENTS","FQ4 2022","FQ4 2022","Currency=USD","Period=FQ","BEST_FPERIOD_OVERRIDE=FQ","FILING_STATUS=MR","SCALING_FORMAT=MLN","Sort=A","Dates=H","DateFormat=P","Fill=—","Direction=H","UseDPDF=Y")</f>
        <v>0</v>
      </c>
      <c r="T202" s="13" t="str">
        <f>_xll.BDH("AMGN US Equity","ARDR_SETTLEMENTS","FQ1 2023","FQ1 2023","Currency=USD","Period=FQ","BEST_FPERIOD_OVERRIDE=FQ","FILING_STATUS=MR","SCALING_FORMAT=MLN","Sort=A","Dates=H","DateFormat=P","Fill=—","Direction=H","UseDPDF=Y")</f>
        <v>—</v>
      </c>
      <c r="U202" s="13" t="str">
        <f>_xll.BDH("AMGN US Equity","ARDR_SETTLEMENTS","FQ2 2023","FQ2 2023","Currency=USD","Period=FQ","BEST_FPERIOD_OVERRIDE=FQ","FILING_STATUS=MR","SCALING_FORMAT=MLN","Sort=A","Dates=H","DateFormat=P","Fill=—","Direction=H","UseDPDF=Y")</f>
        <v>—</v>
      </c>
      <c r="V202" s="13" t="str">
        <f>_xll.BDH("AMGN US Equity","ARDR_SETTLEMENTS","FQ3 2023","FQ3 2023","Currency=USD","Period=FQ","BEST_FPERIOD_OVERRIDE=FQ","FILING_STATUS=MR","SCALING_FORMAT=MLN","Sort=A","Dates=H","DateFormat=P","Fill=—","Direction=H","UseDPDF=Y")</f>
        <v>—</v>
      </c>
      <c r="W202" s="13">
        <f>_xll.BDH("AMGN US Equity","ARDR_SETTLEMENTS","FQ4 2023","FQ4 2023","Currency=USD","Period=FQ","BEST_FPERIOD_OVERRIDE=FQ","FILING_STATUS=MR","SCALING_FORMAT=MLN","Sort=A","Dates=H","DateFormat=P","Fill=—","Direction=H","UseDPDF=Y")</f>
        <v>-6</v>
      </c>
      <c r="X202" s="13" t="str">
        <f>_xll.BDH("AMGN US Equity","ARDR_SETTLEMENTS","FQ1 2024","FQ1 2024","Currency=USD","Period=FQ","BEST_FPERIOD_OVERRIDE=FQ","FILING_STATUS=MR","SCALING_FORMAT=MLN","Sort=A","Dates=H","DateFormat=P","Fill=—","Direction=H","UseDPDF=Y")</f>
        <v>—</v>
      </c>
      <c r="Y202" s="13" t="str">
        <f>_xll.BDH("AMGN US Equity","ARDR_SETTLEMENTS","FQ2 2024","FQ2 2024","Currency=USD","Period=FQ","BEST_FPERIOD_OVERRIDE=FQ","FILING_STATUS=MR","SCALING_FORMAT=MLN","Sort=A","Dates=H","DateFormat=P","Fill=—","Direction=H","UseDPDF=Y")</f>
        <v>—</v>
      </c>
      <c r="Z202" s="13" t="str">
        <f>_xll.BDH("AMGN US Equity","ARDR_SETTLEMENTS","FQ3 2024","FQ3 2024","Currency=USD","Period=FQ","BEST_FPERIOD_OVERRIDE=FQ","FILING_STATUS=MR","SCALING_FORMAT=MLN","Sort=A","Dates=H","DateFormat=P","Fill=—","Direction=H","UseDPDF=Y")</f>
        <v>—</v>
      </c>
      <c r="AA202" s="13">
        <f>_xll.BDH("AMGN US Equity","ARDR_SETTLEMENTS","FQ4 2024","FQ4 2024","Currency=USD","Period=FQ","BEST_FPERIOD_OVERRIDE=FQ","FILING_STATUS=MR","SCALING_FORMAT=MLN","Sort=A","Dates=H","DateFormat=P","Fill=—","Direction=H","UseDPDF=Y")</f>
        <v>-4</v>
      </c>
    </row>
    <row r="203" spans="1:27" x14ac:dyDescent="0.25">
      <c r="A203" s="10" t="s">
        <v>1220</v>
      </c>
      <c r="B203" s="10" t="s">
        <v>1221</v>
      </c>
      <c r="C203" s="13">
        <f>_xll.BDH("AMGN US Equity","ARDR_STATUTES_LIMITATIONS_UTB","FQ4 2018","FQ4 2018","Currency=USD","Period=FQ","BEST_FPERIOD_OVERRIDE=FQ","FILING_STATUS=MR","SCALING_FORMAT=MLN","Sort=A","Dates=H","DateFormat=P","Fill=—","Direction=H","UseDPDF=Y")</f>
        <v>0</v>
      </c>
      <c r="D203" s="13" t="str">
        <f>_xll.BDH("AMGN US Equity","ARDR_STATUTES_LIMITATIONS_UTB","FQ1 2019","FQ1 2019","Currency=USD","Period=FQ","BEST_FPERIOD_OVERRIDE=FQ","FILING_STATUS=MR","SCALING_FORMAT=MLN","Sort=A","Dates=H","DateFormat=P","Fill=—","Direction=H","UseDPDF=Y")</f>
        <v>—</v>
      </c>
      <c r="E203" s="13" t="str">
        <f>_xll.BDH("AMGN US Equity","ARDR_STATUTES_LIMITATIONS_UTB","FQ2 2019","FQ2 2019","Currency=USD","Period=FQ","BEST_FPERIOD_OVERRIDE=FQ","FILING_STATUS=MR","SCALING_FORMAT=MLN","Sort=A","Dates=H","DateFormat=P","Fill=—","Direction=H","UseDPDF=Y")</f>
        <v>—</v>
      </c>
      <c r="F203" s="13" t="str">
        <f>_xll.BDH("AMGN US Equity","ARDR_STATUTES_LIMITATIONS_UTB","FQ3 2019","FQ3 2019","Currency=USD","Period=FQ","BEST_FPERIOD_OVERRIDE=FQ","FILING_STATUS=MR","SCALING_FORMAT=MLN","Sort=A","Dates=H","DateFormat=P","Fill=—","Direction=H","UseDPDF=Y")</f>
        <v>—</v>
      </c>
      <c r="G203" s="13" t="str">
        <f>_xll.BDH("AMGN US Equity","ARDR_STATUTES_LIMITATIONS_UTB","FQ4 2019","FQ4 2019","Currency=USD","Period=FQ","BEST_FPERIOD_OVERRIDE=FQ","FILING_STATUS=MR","SCALING_FORMAT=MLN","Sort=A","Dates=H","DateFormat=P","Fill=—","Direction=H","UseDPDF=Y")</f>
        <v>—</v>
      </c>
      <c r="H203" s="13" t="str">
        <f>_xll.BDH("AMGN US Equity","ARDR_STATUTES_LIMITATIONS_UTB","FQ1 2020","FQ1 2020","Currency=USD","Period=FQ","BEST_FPERIOD_OVERRIDE=FQ","FILING_STATUS=MR","SCALING_FORMAT=MLN","Sort=A","Dates=H","DateFormat=P","Fill=—","Direction=H","UseDPDF=Y")</f>
        <v>—</v>
      </c>
      <c r="I203" s="13" t="str">
        <f>_xll.BDH("AMGN US Equity","ARDR_STATUTES_LIMITATIONS_UTB","FQ2 2020","FQ2 2020","Currency=USD","Period=FQ","BEST_FPERIOD_OVERRIDE=FQ","FILING_STATUS=MR","SCALING_FORMAT=MLN","Sort=A","Dates=H","DateFormat=P","Fill=—","Direction=H","UseDPDF=Y")</f>
        <v>—</v>
      </c>
      <c r="J203" s="13" t="str">
        <f>_xll.BDH("AMGN US Equity","ARDR_STATUTES_LIMITATIONS_UTB","FQ3 2020","FQ3 2020","Currency=USD","Period=FQ","BEST_FPERIOD_OVERRIDE=FQ","FILING_STATUS=MR","SCALING_FORMAT=MLN","Sort=A","Dates=H","DateFormat=P","Fill=—","Direction=H","UseDPDF=Y")</f>
        <v>—</v>
      </c>
      <c r="K203" s="13" t="str">
        <f>_xll.BDH("AMGN US Equity","ARDR_STATUTES_LIMITATIONS_UTB","FQ4 2020","FQ4 2020","Currency=USD","Period=FQ","BEST_FPERIOD_OVERRIDE=FQ","FILING_STATUS=MR","SCALING_FORMAT=MLN","Sort=A","Dates=H","DateFormat=P","Fill=—","Direction=H","UseDPDF=Y")</f>
        <v>—</v>
      </c>
      <c r="L203" s="13" t="str">
        <f>_xll.BDH("AMGN US Equity","ARDR_STATUTES_LIMITATIONS_UTB","FQ1 2021","FQ1 2021","Currency=USD","Period=FQ","BEST_FPERIOD_OVERRIDE=FQ","FILING_STATUS=MR","SCALING_FORMAT=MLN","Sort=A","Dates=H","DateFormat=P","Fill=—","Direction=H","UseDPDF=Y")</f>
        <v>—</v>
      </c>
      <c r="M203" s="13" t="str">
        <f>_xll.BDH("AMGN US Equity","ARDR_STATUTES_LIMITATIONS_UTB","FQ2 2021","FQ2 2021","Currency=USD","Period=FQ","BEST_FPERIOD_OVERRIDE=FQ","FILING_STATUS=MR","SCALING_FORMAT=MLN","Sort=A","Dates=H","DateFormat=P","Fill=—","Direction=H","UseDPDF=Y")</f>
        <v>—</v>
      </c>
      <c r="N203" s="13" t="str">
        <f>_xll.BDH("AMGN US Equity","ARDR_STATUTES_LIMITATIONS_UTB","FQ3 2021","FQ3 2021","Currency=USD","Period=FQ","BEST_FPERIOD_OVERRIDE=FQ","FILING_STATUS=MR","SCALING_FORMAT=MLN","Sort=A","Dates=H","DateFormat=P","Fill=—","Direction=H","UseDPDF=Y")</f>
        <v>—</v>
      </c>
      <c r="O203" s="13" t="str">
        <f>_xll.BDH("AMGN US Equity","ARDR_STATUTES_LIMITATIONS_UTB","FQ4 2021","FQ4 2021","Currency=USD","Period=FQ","BEST_FPERIOD_OVERRIDE=FQ","FILING_STATUS=MR","SCALING_FORMAT=MLN","Sort=A","Dates=H","DateFormat=P","Fill=—","Direction=H","UseDPDF=Y")</f>
        <v>—</v>
      </c>
      <c r="P203" s="13" t="str">
        <f>_xll.BDH("AMGN US Equity","ARDR_STATUTES_LIMITATIONS_UTB","FQ1 2022","FQ1 2022","Currency=USD","Period=FQ","BEST_FPERIOD_OVERRIDE=FQ","FILING_STATUS=MR","SCALING_FORMAT=MLN","Sort=A","Dates=H","DateFormat=P","Fill=—","Direction=H","UseDPDF=Y")</f>
        <v>—</v>
      </c>
      <c r="Q203" s="13" t="str">
        <f>_xll.BDH("AMGN US Equity","ARDR_STATUTES_LIMITATIONS_UTB","FQ2 2022","FQ2 2022","Currency=USD","Period=FQ","BEST_FPERIOD_OVERRIDE=FQ","FILING_STATUS=MR","SCALING_FORMAT=MLN","Sort=A","Dates=H","DateFormat=P","Fill=—","Direction=H","UseDPDF=Y")</f>
        <v>—</v>
      </c>
      <c r="R203" s="13" t="str">
        <f>_xll.BDH("AMGN US Equity","ARDR_STATUTES_LIMITATIONS_UTB","FQ3 2022","FQ3 2022","Currency=USD","Period=FQ","BEST_FPERIOD_OVERRIDE=FQ","FILING_STATUS=MR","SCALING_FORMAT=MLN","Sort=A","Dates=H","DateFormat=P","Fill=—","Direction=H","UseDPDF=Y")</f>
        <v>—</v>
      </c>
      <c r="S203" s="13" t="str">
        <f>_xll.BDH("AMGN US Equity","ARDR_STATUTES_LIMITATIONS_UTB","FQ4 2022","FQ4 2022","Currency=USD","Period=FQ","BEST_FPERIOD_OVERRIDE=FQ","FILING_STATUS=MR","SCALING_FORMAT=MLN","Sort=A","Dates=H","DateFormat=P","Fill=—","Direction=H","UseDPDF=Y")</f>
        <v>—</v>
      </c>
      <c r="T203" s="13" t="str">
        <f>_xll.BDH("AMGN US Equity","ARDR_STATUTES_LIMITATIONS_UTB","FQ1 2023","FQ1 2023","Currency=USD","Period=FQ","BEST_FPERIOD_OVERRIDE=FQ","FILING_STATUS=MR","SCALING_FORMAT=MLN","Sort=A","Dates=H","DateFormat=P","Fill=—","Direction=H","UseDPDF=Y")</f>
        <v>—</v>
      </c>
      <c r="U203" s="13" t="str">
        <f>_xll.BDH("AMGN US Equity","ARDR_STATUTES_LIMITATIONS_UTB","FQ2 2023","FQ2 2023","Currency=USD","Period=FQ","BEST_FPERIOD_OVERRIDE=FQ","FILING_STATUS=MR","SCALING_FORMAT=MLN","Sort=A","Dates=H","DateFormat=P","Fill=—","Direction=H","UseDPDF=Y")</f>
        <v>—</v>
      </c>
      <c r="V203" s="13" t="str">
        <f>_xll.BDH("AMGN US Equity","ARDR_STATUTES_LIMITATIONS_UTB","FQ3 2023","FQ3 2023","Currency=USD","Period=FQ","BEST_FPERIOD_OVERRIDE=FQ","FILING_STATUS=MR","SCALING_FORMAT=MLN","Sort=A","Dates=H","DateFormat=P","Fill=—","Direction=H","UseDPDF=Y")</f>
        <v>—</v>
      </c>
      <c r="W203" s="13" t="str">
        <f>_xll.BDH("AMGN US Equity","ARDR_STATUTES_LIMITATIONS_UTB","FQ4 2023","FQ4 2023","Currency=USD","Period=FQ","BEST_FPERIOD_OVERRIDE=FQ","FILING_STATUS=MR","SCALING_FORMAT=MLN","Sort=A","Dates=H","DateFormat=P","Fill=—","Direction=H","UseDPDF=Y")</f>
        <v>—</v>
      </c>
      <c r="X203" s="13" t="str">
        <f>_xll.BDH("AMGN US Equity","ARDR_STATUTES_LIMITATIONS_UTB","FQ1 2024","FQ1 2024","Currency=USD","Period=FQ","BEST_FPERIOD_OVERRIDE=FQ","FILING_STATUS=MR","SCALING_FORMAT=MLN","Sort=A","Dates=H","DateFormat=P","Fill=—","Direction=H","UseDPDF=Y")</f>
        <v>—</v>
      </c>
      <c r="Y203" s="13" t="str">
        <f>_xll.BDH("AMGN US Equity","ARDR_STATUTES_LIMITATIONS_UTB","FQ2 2024","FQ2 2024","Currency=USD","Period=FQ","BEST_FPERIOD_OVERRIDE=FQ","FILING_STATUS=MR","SCALING_FORMAT=MLN","Sort=A","Dates=H","DateFormat=P","Fill=—","Direction=H","UseDPDF=Y")</f>
        <v>—</v>
      </c>
      <c r="Z203" s="13" t="str">
        <f>_xll.BDH("AMGN US Equity","ARDR_STATUTES_LIMITATIONS_UTB","FQ3 2024","FQ3 2024","Currency=USD","Period=FQ","BEST_FPERIOD_OVERRIDE=FQ","FILING_STATUS=MR","SCALING_FORMAT=MLN","Sort=A","Dates=H","DateFormat=P","Fill=—","Direction=H","UseDPDF=Y")</f>
        <v>—</v>
      </c>
      <c r="AA203" s="13" t="str">
        <f>_xll.BDH("AMGN US Equity","ARDR_STATUTES_LIMITATIONS_UTB","FQ4 2024","FQ4 2024","Currency=USD","Period=FQ","BEST_FPERIOD_OVERRIDE=FQ","FILING_STATUS=MR","SCALING_FORMAT=MLN","Sort=A","Dates=H","DateFormat=P","Fill=—","Direction=H","UseDPDF=Y")</f>
        <v>—</v>
      </c>
    </row>
    <row r="204" spans="1:27" x14ac:dyDescent="0.25">
      <c r="A204" s="10" t="s">
        <v>1222</v>
      </c>
      <c r="B204" s="10" t="s">
        <v>1223</v>
      </c>
      <c r="C204" s="13">
        <f>_xll.BDH("AMGN US Equity","ARDR_TOTAL_DERIVATIVE_ASSETS","FQ4 2018","FQ4 2018","Currency=USD","Period=FQ","BEST_FPERIOD_OVERRIDE=FQ","FILING_STATUS=MR","SCALING_FORMAT=MLN","Sort=A","Dates=H","DateFormat=P","Fill=—","Direction=H","UseDPDF=Y")</f>
        <v>408</v>
      </c>
      <c r="D204" s="13">
        <f>_xll.BDH("AMGN US Equity","ARDR_TOTAL_DERIVATIVE_ASSETS","FQ1 2019","FQ1 2019","Currency=USD","Period=FQ","BEST_FPERIOD_OVERRIDE=FQ","FILING_STATUS=MR","SCALING_FORMAT=MLN","Sort=A","Dates=H","DateFormat=P","Fill=—","Direction=H","UseDPDF=Y")</f>
        <v>475</v>
      </c>
      <c r="E204" s="13">
        <f>_xll.BDH("AMGN US Equity","ARDR_TOTAL_DERIVATIVE_ASSETS","FQ2 2019","FQ2 2019","Currency=USD","Period=FQ","BEST_FPERIOD_OVERRIDE=FQ","FILING_STATUS=MR","SCALING_FORMAT=MLN","Sort=A","Dates=H","DateFormat=P","Fill=—","Direction=H","UseDPDF=Y")</f>
        <v>613</v>
      </c>
      <c r="F204" s="13">
        <f>_xll.BDH("AMGN US Equity","ARDR_TOTAL_DERIVATIVE_ASSETS","FQ3 2019","FQ3 2019","Currency=USD","Period=FQ","BEST_FPERIOD_OVERRIDE=FQ","FILING_STATUS=MR","SCALING_FORMAT=MLN","Sort=A","Dates=H","DateFormat=P","Fill=—","Direction=H","UseDPDF=Y")</f>
        <v>705</v>
      </c>
      <c r="G204" s="13">
        <f>_xll.BDH("AMGN US Equity","ARDR_TOTAL_DERIVATIVE_ASSETS","FQ4 2019","FQ4 2019","Currency=USD","Period=FQ","BEST_FPERIOD_OVERRIDE=FQ","FILING_STATUS=MR","SCALING_FORMAT=MLN","Sort=A","Dates=H","DateFormat=P","Fill=—","Direction=H","UseDPDF=Y")</f>
        <v>549</v>
      </c>
      <c r="H204" s="13">
        <f>_xll.BDH("AMGN US Equity","ARDR_TOTAL_DERIVATIVE_ASSETS","FQ1 2020","FQ1 2020","Currency=USD","Period=FQ","BEST_FPERIOD_OVERRIDE=FQ","FILING_STATUS=MR","SCALING_FORMAT=MLN","Sort=A","Dates=H","DateFormat=P","Fill=—","Direction=H","UseDPDF=Y")</f>
        <v>474</v>
      </c>
      <c r="I204" s="13">
        <f>_xll.BDH("AMGN US Equity","ARDR_TOTAL_DERIVATIVE_ASSETS","FQ2 2020","FQ2 2020","Currency=USD","Period=FQ","BEST_FPERIOD_OVERRIDE=FQ","FILING_STATUS=MR","SCALING_FORMAT=MLN","Sort=A","Dates=H","DateFormat=P","Fill=—","Direction=H","UseDPDF=Y")</f>
        <v>384</v>
      </c>
      <c r="J204" s="13" t="str">
        <f>_xll.BDH("AMGN US Equity","ARDR_TOTAL_DERIVATIVE_ASSETS","FQ3 2020","FQ3 2020","Currency=USD","Period=FQ","BEST_FPERIOD_OVERRIDE=FQ","FILING_STATUS=MR","SCALING_FORMAT=MLN","Sort=A","Dates=H","DateFormat=P","Fill=—","Direction=H","UseDPDF=Y")</f>
        <v>—</v>
      </c>
      <c r="K204" s="13">
        <f>_xll.BDH("AMGN US Equity","ARDR_TOTAL_DERIVATIVE_ASSETS","FQ4 2020","FQ4 2020","Currency=USD","Period=FQ","BEST_FPERIOD_OVERRIDE=FQ","FILING_STATUS=MR","SCALING_FORMAT=MLN","Sort=A","Dates=H","DateFormat=P","Fill=—","Direction=H","UseDPDF=Y")</f>
        <v>349</v>
      </c>
      <c r="L204" s="13">
        <f>_xll.BDH("AMGN US Equity","ARDR_TOTAL_DERIVATIVE_ASSETS","FQ1 2021","FQ1 2021","Currency=USD","Period=FQ","BEST_FPERIOD_OVERRIDE=FQ","FILING_STATUS=MR","SCALING_FORMAT=MLN","Sort=A","Dates=H","DateFormat=P","Fill=—","Direction=H","UseDPDF=Y")</f>
        <v>265</v>
      </c>
      <c r="M204" s="13">
        <f>_xll.BDH("AMGN US Equity","ARDR_TOTAL_DERIVATIVE_ASSETS","FQ2 2021","FQ2 2021","Currency=USD","Period=FQ","BEST_FPERIOD_OVERRIDE=FQ","FILING_STATUS=MR","SCALING_FORMAT=MLN","Sort=A","Dates=H","DateFormat=P","Fill=—","Direction=H","UseDPDF=Y")</f>
        <v>289</v>
      </c>
      <c r="N204" s="13">
        <f>_xll.BDH("AMGN US Equity","ARDR_TOTAL_DERIVATIVE_ASSETS","FQ3 2021","FQ3 2021","Currency=USD","Period=FQ","BEST_FPERIOD_OVERRIDE=FQ","FILING_STATUS=MR","SCALING_FORMAT=MLN","Sort=A","Dates=H","DateFormat=P","Fill=—","Direction=H","UseDPDF=Y")</f>
        <v>275</v>
      </c>
      <c r="O204" s="13">
        <f>_xll.BDH("AMGN US Equity","ARDR_TOTAL_DERIVATIVE_ASSETS","FQ4 2021","FQ4 2021","Currency=USD","Period=FQ","BEST_FPERIOD_OVERRIDE=FQ","FILING_STATUS=MR","SCALING_FORMAT=MLN","Sort=A","Dates=H","DateFormat=P","Fill=—","Direction=H","UseDPDF=Y")</f>
        <v>265</v>
      </c>
      <c r="P204" s="13">
        <f>_xll.BDH("AMGN US Equity","ARDR_TOTAL_DERIVATIVE_ASSETS","FQ1 2022","FQ1 2022","Currency=USD","Period=FQ","BEST_FPERIOD_OVERRIDE=FQ","FILING_STATUS=MR","SCALING_FORMAT=MLN","Sort=A","Dates=H","DateFormat=P","Fill=—","Direction=H","UseDPDF=Y")</f>
        <v>300</v>
      </c>
      <c r="Q204" s="13">
        <f>_xll.BDH("AMGN US Equity","ARDR_TOTAL_DERIVATIVE_ASSETS","FQ2 2022","FQ2 2022","Currency=USD","Period=FQ","BEST_FPERIOD_OVERRIDE=FQ","FILING_STATUS=MR","SCALING_FORMAT=MLN","Sort=A","Dates=H","DateFormat=P","Fill=—","Direction=H","UseDPDF=Y")</f>
        <v>442</v>
      </c>
      <c r="R204" s="13">
        <f>_xll.BDH("AMGN US Equity","ARDR_TOTAL_DERIVATIVE_ASSETS","FQ3 2022","FQ3 2022","Currency=USD","Period=FQ","BEST_FPERIOD_OVERRIDE=FQ","FILING_STATUS=MR","SCALING_FORMAT=MLN","Sort=A","Dates=H","DateFormat=P","Fill=—","Direction=H","UseDPDF=Y")</f>
        <v>645</v>
      </c>
      <c r="S204" s="13">
        <f>_xll.BDH("AMGN US Equity","ARDR_TOTAL_DERIVATIVE_ASSETS","FQ4 2022","FQ4 2022","Currency=USD","Period=FQ","BEST_FPERIOD_OVERRIDE=FQ","FILING_STATUS=MR","SCALING_FORMAT=MLN","Sort=A","Dates=H","DateFormat=P","Fill=—","Direction=H","UseDPDF=Y")</f>
        <v>341</v>
      </c>
      <c r="T204" s="13">
        <f>_xll.BDH("AMGN US Equity","ARDR_TOTAL_DERIVATIVE_ASSETS","FQ1 2023","FQ1 2023","Currency=USD","Period=FQ","BEST_FPERIOD_OVERRIDE=FQ","FILING_STATUS=MR","SCALING_FORMAT=MLN","Sort=A","Dates=H","DateFormat=P","Fill=—","Direction=H","UseDPDF=Y")</f>
        <v>252</v>
      </c>
      <c r="U204" s="13">
        <f>_xll.BDH("AMGN US Equity","ARDR_TOTAL_DERIVATIVE_ASSETS","FQ2 2023","FQ2 2023","Currency=USD","Period=FQ","BEST_FPERIOD_OVERRIDE=FQ","FILING_STATUS=MR","SCALING_FORMAT=MLN","Sort=A","Dates=H","DateFormat=P","Fill=—","Direction=H","UseDPDF=Y")</f>
        <v>251</v>
      </c>
      <c r="V204" s="13">
        <f>_xll.BDH("AMGN US Equity","ARDR_TOTAL_DERIVATIVE_ASSETS","FQ3 2023","FQ3 2023","Currency=USD","Period=FQ","BEST_FPERIOD_OVERRIDE=FQ","FILING_STATUS=MR","SCALING_FORMAT=MLN","Sort=A","Dates=H","DateFormat=P","Fill=—","Direction=H","UseDPDF=Y")</f>
        <v>347</v>
      </c>
      <c r="W204" s="13">
        <f>_xll.BDH("AMGN US Equity","ARDR_TOTAL_DERIVATIVE_ASSETS","FQ4 2023","FQ4 2023","Currency=USD","Period=FQ","BEST_FPERIOD_OVERRIDE=FQ","FILING_STATUS=MR","SCALING_FORMAT=MLN","Sort=A","Dates=H","DateFormat=P","Fill=—","Direction=H","UseDPDF=Y")</f>
        <v>145</v>
      </c>
      <c r="X204" s="13">
        <f>_xll.BDH("AMGN US Equity","ARDR_TOTAL_DERIVATIVE_ASSETS","FQ1 2024","FQ1 2024","Currency=USD","Period=FQ","BEST_FPERIOD_OVERRIDE=FQ","FILING_STATUS=MR","SCALING_FORMAT=MLN","Sort=A","Dates=H","DateFormat=P","Fill=—","Direction=H","UseDPDF=Y")</f>
        <v>225</v>
      </c>
      <c r="Y204" s="13">
        <f>_xll.BDH("AMGN US Equity","ARDR_TOTAL_DERIVATIVE_ASSETS","FQ2 2024","FQ2 2024","Currency=USD","Period=FQ","BEST_FPERIOD_OVERRIDE=FQ","FILING_STATUS=MR","SCALING_FORMAT=MLN","Sort=A","Dates=H","DateFormat=P","Fill=—","Direction=H","UseDPDF=Y")</f>
        <v>270</v>
      </c>
      <c r="Z204" s="13">
        <f>_xll.BDH("AMGN US Equity","ARDR_TOTAL_DERIVATIVE_ASSETS","FQ3 2024","FQ3 2024","Currency=USD","Period=FQ","BEST_FPERIOD_OVERRIDE=FQ","FILING_STATUS=MR","SCALING_FORMAT=MLN","Sort=A","Dates=H","DateFormat=P","Fill=—","Direction=H","UseDPDF=Y")</f>
        <v>112</v>
      </c>
      <c r="AA204" s="13">
        <f>_xll.BDH("AMGN US Equity","ARDR_TOTAL_DERIVATIVE_ASSETS","FQ4 2024","FQ4 2024","Currency=USD","Period=FQ","BEST_FPERIOD_OVERRIDE=FQ","FILING_STATUS=MR","SCALING_FORMAT=MLN","Sort=A","Dates=H","DateFormat=P","Fill=—","Direction=H","UseDPDF=Y")</f>
        <v>420</v>
      </c>
    </row>
    <row r="205" spans="1:27" x14ac:dyDescent="0.25">
      <c r="A205" s="10" t="s">
        <v>1224</v>
      </c>
      <c r="B205" s="10" t="s">
        <v>1225</v>
      </c>
      <c r="C205" s="13">
        <f>_xll.BDH("AMGN US Equity","ARDR_RESTRICTED_STOCK_UNITS","FQ4 2018","FQ4 2018","Currency=USD","Period=FQ","BEST_FPERIOD_OVERRIDE=FQ","FILING_STATUS=MR","Sort=A","Dates=H","DateFormat=P","Fill=—","Direction=H","UseDPDF=Y")</f>
        <v>3.1</v>
      </c>
      <c r="D205" s="13" t="str">
        <f>_xll.BDH("AMGN US Equity","ARDR_RESTRICTED_STOCK_UNITS","FQ1 2019","FQ1 2019","Currency=USD","Period=FQ","BEST_FPERIOD_OVERRIDE=FQ","FILING_STATUS=MR","Sort=A","Dates=H","DateFormat=P","Fill=—","Direction=H","UseDPDF=Y")</f>
        <v>—</v>
      </c>
      <c r="E205" s="13" t="str">
        <f>_xll.BDH("AMGN US Equity","ARDR_RESTRICTED_STOCK_UNITS","FQ2 2019","FQ2 2019","Currency=USD","Period=FQ","BEST_FPERIOD_OVERRIDE=FQ","FILING_STATUS=MR","Sort=A","Dates=H","DateFormat=P","Fill=—","Direction=H","UseDPDF=Y")</f>
        <v>—</v>
      </c>
      <c r="F205" s="13" t="str">
        <f>_xll.BDH("AMGN US Equity","ARDR_RESTRICTED_STOCK_UNITS","FQ3 2019","FQ3 2019","Currency=USD","Period=FQ","BEST_FPERIOD_OVERRIDE=FQ","FILING_STATUS=MR","Sort=A","Dates=H","DateFormat=P","Fill=—","Direction=H","UseDPDF=Y")</f>
        <v>—</v>
      </c>
      <c r="G205" s="13">
        <f>_xll.BDH("AMGN US Equity","ARDR_RESTRICTED_STOCK_UNITS","FQ4 2019","FQ4 2019","Currency=USD","Period=FQ","BEST_FPERIOD_OVERRIDE=FQ","FILING_STATUS=MR","Sort=A","Dates=H","DateFormat=P","Fill=—","Direction=H","UseDPDF=Y")</f>
        <v>3.1</v>
      </c>
      <c r="H205" s="13" t="str">
        <f>_xll.BDH("AMGN US Equity","ARDR_RESTRICTED_STOCK_UNITS","FQ1 2020","FQ1 2020","Currency=USD","Period=FQ","BEST_FPERIOD_OVERRIDE=FQ","FILING_STATUS=MR","Sort=A","Dates=H","DateFormat=P","Fill=—","Direction=H","UseDPDF=Y")</f>
        <v>—</v>
      </c>
      <c r="I205" s="13" t="str">
        <f>_xll.BDH("AMGN US Equity","ARDR_RESTRICTED_STOCK_UNITS","FQ2 2020","FQ2 2020","Currency=USD","Period=FQ","BEST_FPERIOD_OVERRIDE=FQ","FILING_STATUS=MR","Sort=A","Dates=H","DateFormat=P","Fill=—","Direction=H","UseDPDF=Y")</f>
        <v>—</v>
      </c>
      <c r="J205" s="13" t="str">
        <f>_xll.BDH("AMGN US Equity","ARDR_RESTRICTED_STOCK_UNITS","FQ3 2020","FQ3 2020","Currency=USD","Period=FQ","BEST_FPERIOD_OVERRIDE=FQ","FILING_STATUS=MR","Sort=A","Dates=H","DateFormat=P","Fill=—","Direction=H","UseDPDF=Y")</f>
        <v>—</v>
      </c>
      <c r="K205" s="13">
        <f>_xll.BDH("AMGN US Equity","ARDR_RESTRICTED_STOCK_UNITS","FQ4 2020","FQ4 2020","Currency=USD","Period=FQ","BEST_FPERIOD_OVERRIDE=FQ","FILING_STATUS=MR","Sort=A","Dates=H","DateFormat=P","Fill=—","Direction=H","UseDPDF=Y")</f>
        <v>3</v>
      </c>
      <c r="L205" s="13" t="str">
        <f>_xll.BDH("AMGN US Equity","ARDR_RESTRICTED_STOCK_UNITS","FQ1 2021","FQ1 2021","Currency=USD","Period=FQ","BEST_FPERIOD_OVERRIDE=FQ","FILING_STATUS=MR","Sort=A","Dates=H","DateFormat=P","Fill=—","Direction=H","UseDPDF=Y")</f>
        <v>—</v>
      </c>
      <c r="M205" s="13" t="str">
        <f>_xll.BDH("AMGN US Equity","ARDR_RESTRICTED_STOCK_UNITS","FQ2 2021","FQ2 2021","Currency=USD","Period=FQ","BEST_FPERIOD_OVERRIDE=FQ","FILING_STATUS=MR","Sort=A","Dates=H","DateFormat=P","Fill=—","Direction=H","UseDPDF=Y")</f>
        <v>—</v>
      </c>
      <c r="N205" s="13" t="str">
        <f>_xll.BDH("AMGN US Equity","ARDR_RESTRICTED_STOCK_UNITS","FQ3 2021","FQ3 2021","Currency=USD","Period=FQ","BEST_FPERIOD_OVERRIDE=FQ","FILING_STATUS=MR","Sort=A","Dates=H","DateFormat=P","Fill=—","Direction=H","UseDPDF=Y")</f>
        <v>—</v>
      </c>
      <c r="O205" s="13">
        <f>_xll.BDH("AMGN US Equity","ARDR_RESTRICTED_STOCK_UNITS","FQ4 2021","FQ4 2021","Currency=USD","Period=FQ","BEST_FPERIOD_OVERRIDE=FQ","FILING_STATUS=MR","Sort=A","Dates=H","DateFormat=P","Fill=—","Direction=H","UseDPDF=Y")</f>
        <v>3</v>
      </c>
      <c r="P205" s="13" t="str">
        <f>_xll.BDH("AMGN US Equity","ARDR_RESTRICTED_STOCK_UNITS","FQ1 2022","FQ1 2022","Currency=USD","Period=FQ","BEST_FPERIOD_OVERRIDE=FQ","FILING_STATUS=MR","Sort=A","Dates=H","DateFormat=P","Fill=—","Direction=H","UseDPDF=Y")</f>
        <v>—</v>
      </c>
      <c r="Q205" s="13" t="str">
        <f>_xll.BDH("AMGN US Equity","ARDR_RESTRICTED_STOCK_UNITS","FQ2 2022","FQ2 2022","Currency=USD","Period=FQ","BEST_FPERIOD_OVERRIDE=FQ","FILING_STATUS=MR","Sort=A","Dates=H","DateFormat=P","Fill=—","Direction=H","UseDPDF=Y")</f>
        <v>—</v>
      </c>
      <c r="R205" s="13" t="str">
        <f>_xll.BDH("AMGN US Equity","ARDR_RESTRICTED_STOCK_UNITS","FQ3 2022","FQ3 2022","Currency=USD","Period=FQ","BEST_FPERIOD_OVERRIDE=FQ","FILING_STATUS=MR","Sort=A","Dates=H","DateFormat=P","Fill=—","Direction=H","UseDPDF=Y")</f>
        <v>—</v>
      </c>
      <c r="S205" s="13">
        <f>_xll.BDH("AMGN US Equity","ARDR_RESTRICTED_STOCK_UNITS","FQ4 2022","FQ4 2022","Currency=USD","Period=FQ","BEST_FPERIOD_OVERRIDE=FQ","FILING_STATUS=MR","Sort=A","Dates=H","DateFormat=P","Fill=—","Direction=H","UseDPDF=Y")</f>
        <v>2.8</v>
      </c>
      <c r="T205" s="13" t="str">
        <f>_xll.BDH("AMGN US Equity","ARDR_RESTRICTED_STOCK_UNITS","FQ1 2023","FQ1 2023","Currency=USD","Period=FQ","BEST_FPERIOD_OVERRIDE=FQ","FILING_STATUS=MR","Sort=A","Dates=H","DateFormat=P","Fill=—","Direction=H","UseDPDF=Y")</f>
        <v>—</v>
      </c>
      <c r="U205" s="13" t="str">
        <f>_xll.BDH("AMGN US Equity","ARDR_RESTRICTED_STOCK_UNITS","FQ2 2023","FQ2 2023","Currency=USD","Period=FQ","BEST_FPERIOD_OVERRIDE=FQ","FILING_STATUS=MR","Sort=A","Dates=H","DateFormat=P","Fill=—","Direction=H","UseDPDF=Y")</f>
        <v>—</v>
      </c>
      <c r="V205" s="13" t="str">
        <f>_xll.BDH("AMGN US Equity","ARDR_RESTRICTED_STOCK_UNITS","FQ3 2023","FQ3 2023","Currency=USD","Period=FQ","BEST_FPERIOD_OVERRIDE=FQ","FILING_STATUS=MR","Sort=A","Dates=H","DateFormat=P","Fill=—","Direction=H","UseDPDF=Y")</f>
        <v>—</v>
      </c>
      <c r="W205" s="13">
        <f>_xll.BDH("AMGN US Equity","ARDR_RESTRICTED_STOCK_UNITS","FQ4 2023","FQ4 2023","Currency=USD","Period=FQ","BEST_FPERIOD_OVERRIDE=FQ","FILING_STATUS=MR","Sort=A","Dates=H","DateFormat=P","Fill=—","Direction=H","UseDPDF=Y")</f>
        <v>3.9</v>
      </c>
      <c r="X205" s="13" t="str">
        <f>_xll.BDH("AMGN US Equity","ARDR_RESTRICTED_STOCK_UNITS","FQ1 2024","FQ1 2024","Currency=USD","Period=FQ","BEST_FPERIOD_OVERRIDE=FQ","FILING_STATUS=MR","Sort=A","Dates=H","DateFormat=P","Fill=—","Direction=H","UseDPDF=Y")</f>
        <v>—</v>
      </c>
      <c r="Y205" s="13" t="str">
        <f>_xll.BDH("AMGN US Equity","ARDR_RESTRICTED_STOCK_UNITS","FQ2 2024","FQ2 2024","Currency=USD","Period=FQ","BEST_FPERIOD_OVERRIDE=FQ","FILING_STATUS=MR","Sort=A","Dates=H","DateFormat=P","Fill=—","Direction=H","UseDPDF=Y")</f>
        <v>—</v>
      </c>
      <c r="Z205" s="13" t="str">
        <f>_xll.BDH("AMGN US Equity","ARDR_RESTRICTED_STOCK_UNITS","FQ3 2024","FQ3 2024","Currency=USD","Period=FQ","BEST_FPERIOD_OVERRIDE=FQ","FILING_STATUS=MR","Sort=A","Dates=H","DateFormat=P","Fill=—","Direction=H","UseDPDF=Y")</f>
        <v>—</v>
      </c>
      <c r="AA205" s="13">
        <f>_xll.BDH("AMGN US Equity","ARDR_RESTRICTED_STOCK_UNITS","FQ4 2024","FQ4 2024","Currency=USD","Period=FQ","BEST_FPERIOD_OVERRIDE=FQ","FILING_STATUS=MR","Sort=A","Dates=H","DateFormat=P","Fill=—","Direction=H","UseDPDF=Y")</f>
        <v>3.5</v>
      </c>
    </row>
    <row r="206" spans="1:27" x14ac:dyDescent="0.25">
      <c r="A206" s="10" t="s">
        <v>1226</v>
      </c>
      <c r="B206" s="10" t="s">
        <v>1227</v>
      </c>
      <c r="C206" s="14">
        <f>_xll.BDH("AMGN US Equity","ARDR_RSTR_STK_UNIT_WAVG_FV_PS","FQ4 2018","FQ4 2018","Currency=USD","Period=FQ","BEST_FPERIOD_OVERRIDE=FQ","FILING_STATUS=MR","Sort=A","Dates=H","DateFormat=P","Fill=—","Direction=H","UseDPDF=Y")</f>
        <v>168.11</v>
      </c>
      <c r="D206" s="14" t="str">
        <f>_xll.BDH("AMGN US Equity","ARDR_RSTR_STK_UNIT_WAVG_FV_PS","FQ1 2019","FQ1 2019","Currency=USD","Period=FQ","BEST_FPERIOD_OVERRIDE=FQ","FILING_STATUS=MR","Sort=A","Dates=H","DateFormat=P","Fill=—","Direction=H","UseDPDF=Y")</f>
        <v>—</v>
      </c>
      <c r="E206" s="14" t="str">
        <f>_xll.BDH("AMGN US Equity","ARDR_RSTR_STK_UNIT_WAVG_FV_PS","FQ2 2019","FQ2 2019","Currency=USD","Period=FQ","BEST_FPERIOD_OVERRIDE=FQ","FILING_STATUS=MR","Sort=A","Dates=H","DateFormat=P","Fill=—","Direction=H","UseDPDF=Y")</f>
        <v>—</v>
      </c>
      <c r="F206" s="14" t="str">
        <f>_xll.BDH("AMGN US Equity","ARDR_RSTR_STK_UNIT_WAVG_FV_PS","FQ3 2019","FQ3 2019","Currency=USD","Period=FQ","BEST_FPERIOD_OVERRIDE=FQ","FILING_STATUS=MR","Sort=A","Dates=H","DateFormat=P","Fill=—","Direction=H","UseDPDF=Y")</f>
        <v>—</v>
      </c>
      <c r="G206" s="14">
        <f>_xll.BDH("AMGN US Equity","ARDR_RSTR_STK_UNIT_WAVG_FV_PS","FQ4 2019","FQ4 2019","Currency=USD","Period=FQ","BEST_FPERIOD_OVERRIDE=FQ","FILING_STATUS=MR","Sort=A","Dates=H","DateFormat=P","Fill=—","Direction=H","UseDPDF=Y")</f>
        <v>174.97</v>
      </c>
      <c r="H206" s="14" t="str">
        <f>_xll.BDH("AMGN US Equity","ARDR_RSTR_STK_UNIT_WAVG_FV_PS","FQ1 2020","FQ1 2020","Currency=USD","Period=FQ","BEST_FPERIOD_OVERRIDE=FQ","FILING_STATUS=MR","Sort=A","Dates=H","DateFormat=P","Fill=—","Direction=H","UseDPDF=Y")</f>
        <v>—</v>
      </c>
      <c r="I206" s="14" t="str">
        <f>_xll.BDH("AMGN US Equity","ARDR_RSTR_STK_UNIT_WAVG_FV_PS","FQ2 2020","FQ2 2020","Currency=USD","Period=FQ","BEST_FPERIOD_OVERRIDE=FQ","FILING_STATUS=MR","Sort=A","Dates=H","DateFormat=P","Fill=—","Direction=H","UseDPDF=Y")</f>
        <v>—</v>
      </c>
      <c r="J206" s="14" t="str">
        <f>_xll.BDH("AMGN US Equity","ARDR_RSTR_STK_UNIT_WAVG_FV_PS","FQ3 2020","FQ3 2020","Currency=USD","Period=FQ","BEST_FPERIOD_OVERRIDE=FQ","FILING_STATUS=MR","Sort=A","Dates=H","DateFormat=P","Fill=—","Direction=H","UseDPDF=Y")</f>
        <v>—</v>
      </c>
      <c r="K206" s="14">
        <f>_xll.BDH("AMGN US Equity","ARDR_RSTR_STK_UNIT_WAVG_FV_PS","FQ4 2020","FQ4 2020","Currency=USD","Period=FQ","BEST_FPERIOD_OVERRIDE=FQ","FILING_STATUS=MR","Sort=A","Dates=H","DateFormat=P","Fill=—","Direction=H","UseDPDF=Y")</f>
        <v>198.11</v>
      </c>
      <c r="L206" s="14" t="str">
        <f>_xll.BDH("AMGN US Equity","ARDR_RSTR_STK_UNIT_WAVG_FV_PS","FQ1 2021","FQ1 2021","Currency=USD","Period=FQ","BEST_FPERIOD_OVERRIDE=FQ","FILING_STATUS=MR","Sort=A","Dates=H","DateFormat=P","Fill=—","Direction=H","UseDPDF=Y")</f>
        <v>—</v>
      </c>
      <c r="M206" s="14" t="str">
        <f>_xll.BDH("AMGN US Equity","ARDR_RSTR_STK_UNIT_WAVG_FV_PS","FQ2 2021","FQ2 2021","Currency=USD","Period=FQ","BEST_FPERIOD_OVERRIDE=FQ","FILING_STATUS=MR","Sort=A","Dates=H","DateFormat=P","Fill=—","Direction=H","UseDPDF=Y")</f>
        <v>—</v>
      </c>
      <c r="N206" s="14" t="str">
        <f>_xll.BDH("AMGN US Equity","ARDR_RSTR_STK_UNIT_WAVG_FV_PS","FQ3 2021","FQ3 2021","Currency=USD","Period=FQ","BEST_FPERIOD_OVERRIDE=FQ","FILING_STATUS=MR","Sort=A","Dates=H","DateFormat=P","Fill=—","Direction=H","UseDPDF=Y")</f>
        <v>—</v>
      </c>
      <c r="O206" s="14" t="str">
        <f>_xll.BDH("AMGN US Equity","ARDR_RSTR_STK_UNIT_WAVG_FV_PS","FQ4 2021","FQ4 2021","Currency=USD","Period=FQ","BEST_FPERIOD_OVERRIDE=FQ","FILING_STATUS=MR","Sort=A","Dates=H","DateFormat=P","Fill=—","Direction=H","UseDPDF=Y")</f>
        <v>—</v>
      </c>
      <c r="P206" s="14" t="str">
        <f>_xll.BDH("AMGN US Equity","ARDR_RSTR_STK_UNIT_WAVG_FV_PS","FQ1 2022","FQ1 2022","Currency=USD","Period=FQ","BEST_FPERIOD_OVERRIDE=FQ","FILING_STATUS=MR","Sort=A","Dates=H","DateFormat=P","Fill=—","Direction=H","UseDPDF=Y")</f>
        <v>—</v>
      </c>
      <c r="Q206" s="14" t="str">
        <f>_xll.BDH("AMGN US Equity","ARDR_RSTR_STK_UNIT_WAVG_FV_PS","FQ2 2022","FQ2 2022","Currency=USD","Period=FQ","BEST_FPERIOD_OVERRIDE=FQ","FILING_STATUS=MR","Sort=A","Dates=H","DateFormat=P","Fill=—","Direction=H","UseDPDF=Y")</f>
        <v>—</v>
      </c>
      <c r="R206" s="14" t="str">
        <f>_xll.BDH("AMGN US Equity","ARDR_RSTR_STK_UNIT_WAVG_FV_PS","FQ3 2022","FQ3 2022","Currency=USD","Period=FQ","BEST_FPERIOD_OVERRIDE=FQ","FILING_STATUS=MR","Sort=A","Dates=H","DateFormat=P","Fill=—","Direction=H","UseDPDF=Y")</f>
        <v>—</v>
      </c>
      <c r="S206" s="14">
        <f>_xll.BDH("AMGN US Equity","ARDR_RSTR_STK_UNIT_WAVG_FV_PS","FQ4 2022","FQ4 2022","Currency=USD","Period=FQ","BEST_FPERIOD_OVERRIDE=FQ","FILING_STATUS=MR","Sort=A","Dates=H","DateFormat=P","Fill=—","Direction=H","UseDPDF=Y")</f>
        <v>228.71</v>
      </c>
      <c r="T206" s="14" t="str">
        <f>_xll.BDH("AMGN US Equity","ARDR_RSTR_STK_UNIT_WAVG_FV_PS","FQ1 2023","FQ1 2023","Currency=USD","Period=FQ","BEST_FPERIOD_OVERRIDE=FQ","FILING_STATUS=MR","Sort=A","Dates=H","DateFormat=P","Fill=—","Direction=H","UseDPDF=Y")</f>
        <v>—</v>
      </c>
      <c r="U206" s="14" t="str">
        <f>_xll.BDH("AMGN US Equity","ARDR_RSTR_STK_UNIT_WAVG_FV_PS","FQ2 2023","FQ2 2023","Currency=USD","Period=FQ","BEST_FPERIOD_OVERRIDE=FQ","FILING_STATUS=MR","Sort=A","Dates=H","DateFormat=P","Fill=—","Direction=H","UseDPDF=Y")</f>
        <v>—</v>
      </c>
      <c r="V206" s="14" t="str">
        <f>_xll.BDH("AMGN US Equity","ARDR_RSTR_STK_UNIT_WAVG_FV_PS","FQ3 2023","FQ3 2023","Currency=USD","Period=FQ","BEST_FPERIOD_OVERRIDE=FQ","FILING_STATUS=MR","Sort=A","Dates=H","DateFormat=P","Fill=—","Direction=H","UseDPDF=Y")</f>
        <v>—</v>
      </c>
      <c r="W206" s="14">
        <f>_xll.BDH("AMGN US Equity","ARDR_RSTR_STK_UNIT_WAVG_FV_PS","FQ4 2023","FQ4 2023","Currency=USD","Period=FQ","BEST_FPERIOD_OVERRIDE=FQ","FILING_STATUS=MR","Sort=A","Dates=H","DateFormat=P","Fill=—","Direction=H","UseDPDF=Y")</f>
        <v>246.43</v>
      </c>
      <c r="X206" s="14" t="str">
        <f>_xll.BDH("AMGN US Equity","ARDR_RSTR_STK_UNIT_WAVG_FV_PS","FQ1 2024","FQ1 2024","Currency=USD","Period=FQ","BEST_FPERIOD_OVERRIDE=FQ","FILING_STATUS=MR","Sort=A","Dates=H","DateFormat=P","Fill=—","Direction=H","UseDPDF=Y")</f>
        <v>—</v>
      </c>
      <c r="Y206" s="14" t="str">
        <f>_xll.BDH("AMGN US Equity","ARDR_RSTR_STK_UNIT_WAVG_FV_PS","FQ2 2024","FQ2 2024","Currency=USD","Period=FQ","BEST_FPERIOD_OVERRIDE=FQ","FILING_STATUS=MR","Sort=A","Dates=H","DateFormat=P","Fill=—","Direction=H","UseDPDF=Y")</f>
        <v>—</v>
      </c>
      <c r="Z206" s="14" t="str">
        <f>_xll.BDH("AMGN US Equity","ARDR_RSTR_STK_UNIT_WAVG_FV_PS","FQ3 2024","FQ3 2024","Currency=USD","Period=FQ","BEST_FPERIOD_OVERRIDE=FQ","FILING_STATUS=MR","Sort=A","Dates=H","DateFormat=P","Fill=—","Direction=H","UseDPDF=Y")</f>
        <v>—</v>
      </c>
      <c r="AA206" s="14">
        <f>_xll.BDH("AMGN US Equity","ARDR_RSTR_STK_UNIT_WAVG_FV_PS","FQ4 2024","FQ4 2024","Currency=USD","Period=FQ","BEST_FPERIOD_OVERRIDE=FQ","FILING_STATUS=MR","Sort=A","Dates=H","DateFormat=P","Fill=—","Direction=H","UseDPDF=Y")</f>
        <v>265.07</v>
      </c>
    </row>
    <row r="207" spans="1:27" x14ac:dyDescent="0.25">
      <c r="A207" s="10" t="s">
        <v>1228</v>
      </c>
      <c r="B207" s="10" t="s">
        <v>1229</v>
      </c>
      <c r="C207" s="13">
        <f>_xll.BDH("AMGN US Equity","ARDR_AVAILABLE_CP_FOR_ISSUING","FQ4 2018","FQ4 2018","Currency=USD","Period=FQ","BEST_FPERIOD_OVERRIDE=FQ","FILING_STATUS=MR","SCALING_FORMAT=MLN","Sort=A","Dates=H","DateFormat=P","Fill=—","Direction=H","UseDPDF=Y")</f>
        <v>2500</v>
      </c>
      <c r="D207" s="13" t="str">
        <f>_xll.BDH("AMGN US Equity","ARDR_AVAILABLE_CP_FOR_ISSUING","FQ1 2019","FQ1 2019","Currency=USD","Period=FQ","BEST_FPERIOD_OVERRIDE=FQ","FILING_STATUS=MR","SCALING_FORMAT=MLN","Sort=A","Dates=H","DateFormat=P","Fill=—","Direction=H","UseDPDF=Y")</f>
        <v>—</v>
      </c>
      <c r="E207" s="13" t="str">
        <f>_xll.BDH("AMGN US Equity","ARDR_AVAILABLE_CP_FOR_ISSUING","FQ2 2019","FQ2 2019","Currency=USD","Period=FQ","BEST_FPERIOD_OVERRIDE=FQ","FILING_STATUS=MR","SCALING_FORMAT=MLN","Sort=A","Dates=H","DateFormat=P","Fill=—","Direction=H","UseDPDF=Y")</f>
        <v>—</v>
      </c>
      <c r="F207" s="13" t="str">
        <f>_xll.BDH("AMGN US Equity","ARDR_AVAILABLE_CP_FOR_ISSUING","FQ3 2019","FQ3 2019","Currency=USD","Period=FQ","BEST_FPERIOD_OVERRIDE=FQ","FILING_STATUS=MR","SCALING_FORMAT=MLN","Sort=A","Dates=H","DateFormat=P","Fill=—","Direction=H","UseDPDF=Y")</f>
        <v>—</v>
      </c>
      <c r="G207" s="13">
        <f>_xll.BDH("AMGN US Equity","ARDR_AVAILABLE_CP_FOR_ISSUING","FQ4 2019","FQ4 2019","Currency=USD","Period=FQ","BEST_FPERIOD_OVERRIDE=FQ","FILING_STATUS=MR","SCALING_FORMAT=MLN","Sort=A","Dates=H","DateFormat=P","Fill=—","Direction=H","UseDPDF=Y")</f>
        <v>2500</v>
      </c>
      <c r="H207" s="13" t="str">
        <f>_xll.BDH("AMGN US Equity","ARDR_AVAILABLE_CP_FOR_ISSUING","FQ1 2020","FQ1 2020","Currency=USD","Period=FQ","BEST_FPERIOD_OVERRIDE=FQ","FILING_STATUS=MR","SCALING_FORMAT=MLN","Sort=A","Dates=H","DateFormat=P","Fill=—","Direction=H","UseDPDF=Y")</f>
        <v>—</v>
      </c>
      <c r="I207" s="13" t="str">
        <f>_xll.BDH("AMGN US Equity","ARDR_AVAILABLE_CP_FOR_ISSUING","FQ2 2020","FQ2 2020","Currency=USD","Period=FQ","BEST_FPERIOD_OVERRIDE=FQ","FILING_STATUS=MR","SCALING_FORMAT=MLN","Sort=A","Dates=H","DateFormat=P","Fill=—","Direction=H","UseDPDF=Y")</f>
        <v>—</v>
      </c>
      <c r="J207" s="13" t="str">
        <f>_xll.BDH("AMGN US Equity","ARDR_AVAILABLE_CP_FOR_ISSUING","FQ3 2020","FQ3 2020","Currency=USD","Period=FQ","BEST_FPERIOD_OVERRIDE=FQ","FILING_STATUS=MR","SCALING_FORMAT=MLN","Sort=A","Dates=H","DateFormat=P","Fill=—","Direction=H","UseDPDF=Y")</f>
        <v>—</v>
      </c>
      <c r="K207" s="13">
        <f>_xll.BDH("AMGN US Equity","ARDR_AVAILABLE_CP_FOR_ISSUING","FQ4 2020","FQ4 2020","Currency=USD","Period=FQ","BEST_FPERIOD_OVERRIDE=FQ","FILING_STATUS=MR","SCALING_FORMAT=MLN","Sort=A","Dates=H","DateFormat=P","Fill=—","Direction=H","UseDPDF=Y")</f>
        <v>2500</v>
      </c>
      <c r="L207" s="13" t="str">
        <f>_xll.BDH("AMGN US Equity","ARDR_AVAILABLE_CP_FOR_ISSUING","FQ1 2021","FQ1 2021","Currency=USD","Period=FQ","BEST_FPERIOD_OVERRIDE=FQ","FILING_STATUS=MR","SCALING_FORMAT=MLN","Sort=A","Dates=H","DateFormat=P","Fill=—","Direction=H","UseDPDF=Y")</f>
        <v>—</v>
      </c>
      <c r="M207" s="13" t="str">
        <f>_xll.BDH("AMGN US Equity","ARDR_AVAILABLE_CP_FOR_ISSUING","FQ2 2021","FQ2 2021","Currency=USD","Period=FQ","BEST_FPERIOD_OVERRIDE=FQ","FILING_STATUS=MR","SCALING_FORMAT=MLN","Sort=A","Dates=H","DateFormat=P","Fill=—","Direction=H","UseDPDF=Y")</f>
        <v>—</v>
      </c>
      <c r="N207" s="13" t="str">
        <f>_xll.BDH("AMGN US Equity","ARDR_AVAILABLE_CP_FOR_ISSUING","FQ3 2021","FQ3 2021","Currency=USD","Period=FQ","BEST_FPERIOD_OVERRIDE=FQ","FILING_STATUS=MR","SCALING_FORMAT=MLN","Sort=A","Dates=H","DateFormat=P","Fill=—","Direction=H","UseDPDF=Y")</f>
        <v>—</v>
      </c>
      <c r="O207" s="13">
        <f>_xll.BDH("AMGN US Equity","ARDR_AVAILABLE_CP_FOR_ISSUING","FQ4 2021","FQ4 2021","Currency=USD","Period=FQ","BEST_FPERIOD_OVERRIDE=FQ","FILING_STATUS=MR","SCALING_FORMAT=MLN","Sort=A","Dates=H","DateFormat=P","Fill=—","Direction=H","UseDPDF=Y")</f>
        <v>2500</v>
      </c>
      <c r="P207" s="13" t="str">
        <f>_xll.BDH("AMGN US Equity","ARDR_AVAILABLE_CP_FOR_ISSUING","FQ1 2022","FQ1 2022","Currency=USD","Period=FQ","BEST_FPERIOD_OVERRIDE=FQ","FILING_STATUS=MR","SCALING_FORMAT=MLN","Sort=A","Dates=H","DateFormat=P","Fill=—","Direction=H","UseDPDF=Y")</f>
        <v>—</v>
      </c>
      <c r="Q207" s="13" t="str">
        <f>_xll.BDH("AMGN US Equity","ARDR_AVAILABLE_CP_FOR_ISSUING","FQ2 2022","FQ2 2022","Currency=USD","Period=FQ","BEST_FPERIOD_OVERRIDE=FQ","FILING_STATUS=MR","SCALING_FORMAT=MLN","Sort=A","Dates=H","DateFormat=P","Fill=—","Direction=H","UseDPDF=Y")</f>
        <v>—</v>
      </c>
      <c r="R207" s="13" t="str">
        <f>_xll.BDH("AMGN US Equity","ARDR_AVAILABLE_CP_FOR_ISSUING","FQ3 2022","FQ3 2022","Currency=USD","Period=FQ","BEST_FPERIOD_OVERRIDE=FQ","FILING_STATUS=MR","SCALING_FORMAT=MLN","Sort=A","Dates=H","DateFormat=P","Fill=—","Direction=H","UseDPDF=Y")</f>
        <v>—</v>
      </c>
      <c r="S207" s="13">
        <f>_xll.BDH("AMGN US Equity","ARDR_AVAILABLE_CP_FOR_ISSUING","FQ4 2022","FQ4 2022","Currency=USD","Period=FQ","BEST_FPERIOD_OVERRIDE=FQ","FILING_STATUS=MR","SCALING_FORMAT=MLN","Sort=A","Dates=H","DateFormat=P","Fill=—","Direction=H","UseDPDF=Y")</f>
        <v>2500</v>
      </c>
      <c r="T207" s="13" t="str">
        <f>_xll.BDH("AMGN US Equity","ARDR_AVAILABLE_CP_FOR_ISSUING","FQ1 2023","FQ1 2023","Currency=USD","Period=FQ","BEST_FPERIOD_OVERRIDE=FQ","FILING_STATUS=MR","SCALING_FORMAT=MLN","Sort=A","Dates=H","DateFormat=P","Fill=—","Direction=H","UseDPDF=Y")</f>
        <v>—</v>
      </c>
      <c r="U207" s="13" t="str">
        <f>_xll.BDH("AMGN US Equity","ARDR_AVAILABLE_CP_FOR_ISSUING","FQ2 2023","FQ2 2023","Currency=USD","Period=FQ","BEST_FPERIOD_OVERRIDE=FQ","FILING_STATUS=MR","SCALING_FORMAT=MLN","Sort=A","Dates=H","DateFormat=P","Fill=—","Direction=H","UseDPDF=Y")</f>
        <v>—</v>
      </c>
      <c r="V207" s="13" t="str">
        <f>_xll.BDH("AMGN US Equity","ARDR_AVAILABLE_CP_FOR_ISSUING","FQ3 2023","FQ3 2023","Currency=USD","Period=FQ","BEST_FPERIOD_OVERRIDE=FQ","FILING_STATUS=MR","SCALING_FORMAT=MLN","Sort=A","Dates=H","DateFormat=P","Fill=—","Direction=H","UseDPDF=Y")</f>
        <v>—</v>
      </c>
      <c r="W207" s="13">
        <f>_xll.BDH("AMGN US Equity","ARDR_AVAILABLE_CP_FOR_ISSUING","FQ4 2023","FQ4 2023","Currency=USD","Period=FQ","BEST_FPERIOD_OVERRIDE=FQ","FILING_STATUS=MR","SCALING_FORMAT=MLN","Sort=A","Dates=H","DateFormat=P","Fill=—","Direction=H","UseDPDF=Y")</f>
        <v>2500</v>
      </c>
      <c r="X207" s="13" t="str">
        <f>_xll.BDH("AMGN US Equity","ARDR_AVAILABLE_CP_FOR_ISSUING","FQ1 2024","FQ1 2024","Currency=USD","Period=FQ","BEST_FPERIOD_OVERRIDE=FQ","FILING_STATUS=MR","SCALING_FORMAT=MLN","Sort=A","Dates=H","DateFormat=P","Fill=—","Direction=H","UseDPDF=Y")</f>
        <v>—</v>
      </c>
      <c r="Y207" s="13" t="str">
        <f>_xll.BDH("AMGN US Equity","ARDR_AVAILABLE_CP_FOR_ISSUING","FQ2 2024","FQ2 2024","Currency=USD","Period=FQ","BEST_FPERIOD_OVERRIDE=FQ","FILING_STATUS=MR","SCALING_FORMAT=MLN","Sort=A","Dates=H","DateFormat=P","Fill=—","Direction=H","UseDPDF=Y")</f>
        <v>—</v>
      </c>
      <c r="Z207" s="13" t="str">
        <f>_xll.BDH("AMGN US Equity","ARDR_AVAILABLE_CP_FOR_ISSUING","FQ3 2024","FQ3 2024","Currency=USD","Period=FQ","BEST_FPERIOD_OVERRIDE=FQ","FILING_STATUS=MR","SCALING_FORMAT=MLN","Sort=A","Dates=H","DateFormat=P","Fill=—","Direction=H","UseDPDF=Y")</f>
        <v>—</v>
      </c>
      <c r="AA207" s="13">
        <f>_xll.BDH("AMGN US Equity","ARDR_AVAILABLE_CP_FOR_ISSUING","FQ4 2024","FQ4 2024","Currency=USD","Period=FQ","BEST_FPERIOD_OVERRIDE=FQ","FILING_STATUS=MR","SCALING_FORMAT=MLN","Sort=A","Dates=H","DateFormat=P","Fill=—","Direction=H","UseDPDF=Y")</f>
        <v>2500</v>
      </c>
    </row>
    <row r="208" spans="1:27" x14ac:dyDescent="0.25">
      <c r="A208" s="10" t="s">
        <v>1230</v>
      </c>
      <c r="B208" s="10" t="s">
        <v>1231</v>
      </c>
      <c r="C208" s="13">
        <f>_xll.BDH("AMGN US Equity","ARDR_CASH_HELD_OVERSEAS","FQ4 2018","FQ4 2018","Currency=USD","Period=FQ","BEST_FPERIOD_OVERRIDE=FQ","FILING_STATUS=MR","SCALING_FORMAT=MLN","Sort=A","Dates=H","DateFormat=P","Fill=—","Direction=H","UseDPDF=Y")</f>
        <v>0</v>
      </c>
      <c r="D208" s="13">
        <f>_xll.BDH("AMGN US Equity","ARDR_CASH_HELD_OVERSEAS","FQ1 2019","FQ1 2019","Currency=USD","Period=FQ","BEST_FPERIOD_OVERRIDE=FQ","FILING_STATUS=MR","SCALING_FORMAT=MLN","Sort=A","Dates=H","DateFormat=P","Fill=—","Direction=H","UseDPDF=Y")</f>
        <v>0</v>
      </c>
      <c r="E208" s="13">
        <f>_xll.BDH("AMGN US Equity","ARDR_CASH_HELD_OVERSEAS","FQ2 2019","FQ2 2019","Currency=USD","Period=FQ","BEST_FPERIOD_OVERRIDE=FQ","FILING_STATUS=MR","SCALING_FORMAT=MLN","Sort=A","Dates=H","DateFormat=P","Fill=—","Direction=H","UseDPDF=Y")</f>
        <v>0</v>
      </c>
      <c r="F208" s="13">
        <f>_xll.BDH("AMGN US Equity","ARDR_CASH_HELD_OVERSEAS","FQ3 2019","FQ3 2019","Currency=USD","Period=FQ","BEST_FPERIOD_OVERRIDE=FQ","FILING_STATUS=MR","SCALING_FORMAT=MLN","Sort=A","Dates=H","DateFormat=P","Fill=—","Direction=H","UseDPDF=Y")</f>
        <v>0</v>
      </c>
      <c r="G208" s="13">
        <f>_xll.BDH("AMGN US Equity","ARDR_CASH_HELD_OVERSEAS","FQ4 2019","FQ4 2019","Currency=USD","Period=FQ","BEST_FPERIOD_OVERRIDE=FQ","FILING_STATUS=MR","SCALING_FORMAT=MLN","Sort=A","Dates=H","DateFormat=P","Fill=—","Direction=H","UseDPDF=Y")</f>
        <v>0</v>
      </c>
      <c r="H208" s="13">
        <f>_xll.BDH("AMGN US Equity","ARDR_CASH_HELD_OVERSEAS","FQ1 2020","FQ1 2020","Currency=USD","Period=FQ","BEST_FPERIOD_OVERRIDE=FQ","FILING_STATUS=MR","SCALING_FORMAT=MLN","Sort=A","Dates=H","DateFormat=P","Fill=—","Direction=H","UseDPDF=Y")</f>
        <v>0</v>
      </c>
      <c r="I208" s="13">
        <f>_xll.BDH("AMGN US Equity","ARDR_CASH_HELD_OVERSEAS","FQ2 2020","FQ2 2020","Currency=USD","Period=FQ","BEST_FPERIOD_OVERRIDE=FQ","FILING_STATUS=MR","SCALING_FORMAT=MLN","Sort=A","Dates=H","DateFormat=P","Fill=—","Direction=H","UseDPDF=Y")</f>
        <v>0</v>
      </c>
      <c r="J208" s="13">
        <f>_xll.BDH("AMGN US Equity","ARDR_CASH_HELD_OVERSEAS","FQ3 2020","FQ3 2020","Currency=USD","Period=FQ","BEST_FPERIOD_OVERRIDE=FQ","FILING_STATUS=MR","SCALING_FORMAT=MLN","Sort=A","Dates=H","DateFormat=P","Fill=—","Direction=H","UseDPDF=Y")</f>
        <v>0</v>
      </c>
      <c r="K208" s="13">
        <f>_xll.BDH("AMGN US Equity","ARDR_CASH_HELD_OVERSEAS","FQ4 2020","FQ4 2020","Currency=USD","Period=FQ","BEST_FPERIOD_OVERRIDE=FQ","FILING_STATUS=MR","SCALING_FORMAT=MLN","Sort=A","Dates=H","DateFormat=P","Fill=—","Direction=H","UseDPDF=Y")</f>
        <v>0</v>
      </c>
      <c r="L208" s="13">
        <f>_xll.BDH("AMGN US Equity","ARDR_CASH_HELD_OVERSEAS","FQ1 2021","FQ1 2021","Currency=USD","Period=FQ","BEST_FPERIOD_OVERRIDE=FQ","FILING_STATUS=MR","SCALING_FORMAT=MLN","Sort=A","Dates=H","DateFormat=P","Fill=—","Direction=H","UseDPDF=Y")</f>
        <v>0</v>
      </c>
      <c r="M208" s="13">
        <f>_xll.BDH("AMGN US Equity","ARDR_CASH_HELD_OVERSEAS","FQ2 2021","FQ2 2021","Currency=USD","Period=FQ","BEST_FPERIOD_OVERRIDE=FQ","FILING_STATUS=MR","SCALING_FORMAT=MLN","Sort=A","Dates=H","DateFormat=P","Fill=—","Direction=H","UseDPDF=Y")</f>
        <v>0</v>
      </c>
      <c r="N208" s="13" t="str">
        <f>_xll.BDH("AMGN US Equity","ARDR_CASH_HELD_OVERSEAS","FQ3 2021","FQ3 2021","Currency=USD","Period=FQ","BEST_FPERIOD_OVERRIDE=FQ","FILING_STATUS=MR","SCALING_FORMAT=MLN","Sort=A","Dates=H","DateFormat=P","Fill=—","Direction=H","UseDPDF=Y")</f>
        <v>—</v>
      </c>
      <c r="O208" s="13">
        <f>_xll.BDH("AMGN US Equity","ARDR_CASH_HELD_OVERSEAS","FQ4 2021","FQ4 2021","Currency=USD","Period=FQ","BEST_FPERIOD_OVERRIDE=FQ","FILING_STATUS=MR","SCALING_FORMAT=MLN","Sort=A","Dates=H","DateFormat=P","Fill=—","Direction=H","UseDPDF=Y")</f>
        <v>0</v>
      </c>
      <c r="P208" s="13">
        <f>_xll.BDH("AMGN US Equity","ARDR_CASH_HELD_OVERSEAS","FQ1 2022","FQ1 2022","Currency=USD","Period=FQ","BEST_FPERIOD_OVERRIDE=FQ","FILING_STATUS=MR","SCALING_FORMAT=MLN","Sort=A","Dates=H","DateFormat=P","Fill=—","Direction=H","UseDPDF=Y")</f>
        <v>0</v>
      </c>
      <c r="Q208" s="13" t="str">
        <f>_xll.BDH("AMGN US Equity","ARDR_CASH_HELD_OVERSEAS","FQ2 2022","FQ2 2022","Currency=USD","Period=FQ","BEST_FPERIOD_OVERRIDE=FQ","FILING_STATUS=MR","SCALING_FORMAT=MLN","Sort=A","Dates=H","DateFormat=P","Fill=—","Direction=H","UseDPDF=Y")</f>
        <v>—</v>
      </c>
      <c r="R208" s="13" t="str">
        <f>_xll.BDH("AMGN US Equity","ARDR_CASH_HELD_OVERSEAS","FQ3 2022","FQ3 2022","Currency=USD","Period=FQ","BEST_FPERIOD_OVERRIDE=FQ","FILING_STATUS=MR","SCALING_FORMAT=MLN","Sort=A","Dates=H","DateFormat=P","Fill=—","Direction=H","UseDPDF=Y")</f>
        <v>—</v>
      </c>
      <c r="S208" s="13" t="str">
        <f>_xll.BDH("AMGN US Equity","ARDR_CASH_HELD_OVERSEAS","FQ4 2022","FQ4 2022","Currency=USD","Period=FQ","BEST_FPERIOD_OVERRIDE=FQ","FILING_STATUS=MR","SCALING_FORMAT=MLN","Sort=A","Dates=H","DateFormat=P","Fill=—","Direction=H","UseDPDF=Y")</f>
        <v>—</v>
      </c>
      <c r="T208" s="13" t="str">
        <f>_xll.BDH("AMGN US Equity","ARDR_CASH_HELD_OVERSEAS","FQ1 2023","FQ1 2023","Currency=USD","Period=FQ","BEST_FPERIOD_OVERRIDE=FQ","FILING_STATUS=MR","SCALING_FORMAT=MLN","Sort=A","Dates=H","DateFormat=P","Fill=—","Direction=H","UseDPDF=Y")</f>
        <v>—</v>
      </c>
      <c r="U208" s="13" t="str">
        <f>_xll.BDH("AMGN US Equity","ARDR_CASH_HELD_OVERSEAS","FQ2 2023","FQ2 2023","Currency=USD","Period=FQ","BEST_FPERIOD_OVERRIDE=FQ","FILING_STATUS=MR","SCALING_FORMAT=MLN","Sort=A","Dates=H","DateFormat=P","Fill=—","Direction=H","UseDPDF=Y")</f>
        <v>—</v>
      </c>
      <c r="V208" s="13" t="str">
        <f>_xll.BDH("AMGN US Equity","ARDR_CASH_HELD_OVERSEAS","FQ3 2023","FQ3 2023","Currency=USD","Period=FQ","BEST_FPERIOD_OVERRIDE=FQ","FILING_STATUS=MR","SCALING_FORMAT=MLN","Sort=A","Dates=H","DateFormat=P","Fill=—","Direction=H","UseDPDF=Y")</f>
        <v>—</v>
      </c>
      <c r="W208" s="13" t="str">
        <f>_xll.BDH("AMGN US Equity","ARDR_CASH_HELD_OVERSEAS","FQ4 2023","FQ4 2023","Currency=USD","Period=FQ","BEST_FPERIOD_OVERRIDE=FQ","FILING_STATUS=MR","SCALING_FORMAT=MLN","Sort=A","Dates=H","DateFormat=P","Fill=—","Direction=H","UseDPDF=Y")</f>
        <v>—</v>
      </c>
      <c r="X208" s="13" t="str">
        <f>_xll.BDH("AMGN US Equity","ARDR_CASH_HELD_OVERSEAS","FQ1 2024","FQ1 2024","Currency=USD","Period=FQ","BEST_FPERIOD_OVERRIDE=FQ","FILING_STATUS=MR","SCALING_FORMAT=MLN","Sort=A","Dates=H","DateFormat=P","Fill=—","Direction=H","UseDPDF=Y")</f>
        <v>—</v>
      </c>
      <c r="Y208" s="13" t="str">
        <f>_xll.BDH("AMGN US Equity","ARDR_CASH_HELD_OVERSEAS","FQ2 2024","FQ2 2024","Currency=USD","Period=FQ","BEST_FPERIOD_OVERRIDE=FQ","FILING_STATUS=MR","SCALING_FORMAT=MLN","Sort=A","Dates=H","DateFormat=P","Fill=—","Direction=H","UseDPDF=Y")</f>
        <v>—</v>
      </c>
      <c r="Z208" s="13" t="str">
        <f>_xll.BDH("AMGN US Equity","ARDR_CASH_HELD_OVERSEAS","FQ3 2024","FQ3 2024","Currency=USD","Period=FQ","BEST_FPERIOD_OVERRIDE=FQ","FILING_STATUS=MR","SCALING_FORMAT=MLN","Sort=A","Dates=H","DateFormat=P","Fill=—","Direction=H","UseDPDF=Y")</f>
        <v>—</v>
      </c>
      <c r="AA208" s="13" t="str">
        <f>_xll.BDH("AMGN US Equity","ARDR_CASH_HELD_OVERSEAS","FQ4 2024","FQ4 2024","Currency=USD","Period=FQ","BEST_FPERIOD_OVERRIDE=FQ","FILING_STATUS=MR","SCALING_FORMAT=MLN","Sort=A","Dates=H","DateFormat=P","Fill=—","Direction=H","UseDPDF=Y")</f>
        <v>—</v>
      </c>
    </row>
    <row r="209" spans="1:27" x14ac:dyDescent="0.25">
      <c r="A209" s="10" t="s">
        <v>1232</v>
      </c>
      <c r="B209" s="10" t="s">
        <v>1233</v>
      </c>
      <c r="C209" s="13">
        <f>_xll.BDH("AMGN US Equity","ARDR_TOTAL_CP_PROGRAM_SIZE","FQ4 2018","FQ4 2018","Currency=USD","Period=FQ","BEST_FPERIOD_OVERRIDE=FQ","FILING_STATUS=MR","Sort=A","Dates=H","DateFormat=P","Fill=—","Direction=H","UseDPDF=Y")</f>
        <v>2500</v>
      </c>
      <c r="D209" s="13" t="str">
        <f>_xll.BDH("AMGN US Equity","ARDR_TOTAL_CP_PROGRAM_SIZE","FQ1 2019","FQ1 2019","Currency=USD","Period=FQ","BEST_FPERIOD_OVERRIDE=FQ","FILING_STATUS=MR","Sort=A","Dates=H","DateFormat=P","Fill=—","Direction=H","UseDPDF=Y")</f>
        <v>—</v>
      </c>
      <c r="E209" s="13" t="str">
        <f>_xll.BDH("AMGN US Equity","ARDR_TOTAL_CP_PROGRAM_SIZE","FQ2 2019","FQ2 2019","Currency=USD","Period=FQ","BEST_FPERIOD_OVERRIDE=FQ","FILING_STATUS=MR","Sort=A","Dates=H","DateFormat=P","Fill=—","Direction=H","UseDPDF=Y")</f>
        <v>—</v>
      </c>
      <c r="F209" s="13" t="str">
        <f>_xll.BDH("AMGN US Equity","ARDR_TOTAL_CP_PROGRAM_SIZE","FQ3 2019","FQ3 2019","Currency=USD","Period=FQ","BEST_FPERIOD_OVERRIDE=FQ","FILING_STATUS=MR","Sort=A","Dates=H","DateFormat=P","Fill=—","Direction=H","UseDPDF=Y")</f>
        <v>—</v>
      </c>
      <c r="G209" s="13">
        <f>_xll.BDH("AMGN US Equity","ARDR_TOTAL_CP_PROGRAM_SIZE","FQ4 2019","FQ4 2019","Currency=USD","Period=FQ","BEST_FPERIOD_OVERRIDE=FQ","FILING_STATUS=MR","Sort=A","Dates=H","DateFormat=P","Fill=—","Direction=H","UseDPDF=Y")</f>
        <v>2500</v>
      </c>
      <c r="H209" s="13" t="str">
        <f>_xll.BDH("AMGN US Equity","ARDR_TOTAL_CP_PROGRAM_SIZE","FQ1 2020","FQ1 2020","Currency=USD","Period=FQ","BEST_FPERIOD_OVERRIDE=FQ","FILING_STATUS=MR","Sort=A","Dates=H","DateFormat=P","Fill=—","Direction=H","UseDPDF=Y")</f>
        <v>—</v>
      </c>
      <c r="I209" s="13" t="str">
        <f>_xll.BDH("AMGN US Equity","ARDR_TOTAL_CP_PROGRAM_SIZE","FQ2 2020","FQ2 2020","Currency=USD","Period=FQ","BEST_FPERIOD_OVERRIDE=FQ","FILING_STATUS=MR","Sort=A","Dates=H","DateFormat=P","Fill=—","Direction=H","UseDPDF=Y")</f>
        <v>—</v>
      </c>
      <c r="J209" s="13" t="str">
        <f>_xll.BDH("AMGN US Equity","ARDR_TOTAL_CP_PROGRAM_SIZE","FQ3 2020","FQ3 2020","Currency=USD","Period=FQ","BEST_FPERIOD_OVERRIDE=FQ","FILING_STATUS=MR","Sort=A","Dates=H","DateFormat=P","Fill=—","Direction=H","UseDPDF=Y")</f>
        <v>—</v>
      </c>
      <c r="K209" s="13">
        <f>_xll.BDH("AMGN US Equity","ARDR_TOTAL_CP_PROGRAM_SIZE","FQ4 2020","FQ4 2020","Currency=USD","Period=FQ","BEST_FPERIOD_OVERRIDE=FQ","FILING_STATUS=MR","Sort=A","Dates=H","DateFormat=P","Fill=—","Direction=H","UseDPDF=Y")</f>
        <v>2500</v>
      </c>
      <c r="L209" s="13" t="str">
        <f>_xll.BDH("AMGN US Equity","ARDR_TOTAL_CP_PROGRAM_SIZE","FQ1 2021","FQ1 2021","Currency=USD","Period=FQ","BEST_FPERIOD_OVERRIDE=FQ","FILING_STATUS=MR","Sort=A","Dates=H","DateFormat=P","Fill=—","Direction=H","UseDPDF=Y")</f>
        <v>—</v>
      </c>
      <c r="M209" s="13" t="str">
        <f>_xll.BDH("AMGN US Equity","ARDR_TOTAL_CP_PROGRAM_SIZE","FQ2 2021","FQ2 2021","Currency=USD","Period=FQ","BEST_FPERIOD_OVERRIDE=FQ","FILING_STATUS=MR","Sort=A","Dates=H","DateFormat=P","Fill=—","Direction=H","UseDPDF=Y")</f>
        <v>—</v>
      </c>
      <c r="N209" s="13" t="str">
        <f>_xll.BDH("AMGN US Equity","ARDR_TOTAL_CP_PROGRAM_SIZE","FQ3 2021","FQ3 2021","Currency=USD","Period=FQ","BEST_FPERIOD_OVERRIDE=FQ","FILING_STATUS=MR","Sort=A","Dates=H","DateFormat=P","Fill=—","Direction=H","UseDPDF=Y")</f>
        <v>—</v>
      </c>
      <c r="O209" s="13">
        <f>_xll.BDH("AMGN US Equity","ARDR_TOTAL_CP_PROGRAM_SIZE","FQ4 2021","FQ4 2021","Currency=USD","Period=FQ","BEST_FPERIOD_OVERRIDE=FQ","FILING_STATUS=MR","Sort=A","Dates=H","DateFormat=P","Fill=—","Direction=H","UseDPDF=Y")</f>
        <v>2500</v>
      </c>
      <c r="P209" s="13" t="str">
        <f>_xll.BDH("AMGN US Equity","ARDR_TOTAL_CP_PROGRAM_SIZE","FQ1 2022","FQ1 2022","Currency=USD","Period=FQ","BEST_FPERIOD_OVERRIDE=FQ","FILING_STATUS=MR","Sort=A","Dates=H","DateFormat=P","Fill=—","Direction=H","UseDPDF=Y")</f>
        <v>—</v>
      </c>
      <c r="Q209" s="13" t="str">
        <f>_xll.BDH("AMGN US Equity","ARDR_TOTAL_CP_PROGRAM_SIZE","FQ2 2022","FQ2 2022","Currency=USD","Period=FQ","BEST_FPERIOD_OVERRIDE=FQ","FILING_STATUS=MR","Sort=A","Dates=H","DateFormat=P","Fill=—","Direction=H","UseDPDF=Y")</f>
        <v>—</v>
      </c>
      <c r="R209" s="13" t="str">
        <f>_xll.BDH("AMGN US Equity","ARDR_TOTAL_CP_PROGRAM_SIZE","FQ3 2022","FQ3 2022","Currency=USD","Period=FQ","BEST_FPERIOD_OVERRIDE=FQ","FILING_STATUS=MR","Sort=A","Dates=H","DateFormat=P","Fill=—","Direction=H","UseDPDF=Y")</f>
        <v>—</v>
      </c>
      <c r="S209" s="13">
        <f>_xll.BDH("AMGN US Equity","ARDR_TOTAL_CP_PROGRAM_SIZE","FQ4 2022","FQ4 2022","Currency=USD","Period=FQ","BEST_FPERIOD_OVERRIDE=FQ","FILING_STATUS=MR","Sort=A","Dates=H","DateFormat=P","Fill=—","Direction=H","UseDPDF=Y")</f>
        <v>2500</v>
      </c>
      <c r="T209" s="13" t="str">
        <f>_xll.BDH("AMGN US Equity","ARDR_TOTAL_CP_PROGRAM_SIZE","FQ1 2023","FQ1 2023","Currency=USD","Period=FQ","BEST_FPERIOD_OVERRIDE=FQ","FILING_STATUS=MR","Sort=A","Dates=H","DateFormat=P","Fill=—","Direction=H","UseDPDF=Y")</f>
        <v>—</v>
      </c>
      <c r="U209" s="13" t="str">
        <f>_xll.BDH("AMGN US Equity","ARDR_TOTAL_CP_PROGRAM_SIZE","FQ2 2023","FQ2 2023","Currency=USD","Period=FQ","BEST_FPERIOD_OVERRIDE=FQ","FILING_STATUS=MR","Sort=A","Dates=H","DateFormat=P","Fill=—","Direction=H","UseDPDF=Y")</f>
        <v>—</v>
      </c>
      <c r="V209" s="13" t="str">
        <f>_xll.BDH("AMGN US Equity","ARDR_TOTAL_CP_PROGRAM_SIZE","FQ3 2023","FQ3 2023","Currency=USD","Period=FQ","BEST_FPERIOD_OVERRIDE=FQ","FILING_STATUS=MR","Sort=A","Dates=H","DateFormat=P","Fill=—","Direction=H","UseDPDF=Y")</f>
        <v>—</v>
      </c>
      <c r="W209" s="13">
        <f>_xll.BDH("AMGN US Equity","ARDR_TOTAL_CP_PROGRAM_SIZE","FQ4 2023","FQ4 2023","Currency=USD","Period=FQ","BEST_FPERIOD_OVERRIDE=FQ","FILING_STATUS=MR","Sort=A","Dates=H","DateFormat=P","Fill=—","Direction=H","UseDPDF=Y")</f>
        <v>2500</v>
      </c>
      <c r="X209" s="13" t="str">
        <f>_xll.BDH("AMGN US Equity","ARDR_TOTAL_CP_PROGRAM_SIZE","FQ1 2024","FQ1 2024","Currency=USD","Period=FQ","BEST_FPERIOD_OVERRIDE=FQ","FILING_STATUS=MR","Sort=A","Dates=H","DateFormat=P","Fill=—","Direction=H","UseDPDF=Y")</f>
        <v>—</v>
      </c>
      <c r="Y209" s="13" t="str">
        <f>_xll.BDH("AMGN US Equity","ARDR_TOTAL_CP_PROGRAM_SIZE","FQ2 2024","FQ2 2024","Currency=USD","Period=FQ","BEST_FPERIOD_OVERRIDE=FQ","FILING_STATUS=MR","Sort=A","Dates=H","DateFormat=P","Fill=—","Direction=H","UseDPDF=Y")</f>
        <v>—</v>
      </c>
      <c r="Z209" s="13" t="str">
        <f>_xll.BDH("AMGN US Equity","ARDR_TOTAL_CP_PROGRAM_SIZE","FQ3 2024","FQ3 2024","Currency=USD","Period=FQ","BEST_FPERIOD_OVERRIDE=FQ","FILING_STATUS=MR","Sort=A","Dates=H","DateFormat=P","Fill=—","Direction=H","UseDPDF=Y")</f>
        <v>—</v>
      </c>
      <c r="AA209" s="13">
        <f>_xll.BDH("AMGN US Equity","ARDR_TOTAL_CP_PROGRAM_SIZE","FQ4 2024","FQ4 2024","Currency=USD","Period=FQ","BEST_FPERIOD_OVERRIDE=FQ","FILING_STATUS=MR","Sort=A","Dates=H","DateFormat=P","Fill=—","Direction=H","UseDPDF=Y")</f>
        <v>2500</v>
      </c>
    </row>
    <row r="210" spans="1:27" x14ac:dyDescent="0.25">
      <c r="A210" s="10" t="s">
        <v>1234</v>
      </c>
      <c r="B210" s="10" t="s">
        <v>1235</v>
      </c>
      <c r="C210" s="13" t="str">
        <f>_xll.BDH("AMGN US Equity","ARDR_VAL_SHS_REPURCH_FR_REP_PROG","FQ4 2018","FQ4 2018","Currency=USD","Period=FQ","BEST_FPERIOD_OVERRIDE=FQ","FILING_STATUS=MR","SCALING_FORMAT=MLN","Sort=A","Dates=H","DateFormat=P","Fill=—","Direction=H","UseDPDF=Y")</f>
        <v>—</v>
      </c>
      <c r="D210" s="13" t="str">
        <f>_xll.BDH("AMGN US Equity","ARDR_VAL_SHS_REPURCH_FR_REP_PROG","FQ1 2019","FQ1 2019","Currency=USD","Period=FQ","BEST_FPERIOD_OVERRIDE=FQ","FILING_STATUS=MR","SCALING_FORMAT=MLN","Sort=A","Dates=H","DateFormat=P","Fill=—","Direction=H","UseDPDF=Y")</f>
        <v>—</v>
      </c>
      <c r="E210" s="13" t="str">
        <f>_xll.BDH("AMGN US Equity","ARDR_VAL_SHS_REPURCH_FR_REP_PROG","FQ2 2019","FQ2 2019","Currency=USD","Period=FQ","BEST_FPERIOD_OVERRIDE=FQ","FILING_STATUS=MR","SCALING_FORMAT=MLN","Sort=A","Dates=H","DateFormat=P","Fill=—","Direction=H","UseDPDF=Y")</f>
        <v>—</v>
      </c>
      <c r="F210" s="13" t="str">
        <f>_xll.BDH("AMGN US Equity","ARDR_VAL_SHS_REPURCH_FR_REP_PROG","FQ3 2019","FQ3 2019","Currency=USD","Period=FQ","BEST_FPERIOD_OVERRIDE=FQ","FILING_STATUS=MR","SCALING_FORMAT=MLN","Sort=A","Dates=H","DateFormat=P","Fill=—","Direction=H","UseDPDF=Y")</f>
        <v>—</v>
      </c>
      <c r="G210" s="13" t="str">
        <f>_xll.BDH("AMGN US Equity","ARDR_VAL_SHS_REPURCH_FR_REP_PROG","FQ4 2019","FQ4 2019","Currency=USD","Period=FQ","BEST_FPERIOD_OVERRIDE=FQ","FILING_STATUS=MR","SCALING_FORMAT=MLN","Sort=A","Dates=H","DateFormat=P","Fill=—","Direction=H","UseDPDF=Y")</f>
        <v>—</v>
      </c>
      <c r="H210" s="13" t="str">
        <f>_xll.BDH("AMGN US Equity","ARDR_VAL_SHS_REPURCH_FR_REP_PROG","FQ1 2020","FQ1 2020","Currency=USD","Period=FQ","BEST_FPERIOD_OVERRIDE=FQ","FILING_STATUS=MR","SCALING_FORMAT=MLN","Sort=A","Dates=H","DateFormat=P","Fill=—","Direction=H","UseDPDF=Y")</f>
        <v>—</v>
      </c>
      <c r="I210" s="13" t="str">
        <f>_xll.BDH("AMGN US Equity","ARDR_VAL_SHS_REPURCH_FR_REP_PROG","FQ2 2020","FQ2 2020","Currency=USD","Period=FQ","BEST_FPERIOD_OVERRIDE=FQ","FILING_STATUS=MR","SCALING_FORMAT=MLN","Sort=A","Dates=H","DateFormat=P","Fill=—","Direction=H","UseDPDF=Y")</f>
        <v>—</v>
      </c>
      <c r="J210" s="13" t="str">
        <f>_xll.BDH("AMGN US Equity","ARDR_VAL_SHS_REPURCH_FR_REP_PROG","FQ3 2020","FQ3 2020","Currency=USD","Period=FQ","BEST_FPERIOD_OVERRIDE=FQ","FILING_STATUS=MR","SCALING_FORMAT=MLN","Sort=A","Dates=H","DateFormat=P","Fill=—","Direction=H","UseDPDF=Y")</f>
        <v>—</v>
      </c>
      <c r="K210" s="13" t="str">
        <f>_xll.BDH("AMGN US Equity","ARDR_VAL_SHS_REPURCH_FR_REP_PROG","FQ4 2020","FQ4 2020","Currency=USD","Period=FQ","BEST_FPERIOD_OVERRIDE=FQ","FILING_STATUS=MR","SCALING_FORMAT=MLN","Sort=A","Dates=H","DateFormat=P","Fill=—","Direction=H","UseDPDF=Y")</f>
        <v>—</v>
      </c>
      <c r="L210" s="13" t="str">
        <f>_xll.BDH("AMGN US Equity","ARDR_VAL_SHS_REPURCH_FR_REP_PROG","FQ1 2021","FQ1 2021","Currency=USD","Period=FQ","BEST_FPERIOD_OVERRIDE=FQ","FILING_STATUS=MR","SCALING_FORMAT=MLN","Sort=A","Dates=H","DateFormat=P","Fill=—","Direction=H","UseDPDF=Y")</f>
        <v>—</v>
      </c>
      <c r="M210" s="13" t="str">
        <f>_xll.BDH("AMGN US Equity","ARDR_VAL_SHS_REPURCH_FR_REP_PROG","FQ2 2021","FQ2 2021","Currency=USD","Period=FQ","BEST_FPERIOD_OVERRIDE=FQ","FILING_STATUS=MR","SCALING_FORMAT=MLN","Sort=A","Dates=H","DateFormat=P","Fill=—","Direction=H","UseDPDF=Y")</f>
        <v>—</v>
      </c>
      <c r="N210" s="13" t="str">
        <f>_xll.BDH("AMGN US Equity","ARDR_VAL_SHS_REPURCH_FR_REP_PROG","FQ3 2021","FQ3 2021","Currency=USD","Period=FQ","BEST_FPERIOD_OVERRIDE=FQ","FILING_STATUS=MR","SCALING_FORMAT=MLN","Sort=A","Dates=H","DateFormat=P","Fill=—","Direction=H","UseDPDF=Y")</f>
        <v>—</v>
      </c>
      <c r="O210" s="13" t="str">
        <f>_xll.BDH("AMGN US Equity","ARDR_VAL_SHS_REPURCH_FR_REP_PROG","FQ4 2021","FQ4 2021","Currency=USD","Period=FQ","BEST_FPERIOD_OVERRIDE=FQ","FILING_STATUS=MR","SCALING_FORMAT=MLN","Sort=A","Dates=H","DateFormat=P","Fill=—","Direction=H","UseDPDF=Y")</f>
        <v>—</v>
      </c>
      <c r="P210" s="13" t="str">
        <f>_xll.BDH("AMGN US Equity","ARDR_VAL_SHS_REPURCH_FR_REP_PROG","FQ1 2022","FQ1 2022","Currency=USD","Period=FQ","BEST_FPERIOD_OVERRIDE=FQ","FILING_STATUS=MR","SCALING_FORMAT=MLN","Sort=A","Dates=H","DateFormat=P","Fill=—","Direction=H","UseDPDF=Y")</f>
        <v>—</v>
      </c>
      <c r="Q210" s="13" t="str">
        <f>_xll.BDH("AMGN US Equity","ARDR_VAL_SHS_REPURCH_FR_REP_PROG","FQ2 2022","FQ2 2022","Currency=USD","Period=FQ","BEST_FPERIOD_OVERRIDE=FQ","FILING_STATUS=MR","SCALING_FORMAT=MLN","Sort=A","Dates=H","DateFormat=P","Fill=—","Direction=H","UseDPDF=Y")</f>
        <v>—</v>
      </c>
      <c r="R210" s="13" t="str">
        <f>_xll.BDH("AMGN US Equity","ARDR_VAL_SHS_REPURCH_FR_REP_PROG","FQ3 2022","FQ3 2022","Currency=USD","Period=FQ","BEST_FPERIOD_OVERRIDE=FQ","FILING_STATUS=MR","SCALING_FORMAT=MLN","Sort=A","Dates=H","DateFormat=P","Fill=—","Direction=H","UseDPDF=Y")</f>
        <v>—</v>
      </c>
      <c r="S210" s="13" t="str">
        <f>_xll.BDH("AMGN US Equity","ARDR_VAL_SHS_REPURCH_FR_REP_PROG","FQ4 2022","FQ4 2022","Currency=USD","Period=FQ","BEST_FPERIOD_OVERRIDE=FQ","FILING_STATUS=MR","SCALING_FORMAT=MLN","Sort=A","Dates=H","DateFormat=P","Fill=—","Direction=H","UseDPDF=Y")</f>
        <v>—</v>
      </c>
      <c r="T210" s="13" t="str">
        <f>_xll.BDH("AMGN US Equity","ARDR_VAL_SHS_REPURCH_FR_REP_PROG","FQ1 2023","FQ1 2023","Currency=USD","Period=FQ","BEST_FPERIOD_OVERRIDE=FQ","FILING_STATUS=MR","SCALING_FORMAT=MLN","Sort=A","Dates=H","DateFormat=P","Fill=—","Direction=H","UseDPDF=Y")</f>
        <v>—</v>
      </c>
      <c r="U210" s="13">
        <f>_xll.BDH("AMGN US Equity","ARDR_VAL_SHS_REPURCH_FR_REP_PROG","FQ2 2023","FQ2 2023","Currency=USD","Period=FQ","BEST_FPERIOD_OVERRIDE=FQ","FILING_STATUS=MR","SCALING_FORMAT=MLN","Sort=A","Dates=H","DateFormat=P","Fill=—","Direction=H","UseDPDF=Y")</f>
        <v>0</v>
      </c>
      <c r="V210" s="13" t="str">
        <f>_xll.BDH("AMGN US Equity","ARDR_VAL_SHS_REPURCH_FR_REP_PROG","FQ3 2023","FQ3 2023","Currency=USD","Period=FQ","BEST_FPERIOD_OVERRIDE=FQ","FILING_STATUS=MR","SCALING_FORMAT=MLN","Sort=A","Dates=H","DateFormat=P","Fill=—","Direction=H","UseDPDF=Y")</f>
        <v>—</v>
      </c>
      <c r="W210" s="13" t="str">
        <f>_xll.BDH("AMGN US Equity","ARDR_VAL_SHS_REPURCH_FR_REP_PROG","FQ4 2023","FQ4 2023","Currency=USD","Period=FQ","BEST_FPERIOD_OVERRIDE=FQ","FILING_STATUS=MR","SCALING_FORMAT=MLN","Sort=A","Dates=H","DateFormat=P","Fill=—","Direction=H","UseDPDF=Y")</f>
        <v>—</v>
      </c>
      <c r="X210" s="13">
        <f>_xll.BDH("AMGN US Equity","ARDR_VAL_SHS_REPURCH_FR_REP_PROG","FQ1 2024","FQ1 2024","Currency=USD","Period=FQ","BEST_FPERIOD_OVERRIDE=FQ","FILING_STATUS=MR","SCALING_FORMAT=MLN","Sort=A","Dates=H","DateFormat=P","Fill=—","Direction=H","UseDPDF=Y")</f>
        <v>0</v>
      </c>
      <c r="Y210" s="13">
        <f>_xll.BDH("AMGN US Equity","ARDR_VAL_SHS_REPURCH_FR_REP_PROG","FQ2 2024","FQ2 2024","Currency=USD","Period=FQ","BEST_FPERIOD_OVERRIDE=FQ","FILING_STATUS=MR","SCALING_FORMAT=MLN","Sort=A","Dates=H","DateFormat=P","Fill=—","Direction=H","UseDPDF=Y")</f>
        <v>0</v>
      </c>
      <c r="Z210" s="13" t="str">
        <f>_xll.BDH("AMGN US Equity","ARDR_VAL_SHS_REPURCH_FR_REP_PROG","FQ3 2024","FQ3 2024","Currency=USD","Period=FQ","BEST_FPERIOD_OVERRIDE=FQ","FILING_STATUS=MR","SCALING_FORMAT=MLN","Sort=A","Dates=H","DateFormat=P","Fill=—","Direction=H","UseDPDF=Y")</f>
        <v>—</v>
      </c>
      <c r="AA210" s="13" t="str">
        <f>_xll.BDH("AMGN US Equity","ARDR_VAL_SHS_REPURCH_FR_REP_PROG","FQ4 2024","FQ4 2024","Currency=USD","Period=FQ","BEST_FPERIOD_OVERRIDE=FQ","FILING_STATUS=MR","SCALING_FORMAT=MLN","Sort=A","Dates=H","DateFormat=P","Fill=—","Direction=H","UseDPDF=Y")</f>
        <v>—</v>
      </c>
    </row>
    <row r="211" spans="1:27" x14ac:dyDescent="0.25">
      <c r="A211" s="10" t="s">
        <v>1236</v>
      </c>
      <c r="B211" s="10" t="s">
        <v>1237</v>
      </c>
      <c r="C211" s="13">
        <f>_xll.BDH("AMGN US Equity","ARDR_#_SHS_REPURCH_FR_REP_PROG","FQ4 2018","FQ4 2018","Currency=USD","Period=FQ","BEST_FPERIOD_OVERRIDE=FQ","FILING_STATUS=MR","Sort=A","Dates=H","DateFormat=P","Fill=—","Direction=H","UseDPDF=Y")</f>
        <v>11.1214</v>
      </c>
      <c r="D211" s="13">
        <f>_xll.BDH("AMGN US Equity","ARDR_#_SHS_REPURCH_FR_REP_PROG","FQ1 2019","FQ1 2019","Currency=USD","Period=FQ","BEST_FPERIOD_OVERRIDE=FQ","FILING_STATUS=MR","Sort=A","Dates=H","DateFormat=P","Fill=—","Direction=H","UseDPDF=Y")</f>
        <v>15.855499999999999</v>
      </c>
      <c r="E211" s="13">
        <f>_xll.BDH("AMGN US Equity","ARDR_#_SHS_REPURCH_FR_REP_PROG","FQ2 2019","FQ2 2019","Currency=USD","Period=FQ","BEST_FPERIOD_OVERRIDE=FQ","FILING_STATUS=MR","Sort=A","Dates=H","DateFormat=P","Fill=—","Direction=H","UseDPDF=Y")</f>
        <v>13.0861</v>
      </c>
      <c r="F211" s="13">
        <f>_xll.BDH("AMGN US Equity","ARDR_#_SHS_REPURCH_FR_REP_PROG","FQ3 2019","FQ3 2019","Currency=USD","Period=FQ","BEST_FPERIOD_OVERRIDE=FQ","FILING_STATUS=MR","Sort=A","Dates=H","DateFormat=P","Fill=—","Direction=H","UseDPDF=Y")</f>
        <v>6.2333999999999996</v>
      </c>
      <c r="G211" s="13">
        <f>_xll.BDH("AMGN US Equity","ARDR_#_SHS_REPURCH_FR_REP_PROG","FQ4 2019","FQ4 2019","Currency=USD","Period=FQ","BEST_FPERIOD_OVERRIDE=FQ","FILING_STATUS=MR","Sort=A","Dates=H","DateFormat=P","Fill=—","Direction=H","UseDPDF=Y")</f>
        <v>5.0693999999999999</v>
      </c>
      <c r="H211" s="13">
        <f>_xll.BDH("AMGN US Equity","ARDR_#_SHS_REPURCH_FR_REP_PROG","FQ1 2020","FQ1 2020","Currency=USD","Period=FQ","BEST_FPERIOD_OVERRIDE=FQ","FILING_STATUS=MR","Sort=A","Dates=H","DateFormat=P","Fill=—","Direction=H","UseDPDF=Y")</f>
        <v>4.2535999999999996</v>
      </c>
      <c r="I211" s="13">
        <f>_xll.BDH("AMGN US Equity","ARDR_#_SHS_REPURCH_FR_REP_PROG","FQ2 2020","FQ2 2020","Currency=USD","Period=FQ","BEST_FPERIOD_OVERRIDE=FQ","FILING_STATUS=MR","Sort=A","Dates=H","DateFormat=P","Fill=—","Direction=H","UseDPDF=Y")</f>
        <v>2.5973000000000002</v>
      </c>
      <c r="J211" s="13">
        <f>_xll.BDH("AMGN US Equity","ARDR_#_SHS_REPURCH_FR_REP_PROG","FQ3 2020","FQ3 2020","Currency=USD","Period=FQ","BEST_FPERIOD_OVERRIDE=FQ","FILING_STATUS=MR","Sort=A","Dates=H","DateFormat=P","Fill=—","Direction=H","UseDPDF=Y")</f>
        <v>3.0348999999999999</v>
      </c>
      <c r="K211" s="13">
        <f>_xll.BDH("AMGN US Equity","ARDR_#_SHS_REPURCH_FR_REP_PROG","FQ4 2020","FQ4 2020","Currency=USD","Period=FQ","BEST_FPERIOD_OVERRIDE=FQ","FILING_STATUS=MR","Sort=A","Dates=H","DateFormat=P","Fill=—","Direction=H","UseDPDF=Y")</f>
        <v>5.3042999999999996</v>
      </c>
      <c r="L211" s="13">
        <f>_xll.BDH("AMGN US Equity","ARDR_#_SHS_REPURCH_FR_REP_PROG","FQ1 2021","FQ1 2021","Currency=USD","Period=FQ","BEST_FPERIOD_OVERRIDE=FQ","FILING_STATUS=MR","Sort=A","Dates=H","DateFormat=P","Fill=—","Direction=H","UseDPDF=Y")</f>
        <v>3.6532</v>
      </c>
      <c r="M211" s="13">
        <f>_xll.BDH("AMGN US Equity","ARDR_#_SHS_REPURCH_FR_REP_PROG","FQ2 2021","FQ2 2021","Currency=USD","Period=FQ","BEST_FPERIOD_OVERRIDE=FQ","FILING_STATUS=MR","Sort=A","Dates=H","DateFormat=P","Fill=—","Direction=H","UseDPDF=Y")</f>
        <v>6.5190000000000001</v>
      </c>
      <c r="N211" s="13">
        <f>_xll.BDH("AMGN US Equity","ARDR_#_SHS_REPURCH_FR_REP_PROG","FQ3 2021","FQ3 2021","Currency=USD","Period=FQ","BEST_FPERIOD_OVERRIDE=FQ","FILING_STATUS=MR","Sort=A","Dates=H","DateFormat=P","Fill=—","Direction=H","UseDPDF=Y")</f>
        <v>4.5999999999999996</v>
      </c>
      <c r="O211" s="13">
        <f>_xll.BDH("AMGN US Equity","ARDR_#_SHS_REPURCH_FR_REP_PROG","FQ4 2021","FQ4 2021","Currency=USD","Period=FQ","BEST_FPERIOD_OVERRIDE=FQ","FILING_STATUS=MR","Sort=A","Dates=H","DateFormat=P","Fill=—","Direction=H","UseDPDF=Y")</f>
        <v>6.9192</v>
      </c>
      <c r="P211" s="13">
        <f>_xll.BDH("AMGN US Equity","ARDR_#_SHS_REPURCH_FR_REP_PROG","FQ1 2022","FQ1 2022","Currency=USD","Period=FQ","BEST_FPERIOD_OVERRIDE=FQ","FILING_STATUS=MR","Sort=A","Dates=H","DateFormat=P","Fill=—","Direction=H","UseDPDF=Y")</f>
        <v>24.6</v>
      </c>
      <c r="Q211" s="13">
        <f>_xll.BDH("AMGN US Equity","ARDR_#_SHS_REPURCH_FR_REP_PROG","FQ2 2022","FQ2 2022","Currency=USD","Period=FQ","BEST_FPERIOD_OVERRIDE=FQ","FILING_STATUS=MR","Sort=A","Dates=H","DateFormat=P","Fill=—","Direction=H","UseDPDF=Y")</f>
        <v>0</v>
      </c>
      <c r="R211" s="13">
        <f>_xll.BDH("AMGN US Equity","ARDR_#_SHS_REPURCH_FR_REP_PROG","FQ3 2022","FQ3 2022","Currency=USD","Period=FQ","BEST_FPERIOD_OVERRIDE=FQ","FILING_STATUS=MR","Sort=A","Dates=H","DateFormat=P","Fill=—","Direction=H","UseDPDF=Y")</f>
        <v>1.5</v>
      </c>
      <c r="S211" s="13">
        <f>_xll.BDH("AMGN US Equity","ARDR_#_SHS_REPURCH_FR_REP_PROG","FQ4 2022","FQ4 2022","Currency=USD","Period=FQ","BEST_FPERIOD_OVERRIDE=FQ","FILING_STATUS=MR","Sort=A","Dates=H","DateFormat=P","Fill=—","Direction=H","UseDPDF=Y")</f>
        <v>26.1479</v>
      </c>
      <c r="T211" s="13" t="str">
        <f>_xll.BDH("AMGN US Equity","ARDR_#_SHS_REPURCH_FR_REP_PROG","FQ1 2023","FQ1 2023","Currency=USD","Period=FQ","BEST_FPERIOD_OVERRIDE=FQ","FILING_STATUS=MR","Sort=A","Dates=H","DateFormat=P","Fill=—","Direction=H","UseDPDF=Y")</f>
        <v>—</v>
      </c>
      <c r="U211" s="13">
        <f>_xll.BDH("AMGN US Equity","ARDR_#_SHS_REPURCH_FR_REP_PROG","FQ2 2023","FQ2 2023","Currency=USD","Period=FQ","BEST_FPERIOD_OVERRIDE=FQ","FILING_STATUS=MR","Sort=A","Dates=H","DateFormat=P","Fill=—","Direction=H","UseDPDF=Y")</f>
        <v>0</v>
      </c>
      <c r="V211" s="13">
        <f>_xll.BDH("AMGN US Equity","ARDR_#_SHS_REPURCH_FR_REP_PROG","FQ3 2023","FQ3 2023","Currency=USD","Period=FQ","BEST_FPERIOD_OVERRIDE=FQ","FILING_STATUS=MR","Sort=A","Dates=H","DateFormat=P","Fill=—","Direction=H","UseDPDF=Y")</f>
        <v>0</v>
      </c>
      <c r="W211" s="13">
        <f>_xll.BDH("AMGN US Equity","ARDR_#_SHS_REPURCH_FR_REP_PROG","FQ4 2023","FQ4 2023","Currency=USD","Period=FQ","BEST_FPERIOD_OVERRIDE=FQ","FILING_STATUS=MR","Sort=A","Dates=H","DateFormat=P","Fill=—","Direction=H","UseDPDF=Y")</f>
        <v>0</v>
      </c>
      <c r="X211" s="13" t="str">
        <f>_xll.BDH("AMGN US Equity","ARDR_#_SHS_REPURCH_FR_REP_PROG","FQ1 2024","FQ1 2024","Currency=USD","Period=FQ","BEST_FPERIOD_OVERRIDE=FQ","FILING_STATUS=MR","Sort=A","Dates=H","DateFormat=P","Fill=—","Direction=H","UseDPDF=Y")</f>
        <v>—</v>
      </c>
      <c r="Y211" s="13" t="str">
        <f>_xll.BDH("AMGN US Equity","ARDR_#_SHS_REPURCH_FR_REP_PROG","FQ2 2024","FQ2 2024","Currency=USD","Period=FQ","BEST_FPERIOD_OVERRIDE=FQ","FILING_STATUS=MR","Sort=A","Dates=H","DateFormat=P","Fill=—","Direction=H","UseDPDF=Y")</f>
        <v>—</v>
      </c>
      <c r="Z211" s="13">
        <f>_xll.BDH("AMGN US Equity","ARDR_#_SHS_REPURCH_FR_REP_PROG","FQ3 2024","FQ3 2024","Currency=USD","Period=FQ","BEST_FPERIOD_OVERRIDE=FQ","FILING_STATUS=MR","Sort=A","Dates=H","DateFormat=P","Fill=—","Direction=H","UseDPDF=Y")</f>
        <v>0</v>
      </c>
      <c r="AA211" s="13">
        <f>_xll.BDH("AMGN US Equity","ARDR_#_SHS_REPURCH_FR_REP_PROG","FQ4 2024","FQ4 2024","Currency=USD","Period=FQ","BEST_FPERIOD_OVERRIDE=FQ","FILING_STATUS=MR","Sort=A","Dates=H","DateFormat=P","Fill=—","Direction=H","UseDPDF=Y")</f>
        <v>0.71879999999999999</v>
      </c>
    </row>
    <row r="212" spans="1:27" x14ac:dyDescent="0.25">
      <c r="A212" s="7" t="s">
        <v>90</v>
      </c>
      <c r="B212" s="7"/>
      <c r="C212" s="7" t="s">
        <v>5</v>
      </c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97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1238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112</v>
      </c>
      <c r="B6" s="6" t="s">
        <v>113</v>
      </c>
      <c r="C6" s="19">
        <f>_xll.BDH("AMGN US Equity","BS_TOT_ASSET","FQ4 2018","FQ4 2018","Currency=USD","Period=FQ","BEST_FPERIOD_OVERRIDE=FQ","FILING_STATUS=MR","SCALING_FORMAT=MLN","Sort=A","Dates=H","DateFormat=P","Fill=—","Direction=H","UseDPDF=Y")</f>
        <v>66416</v>
      </c>
      <c r="D6" s="19">
        <f>_xll.BDH("AMGN US Equity","BS_TOT_ASSET","FQ1 2019","FQ1 2019","Currency=USD","Period=FQ","BEST_FPERIOD_OVERRIDE=FQ","FILING_STATUS=MR","SCALING_FORMAT=MLN","Sort=A","Dates=H","DateFormat=P","Fill=—","Direction=H","UseDPDF=Y")</f>
        <v>63997</v>
      </c>
      <c r="E6" s="19">
        <f>_xll.BDH("AMGN US Equity","BS_TOT_ASSET","FQ2 2019","FQ2 2019","Currency=USD","Period=FQ","BEST_FPERIOD_OVERRIDE=FQ","FILING_STATUS=MR","SCALING_FORMAT=MLN","Sort=A","Dates=H","DateFormat=P","Fill=—","Direction=H","UseDPDF=Y")</f>
        <v>59373</v>
      </c>
      <c r="F6" s="19">
        <f>_xll.BDH("AMGN US Equity","BS_TOT_ASSET","FQ3 2019","FQ3 2019","Currency=USD","Period=FQ","BEST_FPERIOD_OVERRIDE=FQ","FILING_STATUS=MR","SCALING_FORMAT=MLN","Sort=A","Dates=H","DateFormat=P","Fill=—","Direction=H","UseDPDF=Y")</f>
        <v>59535</v>
      </c>
      <c r="G6" s="19">
        <f>_xll.BDH("AMGN US Equity","BS_TOT_ASSET","FQ4 2019","FQ4 2019","Currency=USD","Period=FQ","BEST_FPERIOD_OVERRIDE=FQ","FILING_STATUS=MR","SCALING_FORMAT=MLN","Sort=A","Dates=H","DateFormat=P","Fill=—","Direction=H","UseDPDF=Y")</f>
        <v>59707</v>
      </c>
      <c r="H6" s="19">
        <f>_xll.BDH("AMGN US Equity","BS_TOT_ASSET","FQ1 2020","FQ1 2020","Currency=USD","Period=FQ","BEST_FPERIOD_OVERRIDE=FQ","FILING_STATUS=MR","SCALING_FORMAT=MLN","Sort=A","Dates=H","DateFormat=P","Fill=—","Direction=H","UseDPDF=Y")</f>
        <v>61669</v>
      </c>
      <c r="I6" s="19">
        <f>_xll.BDH("AMGN US Equity","BS_TOT_ASSET","FQ2 2020","FQ2 2020","Currency=USD","Period=FQ","BEST_FPERIOD_OVERRIDE=FQ","FILING_STATUS=MR","SCALING_FORMAT=MLN","Sort=A","Dates=H","DateFormat=P","Fill=—","Direction=H","UseDPDF=Y")</f>
        <v>65011</v>
      </c>
      <c r="J6" s="19">
        <f>_xll.BDH("AMGN US Equity","BS_TOT_ASSET","FQ3 2020","FQ3 2020","Currency=USD","Period=FQ","BEST_FPERIOD_OVERRIDE=FQ","FILING_STATUS=MR","SCALING_FORMAT=MLN","Sort=A","Dates=H","DateFormat=P","Fill=—","Direction=H","UseDPDF=Y")</f>
        <v>64637</v>
      </c>
      <c r="K6" s="19">
        <f>_xll.BDH("AMGN US Equity","BS_TOT_ASSET","FQ4 2020","FQ4 2020","Currency=USD","Period=FQ","BEST_FPERIOD_OVERRIDE=FQ","FILING_STATUS=MR","SCALING_FORMAT=MLN","Sort=A","Dates=H","DateFormat=P","Fill=—","Direction=H","UseDPDF=Y")</f>
        <v>62948</v>
      </c>
      <c r="L6" s="19">
        <f>_xll.BDH("AMGN US Equity","BS_TOT_ASSET","FQ1 2021","FQ1 2021","Currency=USD","Period=FQ","BEST_FPERIOD_OVERRIDE=FQ","FILING_STATUS=MR","SCALING_FORMAT=MLN","Sort=A","Dates=H","DateFormat=P","Fill=—","Direction=H","UseDPDF=Y")</f>
        <v>62539</v>
      </c>
      <c r="M6" s="19">
        <f>_xll.BDH("AMGN US Equity","BS_TOT_ASSET","FQ2 2021","FQ2 2021","Currency=USD","Period=FQ","BEST_FPERIOD_OVERRIDE=FQ","FILING_STATUS=MR","SCALING_FORMAT=MLN","Sort=A","Dates=H","DateFormat=P","Fill=—","Direction=H","UseDPDF=Y")</f>
        <v>59773</v>
      </c>
      <c r="N6" s="19">
        <f>_xll.BDH("AMGN US Equity","BS_TOT_ASSET","FQ3 2021","FQ3 2021","Currency=USD","Period=FQ","BEST_FPERIOD_OVERRIDE=FQ","FILING_STATUS=MR","SCALING_FORMAT=MLN","Sort=A","Dates=H","DateFormat=P","Fill=—","Direction=H","UseDPDF=Y")</f>
        <v>64993</v>
      </c>
      <c r="O6" s="19">
        <f>_xll.BDH("AMGN US Equity","BS_TOT_ASSET","FQ4 2021","FQ4 2021","Currency=USD","Period=FQ","BEST_FPERIOD_OVERRIDE=FQ","FILING_STATUS=MR","SCALING_FORMAT=MLN","Sort=A","Dates=H","DateFormat=P","Fill=—","Direction=H","UseDPDF=Y")</f>
        <v>61165</v>
      </c>
      <c r="P6" s="19">
        <f>_xll.BDH("AMGN US Equity","BS_TOT_ASSET","FQ1 2022","FQ1 2022","Currency=USD","Period=FQ","BEST_FPERIOD_OVERRIDE=FQ","FILING_STATUS=MR","SCALING_FORMAT=MLN","Sort=A","Dates=H","DateFormat=P","Fill=—","Direction=H","UseDPDF=Y")</f>
        <v>59196</v>
      </c>
      <c r="Q6" s="19">
        <f>_xll.BDH("AMGN US Equity","BS_TOT_ASSET","FQ2 2022","FQ2 2022","Currency=USD","Period=FQ","BEST_FPERIOD_OVERRIDE=FQ","FILING_STATUS=MR","SCALING_FORMAT=MLN","Sort=A","Dates=H","DateFormat=P","Fill=—","Direction=H","UseDPDF=Y")</f>
        <v>59294</v>
      </c>
      <c r="R6" s="19">
        <f>_xll.BDH("AMGN US Equity","BS_TOT_ASSET","FQ3 2022","FQ3 2022","Currency=USD","Period=FQ","BEST_FPERIOD_OVERRIDE=FQ","FILING_STATUS=MR","SCALING_FORMAT=MLN","Sort=A","Dates=H","DateFormat=P","Fill=—","Direction=H","UseDPDF=Y")</f>
        <v>63700</v>
      </c>
      <c r="S6" s="19">
        <f>_xll.BDH("AMGN US Equity","BS_TOT_ASSET","FQ4 2022","FQ4 2022","Currency=USD","Period=FQ","BEST_FPERIOD_OVERRIDE=FQ","FILING_STATUS=MR","SCALING_FORMAT=MLN","Sort=A","Dates=H","DateFormat=P","Fill=—","Direction=H","UseDPDF=Y")</f>
        <v>65121</v>
      </c>
      <c r="T6" s="19">
        <f>_xll.BDH("AMGN US Equity","BS_TOT_ASSET","FQ1 2023","FQ1 2023","Currency=USD","Period=FQ","BEST_FPERIOD_OVERRIDE=FQ","FILING_STATUS=MR","SCALING_FORMAT=MLN","Sort=A","Dates=H","DateFormat=P","Fill=—","Direction=H","UseDPDF=Y")</f>
        <v>88720</v>
      </c>
      <c r="U6" s="19">
        <f>_xll.BDH("AMGN US Equity","BS_TOT_ASSET","FQ2 2023","FQ2 2023","Currency=USD","Period=FQ","BEST_FPERIOD_OVERRIDE=FQ","FILING_STATUS=MR","SCALING_FORMAT=MLN","Sort=A","Dates=H","DateFormat=P","Fill=—","Direction=H","UseDPDF=Y")</f>
        <v>90269</v>
      </c>
      <c r="V6" s="19">
        <f>_xll.BDH("AMGN US Equity","BS_TOT_ASSET","FQ3 2023","FQ3 2023","Currency=USD","Period=FQ","BEST_FPERIOD_OVERRIDE=FQ","FILING_STATUS=MR","SCALING_FORMAT=MLN","Sort=A","Dates=H","DateFormat=P","Fill=—","Direction=H","UseDPDF=Y")</f>
        <v>90534</v>
      </c>
      <c r="W6" s="19">
        <f>_xll.BDH("AMGN US Equity","BS_TOT_ASSET","FQ4 2023","FQ4 2023","Currency=USD","Period=FQ","BEST_FPERIOD_OVERRIDE=FQ","FILING_STATUS=MR","SCALING_FORMAT=MLN","Sort=A","Dates=H","DateFormat=P","Fill=—","Direction=H","UseDPDF=Y")</f>
        <v>97154</v>
      </c>
      <c r="X6" s="19">
        <f>_xll.BDH("AMGN US Equity","BS_TOT_ASSET","FQ1 2024","FQ1 2024","Currency=USD","Period=FQ","BEST_FPERIOD_OVERRIDE=FQ","FILING_STATUS=MR","SCALING_FORMAT=MLN","Sort=A","Dates=H","DateFormat=P","Fill=—","Direction=H","UseDPDF=Y")</f>
        <v>92980</v>
      </c>
      <c r="Y6" s="19">
        <f>_xll.BDH("AMGN US Equity","BS_TOT_ASSET","FQ2 2024","FQ2 2024","Currency=USD","Period=FQ","BEST_FPERIOD_OVERRIDE=FQ","FILING_STATUS=MR","SCALING_FORMAT=MLN","Sort=A","Dates=H","DateFormat=P","Fill=—","Direction=H","UseDPDF=Y")</f>
        <v>90907</v>
      </c>
      <c r="Z6" s="19">
        <f>_xll.BDH("AMGN US Equity","BS_TOT_ASSET","FQ3 2024","FQ3 2024","Currency=USD","Period=FQ","BEST_FPERIOD_OVERRIDE=FQ","FILING_STATUS=MR","SCALING_FORMAT=MLN","Sort=A","Dates=H","DateFormat=P","Fill=—","Direction=H","UseDPDF=Y")</f>
        <v>90883</v>
      </c>
      <c r="AA6" s="19">
        <f>_xll.BDH("AMGN US Equity","BS_TOT_ASSET","FQ4 2024","FQ4 2024","Currency=USD","Period=FQ","BEST_FPERIOD_OVERRIDE=FQ","FILING_STATUS=MR","SCALING_FORMAT=MLN","Sort=A","Dates=H","DateFormat=P","Fill=—","Direction=H","UseDPDF=Y")</f>
        <v>91839</v>
      </c>
    </row>
    <row r="7" spans="1:27" x14ac:dyDescent="0.25">
      <c r="A7" s="6" t="s">
        <v>112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x14ac:dyDescent="0.25">
      <c r="A8" s="10" t="s">
        <v>703</v>
      </c>
      <c r="B8" s="10" t="s">
        <v>704</v>
      </c>
      <c r="C8" s="13">
        <v>44.121898337749897</v>
      </c>
      <c r="D8" s="13">
        <v>41.097238933074998</v>
      </c>
      <c r="E8" s="13">
        <v>36.6462870328264</v>
      </c>
      <c r="F8" s="13">
        <v>35.026455026454997</v>
      </c>
      <c r="G8" s="13">
        <v>14.9245482104276</v>
      </c>
      <c r="H8" s="13">
        <v>12.9919408454815</v>
      </c>
      <c r="I8" s="13">
        <v>17.5677962191014</v>
      </c>
      <c r="J8" s="13">
        <v>19.122174605875902</v>
      </c>
      <c r="K8" s="13">
        <v>16.913960729490999</v>
      </c>
      <c r="L8" s="13">
        <v>16.8950574841299</v>
      </c>
      <c r="M8" s="13">
        <v>13.521155036554999</v>
      </c>
      <c r="N8" s="13">
        <v>19.8806025264259</v>
      </c>
      <c r="O8" s="13">
        <v>13.139867571323499</v>
      </c>
      <c r="P8" s="13">
        <v>11.0548010000676</v>
      </c>
      <c r="Q8" s="13">
        <v>12.1142105440685</v>
      </c>
      <c r="R8" s="13">
        <v>18.018838304552599</v>
      </c>
      <c r="S8" s="13">
        <v>14.288785491623299</v>
      </c>
      <c r="T8" s="13">
        <v>35.573715058611398</v>
      </c>
      <c r="U8" s="13">
        <v>37.939935082918801</v>
      </c>
      <c r="V8" s="13">
        <v>38.373428767093003</v>
      </c>
      <c r="W8" s="13">
        <v>11.264590238178601</v>
      </c>
      <c r="X8" s="13">
        <v>10.440955044095499</v>
      </c>
      <c r="Y8" s="13">
        <v>10.2313353207124</v>
      </c>
      <c r="Z8" s="13">
        <v>9.9149455893841498</v>
      </c>
      <c r="AA8" s="13">
        <v>13.0369450886878</v>
      </c>
    </row>
    <row r="9" spans="1:27" x14ac:dyDescent="0.25">
      <c r="A9" s="10" t="s">
        <v>705</v>
      </c>
      <c r="B9" s="10" t="s">
        <v>706</v>
      </c>
      <c r="C9" s="13">
        <v>10.456817634305001</v>
      </c>
      <c r="D9" s="13">
        <v>11.4974139412785</v>
      </c>
      <c r="E9" s="13">
        <v>9.3055766088963008</v>
      </c>
      <c r="F9" s="13">
        <v>19.173595364071598</v>
      </c>
      <c r="G9" s="13">
        <v>10.111042256351899</v>
      </c>
      <c r="H9" s="13">
        <v>12.4649337592632</v>
      </c>
      <c r="I9" s="13">
        <v>14.066850225346499</v>
      </c>
      <c r="J9" s="13">
        <v>14.0585113789316</v>
      </c>
      <c r="K9" s="13">
        <v>9.9542479506894601</v>
      </c>
      <c r="L9" s="13">
        <v>9.7731015846112008</v>
      </c>
      <c r="M9" s="13">
        <v>11.0919645994011</v>
      </c>
      <c r="N9" s="13">
        <v>18.415829397012001</v>
      </c>
      <c r="O9" s="13">
        <v>13.0613913185645</v>
      </c>
      <c r="P9" s="13">
        <v>11.027772146766701</v>
      </c>
      <c r="Q9" s="13">
        <v>8.7749182042027893</v>
      </c>
      <c r="R9" s="13">
        <v>14.9167974882261</v>
      </c>
      <c r="S9" s="13">
        <v>11.715114939881101</v>
      </c>
      <c r="T9" s="13">
        <v>35.572587917042398</v>
      </c>
      <c r="U9" s="13">
        <v>37.939935082918801</v>
      </c>
      <c r="V9" s="13">
        <v>38.373428767093003</v>
      </c>
      <c r="W9" s="13">
        <v>11.264590238178601</v>
      </c>
      <c r="X9" s="13">
        <v>10.440955044095499</v>
      </c>
      <c r="Y9" s="13">
        <v>10.2313353207124</v>
      </c>
      <c r="Z9" s="13">
        <v>9.9149455893841498</v>
      </c>
      <c r="AA9" s="13">
        <v>13.0369450886878</v>
      </c>
    </row>
    <row r="10" spans="1:27" x14ac:dyDescent="0.25">
      <c r="A10" s="10" t="s">
        <v>707</v>
      </c>
      <c r="B10" s="10" t="s">
        <v>708</v>
      </c>
      <c r="C10" s="13">
        <v>33.665080703445</v>
      </c>
      <c r="D10" s="13">
        <v>29.599824991796499</v>
      </c>
      <c r="E10" s="13">
        <v>27.340710423930101</v>
      </c>
      <c r="F10" s="13">
        <v>15.8528596623835</v>
      </c>
      <c r="G10" s="13">
        <v>4.8135059540757403</v>
      </c>
      <c r="H10" s="13">
        <v>0.52700708621835901</v>
      </c>
      <c r="I10" s="13">
        <v>3.5009459937548999</v>
      </c>
      <c r="J10" s="13">
        <v>5.0636632269443203</v>
      </c>
      <c r="K10" s="13">
        <v>6.95971277880155</v>
      </c>
      <c r="L10" s="13">
        <v>7.1219558995187002</v>
      </c>
      <c r="M10" s="13">
        <v>2.4291904371538999</v>
      </c>
      <c r="N10" s="13">
        <v>1.4647731294139399</v>
      </c>
      <c r="O10" s="13">
        <v>7.8476252758930803E-2</v>
      </c>
      <c r="P10" s="13">
        <v>2.70288533008987E-2</v>
      </c>
      <c r="Q10" s="13">
        <v>3.3392923398657501</v>
      </c>
      <c r="R10" s="13">
        <v>3.1020408163265301</v>
      </c>
      <c r="S10" s="13">
        <v>2.5736705517421399</v>
      </c>
      <c r="T10" s="13">
        <v>1.1271415689810601E-3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</row>
    <row r="11" spans="1:27" x14ac:dyDescent="0.25">
      <c r="A11" s="10" t="s">
        <v>709</v>
      </c>
      <c r="B11" s="10" t="s">
        <v>710</v>
      </c>
      <c r="C11" s="13">
        <v>5.3902674054444697</v>
      </c>
      <c r="D11" s="13">
        <v>5.8924637092363703</v>
      </c>
      <c r="E11" s="13">
        <v>6.4018998534687501</v>
      </c>
      <c r="F11" s="13">
        <v>6.0569412950365296</v>
      </c>
      <c r="G11" s="13">
        <v>6.7948481752558303</v>
      </c>
      <c r="H11" s="13">
        <v>8.1223953688238808</v>
      </c>
      <c r="I11" s="13">
        <v>8.2539877866822504</v>
      </c>
      <c r="J11" s="13">
        <v>6.3338335628200602</v>
      </c>
      <c r="K11" s="13">
        <v>7.1884730253542601</v>
      </c>
      <c r="L11" s="13">
        <v>7.07238683061769</v>
      </c>
      <c r="M11" s="13">
        <v>7.4933498402288699</v>
      </c>
      <c r="N11" s="13">
        <v>7.3315587832535796</v>
      </c>
      <c r="O11" s="13">
        <v>8.0029428594784608</v>
      </c>
      <c r="P11" s="13">
        <v>8.5765930130414194</v>
      </c>
      <c r="Q11" s="13">
        <v>8.9840456032650895</v>
      </c>
      <c r="R11" s="13">
        <v>8.3610675039246498</v>
      </c>
      <c r="S11" s="13">
        <v>8.5425592358839708</v>
      </c>
      <c r="T11" s="13">
        <v>6.4652840396753799</v>
      </c>
      <c r="U11" s="13">
        <v>6.4584741162525301</v>
      </c>
      <c r="V11" s="13">
        <v>6.7875052466476697</v>
      </c>
      <c r="W11" s="13">
        <v>7.4809066018897799</v>
      </c>
      <c r="X11" s="13">
        <v>7.2875887287588696</v>
      </c>
      <c r="Y11" s="13">
        <v>7.6275754342349904</v>
      </c>
      <c r="Z11" s="13">
        <v>8.0510106400537005</v>
      </c>
      <c r="AA11" s="13">
        <v>7.3846622894412999</v>
      </c>
    </row>
    <row r="12" spans="1:27" x14ac:dyDescent="0.25">
      <c r="A12" s="10" t="s">
        <v>711</v>
      </c>
      <c r="B12" s="10" t="s">
        <v>712</v>
      </c>
      <c r="C12" s="13">
        <v>5.3902674054444697</v>
      </c>
      <c r="D12" s="13">
        <v>5.8924637092363703</v>
      </c>
      <c r="E12" s="13">
        <v>6.4018998534687501</v>
      </c>
      <c r="F12" s="13">
        <v>6.0569412950365296</v>
      </c>
      <c r="G12" s="13">
        <v>6.7948481752558303</v>
      </c>
      <c r="H12" s="13">
        <v>8.1223953688238808</v>
      </c>
      <c r="I12" s="13">
        <v>8.2539877866822504</v>
      </c>
      <c r="J12" s="13">
        <v>6.3338335628200602</v>
      </c>
      <c r="K12" s="13">
        <v>7.1884730253542601</v>
      </c>
      <c r="L12" s="13">
        <v>7.07238683061769</v>
      </c>
      <c r="M12" s="13">
        <v>7.4933498402288699</v>
      </c>
      <c r="N12" s="13">
        <v>7.3315587832535796</v>
      </c>
      <c r="O12" s="13">
        <v>8.0029428594784608</v>
      </c>
      <c r="P12" s="13">
        <v>8.5765930130414194</v>
      </c>
      <c r="Q12" s="13">
        <v>8.9840456032650895</v>
      </c>
      <c r="R12" s="13">
        <v>8.3610675039246498</v>
      </c>
      <c r="S12" s="13">
        <v>8.5425592358839708</v>
      </c>
      <c r="T12" s="13">
        <v>6.4652840396753799</v>
      </c>
      <c r="U12" s="13">
        <v>6.4584741162525301</v>
      </c>
      <c r="V12" s="13">
        <v>6.7875052466476697</v>
      </c>
      <c r="W12" s="13">
        <v>7.4809066018897799</v>
      </c>
      <c r="X12" s="13">
        <v>7.2875887287588696</v>
      </c>
      <c r="Y12" s="13">
        <v>7.6275754342349904</v>
      </c>
      <c r="Z12" s="13">
        <v>8.0510106400537005</v>
      </c>
      <c r="AA12" s="13">
        <v>7.3846622894412999</v>
      </c>
    </row>
    <row r="13" spans="1:27" x14ac:dyDescent="0.25">
      <c r="A13" s="10" t="s">
        <v>713</v>
      </c>
      <c r="B13" s="10" t="s">
        <v>714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</row>
    <row r="14" spans="1:27" x14ac:dyDescent="0.25">
      <c r="A14" s="10" t="s">
        <v>715</v>
      </c>
      <c r="B14" s="10" t="s">
        <v>716</v>
      </c>
      <c r="C14" s="13">
        <v>4.4266441821247904</v>
      </c>
      <c r="D14" s="13">
        <v>4.7127209087926003</v>
      </c>
      <c r="E14" s="13">
        <v>5.3492328162632798</v>
      </c>
      <c r="F14" s="13">
        <v>5.4472159234064002</v>
      </c>
      <c r="G14" s="13">
        <v>6.0026462558828904</v>
      </c>
      <c r="H14" s="13">
        <v>5.97058489678769</v>
      </c>
      <c r="I14" s="13">
        <v>5.9066927135407896</v>
      </c>
      <c r="J14" s="13">
        <v>6.0986741340099302</v>
      </c>
      <c r="K14" s="13">
        <v>6.1844697210395898</v>
      </c>
      <c r="L14" s="13">
        <v>6.42319192823678</v>
      </c>
      <c r="M14" s="13">
        <v>6.8843792347715498</v>
      </c>
      <c r="N14" s="13">
        <v>6.3883802871078403</v>
      </c>
      <c r="O14" s="13">
        <v>6.6802910161039799</v>
      </c>
      <c r="P14" s="13">
        <v>7.4515169943915103</v>
      </c>
      <c r="Q14" s="13">
        <v>7.6803723816912299</v>
      </c>
      <c r="R14" s="13">
        <v>7.46781789638933</v>
      </c>
      <c r="S14" s="13">
        <v>7.5705225656854198</v>
      </c>
      <c r="T14" s="13">
        <v>5.6481064021641103</v>
      </c>
      <c r="U14" s="13">
        <v>5.5146284992633099</v>
      </c>
      <c r="V14" s="13">
        <v>5.5515055117414498</v>
      </c>
      <c r="W14" s="13">
        <v>9.7968174238837307</v>
      </c>
      <c r="X14" s="13">
        <v>9.3826629382662894</v>
      </c>
      <c r="Y14" s="13">
        <v>8.7947022781523998</v>
      </c>
      <c r="Z14" s="13">
        <v>8.1005248506321301</v>
      </c>
      <c r="AA14" s="13">
        <v>7.6198564879844097</v>
      </c>
    </row>
    <row r="15" spans="1:27" x14ac:dyDescent="0.25">
      <c r="A15" s="10" t="s">
        <v>717</v>
      </c>
      <c r="B15" s="10" t="s">
        <v>718</v>
      </c>
      <c r="C15" s="13">
        <v>0.38695495061431001</v>
      </c>
      <c r="D15" s="13">
        <v>0.43127021579136499</v>
      </c>
      <c r="E15" s="13">
        <v>0.49517457430145001</v>
      </c>
      <c r="F15" s="13">
        <v>0.54421768707482998</v>
      </c>
      <c r="G15" s="13">
        <v>0.59959468739008803</v>
      </c>
      <c r="H15" s="13">
        <v>0.72321587831811796</v>
      </c>
      <c r="I15" s="13">
        <v>0.71218716832536</v>
      </c>
      <c r="J15" s="13">
        <v>0.76736234664356295</v>
      </c>
      <c r="K15" s="13">
        <v>0.77206583211539703</v>
      </c>
      <c r="L15" s="13">
        <v>0.96739634468091895</v>
      </c>
      <c r="M15" s="13">
        <v>1.0723905442256501</v>
      </c>
      <c r="N15" s="13">
        <v>1.0262643669318201</v>
      </c>
      <c r="O15" s="13">
        <v>1.05779449031309</v>
      </c>
      <c r="P15" s="13">
        <v>1.26697749847963</v>
      </c>
      <c r="Q15" s="13">
        <v>1.3137922892704199</v>
      </c>
      <c r="R15" s="13">
        <v>1.2574568288854</v>
      </c>
      <c r="S15" s="13">
        <v>1.27147924632607</v>
      </c>
      <c r="T15" s="13">
        <v>1.0178088367899001</v>
      </c>
      <c r="U15" s="13">
        <v>0.94716901704904199</v>
      </c>
      <c r="V15" s="13">
        <v>0.93776923586718797</v>
      </c>
      <c r="W15" s="13">
        <v>1.02208864277333</v>
      </c>
      <c r="X15" s="13">
        <v>0.99806409980640998</v>
      </c>
      <c r="Y15" s="13">
        <v>0.97242236571441099</v>
      </c>
      <c r="Z15" s="13">
        <v>0.86704884301794605</v>
      </c>
      <c r="AA15" s="13">
        <v>0.89068914077897199</v>
      </c>
    </row>
    <row r="16" spans="1:27" x14ac:dyDescent="0.25">
      <c r="A16" s="10" t="s">
        <v>719</v>
      </c>
      <c r="B16" s="10" t="s">
        <v>720</v>
      </c>
      <c r="C16" s="13">
        <v>2.49939773548543</v>
      </c>
      <c r="D16" s="13">
        <v>2.76575464474897</v>
      </c>
      <c r="E16" s="13">
        <v>3.0114698600373901</v>
      </c>
      <c r="F16" s="13">
        <v>3.2300327538422802</v>
      </c>
      <c r="G16" s="13">
        <v>3.7298809184852701</v>
      </c>
      <c r="H16" s="13">
        <v>3.5544601015096702</v>
      </c>
      <c r="I16" s="13">
        <v>3.6547661165033598</v>
      </c>
      <c r="J16" s="13">
        <v>3.94665594009623</v>
      </c>
      <c r="K16" s="13">
        <v>3.8714494503399601</v>
      </c>
      <c r="L16" s="13">
        <v>3.9383424742960398</v>
      </c>
      <c r="M16" s="13">
        <v>4.0871296404731199</v>
      </c>
      <c r="N16" s="13">
        <v>3.5588447986706302</v>
      </c>
      <c r="O16" s="13">
        <v>3.86986021417477</v>
      </c>
      <c r="P16" s="13">
        <v>4.3617812014325299</v>
      </c>
      <c r="Q16" s="13">
        <v>4.6598306742672104</v>
      </c>
      <c r="R16" s="13">
        <v>4.5981161695447401</v>
      </c>
      <c r="S16" s="13">
        <v>4.7572979530412596</v>
      </c>
      <c r="T16" s="13">
        <v>3.3566275924256099</v>
      </c>
      <c r="U16" s="13">
        <v>3.3765744607783401</v>
      </c>
      <c r="V16" s="13">
        <v>3.3048357523140499</v>
      </c>
      <c r="W16" s="13">
        <v>5.9153508862218702</v>
      </c>
      <c r="X16" s="13">
        <v>5.6678855667885601</v>
      </c>
      <c r="Y16" s="13">
        <v>4.9237132454046399</v>
      </c>
      <c r="Z16" s="13">
        <v>4.7742702155518604</v>
      </c>
      <c r="AA16" s="13">
        <v>4.4861115648036201</v>
      </c>
    </row>
    <row r="17" spans="1:27" x14ac:dyDescent="0.25">
      <c r="A17" s="10" t="s">
        <v>721</v>
      </c>
      <c r="B17" s="10" t="s">
        <v>722</v>
      </c>
      <c r="C17" s="13">
        <v>1.54029149602505</v>
      </c>
      <c r="D17" s="13">
        <v>1.5156960482522599</v>
      </c>
      <c r="E17" s="13">
        <v>1.84258838192444</v>
      </c>
      <c r="F17" s="13">
        <v>1.6729654824892899</v>
      </c>
      <c r="G17" s="13">
        <v>1.6731706500075401</v>
      </c>
      <c r="H17" s="13">
        <v>1.6929089169599001</v>
      </c>
      <c r="I17" s="13">
        <v>1.53973942871206</v>
      </c>
      <c r="J17" s="13">
        <v>1.38465584727014</v>
      </c>
      <c r="K17" s="13">
        <v>1.54095443858423</v>
      </c>
      <c r="L17" s="13">
        <v>1.51745310925982</v>
      </c>
      <c r="M17" s="13">
        <v>1.7248590500727801</v>
      </c>
      <c r="N17" s="13">
        <v>1.80327112150539</v>
      </c>
      <c r="O17" s="13">
        <v>1.7526363116161201</v>
      </c>
      <c r="P17" s="13">
        <v>1.8227582944793601</v>
      </c>
      <c r="Q17" s="13">
        <v>1.70674941815361</v>
      </c>
      <c r="R17" s="13">
        <v>1.6122448979591799</v>
      </c>
      <c r="S17" s="13">
        <v>1.54174536631808</v>
      </c>
      <c r="T17" s="13">
        <v>1.2736699729486001</v>
      </c>
      <c r="U17" s="13">
        <v>1.1908850214359299</v>
      </c>
      <c r="V17" s="13">
        <v>1.30890052356021</v>
      </c>
      <c r="W17" s="13">
        <v>2.8593778948885298</v>
      </c>
      <c r="X17" s="13">
        <v>2.7167132716713298</v>
      </c>
      <c r="Y17" s="13">
        <v>2.8985666670333399</v>
      </c>
      <c r="Z17" s="13">
        <v>2.45920579206232</v>
      </c>
      <c r="AA17" s="13">
        <v>2.24305578240181</v>
      </c>
    </row>
    <row r="18" spans="1:27" x14ac:dyDescent="0.25">
      <c r="A18" s="10" t="s">
        <v>723</v>
      </c>
      <c r="B18" s="10" t="s">
        <v>724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</row>
    <row r="19" spans="1:27" x14ac:dyDescent="0.25">
      <c r="A19" s="10" t="s">
        <v>725</v>
      </c>
      <c r="B19" s="10" t="s">
        <v>726</v>
      </c>
      <c r="C19" s="13">
        <v>2.7011563478679799</v>
      </c>
      <c r="D19" s="13">
        <v>3.2235886057158898</v>
      </c>
      <c r="E19" s="13">
        <v>3.3870614589122998</v>
      </c>
      <c r="F19" s="13">
        <v>5.6252624506592799</v>
      </c>
      <c r="G19" s="13">
        <v>3.1621082955097402</v>
      </c>
      <c r="H19" s="13">
        <v>3.4214921597561201</v>
      </c>
      <c r="I19" s="13">
        <v>3.4886403839350302</v>
      </c>
      <c r="J19" s="13">
        <v>3.50418490957192</v>
      </c>
      <c r="K19" s="13">
        <v>3.3027260596047499</v>
      </c>
      <c r="L19" s="13">
        <v>3.6665120964518101</v>
      </c>
      <c r="M19" s="13">
        <v>4.0536697170963496</v>
      </c>
      <c r="N19" s="13">
        <v>3.9111904358930998</v>
      </c>
      <c r="O19" s="13">
        <v>3.86986021417477</v>
      </c>
      <c r="P19" s="13">
        <v>4.2029866882897498</v>
      </c>
      <c r="Q19" s="13">
        <v>3.8081424764731699</v>
      </c>
      <c r="R19" s="13">
        <v>3.92621664050235</v>
      </c>
      <c r="S19" s="13">
        <v>3.6670198553461999</v>
      </c>
      <c r="T19" s="13">
        <v>2.6995040577096501</v>
      </c>
      <c r="U19" s="13">
        <v>2.5745272463414901</v>
      </c>
      <c r="V19" s="13">
        <v>2.83318974087083</v>
      </c>
      <c r="W19" s="13">
        <v>2.6782222039236698</v>
      </c>
      <c r="X19" s="13">
        <v>3.03398580339858</v>
      </c>
      <c r="Y19" s="13">
        <v>3.27367529453177</v>
      </c>
      <c r="Z19" s="13">
        <v>3.38457137198376</v>
      </c>
      <c r="AA19" s="13">
        <v>3.56820087326735</v>
      </c>
    </row>
    <row r="20" spans="1:27" x14ac:dyDescent="0.25">
      <c r="A20" s="10" t="s">
        <v>727</v>
      </c>
      <c r="B20" s="10" t="s">
        <v>728</v>
      </c>
      <c r="C20" s="13">
        <v>0.61430980486629705</v>
      </c>
      <c r="D20" s="13">
        <v>0.74222229166992204</v>
      </c>
      <c r="E20" s="13">
        <v>1.03245583009112</v>
      </c>
      <c r="F20" s="13">
        <v>1.18417737465357</v>
      </c>
      <c r="G20" s="13">
        <v>0.91949017703116898</v>
      </c>
      <c r="H20" s="13">
        <v>0.76861956574616097</v>
      </c>
      <c r="I20" s="13">
        <v>0.59066927135407898</v>
      </c>
      <c r="J20" s="13">
        <v>0.53220291783343898</v>
      </c>
      <c r="K20" s="13">
        <v>0.55442587532566601</v>
      </c>
      <c r="L20" s="13">
        <v>0.42373558899246899</v>
      </c>
      <c r="M20" s="13">
        <v>0.48349589279440602</v>
      </c>
      <c r="N20" s="13">
        <v>0.42312249011432002</v>
      </c>
      <c r="O20" s="13">
        <v>0.43325431210659698</v>
      </c>
      <c r="P20" s="13">
        <v>0.50679099939185102</v>
      </c>
      <c r="Q20" s="13">
        <v>0.74543798698013297</v>
      </c>
      <c r="R20" s="13">
        <v>1.01255886970173</v>
      </c>
      <c r="S20" s="13">
        <v>0.52364060748452901</v>
      </c>
      <c r="T20" s="13">
        <v>0.284039675383228</v>
      </c>
      <c r="U20" s="13">
        <v>0.27805780500504101</v>
      </c>
      <c r="V20" s="13">
        <v>0.38328141913535202</v>
      </c>
      <c r="W20" s="13">
        <v>0.14924758630627699</v>
      </c>
      <c r="X20" s="13">
        <v>0.241987524198752</v>
      </c>
      <c r="Y20" s="13">
        <v>0.29700683115711701</v>
      </c>
      <c r="Z20" s="13">
        <v>0.12323536855077399</v>
      </c>
      <c r="AA20" s="13">
        <v>0.45732205272269899</v>
      </c>
    </row>
    <row r="21" spans="1:27" x14ac:dyDescent="0.25">
      <c r="A21" s="10" t="s">
        <v>729</v>
      </c>
      <c r="B21" s="10" t="s">
        <v>730</v>
      </c>
      <c r="C21" s="13">
        <v>2.0868465430016898</v>
      </c>
      <c r="D21" s="13">
        <v>2.4813663140459701</v>
      </c>
      <c r="E21" s="13">
        <v>2.3546056288211799</v>
      </c>
      <c r="F21" s="13">
        <v>4.4410850760057103</v>
      </c>
      <c r="G21" s="13">
        <v>2.2426181184785698</v>
      </c>
      <c r="H21" s="13">
        <v>2.6528725940099598</v>
      </c>
      <c r="I21" s="13">
        <v>2.89797111258095</v>
      </c>
      <c r="J21" s="13">
        <v>2.9719819917384802</v>
      </c>
      <c r="K21" s="13">
        <v>2.7483001842790902</v>
      </c>
      <c r="L21" s="13">
        <v>3.2427765074593502</v>
      </c>
      <c r="M21" s="13">
        <v>3.5701738243019401</v>
      </c>
      <c r="N21" s="13">
        <v>3.4880679457787802</v>
      </c>
      <c r="O21" s="13">
        <v>3.4366059020681798</v>
      </c>
      <c r="P21" s="13">
        <v>3.6961956888979</v>
      </c>
      <c r="Q21" s="13">
        <v>3.0627044894930302</v>
      </c>
      <c r="R21" s="13">
        <v>2.9136577708006302</v>
      </c>
      <c r="S21" s="13">
        <v>3.1433792478616698</v>
      </c>
      <c r="T21" s="13">
        <v>2.4154643823264199</v>
      </c>
      <c r="U21" s="13">
        <v>2.2964694413364501</v>
      </c>
      <c r="V21" s="13">
        <v>2.4499083217354798</v>
      </c>
      <c r="W21" s="13">
        <v>2.52897461761739</v>
      </c>
      <c r="X21" s="13">
        <v>2.7919982791998299</v>
      </c>
      <c r="Y21" s="13">
        <v>2.9766684633746601</v>
      </c>
      <c r="Z21" s="13">
        <v>3.2613360034329899</v>
      </c>
      <c r="AA21" s="13">
        <v>3.11087882054465</v>
      </c>
    </row>
    <row r="22" spans="1:27" x14ac:dyDescent="0.25">
      <c r="A22" s="6" t="s">
        <v>110</v>
      </c>
      <c r="B22" s="6" t="s">
        <v>111</v>
      </c>
      <c r="C22" s="19">
        <v>56.639966273187198</v>
      </c>
      <c r="D22" s="19">
        <v>54.926012156819901</v>
      </c>
      <c r="E22" s="19">
        <v>51.784481161470701</v>
      </c>
      <c r="F22" s="19">
        <v>52.155874695557202</v>
      </c>
      <c r="G22" s="19">
        <v>30.8841509370761</v>
      </c>
      <c r="H22" s="19">
        <v>30.506413270849201</v>
      </c>
      <c r="I22" s="19">
        <v>35.217117103259397</v>
      </c>
      <c r="J22" s="19">
        <v>35.058867212277796</v>
      </c>
      <c r="K22" s="19">
        <v>33.5896295354896</v>
      </c>
      <c r="L22" s="19">
        <v>34.057148339436203</v>
      </c>
      <c r="M22" s="19">
        <v>31.952553828651698</v>
      </c>
      <c r="N22" s="19">
        <v>37.511732032680399</v>
      </c>
      <c r="O22" s="19">
        <v>31.692961661080702</v>
      </c>
      <c r="P22" s="19">
        <v>31.2858976957903</v>
      </c>
      <c r="Q22" s="19">
        <v>32.586771005498001</v>
      </c>
      <c r="R22" s="19">
        <v>37.773940345368899</v>
      </c>
      <c r="S22" s="19">
        <v>34.068887148538899</v>
      </c>
      <c r="T22" s="19">
        <v>50.386609558160501</v>
      </c>
      <c r="U22" s="19">
        <v>52.487564944776203</v>
      </c>
      <c r="V22" s="19">
        <v>53.545629266352996</v>
      </c>
      <c r="W22" s="19">
        <v>31.2205364678757</v>
      </c>
      <c r="X22" s="19">
        <v>30.145192514519302</v>
      </c>
      <c r="Y22" s="19">
        <v>29.927288327631501</v>
      </c>
      <c r="Z22" s="19">
        <v>29.451052452053698</v>
      </c>
      <c r="AA22" s="19">
        <v>31.6096647393809</v>
      </c>
    </row>
    <row r="23" spans="1:27" x14ac:dyDescent="0.25">
      <c r="A23" s="10" t="s">
        <v>731</v>
      </c>
      <c r="B23" s="10" t="s">
        <v>732</v>
      </c>
      <c r="C23" s="13">
        <v>7.4650686581546601</v>
      </c>
      <c r="D23" s="13">
        <v>8.2957013610012993</v>
      </c>
      <c r="E23" s="13">
        <v>8.9468276826166804</v>
      </c>
      <c r="F23" s="13">
        <v>8.9409590996892607</v>
      </c>
      <c r="G23" s="13">
        <v>9.0391411392299101</v>
      </c>
      <c r="H23" s="13">
        <v>7.9115925343365401</v>
      </c>
      <c r="I23" s="13">
        <v>7.44950854470782</v>
      </c>
      <c r="J23" s="13">
        <v>7.4508408496681504</v>
      </c>
      <c r="K23" s="13">
        <v>8.4148821249285106</v>
      </c>
      <c r="L23" s="13">
        <v>7.7631557907865503</v>
      </c>
      <c r="M23" s="13">
        <v>8.2077192043230198</v>
      </c>
      <c r="N23" s="13">
        <v>7.6654408936346998</v>
      </c>
      <c r="O23" s="13">
        <v>9.4008011117469099</v>
      </c>
      <c r="P23" s="13">
        <v>8.6863977295763206</v>
      </c>
      <c r="Q23" s="13">
        <v>8.6990251964785603</v>
      </c>
      <c r="R23" s="13">
        <v>8.1444270015698592</v>
      </c>
      <c r="S23" s="13">
        <v>9.2228313447275099</v>
      </c>
      <c r="T23" s="13">
        <v>6.15419296663661</v>
      </c>
      <c r="U23" s="13">
        <v>6.1283497103103004</v>
      </c>
      <c r="V23" s="13">
        <v>6.1446528376079703</v>
      </c>
      <c r="W23" s="13">
        <v>6.7851040615929303</v>
      </c>
      <c r="X23" s="13">
        <v>6.4551516455151603</v>
      </c>
      <c r="Y23" s="13">
        <v>6.7068542576479304</v>
      </c>
      <c r="Z23" s="13">
        <v>6.7735440071300497</v>
      </c>
      <c r="AA23" s="13">
        <v>7.7309204150742099</v>
      </c>
    </row>
    <row r="24" spans="1:27" x14ac:dyDescent="0.25">
      <c r="A24" s="10" t="s">
        <v>733</v>
      </c>
      <c r="B24" s="10" t="s">
        <v>734</v>
      </c>
      <c r="C24" s="13">
        <v>19.203204047217501</v>
      </c>
      <c r="D24" s="13">
        <v>20.640030001406299</v>
      </c>
      <c r="E24" s="13">
        <v>22.5893924847995</v>
      </c>
      <c r="F24" s="13">
        <v>22.7143696984967</v>
      </c>
      <c r="G24" s="13">
        <v>23.0358249451488</v>
      </c>
      <c r="H24" s="13">
        <v>21.6948547892782</v>
      </c>
      <c r="I24" s="13">
        <v>20.831859223823699</v>
      </c>
      <c r="J24" s="13">
        <v>21.065334096570101</v>
      </c>
      <c r="K24" s="13">
        <v>22.675859439537401</v>
      </c>
      <c r="L24" s="13">
        <v>22.3140760165657</v>
      </c>
      <c r="M24" s="13">
        <v>23.4319843407559</v>
      </c>
      <c r="N24" s="13">
        <v>21.820811472004699</v>
      </c>
      <c r="O24" s="13">
        <v>23.784844273685898</v>
      </c>
      <c r="P24" s="13">
        <v>23.7211973782012</v>
      </c>
      <c r="Q24" s="13">
        <v>23.877626741322899</v>
      </c>
      <c r="R24" s="13">
        <v>22.587127158555699</v>
      </c>
      <c r="S24" s="13">
        <v>23.477833571351798</v>
      </c>
      <c r="T24" s="13">
        <v>16.749323715058601</v>
      </c>
      <c r="U24" s="13">
        <v>16.652449899744099</v>
      </c>
      <c r="V24" s="13">
        <v>16.8588596549363</v>
      </c>
      <c r="W24" s="13">
        <v>16.880416658089199</v>
      </c>
      <c r="X24" s="13">
        <v>17.1026027102603</v>
      </c>
      <c r="Y24" s="13">
        <v>17.817109793525301</v>
      </c>
      <c r="Z24" s="13">
        <v>18.106796650638699</v>
      </c>
      <c r="AA24" s="13">
        <v>19.042019185749002</v>
      </c>
    </row>
    <row r="25" spans="1:27" x14ac:dyDescent="0.25">
      <c r="A25" s="10" t="s">
        <v>735</v>
      </c>
      <c r="B25" s="10" t="s">
        <v>736</v>
      </c>
      <c r="C25" s="13">
        <v>11.738135389062901</v>
      </c>
      <c r="D25" s="13">
        <v>12.344328640404999</v>
      </c>
      <c r="E25" s="13">
        <v>13.6425648021828</v>
      </c>
      <c r="F25" s="13">
        <v>13.7734105988074</v>
      </c>
      <c r="G25" s="13">
        <v>13.9966838059189</v>
      </c>
      <c r="H25" s="13">
        <v>13.7832622549417</v>
      </c>
      <c r="I25" s="13">
        <v>13.382350679115801</v>
      </c>
      <c r="J25" s="13">
        <v>13.614493246901899</v>
      </c>
      <c r="K25" s="13">
        <v>14.260977314608899</v>
      </c>
      <c r="L25" s="13">
        <v>14.5509202257791</v>
      </c>
      <c r="M25" s="13">
        <v>15.2242651364328</v>
      </c>
      <c r="N25" s="13">
        <v>14.15537057837</v>
      </c>
      <c r="O25" s="13">
        <v>14.384043161938999</v>
      </c>
      <c r="P25" s="13">
        <v>15.034799648624899</v>
      </c>
      <c r="Q25" s="13">
        <v>15.1786015448443</v>
      </c>
      <c r="R25" s="13">
        <v>14.4427001569859</v>
      </c>
      <c r="S25" s="13">
        <v>14.255002226624301</v>
      </c>
      <c r="T25" s="13">
        <v>10.595130748421999</v>
      </c>
      <c r="U25" s="13">
        <v>10.524100189433801</v>
      </c>
      <c r="V25" s="13">
        <v>10.7142068173283</v>
      </c>
      <c r="W25" s="13">
        <v>10.095312596496299</v>
      </c>
      <c r="X25" s="13">
        <v>10.6474510647451</v>
      </c>
      <c r="Y25" s="13">
        <v>11.1102555358773</v>
      </c>
      <c r="Z25" s="13">
        <v>11.3332526435087</v>
      </c>
      <c r="AA25" s="13">
        <v>11.3110987706748</v>
      </c>
    </row>
    <row r="26" spans="1:27" x14ac:dyDescent="0.25">
      <c r="A26" s="10" t="s">
        <v>737</v>
      </c>
      <c r="B26" s="10" t="s">
        <v>738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</row>
    <row r="27" spans="1:27" x14ac:dyDescent="0.25">
      <c r="A27" s="10" t="s">
        <v>739</v>
      </c>
      <c r="B27" s="10" t="s">
        <v>740</v>
      </c>
      <c r="C27" s="13">
        <v>35.894965068658202</v>
      </c>
      <c r="D27" s="13">
        <v>36.7782864821788</v>
      </c>
      <c r="E27" s="13">
        <v>39.268691155912599</v>
      </c>
      <c r="F27" s="13">
        <v>38.903166204753497</v>
      </c>
      <c r="G27" s="13">
        <v>60.076707923694002</v>
      </c>
      <c r="H27" s="13">
        <v>61.5819941948142</v>
      </c>
      <c r="I27" s="13">
        <v>57.333374352032699</v>
      </c>
      <c r="J27" s="13">
        <v>57.490291938054099</v>
      </c>
      <c r="K27" s="13">
        <v>57.995488339581897</v>
      </c>
      <c r="L27" s="13">
        <v>58.179695869777298</v>
      </c>
      <c r="M27" s="13">
        <v>59.8397269670252</v>
      </c>
      <c r="N27" s="13">
        <v>54.822827073684898</v>
      </c>
      <c r="O27" s="13">
        <v>58.906237227172397</v>
      </c>
      <c r="P27" s="13">
        <v>60.027704574633397</v>
      </c>
      <c r="Q27" s="13">
        <v>58.714203798023398</v>
      </c>
      <c r="R27" s="13">
        <v>54.081632653061199</v>
      </c>
      <c r="S27" s="13">
        <v>56.708281506733599</v>
      </c>
      <c r="T27" s="13">
        <v>43.459197475202899</v>
      </c>
      <c r="U27" s="13">
        <v>41.384085344913501</v>
      </c>
      <c r="V27" s="13">
        <v>40.309717896039103</v>
      </c>
      <c r="W27" s="13">
        <v>61.9943594705313</v>
      </c>
      <c r="X27" s="13">
        <v>63.399655839965597</v>
      </c>
      <c r="Y27" s="13">
        <v>63.365857414720502</v>
      </c>
      <c r="Z27" s="13">
        <v>63.7754035408162</v>
      </c>
      <c r="AA27" s="13">
        <v>60.659414845544902</v>
      </c>
    </row>
    <row r="28" spans="1:27" x14ac:dyDescent="0.25">
      <c r="A28" s="10" t="s">
        <v>741</v>
      </c>
      <c r="B28" s="10" t="s">
        <v>742</v>
      </c>
      <c r="C28" s="13">
        <v>33.3383522042881</v>
      </c>
      <c r="D28" s="13">
        <v>34.0890979264653</v>
      </c>
      <c r="E28" s="13">
        <v>36.215114614386998</v>
      </c>
      <c r="F28" s="13">
        <v>35.957000083984198</v>
      </c>
      <c r="G28" s="13">
        <v>57.139028924581702</v>
      </c>
      <c r="H28" s="13">
        <v>54.056333003616103</v>
      </c>
      <c r="I28" s="13">
        <v>50.185353247911898</v>
      </c>
      <c r="J28" s="13">
        <v>49.395856862168699</v>
      </c>
      <c r="K28" s="13">
        <v>49.685454660989997</v>
      </c>
      <c r="L28" s="13">
        <v>48.961448056412799</v>
      </c>
      <c r="M28" s="13">
        <v>50.163117126461799</v>
      </c>
      <c r="N28" s="13">
        <v>45.118705091317501</v>
      </c>
      <c r="O28" s="13">
        <v>49.165372353470097</v>
      </c>
      <c r="P28" s="13">
        <v>49.773633353605</v>
      </c>
      <c r="Q28" s="13">
        <v>48.558032853239801</v>
      </c>
      <c r="R28" s="13">
        <v>44.130298273155397</v>
      </c>
      <c r="S28" s="13">
        <v>48.538873788793197</v>
      </c>
      <c r="T28" s="13">
        <v>34.8557258791704</v>
      </c>
      <c r="U28" s="13">
        <v>33.415679801482199</v>
      </c>
      <c r="V28" s="13">
        <v>31.655510636887801</v>
      </c>
      <c r="W28" s="13">
        <v>52.771887930502103</v>
      </c>
      <c r="X28" s="13">
        <v>53.712626371262601</v>
      </c>
      <c r="Y28" s="13">
        <v>53.668034364790401</v>
      </c>
      <c r="Z28" s="13">
        <v>52.350824686685101</v>
      </c>
      <c r="AA28" s="13">
        <v>50.4535110356167</v>
      </c>
    </row>
    <row r="29" spans="1:27" x14ac:dyDescent="0.25">
      <c r="A29" s="11" t="s">
        <v>743</v>
      </c>
      <c r="B29" s="11" t="s">
        <v>744</v>
      </c>
      <c r="C29" s="25">
        <v>22.1317152493375</v>
      </c>
      <c r="D29" s="25">
        <v>22.957326124662099</v>
      </c>
      <c r="E29" s="25">
        <v>24.740201775217699</v>
      </c>
      <c r="F29" s="25">
        <v>24.6997564457882</v>
      </c>
      <c r="G29" s="25">
        <v>24.625253320381201</v>
      </c>
      <c r="H29" s="25">
        <v>23.8093693752128</v>
      </c>
      <c r="I29" s="25">
        <v>22.577717617018699</v>
      </c>
      <c r="J29" s="25">
        <v>22.702167489209</v>
      </c>
      <c r="K29" s="25">
        <v>23.3351337611997</v>
      </c>
      <c r="L29" s="25">
        <v>23.462159612401901</v>
      </c>
      <c r="M29" s="25">
        <v>24.5528917738778</v>
      </c>
      <c r="N29" s="25">
        <v>22.563968427369101</v>
      </c>
      <c r="O29" s="25">
        <v>24.343987574593299</v>
      </c>
      <c r="P29" s="25">
        <v>25.165551726467999</v>
      </c>
      <c r="Q29" s="25">
        <v>25.069990218234601</v>
      </c>
      <c r="R29" s="25">
        <v>23.304552590266901</v>
      </c>
      <c r="S29" s="25">
        <v>23.8463782804318</v>
      </c>
      <c r="T29" s="25">
        <v>17.505635707844899</v>
      </c>
      <c r="U29" s="25">
        <v>17.205242109694399</v>
      </c>
      <c r="V29" s="25">
        <v>17.130580776282901</v>
      </c>
      <c r="W29" s="25">
        <v>19.174712312411199</v>
      </c>
      <c r="X29" s="25">
        <v>19.972036997203698</v>
      </c>
      <c r="Y29" s="25">
        <v>20.478070995632901</v>
      </c>
      <c r="Z29" s="25">
        <v>20.529692021610199</v>
      </c>
      <c r="AA29" s="25">
        <v>20.2931216585546</v>
      </c>
    </row>
    <row r="30" spans="1:27" x14ac:dyDescent="0.25">
      <c r="A30" s="11" t="s">
        <v>745</v>
      </c>
      <c r="B30" s="11" t="s">
        <v>746</v>
      </c>
      <c r="C30" s="25">
        <v>11.2066369549506</v>
      </c>
      <c r="D30" s="25">
        <v>11.1317718018032</v>
      </c>
      <c r="E30" s="25">
        <v>11.474912839169299</v>
      </c>
      <c r="F30" s="25">
        <v>11.257243638196</v>
      </c>
      <c r="G30" s="25">
        <v>32.513775604200497</v>
      </c>
      <c r="H30" s="25">
        <v>30.2469636284033</v>
      </c>
      <c r="I30" s="25">
        <v>27.607635630893199</v>
      </c>
      <c r="J30" s="25">
        <v>26.693689372959799</v>
      </c>
      <c r="K30" s="25">
        <v>26.350320899790301</v>
      </c>
      <c r="L30" s="25">
        <v>25.499288444010901</v>
      </c>
      <c r="M30" s="25">
        <v>25.6102253525839</v>
      </c>
      <c r="N30" s="25">
        <v>22.5547366639484</v>
      </c>
      <c r="O30" s="25">
        <v>24.821384778876801</v>
      </c>
      <c r="P30" s="25">
        <v>24.608081627137</v>
      </c>
      <c r="Q30" s="25">
        <v>23.488042635005201</v>
      </c>
      <c r="R30" s="25">
        <v>20.825745682888499</v>
      </c>
      <c r="S30" s="25">
        <v>24.6924955083614</v>
      </c>
      <c r="T30" s="25">
        <v>17.350090171325501</v>
      </c>
      <c r="U30" s="25">
        <v>16.210437691787899</v>
      </c>
      <c r="V30" s="25">
        <v>14.5249298606049</v>
      </c>
      <c r="W30" s="25">
        <v>33.597175618090901</v>
      </c>
      <c r="X30" s="25">
        <v>33.740589374058899</v>
      </c>
      <c r="Y30" s="25">
        <v>33.189963369157503</v>
      </c>
      <c r="Z30" s="25">
        <v>31.821132665074899</v>
      </c>
      <c r="AA30" s="25">
        <v>30.160389377062</v>
      </c>
    </row>
    <row r="31" spans="1:27" x14ac:dyDescent="0.25">
      <c r="A31" s="10" t="s">
        <v>727</v>
      </c>
      <c r="B31" s="10" t="s">
        <v>747</v>
      </c>
      <c r="C31" s="13">
        <v>0</v>
      </c>
      <c r="D31" s="13" t="s">
        <v>148</v>
      </c>
      <c r="E31" s="13" t="s">
        <v>148</v>
      </c>
      <c r="F31" s="13" t="s">
        <v>148</v>
      </c>
      <c r="G31" s="13" t="s">
        <v>148</v>
      </c>
      <c r="H31" s="13" t="s">
        <v>148</v>
      </c>
      <c r="I31" s="13" t="s">
        <v>148</v>
      </c>
      <c r="J31" s="13" t="s">
        <v>148</v>
      </c>
      <c r="K31" s="13">
        <v>0</v>
      </c>
      <c r="L31" s="13" t="s">
        <v>148</v>
      </c>
      <c r="M31" s="13" t="s">
        <v>148</v>
      </c>
      <c r="N31" s="13" t="s">
        <v>148</v>
      </c>
      <c r="O31" s="13">
        <v>0</v>
      </c>
      <c r="P31" s="13">
        <v>0</v>
      </c>
      <c r="Q31" s="13" t="s">
        <v>148</v>
      </c>
      <c r="R31" s="13" t="s">
        <v>148</v>
      </c>
      <c r="S31" s="13">
        <v>0</v>
      </c>
      <c r="T31" s="13" t="s">
        <v>148</v>
      </c>
      <c r="U31" s="13" t="s">
        <v>148</v>
      </c>
      <c r="V31" s="13" t="s">
        <v>148</v>
      </c>
      <c r="W31" s="13">
        <v>0</v>
      </c>
      <c r="X31" s="13" t="s">
        <v>148</v>
      </c>
      <c r="Y31" s="13" t="s">
        <v>148</v>
      </c>
      <c r="Z31" s="13" t="s">
        <v>148</v>
      </c>
      <c r="AA31" s="13">
        <v>0</v>
      </c>
    </row>
    <row r="32" spans="1:27" x14ac:dyDescent="0.25">
      <c r="A32" s="10" t="s">
        <v>748</v>
      </c>
      <c r="B32" s="10" t="s">
        <v>749</v>
      </c>
      <c r="C32" s="13" t="s">
        <v>148</v>
      </c>
      <c r="D32" s="13" t="s">
        <v>148</v>
      </c>
      <c r="E32" s="13" t="s">
        <v>148</v>
      </c>
      <c r="F32" s="13" t="s">
        <v>148</v>
      </c>
      <c r="G32" s="13" t="s">
        <v>148</v>
      </c>
      <c r="H32" s="13" t="s">
        <v>148</v>
      </c>
      <c r="I32" s="13" t="s">
        <v>148</v>
      </c>
      <c r="J32" s="13" t="s">
        <v>148</v>
      </c>
      <c r="K32" s="13">
        <v>0.78795196034822401</v>
      </c>
      <c r="L32" s="13" t="s">
        <v>148</v>
      </c>
      <c r="M32" s="13" t="s">
        <v>148</v>
      </c>
      <c r="N32" s="13" t="s">
        <v>148</v>
      </c>
      <c r="O32" s="13" t="s">
        <v>148</v>
      </c>
      <c r="P32" s="13" t="s">
        <v>148</v>
      </c>
      <c r="Q32" s="13" t="s">
        <v>148</v>
      </c>
      <c r="R32" s="13" t="s">
        <v>148</v>
      </c>
      <c r="S32" s="13">
        <v>0.38236513567052099</v>
      </c>
      <c r="T32" s="13" t="s">
        <v>148</v>
      </c>
      <c r="U32" s="13" t="s">
        <v>148</v>
      </c>
      <c r="V32" s="13" t="s">
        <v>148</v>
      </c>
      <c r="W32" s="13">
        <v>0.25835271836465801</v>
      </c>
      <c r="X32" s="13" t="s">
        <v>148</v>
      </c>
      <c r="Y32" s="13" t="s">
        <v>148</v>
      </c>
      <c r="Z32" s="13" t="s">
        <v>148</v>
      </c>
      <c r="AA32" s="13">
        <v>0.28528185193654099</v>
      </c>
    </row>
    <row r="33" spans="1:27" x14ac:dyDescent="0.25">
      <c r="A33" s="10" t="s">
        <v>750</v>
      </c>
      <c r="B33" s="10" t="s">
        <v>751</v>
      </c>
      <c r="C33" s="13">
        <v>2.5566128643700301</v>
      </c>
      <c r="D33" s="13">
        <v>2.68918855571355</v>
      </c>
      <c r="E33" s="13">
        <v>3.0535765415256102</v>
      </c>
      <c r="F33" s="13">
        <v>2.9461661207693002</v>
      </c>
      <c r="G33" s="13">
        <v>2.9376789991123302</v>
      </c>
      <c r="H33" s="13">
        <v>7.5256611911981697</v>
      </c>
      <c r="I33" s="13">
        <v>7.1480211041208399</v>
      </c>
      <c r="J33" s="13">
        <v>8.0944350758853307</v>
      </c>
      <c r="K33" s="13">
        <v>7.5220817182436299</v>
      </c>
      <c r="L33" s="13">
        <v>9.2182478133644601</v>
      </c>
      <c r="M33" s="13">
        <v>9.6766098405634704</v>
      </c>
      <c r="N33" s="13">
        <v>9.7041219823673295</v>
      </c>
      <c r="O33" s="13">
        <v>9.7408648737022805</v>
      </c>
      <c r="P33" s="13">
        <v>10.254071221028401</v>
      </c>
      <c r="Q33" s="13">
        <v>10.1561709447836</v>
      </c>
      <c r="R33" s="13">
        <v>9.9513343799058092</v>
      </c>
      <c r="S33" s="13">
        <v>7.7870425822699296</v>
      </c>
      <c r="T33" s="13">
        <v>8.6034715960324597</v>
      </c>
      <c r="U33" s="13">
        <v>7.9684055434312997</v>
      </c>
      <c r="V33" s="13">
        <v>8.65420725915126</v>
      </c>
      <c r="W33" s="13">
        <v>8.9641188216645702</v>
      </c>
      <c r="X33" s="13">
        <v>9.6870294687029492</v>
      </c>
      <c r="Y33" s="13">
        <v>9.6978230499301503</v>
      </c>
      <c r="Z33" s="13">
        <v>11.4245788541311</v>
      </c>
      <c r="AA33" s="13">
        <v>9.9206219579917008</v>
      </c>
    </row>
    <row r="34" spans="1:27" x14ac:dyDescent="0.25">
      <c r="A34" s="6" t="s">
        <v>752</v>
      </c>
      <c r="B34" s="6" t="s">
        <v>753</v>
      </c>
      <c r="C34" s="19">
        <v>43.360033726812802</v>
      </c>
      <c r="D34" s="19">
        <v>45.073987843180099</v>
      </c>
      <c r="E34" s="19">
        <v>48.215518838529299</v>
      </c>
      <c r="F34" s="19">
        <v>47.844125304442798</v>
      </c>
      <c r="G34" s="19">
        <v>69.115849062923999</v>
      </c>
      <c r="H34" s="19">
        <v>69.493586729150806</v>
      </c>
      <c r="I34" s="19">
        <v>64.782882896740603</v>
      </c>
      <c r="J34" s="19">
        <v>64.941132787722196</v>
      </c>
      <c r="K34" s="19">
        <v>66.410370464510393</v>
      </c>
      <c r="L34" s="19">
        <v>65.942851660563804</v>
      </c>
      <c r="M34" s="19">
        <v>68.047446171348298</v>
      </c>
      <c r="N34" s="19">
        <v>62.488267967319601</v>
      </c>
      <c r="O34" s="19">
        <v>68.307038338919298</v>
      </c>
      <c r="P34" s="19">
        <v>68.714102304209703</v>
      </c>
      <c r="Q34" s="19">
        <v>67.413228994502006</v>
      </c>
      <c r="R34" s="19">
        <v>62.226059654631101</v>
      </c>
      <c r="S34" s="19">
        <v>65.931112851461094</v>
      </c>
      <c r="T34" s="19">
        <v>49.613390441839499</v>
      </c>
      <c r="U34" s="19">
        <v>47.512435055223797</v>
      </c>
      <c r="V34" s="19">
        <v>46.454370733647004</v>
      </c>
      <c r="W34" s="19">
        <v>68.779463532124296</v>
      </c>
      <c r="X34" s="19">
        <v>69.854807485480706</v>
      </c>
      <c r="Y34" s="19">
        <v>70.072711672368499</v>
      </c>
      <c r="Z34" s="19">
        <v>70.548947547946298</v>
      </c>
      <c r="AA34" s="19">
        <v>68.390335260619096</v>
      </c>
    </row>
    <row r="35" spans="1:27" x14ac:dyDescent="0.25">
      <c r="A35" s="6" t="s">
        <v>112</v>
      </c>
      <c r="B35" s="6" t="s">
        <v>113</v>
      </c>
      <c r="C35" s="19">
        <v>100</v>
      </c>
      <c r="D35" s="19">
        <v>100</v>
      </c>
      <c r="E35" s="19">
        <v>100</v>
      </c>
      <c r="F35" s="19">
        <v>100</v>
      </c>
      <c r="G35" s="19">
        <v>100</v>
      </c>
      <c r="H35" s="19">
        <v>100</v>
      </c>
      <c r="I35" s="19">
        <v>100</v>
      </c>
      <c r="J35" s="19">
        <v>100</v>
      </c>
      <c r="K35" s="19">
        <v>100</v>
      </c>
      <c r="L35" s="19">
        <v>100</v>
      </c>
      <c r="M35" s="19">
        <v>100</v>
      </c>
      <c r="N35" s="19">
        <v>100</v>
      </c>
      <c r="O35" s="19">
        <v>100</v>
      </c>
      <c r="P35" s="19">
        <v>100</v>
      </c>
      <c r="Q35" s="19">
        <v>100</v>
      </c>
      <c r="R35" s="19">
        <v>100</v>
      </c>
      <c r="S35" s="19">
        <v>100</v>
      </c>
      <c r="T35" s="19">
        <v>100</v>
      </c>
      <c r="U35" s="19">
        <v>100</v>
      </c>
      <c r="V35" s="19">
        <v>100</v>
      </c>
      <c r="W35" s="19">
        <v>100</v>
      </c>
      <c r="X35" s="19">
        <v>100</v>
      </c>
      <c r="Y35" s="19">
        <v>100</v>
      </c>
      <c r="Z35" s="19">
        <v>100</v>
      </c>
      <c r="AA35" s="19">
        <v>100</v>
      </c>
    </row>
    <row r="36" spans="1:27" x14ac:dyDescent="0.25">
      <c r="A36" s="6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x14ac:dyDescent="0.25">
      <c r="A37" s="6" t="s">
        <v>754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x14ac:dyDescent="0.25">
      <c r="A38" s="10" t="s">
        <v>755</v>
      </c>
      <c r="B38" s="10" t="s">
        <v>756</v>
      </c>
      <c r="C38" s="13">
        <v>13.6548422066972</v>
      </c>
      <c r="D38" s="13">
        <v>13.689704204884601</v>
      </c>
      <c r="E38" s="13">
        <v>12.696006602327699</v>
      </c>
      <c r="F38" s="13">
        <v>14.139581758629401</v>
      </c>
      <c r="G38" s="13">
        <v>9.8179442946388207</v>
      </c>
      <c r="H38" s="13">
        <v>16.1945223694239</v>
      </c>
      <c r="I38" s="13">
        <v>16.0465152051191</v>
      </c>
      <c r="J38" s="13">
        <v>15.2575150455621</v>
      </c>
      <c r="K38" s="13">
        <v>10.4975535362521</v>
      </c>
      <c r="L38" s="13">
        <v>18.089512144421899</v>
      </c>
      <c r="M38" s="13">
        <v>17.166613688454699</v>
      </c>
      <c r="N38" s="13">
        <v>16.238671856969201</v>
      </c>
      <c r="O38" s="13">
        <v>11.081500858334</v>
      </c>
      <c r="P38" s="13">
        <v>20.342590715588901</v>
      </c>
      <c r="Q38" s="13">
        <v>19.902519647856401</v>
      </c>
      <c r="R38" s="13">
        <v>20.075353218210399</v>
      </c>
      <c r="S38" s="13">
        <v>12.2141859000937</v>
      </c>
      <c r="T38" s="13">
        <v>15.082281334535599</v>
      </c>
      <c r="U38" s="13">
        <v>16.539454297710201</v>
      </c>
      <c r="V38" s="13">
        <v>17.149358252148399</v>
      </c>
      <c r="W38" s="13">
        <v>9.8390184655289499</v>
      </c>
      <c r="X38" s="13">
        <v>16.944504194450399</v>
      </c>
      <c r="Y38" s="13">
        <v>17.588304531004201</v>
      </c>
      <c r="Z38" s="13">
        <v>18.450095177315902</v>
      </c>
      <c r="AA38" s="13">
        <v>12.017770228334401</v>
      </c>
    </row>
    <row r="39" spans="1:27" x14ac:dyDescent="0.25">
      <c r="A39" s="10" t="s">
        <v>757</v>
      </c>
      <c r="B39" s="10" t="s">
        <v>758</v>
      </c>
      <c r="C39" s="13">
        <v>1.8173331727294599</v>
      </c>
      <c r="D39" s="13">
        <v>1.70476741097239</v>
      </c>
      <c r="E39" s="13">
        <v>1.6859515267882701</v>
      </c>
      <c r="F39" s="13">
        <v>1.68808264046359</v>
      </c>
      <c r="G39" s="13">
        <v>2.2962131743346701</v>
      </c>
      <c r="H39" s="13">
        <v>2.1696476349543499</v>
      </c>
      <c r="I39" s="13">
        <v>1.7689314116072701</v>
      </c>
      <c r="J39" s="13">
        <v>1.7961848476878599</v>
      </c>
      <c r="K39" s="13">
        <v>2.25741882188473</v>
      </c>
      <c r="L39" s="13">
        <v>2.23220710276787</v>
      </c>
      <c r="M39" s="13">
        <v>2.13641610760711</v>
      </c>
      <c r="N39" s="13">
        <v>1.8017324942686099</v>
      </c>
      <c r="O39" s="13">
        <v>2.23330335976457</v>
      </c>
      <c r="P39" s="13">
        <v>2.3700925738225598</v>
      </c>
      <c r="Q39" s="13">
        <v>2.1182581711471702</v>
      </c>
      <c r="R39" s="13">
        <v>1.8901098901098901</v>
      </c>
      <c r="S39" s="13">
        <v>2.4139678444741302</v>
      </c>
      <c r="T39" s="13">
        <v>1.487826871055</v>
      </c>
      <c r="U39" s="13">
        <v>1.34265362416777</v>
      </c>
      <c r="V39" s="13">
        <v>1.4999889544259599</v>
      </c>
      <c r="W39" s="13">
        <v>1.63657698087572</v>
      </c>
      <c r="X39" s="13">
        <v>1.7509141750914201</v>
      </c>
      <c r="Y39" s="13">
        <v>2.4937573564191999</v>
      </c>
      <c r="Z39" s="13">
        <v>2.36237800248671</v>
      </c>
      <c r="AA39" s="13">
        <v>2.07754875379741</v>
      </c>
    </row>
    <row r="40" spans="1:27" x14ac:dyDescent="0.25">
      <c r="A40" s="10" t="s">
        <v>759</v>
      </c>
      <c r="B40" s="10" t="s">
        <v>760</v>
      </c>
      <c r="C40" s="13">
        <v>1.3761744158034199</v>
      </c>
      <c r="D40" s="13" t="s">
        <v>148</v>
      </c>
      <c r="E40" s="13" t="s">
        <v>148</v>
      </c>
      <c r="F40" s="13" t="s">
        <v>148</v>
      </c>
      <c r="G40" s="13">
        <v>1.5844038387458801</v>
      </c>
      <c r="H40" s="13" t="s">
        <v>148</v>
      </c>
      <c r="I40" s="13" t="s">
        <v>148</v>
      </c>
      <c r="J40" s="13" t="s">
        <v>148</v>
      </c>
      <c r="K40" s="13">
        <v>1.6172078541018</v>
      </c>
      <c r="L40" s="13" t="s">
        <v>148</v>
      </c>
      <c r="M40" s="13" t="s">
        <v>148</v>
      </c>
      <c r="N40" s="13" t="s">
        <v>148</v>
      </c>
      <c r="O40" s="13">
        <v>1.77062045287338</v>
      </c>
      <c r="P40" s="13" t="s">
        <v>148</v>
      </c>
      <c r="Q40" s="13" t="s">
        <v>148</v>
      </c>
      <c r="R40" s="13" t="s">
        <v>148</v>
      </c>
      <c r="S40" s="13">
        <v>1.7459805592666</v>
      </c>
      <c r="T40" s="13" t="s">
        <v>148</v>
      </c>
      <c r="U40" s="13" t="s">
        <v>148</v>
      </c>
      <c r="V40" s="13" t="s">
        <v>148</v>
      </c>
      <c r="W40" s="13">
        <v>1.24029890689009</v>
      </c>
      <c r="X40" s="13" t="s">
        <v>148</v>
      </c>
      <c r="Y40" s="13" t="s">
        <v>148</v>
      </c>
      <c r="Z40" s="13" t="s">
        <v>148</v>
      </c>
      <c r="AA40" s="13">
        <v>1.39156567471336</v>
      </c>
    </row>
    <row r="41" spans="1:27" x14ac:dyDescent="0.25">
      <c r="A41" s="10" t="s">
        <v>761</v>
      </c>
      <c r="B41" s="10" t="s">
        <v>762</v>
      </c>
      <c r="C41" s="13">
        <v>10.461334618164299</v>
      </c>
      <c r="D41" s="13">
        <v>11.984936793912199</v>
      </c>
      <c r="E41" s="13">
        <v>11.0100550755394</v>
      </c>
      <c r="F41" s="13">
        <v>12.451499118165801</v>
      </c>
      <c r="G41" s="13">
        <v>5.9373272815582796</v>
      </c>
      <c r="H41" s="13">
        <v>14.024874734469501</v>
      </c>
      <c r="I41" s="13">
        <v>14.2775837935119</v>
      </c>
      <c r="J41" s="13">
        <v>13.4613301978743</v>
      </c>
      <c r="K41" s="13">
        <v>6.6229268602656202</v>
      </c>
      <c r="L41" s="13">
        <v>15.857305041654</v>
      </c>
      <c r="M41" s="13">
        <v>15.030197580847499</v>
      </c>
      <c r="N41" s="13">
        <v>14.436939362700601</v>
      </c>
      <c r="O41" s="13">
        <v>7.0775770456960698</v>
      </c>
      <c r="P41" s="13">
        <v>17.972498141766302</v>
      </c>
      <c r="Q41" s="13">
        <v>17.7842614767093</v>
      </c>
      <c r="R41" s="13">
        <v>18.185243328100501</v>
      </c>
      <c r="S41" s="13">
        <v>8.0542374963529397</v>
      </c>
      <c r="T41" s="13">
        <v>13.5944544634806</v>
      </c>
      <c r="U41" s="13">
        <v>15.1968006735424</v>
      </c>
      <c r="V41" s="13">
        <v>15.6493692977224</v>
      </c>
      <c r="W41" s="13">
        <v>6.9621425777631396</v>
      </c>
      <c r="X41" s="13">
        <v>15.193590019359</v>
      </c>
      <c r="Y41" s="13">
        <v>15.094547174584999</v>
      </c>
      <c r="Z41" s="13">
        <v>16.087717174829201</v>
      </c>
      <c r="AA41" s="13">
        <v>8.5486557998235995</v>
      </c>
    </row>
    <row r="42" spans="1:27" x14ac:dyDescent="0.25">
      <c r="A42" s="10" t="s">
        <v>763</v>
      </c>
      <c r="B42" s="10" t="s">
        <v>764</v>
      </c>
      <c r="C42" s="13">
        <v>6.6535172247651202</v>
      </c>
      <c r="D42" s="13">
        <v>5.9768426644999</v>
      </c>
      <c r="E42" s="13">
        <v>4.9685884156097897</v>
      </c>
      <c r="F42" s="13">
        <v>3.6684303350969998</v>
      </c>
      <c r="G42" s="13">
        <v>5.1802971175909001</v>
      </c>
      <c r="H42" s="13">
        <v>2.9836708881285601</v>
      </c>
      <c r="I42" s="13">
        <v>0.13997631170109701</v>
      </c>
      <c r="J42" s="13">
        <v>0.140786236985009</v>
      </c>
      <c r="K42" s="13">
        <v>0.387621528880981</v>
      </c>
      <c r="L42" s="13">
        <v>2.48804745838597</v>
      </c>
      <c r="M42" s="13">
        <v>7.2340354340588604</v>
      </c>
      <c r="N42" s="13">
        <v>6.5976335913098296</v>
      </c>
      <c r="O42" s="13">
        <v>0.37930188833483203</v>
      </c>
      <c r="P42" s="13">
        <v>1.42577201162241</v>
      </c>
      <c r="Q42" s="13">
        <v>1.37787971801531</v>
      </c>
      <c r="R42" s="13">
        <v>2.4222919937205698</v>
      </c>
      <c r="S42" s="13">
        <v>2.6826983615116502</v>
      </c>
      <c r="T42" s="13">
        <v>0.94003606853020705</v>
      </c>
      <c r="U42" s="13">
        <v>2.40060264321085</v>
      </c>
      <c r="V42" s="13">
        <v>1.5773079726953401</v>
      </c>
      <c r="W42" s="13">
        <v>1.6077567573131299</v>
      </c>
      <c r="X42" s="13">
        <v>4.2579049257904904</v>
      </c>
      <c r="Y42" s="13">
        <v>6.0809398616168204</v>
      </c>
      <c r="Z42" s="13">
        <v>3.89951916199949</v>
      </c>
      <c r="AA42" s="13">
        <v>3.9819684447783601</v>
      </c>
    </row>
    <row r="43" spans="1:27" x14ac:dyDescent="0.25">
      <c r="A43" s="10" t="s">
        <v>765</v>
      </c>
      <c r="B43" s="10" t="s">
        <v>766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</row>
    <row r="44" spans="1:27" x14ac:dyDescent="0.25">
      <c r="A44" s="10" t="s">
        <v>767</v>
      </c>
      <c r="B44" s="10" t="s">
        <v>768</v>
      </c>
      <c r="C44" s="13">
        <v>0</v>
      </c>
      <c r="D44" s="13">
        <v>0.187508789474507</v>
      </c>
      <c r="E44" s="13">
        <v>0.22569181277685099</v>
      </c>
      <c r="F44" s="13">
        <v>0.22675736961451201</v>
      </c>
      <c r="G44" s="13">
        <v>0.23447836937042599</v>
      </c>
      <c r="H44" s="13" t="s">
        <v>148</v>
      </c>
      <c r="I44" s="13" t="s">
        <v>148</v>
      </c>
      <c r="J44" s="13" t="s">
        <v>148</v>
      </c>
      <c r="K44" s="13">
        <v>0.24305776196225501</v>
      </c>
      <c r="L44" s="13" t="s">
        <v>148</v>
      </c>
      <c r="M44" s="13" t="s">
        <v>148</v>
      </c>
      <c r="N44" s="13" t="s">
        <v>148</v>
      </c>
      <c r="O44" s="13">
        <v>0.23706368020926999</v>
      </c>
      <c r="P44" s="13" t="s">
        <v>148</v>
      </c>
      <c r="Q44" s="13" t="s">
        <v>148</v>
      </c>
      <c r="R44" s="13" t="s">
        <v>148</v>
      </c>
      <c r="S44" s="13">
        <v>0.23955406090201301</v>
      </c>
      <c r="T44" s="13" t="s">
        <v>148</v>
      </c>
      <c r="U44" s="13" t="s">
        <v>148</v>
      </c>
      <c r="V44" s="13" t="s">
        <v>148</v>
      </c>
      <c r="W44" s="13">
        <v>0.122485950141013</v>
      </c>
      <c r="X44" s="13" t="s">
        <v>148</v>
      </c>
      <c r="Y44" s="13" t="s">
        <v>148</v>
      </c>
      <c r="Z44" s="13" t="s">
        <v>148</v>
      </c>
      <c r="AA44" s="13">
        <v>0.116508237241259</v>
      </c>
    </row>
    <row r="45" spans="1:27" x14ac:dyDescent="0.25">
      <c r="A45" s="11" t="s">
        <v>769</v>
      </c>
      <c r="B45" s="11" t="s">
        <v>770</v>
      </c>
      <c r="C45" s="25">
        <v>0</v>
      </c>
      <c r="D45" s="25" t="s">
        <v>148</v>
      </c>
      <c r="E45" s="25" t="s">
        <v>148</v>
      </c>
      <c r="F45" s="25" t="s">
        <v>148</v>
      </c>
      <c r="G45" s="25">
        <v>0</v>
      </c>
      <c r="H45" s="25" t="s">
        <v>148</v>
      </c>
      <c r="I45" s="25" t="s">
        <v>148</v>
      </c>
      <c r="J45" s="25" t="s">
        <v>148</v>
      </c>
      <c r="K45" s="25">
        <v>0</v>
      </c>
      <c r="L45" s="25" t="s">
        <v>148</v>
      </c>
      <c r="M45" s="25" t="s">
        <v>148</v>
      </c>
      <c r="N45" s="25" t="s">
        <v>148</v>
      </c>
      <c r="O45" s="25">
        <v>0</v>
      </c>
      <c r="P45" s="25" t="s">
        <v>148</v>
      </c>
      <c r="Q45" s="25" t="s">
        <v>148</v>
      </c>
      <c r="R45" s="25" t="s">
        <v>148</v>
      </c>
      <c r="S45" s="25">
        <v>0</v>
      </c>
      <c r="T45" s="25" t="s">
        <v>148</v>
      </c>
      <c r="U45" s="25" t="s">
        <v>148</v>
      </c>
      <c r="V45" s="25" t="s">
        <v>148</v>
      </c>
      <c r="W45" s="25">
        <v>0</v>
      </c>
      <c r="X45" s="25" t="s">
        <v>148</v>
      </c>
      <c r="Y45" s="25" t="s">
        <v>148</v>
      </c>
      <c r="Z45" s="25" t="s">
        <v>148</v>
      </c>
      <c r="AA45" s="25">
        <v>0</v>
      </c>
    </row>
    <row r="46" spans="1:27" x14ac:dyDescent="0.25">
      <c r="A46" s="11" t="s">
        <v>771</v>
      </c>
      <c r="B46" s="11" t="s">
        <v>772</v>
      </c>
      <c r="C46" s="25" t="s">
        <v>148</v>
      </c>
      <c r="D46" s="25">
        <v>0.187508789474507</v>
      </c>
      <c r="E46" s="25">
        <v>0.22569181277685099</v>
      </c>
      <c r="F46" s="25">
        <v>0.22675736961451201</v>
      </c>
      <c r="G46" s="25">
        <v>0.23447836937042599</v>
      </c>
      <c r="H46" s="25" t="s">
        <v>148</v>
      </c>
      <c r="I46" s="25" t="s">
        <v>148</v>
      </c>
      <c r="J46" s="25" t="s">
        <v>148</v>
      </c>
      <c r="K46" s="25">
        <v>0.24305776196225501</v>
      </c>
      <c r="L46" s="25" t="s">
        <v>148</v>
      </c>
      <c r="M46" s="25" t="s">
        <v>148</v>
      </c>
      <c r="N46" s="25" t="s">
        <v>148</v>
      </c>
      <c r="O46" s="25">
        <v>0.23706368020926999</v>
      </c>
      <c r="P46" s="25" t="s">
        <v>148</v>
      </c>
      <c r="Q46" s="25" t="s">
        <v>148</v>
      </c>
      <c r="R46" s="25" t="s">
        <v>148</v>
      </c>
      <c r="S46" s="25">
        <v>0.23955406090201301</v>
      </c>
      <c r="T46" s="25" t="s">
        <v>148</v>
      </c>
      <c r="U46" s="25" t="s">
        <v>148</v>
      </c>
      <c r="V46" s="25" t="s">
        <v>148</v>
      </c>
      <c r="W46" s="25">
        <v>0.122485950141013</v>
      </c>
      <c r="X46" s="25" t="s">
        <v>148</v>
      </c>
      <c r="Y46" s="25" t="s">
        <v>148</v>
      </c>
      <c r="Z46" s="25" t="s">
        <v>148</v>
      </c>
      <c r="AA46" s="25">
        <v>0.116508237241259</v>
      </c>
    </row>
    <row r="47" spans="1:27" x14ac:dyDescent="0.25">
      <c r="A47" s="10" t="s">
        <v>773</v>
      </c>
      <c r="B47" s="10" t="s">
        <v>774</v>
      </c>
      <c r="C47" s="13">
        <v>6.6535172247651202</v>
      </c>
      <c r="D47" s="13">
        <v>5.78933387502539</v>
      </c>
      <c r="E47" s="13">
        <v>4.74289660283294</v>
      </c>
      <c r="F47" s="13">
        <v>3.44167296548249</v>
      </c>
      <c r="G47" s="13">
        <v>4.9458187482204803</v>
      </c>
      <c r="H47" s="13">
        <v>2.9836708881285601</v>
      </c>
      <c r="I47" s="13">
        <v>0.13997631170109701</v>
      </c>
      <c r="J47" s="13">
        <v>0.140786236985009</v>
      </c>
      <c r="K47" s="13">
        <v>0.14456376691872699</v>
      </c>
      <c r="L47" s="13">
        <v>2.48804745838597</v>
      </c>
      <c r="M47" s="13">
        <v>7.2340354340588604</v>
      </c>
      <c r="N47" s="13">
        <v>6.5976335913098296</v>
      </c>
      <c r="O47" s="13">
        <v>0.14223820812556201</v>
      </c>
      <c r="P47" s="13">
        <v>1.42577201162241</v>
      </c>
      <c r="Q47" s="13">
        <v>1.37787971801531</v>
      </c>
      <c r="R47" s="13">
        <v>2.4222919937205698</v>
      </c>
      <c r="S47" s="13">
        <v>2.4431443006096298</v>
      </c>
      <c r="T47" s="13">
        <v>0.94003606853020705</v>
      </c>
      <c r="U47" s="13">
        <v>2.40060264321085</v>
      </c>
      <c r="V47" s="13">
        <v>1.5773079726953401</v>
      </c>
      <c r="W47" s="13">
        <v>1.4852708071721199</v>
      </c>
      <c r="X47" s="13">
        <v>4.2579049257904904</v>
      </c>
      <c r="Y47" s="13">
        <v>6.0809398616168204</v>
      </c>
      <c r="Z47" s="13">
        <v>3.89951916199949</v>
      </c>
      <c r="AA47" s="13">
        <v>3.8654602075371001</v>
      </c>
    </row>
    <row r="48" spans="1:27" x14ac:dyDescent="0.25">
      <c r="A48" s="10" t="s">
        <v>775</v>
      </c>
      <c r="B48" s="10" t="s">
        <v>776</v>
      </c>
      <c r="C48" s="13">
        <v>0</v>
      </c>
      <c r="D48" s="13">
        <v>0.187508789474507</v>
      </c>
      <c r="E48" s="13">
        <v>0.22569181277685099</v>
      </c>
      <c r="F48" s="13">
        <v>0.22675736961451201</v>
      </c>
      <c r="G48" s="13">
        <v>6.4984005225517896</v>
      </c>
      <c r="H48" s="13">
        <v>0</v>
      </c>
      <c r="I48" s="13">
        <v>0</v>
      </c>
      <c r="J48" s="13">
        <v>0</v>
      </c>
      <c r="K48" s="13">
        <v>7.6269301645802896</v>
      </c>
      <c r="L48" s="13">
        <v>0</v>
      </c>
      <c r="M48" s="13">
        <v>0</v>
      </c>
      <c r="N48" s="13">
        <v>0</v>
      </c>
      <c r="O48" s="13">
        <v>8.4590860786397393</v>
      </c>
      <c r="P48" s="13">
        <v>0</v>
      </c>
      <c r="Q48" s="13">
        <v>0</v>
      </c>
      <c r="R48" s="13">
        <v>0</v>
      </c>
      <c r="S48" s="13">
        <v>9.1921192856374994</v>
      </c>
      <c r="T48" s="13">
        <v>0</v>
      </c>
      <c r="U48" s="13">
        <v>0</v>
      </c>
      <c r="V48" s="13">
        <v>0</v>
      </c>
      <c r="W48" s="13">
        <v>7.4839944829857803</v>
      </c>
      <c r="X48" s="13">
        <v>0</v>
      </c>
      <c r="Y48" s="13">
        <v>0</v>
      </c>
      <c r="Z48" s="13">
        <v>0</v>
      </c>
      <c r="AA48" s="13">
        <v>9.1518853646054499</v>
      </c>
    </row>
    <row r="49" spans="1:27" x14ac:dyDescent="0.25">
      <c r="A49" s="10" t="s">
        <v>777</v>
      </c>
      <c r="B49" s="10" t="s">
        <v>778</v>
      </c>
      <c r="C49" s="13">
        <v>0</v>
      </c>
      <c r="D49" s="13" t="s">
        <v>148</v>
      </c>
      <c r="E49" s="13" t="s">
        <v>148</v>
      </c>
      <c r="F49" s="13" t="s">
        <v>148</v>
      </c>
      <c r="G49" s="13">
        <v>6.4984005225517896</v>
      </c>
      <c r="H49" s="13" t="s">
        <v>148</v>
      </c>
      <c r="I49" s="13" t="s">
        <v>148</v>
      </c>
      <c r="J49" s="13" t="s">
        <v>148</v>
      </c>
      <c r="K49" s="13">
        <v>7.6269301645802896</v>
      </c>
      <c r="L49" s="13" t="s">
        <v>148</v>
      </c>
      <c r="M49" s="13" t="s">
        <v>148</v>
      </c>
      <c r="N49" s="13" t="s">
        <v>148</v>
      </c>
      <c r="O49" s="13">
        <v>8.4590860786397393</v>
      </c>
      <c r="P49" s="13" t="s">
        <v>148</v>
      </c>
      <c r="Q49" s="13" t="s">
        <v>148</v>
      </c>
      <c r="R49" s="13" t="s">
        <v>148</v>
      </c>
      <c r="S49" s="13">
        <v>9.1921192856374994</v>
      </c>
      <c r="T49" s="13" t="s">
        <v>148</v>
      </c>
      <c r="U49" s="13" t="s">
        <v>148</v>
      </c>
      <c r="V49" s="13" t="s">
        <v>148</v>
      </c>
      <c r="W49" s="13">
        <v>7.4839944829857803</v>
      </c>
      <c r="X49" s="13" t="s">
        <v>148</v>
      </c>
      <c r="Y49" s="13" t="s">
        <v>148</v>
      </c>
      <c r="Z49" s="13" t="s">
        <v>148</v>
      </c>
      <c r="AA49" s="13">
        <v>9.1518853646054499</v>
      </c>
    </row>
    <row r="50" spans="1:27" x14ac:dyDescent="0.25">
      <c r="A50" s="10" t="s">
        <v>779</v>
      </c>
      <c r="B50" s="10" t="s">
        <v>780</v>
      </c>
      <c r="C50" s="13">
        <v>0</v>
      </c>
      <c r="D50" s="13" t="s">
        <v>148</v>
      </c>
      <c r="E50" s="13" t="s">
        <v>148</v>
      </c>
      <c r="F50" s="13">
        <v>0</v>
      </c>
      <c r="G50" s="13">
        <v>0</v>
      </c>
      <c r="H50" s="13" t="s">
        <v>148</v>
      </c>
      <c r="I50" s="13">
        <v>0</v>
      </c>
      <c r="J50" s="13">
        <v>0</v>
      </c>
      <c r="K50" s="13">
        <v>0</v>
      </c>
      <c r="L50" s="13" t="s">
        <v>148</v>
      </c>
      <c r="M50" s="13" t="s">
        <v>148</v>
      </c>
      <c r="N50" s="13">
        <v>0</v>
      </c>
      <c r="O50" s="13">
        <v>0</v>
      </c>
      <c r="P50" s="13">
        <v>0</v>
      </c>
      <c r="Q50" s="13" t="s">
        <v>148</v>
      </c>
      <c r="R50" s="13" t="s">
        <v>148</v>
      </c>
      <c r="S50" s="13">
        <v>0</v>
      </c>
      <c r="T50" s="13" t="s">
        <v>148</v>
      </c>
      <c r="U50" s="13" t="s">
        <v>148</v>
      </c>
      <c r="V50" s="13" t="s">
        <v>148</v>
      </c>
      <c r="W50" s="13">
        <v>0</v>
      </c>
      <c r="X50" s="13" t="s">
        <v>148</v>
      </c>
      <c r="Y50" s="13" t="s">
        <v>148</v>
      </c>
      <c r="Z50" s="13" t="s">
        <v>148</v>
      </c>
      <c r="AA50" s="13">
        <v>0</v>
      </c>
    </row>
    <row r="51" spans="1:27" x14ac:dyDescent="0.25">
      <c r="A51" s="10" t="s">
        <v>781</v>
      </c>
      <c r="B51" s="10" t="s">
        <v>782</v>
      </c>
      <c r="C51" s="13">
        <v>0</v>
      </c>
      <c r="D51" s="13">
        <v>0.187508789474507</v>
      </c>
      <c r="E51" s="13">
        <v>0.22569181277685099</v>
      </c>
      <c r="F51" s="13">
        <v>0.22675736961451201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</row>
    <row r="52" spans="1:27" x14ac:dyDescent="0.25">
      <c r="A52" s="6" t="s">
        <v>114</v>
      </c>
      <c r="B52" s="6" t="s">
        <v>115</v>
      </c>
      <c r="C52" s="19">
        <v>20.3083594314623</v>
      </c>
      <c r="D52" s="19">
        <v>19.854055658859</v>
      </c>
      <c r="E52" s="19">
        <v>17.890286830714299</v>
      </c>
      <c r="F52" s="19">
        <v>18.034769463340901</v>
      </c>
      <c r="G52" s="19">
        <v>21.496641934781501</v>
      </c>
      <c r="H52" s="19">
        <v>19.178193257552401</v>
      </c>
      <c r="I52" s="19">
        <v>16.186491516820201</v>
      </c>
      <c r="J52" s="19">
        <v>15.3983012825471</v>
      </c>
      <c r="K52" s="19">
        <v>18.512105229713399</v>
      </c>
      <c r="L52" s="19">
        <v>20.577559602807799</v>
      </c>
      <c r="M52" s="19">
        <v>24.400649122513499</v>
      </c>
      <c r="N52" s="19">
        <v>22.836305448278999</v>
      </c>
      <c r="O52" s="19">
        <v>19.9198888253086</v>
      </c>
      <c r="P52" s="19">
        <v>21.768362727211301</v>
      </c>
      <c r="Q52" s="19">
        <v>21.280399365871801</v>
      </c>
      <c r="R52" s="19">
        <v>22.497645211930902</v>
      </c>
      <c r="S52" s="19">
        <v>24.0890035472428</v>
      </c>
      <c r="T52" s="19">
        <v>16.022317403065799</v>
      </c>
      <c r="U52" s="19">
        <v>18.940056940921</v>
      </c>
      <c r="V52" s="19">
        <v>18.726666224843701</v>
      </c>
      <c r="W52" s="19">
        <v>18.930769705827899</v>
      </c>
      <c r="X52" s="19">
        <v>21.202409120240901</v>
      </c>
      <c r="Y52" s="19">
        <v>23.669244392621</v>
      </c>
      <c r="Z52" s="19">
        <v>22.349614339315401</v>
      </c>
      <c r="AA52" s="19">
        <v>25.1516240377182</v>
      </c>
    </row>
    <row r="53" spans="1:27" x14ac:dyDescent="0.25">
      <c r="A53" s="10" t="s">
        <v>783</v>
      </c>
      <c r="B53" s="10" t="s">
        <v>784</v>
      </c>
      <c r="C53" s="13">
        <v>44.432064562755997</v>
      </c>
      <c r="D53" s="13">
        <v>46.388111942747301</v>
      </c>
      <c r="E53" s="13">
        <v>47.430650295588897</v>
      </c>
      <c r="F53" s="13">
        <v>47.187368774670396</v>
      </c>
      <c r="G53" s="13">
        <v>45.786926156062101</v>
      </c>
      <c r="H53" s="13">
        <v>48.6597804407401</v>
      </c>
      <c r="I53" s="13">
        <v>52.503422497731201</v>
      </c>
      <c r="J53" s="13">
        <v>52.904683076256603</v>
      </c>
      <c r="K53" s="13">
        <v>52.743534345809202</v>
      </c>
      <c r="L53" s="13">
        <v>49.775340187722897</v>
      </c>
      <c r="M53" s="13">
        <v>47.6101249728138</v>
      </c>
      <c r="N53" s="13">
        <v>51.222439339621197</v>
      </c>
      <c r="O53" s="13">
        <v>55.173710455325804</v>
      </c>
      <c r="P53" s="13">
        <v>60.831812960335199</v>
      </c>
      <c r="Q53" s="13">
        <v>60.216885350962997</v>
      </c>
      <c r="R53" s="13">
        <v>58.337519623233902</v>
      </c>
      <c r="S53" s="13">
        <v>58.188602754871702</v>
      </c>
      <c r="T53" s="13">
        <v>68.486248872858397</v>
      </c>
      <c r="U53" s="13">
        <v>65.777841784001197</v>
      </c>
      <c r="V53" s="13">
        <v>65.213069123202303</v>
      </c>
      <c r="W53" s="13">
        <v>65.731724890380207</v>
      </c>
      <c r="X53" s="13">
        <v>64.595611959561197</v>
      </c>
      <c r="Y53" s="13">
        <v>62.830145093337102</v>
      </c>
      <c r="Z53" s="13">
        <v>62.557353960586703</v>
      </c>
      <c r="AA53" s="13">
        <v>62.306863097376898</v>
      </c>
    </row>
    <row r="54" spans="1:27" x14ac:dyDescent="0.25">
      <c r="A54" s="10" t="s">
        <v>785</v>
      </c>
      <c r="B54" s="10" t="s">
        <v>786</v>
      </c>
      <c r="C54" s="13">
        <v>44.432064562755997</v>
      </c>
      <c r="D54" s="13">
        <v>45.813084988358803</v>
      </c>
      <c r="E54" s="13">
        <v>46.819261280379997</v>
      </c>
      <c r="F54" s="13">
        <v>46.597799613672599</v>
      </c>
      <c r="G54" s="13">
        <v>45.137086103806901</v>
      </c>
      <c r="H54" s="13">
        <v>48.6597804407401</v>
      </c>
      <c r="I54" s="13">
        <v>52.503422497731201</v>
      </c>
      <c r="J54" s="13">
        <v>52.904683076256603</v>
      </c>
      <c r="K54" s="13">
        <v>52.257418821884698</v>
      </c>
      <c r="L54" s="13">
        <v>49.775340187722897</v>
      </c>
      <c r="M54" s="13">
        <v>47.6101249728138</v>
      </c>
      <c r="N54" s="13">
        <v>51.222439339621197</v>
      </c>
      <c r="O54" s="13">
        <v>54.315376440774997</v>
      </c>
      <c r="P54" s="13">
        <v>60.831812960335199</v>
      </c>
      <c r="Q54" s="13">
        <v>60.216885350962997</v>
      </c>
      <c r="R54" s="13">
        <v>58.337519623233902</v>
      </c>
      <c r="S54" s="13">
        <v>57.360912762396197</v>
      </c>
      <c r="T54" s="13">
        <v>68.486248872858397</v>
      </c>
      <c r="U54" s="13">
        <v>65.777841784001197</v>
      </c>
      <c r="V54" s="13">
        <v>65.213069123202303</v>
      </c>
      <c r="W54" s="13">
        <v>65.020482944603401</v>
      </c>
      <c r="X54" s="13">
        <v>64.595611959561197</v>
      </c>
      <c r="Y54" s="13">
        <v>62.830145093337102</v>
      </c>
      <c r="Z54" s="13">
        <v>62.557353960586703</v>
      </c>
      <c r="AA54" s="13">
        <v>61.574058950990299</v>
      </c>
    </row>
    <row r="55" spans="1:27" x14ac:dyDescent="0.25">
      <c r="A55" s="10" t="s">
        <v>787</v>
      </c>
      <c r="B55" s="10" t="s">
        <v>788</v>
      </c>
      <c r="C55" s="13">
        <v>0</v>
      </c>
      <c r="D55" s="13">
        <v>0.57502695438848705</v>
      </c>
      <c r="E55" s="13">
        <v>0.61138901520893296</v>
      </c>
      <c r="F55" s="13">
        <v>0.58956916099773204</v>
      </c>
      <c r="G55" s="13">
        <v>0.64984005225517905</v>
      </c>
      <c r="H55" s="13" t="s">
        <v>148</v>
      </c>
      <c r="I55" s="13" t="s">
        <v>148</v>
      </c>
      <c r="J55" s="13" t="s">
        <v>148</v>
      </c>
      <c r="K55" s="13">
        <v>0.48611552392450902</v>
      </c>
      <c r="L55" s="13" t="s">
        <v>148</v>
      </c>
      <c r="M55" s="13" t="s">
        <v>148</v>
      </c>
      <c r="N55" s="13" t="s">
        <v>148</v>
      </c>
      <c r="O55" s="13">
        <v>0.85833401455080505</v>
      </c>
      <c r="P55" s="13" t="s">
        <v>148</v>
      </c>
      <c r="Q55" s="13" t="s">
        <v>148</v>
      </c>
      <c r="R55" s="13" t="s">
        <v>148</v>
      </c>
      <c r="S55" s="13">
        <v>0.82768999247554598</v>
      </c>
      <c r="T55" s="13" t="s">
        <v>148</v>
      </c>
      <c r="U55" s="13" t="s">
        <v>148</v>
      </c>
      <c r="V55" s="13" t="s">
        <v>148</v>
      </c>
      <c r="W55" s="13">
        <v>0.71124194577680799</v>
      </c>
      <c r="X55" s="13" t="s">
        <v>148</v>
      </c>
      <c r="Y55" s="13" t="s">
        <v>148</v>
      </c>
      <c r="Z55" s="13" t="s">
        <v>148</v>
      </c>
      <c r="AA55" s="13">
        <v>0.73280414638661096</v>
      </c>
    </row>
    <row r="56" spans="1:27" x14ac:dyDescent="0.25">
      <c r="A56" s="11" t="s">
        <v>789</v>
      </c>
      <c r="B56" s="11" t="s">
        <v>790</v>
      </c>
      <c r="C56" s="25">
        <v>0</v>
      </c>
      <c r="D56" s="25" t="s">
        <v>148</v>
      </c>
      <c r="E56" s="25" t="s">
        <v>148</v>
      </c>
      <c r="F56" s="25" t="s">
        <v>148</v>
      </c>
      <c r="G56" s="25">
        <v>0</v>
      </c>
      <c r="H56" s="25" t="s">
        <v>148</v>
      </c>
      <c r="I56" s="25" t="s">
        <v>148</v>
      </c>
      <c r="J56" s="25" t="s">
        <v>148</v>
      </c>
      <c r="K56" s="25">
        <v>0</v>
      </c>
      <c r="L56" s="25" t="s">
        <v>148</v>
      </c>
      <c r="M56" s="25" t="s">
        <v>148</v>
      </c>
      <c r="N56" s="25" t="s">
        <v>148</v>
      </c>
      <c r="O56" s="25">
        <v>0</v>
      </c>
      <c r="P56" s="25" t="s">
        <v>148</v>
      </c>
      <c r="Q56" s="25" t="s">
        <v>148</v>
      </c>
      <c r="R56" s="25" t="s">
        <v>148</v>
      </c>
      <c r="S56" s="25">
        <v>0</v>
      </c>
      <c r="T56" s="25" t="s">
        <v>148</v>
      </c>
      <c r="U56" s="25" t="s">
        <v>148</v>
      </c>
      <c r="V56" s="25" t="s">
        <v>148</v>
      </c>
      <c r="W56" s="25">
        <v>0</v>
      </c>
      <c r="X56" s="25" t="s">
        <v>148</v>
      </c>
      <c r="Y56" s="25" t="s">
        <v>148</v>
      </c>
      <c r="Z56" s="25" t="s">
        <v>148</v>
      </c>
      <c r="AA56" s="25">
        <v>0</v>
      </c>
    </row>
    <row r="57" spans="1:27" x14ac:dyDescent="0.25">
      <c r="A57" s="11" t="s">
        <v>791</v>
      </c>
      <c r="B57" s="11" t="s">
        <v>792</v>
      </c>
      <c r="C57" s="25" t="s">
        <v>148</v>
      </c>
      <c r="D57" s="25">
        <v>0.57502695438848705</v>
      </c>
      <c r="E57" s="25">
        <v>0.61138901520893296</v>
      </c>
      <c r="F57" s="25">
        <v>0.58956916099773204</v>
      </c>
      <c r="G57" s="25">
        <v>0.64984005225517905</v>
      </c>
      <c r="H57" s="25" t="s">
        <v>148</v>
      </c>
      <c r="I57" s="25" t="s">
        <v>148</v>
      </c>
      <c r="J57" s="25" t="s">
        <v>148</v>
      </c>
      <c r="K57" s="25">
        <v>0.48611552392450902</v>
      </c>
      <c r="L57" s="25" t="s">
        <v>148</v>
      </c>
      <c r="M57" s="25" t="s">
        <v>148</v>
      </c>
      <c r="N57" s="25" t="s">
        <v>148</v>
      </c>
      <c r="O57" s="25">
        <v>0.85833401455080505</v>
      </c>
      <c r="P57" s="25" t="s">
        <v>148</v>
      </c>
      <c r="Q57" s="25" t="s">
        <v>148</v>
      </c>
      <c r="R57" s="25" t="s">
        <v>148</v>
      </c>
      <c r="S57" s="25">
        <v>0.82768999247554598</v>
      </c>
      <c r="T57" s="25" t="s">
        <v>148</v>
      </c>
      <c r="U57" s="25" t="s">
        <v>148</v>
      </c>
      <c r="V57" s="25" t="s">
        <v>148</v>
      </c>
      <c r="W57" s="25">
        <v>0.71124194577680799</v>
      </c>
      <c r="X57" s="25" t="s">
        <v>148</v>
      </c>
      <c r="Y57" s="25" t="s">
        <v>148</v>
      </c>
      <c r="Z57" s="25" t="s">
        <v>148</v>
      </c>
      <c r="AA57" s="25">
        <v>0.73280414638661096</v>
      </c>
    </row>
    <row r="58" spans="1:27" x14ac:dyDescent="0.25">
      <c r="A58" s="10" t="s">
        <v>793</v>
      </c>
      <c r="B58" s="10" t="s">
        <v>794</v>
      </c>
      <c r="C58" s="13">
        <v>16.438809925319202</v>
      </c>
      <c r="D58" s="13">
        <v>16.8320390018282</v>
      </c>
      <c r="E58" s="13">
        <v>16.499082074343601</v>
      </c>
      <c r="F58" s="13">
        <v>16.423952296968199</v>
      </c>
      <c r="G58" s="13">
        <v>16.515651431155501</v>
      </c>
      <c r="H58" s="13">
        <v>16.781527185457801</v>
      </c>
      <c r="I58" s="13">
        <v>14.914399101690501</v>
      </c>
      <c r="J58" s="13">
        <v>14.742330244287301</v>
      </c>
      <c r="K58" s="13">
        <v>13.7971023702103</v>
      </c>
      <c r="L58" s="13">
        <v>14.722013463598699</v>
      </c>
      <c r="M58" s="13">
        <v>14.192026500259299</v>
      </c>
      <c r="N58" s="13">
        <v>13.298355207483899</v>
      </c>
      <c r="O58" s="13">
        <v>13.9524237717649</v>
      </c>
      <c r="P58" s="13">
        <v>15.852422460977101</v>
      </c>
      <c r="Q58" s="13">
        <v>14.4230444901676</v>
      </c>
      <c r="R58" s="13">
        <v>13.4301412872841</v>
      </c>
      <c r="S58" s="13">
        <v>12.100551281460699</v>
      </c>
      <c r="T58" s="13">
        <v>9.4634806131650109</v>
      </c>
      <c r="U58" s="13">
        <v>7.7701093398619703</v>
      </c>
      <c r="V58" s="13">
        <v>7.6037731680915499</v>
      </c>
      <c r="W58" s="13">
        <v>8.9229470737180101</v>
      </c>
      <c r="X58" s="13">
        <v>8.8008173800817406</v>
      </c>
      <c r="Y58" s="13">
        <v>6.9829606080939897</v>
      </c>
      <c r="Z58" s="13">
        <v>6.8109547440115303</v>
      </c>
      <c r="AA58" s="13">
        <v>6.1422707128779699</v>
      </c>
    </row>
    <row r="59" spans="1:27" x14ac:dyDescent="0.25">
      <c r="A59" s="10" t="s">
        <v>795</v>
      </c>
      <c r="B59" s="10" t="s">
        <v>796</v>
      </c>
      <c r="C59" s="13">
        <v>0</v>
      </c>
      <c r="D59" s="13" t="s">
        <v>148</v>
      </c>
      <c r="E59" s="13" t="s">
        <v>148</v>
      </c>
      <c r="F59" s="13" t="s">
        <v>148</v>
      </c>
      <c r="G59" s="13">
        <v>0</v>
      </c>
      <c r="H59" s="13" t="s">
        <v>148</v>
      </c>
      <c r="I59" s="13" t="s">
        <v>148</v>
      </c>
      <c r="J59" s="13" t="s">
        <v>148</v>
      </c>
      <c r="K59" s="13">
        <v>0</v>
      </c>
      <c r="L59" s="13">
        <v>0</v>
      </c>
      <c r="M59" s="13" t="s">
        <v>148</v>
      </c>
      <c r="N59" s="13" t="s">
        <v>148</v>
      </c>
      <c r="O59" s="13">
        <v>0</v>
      </c>
      <c r="P59" s="13">
        <v>0</v>
      </c>
      <c r="Q59" s="13" t="s">
        <v>148</v>
      </c>
      <c r="R59" s="13" t="s">
        <v>148</v>
      </c>
      <c r="S59" s="13">
        <v>0</v>
      </c>
      <c r="T59" s="13" t="s">
        <v>148</v>
      </c>
      <c r="U59" s="13" t="s">
        <v>148</v>
      </c>
      <c r="V59" s="13" t="s">
        <v>148</v>
      </c>
      <c r="W59" s="13">
        <v>0</v>
      </c>
      <c r="X59" s="13" t="s">
        <v>148</v>
      </c>
      <c r="Y59" s="13" t="s">
        <v>148</v>
      </c>
      <c r="Z59" s="13" t="s">
        <v>148</v>
      </c>
      <c r="AA59" s="13">
        <v>0</v>
      </c>
    </row>
    <row r="60" spans="1:27" x14ac:dyDescent="0.25">
      <c r="A60" s="10" t="s">
        <v>797</v>
      </c>
      <c r="B60" s="10" t="s">
        <v>798</v>
      </c>
      <c r="C60" s="13">
        <v>0</v>
      </c>
      <c r="D60" s="13" t="s">
        <v>148</v>
      </c>
      <c r="E60" s="13" t="s">
        <v>148</v>
      </c>
      <c r="F60" s="13" t="s">
        <v>148</v>
      </c>
      <c r="G60" s="13">
        <v>0</v>
      </c>
      <c r="H60" s="13" t="s">
        <v>148</v>
      </c>
      <c r="I60" s="13" t="s">
        <v>148</v>
      </c>
      <c r="J60" s="13" t="s">
        <v>148</v>
      </c>
      <c r="K60" s="13">
        <v>0</v>
      </c>
      <c r="L60" s="13">
        <v>0</v>
      </c>
      <c r="M60" s="13" t="s">
        <v>148</v>
      </c>
      <c r="N60" s="13" t="s">
        <v>148</v>
      </c>
      <c r="O60" s="13">
        <v>0</v>
      </c>
      <c r="P60" s="13">
        <v>0</v>
      </c>
      <c r="Q60" s="13" t="s">
        <v>148</v>
      </c>
      <c r="R60" s="13" t="s">
        <v>148</v>
      </c>
      <c r="S60" s="13">
        <v>0</v>
      </c>
      <c r="T60" s="13" t="s">
        <v>148</v>
      </c>
      <c r="U60" s="13" t="s">
        <v>148</v>
      </c>
      <c r="V60" s="13" t="s">
        <v>148</v>
      </c>
      <c r="W60" s="13">
        <v>0</v>
      </c>
      <c r="X60" s="13" t="s">
        <v>148</v>
      </c>
      <c r="Y60" s="13" t="s">
        <v>148</v>
      </c>
      <c r="Z60" s="13" t="s">
        <v>148</v>
      </c>
      <c r="AA60" s="13">
        <v>0</v>
      </c>
    </row>
    <row r="61" spans="1:27" x14ac:dyDescent="0.25">
      <c r="A61" s="11" t="s">
        <v>799</v>
      </c>
      <c r="B61" s="11" t="s">
        <v>800</v>
      </c>
      <c r="C61" s="25">
        <v>0</v>
      </c>
      <c r="D61" s="25" t="s">
        <v>148</v>
      </c>
      <c r="E61" s="25" t="s">
        <v>148</v>
      </c>
      <c r="F61" s="25" t="s">
        <v>148</v>
      </c>
      <c r="G61" s="25">
        <v>0</v>
      </c>
      <c r="H61" s="25" t="s">
        <v>148</v>
      </c>
      <c r="I61" s="25" t="s">
        <v>148</v>
      </c>
      <c r="J61" s="25" t="s">
        <v>148</v>
      </c>
      <c r="K61" s="25">
        <v>0</v>
      </c>
      <c r="L61" s="25">
        <v>0</v>
      </c>
      <c r="M61" s="25" t="s">
        <v>148</v>
      </c>
      <c r="N61" s="25" t="s">
        <v>148</v>
      </c>
      <c r="O61" s="25">
        <v>0</v>
      </c>
      <c r="P61" s="25">
        <v>0</v>
      </c>
      <c r="Q61" s="25" t="s">
        <v>148</v>
      </c>
      <c r="R61" s="25" t="s">
        <v>148</v>
      </c>
      <c r="S61" s="25">
        <v>0</v>
      </c>
      <c r="T61" s="25" t="s">
        <v>148</v>
      </c>
      <c r="U61" s="25" t="s">
        <v>148</v>
      </c>
      <c r="V61" s="25" t="s">
        <v>148</v>
      </c>
      <c r="W61" s="25">
        <v>0</v>
      </c>
      <c r="X61" s="25" t="s">
        <v>148</v>
      </c>
      <c r="Y61" s="25" t="s">
        <v>148</v>
      </c>
      <c r="Z61" s="25" t="s">
        <v>148</v>
      </c>
      <c r="AA61" s="25">
        <v>0</v>
      </c>
    </row>
    <row r="62" spans="1:27" x14ac:dyDescent="0.25">
      <c r="A62" s="11" t="s">
        <v>801</v>
      </c>
      <c r="B62" s="11" t="s">
        <v>802</v>
      </c>
      <c r="C62" s="25">
        <v>0</v>
      </c>
      <c r="D62" s="25" t="s">
        <v>148</v>
      </c>
      <c r="E62" s="25" t="s">
        <v>148</v>
      </c>
      <c r="F62" s="25" t="s">
        <v>148</v>
      </c>
      <c r="G62" s="25">
        <v>0</v>
      </c>
      <c r="H62" s="25" t="s">
        <v>148</v>
      </c>
      <c r="I62" s="25" t="s">
        <v>148</v>
      </c>
      <c r="J62" s="25" t="s">
        <v>148</v>
      </c>
      <c r="K62" s="25">
        <v>0</v>
      </c>
      <c r="L62" s="25">
        <v>0</v>
      </c>
      <c r="M62" s="25" t="s">
        <v>148</v>
      </c>
      <c r="N62" s="25" t="s">
        <v>148</v>
      </c>
      <c r="O62" s="25">
        <v>0</v>
      </c>
      <c r="P62" s="25">
        <v>0</v>
      </c>
      <c r="Q62" s="25" t="s">
        <v>148</v>
      </c>
      <c r="R62" s="25" t="s">
        <v>148</v>
      </c>
      <c r="S62" s="25">
        <v>0</v>
      </c>
      <c r="T62" s="25" t="s">
        <v>148</v>
      </c>
      <c r="U62" s="25" t="s">
        <v>148</v>
      </c>
      <c r="V62" s="25" t="s">
        <v>148</v>
      </c>
      <c r="W62" s="25">
        <v>0</v>
      </c>
      <c r="X62" s="25" t="s">
        <v>148</v>
      </c>
      <c r="Y62" s="25" t="s">
        <v>148</v>
      </c>
      <c r="Z62" s="25" t="s">
        <v>148</v>
      </c>
      <c r="AA62" s="25">
        <v>0</v>
      </c>
    </row>
    <row r="63" spans="1:27" x14ac:dyDescent="0.25">
      <c r="A63" s="10" t="s">
        <v>777</v>
      </c>
      <c r="B63" s="10" t="s">
        <v>803</v>
      </c>
      <c r="C63" s="13">
        <v>0</v>
      </c>
      <c r="D63" s="13" t="s">
        <v>148</v>
      </c>
      <c r="E63" s="13" t="s">
        <v>148</v>
      </c>
      <c r="F63" s="13" t="s">
        <v>148</v>
      </c>
      <c r="G63" s="13">
        <v>0</v>
      </c>
      <c r="H63" s="13" t="s">
        <v>148</v>
      </c>
      <c r="I63" s="13" t="s">
        <v>148</v>
      </c>
      <c r="J63" s="13" t="s">
        <v>148</v>
      </c>
      <c r="K63" s="13">
        <v>0</v>
      </c>
      <c r="L63" s="13">
        <v>0</v>
      </c>
      <c r="M63" s="13" t="s">
        <v>148</v>
      </c>
      <c r="N63" s="13" t="s">
        <v>148</v>
      </c>
      <c r="O63" s="13">
        <v>0</v>
      </c>
      <c r="P63" s="13">
        <v>0</v>
      </c>
      <c r="Q63" s="13" t="s">
        <v>148</v>
      </c>
      <c r="R63" s="13" t="s">
        <v>148</v>
      </c>
      <c r="S63" s="13">
        <v>0</v>
      </c>
      <c r="T63" s="13" t="s">
        <v>148</v>
      </c>
      <c r="U63" s="13" t="s">
        <v>148</v>
      </c>
      <c r="V63" s="13" t="s">
        <v>148</v>
      </c>
      <c r="W63" s="13">
        <v>0</v>
      </c>
      <c r="X63" s="13" t="s">
        <v>148</v>
      </c>
      <c r="Y63" s="13" t="s">
        <v>148</v>
      </c>
      <c r="Z63" s="13" t="s">
        <v>148</v>
      </c>
      <c r="AA63" s="13">
        <v>0</v>
      </c>
    </row>
    <row r="64" spans="1:27" x14ac:dyDescent="0.25">
      <c r="A64" s="10" t="s">
        <v>804</v>
      </c>
      <c r="B64" s="10" t="s">
        <v>805</v>
      </c>
      <c r="C64" s="13">
        <v>1.3008913514815701</v>
      </c>
      <c r="D64" s="13">
        <v>1.26724690219854</v>
      </c>
      <c r="E64" s="13">
        <v>1.2850959190204301</v>
      </c>
      <c r="F64" s="13">
        <v>1.11699000587889</v>
      </c>
      <c r="G64" s="13">
        <v>0</v>
      </c>
      <c r="H64" s="13">
        <v>0.69240623327766004</v>
      </c>
      <c r="I64" s="13">
        <v>0.39839411791850599</v>
      </c>
      <c r="J64" s="13">
        <v>0.32489131611925098</v>
      </c>
      <c r="K64" s="13" t="s">
        <v>148</v>
      </c>
      <c r="L64" s="13">
        <v>0</v>
      </c>
      <c r="M64" s="13">
        <v>0</v>
      </c>
      <c r="N64" s="13">
        <v>0</v>
      </c>
      <c r="O64" s="13" t="s">
        <v>148</v>
      </c>
      <c r="P64" s="13">
        <v>0</v>
      </c>
      <c r="Q64" s="13" t="s">
        <v>148</v>
      </c>
      <c r="R64" s="13">
        <v>0</v>
      </c>
      <c r="S64" s="13" t="s">
        <v>148</v>
      </c>
      <c r="T64" s="13" t="s">
        <v>148</v>
      </c>
      <c r="U64" s="13" t="s">
        <v>148</v>
      </c>
      <c r="V64" s="13" t="s">
        <v>148</v>
      </c>
      <c r="W64" s="13">
        <v>2.4229573666549999</v>
      </c>
      <c r="X64" s="13">
        <v>2.00258120025812</v>
      </c>
      <c r="Y64" s="13">
        <v>1.9580450350358101</v>
      </c>
      <c r="Z64" s="13">
        <v>1.8826403177711999</v>
      </c>
      <c r="AA64" s="13">
        <v>1.7596010409520999</v>
      </c>
    </row>
    <row r="65" spans="1:27" x14ac:dyDescent="0.25">
      <c r="A65" s="10" t="s">
        <v>779</v>
      </c>
      <c r="B65" s="10" t="s">
        <v>806</v>
      </c>
      <c r="C65" s="13">
        <v>0.86726090098771402</v>
      </c>
      <c r="D65" s="13">
        <v>0.76722346359985605</v>
      </c>
      <c r="E65" s="13">
        <v>0.89266164755023303</v>
      </c>
      <c r="F65" s="13">
        <v>0.81296716217351195</v>
      </c>
      <c r="G65" s="13">
        <v>0.57949654144405205</v>
      </c>
      <c r="H65" s="13">
        <v>1.11076878172177</v>
      </c>
      <c r="I65" s="13">
        <v>0.972143175770254</v>
      </c>
      <c r="J65" s="13">
        <v>0.88648916255395505</v>
      </c>
      <c r="K65" s="13">
        <v>0.90550930927114404</v>
      </c>
      <c r="L65" s="13">
        <v>0.85066918243016398</v>
      </c>
      <c r="M65" s="13">
        <v>0.85992003078312995</v>
      </c>
      <c r="N65" s="13">
        <v>0.79854753588848004</v>
      </c>
      <c r="O65" s="13">
        <v>0.87304831194310495</v>
      </c>
      <c r="P65" s="13">
        <v>1.4612473815798399</v>
      </c>
      <c r="Q65" s="13">
        <v>1.8956386818227799</v>
      </c>
      <c r="R65" s="13">
        <v>2.4897959183673501</v>
      </c>
      <c r="S65" s="13">
        <v>2.14677293039112</v>
      </c>
      <c r="T65" s="13">
        <v>1.4111812443642899</v>
      </c>
      <c r="U65" s="13">
        <v>1.4523258261418599</v>
      </c>
      <c r="V65" s="13">
        <v>1.4513884286566401</v>
      </c>
      <c r="W65" s="13">
        <v>1.12398871894106</v>
      </c>
      <c r="X65" s="13">
        <v>1.15293611529361</v>
      </c>
      <c r="Y65" s="13">
        <v>1.1297259836976301</v>
      </c>
      <c r="Z65" s="13">
        <v>0.97487979049987294</v>
      </c>
      <c r="AA65" s="13">
        <v>1.11281699495857</v>
      </c>
    </row>
    <row r="66" spans="1:27" x14ac:dyDescent="0.25">
      <c r="A66" s="10" t="s">
        <v>807</v>
      </c>
      <c r="B66" s="10" t="s">
        <v>808</v>
      </c>
      <c r="C66" s="13">
        <v>14.2706576728499</v>
      </c>
      <c r="D66" s="13">
        <v>14.7975686360298</v>
      </c>
      <c r="E66" s="13">
        <v>14.3213245077729</v>
      </c>
      <c r="F66" s="13">
        <v>14.493995128915801</v>
      </c>
      <c r="G66" s="13">
        <v>15.9361548897114</v>
      </c>
      <c r="H66" s="13">
        <v>14.9783521704584</v>
      </c>
      <c r="I66" s="13">
        <v>13.543861808001701</v>
      </c>
      <c r="J66" s="13">
        <v>13.5309497656141</v>
      </c>
      <c r="K66" s="13">
        <v>12.891593060939201</v>
      </c>
      <c r="L66" s="13">
        <v>13.8713442811686</v>
      </c>
      <c r="M66" s="13">
        <v>13.3321064694762</v>
      </c>
      <c r="N66" s="13">
        <v>12.4998076715954</v>
      </c>
      <c r="O66" s="13">
        <v>13.079375459821801</v>
      </c>
      <c r="P66" s="13">
        <v>14.3911750793973</v>
      </c>
      <c r="Q66" s="13">
        <v>12.5274058083449</v>
      </c>
      <c r="R66" s="13">
        <v>10.9403453689168</v>
      </c>
      <c r="S66" s="13">
        <v>9.9537783510695501</v>
      </c>
      <c r="T66" s="13">
        <v>8.0522993688007194</v>
      </c>
      <c r="U66" s="13">
        <v>6.3177835137200997</v>
      </c>
      <c r="V66" s="13">
        <v>6.1523847394349103</v>
      </c>
      <c r="W66" s="13">
        <v>5.3760009881219499</v>
      </c>
      <c r="X66" s="13">
        <v>5.6453000645300104</v>
      </c>
      <c r="Y66" s="13">
        <v>3.8951895893605601</v>
      </c>
      <c r="Z66" s="13">
        <v>3.9534346357404599</v>
      </c>
      <c r="AA66" s="13">
        <v>3.2698526769673002</v>
      </c>
    </row>
    <row r="67" spans="1:27" x14ac:dyDescent="0.25">
      <c r="A67" s="6" t="s">
        <v>809</v>
      </c>
      <c r="B67" s="6" t="s">
        <v>810</v>
      </c>
      <c r="C67" s="19">
        <v>60.870874488075202</v>
      </c>
      <c r="D67" s="19">
        <v>63.220150944575501</v>
      </c>
      <c r="E67" s="19">
        <v>63.929732369932502</v>
      </c>
      <c r="F67" s="19">
        <v>63.6113210716385</v>
      </c>
      <c r="G67" s="19">
        <v>62.302577587217598</v>
      </c>
      <c r="H67" s="19">
        <v>65.441307626197897</v>
      </c>
      <c r="I67" s="19">
        <v>67.4178215994216</v>
      </c>
      <c r="J67" s="19">
        <v>67.647013320544005</v>
      </c>
      <c r="K67" s="19">
        <v>66.540636716019606</v>
      </c>
      <c r="L67" s="19">
        <v>64.497353651321603</v>
      </c>
      <c r="M67" s="19">
        <v>61.802151473073103</v>
      </c>
      <c r="N67" s="19">
        <v>64.520794547105098</v>
      </c>
      <c r="O67" s="19">
        <v>69.126134227090603</v>
      </c>
      <c r="P67" s="19">
        <v>76.684235421312295</v>
      </c>
      <c r="Q67" s="19">
        <v>74.639929841130595</v>
      </c>
      <c r="R67" s="19">
        <v>71.767660910518003</v>
      </c>
      <c r="S67" s="19">
        <v>70.289154036332405</v>
      </c>
      <c r="T67" s="19">
        <v>77.949729486023401</v>
      </c>
      <c r="U67" s="19">
        <v>73.547951123863101</v>
      </c>
      <c r="V67" s="19">
        <v>72.816842291293895</v>
      </c>
      <c r="W67" s="19">
        <v>74.654671964098199</v>
      </c>
      <c r="X67" s="19">
        <v>73.396429339642907</v>
      </c>
      <c r="Y67" s="19">
        <v>69.813105701431098</v>
      </c>
      <c r="Z67" s="19">
        <v>69.368308704598206</v>
      </c>
      <c r="AA67" s="19">
        <v>68.449133810254907</v>
      </c>
    </row>
    <row r="68" spans="1:27" x14ac:dyDescent="0.25">
      <c r="A68" s="6" t="s">
        <v>116</v>
      </c>
      <c r="B68" s="6" t="s">
        <v>117</v>
      </c>
      <c r="C68" s="19">
        <v>81.179233919537495</v>
      </c>
      <c r="D68" s="19">
        <v>83.074206603434504</v>
      </c>
      <c r="E68" s="19">
        <v>81.820019200646797</v>
      </c>
      <c r="F68" s="19">
        <v>81.646090534979393</v>
      </c>
      <c r="G68" s="19">
        <v>83.799219521999106</v>
      </c>
      <c r="H68" s="19">
        <v>84.619500883750305</v>
      </c>
      <c r="I68" s="19">
        <v>83.604313116241897</v>
      </c>
      <c r="J68" s="19">
        <v>83.0453146030911</v>
      </c>
      <c r="K68" s="19">
        <v>85.052741945733004</v>
      </c>
      <c r="L68" s="19">
        <v>85.074913254129399</v>
      </c>
      <c r="M68" s="19">
        <v>86.202800595586595</v>
      </c>
      <c r="N68" s="19">
        <v>87.357099995384104</v>
      </c>
      <c r="O68" s="19">
        <v>89.046023052399207</v>
      </c>
      <c r="P68" s="19">
        <v>98.452598148523506</v>
      </c>
      <c r="Q68" s="19">
        <v>95.920329207002396</v>
      </c>
      <c r="R68" s="19">
        <v>94.265306122449005</v>
      </c>
      <c r="S68" s="19">
        <v>94.378157583575202</v>
      </c>
      <c r="T68" s="19">
        <v>93.972046889089299</v>
      </c>
      <c r="U68" s="19">
        <v>92.488008064784097</v>
      </c>
      <c r="V68" s="19">
        <v>91.543508516137607</v>
      </c>
      <c r="W68" s="19">
        <v>93.585441669926098</v>
      </c>
      <c r="X68" s="19">
        <v>94.598838459883893</v>
      </c>
      <c r="Y68" s="19">
        <v>93.482350094052194</v>
      </c>
      <c r="Z68" s="19">
        <v>91.717923043913601</v>
      </c>
      <c r="AA68" s="19">
        <v>93.6007578479731</v>
      </c>
    </row>
    <row r="69" spans="1:27" x14ac:dyDescent="0.25">
      <c r="A69" s="10" t="s">
        <v>811</v>
      </c>
      <c r="B69" s="10" t="s">
        <v>168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</row>
    <row r="70" spans="1:27" x14ac:dyDescent="0.25">
      <c r="A70" s="10" t="s">
        <v>812</v>
      </c>
      <c r="B70" s="10" t="s">
        <v>813</v>
      </c>
      <c r="C70" s="13">
        <v>47.0458925560106</v>
      </c>
      <c r="D70" s="13">
        <v>48.819475912933399</v>
      </c>
      <c r="E70" s="13">
        <v>52.7394606976235</v>
      </c>
      <c r="F70" s="13">
        <v>52.827748383303899</v>
      </c>
      <c r="G70" s="13">
        <v>52.8095533187063</v>
      </c>
      <c r="H70" s="13">
        <v>51.119687363180901</v>
      </c>
      <c r="I70" s="13">
        <v>48.622540800787597</v>
      </c>
      <c r="J70" s="13">
        <v>49.063230038522804</v>
      </c>
      <c r="K70" s="13">
        <v>50.5210650060367</v>
      </c>
      <c r="L70" s="13">
        <v>50.857864692431903</v>
      </c>
      <c r="M70" s="13">
        <v>53.330098874073599</v>
      </c>
      <c r="N70" s="13">
        <v>49.2191466773345</v>
      </c>
      <c r="O70" s="13">
        <v>52.474454344804997</v>
      </c>
      <c r="P70" s="13">
        <v>52.785661193323897</v>
      </c>
      <c r="Q70" s="13">
        <v>52.860323135561799</v>
      </c>
      <c r="R70" s="13">
        <v>50.817896389325</v>
      </c>
      <c r="S70" s="13">
        <v>49.928594462615699</v>
      </c>
      <c r="T70" s="13">
        <v>36.671550946798902</v>
      </c>
      <c r="U70" s="13">
        <v>36.115388450076999</v>
      </c>
      <c r="V70" s="13">
        <v>36.177568648242598</v>
      </c>
      <c r="W70" s="13">
        <v>34.0387426148177</v>
      </c>
      <c r="X70" s="13">
        <v>35.579694557969503</v>
      </c>
      <c r="Y70" s="13">
        <v>36.525240080521897</v>
      </c>
      <c r="Z70" s="13">
        <v>36.742845196571402</v>
      </c>
      <c r="AA70" s="13">
        <v>36.512810461786401</v>
      </c>
    </row>
    <row r="71" spans="1:27" x14ac:dyDescent="0.25">
      <c r="A71" s="10" t="s">
        <v>814</v>
      </c>
      <c r="B71" s="10" t="s">
        <v>815</v>
      </c>
      <c r="C71" s="13">
        <v>9.4796434594073705E-5</v>
      </c>
      <c r="D71" s="13">
        <v>9.6004500210947395E-5</v>
      </c>
      <c r="E71" s="13">
        <v>1.0140973169622601E-4</v>
      </c>
      <c r="F71" s="13">
        <v>1.00142773158646E-4</v>
      </c>
      <c r="G71" s="13">
        <v>9.9050362604049795E-5</v>
      </c>
      <c r="H71" s="13">
        <v>9.5347743598890803E-5</v>
      </c>
      <c r="I71" s="13">
        <v>9.0200119979695704E-5</v>
      </c>
      <c r="J71" s="13">
        <v>9.0273372835991797E-5</v>
      </c>
      <c r="K71" s="13">
        <v>9.1869479570439103E-5</v>
      </c>
      <c r="L71" s="13">
        <v>9.1990597866931003E-5</v>
      </c>
      <c r="M71" s="13">
        <v>9.5293861777056505E-5</v>
      </c>
      <c r="N71" s="13">
        <v>8.6932438878032996E-5</v>
      </c>
      <c r="O71" s="13">
        <v>8.7304831194310499E-5</v>
      </c>
      <c r="P71" s="13">
        <v>9.02425839583756E-5</v>
      </c>
      <c r="Q71" s="13">
        <v>9.0211488514858198E-5</v>
      </c>
      <c r="R71" s="13">
        <v>8.3751962323390901E-5</v>
      </c>
      <c r="S71" s="13">
        <v>8.2001197770304504E-5</v>
      </c>
      <c r="T71" s="13">
        <v>6.02231740306582E-5</v>
      </c>
      <c r="U71" s="13">
        <v>5.9256223066611999E-5</v>
      </c>
      <c r="V71" s="13">
        <v>5.9104866679921401E-5</v>
      </c>
      <c r="W71" s="13">
        <v>5.51083846264693E-5</v>
      </c>
      <c r="X71" s="13">
        <v>5.7689825768982601E-5</v>
      </c>
      <c r="Y71" s="13">
        <v>5.9093359147260398E-5</v>
      </c>
      <c r="Z71" s="13">
        <v>5.9141973746465203E-5</v>
      </c>
      <c r="AA71" s="13">
        <v>5.8461002406385097E-5</v>
      </c>
    </row>
    <row r="72" spans="1:27" x14ac:dyDescent="0.25">
      <c r="A72" s="10" t="s">
        <v>816</v>
      </c>
      <c r="B72" s="10" t="s">
        <v>817</v>
      </c>
      <c r="C72" s="13">
        <v>47.045797759575997</v>
      </c>
      <c r="D72" s="13">
        <v>48.819379908433199</v>
      </c>
      <c r="E72" s="13">
        <v>52.739359287891801</v>
      </c>
      <c r="F72" s="13">
        <v>52.827648240530799</v>
      </c>
      <c r="G72" s="13">
        <v>52.8094542683437</v>
      </c>
      <c r="H72" s="13">
        <v>51.119592015437298</v>
      </c>
      <c r="I72" s="13">
        <v>48.622450600667598</v>
      </c>
      <c r="J72" s="13">
        <v>49.063139765149998</v>
      </c>
      <c r="K72" s="13">
        <v>50.520973136557203</v>
      </c>
      <c r="L72" s="13">
        <v>50.857772701834101</v>
      </c>
      <c r="M72" s="13">
        <v>53.330003580211802</v>
      </c>
      <c r="N72" s="13">
        <v>49.219059744895603</v>
      </c>
      <c r="O72" s="13">
        <v>52.474367039973799</v>
      </c>
      <c r="P72" s="13">
        <v>52.785570950739903</v>
      </c>
      <c r="Q72" s="13">
        <v>52.860232924073301</v>
      </c>
      <c r="R72" s="13">
        <v>50.8178126373626</v>
      </c>
      <c r="S72" s="13">
        <v>49.928512461418002</v>
      </c>
      <c r="T72" s="13">
        <v>36.671490723624899</v>
      </c>
      <c r="U72" s="13">
        <v>36.115329193853903</v>
      </c>
      <c r="V72" s="13">
        <v>36.177509543375997</v>
      </c>
      <c r="W72" s="13">
        <v>34.038687506433099</v>
      </c>
      <c r="X72" s="13">
        <v>35.579636868143702</v>
      </c>
      <c r="Y72" s="13">
        <v>36.525180987162699</v>
      </c>
      <c r="Z72" s="13">
        <v>36.742786054597701</v>
      </c>
      <c r="AA72" s="13">
        <v>36.512752000783998</v>
      </c>
    </row>
    <row r="73" spans="1:27" x14ac:dyDescent="0.25">
      <c r="A73" s="10" t="s">
        <v>818</v>
      </c>
      <c r="B73" s="10" t="s">
        <v>819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</row>
    <row r="74" spans="1:27" x14ac:dyDescent="0.25">
      <c r="A74" s="10" t="s">
        <v>820</v>
      </c>
      <c r="B74" s="10" t="s">
        <v>821</v>
      </c>
      <c r="C74" s="13">
        <v>-27.067272946277999</v>
      </c>
      <c r="D74" s="13">
        <v>-31.0873947216276</v>
      </c>
      <c r="E74" s="13">
        <v>-33.776295622589402</v>
      </c>
      <c r="F74" s="13">
        <v>-33.822121441169102</v>
      </c>
      <c r="G74" s="13">
        <v>-35.724454419079798</v>
      </c>
      <c r="H74" s="13">
        <v>-34.665715351311</v>
      </c>
      <c r="I74" s="13">
        <v>-31.022442355909</v>
      </c>
      <c r="J74" s="13">
        <v>-30.7115119823012</v>
      </c>
      <c r="K74" s="13">
        <v>-34.009023320836199</v>
      </c>
      <c r="L74" s="13">
        <v>-34.600809095124603</v>
      </c>
      <c r="M74" s="13">
        <v>-38.080738795108203</v>
      </c>
      <c r="N74" s="13">
        <v>-35.333035865400902</v>
      </c>
      <c r="O74" s="13">
        <v>-40.219079538952002</v>
      </c>
      <c r="P74" s="13">
        <v>-49.949320900060798</v>
      </c>
      <c r="Q74" s="13">
        <v>-47.647316760549103</v>
      </c>
      <c r="R74" s="13">
        <v>-44.059654631083198</v>
      </c>
      <c r="S74" s="13">
        <v>-43.952027763701402</v>
      </c>
      <c r="T74" s="13">
        <v>-30.341523895401298</v>
      </c>
      <c r="U74" s="13">
        <v>-28.293212509277801</v>
      </c>
      <c r="V74" s="13">
        <v>-27.5819029314953</v>
      </c>
      <c r="W74" s="13">
        <v>-27.326718405829901</v>
      </c>
      <c r="X74" s="13">
        <v>-29.974187997418799</v>
      </c>
      <c r="Y74" s="13">
        <v>-29.837086252983799</v>
      </c>
      <c r="Z74" s="13">
        <v>-28.091062134832701</v>
      </c>
      <c r="AA74" s="13">
        <v>-30.0417034157602</v>
      </c>
    </row>
    <row r="75" spans="1:27" x14ac:dyDescent="0.25">
      <c r="A75" s="10" t="s">
        <v>822</v>
      </c>
      <c r="B75" s="10" t="s">
        <v>823</v>
      </c>
      <c r="C75" s="13">
        <v>-1.15785352927006</v>
      </c>
      <c r="D75" s="13">
        <v>-0.80628779474037804</v>
      </c>
      <c r="E75" s="13">
        <v>-0.78318427568086502</v>
      </c>
      <c r="F75" s="13">
        <v>-0.65171747711430295</v>
      </c>
      <c r="G75" s="13">
        <v>-0.88431842162560503</v>
      </c>
      <c r="H75" s="13">
        <v>-1.07347289562017</v>
      </c>
      <c r="I75" s="13">
        <v>-1.20441156112043</v>
      </c>
      <c r="J75" s="13">
        <v>-1.39703265931278</v>
      </c>
      <c r="K75" s="13">
        <v>-1.5647836309334699</v>
      </c>
      <c r="L75" s="13">
        <v>-1.3319688514367001</v>
      </c>
      <c r="M75" s="13">
        <v>-1.4521606745520601</v>
      </c>
      <c r="N75" s="13">
        <v>-1.2432108073177099</v>
      </c>
      <c r="O75" s="13">
        <v>-1.3013978582522701</v>
      </c>
      <c r="P75" s="13">
        <v>-1.2889384417866101</v>
      </c>
      <c r="Q75" s="13">
        <v>-1.1333355820150399</v>
      </c>
      <c r="R75" s="13">
        <v>-1.0235478806907401</v>
      </c>
      <c r="S75" s="13">
        <v>-0.35472428248951898</v>
      </c>
      <c r="T75" s="13">
        <v>-0.30207394048692499</v>
      </c>
      <c r="U75" s="13">
        <v>-0.31018400558331199</v>
      </c>
      <c r="V75" s="13">
        <v>-0.13917423288488301</v>
      </c>
      <c r="W75" s="13">
        <v>-0.29746587891388898</v>
      </c>
      <c r="X75" s="13">
        <v>-0.20434502043450201</v>
      </c>
      <c r="Y75" s="13">
        <v>-0.17050392159019701</v>
      </c>
      <c r="Z75" s="13">
        <v>-0.36970610565232198</v>
      </c>
      <c r="AA75" s="13">
        <v>-7.1864893999281407E-2</v>
      </c>
    </row>
    <row r="76" spans="1:27" x14ac:dyDescent="0.25">
      <c r="A76" s="6" t="s">
        <v>824</v>
      </c>
      <c r="B76" s="6" t="s">
        <v>825</v>
      </c>
      <c r="C76" s="19">
        <v>18.820766080462501</v>
      </c>
      <c r="D76" s="19">
        <v>16.925793396565499</v>
      </c>
      <c r="E76" s="19">
        <v>18.179980799353199</v>
      </c>
      <c r="F76" s="19">
        <v>18.3539094650206</v>
      </c>
      <c r="G76" s="19">
        <v>16.200780478000901</v>
      </c>
      <c r="H76" s="19">
        <v>15.3804991162497</v>
      </c>
      <c r="I76" s="19">
        <v>16.395686883758099</v>
      </c>
      <c r="J76" s="19">
        <v>16.9546853969089</v>
      </c>
      <c r="K76" s="19">
        <v>14.947258054266999</v>
      </c>
      <c r="L76" s="19">
        <v>14.925086745870599</v>
      </c>
      <c r="M76" s="19">
        <v>13.7971994044134</v>
      </c>
      <c r="N76" s="19">
        <v>12.6429000046159</v>
      </c>
      <c r="O76" s="19">
        <v>10.9539769476008</v>
      </c>
      <c r="P76" s="19">
        <v>1.54740185147645</v>
      </c>
      <c r="Q76" s="19">
        <v>4.0796707929976002</v>
      </c>
      <c r="R76" s="19">
        <v>5.7346938775510203</v>
      </c>
      <c r="S76" s="19">
        <v>5.6218424164248102</v>
      </c>
      <c r="T76" s="19">
        <v>6.0279531109107296</v>
      </c>
      <c r="U76" s="19">
        <v>7.5119919352158497</v>
      </c>
      <c r="V76" s="19">
        <v>8.4564914838624201</v>
      </c>
      <c r="W76" s="19">
        <v>6.4145583300739002</v>
      </c>
      <c r="X76" s="19">
        <v>5.4011615401161501</v>
      </c>
      <c r="Y76" s="19">
        <v>6.5176499059478399</v>
      </c>
      <c r="Z76" s="19">
        <v>8.2820769560863994</v>
      </c>
      <c r="AA76" s="19">
        <v>6.39924215202692</v>
      </c>
    </row>
    <row r="77" spans="1:27" x14ac:dyDescent="0.25">
      <c r="A77" s="10" t="s">
        <v>826</v>
      </c>
      <c r="B77" s="10" t="s">
        <v>170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</row>
    <row r="78" spans="1:27" x14ac:dyDescent="0.25">
      <c r="A78" s="6" t="s">
        <v>118</v>
      </c>
      <c r="B78" s="6" t="s">
        <v>119</v>
      </c>
      <c r="C78" s="19">
        <v>18.820766080462501</v>
      </c>
      <c r="D78" s="19">
        <v>16.925793396565499</v>
      </c>
      <c r="E78" s="19">
        <v>18.179980799353199</v>
      </c>
      <c r="F78" s="19">
        <v>18.3539094650206</v>
      </c>
      <c r="G78" s="19">
        <v>16.200780478000901</v>
      </c>
      <c r="H78" s="19">
        <v>15.3804991162497</v>
      </c>
      <c r="I78" s="19">
        <v>16.395686883758099</v>
      </c>
      <c r="J78" s="19">
        <v>16.9546853969089</v>
      </c>
      <c r="K78" s="19">
        <v>14.947258054266999</v>
      </c>
      <c r="L78" s="19">
        <v>14.925086745870599</v>
      </c>
      <c r="M78" s="19">
        <v>13.7971994044134</v>
      </c>
      <c r="N78" s="19">
        <v>12.6429000046159</v>
      </c>
      <c r="O78" s="19">
        <v>10.9539769476008</v>
      </c>
      <c r="P78" s="19">
        <v>1.54740185147645</v>
      </c>
      <c r="Q78" s="19">
        <v>4.0796707929976002</v>
      </c>
      <c r="R78" s="19">
        <v>5.7346938775510203</v>
      </c>
      <c r="S78" s="19">
        <v>5.6218424164248102</v>
      </c>
      <c r="T78" s="19">
        <v>6.0279531109107296</v>
      </c>
      <c r="U78" s="19">
        <v>7.5119919352158497</v>
      </c>
      <c r="V78" s="19">
        <v>8.4564914838624201</v>
      </c>
      <c r="W78" s="19">
        <v>6.4145583300739002</v>
      </c>
      <c r="X78" s="19">
        <v>5.4011615401161501</v>
      </c>
      <c r="Y78" s="19">
        <v>6.5176499059478399</v>
      </c>
      <c r="Z78" s="19">
        <v>8.2820769560863994</v>
      </c>
      <c r="AA78" s="19">
        <v>6.39924215202692</v>
      </c>
    </row>
    <row r="79" spans="1:27" x14ac:dyDescent="0.25">
      <c r="A79" s="6" t="s">
        <v>827</v>
      </c>
      <c r="B79" s="6" t="s">
        <v>828</v>
      </c>
      <c r="C79" s="19">
        <v>100</v>
      </c>
      <c r="D79" s="19">
        <v>100</v>
      </c>
      <c r="E79" s="19">
        <v>100</v>
      </c>
      <c r="F79" s="19">
        <v>100</v>
      </c>
      <c r="G79" s="19">
        <v>100</v>
      </c>
      <c r="H79" s="19">
        <v>100</v>
      </c>
      <c r="I79" s="19">
        <v>100</v>
      </c>
      <c r="J79" s="19">
        <v>100</v>
      </c>
      <c r="K79" s="19">
        <v>100</v>
      </c>
      <c r="L79" s="19">
        <v>100</v>
      </c>
      <c r="M79" s="19">
        <v>100</v>
      </c>
      <c r="N79" s="19">
        <v>100</v>
      </c>
      <c r="O79" s="19">
        <v>100</v>
      </c>
      <c r="P79" s="19">
        <v>100</v>
      </c>
      <c r="Q79" s="19">
        <v>100</v>
      </c>
      <c r="R79" s="19">
        <v>100</v>
      </c>
      <c r="S79" s="19">
        <v>100</v>
      </c>
      <c r="T79" s="19">
        <v>100</v>
      </c>
      <c r="U79" s="19">
        <v>100</v>
      </c>
      <c r="V79" s="19">
        <v>100</v>
      </c>
      <c r="W79" s="19">
        <v>100</v>
      </c>
      <c r="X79" s="19">
        <v>100</v>
      </c>
      <c r="Y79" s="19">
        <v>100</v>
      </c>
      <c r="Z79" s="19">
        <v>100</v>
      </c>
      <c r="AA79" s="19">
        <v>100</v>
      </c>
    </row>
    <row r="80" spans="1:27" x14ac:dyDescent="0.25">
      <c r="A80" s="6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 x14ac:dyDescent="0.25">
      <c r="A81" s="6" t="s">
        <v>4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 x14ac:dyDescent="0.25">
      <c r="A82" s="10" t="s">
        <v>386</v>
      </c>
      <c r="B82" s="10" t="s">
        <v>387</v>
      </c>
      <c r="C82" s="12" t="s">
        <v>388</v>
      </c>
      <c r="D82" s="12" t="s">
        <v>388</v>
      </c>
      <c r="E82" s="12" t="s">
        <v>388</v>
      </c>
      <c r="F82" s="12" t="s">
        <v>388</v>
      </c>
      <c r="G82" s="12" t="s">
        <v>388</v>
      </c>
      <c r="H82" s="12" t="s">
        <v>388</v>
      </c>
      <c r="I82" s="12" t="s">
        <v>388</v>
      </c>
      <c r="J82" s="12" t="s">
        <v>388</v>
      </c>
      <c r="K82" s="12" t="s">
        <v>388</v>
      </c>
      <c r="L82" s="12" t="s">
        <v>388</v>
      </c>
      <c r="M82" s="12" t="s">
        <v>388</v>
      </c>
      <c r="N82" s="12" t="s">
        <v>388</v>
      </c>
      <c r="O82" s="12" t="s">
        <v>388</v>
      </c>
      <c r="P82" s="12" t="s">
        <v>388</v>
      </c>
      <c r="Q82" s="12" t="s">
        <v>388</v>
      </c>
      <c r="R82" s="12" t="s">
        <v>388</v>
      </c>
      <c r="S82" s="12" t="s">
        <v>388</v>
      </c>
      <c r="T82" s="12" t="s">
        <v>388</v>
      </c>
      <c r="U82" s="12" t="s">
        <v>388</v>
      </c>
      <c r="V82" s="12" t="s">
        <v>388</v>
      </c>
      <c r="W82" s="12" t="s">
        <v>388</v>
      </c>
      <c r="X82" s="12" t="s">
        <v>388</v>
      </c>
      <c r="Y82" s="12" t="s">
        <v>388</v>
      </c>
      <c r="Z82" s="12" t="s">
        <v>388</v>
      </c>
      <c r="AA82" s="12" t="s">
        <v>388</v>
      </c>
    </row>
    <row r="83" spans="1:27" x14ac:dyDescent="0.25">
      <c r="A83" s="10" t="s">
        <v>829</v>
      </c>
      <c r="B83" s="10" t="s">
        <v>121</v>
      </c>
      <c r="C83" s="13">
        <v>0.94796434594073697</v>
      </c>
      <c r="D83" s="13">
        <v>0.96004500210947397</v>
      </c>
      <c r="E83" s="13">
        <v>1.01409731696226</v>
      </c>
      <c r="F83" s="13">
        <v>1.0014277315864599</v>
      </c>
      <c r="G83" s="13">
        <v>0.99050362604049802</v>
      </c>
      <c r="H83" s="13">
        <v>0.953477435988908</v>
      </c>
      <c r="I83" s="13">
        <v>0.90200119979695703</v>
      </c>
      <c r="J83" s="13">
        <v>0.90273372835991805</v>
      </c>
      <c r="K83" s="13">
        <v>0.91869479570439105</v>
      </c>
      <c r="L83" s="13">
        <v>0.91990597866931001</v>
      </c>
      <c r="M83" s="13">
        <v>0.95293861777056499</v>
      </c>
      <c r="N83" s="13">
        <v>0.86932438878033003</v>
      </c>
      <c r="O83" s="13">
        <v>0.87304831194310495</v>
      </c>
      <c r="P83" s="13">
        <v>0.902425839583756</v>
      </c>
      <c r="Q83" s="13">
        <v>0.90211488514858196</v>
      </c>
      <c r="R83" s="13">
        <v>0.83751962323390905</v>
      </c>
      <c r="S83" s="13">
        <v>0.82001197770304501</v>
      </c>
      <c r="T83" s="13">
        <v>0.602231740306582</v>
      </c>
      <c r="U83" s="13">
        <v>0.59256223066612002</v>
      </c>
      <c r="V83" s="13">
        <v>0.59104866679921397</v>
      </c>
      <c r="W83" s="13">
        <v>0.55108384626469298</v>
      </c>
      <c r="X83" s="13">
        <v>0.57689825768982606</v>
      </c>
      <c r="Y83" s="13">
        <v>0.59093359147260405</v>
      </c>
      <c r="Z83" s="13">
        <v>0.59141973746465204</v>
      </c>
      <c r="AA83" s="13">
        <v>0.58461002406385099</v>
      </c>
    </row>
    <row r="84" spans="1:27" x14ac:dyDescent="0.25">
      <c r="A84" s="10" t="s">
        <v>830</v>
      </c>
      <c r="B84" s="10" t="s">
        <v>831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</row>
    <row r="85" spans="1:27" x14ac:dyDescent="0.25">
      <c r="A85" s="10" t="s">
        <v>832</v>
      </c>
      <c r="B85" s="10" t="s">
        <v>833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</row>
    <row r="86" spans="1:27" x14ac:dyDescent="0.25">
      <c r="A86" s="10" t="s">
        <v>834</v>
      </c>
      <c r="B86" s="10" t="s">
        <v>835</v>
      </c>
      <c r="C86" s="13">
        <v>0.85672127198265502</v>
      </c>
      <c r="D86" s="13">
        <v>0.82347610044220798</v>
      </c>
      <c r="E86" s="13">
        <v>0.90276725110740597</v>
      </c>
      <c r="F86" s="13">
        <v>0.876795162509448</v>
      </c>
      <c r="G86" s="13">
        <v>0.94963739595022401</v>
      </c>
      <c r="H86" s="13" t="s">
        <v>148</v>
      </c>
      <c r="I86" s="13" t="s">
        <v>148</v>
      </c>
      <c r="J86" s="13" t="s">
        <v>148</v>
      </c>
      <c r="K86" s="13">
        <v>0.77524305776196201</v>
      </c>
      <c r="L86" s="13" t="s">
        <v>148</v>
      </c>
      <c r="M86" s="13" t="s">
        <v>148</v>
      </c>
      <c r="N86" s="13" t="s">
        <v>148</v>
      </c>
      <c r="O86" s="13">
        <v>1.2310962151557301</v>
      </c>
      <c r="P86" s="13" t="s">
        <v>148</v>
      </c>
      <c r="Q86" s="13" t="s">
        <v>148</v>
      </c>
      <c r="R86" s="13" t="s">
        <v>148</v>
      </c>
      <c r="S86" s="13">
        <v>1.19930590746457</v>
      </c>
      <c r="T86" s="13" t="s">
        <v>148</v>
      </c>
      <c r="U86" s="13" t="s">
        <v>148</v>
      </c>
      <c r="V86" s="13" t="s">
        <v>148</v>
      </c>
      <c r="W86" s="13">
        <v>1.00561994359471</v>
      </c>
      <c r="X86" s="13" t="s">
        <v>148</v>
      </c>
      <c r="Y86" s="13" t="s">
        <v>148</v>
      </c>
      <c r="Z86" s="13" t="s">
        <v>148</v>
      </c>
      <c r="AA86" s="13">
        <v>1.0246191705049099</v>
      </c>
    </row>
    <row r="87" spans="1:27" x14ac:dyDescent="0.25">
      <c r="A87" s="10" t="s">
        <v>836</v>
      </c>
      <c r="B87" s="10" t="s">
        <v>837</v>
      </c>
      <c r="C87" s="13">
        <v>0</v>
      </c>
      <c r="D87" s="13" t="s">
        <v>148</v>
      </c>
      <c r="E87" s="13" t="s">
        <v>148</v>
      </c>
      <c r="F87" s="13" t="s">
        <v>148</v>
      </c>
      <c r="G87" s="13">
        <v>0</v>
      </c>
      <c r="H87" s="13" t="s">
        <v>148</v>
      </c>
      <c r="I87" s="13" t="s">
        <v>148</v>
      </c>
      <c r="J87" s="13" t="s">
        <v>148</v>
      </c>
      <c r="K87" s="13">
        <v>0</v>
      </c>
      <c r="L87" s="13" t="s">
        <v>148</v>
      </c>
      <c r="M87" s="13" t="s">
        <v>148</v>
      </c>
      <c r="N87" s="13" t="s">
        <v>148</v>
      </c>
      <c r="O87" s="13">
        <v>0</v>
      </c>
      <c r="P87" s="13" t="s">
        <v>148</v>
      </c>
      <c r="Q87" s="13" t="s">
        <v>148</v>
      </c>
      <c r="R87" s="13" t="s">
        <v>148</v>
      </c>
      <c r="S87" s="13">
        <v>0</v>
      </c>
      <c r="T87" s="13" t="s">
        <v>148</v>
      </c>
      <c r="U87" s="13" t="s">
        <v>148</v>
      </c>
      <c r="V87" s="13" t="s">
        <v>148</v>
      </c>
      <c r="W87" s="13">
        <v>0</v>
      </c>
      <c r="X87" s="13" t="s">
        <v>148</v>
      </c>
      <c r="Y87" s="13" t="s">
        <v>148</v>
      </c>
      <c r="Z87" s="13" t="s">
        <v>148</v>
      </c>
      <c r="AA87" s="13">
        <v>0</v>
      </c>
    </row>
    <row r="88" spans="1:27" x14ac:dyDescent="0.25">
      <c r="A88" s="10" t="s">
        <v>838</v>
      </c>
      <c r="B88" s="10" t="s">
        <v>839</v>
      </c>
      <c r="C88" s="13" t="s">
        <v>148</v>
      </c>
      <c r="D88" s="13" t="s">
        <v>148</v>
      </c>
      <c r="E88" s="13" t="s">
        <v>148</v>
      </c>
      <c r="F88" s="13" t="s">
        <v>148</v>
      </c>
      <c r="G88" s="13" t="s">
        <v>148</v>
      </c>
      <c r="H88" s="13" t="s">
        <v>148</v>
      </c>
      <c r="I88" s="13" t="s">
        <v>148</v>
      </c>
      <c r="J88" s="13" t="s">
        <v>148</v>
      </c>
      <c r="K88" s="13">
        <v>1.5886128232827099E-3</v>
      </c>
      <c r="L88" s="13" t="s">
        <v>148</v>
      </c>
      <c r="M88" s="13" t="s">
        <v>148</v>
      </c>
      <c r="N88" s="13" t="s">
        <v>148</v>
      </c>
      <c r="O88" s="13">
        <v>2.12539851222104E-3</v>
      </c>
      <c r="P88" s="13" t="s">
        <v>148</v>
      </c>
      <c r="Q88" s="13" t="s">
        <v>148</v>
      </c>
      <c r="R88" s="13" t="s">
        <v>148</v>
      </c>
      <c r="S88" s="13" t="s">
        <v>148</v>
      </c>
      <c r="T88" s="13" t="s">
        <v>148</v>
      </c>
      <c r="U88" s="13" t="s">
        <v>148</v>
      </c>
      <c r="V88" s="13" t="s">
        <v>148</v>
      </c>
      <c r="W88" s="13" t="s">
        <v>148</v>
      </c>
      <c r="X88" s="13" t="s">
        <v>148</v>
      </c>
      <c r="Y88" s="13" t="s">
        <v>148</v>
      </c>
      <c r="Z88" s="13" t="s">
        <v>148</v>
      </c>
      <c r="AA88" s="13" t="s">
        <v>148</v>
      </c>
    </row>
    <row r="89" spans="1:27" x14ac:dyDescent="0.25">
      <c r="A89" s="10" t="s">
        <v>840</v>
      </c>
      <c r="B89" s="10" t="s">
        <v>841</v>
      </c>
      <c r="C89" s="13">
        <v>6.6249096603228103E-3</v>
      </c>
      <c r="D89" s="13" t="s">
        <v>148</v>
      </c>
      <c r="E89" s="13" t="s">
        <v>148</v>
      </c>
      <c r="F89" s="13" t="s">
        <v>148</v>
      </c>
      <c r="G89" s="13">
        <v>8.0392583784145901E-3</v>
      </c>
      <c r="H89" s="13" t="s">
        <v>148</v>
      </c>
      <c r="I89" s="13" t="s">
        <v>148</v>
      </c>
      <c r="J89" s="13" t="s">
        <v>148</v>
      </c>
      <c r="K89" s="13">
        <v>7.4664802694287399E-3</v>
      </c>
      <c r="L89" s="13" t="s">
        <v>148</v>
      </c>
      <c r="M89" s="13" t="s">
        <v>148</v>
      </c>
      <c r="N89" s="13" t="s">
        <v>148</v>
      </c>
      <c r="O89" s="13">
        <v>8.3381018556363904E-3</v>
      </c>
      <c r="P89" s="13" t="s">
        <v>148</v>
      </c>
      <c r="Q89" s="13" t="s">
        <v>148</v>
      </c>
      <c r="R89" s="13" t="s">
        <v>148</v>
      </c>
      <c r="S89" s="13">
        <v>8.1386956588504495E-3</v>
      </c>
      <c r="T89" s="13" t="s">
        <v>148</v>
      </c>
      <c r="U89" s="13" t="s">
        <v>148</v>
      </c>
      <c r="V89" s="13" t="s">
        <v>148</v>
      </c>
      <c r="W89" s="13">
        <v>6.0728328221174603E-3</v>
      </c>
      <c r="X89" s="13" t="s">
        <v>148</v>
      </c>
      <c r="Y89" s="13" t="s">
        <v>148</v>
      </c>
      <c r="Z89" s="13" t="s">
        <v>148</v>
      </c>
      <c r="AA89" s="13">
        <v>6.4242859787236404E-3</v>
      </c>
    </row>
    <row r="90" spans="1:27" x14ac:dyDescent="0.25">
      <c r="A90" s="10" t="s">
        <v>842</v>
      </c>
      <c r="B90" s="10" t="s">
        <v>843</v>
      </c>
      <c r="C90" s="13">
        <v>6.96368344977114</v>
      </c>
      <c r="D90" s="13">
        <v>11.2677156741722</v>
      </c>
      <c r="E90" s="13">
        <v>15.7529516783723</v>
      </c>
      <c r="F90" s="13">
        <v>15.8293440833123</v>
      </c>
      <c r="G90" s="13">
        <v>36.042675063225403</v>
      </c>
      <c r="H90" s="13">
        <v>38.651510483387099</v>
      </c>
      <c r="I90" s="13">
        <v>35.075602590330902</v>
      </c>
      <c r="J90" s="13">
        <v>33.923294707365699</v>
      </c>
      <c r="K90" s="13">
        <v>36.217195145199199</v>
      </c>
      <c r="L90" s="13">
        <v>35.368330161978903</v>
      </c>
      <c r="M90" s="13">
        <v>41.323005370317702</v>
      </c>
      <c r="N90" s="13">
        <v>37.939470404505101</v>
      </c>
      <c r="O90" s="13">
        <v>42.413144772337098</v>
      </c>
      <c r="P90" s="13">
        <v>51.20278397189</v>
      </c>
      <c r="Q90" s="13">
        <v>49.480554524909799</v>
      </c>
      <c r="R90" s="13">
        <v>42.740973312401898</v>
      </c>
      <c r="S90" s="13">
        <v>46.582515624760099</v>
      </c>
      <c r="T90" s="13">
        <v>33.852569882777303</v>
      </c>
      <c r="U90" s="13">
        <v>30.238509344293199</v>
      </c>
      <c r="V90" s="13">
        <v>28.416948328804601</v>
      </c>
      <c r="W90" s="13">
        <v>56.074891409514798</v>
      </c>
      <c r="X90" s="13">
        <v>58.412561841256199</v>
      </c>
      <c r="Y90" s="13">
        <v>58.679749634241603</v>
      </c>
      <c r="Z90" s="13">
        <v>56.541927533201999</v>
      </c>
      <c r="AA90" s="13">
        <v>53.251886453467499</v>
      </c>
    </row>
    <row r="91" spans="1:27" x14ac:dyDescent="0.25">
      <c r="A91" s="10" t="s">
        <v>844</v>
      </c>
      <c r="B91" s="10" t="s">
        <v>845</v>
      </c>
      <c r="C91" s="13">
        <v>5.5709467598169103E-2</v>
      </c>
      <c r="D91" s="13">
        <v>0.104022485429004</v>
      </c>
      <c r="E91" s="13">
        <v>0.14594174287976</v>
      </c>
      <c r="F91" s="13">
        <v>0.144864501553708</v>
      </c>
      <c r="G91" s="13">
        <v>0.37261113437285398</v>
      </c>
      <c r="H91" s="13">
        <v>0.40750142859459398</v>
      </c>
      <c r="I91" s="13">
        <v>0.32907029425789502</v>
      </c>
      <c r="J91" s="13">
        <v>0.30954735522997701</v>
      </c>
      <c r="K91" s="13">
        <v>0.38492076952405202</v>
      </c>
      <c r="L91" s="13">
        <v>0.37891932873886702</v>
      </c>
      <c r="M91" s="13">
        <v>0.50106712060629399</v>
      </c>
      <c r="N91" s="13">
        <v>0.46171924514947799</v>
      </c>
      <c r="O91" s="13">
        <v>0.63303201177143797</v>
      </c>
      <c r="P91" s="13">
        <v>5.5898235776065999</v>
      </c>
      <c r="Q91" s="13">
        <v>2.04549625931798</v>
      </c>
      <c r="R91" s="13">
        <v>1.1700239073783401</v>
      </c>
      <c r="S91" s="13">
        <v>1.2723986793814599</v>
      </c>
      <c r="T91" s="13">
        <v>0.63299494927862898</v>
      </c>
      <c r="U91" s="13">
        <v>0.44592994161893901</v>
      </c>
      <c r="V91" s="13">
        <v>0.37117226124991698</v>
      </c>
      <c r="W91" s="13">
        <v>0.899789656627622</v>
      </c>
      <c r="X91" s="13">
        <v>1.1631334491288401</v>
      </c>
      <c r="Y91" s="13">
        <v>0.99037552113698601</v>
      </c>
      <c r="Z91" s="13">
        <v>0.75118809018188204</v>
      </c>
      <c r="AA91" s="13">
        <v>0.90610662681431597</v>
      </c>
    </row>
    <row r="92" spans="1:27" x14ac:dyDescent="0.25">
      <c r="A92" s="10" t="s">
        <v>846</v>
      </c>
      <c r="B92" s="10" t="s">
        <v>847</v>
      </c>
      <c r="C92" s="13">
        <v>-3.2790320103589503E-2</v>
      </c>
      <c r="D92" s="13">
        <v>-4.0689657327687201E-2</v>
      </c>
      <c r="E92" s="13">
        <v>-4.7622543917268799E-2</v>
      </c>
      <c r="F92" s="13">
        <v>-4.6168408499202097E-2</v>
      </c>
      <c r="G92" s="13">
        <v>-0.15997127305006101</v>
      </c>
      <c r="H92" s="13">
        <v>-0.136504548476544</v>
      </c>
      <c r="I92" s="13">
        <v>-0.10433739828644401</v>
      </c>
      <c r="J92" s="13">
        <v>-9.9181177963086203E-2</v>
      </c>
      <c r="K92" s="13">
        <v>-0.109681095507403</v>
      </c>
      <c r="L92" s="13">
        <v>-0.106633545467628</v>
      </c>
      <c r="M92" s="13">
        <v>-0.122078343064594</v>
      </c>
      <c r="N92" s="13">
        <v>-9.1047702060221905E-2</v>
      </c>
      <c r="O92" s="13">
        <v>-0.122893883757051</v>
      </c>
      <c r="P92" s="13">
        <v>-0.162203120143253</v>
      </c>
      <c r="Q92" s="13">
        <v>-0.14582113367288399</v>
      </c>
      <c r="R92" s="13">
        <v>-0.10788615698587101</v>
      </c>
      <c r="S92" s="13">
        <v>-0.12806466731162</v>
      </c>
      <c r="T92" s="13">
        <v>-4.9878490757439102E-2</v>
      </c>
      <c r="U92" s="13">
        <v>-4.3097392238753099E-2</v>
      </c>
      <c r="V92" s="13">
        <v>-3.7493363819117699E-2</v>
      </c>
      <c r="W92" s="13">
        <v>-0.101031578730675</v>
      </c>
      <c r="X92" s="13">
        <v>-0.112253043665304</v>
      </c>
      <c r="Y92" s="13">
        <v>-0.11194564114974601</v>
      </c>
      <c r="Z92" s="13">
        <v>-0.10176364776690899</v>
      </c>
      <c r="AA92" s="13">
        <v>-9.6816185934080298E-2</v>
      </c>
    </row>
    <row r="93" spans="1:27" x14ac:dyDescent="0.25">
      <c r="A93" s="10" t="s">
        <v>848</v>
      </c>
      <c r="B93" s="10" t="s">
        <v>849</v>
      </c>
      <c r="C93" s="13">
        <v>4.1992863165502296E-3</v>
      </c>
      <c r="D93" s="13">
        <v>4.3228401331312401E-3</v>
      </c>
      <c r="E93" s="13">
        <v>4.8752092702070001E-3</v>
      </c>
      <c r="F93" s="13">
        <v>4.8575829344083303E-3</v>
      </c>
      <c r="G93" s="13">
        <v>2.40624549885273E-3</v>
      </c>
      <c r="H93" s="13">
        <v>2.5793867259076698E-3</v>
      </c>
      <c r="I93" s="13">
        <v>3.34667979265047E-3</v>
      </c>
      <c r="J93" s="13">
        <v>3.5224422544363099E-3</v>
      </c>
      <c r="K93" s="13">
        <v>2.88248713223613E-3</v>
      </c>
      <c r="L93" s="13">
        <v>2.6464494155646898E-3</v>
      </c>
      <c r="M93" s="13">
        <v>2.1907817911097E-3</v>
      </c>
      <c r="N93" s="13">
        <v>2.52740448971428E-3</v>
      </c>
      <c r="O93" s="13">
        <v>2.6011951279326399E-3</v>
      </c>
      <c r="P93" s="13">
        <v>2.42789884451652E-3</v>
      </c>
      <c r="Q93" s="13">
        <v>2.5825614733362601E-3</v>
      </c>
      <c r="R93" s="13">
        <v>2.63582103610675E-3</v>
      </c>
      <c r="S93" s="13">
        <v>2.1717909737258298E-3</v>
      </c>
      <c r="T93" s="13">
        <v>3.5446088818755599E-3</v>
      </c>
      <c r="U93" s="13">
        <v>3.06998637405976E-3</v>
      </c>
      <c r="V93" s="13">
        <v>3.1582885987584798E-3</v>
      </c>
      <c r="W93" s="13">
        <v>1.69750602136814E-3</v>
      </c>
      <c r="X93" s="13">
        <v>1.52912561841256E-3</v>
      </c>
      <c r="Y93" s="13">
        <v>1.3908675899545701E-3</v>
      </c>
      <c r="Z93" s="13">
        <v>1.44993343089467E-3</v>
      </c>
      <c r="AA93" s="13">
        <v>1.36844260063807E-3</v>
      </c>
    </row>
    <row r="94" spans="1:27" x14ac:dyDescent="0.25">
      <c r="A94" s="10" t="s">
        <v>850</v>
      </c>
      <c r="B94" s="10" t="s">
        <v>851</v>
      </c>
      <c r="C94" s="13">
        <v>0.298619305589015</v>
      </c>
      <c r="D94" s="13">
        <v>0.347573053424379</v>
      </c>
      <c r="E94" s="13">
        <v>0.407441262863591</v>
      </c>
      <c r="F94" s="13">
        <v>0.40753290333417302</v>
      </c>
      <c r="G94" s="13">
        <v>0.400108851558444</v>
      </c>
      <c r="H94" s="13">
        <v>0.39006092688384802</v>
      </c>
      <c r="I94" s="13">
        <v>0.37782642322068599</v>
      </c>
      <c r="J94" s="13">
        <v>0.34292667512415498</v>
      </c>
      <c r="K94" s="13">
        <v>0.32556931117748</v>
      </c>
      <c r="L94" s="13">
        <v>0.35223792513471602</v>
      </c>
      <c r="M94" s="13">
        <v>0.391441885132083</v>
      </c>
      <c r="N94" s="13">
        <v>0.35534265690151201</v>
      </c>
      <c r="O94" s="13">
        <v>0.35196145835036402</v>
      </c>
      <c r="P94" s="13">
        <v>0.38478852794107699</v>
      </c>
      <c r="Q94" s="13">
        <v>0.41740255675110499</v>
      </c>
      <c r="R94" s="13">
        <v>0.41259970643642102</v>
      </c>
      <c r="S94" s="13">
        <v>0.39220203006710602</v>
      </c>
      <c r="T94" s="13">
        <v>0.301975013525699</v>
      </c>
      <c r="U94" s="13">
        <v>0.29702378114302802</v>
      </c>
      <c r="V94" s="13">
        <v>0.294263193938189</v>
      </c>
      <c r="W94" s="13">
        <v>0.36109248306811897</v>
      </c>
      <c r="X94" s="13">
        <v>0.31306685416218499</v>
      </c>
      <c r="Y94" s="13">
        <v>0.26433886389387001</v>
      </c>
      <c r="Z94" s="13">
        <v>0.230866013445859</v>
      </c>
      <c r="AA94" s="13">
        <v>0.272288284933416</v>
      </c>
    </row>
    <row r="95" spans="1:27" x14ac:dyDescent="0.25">
      <c r="A95" s="10" t="s">
        <v>852</v>
      </c>
      <c r="B95" s="10" t="s">
        <v>853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 t="s">
        <v>148</v>
      </c>
      <c r="U95" s="13" t="s">
        <v>148</v>
      </c>
      <c r="V95" s="13" t="s">
        <v>148</v>
      </c>
      <c r="W95" s="13">
        <v>0</v>
      </c>
      <c r="X95" s="13">
        <v>0</v>
      </c>
      <c r="Y95" s="13" t="s">
        <v>148</v>
      </c>
      <c r="Z95" s="13" t="s">
        <v>148</v>
      </c>
      <c r="AA95" s="13">
        <v>0</v>
      </c>
    </row>
    <row r="96" spans="1:27" x14ac:dyDescent="0.25">
      <c r="A96" s="10" t="s">
        <v>854</v>
      </c>
      <c r="B96" s="10" t="s">
        <v>855</v>
      </c>
      <c r="C96" s="13">
        <v>21500</v>
      </c>
      <c r="D96" s="13" t="s">
        <v>148</v>
      </c>
      <c r="E96" s="13" t="s">
        <v>148</v>
      </c>
      <c r="F96" s="13" t="s">
        <v>148</v>
      </c>
      <c r="G96" s="13">
        <v>23400</v>
      </c>
      <c r="H96" s="13" t="s">
        <v>148</v>
      </c>
      <c r="I96" s="13" t="s">
        <v>148</v>
      </c>
      <c r="J96" s="13" t="s">
        <v>148</v>
      </c>
      <c r="K96" s="13">
        <v>24200</v>
      </c>
      <c r="L96" s="13" t="s">
        <v>148</v>
      </c>
      <c r="M96" s="13" t="s">
        <v>148</v>
      </c>
      <c r="N96" s="13" t="s">
        <v>148</v>
      </c>
      <c r="O96" s="13">
        <v>24200</v>
      </c>
      <c r="P96" s="13" t="s">
        <v>148</v>
      </c>
      <c r="Q96" s="13" t="s">
        <v>148</v>
      </c>
      <c r="R96" s="13" t="s">
        <v>148</v>
      </c>
      <c r="S96" s="13">
        <v>25200</v>
      </c>
      <c r="T96" s="13" t="s">
        <v>148</v>
      </c>
      <c r="U96" s="13" t="s">
        <v>148</v>
      </c>
      <c r="V96" s="13" t="s">
        <v>148</v>
      </c>
      <c r="W96" s="13">
        <v>26700</v>
      </c>
      <c r="X96" s="13" t="s">
        <v>148</v>
      </c>
      <c r="Y96" s="13" t="s">
        <v>148</v>
      </c>
      <c r="Z96" s="13" t="s">
        <v>148</v>
      </c>
      <c r="AA96" s="13">
        <v>28000</v>
      </c>
    </row>
    <row r="97" spans="1:27" x14ac:dyDescent="0.25">
      <c r="A97" s="7" t="s">
        <v>90</v>
      </c>
      <c r="B97" s="7"/>
      <c r="C97" s="7" t="s">
        <v>5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25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1239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10" t="s">
        <v>1240</v>
      </c>
      <c r="B6" s="10" t="s">
        <v>1051</v>
      </c>
      <c r="C6" s="13">
        <f>_xll.BDH("AMGN US Equity","ARDR_FV_ASSETS_REC_LEVEL_1","FQ4 2018","FQ4 2018","Currency=USD","Period=FQ","BEST_FPERIOD_OVERRIDE=FQ","FILING_STATUS=MR","SCALING_FORMAT=MLN","Sort=A","Dates=H","DateFormat=P","Fill=—","Direction=H","UseDPDF=Y")</f>
        <v>16689</v>
      </c>
      <c r="D6" s="13">
        <f>_xll.BDH("AMGN US Equity","ARDR_FV_ASSETS_REC_LEVEL_1","FQ1 2019","FQ1 2019","Currency=USD","Period=FQ","BEST_FPERIOD_OVERRIDE=FQ","FILING_STATUS=MR","SCALING_FORMAT=MLN","Sort=A","Dates=H","DateFormat=P","Fill=—","Direction=H","UseDPDF=Y")</f>
        <v>10778</v>
      </c>
      <c r="E6" s="13">
        <f>_xll.BDH("AMGN US Equity","ARDR_FV_ASSETS_REC_LEVEL_1","FQ2 2019","FQ2 2019","Currency=USD","Period=FQ","BEST_FPERIOD_OVERRIDE=FQ","FILING_STATUS=MR","SCALING_FORMAT=MLN","Sort=A","Dates=H","DateFormat=P","Fill=—","Direction=H","UseDPDF=Y")</f>
        <v>10387</v>
      </c>
      <c r="F6" s="13">
        <f>_xll.BDH("AMGN US Equity","ARDR_FV_ASSETS_REC_LEVEL_1","FQ3 2019","FQ3 2019","Currency=USD","Period=FQ","BEST_FPERIOD_OVERRIDE=FQ","FILING_STATUS=MR","SCALING_FORMAT=MLN","Sort=A","Dates=H","DateFormat=P","Fill=—","Direction=H","UseDPDF=Y")</f>
        <v>11955</v>
      </c>
      <c r="G6" s="13">
        <f>_xll.BDH("AMGN US Equity","ARDR_FV_ASSETS_REC_LEVEL_1","FQ4 2019","FQ4 2019","Currency=USD","Period=FQ","BEST_FPERIOD_OVERRIDE=FQ","FILING_STATUS=MR","SCALING_FORMAT=MLN","Sort=A","Dates=H","DateFormat=P","Fill=—","Direction=H","UseDPDF=Y")</f>
        <v>5913</v>
      </c>
      <c r="H6" s="13">
        <f>_xll.BDH("AMGN US Equity","ARDR_FV_ASSETS_REC_LEVEL_1","FQ1 2020","FQ1 2020","Currency=USD","Period=FQ","BEST_FPERIOD_OVERRIDE=FQ","FILING_STATUS=MR","SCALING_FORMAT=MLN","Sort=A","Dates=H","DateFormat=P","Fill=—","Direction=H","UseDPDF=Y")</f>
        <v>7058</v>
      </c>
      <c r="I6" s="13">
        <f>_xll.BDH("AMGN US Equity","ARDR_FV_ASSETS_REC_LEVEL_1","FQ2 2020","FQ2 2020","Currency=USD","Period=FQ","BEST_FPERIOD_OVERRIDE=FQ","FILING_STATUS=MR","SCALING_FORMAT=MLN","Sort=A","Dates=H","DateFormat=P","Fill=—","Direction=H","UseDPDF=Y")</f>
        <v>11029</v>
      </c>
      <c r="J6" s="13">
        <f>_xll.BDH("AMGN US Equity","ARDR_FV_ASSETS_REC_LEVEL_1","FQ3 2020","FQ3 2020","Currency=USD","Period=FQ","BEST_FPERIOD_OVERRIDE=FQ","FILING_STATUS=MR","SCALING_FORMAT=MLN","Sort=A","Dates=H","DateFormat=P","Fill=—","Direction=H","UseDPDF=Y")</f>
        <v>11965</v>
      </c>
      <c r="K6" s="13">
        <f>_xll.BDH("AMGN US Equity","ARDR_FV_ASSETS_REC_LEVEL_1","FQ4 2020","FQ4 2020","Currency=USD","Period=FQ","BEST_FPERIOD_OVERRIDE=FQ","FILING_STATUS=MR","SCALING_FORMAT=MLN","Sort=A","Dates=H","DateFormat=P","Fill=—","Direction=H","UseDPDF=Y")</f>
        <v>10320</v>
      </c>
      <c r="L6" s="13">
        <f>_xll.BDH("AMGN US Equity","ARDR_FV_ASSETS_REC_LEVEL_1","FQ1 2021","FQ1 2021","Currency=USD","Period=FQ","BEST_FPERIOD_OVERRIDE=FQ","FILING_STATUS=MR","SCALING_FORMAT=MLN","Sort=A","Dates=H","DateFormat=P","Fill=—","Direction=H","UseDPDF=Y")</f>
        <v>10115</v>
      </c>
      <c r="M6" s="13">
        <f>_xll.BDH("AMGN US Equity","ARDR_FV_ASSETS_REC_LEVEL_1","FQ2 2021","FQ2 2021","Currency=USD","Period=FQ","BEST_FPERIOD_OVERRIDE=FQ","FILING_STATUS=MR","SCALING_FORMAT=MLN","Sort=A","Dates=H","DateFormat=P","Fill=—","Direction=H","UseDPDF=Y")</f>
        <v>7562</v>
      </c>
      <c r="N6" s="13">
        <f>_xll.BDH("AMGN US Equity","ARDR_FV_ASSETS_REC_LEVEL_1","FQ3 2021","FQ3 2021","Currency=USD","Period=FQ","BEST_FPERIOD_OVERRIDE=FQ","FILING_STATUS=MR","SCALING_FORMAT=MLN","Sort=A","Dates=H","DateFormat=P","Fill=—","Direction=H","UseDPDF=Y")</f>
        <v>12882</v>
      </c>
      <c r="O6" s="13">
        <f>_xll.BDH("AMGN US Equity","ARDR_FV_ASSETS_REC_LEVEL_1","FQ4 2021","FQ4 2021","Currency=USD","Period=FQ","BEST_FPERIOD_OVERRIDE=FQ","FILING_STATUS=MR","SCALING_FORMAT=MLN","Sort=A","Dates=H","DateFormat=P","Fill=—","Direction=H","UseDPDF=Y")</f>
        <v>7914</v>
      </c>
      <c r="P6" s="13">
        <f>_xll.BDH("AMGN US Equity","ARDR_FV_ASSETS_REC_LEVEL_1","FQ1 2022","FQ1 2022","Currency=USD","Period=FQ","BEST_FPERIOD_OVERRIDE=FQ","FILING_STATUS=MR","SCALING_FORMAT=MLN","Sort=A","Dates=H","DateFormat=P","Fill=—","Direction=H","UseDPDF=Y")</f>
        <v>6326</v>
      </c>
      <c r="Q6" s="13">
        <f>_xll.BDH("AMGN US Equity","ARDR_FV_ASSETS_REC_LEVEL_1","FQ2 2022","FQ2 2022","Currency=USD","Period=FQ","BEST_FPERIOD_OVERRIDE=FQ","FILING_STATUS=MR","SCALING_FORMAT=MLN","Sort=A","Dates=H","DateFormat=P","Fill=—","Direction=H","UseDPDF=Y")</f>
        <v>6774</v>
      </c>
      <c r="R6" s="13">
        <f>_xll.BDH("AMGN US Equity","ARDR_FV_ASSETS_REC_LEVEL_1","FQ3 2022","FQ3 2022","Currency=USD","Period=FQ","BEST_FPERIOD_OVERRIDE=FQ","FILING_STATUS=MR","SCALING_FORMAT=MLN","Sort=A","Dates=H","DateFormat=P","Fill=—","Direction=H","UseDPDF=Y")</f>
        <v>11306</v>
      </c>
      <c r="S6" s="13">
        <f>_xll.BDH("AMGN US Equity","ARDR_FV_ASSETS_REC_LEVEL_1","FQ4 2022","FQ4 2022","Currency=USD","Period=FQ","BEST_FPERIOD_OVERRIDE=FQ","FILING_STATUS=MR","SCALING_FORMAT=MLN","Sort=A","Dates=H","DateFormat=P","Fill=—","Direction=H","UseDPDF=Y")</f>
        <v>4815</v>
      </c>
      <c r="T6" s="13">
        <f>_xll.BDH("AMGN US Equity","ARDR_FV_ASSETS_REC_LEVEL_1","FQ1 2023","FQ1 2023","Currency=USD","Period=FQ","BEST_FPERIOD_OVERRIDE=FQ","FILING_STATUS=MR","SCALING_FORMAT=MLN","Sort=A","Dates=H","DateFormat=P","Fill=—","Direction=H","UseDPDF=Y")</f>
        <v>35609</v>
      </c>
      <c r="U6" s="13">
        <f>_xll.BDH("AMGN US Equity","ARDR_FV_ASSETS_REC_LEVEL_1","FQ2 2023","FQ2 2023","Currency=USD","Period=FQ","BEST_FPERIOD_OVERRIDE=FQ","FILING_STATUS=MR","SCALING_FORMAT=MLN","Sort=A","Dates=H","DateFormat=P","Fill=—","Direction=H","UseDPDF=Y")</f>
        <v>37393</v>
      </c>
      <c r="V6" s="13">
        <f>_xll.BDH("AMGN US Equity","ARDR_FV_ASSETS_REC_LEVEL_1","FQ3 2023","FQ3 2023","Currency=USD","Period=FQ","BEST_FPERIOD_OVERRIDE=FQ","FILING_STATUS=MR","SCALING_FORMAT=MLN","Sort=A","Dates=H","DateFormat=P","Fill=—","Direction=H","UseDPDF=Y")</f>
        <v>38458</v>
      </c>
      <c r="W6" s="13">
        <f>_xll.BDH("AMGN US Equity","ARDR_FV_ASSETS_REC_LEVEL_1","FQ4 2023","FQ4 2023","Currency=USD","Period=FQ","BEST_FPERIOD_OVERRIDE=FQ","FILING_STATUS=MR","SCALING_FORMAT=MLN","Sort=A","Dates=H","DateFormat=P","Fill=—","Direction=H","UseDPDF=Y")</f>
        <v>14780</v>
      </c>
      <c r="X6" s="13">
        <f>_xll.BDH("AMGN US Equity","ARDR_FV_ASSETS_REC_LEVEL_1","FQ1 2024","FQ1 2024","Currency=USD","Period=FQ","BEST_FPERIOD_OVERRIDE=FQ","FILING_STATUS=MR","SCALING_FORMAT=MLN","Sort=A","Dates=H","DateFormat=P","Fill=—","Direction=H","UseDPDF=Y")</f>
        <v>13084</v>
      </c>
      <c r="Y6" s="13">
        <f>_xll.BDH("AMGN US Equity","ARDR_FV_ASSETS_REC_LEVEL_1","FQ2 2024","FQ2 2024","Currency=USD","Period=FQ","BEST_FPERIOD_OVERRIDE=FQ","FILING_STATUS=MR","SCALING_FORMAT=MLN","Sort=A","Dates=H","DateFormat=P","Fill=—","Direction=H","UseDPDF=Y")</f>
        <v>11148</v>
      </c>
      <c r="Z6" s="13">
        <f>_xll.BDH("AMGN US Equity","ARDR_FV_ASSETS_REC_LEVEL_1","FQ3 2024","FQ3 2024","Currency=USD","Period=FQ","BEST_FPERIOD_OVERRIDE=FQ","FILING_STATUS=MR","SCALING_FORMAT=MLN","Sort=A","Dates=H","DateFormat=P","Fill=—","Direction=H","UseDPDF=Y")</f>
        <v>12494</v>
      </c>
      <c r="AA6" s="13">
        <f>_xll.BDH("AMGN US Equity","ARDR_FV_ASSETS_REC_LEVEL_1","FQ4 2024","FQ4 2024","Currency=USD","Period=FQ","BEST_FPERIOD_OVERRIDE=FQ","FILING_STATUS=MR","SCALING_FORMAT=MLN","Sort=A","Dates=H","DateFormat=P","Fill=—","Direction=H","UseDPDF=Y")</f>
        <v>14542</v>
      </c>
    </row>
    <row r="7" spans="1:27" x14ac:dyDescent="0.25">
      <c r="A7" s="10" t="s">
        <v>1241</v>
      </c>
      <c r="B7" s="10" t="s">
        <v>1053</v>
      </c>
      <c r="C7" s="13">
        <f>_xll.BDH("AMGN US Equity","ARDR_FV_ASSETS_REC_LEVEL_2","FQ4 2018","FQ4 2018","Currency=USD","Period=FQ","BEST_FPERIOD_OVERRIDE=FQ","FILING_STATUS=MR","SCALING_FORMAT=MLN","Sort=A","Dates=H","DateFormat=P","Fill=—","Direction=H","UseDPDF=Y")</f>
        <v>12619</v>
      </c>
      <c r="D7" s="13">
        <f>_xll.BDH("AMGN US Equity","ARDR_FV_ASSETS_REC_LEVEL_2","FQ1 2019","FQ1 2019","Currency=USD","Period=FQ","BEST_FPERIOD_OVERRIDE=FQ","FILING_STATUS=MR","SCALING_FORMAT=MLN","Sort=A","Dates=H","DateFormat=P","Fill=—","Direction=H","UseDPDF=Y")</f>
        <v>15595</v>
      </c>
      <c r="E7" s="13">
        <f>_xll.BDH("AMGN US Equity","ARDR_FV_ASSETS_REC_LEVEL_2","FQ2 2019","FQ2 2019","Currency=USD","Period=FQ","BEST_FPERIOD_OVERRIDE=FQ","FILING_STATUS=MR","SCALING_FORMAT=MLN","Sort=A","Dates=H","DateFormat=P","Fill=—","Direction=H","UseDPDF=Y")</f>
        <v>11630</v>
      </c>
      <c r="F7" s="13">
        <f>_xll.BDH("AMGN US Equity","ARDR_FV_ASSETS_REC_LEVEL_2","FQ3 2019","FQ3 2019","Currency=USD","Period=FQ","BEST_FPERIOD_OVERRIDE=FQ","FILING_STATUS=MR","SCALING_FORMAT=MLN","Sort=A","Dates=H","DateFormat=P","Fill=—","Direction=H","UseDPDF=Y")</f>
        <v>9254</v>
      </c>
      <c r="G7" s="13">
        <f>_xll.BDH("AMGN US Equity","ARDR_FV_ASSETS_REC_LEVEL_2","FQ4 2019","FQ4 2019","Currency=USD","Period=FQ","BEST_FPERIOD_OVERRIDE=FQ","FILING_STATUS=MR","SCALING_FORMAT=MLN","Sort=A","Dates=H","DateFormat=P","Fill=—","Direction=H","UseDPDF=Y")</f>
        <v>3173</v>
      </c>
      <c r="H7" s="13">
        <f>_xll.BDH("AMGN US Equity","ARDR_FV_ASSETS_REC_LEVEL_2","FQ1 2020","FQ1 2020","Currency=USD","Period=FQ","BEST_FPERIOD_OVERRIDE=FQ","FILING_STATUS=MR","SCALING_FORMAT=MLN","Sort=A","Dates=H","DateFormat=P","Fill=—","Direction=H","UseDPDF=Y")</f>
        <v>930</v>
      </c>
      <c r="I7" s="13">
        <f>_xll.BDH("AMGN US Equity","ARDR_FV_ASSETS_REC_LEVEL_2","FQ2 2020","FQ2 2020","Currency=USD","Period=FQ","BEST_FPERIOD_OVERRIDE=FQ","FILING_STATUS=MR","SCALING_FORMAT=MLN","Sort=A","Dates=H","DateFormat=P","Fill=—","Direction=H","UseDPDF=Y")</f>
        <v>386</v>
      </c>
      <c r="J7" s="13">
        <f>_xll.BDH("AMGN US Equity","ARDR_FV_ASSETS_REC_LEVEL_2","FQ3 2020","FQ3 2020","Currency=USD","Period=FQ","BEST_FPERIOD_OVERRIDE=FQ","FILING_STATUS=MR","SCALING_FORMAT=MLN","Sort=A","Dates=H","DateFormat=P","Fill=—","Direction=H","UseDPDF=Y")</f>
        <v>344</v>
      </c>
      <c r="K7" s="13">
        <f>_xll.BDH("AMGN US Equity","ARDR_FV_ASSETS_REC_LEVEL_2","FQ4 2020","FQ4 2020","Currency=USD","Period=FQ","BEST_FPERIOD_OVERRIDE=FQ","FILING_STATUS=MR","SCALING_FORMAT=MLN","Sort=A","Dates=H","DateFormat=P","Fill=—","Direction=H","UseDPDF=Y")</f>
        <v>351</v>
      </c>
      <c r="L7" s="13">
        <f>_xll.BDH("AMGN US Equity","ARDR_FV_ASSETS_REC_LEVEL_2","FQ1 2021","FQ1 2021","Currency=USD","Period=FQ","BEST_FPERIOD_OVERRIDE=FQ","FILING_STATUS=MR","SCALING_FORMAT=MLN","Sort=A","Dates=H","DateFormat=P","Fill=—","Direction=H","UseDPDF=Y")</f>
        <v>265</v>
      </c>
      <c r="M7" s="13">
        <f>_xll.BDH("AMGN US Equity","ARDR_FV_ASSETS_REC_LEVEL_2","FQ2 2021","FQ2 2021","Currency=USD","Period=FQ","BEST_FPERIOD_OVERRIDE=FQ","FILING_STATUS=MR","SCALING_FORMAT=MLN","Sort=A","Dates=H","DateFormat=P","Fill=—","Direction=H","UseDPDF=Y")</f>
        <v>289</v>
      </c>
      <c r="N7" s="13">
        <f>_xll.BDH("AMGN US Equity","ARDR_FV_ASSETS_REC_LEVEL_2","FQ3 2021","FQ3 2021","Currency=USD","Period=FQ","BEST_FPERIOD_OVERRIDE=FQ","FILING_STATUS=MR","SCALING_FORMAT=MLN","Sort=A","Dates=H","DateFormat=P","Fill=—","Direction=H","UseDPDF=Y")</f>
        <v>276</v>
      </c>
      <c r="O7" s="13">
        <f>_xll.BDH("AMGN US Equity","ARDR_FV_ASSETS_REC_LEVEL_2","FQ4 2021","FQ4 2021","Currency=USD","Period=FQ","BEST_FPERIOD_OVERRIDE=FQ","FILING_STATUS=MR","SCALING_FORMAT=MLN","Sort=A","Dates=H","DateFormat=P","Fill=—","Direction=H","UseDPDF=Y")</f>
        <v>266</v>
      </c>
      <c r="P7" s="13">
        <f>_xll.BDH("AMGN US Equity","ARDR_FV_ASSETS_REC_LEVEL_2","FQ1 2022","FQ1 2022","Currency=USD","Period=FQ","BEST_FPERIOD_OVERRIDE=FQ","FILING_STATUS=MR","SCALING_FORMAT=MLN","Sort=A","Dates=H","DateFormat=P","Fill=—","Direction=H","UseDPDF=Y")</f>
        <v>300</v>
      </c>
      <c r="Q7" s="13">
        <f>_xll.BDH("AMGN US Equity","ARDR_FV_ASSETS_REC_LEVEL_2","FQ2 2022","FQ2 2022","Currency=USD","Period=FQ","BEST_FPERIOD_OVERRIDE=FQ","FILING_STATUS=MR","SCALING_FORMAT=MLN","Sort=A","Dates=H","DateFormat=P","Fill=—","Direction=H","UseDPDF=Y")</f>
        <v>442</v>
      </c>
      <c r="R7" s="13">
        <f>_xll.BDH("AMGN US Equity","ARDR_FV_ASSETS_REC_LEVEL_2","FQ3 2022","FQ3 2022","Currency=USD","Period=FQ","BEST_FPERIOD_OVERRIDE=FQ","FILING_STATUS=MR","SCALING_FORMAT=MLN","Sort=A","Dates=H","DateFormat=P","Fill=—","Direction=H","UseDPDF=Y")</f>
        <v>780</v>
      </c>
      <c r="S7" s="13">
        <f>_xll.BDH("AMGN US Equity","ARDR_FV_ASSETS_REC_LEVEL_2","FQ4 2022","FQ4 2022","Currency=USD","Period=FQ","BEST_FPERIOD_OVERRIDE=FQ","FILING_STATUS=MR","SCALING_FORMAT=MLN","Sort=A","Dates=H","DateFormat=P","Fill=—","Direction=H","UseDPDF=Y")</f>
        <v>471</v>
      </c>
      <c r="T7" s="13">
        <f>_xll.BDH("AMGN US Equity","ARDR_FV_ASSETS_REC_LEVEL_2","FQ1 2023","FQ1 2023","Currency=USD","Period=FQ","BEST_FPERIOD_OVERRIDE=FQ","FILING_STATUS=MR","SCALING_FORMAT=MLN","Sort=A","Dates=H","DateFormat=P","Fill=—","Direction=H","UseDPDF=Y")</f>
        <v>384</v>
      </c>
      <c r="U7" s="13">
        <f>_xll.BDH("AMGN US Equity","ARDR_FV_ASSETS_REC_LEVEL_2","FQ2 2023","FQ2 2023","Currency=USD","Period=FQ","BEST_FPERIOD_OVERRIDE=FQ","FILING_STATUS=MR","SCALING_FORMAT=MLN","Sort=A","Dates=H","DateFormat=P","Fill=—","Direction=H","UseDPDF=Y")</f>
        <v>388</v>
      </c>
      <c r="V7" s="13">
        <f>_xll.BDH("AMGN US Equity","ARDR_FV_ASSETS_REC_LEVEL_2","FQ3 2023","FQ3 2023","Currency=USD","Period=FQ","BEST_FPERIOD_OVERRIDE=FQ","FILING_STATUS=MR","SCALING_FORMAT=MLN","Sort=A","Dates=H","DateFormat=P","Fill=—","Direction=H","UseDPDF=Y")</f>
        <v>483</v>
      </c>
      <c r="W7" s="13">
        <f>_xll.BDH("AMGN US Equity","ARDR_FV_ASSETS_REC_LEVEL_2","FQ4 2023","FQ4 2023","Currency=USD","Period=FQ","BEST_FPERIOD_OVERRIDE=FQ","FILING_STATUS=MR","SCALING_FORMAT=MLN","Sort=A","Dates=H","DateFormat=P","Fill=—","Direction=H","UseDPDF=Y")</f>
        <v>283</v>
      </c>
      <c r="X7" s="13">
        <f>_xll.BDH("AMGN US Equity","ARDR_FV_ASSETS_REC_LEVEL_2","FQ1 2024","FQ1 2024","Currency=USD","Period=FQ","BEST_FPERIOD_OVERRIDE=FQ","FILING_STATUS=MR","SCALING_FORMAT=MLN","Sort=A","Dates=H","DateFormat=P","Fill=—","Direction=H","UseDPDF=Y")</f>
        <v>363</v>
      </c>
      <c r="Y7" s="13">
        <f>_xll.BDH("AMGN US Equity","ARDR_FV_ASSETS_REC_LEVEL_2","FQ2 2024","FQ2 2024","Currency=USD","Period=FQ","BEST_FPERIOD_OVERRIDE=FQ","FILING_STATUS=MR","SCALING_FORMAT=MLN","Sort=A","Dates=H","DateFormat=P","Fill=—","Direction=H","UseDPDF=Y")</f>
        <v>1404</v>
      </c>
      <c r="Z7" s="13">
        <f>_xll.BDH("AMGN US Equity","ARDR_FV_ASSETS_REC_LEVEL_2","FQ3 2024","FQ3 2024","Currency=USD","Period=FQ","BEST_FPERIOD_OVERRIDE=FQ","FILING_STATUS=MR","SCALING_FORMAT=MLN","Sort=A","Dates=H","DateFormat=P","Fill=—","Direction=H","UseDPDF=Y")</f>
        <v>1251</v>
      </c>
      <c r="AA7" s="13">
        <f>_xll.BDH("AMGN US Equity","ARDR_FV_ASSETS_REC_LEVEL_2","FQ4 2024","FQ4 2024","Currency=USD","Period=FQ","BEST_FPERIOD_OVERRIDE=FQ","FILING_STATUS=MR","SCALING_FORMAT=MLN","Sort=A","Dates=H","DateFormat=P","Fill=—","Direction=H","UseDPDF=Y")</f>
        <v>1552</v>
      </c>
    </row>
    <row r="8" spans="1:27" x14ac:dyDescent="0.25">
      <c r="A8" s="10" t="s">
        <v>1242</v>
      </c>
      <c r="B8" s="10" t="s">
        <v>1055</v>
      </c>
      <c r="C8" s="13">
        <f>_xll.BDH("AMGN US Equity","ARDR_FV_ASSETS_REC_LEVEL_3","FQ4 2018","FQ4 2018","Currency=USD","Period=FQ","BEST_FPERIOD_OVERRIDE=FQ","FILING_STATUS=MR","SCALING_FORMAT=MLN","Sort=A","Dates=H","DateFormat=P","Fill=—","Direction=H","UseDPDF=Y")</f>
        <v>0</v>
      </c>
      <c r="D8" s="13">
        <f>_xll.BDH("AMGN US Equity","ARDR_FV_ASSETS_REC_LEVEL_3","FQ1 2019","FQ1 2019","Currency=USD","Period=FQ","BEST_FPERIOD_OVERRIDE=FQ","FILING_STATUS=MR","SCALING_FORMAT=MLN","Sort=A","Dates=H","DateFormat=P","Fill=—","Direction=H","UseDPDF=Y")</f>
        <v>0</v>
      </c>
      <c r="E8" s="13">
        <f>_xll.BDH("AMGN US Equity","ARDR_FV_ASSETS_REC_LEVEL_3","FQ2 2019","FQ2 2019","Currency=USD","Period=FQ","BEST_FPERIOD_OVERRIDE=FQ","FILING_STATUS=MR","SCALING_FORMAT=MLN","Sort=A","Dates=H","DateFormat=P","Fill=—","Direction=H","UseDPDF=Y")</f>
        <v>0</v>
      </c>
      <c r="F8" s="13">
        <f>_xll.BDH("AMGN US Equity","ARDR_FV_ASSETS_REC_LEVEL_3","FQ3 2019","FQ3 2019","Currency=USD","Period=FQ","BEST_FPERIOD_OVERRIDE=FQ","FILING_STATUS=MR","SCALING_FORMAT=MLN","Sort=A","Dates=H","DateFormat=P","Fill=—","Direction=H","UseDPDF=Y")</f>
        <v>0</v>
      </c>
      <c r="G8" s="13">
        <f>_xll.BDH("AMGN US Equity","ARDR_FV_ASSETS_REC_LEVEL_3","FQ4 2019","FQ4 2019","Currency=USD","Period=FQ","BEST_FPERIOD_OVERRIDE=FQ","FILING_STATUS=MR","SCALING_FORMAT=MLN","Sort=A","Dates=H","DateFormat=P","Fill=—","Direction=H","UseDPDF=Y")</f>
        <v>0</v>
      </c>
      <c r="H8" s="13">
        <f>_xll.BDH("AMGN US Equity","ARDR_FV_ASSETS_REC_LEVEL_3","FQ1 2020","FQ1 2020","Currency=USD","Period=FQ","BEST_FPERIOD_OVERRIDE=FQ","FILING_STATUS=MR","SCALING_FORMAT=MLN","Sort=A","Dates=H","DateFormat=P","Fill=—","Direction=H","UseDPDF=Y")</f>
        <v>0</v>
      </c>
      <c r="I8" s="13">
        <f>_xll.BDH("AMGN US Equity","ARDR_FV_ASSETS_REC_LEVEL_3","FQ2 2020","FQ2 2020","Currency=USD","Period=FQ","BEST_FPERIOD_OVERRIDE=FQ","FILING_STATUS=MR","SCALING_FORMAT=MLN","Sort=A","Dates=H","DateFormat=P","Fill=—","Direction=H","UseDPDF=Y")</f>
        <v>0</v>
      </c>
      <c r="J8" s="13">
        <f>_xll.BDH("AMGN US Equity","ARDR_FV_ASSETS_REC_LEVEL_3","FQ3 2020","FQ3 2020","Currency=USD","Period=FQ","BEST_FPERIOD_OVERRIDE=FQ","FILING_STATUS=MR","SCALING_FORMAT=MLN","Sort=A","Dates=H","DateFormat=P","Fill=—","Direction=H","UseDPDF=Y")</f>
        <v>0</v>
      </c>
      <c r="K8" s="13">
        <f>_xll.BDH("AMGN US Equity","ARDR_FV_ASSETS_REC_LEVEL_3","FQ4 2020","FQ4 2020","Currency=USD","Period=FQ","BEST_FPERIOD_OVERRIDE=FQ","FILING_STATUS=MR","SCALING_FORMAT=MLN","Sort=A","Dates=H","DateFormat=P","Fill=—","Direction=H","UseDPDF=Y")</f>
        <v>0</v>
      </c>
      <c r="L8" s="13">
        <f>_xll.BDH("AMGN US Equity","ARDR_FV_ASSETS_REC_LEVEL_3","FQ1 2021","FQ1 2021","Currency=USD","Period=FQ","BEST_FPERIOD_OVERRIDE=FQ","FILING_STATUS=MR","SCALING_FORMAT=MLN","Sort=A","Dates=H","DateFormat=P","Fill=—","Direction=H","UseDPDF=Y")</f>
        <v>0</v>
      </c>
      <c r="M8" s="13">
        <f>_xll.BDH("AMGN US Equity","ARDR_FV_ASSETS_REC_LEVEL_3","FQ2 2021","FQ2 2021","Currency=USD","Period=FQ","BEST_FPERIOD_OVERRIDE=FQ","FILING_STATUS=MR","SCALING_FORMAT=MLN","Sort=A","Dates=H","DateFormat=P","Fill=—","Direction=H","UseDPDF=Y")</f>
        <v>0</v>
      </c>
      <c r="N8" s="13">
        <f>_xll.BDH("AMGN US Equity","ARDR_FV_ASSETS_REC_LEVEL_3","FQ3 2021","FQ3 2021","Currency=USD","Period=FQ","BEST_FPERIOD_OVERRIDE=FQ","FILING_STATUS=MR","SCALING_FORMAT=MLN","Sort=A","Dates=H","DateFormat=P","Fill=—","Direction=H","UseDPDF=Y")</f>
        <v>257</v>
      </c>
      <c r="O8" s="13">
        <f>_xll.BDH("AMGN US Equity","ARDR_FV_ASSETS_REC_LEVEL_3","FQ4 2021","FQ4 2021","Currency=USD","Period=FQ","BEST_FPERIOD_OVERRIDE=FQ","FILING_STATUS=MR","SCALING_FORMAT=MLN","Sort=A","Dates=H","DateFormat=P","Fill=—","Direction=H","UseDPDF=Y")</f>
        <v>220</v>
      </c>
      <c r="P8" s="13">
        <f>_xll.BDH("AMGN US Equity","ARDR_FV_ASSETS_REC_LEVEL_3","FQ1 2022","FQ1 2022","Currency=USD","Period=FQ","BEST_FPERIOD_OVERRIDE=FQ","FILING_STATUS=MR","SCALING_FORMAT=MLN","Sort=A","Dates=H","DateFormat=P","Fill=—","Direction=H","UseDPDF=Y")</f>
        <v>170</v>
      </c>
      <c r="Q8" s="13">
        <f>_xll.BDH("AMGN US Equity","ARDR_FV_ASSETS_REC_LEVEL_3","FQ2 2022","FQ2 2022","Currency=USD","Period=FQ","BEST_FPERIOD_OVERRIDE=FQ","FILING_STATUS=MR","SCALING_FORMAT=MLN","Sort=A","Dates=H","DateFormat=P","Fill=—","Direction=H","UseDPDF=Y")</f>
        <v>131</v>
      </c>
      <c r="R8" s="13">
        <f>_xll.BDH("AMGN US Equity","ARDR_FV_ASSETS_REC_LEVEL_3","FQ3 2022","FQ3 2022","Currency=USD","Period=FQ","BEST_FPERIOD_OVERRIDE=FQ","FILING_STATUS=MR","SCALING_FORMAT=MLN","Sort=A","Dates=H","DateFormat=P","Fill=—","Direction=H","UseDPDF=Y")</f>
        <v>382</v>
      </c>
      <c r="S8" s="13">
        <f>_xll.BDH("AMGN US Equity","ARDR_FV_ASSETS_REC_LEVEL_3","FQ4 2022","FQ4 2022","Currency=USD","Period=FQ","BEST_FPERIOD_OVERRIDE=FQ","FILING_STATUS=MR","SCALING_FORMAT=MLN","Sort=A","Dates=H","DateFormat=P","Fill=—","Direction=H","UseDPDF=Y")</f>
        <v>335</v>
      </c>
      <c r="T8" s="13">
        <f>_xll.BDH("AMGN US Equity","ARDR_FV_ASSETS_REC_LEVEL_3","FQ1 2023","FQ1 2023","Currency=USD","Period=FQ","BEST_FPERIOD_OVERRIDE=FQ","FILING_STATUS=MR","SCALING_FORMAT=MLN","Sort=A","Dates=H","DateFormat=P","Fill=—","Direction=H","UseDPDF=Y")</f>
        <v>288</v>
      </c>
      <c r="U8" s="13">
        <f>_xll.BDH("AMGN US Equity","ARDR_FV_ASSETS_REC_LEVEL_3","FQ2 2023","FQ2 2023","Currency=USD","Period=FQ","BEST_FPERIOD_OVERRIDE=FQ","FILING_STATUS=MR","SCALING_FORMAT=MLN","Sort=A","Dates=H","DateFormat=P","Fill=—","Direction=H","UseDPDF=Y")</f>
        <v>316</v>
      </c>
      <c r="V8" s="13">
        <f>_xll.BDH("AMGN US Equity","ARDR_FV_ASSETS_REC_LEVEL_3","FQ3 2023","FQ3 2023","Currency=USD","Period=FQ","BEST_FPERIOD_OVERRIDE=FQ","FILING_STATUS=MR","SCALING_FORMAT=MLN","Sort=A","Dates=H","DateFormat=P","Fill=—","Direction=H","UseDPDF=Y")</f>
        <v>0</v>
      </c>
      <c r="W8" s="13">
        <f>_xll.BDH("AMGN US Equity","ARDR_FV_ASSETS_REC_LEVEL_3","FQ4 2023","FQ4 2023","Currency=USD","Period=FQ","BEST_FPERIOD_OVERRIDE=FQ","FILING_STATUS=MR","SCALING_FORMAT=MLN","Sort=A","Dates=H","DateFormat=P","Fill=—","Direction=H","UseDPDF=Y")</f>
        <v>0</v>
      </c>
      <c r="X8" s="13">
        <f>_xll.BDH("AMGN US Equity","ARDR_FV_ASSETS_REC_LEVEL_3","FQ1 2024","FQ1 2024","Currency=USD","Period=FQ","BEST_FPERIOD_OVERRIDE=FQ","FILING_STATUS=MR","SCALING_FORMAT=MLN","Sort=A","Dates=H","DateFormat=P","Fill=—","Direction=H","UseDPDF=Y")</f>
        <v>0</v>
      </c>
      <c r="Y8" s="13">
        <f>_xll.BDH("AMGN US Equity","ARDR_FV_ASSETS_REC_LEVEL_3","FQ2 2024","FQ2 2024","Currency=USD","Period=FQ","BEST_FPERIOD_OVERRIDE=FQ","FILING_STATUS=MR","SCALING_FORMAT=MLN","Sort=A","Dates=H","DateFormat=P","Fill=—","Direction=H","UseDPDF=Y")</f>
        <v>0</v>
      </c>
      <c r="Z8" s="13">
        <f>_xll.BDH("AMGN US Equity","ARDR_FV_ASSETS_REC_LEVEL_3","FQ3 2024","FQ3 2024","Currency=USD","Period=FQ","BEST_FPERIOD_OVERRIDE=FQ","FILING_STATUS=MR","SCALING_FORMAT=MLN","Sort=A","Dates=H","DateFormat=P","Fill=—","Direction=H","UseDPDF=Y")</f>
        <v>0</v>
      </c>
      <c r="AA8" s="13">
        <f>_xll.BDH("AMGN US Equity","ARDR_FV_ASSETS_REC_LEVEL_3","FQ4 2024","FQ4 2024","Currency=USD","Period=FQ","BEST_FPERIOD_OVERRIDE=FQ","FILING_STATUS=MR","SCALING_FORMAT=MLN","Sort=A","Dates=H","DateFormat=P","Fill=—","Direction=H","UseDPDF=Y")</f>
        <v>0</v>
      </c>
    </row>
    <row r="9" spans="1:27" x14ac:dyDescent="0.25">
      <c r="A9" s="6" t="s">
        <v>1243</v>
      </c>
      <c r="B9" s="6" t="s">
        <v>1057</v>
      </c>
      <c r="C9" s="19">
        <f>_xll.BDH("AMGN US Equity","ARDR_FV_ASSETS_REC_TOTAL","FQ4 2018","FQ4 2018","Currency=USD","Period=FQ","BEST_FPERIOD_OVERRIDE=FQ","FILING_STATUS=MR","SCALING_FORMAT=MLN","Sort=A","Dates=H","DateFormat=P","Fill=—","Direction=H","UseDPDF=Y")</f>
        <v>29308</v>
      </c>
      <c r="D9" s="19">
        <f>_xll.BDH("AMGN US Equity","ARDR_FV_ASSETS_REC_TOTAL","FQ1 2019","FQ1 2019","Currency=USD","Period=FQ","BEST_FPERIOD_OVERRIDE=FQ","FILING_STATUS=MR","SCALING_FORMAT=MLN","Sort=A","Dates=H","DateFormat=P","Fill=—","Direction=H","UseDPDF=Y")</f>
        <v>26373</v>
      </c>
      <c r="E9" s="19">
        <f>_xll.BDH("AMGN US Equity","ARDR_FV_ASSETS_REC_TOTAL","FQ2 2019","FQ2 2019","Currency=USD","Period=FQ","BEST_FPERIOD_OVERRIDE=FQ","FILING_STATUS=MR","SCALING_FORMAT=MLN","Sort=A","Dates=H","DateFormat=P","Fill=—","Direction=H","UseDPDF=Y")</f>
        <v>22017</v>
      </c>
      <c r="F9" s="19">
        <f>_xll.BDH("AMGN US Equity","ARDR_FV_ASSETS_REC_TOTAL","FQ3 2019","FQ3 2019","Currency=USD","Period=FQ","BEST_FPERIOD_OVERRIDE=FQ","FILING_STATUS=MR","SCALING_FORMAT=MLN","Sort=A","Dates=H","DateFormat=P","Fill=—","Direction=H","UseDPDF=Y")</f>
        <v>21209</v>
      </c>
      <c r="G9" s="19">
        <f>_xll.BDH("AMGN US Equity","ARDR_FV_ASSETS_REC_TOTAL","FQ4 2019","FQ4 2019","Currency=USD","Period=FQ","BEST_FPERIOD_OVERRIDE=FQ","FILING_STATUS=MR","SCALING_FORMAT=MLN","Sort=A","Dates=H","DateFormat=P","Fill=—","Direction=H","UseDPDF=Y")</f>
        <v>9086</v>
      </c>
      <c r="H9" s="19">
        <f>_xll.BDH("AMGN US Equity","ARDR_FV_ASSETS_REC_TOTAL","FQ1 2020","FQ1 2020","Currency=USD","Period=FQ","BEST_FPERIOD_OVERRIDE=FQ","FILING_STATUS=MR","SCALING_FORMAT=MLN","Sort=A","Dates=H","DateFormat=P","Fill=—","Direction=H","UseDPDF=Y")</f>
        <v>7988</v>
      </c>
      <c r="I9" s="19">
        <f>_xll.BDH("AMGN US Equity","ARDR_FV_ASSETS_REC_TOTAL","FQ2 2020","FQ2 2020","Currency=USD","Period=FQ","BEST_FPERIOD_OVERRIDE=FQ","FILING_STATUS=MR","SCALING_FORMAT=MLN","Sort=A","Dates=H","DateFormat=P","Fill=—","Direction=H","UseDPDF=Y")</f>
        <v>11415</v>
      </c>
      <c r="J9" s="19">
        <f>_xll.BDH("AMGN US Equity","ARDR_FV_ASSETS_REC_TOTAL","FQ3 2020","FQ3 2020","Currency=USD","Period=FQ","BEST_FPERIOD_OVERRIDE=FQ","FILING_STATUS=MR","SCALING_FORMAT=MLN","Sort=A","Dates=H","DateFormat=P","Fill=—","Direction=H","UseDPDF=Y")</f>
        <v>12309</v>
      </c>
      <c r="K9" s="19">
        <f>_xll.BDH("AMGN US Equity","ARDR_FV_ASSETS_REC_TOTAL","FQ4 2020","FQ4 2020","Currency=USD","Period=FQ","BEST_FPERIOD_OVERRIDE=FQ","FILING_STATUS=MR","SCALING_FORMAT=MLN","Sort=A","Dates=H","DateFormat=P","Fill=—","Direction=H","UseDPDF=Y")</f>
        <v>10671</v>
      </c>
      <c r="L9" s="19">
        <f>_xll.BDH("AMGN US Equity","ARDR_FV_ASSETS_REC_TOTAL","FQ1 2021","FQ1 2021","Currency=USD","Period=FQ","BEST_FPERIOD_OVERRIDE=FQ","FILING_STATUS=MR","SCALING_FORMAT=MLN","Sort=A","Dates=H","DateFormat=P","Fill=—","Direction=H","UseDPDF=Y")</f>
        <v>10380</v>
      </c>
      <c r="M9" s="19">
        <f>_xll.BDH("AMGN US Equity","ARDR_FV_ASSETS_REC_TOTAL","FQ2 2021","FQ2 2021","Currency=USD","Period=FQ","BEST_FPERIOD_OVERRIDE=FQ","FILING_STATUS=MR","SCALING_FORMAT=MLN","Sort=A","Dates=H","DateFormat=P","Fill=—","Direction=H","UseDPDF=Y")</f>
        <v>7851</v>
      </c>
      <c r="N9" s="19">
        <f>_xll.BDH("AMGN US Equity","ARDR_FV_ASSETS_REC_TOTAL","FQ3 2021","FQ3 2021","Currency=USD","Period=FQ","BEST_FPERIOD_OVERRIDE=FQ","FILING_STATUS=MR","SCALING_FORMAT=MLN","Sort=A","Dates=H","DateFormat=P","Fill=—","Direction=H","UseDPDF=Y")</f>
        <v>13415</v>
      </c>
      <c r="O9" s="19">
        <f>_xll.BDH("AMGN US Equity","ARDR_FV_ASSETS_REC_TOTAL","FQ4 2021","FQ4 2021","Currency=USD","Period=FQ","BEST_FPERIOD_OVERRIDE=FQ","FILING_STATUS=MR","SCALING_FORMAT=MLN","Sort=A","Dates=H","DateFormat=P","Fill=—","Direction=H","UseDPDF=Y")</f>
        <v>8400</v>
      </c>
      <c r="P9" s="19">
        <f>_xll.BDH("AMGN US Equity","ARDR_FV_ASSETS_REC_TOTAL","FQ1 2022","FQ1 2022","Currency=USD","Period=FQ","BEST_FPERIOD_OVERRIDE=FQ","FILING_STATUS=MR","SCALING_FORMAT=MLN","Sort=A","Dates=H","DateFormat=P","Fill=—","Direction=H","UseDPDF=Y")</f>
        <v>6796</v>
      </c>
      <c r="Q9" s="19">
        <f>_xll.BDH("AMGN US Equity","ARDR_FV_ASSETS_REC_TOTAL","FQ2 2022","FQ2 2022","Currency=USD","Period=FQ","BEST_FPERIOD_OVERRIDE=FQ","FILING_STATUS=MR","SCALING_FORMAT=MLN","Sort=A","Dates=H","DateFormat=P","Fill=—","Direction=H","UseDPDF=Y")</f>
        <v>7347</v>
      </c>
      <c r="R9" s="19">
        <f>_xll.BDH("AMGN US Equity","ARDR_FV_ASSETS_REC_TOTAL","FQ3 2022","FQ3 2022","Currency=USD","Period=FQ","BEST_FPERIOD_OVERRIDE=FQ","FILING_STATUS=MR","SCALING_FORMAT=MLN","Sort=A","Dates=H","DateFormat=P","Fill=—","Direction=H","UseDPDF=Y")</f>
        <v>12468</v>
      </c>
      <c r="S9" s="19">
        <f>_xll.BDH("AMGN US Equity","ARDR_FV_ASSETS_REC_TOTAL","FQ4 2022","FQ4 2022","Currency=USD","Period=FQ","BEST_FPERIOD_OVERRIDE=FQ","FILING_STATUS=MR","SCALING_FORMAT=MLN","Sort=A","Dates=H","DateFormat=P","Fill=—","Direction=H","UseDPDF=Y")</f>
        <v>5621</v>
      </c>
      <c r="T9" s="19">
        <f>_xll.BDH("AMGN US Equity","ARDR_FV_ASSETS_REC_TOTAL","FQ1 2023","FQ1 2023","Currency=USD","Period=FQ","BEST_FPERIOD_OVERRIDE=FQ","FILING_STATUS=MR","SCALING_FORMAT=MLN","Sort=A","Dates=H","DateFormat=P","Fill=—","Direction=H","UseDPDF=Y")</f>
        <v>36281</v>
      </c>
      <c r="U9" s="19">
        <f>_xll.BDH("AMGN US Equity","ARDR_FV_ASSETS_REC_TOTAL","FQ2 2023","FQ2 2023","Currency=USD","Period=FQ","BEST_FPERIOD_OVERRIDE=FQ","FILING_STATUS=MR","SCALING_FORMAT=MLN","Sort=A","Dates=H","DateFormat=P","Fill=—","Direction=H","UseDPDF=Y")</f>
        <v>38097</v>
      </c>
      <c r="V9" s="19">
        <f>_xll.BDH("AMGN US Equity","ARDR_FV_ASSETS_REC_TOTAL","FQ3 2023","FQ3 2023","Currency=USD","Period=FQ","BEST_FPERIOD_OVERRIDE=FQ","FILING_STATUS=MR","SCALING_FORMAT=MLN","Sort=A","Dates=H","DateFormat=P","Fill=—","Direction=H","UseDPDF=Y")</f>
        <v>38941</v>
      </c>
      <c r="W9" s="19">
        <f>_xll.BDH("AMGN US Equity","ARDR_FV_ASSETS_REC_TOTAL","FQ4 2023","FQ4 2023","Currency=USD","Period=FQ","BEST_FPERIOD_OVERRIDE=FQ","FILING_STATUS=MR","SCALING_FORMAT=MLN","Sort=A","Dates=H","DateFormat=P","Fill=—","Direction=H","UseDPDF=Y")</f>
        <v>15063</v>
      </c>
      <c r="X9" s="19">
        <f>_xll.BDH("AMGN US Equity","ARDR_FV_ASSETS_REC_TOTAL","FQ1 2024","FQ1 2024","Currency=USD","Period=FQ","BEST_FPERIOD_OVERRIDE=FQ","FILING_STATUS=MR","SCALING_FORMAT=MLN","Sort=A","Dates=H","DateFormat=P","Fill=—","Direction=H","UseDPDF=Y")</f>
        <v>13447</v>
      </c>
      <c r="Y9" s="19">
        <f>_xll.BDH("AMGN US Equity","ARDR_FV_ASSETS_REC_TOTAL","FQ2 2024","FQ2 2024","Currency=USD","Period=FQ","BEST_FPERIOD_OVERRIDE=FQ","FILING_STATUS=MR","SCALING_FORMAT=MLN","Sort=A","Dates=H","DateFormat=P","Fill=—","Direction=H","UseDPDF=Y")</f>
        <v>12552</v>
      </c>
      <c r="Z9" s="19">
        <f>_xll.BDH("AMGN US Equity","ARDR_FV_ASSETS_REC_TOTAL","FQ3 2024","FQ3 2024","Currency=USD","Period=FQ","BEST_FPERIOD_OVERRIDE=FQ","FILING_STATUS=MR","SCALING_FORMAT=MLN","Sort=A","Dates=H","DateFormat=P","Fill=—","Direction=H","UseDPDF=Y")</f>
        <v>13745</v>
      </c>
      <c r="AA9" s="19">
        <f>_xll.BDH("AMGN US Equity","ARDR_FV_ASSETS_REC_TOTAL","FQ4 2024","FQ4 2024","Currency=USD","Period=FQ","BEST_FPERIOD_OVERRIDE=FQ","FILING_STATUS=MR","SCALING_FORMAT=MLN","Sort=A","Dates=H","DateFormat=P","Fill=—","Direction=H","UseDPDF=Y")</f>
        <v>16094</v>
      </c>
    </row>
    <row r="10" spans="1:27" x14ac:dyDescent="0.25">
      <c r="A10" s="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x14ac:dyDescent="0.25">
      <c r="A11" s="10" t="s">
        <v>1244</v>
      </c>
      <c r="B11" s="10" t="s">
        <v>1059</v>
      </c>
      <c r="C11" s="13">
        <f>_xll.BDH("AMGN US Equity","ARDR_FV_LIAB_REC_LEVEL_1","FQ4 2018","FQ4 2018","Currency=USD","Period=FQ","BEST_FPERIOD_OVERRIDE=FQ","FILING_STATUS=MR","SCALING_FORMAT=MLN","Sort=A","Dates=H","DateFormat=P","Fill=—","Direction=H","UseDPDF=Y")</f>
        <v>0</v>
      </c>
      <c r="D11" s="13">
        <f>_xll.BDH("AMGN US Equity","ARDR_FV_LIAB_REC_LEVEL_1","FQ1 2019","FQ1 2019","Currency=USD","Period=FQ","BEST_FPERIOD_OVERRIDE=FQ","FILING_STATUS=MR","SCALING_FORMAT=MLN","Sort=A","Dates=H","DateFormat=P","Fill=—","Direction=H","UseDPDF=Y")</f>
        <v>0</v>
      </c>
      <c r="E11" s="13">
        <f>_xll.BDH("AMGN US Equity","ARDR_FV_LIAB_REC_LEVEL_1","FQ2 2019","FQ2 2019","Currency=USD","Period=FQ","BEST_FPERIOD_OVERRIDE=FQ","FILING_STATUS=MR","SCALING_FORMAT=MLN","Sort=A","Dates=H","DateFormat=P","Fill=—","Direction=H","UseDPDF=Y")</f>
        <v>0</v>
      </c>
      <c r="F11" s="13">
        <f>_xll.BDH("AMGN US Equity","ARDR_FV_LIAB_REC_LEVEL_1","FQ3 2019","FQ3 2019","Currency=USD","Period=FQ","BEST_FPERIOD_OVERRIDE=FQ","FILING_STATUS=MR","SCALING_FORMAT=MLN","Sort=A","Dates=H","DateFormat=P","Fill=—","Direction=H","UseDPDF=Y")</f>
        <v>0</v>
      </c>
      <c r="G11" s="13">
        <f>_xll.BDH("AMGN US Equity","ARDR_FV_LIAB_REC_LEVEL_1","FQ4 2019","FQ4 2019","Currency=USD","Period=FQ","BEST_FPERIOD_OVERRIDE=FQ","FILING_STATUS=MR","SCALING_FORMAT=MLN","Sort=A","Dates=H","DateFormat=P","Fill=—","Direction=H","UseDPDF=Y")</f>
        <v>0</v>
      </c>
      <c r="H11" s="13">
        <f>_xll.BDH("AMGN US Equity","ARDR_FV_LIAB_REC_LEVEL_1","FQ1 2020","FQ1 2020","Currency=USD","Period=FQ","BEST_FPERIOD_OVERRIDE=FQ","FILING_STATUS=MR","SCALING_FORMAT=MLN","Sort=A","Dates=H","DateFormat=P","Fill=—","Direction=H","UseDPDF=Y")</f>
        <v>0</v>
      </c>
      <c r="I11" s="13">
        <f>_xll.BDH("AMGN US Equity","ARDR_FV_LIAB_REC_LEVEL_1","FQ2 2020","FQ2 2020","Currency=USD","Period=FQ","BEST_FPERIOD_OVERRIDE=FQ","FILING_STATUS=MR","SCALING_FORMAT=MLN","Sort=A","Dates=H","DateFormat=P","Fill=—","Direction=H","UseDPDF=Y")</f>
        <v>0</v>
      </c>
      <c r="J11" s="13">
        <f>_xll.BDH("AMGN US Equity","ARDR_FV_LIAB_REC_LEVEL_1","FQ3 2020","FQ3 2020","Currency=USD","Period=FQ","BEST_FPERIOD_OVERRIDE=FQ","FILING_STATUS=MR","SCALING_FORMAT=MLN","Sort=A","Dates=H","DateFormat=P","Fill=—","Direction=H","UseDPDF=Y")</f>
        <v>0</v>
      </c>
      <c r="K11" s="13">
        <f>_xll.BDH("AMGN US Equity","ARDR_FV_LIAB_REC_LEVEL_1","FQ4 2020","FQ4 2020","Currency=USD","Period=FQ","BEST_FPERIOD_OVERRIDE=FQ","FILING_STATUS=MR","SCALING_FORMAT=MLN","Sort=A","Dates=H","DateFormat=P","Fill=—","Direction=H","UseDPDF=Y")</f>
        <v>0</v>
      </c>
      <c r="L11" s="13">
        <f>_xll.BDH("AMGN US Equity","ARDR_FV_LIAB_REC_LEVEL_1","FQ1 2021","FQ1 2021","Currency=USD","Period=FQ","BEST_FPERIOD_OVERRIDE=FQ","FILING_STATUS=MR","SCALING_FORMAT=MLN","Sort=A","Dates=H","DateFormat=P","Fill=—","Direction=H","UseDPDF=Y")</f>
        <v>0</v>
      </c>
      <c r="M11" s="13">
        <f>_xll.BDH("AMGN US Equity","ARDR_FV_LIAB_REC_LEVEL_1","FQ2 2021","FQ2 2021","Currency=USD","Period=FQ","BEST_FPERIOD_OVERRIDE=FQ","FILING_STATUS=MR","SCALING_FORMAT=MLN","Sort=A","Dates=H","DateFormat=P","Fill=—","Direction=H","UseDPDF=Y")</f>
        <v>0</v>
      </c>
      <c r="N11" s="13">
        <f>_xll.BDH("AMGN US Equity","ARDR_FV_LIAB_REC_LEVEL_1","FQ3 2021","FQ3 2021","Currency=USD","Period=FQ","BEST_FPERIOD_OVERRIDE=FQ","FILING_STATUS=MR","SCALING_FORMAT=MLN","Sort=A","Dates=H","DateFormat=P","Fill=—","Direction=H","UseDPDF=Y")</f>
        <v>0</v>
      </c>
      <c r="O11" s="13">
        <f>_xll.BDH("AMGN US Equity","ARDR_FV_LIAB_REC_LEVEL_1","FQ4 2021","FQ4 2021","Currency=USD","Period=FQ","BEST_FPERIOD_OVERRIDE=FQ","FILING_STATUS=MR","SCALING_FORMAT=MLN","Sort=A","Dates=H","DateFormat=P","Fill=—","Direction=H","UseDPDF=Y")</f>
        <v>0</v>
      </c>
      <c r="P11" s="13">
        <f>_xll.BDH("AMGN US Equity","ARDR_FV_LIAB_REC_LEVEL_1","FQ1 2022","FQ1 2022","Currency=USD","Period=FQ","BEST_FPERIOD_OVERRIDE=FQ","FILING_STATUS=MR","SCALING_FORMAT=MLN","Sort=A","Dates=H","DateFormat=P","Fill=—","Direction=H","UseDPDF=Y")</f>
        <v>0</v>
      </c>
      <c r="Q11" s="13">
        <f>_xll.BDH("AMGN US Equity","ARDR_FV_LIAB_REC_LEVEL_1","FQ2 2022","FQ2 2022","Currency=USD","Period=FQ","BEST_FPERIOD_OVERRIDE=FQ","FILING_STATUS=MR","SCALING_FORMAT=MLN","Sort=A","Dates=H","DateFormat=P","Fill=—","Direction=H","UseDPDF=Y")</f>
        <v>0</v>
      </c>
      <c r="R11" s="13">
        <f>_xll.BDH("AMGN US Equity","ARDR_FV_LIAB_REC_LEVEL_1","FQ3 2022","FQ3 2022","Currency=USD","Period=FQ","BEST_FPERIOD_OVERRIDE=FQ","FILING_STATUS=MR","SCALING_FORMAT=MLN","Sort=A","Dates=H","DateFormat=P","Fill=—","Direction=H","UseDPDF=Y")</f>
        <v>0</v>
      </c>
      <c r="S11" s="13">
        <f>_xll.BDH("AMGN US Equity","ARDR_FV_LIAB_REC_LEVEL_1","FQ4 2022","FQ4 2022","Currency=USD","Period=FQ","BEST_FPERIOD_OVERRIDE=FQ","FILING_STATUS=MR","SCALING_FORMAT=MLN","Sort=A","Dates=H","DateFormat=P","Fill=—","Direction=H","UseDPDF=Y")</f>
        <v>0</v>
      </c>
      <c r="T11" s="13">
        <f>_xll.BDH("AMGN US Equity","ARDR_FV_LIAB_REC_LEVEL_1","FQ1 2023","FQ1 2023","Currency=USD","Period=FQ","BEST_FPERIOD_OVERRIDE=FQ","FILING_STATUS=MR","SCALING_FORMAT=MLN","Sort=A","Dates=H","DateFormat=P","Fill=—","Direction=H","UseDPDF=Y")</f>
        <v>0</v>
      </c>
      <c r="U11" s="13">
        <f>_xll.BDH("AMGN US Equity","ARDR_FV_LIAB_REC_LEVEL_1","FQ2 2023","FQ2 2023","Currency=USD","Period=FQ","BEST_FPERIOD_OVERRIDE=FQ","FILING_STATUS=MR","SCALING_FORMAT=MLN","Sort=A","Dates=H","DateFormat=P","Fill=—","Direction=H","UseDPDF=Y")</f>
        <v>0</v>
      </c>
      <c r="V11" s="13">
        <f>_xll.BDH("AMGN US Equity","ARDR_FV_LIAB_REC_LEVEL_1","FQ3 2023","FQ3 2023","Currency=USD","Period=FQ","BEST_FPERIOD_OVERRIDE=FQ","FILING_STATUS=MR","SCALING_FORMAT=MLN","Sort=A","Dates=H","DateFormat=P","Fill=—","Direction=H","UseDPDF=Y")</f>
        <v>0</v>
      </c>
      <c r="W11" s="13">
        <f>_xll.BDH("AMGN US Equity","ARDR_FV_LIAB_REC_LEVEL_1","FQ4 2023","FQ4 2023","Currency=USD","Period=FQ","BEST_FPERIOD_OVERRIDE=FQ","FILING_STATUS=MR","SCALING_FORMAT=MLN","Sort=A","Dates=H","DateFormat=P","Fill=—","Direction=H","UseDPDF=Y")</f>
        <v>0</v>
      </c>
      <c r="X11" s="13">
        <f>_xll.BDH("AMGN US Equity","ARDR_FV_LIAB_REC_LEVEL_1","FQ1 2024","FQ1 2024","Currency=USD","Period=FQ","BEST_FPERIOD_OVERRIDE=FQ","FILING_STATUS=MR","SCALING_FORMAT=MLN","Sort=A","Dates=H","DateFormat=P","Fill=—","Direction=H","UseDPDF=Y")</f>
        <v>0</v>
      </c>
      <c r="Y11" s="13">
        <f>_xll.BDH("AMGN US Equity","ARDR_FV_LIAB_REC_LEVEL_1","FQ2 2024","FQ2 2024","Currency=USD","Period=FQ","BEST_FPERIOD_OVERRIDE=FQ","FILING_STATUS=MR","SCALING_FORMAT=MLN","Sort=A","Dates=H","DateFormat=P","Fill=—","Direction=H","UseDPDF=Y")</f>
        <v>0</v>
      </c>
      <c r="Z11" s="13">
        <f>_xll.BDH("AMGN US Equity","ARDR_FV_LIAB_REC_LEVEL_1","FQ3 2024","FQ3 2024","Currency=USD","Period=FQ","BEST_FPERIOD_OVERRIDE=FQ","FILING_STATUS=MR","SCALING_FORMAT=MLN","Sort=A","Dates=H","DateFormat=P","Fill=—","Direction=H","UseDPDF=Y")</f>
        <v>0</v>
      </c>
      <c r="AA11" s="13">
        <f>_xll.BDH("AMGN US Equity","ARDR_FV_LIAB_REC_LEVEL_1","FQ4 2024","FQ4 2024","Currency=USD","Period=FQ","BEST_FPERIOD_OVERRIDE=FQ","FILING_STATUS=MR","SCALING_FORMAT=MLN","Sort=A","Dates=H","DateFormat=P","Fill=—","Direction=H","UseDPDF=Y")</f>
        <v>0</v>
      </c>
    </row>
    <row r="12" spans="1:27" x14ac:dyDescent="0.25">
      <c r="A12" s="10" t="s">
        <v>1245</v>
      </c>
      <c r="B12" s="10" t="s">
        <v>1061</v>
      </c>
      <c r="C12" s="13">
        <f>_xll.BDH("AMGN US Equity","ARDR_FV_LIAB_REC_LEVEL_2","FQ4 2018","FQ4 2018","Currency=USD","Period=FQ","BEST_FPERIOD_OVERRIDE=FQ","FILING_STATUS=MR","SCALING_FORMAT=MLN","Sort=A","Dates=H","DateFormat=P","Fill=—","Direction=H","UseDPDF=Y")</f>
        <v>576</v>
      </c>
      <c r="D12" s="13">
        <f>_xll.BDH("AMGN US Equity","ARDR_FV_LIAB_REC_LEVEL_2","FQ1 2019","FQ1 2019","Currency=USD","Period=FQ","BEST_FPERIOD_OVERRIDE=FQ","FILING_STATUS=MR","SCALING_FORMAT=MLN","Sort=A","Dates=H","DateFormat=P","Fill=—","Direction=H","UseDPDF=Y")</f>
        <v>491</v>
      </c>
      <c r="E12" s="13">
        <f>_xll.BDH("AMGN US Equity","ARDR_FV_LIAB_REC_LEVEL_2","FQ2 2019","FQ2 2019","Currency=USD","Period=FQ","BEST_FPERIOD_OVERRIDE=FQ","FILING_STATUS=MR","SCALING_FORMAT=MLN","Sort=A","Dates=H","DateFormat=P","Fill=—","Direction=H","UseDPDF=Y")</f>
        <v>530</v>
      </c>
      <c r="F12" s="13">
        <f>_xll.BDH("AMGN US Equity","ARDR_FV_LIAB_REC_LEVEL_2","FQ3 2019","FQ3 2019","Currency=USD","Period=FQ","BEST_FPERIOD_OVERRIDE=FQ","FILING_STATUS=MR","SCALING_FORMAT=MLN","Sort=A","Dates=H","DateFormat=P","Fill=—","Direction=H","UseDPDF=Y")</f>
        <v>484</v>
      </c>
      <c r="G12" s="13">
        <f>_xll.BDH("AMGN US Equity","ARDR_FV_LIAB_REC_LEVEL_2","FQ4 2019","FQ4 2019","Currency=USD","Period=FQ","BEST_FPERIOD_OVERRIDE=FQ","FILING_STATUS=MR","SCALING_FORMAT=MLN","Sort=A","Dates=H","DateFormat=P","Fill=—","Direction=H","UseDPDF=Y")</f>
        <v>346</v>
      </c>
      <c r="H12" s="13">
        <f>_xll.BDH("AMGN US Equity","ARDR_FV_LIAB_REC_LEVEL_2","FQ1 2020","FQ1 2020","Currency=USD","Period=FQ","BEST_FPERIOD_OVERRIDE=FQ","FILING_STATUS=MR","SCALING_FORMAT=MLN","Sort=A","Dates=H","DateFormat=P","Fill=—","Direction=H","UseDPDF=Y")</f>
        <v>685</v>
      </c>
      <c r="I12" s="13">
        <f>_xll.BDH("AMGN US Equity","ARDR_FV_LIAB_REC_LEVEL_2","FQ2 2020","FQ2 2020","Currency=USD","Period=FQ","BEST_FPERIOD_OVERRIDE=FQ","FILING_STATUS=MR","SCALING_FORMAT=MLN","Sort=A","Dates=H","DateFormat=P","Fill=—","Direction=H","UseDPDF=Y")</f>
        <v>632</v>
      </c>
      <c r="J12" s="13">
        <f>_xll.BDH("AMGN US Equity","ARDR_FV_LIAB_REC_LEVEL_2","FQ3 2020","FQ3 2020","Currency=USD","Period=FQ","BEST_FPERIOD_OVERRIDE=FQ","FILING_STATUS=MR","SCALING_FORMAT=MLN","Sort=A","Dates=H","DateFormat=P","Fill=—","Direction=H","UseDPDF=Y")</f>
        <v>573</v>
      </c>
      <c r="K12" s="13">
        <f>_xll.BDH("AMGN US Equity","ARDR_FV_LIAB_REC_LEVEL_2","FQ4 2020","FQ4 2020","Currency=USD","Period=FQ","BEST_FPERIOD_OVERRIDE=FQ","FILING_STATUS=MR","SCALING_FORMAT=MLN","Sort=A","Dates=H","DateFormat=P","Fill=—","Direction=H","UseDPDF=Y")</f>
        <v>570</v>
      </c>
      <c r="L12" s="13">
        <f>_xll.BDH("AMGN US Equity","ARDR_FV_LIAB_REC_LEVEL_2","FQ1 2021","FQ1 2021","Currency=USD","Period=FQ","BEST_FPERIOD_OVERRIDE=FQ","FILING_STATUS=MR","SCALING_FORMAT=MLN","Sort=A","Dates=H","DateFormat=P","Fill=—","Direction=H","UseDPDF=Y")</f>
        <v>532</v>
      </c>
      <c r="M12" s="13">
        <f>_xll.BDH("AMGN US Equity","ARDR_FV_LIAB_REC_LEVEL_2","FQ2 2021","FQ2 2021","Currency=USD","Period=FQ","BEST_FPERIOD_OVERRIDE=FQ","FILING_STATUS=MR","SCALING_FORMAT=MLN","Sort=A","Dates=H","DateFormat=P","Fill=—","Direction=H","UseDPDF=Y")</f>
        <v>514</v>
      </c>
      <c r="N12" s="13">
        <f>_xll.BDH("AMGN US Equity","ARDR_FV_LIAB_REC_LEVEL_2","FQ3 2021","FQ3 2021","Currency=USD","Period=FQ","BEST_FPERIOD_OVERRIDE=FQ","FILING_STATUS=MR","SCALING_FORMAT=MLN","Sort=A","Dates=H","DateFormat=P","Fill=—","Direction=H","UseDPDF=Y")</f>
        <v>519</v>
      </c>
      <c r="O12" s="13">
        <f>_xll.BDH("AMGN US Equity","ARDR_FV_LIAB_REC_LEVEL_2","FQ4 2021","FQ4 2021","Currency=USD","Period=FQ","BEST_FPERIOD_OVERRIDE=FQ","FILING_STATUS=MR","SCALING_FORMAT=MLN","Sort=A","Dates=H","DateFormat=P","Fill=—","Direction=H","UseDPDF=Y")</f>
        <v>534</v>
      </c>
      <c r="P12" s="13">
        <f>_xll.BDH("AMGN US Equity","ARDR_FV_LIAB_REC_LEVEL_2","FQ1 2022","FQ1 2022","Currency=USD","Period=FQ","BEST_FPERIOD_OVERRIDE=FQ","FILING_STATUS=MR","SCALING_FORMAT=MLN","Sort=A","Dates=H","DateFormat=P","Fill=—","Direction=H","UseDPDF=Y")</f>
        <v>865</v>
      </c>
      <c r="Q12" s="13">
        <f>_xll.BDH("AMGN US Equity","ARDR_FV_LIAB_REC_LEVEL_2","FQ2 2022","FQ2 2022","Currency=USD","Period=FQ","BEST_FPERIOD_OVERRIDE=FQ","FILING_STATUS=MR","SCALING_FORMAT=MLN","Sort=A","Dates=H","DateFormat=P","Fill=—","Direction=H","UseDPDF=Y")</f>
        <v>1124</v>
      </c>
      <c r="R12" s="13">
        <f>_xll.BDH("AMGN US Equity","ARDR_FV_LIAB_REC_LEVEL_2","FQ3 2022","FQ3 2022","Currency=USD","Period=FQ","BEST_FPERIOD_OVERRIDE=FQ","FILING_STATUS=MR","SCALING_FORMAT=MLN","Sort=A","Dates=H","DateFormat=P","Fill=—","Direction=H","UseDPDF=Y")</f>
        <v>1586</v>
      </c>
      <c r="S12" s="13">
        <f>_xll.BDH("AMGN US Equity","ARDR_FV_LIAB_REC_LEVEL_2","FQ4 2022","FQ4 2022","Currency=USD","Period=FQ","BEST_FPERIOD_OVERRIDE=FQ","FILING_STATUS=MR","SCALING_FORMAT=MLN","Sort=A","Dates=H","DateFormat=P","Fill=—","Direction=H","UseDPDF=Y")</f>
        <v>1398</v>
      </c>
      <c r="T12" s="13">
        <f>_xll.BDH("AMGN US Equity","ARDR_FV_LIAB_REC_LEVEL_2","FQ1 2023","FQ1 2023","Currency=USD","Period=FQ","BEST_FPERIOD_OVERRIDE=FQ","FILING_STATUS=MR","SCALING_FORMAT=MLN","Sort=A","Dates=H","DateFormat=P","Fill=—","Direction=H","UseDPDF=Y")</f>
        <v>1252</v>
      </c>
      <c r="U12" s="13">
        <f>_xll.BDH("AMGN US Equity","ARDR_FV_LIAB_REC_LEVEL_2","FQ2 2023","FQ2 2023","Currency=USD","Period=FQ","BEST_FPERIOD_OVERRIDE=FQ","FILING_STATUS=MR","SCALING_FORMAT=MLN","Sort=A","Dates=H","DateFormat=P","Fill=—","Direction=H","UseDPDF=Y")</f>
        <v>1311</v>
      </c>
      <c r="V12" s="13">
        <f>_xll.BDH("AMGN US Equity","ARDR_FV_LIAB_REC_LEVEL_2","FQ3 2023","FQ3 2023","Currency=USD","Period=FQ","BEST_FPERIOD_OVERRIDE=FQ","FILING_STATUS=MR","SCALING_FORMAT=MLN","Sort=A","Dates=H","DateFormat=P","Fill=—","Direction=H","UseDPDF=Y")</f>
        <v>1314</v>
      </c>
      <c r="W12" s="13">
        <f>_xll.BDH("AMGN US Equity","ARDR_FV_LIAB_REC_LEVEL_2","FQ4 2023","FQ4 2023","Currency=USD","Period=FQ","BEST_FPERIOD_OVERRIDE=FQ","FILING_STATUS=MR","SCALING_FORMAT=MLN","Sort=A","Dates=H","DateFormat=P","Fill=—","Direction=H","UseDPDF=Y")</f>
        <v>1092</v>
      </c>
      <c r="X12" s="13">
        <f>_xll.BDH("AMGN US Equity","ARDR_FV_LIAB_REC_LEVEL_2","FQ1 2024","FQ1 2024","Currency=USD","Period=FQ","BEST_FPERIOD_OVERRIDE=FQ","FILING_STATUS=MR","SCALING_FORMAT=MLN","Sort=A","Dates=H","DateFormat=P","Fill=—","Direction=H","UseDPDF=Y")</f>
        <v>1072</v>
      </c>
      <c r="Y12" s="13">
        <f>_xll.BDH("AMGN US Equity","ARDR_FV_LIAB_REC_LEVEL_2","FQ2 2024","FQ2 2024","Currency=USD","Period=FQ","BEST_FPERIOD_OVERRIDE=FQ","FILING_STATUS=MR","SCALING_FORMAT=MLN","Sort=A","Dates=H","DateFormat=P","Fill=—","Direction=H","UseDPDF=Y")</f>
        <v>1027</v>
      </c>
      <c r="Z12" s="13">
        <f>_xll.BDH("AMGN US Equity","ARDR_FV_LIAB_REC_LEVEL_2","FQ3 2024","FQ3 2024","Currency=USD","Period=FQ","BEST_FPERIOD_OVERRIDE=FQ","FILING_STATUS=MR","SCALING_FORMAT=MLN","Sort=A","Dates=H","DateFormat=P","Fill=—","Direction=H","UseDPDF=Y")</f>
        <v>886</v>
      </c>
      <c r="AA12" s="13">
        <f>_xll.BDH("AMGN US Equity","ARDR_FV_LIAB_REC_LEVEL_2","FQ4 2024","FQ4 2024","Currency=USD","Period=FQ","BEST_FPERIOD_OVERRIDE=FQ","FILING_STATUS=MR","SCALING_FORMAT=MLN","Sort=A","Dates=H","DateFormat=P","Fill=—","Direction=H","UseDPDF=Y")</f>
        <v>1022</v>
      </c>
    </row>
    <row r="13" spans="1:27" x14ac:dyDescent="0.25">
      <c r="A13" s="10" t="s">
        <v>1246</v>
      </c>
      <c r="B13" s="10" t="s">
        <v>1063</v>
      </c>
      <c r="C13" s="13">
        <f>_xll.BDH("AMGN US Equity","ARDR_FV_LIAB_REC_LEVEL_3","FQ4 2018","FQ4 2018","Currency=USD","Period=FQ","BEST_FPERIOD_OVERRIDE=FQ","FILING_STATUS=MR","SCALING_FORMAT=MLN","Sort=A","Dates=H","DateFormat=P","Fill=—","Direction=H","UseDPDF=Y")</f>
        <v>72</v>
      </c>
      <c r="D13" s="13">
        <f>_xll.BDH("AMGN US Equity","ARDR_FV_LIAB_REC_LEVEL_3","FQ1 2019","FQ1 2019","Currency=USD","Period=FQ","BEST_FPERIOD_OVERRIDE=FQ","FILING_STATUS=MR","SCALING_FORMAT=MLN","Sort=A","Dates=H","DateFormat=P","Fill=—","Direction=H","UseDPDF=Y")</f>
        <v>66</v>
      </c>
      <c r="E13" s="13">
        <f>_xll.BDH("AMGN US Equity","ARDR_FV_LIAB_REC_LEVEL_3","FQ2 2019","FQ2 2019","Currency=USD","Period=FQ","BEST_FPERIOD_OVERRIDE=FQ","FILING_STATUS=MR","SCALING_FORMAT=MLN","Sort=A","Dates=H","DateFormat=P","Fill=—","Direction=H","UseDPDF=Y")</f>
        <v>63</v>
      </c>
      <c r="F13" s="13">
        <f>_xll.BDH("AMGN US Equity","ARDR_FV_LIAB_REC_LEVEL_3","FQ3 2019","FQ3 2019","Currency=USD","Period=FQ","BEST_FPERIOD_OVERRIDE=FQ","FILING_STATUS=MR","SCALING_FORMAT=MLN","Sort=A","Dates=H","DateFormat=P","Fill=—","Direction=H","UseDPDF=Y")</f>
        <v>62</v>
      </c>
      <c r="G13" s="13">
        <f>_xll.BDH("AMGN US Equity","ARDR_FV_LIAB_REC_LEVEL_3","FQ4 2019","FQ4 2019","Currency=USD","Period=FQ","BEST_FPERIOD_OVERRIDE=FQ","FILING_STATUS=MR","SCALING_FORMAT=MLN","Sort=A","Dates=H","DateFormat=P","Fill=—","Direction=H","UseDPDF=Y")</f>
        <v>61</v>
      </c>
      <c r="H13" s="13">
        <f>_xll.BDH("AMGN US Equity","ARDR_FV_LIAB_REC_LEVEL_3","FQ1 2020","FQ1 2020","Currency=USD","Period=FQ","BEST_FPERIOD_OVERRIDE=FQ","FILING_STATUS=MR","SCALING_FORMAT=MLN","Sort=A","Dates=H","DateFormat=P","Fill=—","Direction=H","UseDPDF=Y")</f>
        <v>60</v>
      </c>
      <c r="I13" s="13">
        <f>_xll.BDH("AMGN US Equity","ARDR_FV_LIAB_REC_LEVEL_3","FQ2 2020","FQ2 2020","Currency=USD","Period=FQ","BEST_FPERIOD_OVERRIDE=FQ","FILING_STATUS=MR","SCALING_FORMAT=MLN","Sort=A","Dates=H","DateFormat=P","Fill=—","Direction=H","UseDPDF=Y")</f>
        <v>55</v>
      </c>
      <c r="J13" s="13">
        <f>_xll.BDH("AMGN US Equity","ARDR_FV_LIAB_REC_LEVEL_3","FQ3 2020","FQ3 2020","Currency=USD","Period=FQ","BEST_FPERIOD_OVERRIDE=FQ","FILING_STATUS=MR","SCALING_FORMAT=MLN","Sort=A","Dates=H","DateFormat=P","Fill=—","Direction=H","UseDPDF=Y")</f>
        <v>54</v>
      </c>
      <c r="K13" s="13">
        <f>_xll.BDH("AMGN US Equity","ARDR_FV_LIAB_REC_LEVEL_3","FQ4 2020","FQ4 2020","Currency=USD","Period=FQ","BEST_FPERIOD_OVERRIDE=FQ","FILING_STATUS=MR","SCALING_FORMAT=MLN","Sort=A","Dates=H","DateFormat=P","Fill=—","Direction=H","UseDPDF=Y")</f>
        <v>33</v>
      </c>
      <c r="L13" s="13">
        <f>_xll.BDH("AMGN US Equity","ARDR_FV_LIAB_REC_LEVEL_3","FQ1 2021","FQ1 2021","Currency=USD","Period=FQ","BEST_FPERIOD_OVERRIDE=FQ","FILING_STATUS=MR","SCALING_FORMAT=MLN","Sort=A","Dates=H","DateFormat=P","Fill=—","Direction=H","UseDPDF=Y")</f>
        <v>39</v>
      </c>
      <c r="M13" s="13">
        <f>_xll.BDH("AMGN US Equity","ARDR_FV_LIAB_REC_LEVEL_3","FQ2 2021","FQ2 2021","Currency=USD","Period=FQ","BEST_FPERIOD_OVERRIDE=FQ","FILING_STATUS=MR","SCALING_FORMAT=MLN","Sort=A","Dates=H","DateFormat=P","Fill=—","Direction=H","UseDPDF=Y")</f>
        <v>48</v>
      </c>
      <c r="N13" s="13">
        <f>_xll.BDH("AMGN US Equity","ARDR_FV_LIAB_REC_LEVEL_3","FQ3 2021","FQ3 2021","Currency=USD","Period=FQ","BEST_FPERIOD_OVERRIDE=FQ","FILING_STATUS=MR","SCALING_FORMAT=MLN","Sort=A","Dates=H","DateFormat=P","Fill=—","Direction=H","UseDPDF=Y")</f>
        <v>35</v>
      </c>
      <c r="O13" s="13">
        <f>_xll.BDH("AMGN US Equity","ARDR_FV_LIAB_REC_LEVEL_3","FQ4 2021","FQ4 2021","Currency=USD","Period=FQ","BEST_FPERIOD_OVERRIDE=FQ","FILING_STATUS=MR","SCALING_FORMAT=MLN","Sort=A","Dates=H","DateFormat=P","Fill=—","Direction=H","UseDPDF=Y")</f>
        <v>0</v>
      </c>
      <c r="P13" s="13">
        <f>_xll.BDH("AMGN US Equity","ARDR_FV_LIAB_REC_LEVEL_3","FQ1 2022","FQ1 2022","Currency=USD","Period=FQ","BEST_FPERIOD_OVERRIDE=FQ","FILING_STATUS=MR","SCALING_FORMAT=MLN","Sort=A","Dates=H","DateFormat=P","Fill=—","Direction=H","UseDPDF=Y")</f>
        <v>330</v>
      </c>
      <c r="Q13" s="13">
        <f>_xll.BDH("AMGN US Equity","ARDR_FV_LIAB_REC_LEVEL_3","FQ2 2022","FQ2 2022","Currency=USD","Period=FQ","BEST_FPERIOD_OVERRIDE=FQ","FILING_STATUS=MR","SCALING_FORMAT=MLN","Sort=A","Dates=H","DateFormat=P","Fill=—","Direction=H","UseDPDF=Y")</f>
        <v>310</v>
      </c>
      <c r="R13" s="13">
        <f>_xll.BDH("AMGN US Equity","ARDR_FV_LIAB_REC_LEVEL_3","FQ3 2022","FQ3 2022","Currency=USD","Period=FQ","BEST_FPERIOD_OVERRIDE=FQ","FILING_STATUS=MR","SCALING_FORMAT=MLN","Sort=A","Dates=H","DateFormat=P","Fill=—","Direction=H","UseDPDF=Y")</f>
        <v>302</v>
      </c>
      <c r="S13" s="13">
        <f>_xll.BDH("AMGN US Equity","ARDR_FV_LIAB_REC_LEVEL_3","FQ4 2022","FQ4 2022","Currency=USD","Period=FQ","BEST_FPERIOD_OVERRIDE=FQ","FILING_STATUS=MR","SCALING_FORMAT=MLN","Sort=A","Dates=H","DateFormat=P","Fill=—","Direction=H","UseDPDF=Y")</f>
        <v>270</v>
      </c>
      <c r="T13" s="13">
        <f>_xll.BDH("AMGN US Equity","ARDR_FV_LIAB_REC_LEVEL_3","FQ1 2023","FQ1 2023","Currency=USD","Period=FQ","BEST_FPERIOD_OVERRIDE=FQ","FILING_STATUS=MR","SCALING_FORMAT=MLN","Sort=A","Dates=H","DateFormat=P","Fill=—","Direction=H","UseDPDF=Y")</f>
        <v>273</v>
      </c>
      <c r="U13" s="13">
        <f>_xll.BDH("AMGN US Equity","ARDR_FV_LIAB_REC_LEVEL_3","FQ2 2023","FQ2 2023","Currency=USD","Period=FQ","BEST_FPERIOD_OVERRIDE=FQ","FILING_STATUS=MR","SCALING_FORMAT=MLN","Sort=A","Dates=H","DateFormat=P","Fill=—","Direction=H","UseDPDF=Y")</f>
        <v>248</v>
      </c>
      <c r="V13" s="13">
        <f>_xll.BDH("AMGN US Equity","ARDR_FV_LIAB_REC_LEVEL_3","FQ3 2023","FQ3 2023","Currency=USD","Period=FQ","BEST_FPERIOD_OVERRIDE=FQ","FILING_STATUS=MR","SCALING_FORMAT=MLN","Sort=A","Dates=H","DateFormat=P","Fill=—","Direction=H","UseDPDF=Y")</f>
        <v>98</v>
      </c>
      <c r="W13" s="13">
        <f>_xll.BDH("AMGN US Equity","ARDR_FV_LIAB_REC_LEVEL_3","FQ4 2023","FQ4 2023","Currency=USD","Period=FQ","BEST_FPERIOD_OVERRIDE=FQ","FILING_STATUS=MR","SCALING_FORMAT=MLN","Sort=A","Dates=H","DateFormat=P","Fill=—","Direction=H","UseDPDF=Y")</f>
        <v>96</v>
      </c>
      <c r="X13" s="13">
        <f>_xll.BDH("AMGN US Equity","ARDR_FV_LIAB_REC_LEVEL_3","FQ1 2024","FQ1 2024","Currency=USD","Period=FQ","BEST_FPERIOD_OVERRIDE=FQ","FILING_STATUS=MR","SCALING_FORMAT=MLN","Sort=A","Dates=H","DateFormat=P","Fill=—","Direction=H","UseDPDF=Y")</f>
        <v>96</v>
      </c>
      <c r="Y13" s="13">
        <f>_xll.BDH("AMGN US Equity","ARDR_FV_LIAB_REC_LEVEL_3","FQ2 2024","FQ2 2024","Currency=USD","Period=FQ","BEST_FPERIOD_OVERRIDE=FQ","FILING_STATUS=MR","SCALING_FORMAT=MLN","Sort=A","Dates=H","DateFormat=P","Fill=—","Direction=H","UseDPDF=Y")</f>
        <v>107</v>
      </c>
      <c r="Z13" s="13">
        <f>_xll.BDH("AMGN US Equity","ARDR_FV_LIAB_REC_LEVEL_3","FQ3 2024","FQ3 2024","Currency=USD","Period=FQ","BEST_FPERIOD_OVERRIDE=FQ","FILING_STATUS=MR","SCALING_FORMAT=MLN","Sort=A","Dates=H","DateFormat=P","Fill=—","Direction=H","UseDPDF=Y")</f>
        <v>112</v>
      </c>
      <c r="AA13" s="13">
        <f>_xll.BDH("AMGN US Equity","ARDR_FV_LIAB_REC_LEVEL_3","FQ4 2024","FQ4 2024","Currency=USD","Period=FQ","BEST_FPERIOD_OVERRIDE=FQ","FILING_STATUS=MR","SCALING_FORMAT=MLN","Sort=A","Dates=H","DateFormat=P","Fill=—","Direction=H","UseDPDF=Y")</f>
        <v>106</v>
      </c>
    </row>
    <row r="14" spans="1:27" x14ac:dyDescent="0.25">
      <c r="A14" s="6" t="s">
        <v>1247</v>
      </c>
      <c r="B14" s="6" t="s">
        <v>1065</v>
      </c>
      <c r="C14" s="19">
        <f>_xll.BDH("AMGN US Equity","ARDR_FV_LIAB_REC_TOTAL","FQ4 2018","FQ4 2018","Currency=USD","Period=FQ","BEST_FPERIOD_OVERRIDE=FQ","FILING_STATUS=MR","SCALING_FORMAT=MLN","Sort=A","Dates=H","DateFormat=P","Fill=—","Direction=H","UseDPDF=Y")</f>
        <v>648</v>
      </c>
      <c r="D14" s="19">
        <f>_xll.BDH("AMGN US Equity","ARDR_FV_LIAB_REC_TOTAL","FQ1 2019","FQ1 2019","Currency=USD","Period=FQ","BEST_FPERIOD_OVERRIDE=FQ","FILING_STATUS=MR","SCALING_FORMAT=MLN","Sort=A","Dates=H","DateFormat=P","Fill=—","Direction=H","UseDPDF=Y")</f>
        <v>557</v>
      </c>
      <c r="E14" s="19">
        <f>_xll.BDH("AMGN US Equity","ARDR_FV_LIAB_REC_TOTAL","FQ2 2019","FQ2 2019","Currency=USD","Period=FQ","BEST_FPERIOD_OVERRIDE=FQ","FILING_STATUS=MR","SCALING_FORMAT=MLN","Sort=A","Dates=H","DateFormat=P","Fill=—","Direction=H","UseDPDF=Y")</f>
        <v>593</v>
      </c>
      <c r="F14" s="19">
        <f>_xll.BDH("AMGN US Equity","ARDR_FV_LIAB_REC_TOTAL","FQ3 2019","FQ3 2019","Currency=USD","Period=FQ","BEST_FPERIOD_OVERRIDE=FQ","FILING_STATUS=MR","SCALING_FORMAT=MLN","Sort=A","Dates=H","DateFormat=P","Fill=—","Direction=H","UseDPDF=Y")</f>
        <v>546</v>
      </c>
      <c r="G14" s="19">
        <f>_xll.BDH("AMGN US Equity","ARDR_FV_LIAB_REC_TOTAL","FQ4 2019","FQ4 2019","Currency=USD","Period=FQ","BEST_FPERIOD_OVERRIDE=FQ","FILING_STATUS=MR","SCALING_FORMAT=MLN","Sort=A","Dates=H","DateFormat=P","Fill=—","Direction=H","UseDPDF=Y")</f>
        <v>407</v>
      </c>
      <c r="H14" s="19">
        <f>_xll.BDH("AMGN US Equity","ARDR_FV_LIAB_REC_TOTAL","FQ1 2020","FQ1 2020","Currency=USD","Period=FQ","BEST_FPERIOD_OVERRIDE=FQ","FILING_STATUS=MR","SCALING_FORMAT=MLN","Sort=A","Dates=H","DateFormat=P","Fill=—","Direction=H","UseDPDF=Y")</f>
        <v>745</v>
      </c>
      <c r="I14" s="19">
        <f>_xll.BDH("AMGN US Equity","ARDR_FV_LIAB_REC_TOTAL","FQ2 2020","FQ2 2020","Currency=USD","Period=FQ","BEST_FPERIOD_OVERRIDE=FQ","FILING_STATUS=MR","SCALING_FORMAT=MLN","Sort=A","Dates=H","DateFormat=P","Fill=—","Direction=H","UseDPDF=Y")</f>
        <v>687</v>
      </c>
      <c r="J14" s="19">
        <f>_xll.BDH("AMGN US Equity","ARDR_FV_LIAB_REC_TOTAL","FQ3 2020","FQ3 2020","Currency=USD","Period=FQ","BEST_FPERIOD_OVERRIDE=FQ","FILING_STATUS=MR","SCALING_FORMAT=MLN","Sort=A","Dates=H","DateFormat=P","Fill=—","Direction=H","UseDPDF=Y")</f>
        <v>627</v>
      </c>
      <c r="K14" s="19">
        <f>_xll.BDH("AMGN US Equity","ARDR_FV_LIAB_REC_TOTAL","FQ4 2020","FQ4 2020","Currency=USD","Period=FQ","BEST_FPERIOD_OVERRIDE=FQ","FILING_STATUS=MR","SCALING_FORMAT=MLN","Sort=A","Dates=H","DateFormat=P","Fill=—","Direction=H","UseDPDF=Y")</f>
        <v>603</v>
      </c>
      <c r="L14" s="19">
        <f>_xll.BDH("AMGN US Equity","ARDR_FV_LIAB_REC_TOTAL","FQ1 2021","FQ1 2021","Currency=USD","Period=FQ","BEST_FPERIOD_OVERRIDE=FQ","FILING_STATUS=MR","SCALING_FORMAT=MLN","Sort=A","Dates=H","DateFormat=P","Fill=—","Direction=H","UseDPDF=Y")</f>
        <v>571</v>
      </c>
      <c r="M14" s="19">
        <f>_xll.BDH("AMGN US Equity","ARDR_FV_LIAB_REC_TOTAL","FQ2 2021","FQ2 2021","Currency=USD","Period=FQ","BEST_FPERIOD_OVERRIDE=FQ","FILING_STATUS=MR","SCALING_FORMAT=MLN","Sort=A","Dates=H","DateFormat=P","Fill=—","Direction=H","UseDPDF=Y")</f>
        <v>562</v>
      </c>
      <c r="N14" s="19">
        <f>_xll.BDH("AMGN US Equity","ARDR_FV_LIAB_REC_TOTAL","FQ3 2021","FQ3 2021","Currency=USD","Period=FQ","BEST_FPERIOD_OVERRIDE=FQ","FILING_STATUS=MR","SCALING_FORMAT=MLN","Sort=A","Dates=H","DateFormat=P","Fill=—","Direction=H","UseDPDF=Y")</f>
        <v>554</v>
      </c>
      <c r="O14" s="19">
        <f>_xll.BDH("AMGN US Equity","ARDR_FV_LIAB_REC_TOTAL","FQ4 2021","FQ4 2021","Currency=USD","Period=FQ","BEST_FPERIOD_OVERRIDE=FQ","FILING_STATUS=MR","SCALING_FORMAT=MLN","Sort=A","Dates=H","DateFormat=P","Fill=—","Direction=H","UseDPDF=Y")</f>
        <v>534</v>
      </c>
      <c r="P14" s="19">
        <f>_xll.BDH("AMGN US Equity","ARDR_FV_LIAB_REC_TOTAL","FQ1 2022","FQ1 2022","Currency=USD","Period=FQ","BEST_FPERIOD_OVERRIDE=FQ","FILING_STATUS=MR","SCALING_FORMAT=MLN","Sort=A","Dates=H","DateFormat=P","Fill=—","Direction=H","UseDPDF=Y")</f>
        <v>1195</v>
      </c>
      <c r="Q14" s="19">
        <f>_xll.BDH("AMGN US Equity","ARDR_FV_LIAB_REC_TOTAL","FQ2 2022","FQ2 2022","Currency=USD","Period=FQ","BEST_FPERIOD_OVERRIDE=FQ","FILING_STATUS=MR","SCALING_FORMAT=MLN","Sort=A","Dates=H","DateFormat=P","Fill=—","Direction=H","UseDPDF=Y")</f>
        <v>1434</v>
      </c>
      <c r="R14" s="19">
        <f>_xll.BDH("AMGN US Equity","ARDR_FV_LIAB_REC_TOTAL","FQ3 2022","FQ3 2022","Currency=USD","Period=FQ","BEST_FPERIOD_OVERRIDE=FQ","FILING_STATUS=MR","SCALING_FORMAT=MLN","Sort=A","Dates=H","DateFormat=P","Fill=—","Direction=H","UseDPDF=Y")</f>
        <v>1888</v>
      </c>
      <c r="S14" s="19">
        <f>_xll.BDH("AMGN US Equity","ARDR_FV_LIAB_REC_TOTAL","FQ4 2022","FQ4 2022","Currency=USD","Period=FQ","BEST_FPERIOD_OVERRIDE=FQ","FILING_STATUS=MR","SCALING_FORMAT=MLN","Sort=A","Dates=H","DateFormat=P","Fill=—","Direction=H","UseDPDF=Y")</f>
        <v>1668</v>
      </c>
      <c r="T14" s="19">
        <f>_xll.BDH("AMGN US Equity","ARDR_FV_LIAB_REC_TOTAL","FQ1 2023","FQ1 2023","Currency=USD","Period=FQ","BEST_FPERIOD_OVERRIDE=FQ","FILING_STATUS=MR","SCALING_FORMAT=MLN","Sort=A","Dates=H","DateFormat=P","Fill=—","Direction=H","UseDPDF=Y")</f>
        <v>1525</v>
      </c>
      <c r="U14" s="19">
        <f>_xll.BDH("AMGN US Equity","ARDR_FV_LIAB_REC_TOTAL","FQ2 2023","FQ2 2023","Currency=USD","Period=FQ","BEST_FPERIOD_OVERRIDE=FQ","FILING_STATUS=MR","SCALING_FORMAT=MLN","Sort=A","Dates=H","DateFormat=P","Fill=—","Direction=H","UseDPDF=Y")</f>
        <v>1559</v>
      </c>
      <c r="V14" s="19">
        <f>_xll.BDH("AMGN US Equity","ARDR_FV_LIAB_REC_TOTAL","FQ3 2023","FQ3 2023","Currency=USD","Period=FQ","BEST_FPERIOD_OVERRIDE=FQ","FILING_STATUS=MR","SCALING_FORMAT=MLN","Sort=A","Dates=H","DateFormat=P","Fill=—","Direction=H","UseDPDF=Y")</f>
        <v>1412</v>
      </c>
      <c r="W14" s="19">
        <f>_xll.BDH("AMGN US Equity","ARDR_FV_LIAB_REC_TOTAL","FQ4 2023","FQ4 2023","Currency=USD","Period=FQ","BEST_FPERIOD_OVERRIDE=FQ","FILING_STATUS=MR","SCALING_FORMAT=MLN","Sort=A","Dates=H","DateFormat=P","Fill=—","Direction=H","UseDPDF=Y")</f>
        <v>1188</v>
      </c>
      <c r="X14" s="19">
        <f>_xll.BDH("AMGN US Equity","ARDR_FV_LIAB_REC_TOTAL","FQ1 2024","FQ1 2024","Currency=USD","Period=FQ","BEST_FPERIOD_OVERRIDE=FQ","FILING_STATUS=MR","SCALING_FORMAT=MLN","Sort=A","Dates=H","DateFormat=P","Fill=—","Direction=H","UseDPDF=Y")</f>
        <v>1168</v>
      </c>
      <c r="Y14" s="19">
        <f>_xll.BDH("AMGN US Equity","ARDR_FV_LIAB_REC_TOTAL","FQ2 2024","FQ2 2024","Currency=USD","Period=FQ","BEST_FPERIOD_OVERRIDE=FQ","FILING_STATUS=MR","SCALING_FORMAT=MLN","Sort=A","Dates=H","DateFormat=P","Fill=—","Direction=H","UseDPDF=Y")</f>
        <v>1134</v>
      </c>
      <c r="Z14" s="19">
        <f>_xll.BDH("AMGN US Equity","ARDR_FV_LIAB_REC_TOTAL","FQ3 2024","FQ3 2024","Currency=USD","Period=FQ","BEST_FPERIOD_OVERRIDE=FQ","FILING_STATUS=MR","SCALING_FORMAT=MLN","Sort=A","Dates=H","DateFormat=P","Fill=—","Direction=H","UseDPDF=Y")</f>
        <v>998</v>
      </c>
      <c r="AA14" s="19">
        <f>_xll.BDH("AMGN US Equity","ARDR_FV_LIAB_REC_TOTAL","FQ4 2024","FQ4 2024","Currency=USD","Period=FQ","BEST_FPERIOD_OVERRIDE=FQ","FILING_STATUS=MR","SCALING_FORMAT=MLN","Sort=A","Dates=H","DateFormat=P","Fill=—","Direction=H","UseDPDF=Y")</f>
        <v>1128</v>
      </c>
    </row>
    <row r="15" spans="1:27" x14ac:dyDescent="0.25">
      <c r="A15" s="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x14ac:dyDescent="0.25">
      <c r="A16" s="10" t="s">
        <v>1248</v>
      </c>
      <c r="B16" s="10" t="s">
        <v>1249</v>
      </c>
      <c r="C16" s="14">
        <f>_xll.BDH("AMGN US Equity","LEVEL_1_ASSETS_TO_TOTAL_EQUITY","FQ4 2018","FQ4 2018","Currency=USD","Period=FQ","BEST_FPERIOD_OVERRIDE=FQ","FILING_STATUS=MR","Sort=A","Dates=H","DateFormat=P","Fill=—","Direction=H","UseDPDF=Y")</f>
        <v>133.512</v>
      </c>
      <c r="D16" s="14">
        <f>_xll.BDH("AMGN US Equity","LEVEL_1_ASSETS_TO_TOTAL_EQUITY","FQ1 2019","FQ1 2019","Currency=USD","Period=FQ","BEST_FPERIOD_OVERRIDE=FQ","FILING_STATUS=MR","Sort=A","Dates=H","DateFormat=P","Fill=—","Direction=H","UseDPDF=Y")</f>
        <v>99.501499999999993</v>
      </c>
      <c r="E16" s="14">
        <f>_xll.BDH("AMGN US Equity","LEVEL_1_ASSETS_TO_TOTAL_EQUITY","FQ2 2019","FQ2 2019","Currency=USD","Period=FQ","BEST_FPERIOD_OVERRIDE=FQ","FILING_STATUS=MR","Sort=A","Dates=H","DateFormat=P","Fill=—","Direction=H","UseDPDF=Y")</f>
        <v>96.229399999999998</v>
      </c>
      <c r="F16" s="14">
        <f>_xll.BDH("AMGN US Equity","LEVEL_1_ASSETS_TO_TOTAL_EQUITY","FQ3 2019","FQ3 2019","Currency=USD","Period=FQ","BEST_FPERIOD_OVERRIDE=FQ","FILING_STATUS=MR","Sort=A","Dates=H","DateFormat=P","Fill=—","Direction=H","UseDPDF=Y")</f>
        <v>109.4079</v>
      </c>
      <c r="G16" s="14">
        <f>_xll.BDH("AMGN US Equity","LEVEL_1_ASSETS_TO_TOTAL_EQUITY","FQ4 2019","FQ4 2019","Currency=USD","Period=FQ","BEST_FPERIOD_OVERRIDE=FQ","FILING_STATUS=MR","Sort=A","Dates=H","DateFormat=P","Fill=—","Direction=H","UseDPDF=Y")</f>
        <v>61.128900000000002</v>
      </c>
      <c r="H16" s="14">
        <f>_xll.BDH("AMGN US Equity","LEVEL_1_ASSETS_TO_TOTAL_EQUITY","FQ1 2020","FQ1 2020","Currency=USD","Period=FQ","BEST_FPERIOD_OVERRIDE=FQ","FILING_STATUS=MR","Sort=A","Dates=H","DateFormat=P","Fill=—","Direction=H","UseDPDF=Y")</f>
        <v>74.412199999999999</v>
      </c>
      <c r="I16" s="14">
        <f>_xll.BDH("AMGN US Equity","LEVEL_1_ASSETS_TO_TOTAL_EQUITY","FQ2 2020","FQ2 2020","Currency=USD","Period=FQ","BEST_FPERIOD_OVERRIDE=FQ","FILING_STATUS=MR","Sort=A","Dates=H","DateFormat=P","Fill=—","Direction=H","UseDPDF=Y")</f>
        <v>103.4712</v>
      </c>
      <c r="J16" s="14">
        <f>_xll.BDH("AMGN US Equity","LEVEL_1_ASSETS_TO_TOTAL_EQUITY","FQ3 2020","FQ3 2020","Currency=USD","Period=FQ","BEST_FPERIOD_OVERRIDE=FQ","FILING_STATUS=MR","Sort=A","Dates=H","DateFormat=P","Fill=—","Direction=H","UseDPDF=Y")</f>
        <v>109.1797</v>
      </c>
      <c r="K16" s="14">
        <f>_xll.BDH("AMGN US Equity","LEVEL_1_ASSETS_TO_TOTAL_EQUITY","FQ4 2020","FQ4 2020","Currency=USD","Period=FQ","BEST_FPERIOD_OVERRIDE=FQ","FILING_STATUS=MR","Sort=A","Dates=H","DateFormat=P","Fill=—","Direction=H","UseDPDF=Y")</f>
        <v>109.68219999999999</v>
      </c>
      <c r="L16" s="14">
        <f>_xll.BDH("AMGN US Equity","LEVEL_1_ASSETS_TO_TOTAL_EQUITY","FQ1 2021","FQ1 2021","Currency=USD","Period=FQ","BEST_FPERIOD_OVERRIDE=FQ","FILING_STATUS=MR","Sort=A","Dates=H","DateFormat=P","Fill=—","Direction=H","UseDPDF=Y")</f>
        <v>108.3673</v>
      </c>
      <c r="M16" s="14">
        <f>_xll.BDH("AMGN US Equity","LEVEL_1_ASSETS_TO_TOTAL_EQUITY","FQ2 2021","FQ2 2021","Currency=USD","Period=FQ","BEST_FPERIOD_OVERRIDE=FQ","FILING_STATUS=MR","Sort=A","Dates=H","DateFormat=P","Fill=—","Direction=H","UseDPDF=Y")</f>
        <v>91.693899999999999</v>
      </c>
      <c r="N16" s="14">
        <f>_xll.BDH("AMGN US Equity","LEVEL_1_ASSETS_TO_TOTAL_EQUITY","FQ3 2021","FQ3 2021","Currency=USD","Period=FQ","BEST_FPERIOD_OVERRIDE=FQ","FILING_STATUS=MR","Sort=A","Dates=H","DateFormat=P","Fill=—","Direction=H","UseDPDF=Y")</f>
        <v>156.77250000000001</v>
      </c>
      <c r="O16" s="14">
        <f>_xll.BDH("AMGN US Equity","LEVEL_1_ASSETS_TO_TOTAL_EQUITY","FQ4 2021","FQ4 2021","Currency=USD","Period=FQ","BEST_FPERIOD_OVERRIDE=FQ","FILING_STATUS=MR","Sort=A","Dates=H","DateFormat=P","Fill=—","Direction=H","UseDPDF=Y")</f>
        <v>118.1194</v>
      </c>
      <c r="P16" s="14">
        <f>_xll.BDH("AMGN US Equity","LEVEL_1_ASSETS_TO_TOTAL_EQUITY","FQ1 2022","FQ1 2022","Currency=USD","Period=FQ","BEST_FPERIOD_OVERRIDE=FQ","FILING_STATUS=MR","Sort=A","Dates=H","DateFormat=P","Fill=—","Direction=H","UseDPDF=Y")</f>
        <v>690.6114</v>
      </c>
      <c r="Q16" s="14">
        <f>_xll.BDH("AMGN US Equity","LEVEL_1_ASSETS_TO_TOTAL_EQUITY","FQ2 2022","FQ2 2022","Currency=USD","Period=FQ","BEST_FPERIOD_OVERRIDE=FQ","FILING_STATUS=MR","Sort=A","Dates=H","DateFormat=P","Fill=—","Direction=H","UseDPDF=Y")</f>
        <v>280.03309999999999</v>
      </c>
      <c r="R16" s="14">
        <f>_xll.BDH("AMGN US Equity","LEVEL_1_ASSETS_TO_TOTAL_EQUITY","FQ3 2022","FQ3 2022","Currency=USD","Period=FQ","BEST_FPERIOD_OVERRIDE=FQ","FILING_STATUS=MR","Sort=A","Dates=H","DateFormat=P","Fill=—","Direction=H","UseDPDF=Y")</f>
        <v>309.49900000000002</v>
      </c>
      <c r="S16" s="14">
        <f>_xll.BDH("AMGN US Equity","LEVEL_1_ASSETS_TO_TOTAL_EQUITY","FQ4 2022","FQ4 2022","Currency=USD","Period=FQ","BEST_FPERIOD_OVERRIDE=FQ","FILING_STATUS=MR","Sort=A","Dates=H","DateFormat=P","Fill=—","Direction=H","UseDPDF=Y")</f>
        <v>131.5214</v>
      </c>
      <c r="T16" s="14">
        <f>_xll.BDH("AMGN US Equity","LEVEL_1_ASSETS_TO_TOTAL_EQUITY","FQ1 2023","FQ1 2023","Currency=USD","Period=FQ","BEST_FPERIOD_OVERRIDE=FQ","FILING_STATUS=MR","Sort=A","Dates=H","DateFormat=P","Fill=—","Direction=H","UseDPDF=Y")</f>
        <v>665.83770000000004</v>
      </c>
      <c r="U16" s="14">
        <f>_xll.BDH("AMGN US Equity","LEVEL_1_ASSETS_TO_TOTAL_EQUITY","FQ2 2023","FQ2 2023","Currency=USD","Period=FQ","BEST_FPERIOD_OVERRIDE=FQ","FILING_STATUS=MR","Sort=A","Dates=H","DateFormat=P","Fill=—","Direction=H","UseDPDF=Y")</f>
        <v>551.43780000000004</v>
      </c>
      <c r="V16" s="14">
        <f>_xll.BDH("AMGN US Equity","LEVEL_1_ASSETS_TO_TOTAL_EQUITY","FQ3 2023","FQ3 2023","Currency=USD","Period=FQ","BEST_FPERIOD_OVERRIDE=FQ","FILING_STATUS=MR","Sort=A","Dates=H","DateFormat=P","Fill=—","Direction=H","UseDPDF=Y")</f>
        <v>502.32499999999999</v>
      </c>
      <c r="W16" s="14">
        <f>_xll.BDH("AMGN US Equity","LEVEL_1_ASSETS_TO_TOTAL_EQUITY","FQ4 2023","FQ4 2023","Currency=USD","Period=FQ","BEST_FPERIOD_OVERRIDE=FQ","FILING_STATUS=MR","Sort=A","Dates=H","DateFormat=P","Fill=—","Direction=H","UseDPDF=Y")</f>
        <v>237.16300000000001</v>
      </c>
      <c r="X16" s="14">
        <f>_xll.BDH("AMGN US Equity","LEVEL_1_ASSETS_TO_TOTAL_EQUITY","FQ1 2024","FQ1 2024","Currency=USD","Period=FQ","BEST_FPERIOD_OVERRIDE=FQ","FILING_STATUS=MR","Sort=A","Dates=H","DateFormat=P","Fill=—","Direction=H","UseDPDF=Y")</f>
        <v>260.53370000000001</v>
      </c>
      <c r="Y16" s="14">
        <f>_xll.BDH("AMGN US Equity","LEVEL_1_ASSETS_TO_TOTAL_EQUITY","FQ2 2024","FQ2 2024","Currency=USD","Period=FQ","BEST_FPERIOD_OVERRIDE=FQ","FILING_STATUS=MR","Sort=A","Dates=H","DateFormat=P","Fill=—","Direction=H","UseDPDF=Y")</f>
        <v>188.15190000000001</v>
      </c>
      <c r="Z16" s="14">
        <f>_xll.BDH("AMGN US Equity","LEVEL_1_ASSETS_TO_TOTAL_EQUITY","FQ3 2024","FQ3 2024","Currency=USD","Period=FQ","BEST_FPERIOD_OVERRIDE=FQ","FILING_STATUS=MR","Sort=A","Dates=H","DateFormat=P","Fill=—","Direction=H","UseDPDF=Y")</f>
        <v>165.98910000000001</v>
      </c>
      <c r="AA16" s="14">
        <f>_xll.BDH("AMGN US Equity","LEVEL_1_ASSETS_TO_TOTAL_EQUITY","FQ4 2024","FQ4 2024","Currency=USD","Period=FQ","BEST_FPERIOD_OVERRIDE=FQ","FILING_STATUS=MR","Sort=A","Dates=H","DateFormat=P","Fill=—","Direction=H","UseDPDF=Y")</f>
        <v>247.4392</v>
      </c>
    </row>
    <row r="17" spans="1:27" x14ac:dyDescent="0.25">
      <c r="A17" s="10" t="s">
        <v>1250</v>
      </c>
      <c r="B17" s="10" t="s">
        <v>1251</v>
      </c>
      <c r="C17" s="14">
        <f>_xll.BDH("AMGN US Equity","LEVEL_2_ASSETS_TO_TOTAL_EQUITY","FQ4 2018","FQ4 2018","Currency=USD","Period=FQ","BEST_FPERIOD_OVERRIDE=FQ","FILING_STATUS=MR","Sort=A","Dates=H","DateFormat=P","Fill=—","Direction=H","UseDPDF=Y")</f>
        <v>100.952</v>
      </c>
      <c r="D17" s="14">
        <f>_xll.BDH("AMGN US Equity","LEVEL_2_ASSETS_TO_TOTAL_EQUITY","FQ1 2019","FQ1 2019","Currency=USD","Period=FQ","BEST_FPERIOD_OVERRIDE=FQ","FILING_STATUS=MR","Sort=A","Dates=H","DateFormat=P","Fill=—","Direction=H","UseDPDF=Y")</f>
        <v>143.9716</v>
      </c>
      <c r="E17" s="14">
        <f>_xll.BDH("AMGN US Equity","LEVEL_2_ASSETS_TO_TOTAL_EQUITY","FQ2 2019","FQ2 2019","Currency=USD","Period=FQ","BEST_FPERIOD_OVERRIDE=FQ","FILING_STATUS=MR","Sort=A","Dates=H","DateFormat=P","Fill=—","Direction=H","UseDPDF=Y")</f>
        <v>107.745</v>
      </c>
      <c r="F17" s="14">
        <f>_xll.BDH("AMGN US Equity","LEVEL_2_ASSETS_TO_TOTAL_EQUITY","FQ3 2019","FQ3 2019","Currency=USD","Period=FQ","BEST_FPERIOD_OVERRIDE=FQ","FILING_STATUS=MR","Sort=A","Dates=H","DateFormat=P","Fill=—","Direction=H","UseDPDF=Y")</f>
        <v>84.689300000000003</v>
      </c>
      <c r="G17" s="14">
        <f>_xll.BDH("AMGN US Equity","LEVEL_2_ASSETS_TO_TOTAL_EQUITY","FQ4 2019","FQ4 2019","Currency=USD","Period=FQ","BEST_FPERIOD_OVERRIDE=FQ","FILING_STATUS=MR","Sort=A","Dates=H","DateFormat=P","Fill=—","Direction=H","UseDPDF=Y")</f>
        <v>32.802599999999998</v>
      </c>
      <c r="H17" s="14">
        <f>_xll.BDH("AMGN US Equity","LEVEL_2_ASSETS_TO_TOTAL_EQUITY","FQ1 2020","FQ1 2020","Currency=USD","Period=FQ","BEST_FPERIOD_OVERRIDE=FQ","FILING_STATUS=MR","Sort=A","Dates=H","DateFormat=P","Fill=—","Direction=H","UseDPDF=Y")</f>
        <v>9.8049999999999997</v>
      </c>
      <c r="I17" s="14">
        <f>_xll.BDH("AMGN US Equity","LEVEL_2_ASSETS_TO_TOTAL_EQUITY","FQ2 2020","FQ2 2020","Currency=USD","Period=FQ","BEST_FPERIOD_OVERRIDE=FQ","FILING_STATUS=MR","Sort=A","Dates=H","DateFormat=P","Fill=—","Direction=H","UseDPDF=Y")</f>
        <v>3.6214</v>
      </c>
      <c r="J17" s="14">
        <f>_xll.BDH("AMGN US Equity","LEVEL_2_ASSETS_TO_TOTAL_EQUITY","FQ3 2020","FQ3 2020","Currency=USD","Period=FQ","BEST_FPERIOD_OVERRIDE=FQ","FILING_STATUS=MR","Sort=A","Dates=H","DateFormat=P","Fill=—","Direction=H","UseDPDF=Y")</f>
        <v>3.1389999999999998</v>
      </c>
      <c r="K17" s="14">
        <f>_xll.BDH("AMGN US Equity","LEVEL_2_ASSETS_TO_TOTAL_EQUITY","FQ4 2020","FQ4 2020","Currency=USD","Period=FQ","BEST_FPERIOD_OVERRIDE=FQ","FILING_STATUS=MR","Sort=A","Dates=H","DateFormat=P","Fill=—","Direction=H","UseDPDF=Y")</f>
        <v>3.7305000000000001</v>
      </c>
      <c r="L17" s="14">
        <f>_xll.BDH("AMGN US Equity","LEVEL_2_ASSETS_TO_TOTAL_EQUITY","FQ1 2021","FQ1 2021","Currency=USD","Period=FQ","BEST_FPERIOD_OVERRIDE=FQ","FILING_STATUS=MR","Sort=A","Dates=H","DateFormat=P","Fill=—","Direction=H","UseDPDF=Y")</f>
        <v>2.8391000000000002</v>
      </c>
      <c r="M17" s="14">
        <f>_xll.BDH("AMGN US Equity","LEVEL_2_ASSETS_TO_TOTAL_EQUITY","FQ2 2021","FQ2 2021","Currency=USD","Period=FQ","BEST_FPERIOD_OVERRIDE=FQ","FILING_STATUS=MR","Sort=A","Dates=H","DateFormat=P","Fill=—","Direction=H","UseDPDF=Y")</f>
        <v>3.5043000000000002</v>
      </c>
      <c r="N17" s="14">
        <f>_xll.BDH("AMGN US Equity","LEVEL_2_ASSETS_TO_TOTAL_EQUITY","FQ3 2021","FQ3 2021","Currency=USD","Period=FQ","BEST_FPERIOD_OVERRIDE=FQ","FILING_STATUS=MR","Sort=A","Dates=H","DateFormat=P","Fill=—","Direction=H","UseDPDF=Y")</f>
        <v>3.3589000000000002</v>
      </c>
      <c r="O17" s="14">
        <f>_xll.BDH("AMGN US Equity","LEVEL_2_ASSETS_TO_TOTAL_EQUITY","FQ4 2021","FQ4 2021","Currency=USD","Period=FQ","BEST_FPERIOD_OVERRIDE=FQ","FILING_STATUS=MR","Sort=A","Dates=H","DateFormat=P","Fill=—","Direction=H","UseDPDF=Y")</f>
        <v>3.9701</v>
      </c>
      <c r="P17" s="14">
        <f>_xll.BDH("AMGN US Equity","LEVEL_2_ASSETS_TO_TOTAL_EQUITY","FQ1 2022","FQ1 2022","Currency=USD","Period=FQ","BEST_FPERIOD_OVERRIDE=FQ","FILING_STATUS=MR","Sort=A","Dates=H","DateFormat=P","Fill=—","Direction=H","UseDPDF=Y")</f>
        <v>32.751100000000001</v>
      </c>
      <c r="Q17" s="14">
        <f>_xll.BDH("AMGN US Equity","LEVEL_2_ASSETS_TO_TOTAL_EQUITY","FQ2 2022","FQ2 2022","Currency=USD","Period=FQ","BEST_FPERIOD_OVERRIDE=FQ","FILING_STATUS=MR","Sort=A","Dates=H","DateFormat=P","Fill=—","Direction=H","UseDPDF=Y")</f>
        <v>18.271999999999998</v>
      </c>
      <c r="R17" s="14">
        <f>_xll.BDH("AMGN US Equity","LEVEL_2_ASSETS_TO_TOTAL_EQUITY","FQ3 2022","FQ3 2022","Currency=USD","Period=FQ","BEST_FPERIOD_OVERRIDE=FQ","FILING_STATUS=MR","Sort=A","Dates=H","DateFormat=P","Fill=—","Direction=H","UseDPDF=Y")</f>
        <v>21.3523</v>
      </c>
      <c r="S17" s="14">
        <f>_xll.BDH("AMGN US Equity","LEVEL_2_ASSETS_TO_TOTAL_EQUITY","FQ4 2022","FQ4 2022","Currency=USD","Period=FQ","BEST_FPERIOD_OVERRIDE=FQ","FILING_STATUS=MR","Sort=A","Dates=H","DateFormat=P","Fill=—","Direction=H","UseDPDF=Y")</f>
        <v>12.8653</v>
      </c>
      <c r="T17" s="14">
        <f>_xll.BDH("AMGN US Equity","LEVEL_2_ASSETS_TO_TOTAL_EQUITY","FQ1 2023","FQ1 2023","Currency=USD","Period=FQ","BEST_FPERIOD_OVERRIDE=FQ","FILING_STATUS=MR","Sort=A","Dates=H","DateFormat=P","Fill=—","Direction=H","UseDPDF=Y")</f>
        <v>7.1802999999999999</v>
      </c>
      <c r="U17" s="14">
        <f>_xll.BDH("AMGN US Equity","LEVEL_2_ASSETS_TO_TOTAL_EQUITY","FQ2 2023","FQ2 2023","Currency=USD","Period=FQ","BEST_FPERIOD_OVERRIDE=FQ","FILING_STATUS=MR","Sort=A","Dates=H","DateFormat=P","Fill=—","Direction=H","UseDPDF=Y")</f>
        <v>5.7218999999999998</v>
      </c>
      <c r="V17" s="14">
        <f>_xll.BDH("AMGN US Equity","LEVEL_2_ASSETS_TO_TOTAL_EQUITY","FQ3 2023","FQ3 2023","Currency=USD","Period=FQ","BEST_FPERIOD_OVERRIDE=FQ","FILING_STATUS=MR","Sort=A","Dates=H","DateFormat=P","Fill=—","Direction=H","UseDPDF=Y")</f>
        <v>6.3087999999999997</v>
      </c>
      <c r="W17" s="14">
        <f>_xll.BDH("AMGN US Equity","LEVEL_2_ASSETS_TO_TOTAL_EQUITY","FQ4 2023","FQ4 2023","Currency=USD","Period=FQ","BEST_FPERIOD_OVERRIDE=FQ","FILING_STATUS=MR","Sort=A","Dates=H","DateFormat=P","Fill=—","Direction=H","UseDPDF=Y")</f>
        <v>4.5411000000000001</v>
      </c>
      <c r="X17" s="14">
        <f>_xll.BDH("AMGN US Equity","LEVEL_2_ASSETS_TO_TOTAL_EQUITY","FQ1 2024","FQ1 2024","Currency=USD","Period=FQ","BEST_FPERIOD_OVERRIDE=FQ","FILING_STATUS=MR","Sort=A","Dates=H","DateFormat=P","Fill=—","Direction=H","UseDPDF=Y")</f>
        <v>7.2282000000000002</v>
      </c>
      <c r="Y17" s="14">
        <f>_xll.BDH("AMGN US Equity","LEVEL_2_ASSETS_TO_TOTAL_EQUITY","FQ2 2024","FQ2 2024","Currency=USD","Period=FQ","BEST_FPERIOD_OVERRIDE=FQ","FILING_STATUS=MR","Sort=A","Dates=H","DateFormat=P","Fill=—","Direction=H","UseDPDF=Y")</f>
        <v>23.696200000000001</v>
      </c>
      <c r="Z17" s="14">
        <f>_xll.BDH("AMGN US Equity","LEVEL_2_ASSETS_TO_TOTAL_EQUITY","FQ3 2024","FQ3 2024","Currency=USD","Period=FQ","BEST_FPERIOD_OVERRIDE=FQ","FILING_STATUS=MR","Sort=A","Dates=H","DateFormat=P","Fill=—","Direction=H","UseDPDF=Y")</f>
        <v>16.620200000000001</v>
      </c>
      <c r="AA17" s="14">
        <f>_xll.BDH("AMGN US Equity","LEVEL_2_ASSETS_TO_TOTAL_EQUITY","FQ4 2024","FQ4 2024","Currency=USD","Period=FQ","BEST_FPERIOD_OVERRIDE=FQ","FILING_STATUS=MR","Sort=A","Dates=H","DateFormat=P","Fill=—","Direction=H","UseDPDF=Y")</f>
        <v>26.408000000000001</v>
      </c>
    </row>
    <row r="18" spans="1:27" x14ac:dyDescent="0.25">
      <c r="A18" s="10" t="s">
        <v>1252</v>
      </c>
      <c r="B18" s="10" t="s">
        <v>1253</v>
      </c>
      <c r="C18" s="14">
        <f>_xll.BDH("AMGN US Equity","LEVEL_3_ASSETS_TO_TOTAL_EQUITY","FQ4 2018","FQ4 2018","Currency=USD","Period=FQ","BEST_FPERIOD_OVERRIDE=FQ","FILING_STATUS=MR","Sort=A","Dates=H","DateFormat=P","Fill=—","Direction=H","UseDPDF=Y")</f>
        <v>0</v>
      </c>
      <c r="D18" s="14">
        <f>_xll.BDH("AMGN US Equity","LEVEL_3_ASSETS_TO_TOTAL_EQUITY","FQ1 2019","FQ1 2019","Currency=USD","Period=FQ","BEST_FPERIOD_OVERRIDE=FQ","FILING_STATUS=MR","Sort=A","Dates=H","DateFormat=P","Fill=—","Direction=H","UseDPDF=Y")</f>
        <v>0</v>
      </c>
      <c r="E18" s="14">
        <f>_xll.BDH("AMGN US Equity","LEVEL_3_ASSETS_TO_TOTAL_EQUITY","FQ2 2019","FQ2 2019","Currency=USD","Period=FQ","BEST_FPERIOD_OVERRIDE=FQ","FILING_STATUS=MR","Sort=A","Dates=H","DateFormat=P","Fill=—","Direction=H","UseDPDF=Y")</f>
        <v>0</v>
      </c>
      <c r="F18" s="14">
        <f>_xll.BDH("AMGN US Equity","LEVEL_3_ASSETS_TO_TOTAL_EQUITY","FQ3 2019","FQ3 2019","Currency=USD","Period=FQ","BEST_FPERIOD_OVERRIDE=FQ","FILING_STATUS=MR","Sort=A","Dates=H","DateFormat=P","Fill=—","Direction=H","UseDPDF=Y")</f>
        <v>0</v>
      </c>
      <c r="G18" s="14">
        <f>_xll.BDH("AMGN US Equity","LEVEL_3_ASSETS_TO_TOTAL_EQUITY","FQ4 2019","FQ4 2019","Currency=USD","Period=FQ","BEST_FPERIOD_OVERRIDE=FQ","FILING_STATUS=MR","Sort=A","Dates=H","DateFormat=P","Fill=—","Direction=H","UseDPDF=Y")</f>
        <v>0</v>
      </c>
      <c r="H18" s="14">
        <f>_xll.BDH("AMGN US Equity","LEVEL_3_ASSETS_TO_TOTAL_EQUITY","FQ1 2020","FQ1 2020","Currency=USD","Period=FQ","BEST_FPERIOD_OVERRIDE=FQ","FILING_STATUS=MR","Sort=A","Dates=H","DateFormat=P","Fill=—","Direction=H","UseDPDF=Y")</f>
        <v>0</v>
      </c>
      <c r="I18" s="14">
        <f>_xll.BDH("AMGN US Equity","LEVEL_3_ASSETS_TO_TOTAL_EQUITY","FQ2 2020","FQ2 2020","Currency=USD","Period=FQ","BEST_FPERIOD_OVERRIDE=FQ","FILING_STATUS=MR","Sort=A","Dates=H","DateFormat=P","Fill=—","Direction=H","UseDPDF=Y")</f>
        <v>0</v>
      </c>
      <c r="J18" s="14">
        <f>_xll.BDH("AMGN US Equity","LEVEL_3_ASSETS_TO_TOTAL_EQUITY","FQ3 2020","FQ3 2020","Currency=USD","Period=FQ","BEST_FPERIOD_OVERRIDE=FQ","FILING_STATUS=MR","Sort=A","Dates=H","DateFormat=P","Fill=—","Direction=H","UseDPDF=Y")</f>
        <v>0</v>
      </c>
      <c r="K18" s="14">
        <f>_xll.BDH("AMGN US Equity","LEVEL_3_ASSETS_TO_TOTAL_EQUITY","FQ4 2020","FQ4 2020","Currency=USD","Period=FQ","BEST_FPERIOD_OVERRIDE=FQ","FILING_STATUS=MR","Sort=A","Dates=H","DateFormat=P","Fill=—","Direction=H","UseDPDF=Y")</f>
        <v>0</v>
      </c>
      <c r="L18" s="14">
        <f>_xll.BDH("AMGN US Equity","LEVEL_3_ASSETS_TO_TOTAL_EQUITY","FQ1 2021","FQ1 2021","Currency=USD","Period=FQ","BEST_FPERIOD_OVERRIDE=FQ","FILING_STATUS=MR","Sort=A","Dates=H","DateFormat=P","Fill=—","Direction=H","UseDPDF=Y")</f>
        <v>0</v>
      </c>
      <c r="M18" s="14">
        <f>_xll.BDH("AMGN US Equity","LEVEL_3_ASSETS_TO_TOTAL_EQUITY","FQ2 2021","FQ2 2021","Currency=USD","Period=FQ","BEST_FPERIOD_OVERRIDE=FQ","FILING_STATUS=MR","Sort=A","Dates=H","DateFormat=P","Fill=—","Direction=H","UseDPDF=Y")</f>
        <v>0</v>
      </c>
      <c r="N18" s="14">
        <f>_xll.BDH("AMGN US Equity","LEVEL_3_ASSETS_TO_TOTAL_EQUITY","FQ3 2021","FQ3 2021","Currency=USD","Period=FQ","BEST_FPERIOD_OVERRIDE=FQ","FILING_STATUS=MR","Sort=A","Dates=H","DateFormat=P","Fill=—","Direction=H","UseDPDF=Y")</f>
        <v>3.1276999999999999</v>
      </c>
      <c r="O18" s="14">
        <f>_xll.BDH("AMGN US Equity","LEVEL_3_ASSETS_TO_TOTAL_EQUITY","FQ4 2021","FQ4 2021","Currency=USD","Period=FQ","BEST_FPERIOD_OVERRIDE=FQ","FILING_STATUS=MR","Sort=A","Dates=H","DateFormat=P","Fill=—","Direction=H","UseDPDF=Y")</f>
        <v>3.2835999999999999</v>
      </c>
      <c r="P18" s="14">
        <f>_xll.BDH("AMGN US Equity","LEVEL_3_ASSETS_TO_TOTAL_EQUITY","FQ1 2022","FQ1 2022","Currency=USD","Period=FQ","BEST_FPERIOD_OVERRIDE=FQ","FILING_STATUS=MR","Sort=A","Dates=H","DateFormat=P","Fill=—","Direction=H","UseDPDF=Y")</f>
        <v>18.559000000000001</v>
      </c>
      <c r="Q18" s="14">
        <f>_xll.BDH("AMGN US Equity","LEVEL_3_ASSETS_TO_TOTAL_EQUITY","FQ2 2022","FQ2 2022","Currency=USD","Period=FQ","BEST_FPERIOD_OVERRIDE=FQ","FILING_STATUS=MR","Sort=A","Dates=H","DateFormat=P","Fill=—","Direction=H","UseDPDF=Y")</f>
        <v>5.4154999999999998</v>
      </c>
      <c r="R18" s="14">
        <f>_xll.BDH("AMGN US Equity","LEVEL_3_ASSETS_TO_TOTAL_EQUITY","FQ3 2022","FQ3 2022","Currency=USD","Period=FQ","BEST_FPERIOD_OVERRIDE=FQ","FILING_STATUS=MR","Sort=A","Dates=H","DateFormat=P","Fill=—","Direction=H","UseDPDF=Y")</f>
        <v>10.4572</v>
      </c>
      <c r="S18" s="14">
        <f>_xll.BDH("AMGN US Equity","LEVEL_3_ASSETS_TO_TOTAL_EQUITY","FQ4 2022","FQ4 2022","Currency=USD","Period=FQ","BEST_FPERIOD_OVERRIDE=FQ","FILING_STATUS=MR","Sort=A","Dates=H","DateFormat=P","Fill=—","Direction=H","UseDPDF=Y")</f>
        <v>9.1504999999999992</v>
      </c>
      <c r="T18" s="14">
        <f>_xll.BDH("AMGN US Equity","LEVEL_3_ASSETS_TO_TOTAL_EQUITY","FQ1 2023","FQ1 2023","Currency=USD","Period=FQ","BEST_FPERIOD_OVERRIDE=FQ","FILING_STATUS=MR","Sort=A","Dates=H","DateFormat=P","Fill=—","Direction=H","UseDPDF=Y")</f>
        <v>5.3852000000000002</v>
      </c>
      <c r="U18" s="14">
        <f>_xll.BDH("AMGN US Equity","LEVEL_3_ASSETS_TO_TOTAL_EQUITY","FQ2 2023","FQ2 2023","Currency=USD","Period=FQ","BEST_FPERIOD_OVERRIDE=FQ","FILING_STATUS=MR","Sort=A","Dates=H","DateFormat=P","Fill=—","Direction=H","UseDPDF=Y")</f>
        <v>4.6600999999999999</v>
      </c>
      <c r="V18" s="14">
        <f>_xll.BDH("AMGN US Equity","LEVEL_3_ASSETS_TO_TOTAL_EQUITY","FQ3 2023","FQ3 2023","Currency=USD","Period=FQ","BEST_FPERIOD_OVERRIDE=FQ","FILING_STATUS=MR","Sort=A","Dates=H","DateFormat=P","Fill=—","Direction=H","UseDPDF=Y")</f>
        <v>0</v>
      </c>
      <c r="W18" s="14">
        <f>_xll.BDH("AMGN US Equity","LEVEL_3_ASSETS_TO_TOTAL_EQUITY","FQ4 2023","FQ4 2023","Currency=USD","Period=FQ","BEST_FPERIOD_OVERRIDE=FQ","FILING_STATUS=MR","Sort=A","Dates=H","DateFormat=P","Fill=—","Direction=H","UseDPDF=Y")</f>
        <v>0</v>
      </c>
      <c r="X18" s="14">
        <f>_xll.BDH("AMGN US Equity","LEVEL_3_ASSETS_TO_TOTAL_EQUITY","FQ1 2024","FQ1 2024","Currency=USD","Period=FQ","BEST_FPERIOD_OVERRIDE=FQ","FILING_STATUS=MR","Sort=A","Dates=H","DateFormat=P","Fill=—","Direction=H","UseDPDF=Y")</f>
        <v>0</v>
      </c>
      <c r="Y18" s="14">
        <f>_xll.BDH("AMGN US Equity","LEVEL_3_ASSETS_TO_TOTAL_EQUITY","FQ2 2024","FQ2 2024","Currency=USD","Period=FQ","BEST_FPERIOD_OVERRIDE=FQ","FILING_STATUS=MR","Sort=A","Dates=H","DateFormat=P","Fill=—","Direction=H","UseDPDF=Y")</f>
        <v>0</v>
      </c>
      <c r="Z18" s="14">
        <f>_xll.BDH("AMGN US Equity","LEVEL_3_ASSETS_TO_TOTAL_EQUITY","FQ3 2024","FQ3 2024","Currency=USD","Period=FQ","BEST_FPERIOD_OVERRIDE=FQ","FILING_STATUS=MR","Sort=A","Dates=H","DateFormat=P","Fill=—","Direction=H","UseDPDF=Y")</f>
        <v>0</v>
      </c>
      <c r="AA18" s="14">
        <f>_xll.BDH("AMGN US Equity","LEVEL_3_ASSETS_TO_TOTAL_EQUITY","FQ4 2024","FQ4 2024","Currency=USD","Period=FQ","BEST_FPERIOD_OVERRIDE=FQ","FILING_STATUS=MR","Sort=A","Dates=H","DateFormat=P","Fill=—","Direction=H","UseDPDF=Y")</f>
        <v>0</v>
      </c>
    </row>
    <row r="19" spans="1:27" x14ac:dyDescent="0.25">
      <c r="A19" s="6" t="s">
        <v>1254</v>
      </c>
      <c r="B19" s="6" t="s">
        <v>1255</v>
      </c>
      <c r="C19" s="20">
        <f>_xll.BDH("AMGN US Equity","TOT_FAIR_VAL_ASSETS_TO_TOT_EQTY","FQ4 2018","FQ4 2018","Currency=USD","Period=FQ","BEST_FPERIOD_OVERRIDE=FQ","FILING_STATUS=MR","Sort=A","Dates=H","DateFormat=P","Fill=—","Direction=H","UseDPDF=Y")</f>
        <v>234.464</v>
      </c>
      <c r="D19" s="20">
        <f>_xll.BDH("AMGN US Equity","TOT_FAIR_VAL_ASSETS_TO_TOT_EQTY","FQ1 2019","FQ1 2019","Currency=USD","Period=FQ","BEST_FPERIOD_OVERRIDE=FQ","FILING_STATUS=MR","Sort=A","Dates=H","DateFormat=P","Fill=—","Direction=H","UseDPDF=Y")</f>
        <v>243.47300000000001</v>
      </c>
      <c r="E19" s="20">
        <f>_xll.BDH("AMGN US Equity","TOT_FAIR_VAL_ASSETS_TO_TOT_EQTY","FQ2 2019","FQ2 2019","Currency=USD","Period=FQ","BEST_FPERIOD_OVERRIDE=FQ","FILING_STATUS=MR","Sort=A","Dates=H","DateFormat=P","Fill=—","Direction=H","UseDPDF=Y")</f>
        <v>203.9744</v>
      </c>
      <c r="F19" s="20">
        <f>_xll.BDH("AMGN US Equity","TOT_FAIR_VAL_ASSETS_TO_TOT_EQTY","FQ3 2019","FQ3 2019","Currency=USD","Period=FQ","BEST_FPERIOD_OVERRIDE=FQ","FILING_STATUS=MR","Sort=A","Dates=H","DateFormat=P","Fill=—","Direction=H","UseDPDF=Y")</f>
        <v>194.09719999999999</v>
      </c>
      <c r="G19" s="20">
        <f>_xll.BDH("AMGN US Equity","TOT_FAIR_VAL_ASSETS_TO_TOT_EQTY","FQ4 2019","FQ4 2019","Currency=USD","Period=FQ","BEST_FPERIOD_OVERRIDE=FQ","FILING_STATUS=MR","Sort=A","Dates=H","DateFormat=P","Fill=—","Direction=H","UseDPDF=Y")</f>
        <v>93.931600000000003</v>
      </c>
      <c r="H19" s="20">
        <f>_xll.BDH("AMGN US Equity","TOT_FAIR_VAL_ASSETS_TO_TOT_EQTY","FQ1 2020","FQ1 2020","Currency=USD","Period=FQ","BEST_FPERIOD_OVERRIDE=FQ","FILING_STATUS=MR","Sort=A","Dates=H","DateFormat=P","Fill=—","Direction=H","UseDPDF=Y")</f>
        <v>84.217200000000005</v>
      </c>
      <c r="I19" s="20">
        <f>_xll.BDH("AMGN US Equity","TOT_FAIR_VAL_ASSETS_TO_TOT_EQTY","FQ2 2020","FQ2 2020","Currency=USD","Period=FQ","BEST_FPERIOD_OVERRIDE=FQ","FILING_STATUS=MR","Sort=A","Dates=H","DateFormat=P","Fill=—","Direction=H","UseDPDF=Y")</f>
        <v>107.0926</v>
      </c>
      <c r="J19" s="20">
        <f>_xll.BDH("AMGN US Equity","TOT_FAIR_VAL_ASSETS_TO_TOT_EQTY","FQ3 2020","FQ3 2020","Currency=USD","Period=FQ","BEST_FPERIOD_OVERRIDE=FQ","FILING_STATUS=MR","Sort=A","Dates=H","DateFormat=P","Fill=—","Direction=H","UseDPDF=Y")</f>
        <v>112.3186</v>
      </c>
      <c r="K19" s="20">
        <f>_xll.BDH("AMGN US Equity","TOT_FAIR_VAL_ASSETS_TO_TOT_EQTY","FQ4 2020","FQ4 2020","Currency=USD","Period=FQ","BEST_FPERIOD_OVERRIDE=FQ","FILING_STATUS=MR","Sort=A","Dates=H","DateFormat=P","Fill=—","Direction=H","UseDPDF=Y")</f>
        <v>113.4127</v>
      </c>
      <c r="L19" s="20">
        <f>_xll.BDH("AMGN US Equity","TOT_FAIR_VAL_ASSETS_TO_TOT_EQTY","FQ1 2021","FQ1 2021","Currency=USD","Period=FQ","BEST_FPERIOD_OVERRIDE=FQ","FILING_STATUS=MR","Sort=A","Dates=H","DateFormat=P","Fill=—","Direction=H","UseDPDF=Y")</f>
        <v>111.2063</v>
      </c>
      <c r="M19" s="20">
        <f>_xll.BDH("AMGN US Equity","TOT_FAIR_VAL_ASSETS_TO_TOT_EQTY","FQ2 2021","FQ2 2021","Currency=USD","Period=FQ","BEST_FPERIOD_OVERRIDE=FQ","FILING_STATUS=MR","Sort=A","Dates=H","DateFormat=P","Fill=—","Direction=H","UseDPDF=Y")</f>
        <v>95.198300000000003</v>
      </c>
      <c r="N19" s="20">
        <f>_xll.BDH("AMGN US Equity","TOT_FAIR_VAL_ASSETS_TO_TOT_EQTY","FQ3 2021","FQ3 2021","Currency=USD","Period=FQ","BEST_FPERIOD_OVERRIDE=FQ","FILING_STATUS=MR","Sort=A","Dates=H","DateFormat=P","Fill=—","Direction=H","UseDPDF=Y")</f>
        <v>163.25909999999999</v>
      </c>
      <c r="O19" s="20">
        <f>_xll.BDH("AMGN US Equity","TOT_FAIR_VAL_ASSETS_TO_TOT_EQTY","FQ4 2021","FQ4 2021","Currency=USD","Period=FQ","BEST_FPERIOD_OVERRIDE=FQ","FILING_STATUS=MR","Sort=A","Dates=H","DateFormat=P","Fill=—","Direction=H","UseDPDF=Y")</f>
        <v>125.37309999999999</v>
      </c>
      <c r="P19" s="20">
        <f>_xll.BDH("AMGN US Equity","TOT_FAIR_VAL_ASSETS_TO_TOT_EQTY","FQ1 2022","FQ1 2022","Currency=USD","Period=FQ","BEST_FPERIOD_OVERRIDE=FQ","FILING_STATUS=MR","Sort=A","Dates=H","DateFormat=P","Fill=—","Direction=H","UseDPDF=Y")</f>
        <v>741.92139999999995</v>
      </c>
      <c r="Q19" s="20">
        <f>_xll.BDH("AMGN US Equity","TOT_FAIR_VAL_ASSETS_TO_TOT_EQTY","FQ2 2022","FQ2 2022","Currency=USD","Period=FQ","BEST_FPERIOD_OVERRIDE=FQ","FILING_STATUS=MR","Sort=A","Dates=H","DateFormat=P","Fill=—","Direction=H","UseDPDF=Y")</f>
        <v>303.72050000000002</v>
      </c>
      <c r="R19" s="20">
        <f>_xll.BDH("AMGN US Equity","TOT_FAIR_VAL_ASSETS_TO_TOT_EQTY","FQ3 2022","FQ3 2022","Currency=USD","Period=FQ","BEST_FPERIOD_OVERRIDE=FQ","FILING_STATUS=MR","Sort=A","Dates=H","DateFormat=P","Fill=—","Direction=H","UseDPDF=Y")</f>
        <v>341.30849999999998</v>
      </c>
      <c r="S19" s="20">
        <f>_xll.BDH("AMGN US Equity","TOT_FAIR_VAL_ASSETS_TO_TOT_EQTY","FQ4 2022","FQ4 2022","Currency=USD","Period=FQ","BEST_FPERIOD_OVERRIDE=FQ","FILING_STATUS=MR","Sort=A","Dates=H","DateFormat=P","Fill=—","Direction=H","UseDPDF=Y")</f>
        <v>153.53729999999999</v>
      </c>
      <c r="T19" s="20">
        <f>_xll.BDH("AMGN US Equity","TOT_FAIR_VAL_ASSETS_TO_TOT_EQTY","FQ1 2023","FQ1 2023","Currency=USD","Period=FQ","BEST_FPERIOD_OVERRIDE=FQ","FILING_STATUS=MR","Sort=A","Dates=H","DateFormat=P","Fill=—","Direction=H","UseDPDF=Y")</f>
        <v>678.40309999999999</v>
      </c>
      <c r="U19" s="20">
        <f>_xll.BDH("AMGN US Equity","TOT_FAIR_VAL_ASSETS_TO_TOT_EQTY","FQ2 2023","FQ2 2023","Currency=USD","Period=FQ","BEST_FPERIOD_OVERRIDE=FQ","FILING_STATUS=MR","Sort=A","Dates=H","DateFormat=P","Fill=—","Direction=H","UseDPDF=Y")</f>
        <v>561.81979999999999</v>
      </c>
      <c r="V19" s="20">
        <f>_xll.BDH("AMGN US Equity","TOT_FAIR_VAL_ASSETS_TO_TOT_EQTY","FQ3 2023","FQ3 2023","Currency=USD","Period=FQ","BEST_FPERIOD_OVERRIDE=FQ","FILING_STATUS=MR","Sort=A","Dates=H","DateFormat=P","Fill=—","Direction=H","UseDPDF=Y")</f>
        <v>508.63380000000001</v>
      </c>
      <c r="W19" s="20">
        <f>_xll.BDH("AMGN US Equity","TOT_FAIR_VAL_ASSETS_TO_TOT_EQTY","FQ4 2023","FQ4 2023","Currency=USD","Period=FQ","BEST_FPERIOD_OVERRIDE=FQ","FILING_STATUS=MR","Sort=A","Dates=H","DateFormat=P","Fill=—","Direction=H","UseDPDF=Y")</f>
        <v>241.70410000000001</v>
      </c>
      <c r="X19" s="20">
        <f>_xll.BDH("AMGN US Equity","TOT_FAIR_VAL_ASSETS_TO_TOT_EQTY","FQ1 2024","FQ1 2024","Currency=USD","Period=FQ","BEST_FPERIOD_OVERRIDE=FQ","FILING_STATUS=MR","Sort=A","Dates=H","DateFormat=P","Fill=—","Direction=H","UseDPDF=Y")</f>
        <v>267.76179999999999</v>
      </c>
      <c r="Y19" s="20">
        <f>_xll.BDH("AMGN US Equity","TOT_FAIR_VAL_ASSETS_TO_TOT_EQTY","FQ2 2024","FQ2 2024","Currency=USD","Period=FQ","BEST_FPERIOD_OVERRIDE=FQ","FILING_STATUS=MR","Sort=A","Dates=H","DateFormat=P","Fill=—","Direction=H","UseDPDF=Y")</f>
        <v>211.84809999999999</v>
      </c>
      <c r="Z19" s="20">
        <f>_xll.BDH("AMGN US Equity","TOT_FAIR_VAL_ASSETS_TO_TOT_EQTY","FQ3 2024","FQ3 2024","Currency=USD","Period=FQ","BEST_FPERIOD_OVERRIDE=FQ","FILING_STATUS=MR","Sort=A","Dates=H","DateFormat=P","Fill=—","Direction=H","UseDPDF=Y")</f>
        <v>182.60929999999999</v>
      </c>
      <c r="AA19" s="20">
        <f>_xll.BDH("AMGN US Equity","TOT_FAIR_VAL_ASSETS_TO_TOT_EQTY","FQ4 2024","FQ4 2024","Currency=USD","Period=FQ","BEST_FPERIOD_OVERRIDE=FQ","FILING_STATUS=MR","Sort=A","Dates=H","DateFormat=P","Fill=—","Direction=H","UseDPDF=Y")</f>
        <v>273.84719999999999</v>
      </c>
    </row>
    <row r="20" spans="1:27" x14ac:dyDescent="0.25">
      <c r="A20" s="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x14ac:dyDescent="0.25">
      <c r="A21" s="10" t="s">
        <v>1256</v>
      </c>
      <c r="B21" s="10" t="s">
        <v>1257</v>
      </c>
      <c r="C21" s="14">
        <f>_xll.BDH("AMGN US Equity","LEVEL_1_ASSETS_TO_TOTAL_ASSETS","FQ4 2018","FQ4 2018","Currency=USD","Period=FQ","BEST_FPERIOD_OVERRIDE=FQ","FILING_STATUS=MR","Sort=A","Dates=H","DateFormat=P","Fill=—","Direction=H","UseDPDF=Y")</f>
        <v>25.128</v>
      </c>
      <c r="D21" s="14">
        <f>_xll.BDH("AMGN US Equity","LEVEL_1_ASSETS_TO_TOTAL_ASSETS","FQ1 2019","FQ1 2019","Currency=USD","Period=FQ","BEST_FPERIOD_OVERRIDE=FQ","FILING_STATUS=MR","Sort=A","Dates=H","DateFormat=P","Fill=—","Direction=H","UseDPDF=Y")</f>
        <v>16.8414</v>
      </c>
      <c r="E21" s="14">
        <f>_xll.BDH("AMGN US Equity","LEVEL_1_ASSETS_TO_TOTAL_ASSETS","FQ2 2019","FQ2 2019","Currency=USD","Period=FQ","BEST_FPERIOD_OVERRIDE=FQ","FILING_STATUS=MR","Sort=A","Dates=H","DateFormat=P","Fill=—","Direction=H","UseDPDF=Y")</f>
        <v>17.494499999999999</v>
      </c>
      <c r="F21" s="14">
        <f>_xll.BDH("AMGN US Equity","LEVEL_1_ASSETS_TO_TOTAL_ASSETS","FQ3 2019","FQ3 2019","Currency=USD","Period=FQ","BEST_FPERIOD_OVERRIDE=FQ","FILING_STATUS=MR","Sort=A","Dates=H","DateFormat=P","Fill=—","Direction=H","UseDPDF=Y")</f>
        <v>20.0806</v>
      </c>
      <c r="G21" s="14">
        <f>_xll.BDH("AMGN US Equity","LEVEL_1_ASSETS_TO_TOTAL_ASSETS","FQ4 2019","FQ4 2019","Currency=USD","Period=FQ","BEST_FPERIOD_OVERRIDE=FQ","FILING_STATUS=MR","Sort=A","Dates=H","DateFormat=P","Fill=—","Direction=H","UseDPDF=Y")</f>
        <v>9.9033999999999995</v>
      </c>
      <c r="H21" s="14">
        <f>_xll.BDH("AMGN US Equity","LEVEL_1_ASSETS_TO_TOTAL_ASSETS","FQ1 2020","FQ1 2020","Currency=USD","Period=FQ","BEST_FPERIOD_OVERRIDE=FQ","FILING_STATUS=MR","Sort=A","Dates=H","DateFormat=P","Fill=—","Direction=H","UseDPDF=Y")</f>
        <v>11.445</v>
      </c>
      <c r="I21" s="14">
        <f>_xll.BDH("AMGN US Equity","LEVEL_1_ASSETS_TO_TOTAL_ASSETS","FQ2 2020","FQ2 2020","Currency=USD","Period=FQ","BEST_FPERIOD_OVERRIDE=FQ","FILING_STATUS=MR","Sort=A","Dates=H","DateFormat=P","Fill=—","Direction=H","UseDPDF=Y")</f>
        <v>16.9648</v>
      </c>
      <c r="J21" s="14">
        <f>_xll.BDH("AMGN US Equity","LEVEL_1_ASSETS_TO_TOTAL_ASSETS","FQ3 2020","FQ3 2020","Currency=USD","Period=FQ","BEST_FPERIOD_OVERRIDE=FQ","FILING_STATUS=MR","Sort=A","Dates=H","DateFormat=P","Fill=—","Direction=H","UseDPDF=Y")</f>
        <v>18.511099999999999</v>
      </c>
      <c r="K21" s="14">
        <f>_xll.BDH("AMGN US Equity","LEVEL_1_ASSETS_TO_TOTAL_ASSETS","FQ4 2020","FQ4 2020","Currency=USD","Period=FQ","BEST_FPERIOD_OVERRIDE=FQ","FILING_STATUS=MR","Sort=A","Dates=H","DateFormat=P","Fill=—","Direction=H","UseDPDF=Y")</f>
        <v>16.394500000000001</v>
      </c>
      <c r="L21" s="14">
        <f>_xll.BDH("AMGN US Equity","LEVEL_1_ASSETS_TO_TOTAL_ASSETS","FQ1 2021","FQ1 2021","Currency=USD","Period=FQ","BEST_FPERIOD_OVERRIDE=FQ","FILING_STATUS=MR","Sort=A","Dates=H","DateFormat=P","Fill=—","Direction=H","UseDPDF=Y")</f>
        <v>16.1739</v>
      </c>
      <c r="M21" s="14">
        <f>_xll.BDH("AMGN US Equity","LEVEL_1_ASSETS_TO_TOTAL_ASSETS","FQ2 2021","FQ2 2021","Currency=USD","Period=FQ","BEST_FPERIOD_OVERRIDE=FQ","FILING_STATUS=MR","Sort=A","Dates=H","DateFormat=P","Fill=—","Direction=H","UseDPDF=Y")</f>
        <v>12.651199999999999</v>
      </c>
      <c r="N21" s="14">
        <f>_xll.BDH("AMGN US Equity","LEVEL_1_ASSETS_TO_TOTAL_ASSETS","FQ3 2021","FQ3 2021","Currency=USD","Period=FQ","BEST_FPERIOD_OVERRIDE=FQ","FILING_STATUS=MR","Sort=A","Dates=H","DateFormat=P","Fill=—","Direction=H","UseDPDF=Y")</f>
        <v>19.820599999999999</v>
      </c>
      <c r="O21" s="14">
        <f>_xll.BDH("AMGN US Equity","LEVEL_1_ASSETS_TO_TOTAL_ASSETS","FQ4 2021","FQ4 2021","Currency=USD","Period=FQ","BEST_FPERIOD_OVERRIDE=FQ","FILING_STATUS=MR","Sort=A","Dates=H","DateFormat=P","Fill=—","Direction=H","UseDPDF=Y")</f>
        <v>12.938800000000001</v>
      </c>
      <c r="P21" s="14">
        <f>_xll.BDH("AMGN US Equity","LEVEL_1_ASSETS_TO_TOTAL_ASSETS","FQ1 2022","FQ1 2022","Currency=USD","Period=FQ","BEST_FPERIOD_OVERRIDE=FQ","FILING_STATUS=MR","Sort=A","Dates=H","DateFormat=P","Fill=—","Direction=H","UseDPDF=Y")</f>
        <v>10.686500000000001</v>
      </c>
      <c r="Q21" s="14">
        <f>_xll.BDH("AMGN US Equity","LEVEL_1_ASSETS_TO_TOTAL_ASSETS","FQ2 2022","FQ2 2022","Currency=USD","Period=FQ","BEST_FPERIOD_OVERRIDE=FQ","FILING_STATUS=MR","Sort=A","Dates=H","DateFormat=P","Fill=—","Direction=H","UseDPDF=Y")</f>
        <v>11.4244</v>
      </c>
      <c r="R21" s="14">
        <f>_xll.BDH("AMGN US Equity","LEVEL_1_ASSETS_TO_TOTAL_ASSETS","FQ3 2022","FQ3 2022","Currency=USD","Period=FQ","BEST_FPERIOD_OVERRIDE=FQ","FILING_STATUS=MR","Sort=A","Dates=H","DateFormat=P","Fill=—","Direction=H","UseDPDF=Y")</f>
        <v>17.748799999999999</v>
      </c>
      <c r="S21" s="14">
        <f>_xll.BDH("AMGN US Equity","LEVEL_1_ASSETS_TO_TOTAL_ASSETS","FQ4 2022","FQ4 2022","Currency=USD","Period=FQ","BEST_FPERIOD_OVERRIDE=FQ","FILING_STATUS=MR","Sort=A","Dates=H","DateFormat=P","Fill=—","Direction=H","UseDPDF=Y")</f>
        <v>7.3939000000000004</v>
      </c>
      <c r="T21" s="14">
        <f>_xll.BDH("AMGN US Equity","LEVEL_1_ASSETS_TO_TOTAL_ASSETS","FQ1 2023","FQ1 2023","Currency=USD","Period=FQ","BEST_FPERIOD_OVERRIDE=FQ","FILING_STATUS=MR","Sort=A","Dates=H","DateFormat=P","Fill=—","Direction=H","UseDPDF=Y")</f>
        <v>40.136400000000002</v>
      </c>
      <c r="U21" s="14">
        <f>_xll.BDH("AMGN US Equity","LEVEL_1_ASSETS_TO_TOTAL_ASSETS","FQ2 2023","FQ2 2023","Currency=USD","Period=FQ","BEST_FPERIOD_OVERRIDE=FQ","FILING_STATUS=MR","Sort=A","Dates=H","DateFormat=P","Fill=—","Direction=H","UseDPDF=Y")</f>
        <v>41.423999999999999</v>
      </c>
      <c r="V21" s="14">
        <f>_xll.BDH("AMGN US Equity","LEVEL_1_ASSETS_TO_TOTAL_ASSETS","FQ3 2023","FQ3 2023","Currency=USD","Period=FQ","BEST_FPERIOD_OVERRIDE=FQ","FILING_STATUS=MR","Sort=A","Dates=H","DateFormat=P","Fill=—","Direction=H","UseDPDF=Y")</f>
        <v>42.479100000000003</v>
      </c>
      <c r="W21" s="14">
        <f>_xll.BDH("AMGN US Equity","LEVEL_1_ASSETS_TO_TOTAL_ASSETS","FQ4 2023","FQ4 2023","Currency=USD","Period=FQ","BEST_FPERIOD_OVERRIDE=FQ","FILING_STATUS=MR","Sort=A","Dates=H","DateFormat=P","Fill=—","Direction=H","UseDPDF=Y")</f>
        <v>15.212999999999999</v>
      </c>
      <c r="X21" s="14">
        <f>_xll.BDH("AMGN US Equity","LEVEL_1_ASSETS_TO_TOTAL_ASSETS","FQ1 2024","FQ1 2024","Currency=USD","Period=FQ","BEST_FPERIOD_OVERRIDE=FQ","FILING_STATUS=MR","Sort=A","Dates=H","DateFormat=P","Fill=—","Direction=H","UseDPDF=Y")</f>
        <v>14.0718</v>
      </c>
      <c r="Y21" s="14">
        <f>_xll.BDH("AMGN US Equity","LEVEL_1_ASSETS_TO_TOTAL_ASSETS","FQ2 2024","FQ2 2024","Currency=USD","Period=FQ","BEST_FPERIOD_OVERRIDE=FQ","FILING_STATUS=MR","Sort=A","Dates=H","DateFormat=P","Fill=—","Direction=H","UseDPDF=Y")</f>
        <v>12.2631</v>
      </c>
      <c r="Z21" s="14">
        <f>_xll.BDH("AMGN US Equity","LEVEL_1_ASSETS_TO_TOTAL_ASSETS","FQ3 2024","FQ3 2024","Currency=USD","Period=FQ","BEST_FPERIOD_OVERRIDE=FQ","FILING_STATUS=MR","Sort=A","Dates=H","DateFormat=P","Fill=—","Direction=H","UseDPDF=Y")</f>
        <v>13.747299999999999</v>
      </c>
      <c r="AA21" s="14">
        <f>_xll.BDH("AMGN US Equity","LEVEL_1_ASSETS_TO_TOTAL_ASSETS","FQ4 2024","FQ4 2024","Currency=USD","Period=FQ","BEST_FPERIOD_OVERRIDE=FQ","FILING_STATUS=MR","Sort=A","Dates=H","DateFormat=P","Fill=—","Direction=H","UseDPDF=Y")</f>
        <v>15.834199999999999</v>
      </c>
    </row>
    <row r="22" spans="1:27" x14ac:dyDescent="0.25">
      <c r="A22" s="10" t="s">
        <v>1258</v>
      </c>
      <c r="B22" s="10" t="s">
        <v>1259</v>
      </c>
      <c r="C22" s="14">
        <f>_xll.BDH("AMGN US Equity","LEVEL_2_ASSETS_TO_TOTAL_ASSETS","FQ4 2018","FQ4 2018","Currency=USD","Period=FQ","BEST_FPERIOD_OVERRIDE=FQ","FILING_STATUS=MR","Sort=A","Dates=H","DateFormat=P","Fill=—","Direction=H","UseDPDF=Y")</f>
        <v>18.9999</v>
      </c>
      <c r="D22" s="14">
        <f>_xll.BDH("AMGN US Equity","LEVEL_2_ASSETS_TO_TOTAL_ASSETS","FQ1 2019","FQ1 2019","Currency=USD","Period=FQ","BEST_FPERIOD_OVERRIDE=FQ","FILING_STATUS=MR","Sort=A","Dates=H","DateFormat=P","Fill=—","Direction=H","UseDPDF=Y")</f>
        <v>24.368300000000001</v>
      </c>
      <c r="E22" s="14">
        <f>_xll.BDH("AMGN US Equity","LEVEL_2_ASSETS_TO_TOTAL_ASSETS","FQ2 2019","FQ2 2019","Currency=USD","Period=FQ","BEST_FPERIOD_OVERRIDE=FQ","FILING_STATUS=MR","Sort=A","Dates=H","DateFormat=P","Fill=—","Direction=H","UseDPDF=Y")</f>
        <v>19.588000000000001</v>
      </c>
      <c r="F22" s="14">
        <f>_xll.BDH("AMGN US Equity","LEVEL_2_ASSETS_TO_TOTAL_ASSETS","FQ3 2019","FQ3 2019","Currency=USD","Period=FQ","BEST_FPERIOD_OVERRIDE=FQ","FILING_STATUS=MR","Sort=A","Dates=H","DateFormat=P","Fill=—","Direction=H","UseDPDF=Y")</f>
        <v>15.543799999999999</v>
      </c>
      <c r="G22" s="14">
        <f>_xll.BDH("AMGN US Equity","LEVEL_2_ASSETS_TO_TOTAL_ASSETS","FQ4 2019","FQ4 2019","Currency=USD","Period=FQ","BEST_FPERIOD_OVERRIDE=FQ","FILING_STATUS=MR","Sort=A","Dates=H","DateFormat=P","Fill=—","Direction=H","UseDPDF=Y")</f>
        <v>5.3143000000000002</v>
      </c>
      <c r="H22" s="14">
        <f>_xll.BDH("AMGN US Equity","LEVEL_2_ASSETS_TO_TOTAL_ASSETS","FQ1 2020","FQ1 2020","Currency=USD","Period=FQ","BEST_FPERIOD_OVERRIDE=FQ","FILING_STATUS=MR","Sort=A","Dates=H","DateFormat=P","Fill=—","Direction=H","UseDPDF=Y")</f>
        <v>1.5081</v>
      </c>
      <c r="I22" s="14">
        <f>_xll.BDH("AMGN US Equity","LEVEL_2_ASSETS_TO_TOTAL_ASSETS","FQ2 2020","FQ2 2020","Currency=USD","Period=FQ","BEST_FPERIOD_OVERRIDE=FQ","FILING_STATUS=MR","Sort=A","Dates=H","DateFormat=P","Fill=—","Direction=H","UseDPDF=Y")</f>
        <v>0.59370000000000001</v>
      </c>
      <c r="J22" s="14">
        <f>_xll.BDH("AMGN US Equity","LEVEL_2_ASSETS_TO_TOTAL_ASSETS","FQ3 2020","FQ3 2020","Currency=USD","Period=FQ","BEST_FPERIOD_OVERRIDE=FQ","FILING_STATUS=MR","Sort=A","Dates=H","DateFormat=P","Fill=—","Direction=H","UseDPDF=Y")</f>
        <v>0.53220000000000001</v>
      </c>
      <c r="K22" s="14">
        <f>_xll.BDH("AMGN US Equity","LEVEL_2_ASSETS_TO_TOTAL_ASSETS","FQ4 2020","FQ4 2020","Currency=USD","Period=FQ","BEST_FPERIOD_OVERRIDE=FQ","FILING_STATUS=MR","Sort=A","Dates=H","DateFormat=P","Fill=—","Direction=H","UseDPDF=Y")</f>
        <v>0.55759999999999998</v>
      </c>
      <c r="L22" s="14">
        <f>_xll.BDH("AMGN US Equity","LEVEL_2_ASSETS_TO_TOTAL_ASSETS","FQ1 2021","FQ1 2021","Currency=USD","Period=FQ","BEST_FPERIOD_OVERRIDE=FQ","FILING_STATUS=MR","Sort=A","Dates=H","DateFormat=P","Fill=—","Direction=H","UseDPDF=Y")</f>
        <v>0.42370000000000002</v>
      </c>
      <c r="M22" s="14">
        <f>_xll.BDH("AMGN US Equity","LEVEL_2_ASSETS_TO_TOTAL_ASSETS","FQ2 2021","FQ2 2021","Currency=USD","Period=FQ","BEST_FPERIOD_OVERRIDE=FQ","FILING_STATUS=MR","Sort=A","Dates=H","DateFormat=P","Fill=—","Direction=H","UseDPDF=Y")</f>
        <v>0.48349999999999999</v>
      </c>
      <c r="N22" s="14">
        <f>_xll.BDH("AMGN US Equity","LEVEL_2_ASSETS_TO_TOTAL_ASSETS","FQ3 2021","FQ3 2021","Currency=USD","Period=FQ","BEST_FPERIOD_OVERRIDE=FQ","FILING_STATUS=MR","Sort=A","Dates=H","DateFormat=P","Fill=—","Direction=H","UseDPDF=Y")</f>
        <v>0.42470000000000002</v>
      </c>
      <c r="O22" s="14">
        <f>_xll.BDH("AMGN US Equity","LEVEL_2_ASSETS_TO_TOTAL_ASSETS","FQ4 2021","FQ4 2021","Currency=USD","Period=FQ","BEST_FPERIOD_OVERRIDE=FQ","FILING_STATUS=MR","Sort=A","Dates=H","DateFormat=P","Fill=—","Direction=H","UseDPDF=Y")</f>
        <v>0.43490000000000001</v>
      </c>
      <c r="P22" s="14">
        <f>_xll.BDH("AMGN US Equity","LEVEL_2_ASSETS_TO_TOTAL_ASSETS","FQ1 2022","FQ1 2022","Currency=USD","Period=FQ","BEST_FPERIOD_OVERRIDE=FQ","FILING_STATUS=MR","Sort=A","Dates=H","DateFormat=P","Fill=—","Direction=H","UseDPDF=Y")</f>
        <v>0.50680000000000003</v>
      </c>
      <c r="Q22" s="14">
        <f>_xll.BDH("AMGN US Equity","LEVEL_2_ASSETS_TO_TOTAL_ASSETS","FQ2 2022","FQ2 2022","Currency=USD","Period=FQ","BEST_FPERIOD_OVERRIDE=FQ","FILING_STATUS=MR","Sort=A","Dates=H","DateFormat=P","Fill=—","Direction=H","UseDPDF=Y")</f>
        <v>0.74539999999999995</v>
      </c>
      <c r="R22" s="14">
        <f>_xll.BDH("AMGN US Equity","LEVEL_2_ASSETS_TO_TOTAL_ASSETS","FQ3 2022","FQ3 2022","Currency=USD","Period=FQ","BEST_FPERIOD_OVERRIDE=FQ","FILING_STATUS=MR","Sort=A","Dates=H","DateFormat=P","Fill=—","Direction=H","UseDPDF=Y")</f>
        <v>1.2244999999999999</v>
      </c>
      <c r="S22" s="14">
        <f>_xll.BDH("AMGN US Equity","LEVEL_2_ASSETS_TO_TOTAL_ASSETS","FQ4 2022","FQ4 2022","Currency=USD","Period=FQ","BEST_FPERIOD_OVERRIDE=FQ","FILING_STATUS=MR","Sort=A","Dates=H","DateFormat=P","Fill=—","Direction=H","UseDPDF=Y")</f>
        <v>0.72330000000000005</v>
      </c>
      <c r="T22" s="14">
        <f>_xll.BDH("AMGN US Equity","LEVEL_2_ASSETS_TO_TOTAL_ASSETS","FQ1 2023","FQ1 2023","Currency=USD","Period=FQ","BEST_FPERIOD_OVERRIDE=FQ","FILING_STATUS=MR","Sort=A","Dates=H","DateFormat=P","Fill=—","Direction=H","UseDPDF=Y")</f>
        <v>0.43280000000000002</v>
      </c>
      <c r="U22" s="14">
        <f>_xll.BDH("AMGN US Equity","LEVEL_2_ASSETS_TO_TOTAL_ASSETS","FQ2 2023","FQ2 2023","Currency=USD","Period=FQ","BEST_FPERIOD_OVERRIDE=FQ","FILING_STATUS=MR","Sort=A","Dates=H","DateFormat=P","Fill=—","Direction=H","UseDPDF=Y")</f>
        <v>0.42980000000000002</v>
      </c>
      <c r="V22" s="14">
        <f>_xll.BDH("AMGN US Equity","LEVEL_2_ASSETS_TO_TOTAL_ASSETS","FQ3 2023","FQ3 2023","Currency=USD","Period=FQ","BEST_FPERIOD_OVERRIDE=FQ","FILING_STATUS=MR","Sort=A","Dates=H","DateFormat=P","Fill=—","Direction=H","UseDPDF=Y")</f>
        <v>0.53349999999999997</v>
      </c>
      <c r="W22" s="14">
        <f>_xll.BDH("AMGN US Equity","LEVEL_2_ASSETS_TO_TOTAL_ASSETS","FQ4 2023","FQ4 2023","Currency=USD","Period=FQ","BEST_FPERIOD_OVERRIDE=FQ","FILING_STATUS=MR","Sort=A","Dates=H","DateFormat=P","Fill=—","Direction=H","UseDPDF=Y")</f>
        <v>0.2913</v>
      </c>
      <c r="X22" s="14">
        <f>_xll.BDH("AMGN US Equity","LEVEL_2_ASSETS_TO_TOTAL_ASSETS","FQ1 2024","FQ1 2024","Currency=USD","Period=FQ","BEST_FPERIOD_OVERRIDE=FQ","FILING_STATUS=MR","Sort=A","Dates=H","DateFormat=P","Fill=—","Direction=H","UseDPDF=Y")</f>
        <v>0.39040000000000002</v>
      </c>
      <c r="Y22" s="14">
        <f>_xll.BDH("AMGN US Equity","LEVEL_2_ASSETS_TO_TOTAL_ASSETS","FQ2 2024","FQ2 2024","Currency=USD","Period=FQ","BEST_FPERIOD_OVERRIDE=FQ","FILING_STATUS=MR","Sort=A","Dates=H","DateFormat=P","Fill=—","Direction=H","UseDPDF=Y")</f>
        <v>1.5444</v>
      </c>
      <c r="Z22" s="14">
        <f>_xll.BDH("AMGN US Equity","LEVEL_2_ASSETS_TO_TOTAL_ASSETS","FQ3 2024","FQ3 2024","Currency=USD","Period=FQ","BEST_FPERIOD_OVERRIDE=FQ","FILING_STATUS=MR","Sort=A","Dates=H","DateFormat=P","Fill=—","Direction=H","UseDPDF=Y")</f>
        <v>1.3765000000000001</v>
      </c>
      <c r="AA22" s="14">
        <f>_xll.BDH("AMGN US Equity","LEVEL_2_ASSETS_TO_TOTAL_ASSETS","FQ4 2024","FQ4 2024","Currency=USD","Period=FQ","BEST_FPERIOD_OVERRIDE=FQ","FILING_STATUS=MR","Sort=A","Dates=H","DateFormat=P","Fill=—","Direction=H","UseDPDF=Y")</f>
        <v>1.6899</v>
      </c>
    </row>
    <row r="23" spans="1:27" x14ac:dyDescent="0.25">
      <c r="A23" s="10" t="s">
        <v>1260</v>
      </c>
      <c r="B23" s="10" t="s">
        <v>1261</v>
      </c>
      <c r="C23" s="14">
        <f>_xll.BDH("AMGN US Equity","LEVEL_3_ASSETS_TO_TOTAL_ASSETS","FQ4 2018","FQ4 2018","Currency=USD","Period=FQ","BEST_FPERIOD_OVERRIDE=FQ","FILING_STATUS=MR","Sort=A","Dates=H","DateFormat=P","Fill=—","Direction=H","UseDPDF=Y")</f>
        <v>0</v>
      </c>
      <c r="D23" s="14">
        <f>_xll.BDH("AMGN US Equity","LEVEL_3_ASSETS_TO_TOTAL_ASSETS","FQ1 2019","FQ1 2019","Currency=USD","Period=FQ","BEST_FPERIOD_OVERRIDE=FQ","FILING_STATUS=MR","Sort=A","Dates=H","DateFormat=P","Fill=—","Direction=H","UseDPDF=Y")</f>
        <v>0</v>
      </c>
      <c r="E23" s="14">
        <f>_xll.BDH("AMGN US Equity","LEVEL_3_ASSETS_TO_TOTAL_ASSETS","FQ2 2019","FQ2 2019","Currency=USD","Period=FQ","BEST_FPERIOD_OVERRIDE=FQ","FILING_STATUS=MR","Sort=A","Dates=H","DateFormat=P","Fill=—","Direction=H","UseDPDF=Y")</f>
        <v>0</v>
      </c>
      <c r="F23" s="14">
        <f>_xll.BDH("AMGN US Equity","LEVEL_3_ASSETS_TO_TOTAL_ASSETS","FQ3 2019","FQ3 2019","Currency=USD","Period=FQ","BEST_FPERIOD_OVERRIDE=FQ","FILING_STATUS=MR","Sort=A","Dates=H","DateFormat=P","Fill=—","Direction=H","UseDPDF=Y")</f>
        <v>0</v>
      </c>
      <c r="G23" s="14">
        <f>_xll.BDH("AMGN US Equity","LEVEL_3_ASSETS_TO_TOTAL_ASSETS","FQ4 2019","FQ4 2019","Currency=USD","Period=FQ","BEST_FPERIOD_OVERRIDE=FQ","FILING_STATUS=MR","Sort=A","Dates=H","DateFormat=P","Fill=—","Direction=H","UseDPDF=Y")</f>
        <v>0</v>
      </c>
      <c r="H23" s="14">
        <f>_xll.BDH("AMGN US Equity","LEVEL_3_ASSETS_TO_TOTAL_ASSETS","FQ1 2020","FQ1 2020","Currency=USD","Period=FQ","BEST_FPERIOD_OVERRIDE=FQ","FILING_STATUS=MR","Sort=A","Dates=H","DateFormat=P","Fill=—","Direction=H","UseDPDF=Y")</f>
        <v>0</v>
      </c>
      <c r="I23" s="14">
        <f>_xll.BDH("AMGN US Equity","LEVEL_3_ASSETS_TO_TOTAL_ASSETS","FQ2 2020","FQ2 2020","Currency=USD","Period=FQ","BEST_FPERIOD_OVERRIDE=FQ","FILING_STATUS=MR","Sort=A","Dates=H","DateFormat=P","Fill=—","Direction=H","UseDPDF=Y")</f>
        <v>0</v>
      </c>
      <c r="J23" s="14">
        <f>_xll.BDH("AMGN US Equity","LEVEL_3_ASSETS_TO_TOTAL_ASSETS","FQ3 2020","FQ3 2020","Currency=USD","Period=FQ","BEST_FPERIOD_OVERRIDE=FQ","FILING_STATUS=MR","Sort=A","Dates=H","DateFormat=P","Fill=—","Direction=H","UseDPDF=Y")</f>
        <v>0</v>
      </c>
      <c r="K23" s="14">
        <f>_xll.BDH("AMGN US Equity","LEVEL_3_ASSETS_TO_TOTAL_ASSETS","FQ4 2020","FQ4 2020","Currency=USD","Period=FQ","BEST_FPERIOD_OVERRIDE=FQ","FILING_STATUS=MR","Sort=A","Dates=H","DateFormat=P","Fill=—","Direction=H","UseDPDF=Y")</f>
        <v>0</v>
      </c>
      <c r="L23" s="14">
        <f>_xll.BDH("AMGN US Equity","LEVEL_3_ASSETS_TO_TOTAL_ASSETS","FQ1 2021","FQ1 2021","Currency=USD","Period=FQ","BEST_FPERIOD_OVERRIDE=FQ","FILING_STATUS=MR","Sort=A","Dates=H","DateFormat=P","Fill=—","Direction=H","UseDPDF=Y")</f>
        <v>0</v>
      </c>
      <c r="M23" s="14">
        <f>_xll.BDH("AMGN US Equity","LEVEL_3_ASSETS_TO_TOTAL_ASSETS","FQ2 2021","FQ2 2021","Currency=USD","Period=FQ","BEST_FPERIOD_OVERRIDE=FQ","FILING_STATUS=MR","Sort=A","Dates=H","DateFormat=P","Fill=—","Direction=H","UseDPDF=Y")</f>
        <v>0</v>
      </c>
      <c r="N23" s="14">
        <f>_xll.BDH("AMGN US Equity","LEVEL_3_ASSETS_TO_TOTAL_ASSETS","FQ3 2021","FQ3 2021","Currency=USD","Period=FQ","BEST_FPERIOD_OVERRIDE=FQ","FILING_STATUS=MR","Sort=A","Dates=H","DateFormat=P","Fill=—","Direction=H","UseDPDF=Y")</f>
        <v>0.39539999999999997</v>
      </c>
      <c r="O23" s="14">
        <f>_xll.BDH("AMGN US Equity","LEVEL_3_ASSETS_TO_TOTAL_ASSETS","FQ4 2021","FQ4 2021","Currency=USD","Period=FQ","BEST_FPERIOD_OVERRIDE=FQ","FILING_STATUS=MR","Sort=A","Dates=H","DateFormat=P","Fill=—","Direction=H","UseDPDF=Y")</f>
        <v>0.35970000000000002</v>
      </c>
      <c r="P23" s="14">
        <f>_xll.BDH("AMGN US Equity","LEVEL_3_ASSETS_TO_TOTAL_ASSETS","FQ1 2022","FQ1 2022","Currency=USD","Period=FQ","BEST_FPERIOD_OVERRIDE=FQ","FILING_STATUS=MR","Sort=A","Dates=H","DateFormat=P","Fill=—","Direction=H","UseDPDF=Y")</f>
        <v>0.28720000000000001</v>
      </c>
      <c r="Q23" s="14">
        <f>_xll.BDH("AMGN US Equity","LEVEL_3_ASSETS_TO_TOTAL_ASSETS","FQ2 2022","FQ2 2022","Currency=USD","Period=FQ","BEST_FPERIOD_OVERRIDE=FQ","FILING_STATUS=MR","Sort=A","Dates=H","DateFormat=P","Fill=—","Direction=H","UseDPDF=Y")</f>
        <v>0.22090000000000001</v>
      </c>
      <c r="R23" s="14">
        <f>_xll.BDH("AMGN US Equity","LEVEL_3_ASSETS_TO_TOTAL_ASSETS","FQ3 2022","FQ3 2022","Currency=USD","Period=FQ","BEST_FPERIOD_OVERRIDE=FQ","FILING_STATUS=MR","Sort=A","Dates=H","DateFormat=P","Fill=—","Direction=H","UseDPDF=Y")</f>
        <v>0.59970000000000001</v>
      </c>
      <c r="S23" s="14">
        <f>_xll.BDH("AMGN US Equity","LEVEL_3_ASSETS_TO_TOTAL_ASSETS","FQ4 2022","FQ4 2022","Currency=USD","Period=FQ","BEST_FPERIOD_OVERRIDE=FQ","FILING_STATUS=MR","Sort=A","Dates=H","DateFormat=P","Fill=—","Direction=H","UseDPDF=Y")</f>
        <v>0.51439999999999997</v>
      </c>
      <c r="T23" s="14">
        <f>_xll.BDH("AMGN US Equity","LEVEL_3_ASSETS_TO_TOTAL_ASSETS","FQ1 2023","FQ1 2023","Currency=USD","Period=FQ","BEST_FPERIOD_OVERRIDE=FQ","FILING_STATUS=MR","Sort=A","Dates=H","DateFormat=P","Fill=—","Direction=H","UseDPDF=Y")</f>
        <v>0.3246</v>
      </c>
      <c r="U23" s="14">
        <f>_xll.BDH("AMGN US Equity","LEVEL_3_ASSETS_TO_TOTAL_ASSETS","FQ2 2023","FQ2 2023","Currency=USD","Period=FQ","BEST_FPERIOD_OVERRIDE=FQ","FILING_STATUS=MR","Sort=A","Dates=H","DateFormat=P","Fill=—","Direction=H","UseDPDF=Y")</f>
        <v>0.35010000000000002</v>
      </c>
      <c r="V23" s="14">
        <f>_xll.BDH("AMGN US Equity","LEVEL_3_ASSETS_TO_TOTAL_ASSETS","FQ3 2023","FQ3 2023","Currency=USD","Period=FQ","BEST_FPERIOD_OVERRIDE=FQ","FILING_STATUS=MR","Sort=A","Dates=H","DateFormat=P","Fill=—","Direction=H","UseDPDF=Y")</f>
        <v>0</v>
      </c>
      <c r="W23" s="14">
        <f>_xll.BDH("AMGN US Equity","LEVEL_3_ASSETS_TO_TOTAL_ASSETS","FQ4 2023","FQ4 2023","Currency=USD","Period=FQ","BEST_FPERIOD_OVERRIDE=FQ","FILING_STATUS=MR","Sort=A","Dates=H","DateFormat=P","Fill=—","Direction=H","UseDPDF=Y")</f>
        <v>0</v>
      </c>
      <c r="X23" s="14">
        <f>_xll.BDH("AMGN US Equity","LEVEL_3_ASSETS_TO_TOTAL_ASSETS","FQ1 2024","FQ1 2024","Currency=USD","Period=FQ","BEST_FPERIOD_OVERRIDE=FQ","FILING_STATUS=MR","Sort=A","Dates=H","DateFormat=P","Fill=—","Direction=H","UseDPDF=Y")</f>
        <v>0</v>
      </c>
      <c r="Y23" s="14">
        <f>_xll.BDH("AMGN US Equity","LEVEL_3_ASSETS_TO_TOTAL_ASSETS","FQ2 2024","FQ2 2024","Currency=USD","Period=FQ","BEST_FPERIOD_OVERRIDE=FQ","FILING_STATUS=MR","Sort=A","Dates=H","DateFormat=P","Fill=—","Direction=H","UseDPDF=Y")</f>
        <v>0</v>
      </c>
      <c r="Z23" s="14">
        <f>_xll.BDH("AMGN US Equity","LEVEL_3_ASSETS_TO_TOTAL_ASSETS","FQ3 2024","FQ3 2024","Currency=USD","Period=FQ","BEST_FPERIOD_OVERRIDE=FQ","FILING_STATUS=MR","Sort=A","Dates=H","DateFormat=P","Fill=—","Direction=H","UseDPDF=Y")</f>
        <v>0</v>
      </c>
      <c r="AA23" s="14">
        <f>_xll.BDH("AMGN US Equity","LEVEL_3_ASSETS_TO_TOTAL_ASSETS","FQ4 2024","FQ4 2024","Currency=USD","Period=FQ","BEST_FPERIOD_OVERRIDE=FQ","FILING_STATUS=MR","Sort=A","Dates=H","DateFormat=P","Fill=—","Direction=H","UseDPDF=Y")</f>
        <v>0</v>
      </c>
    </row>
    <row r="24" spans="1:27" x14ac:dyDescent="0.25">
      <c r="A24" s="6" t="s">
        <v>1262</v>
      </c>
      <c r="B24" s="6" t="s">
        <v>1263</v>
      </c>
      <c r="C24" s="20">
        <f>_xll.BDH("AMGN US Equity","TOT_FAIR_VAL_ASSET_TO_TOT_ASSETS","FQ4 2018","FQ4 2018","Currency=USD","Period=FQ","BEST_FPERIOD_OVERRIDE=FQ","FILING_STATUS=MR","Sort=A","Dates=H","DateFormat=P","Fill=—","Direction=H","UseDPDF=Y")</f>
        <v>44.127899999999997</v>
      </c>
      <c r="D24" s="20">
        <f>_xll.BDH("AMGN US Equity","TOT_FAIR_VAL_ASSET_TO_TOT_ASSETS","FQ1 2019","FQ1 2019","Currency=USD","Period=FQ","BEST_FPERIOD_OVERRIDE=FQ","FILING_STATUS=MR","Sort=A","Dates=H","DateFormat=P","Fill=—","Direction=H","UseDPDF=Y")</f>
        <v>41.209699999999998</v>
      </c>
      <c r="E24" s="20">
        <f>_xll.BDH("AMGN US Equity","TOT_FAIR_VAL_ASSET_TO_TOT_ASSETS","FQ2 2019","FQ2 2019","Currency=USD","Period=FQ","BEST_FPERIOD_OVERRIDE=FQ","FILING_STATUS=MR","Sort=A","Dates=H","DateFormat=P","Fill=—","Direction=H","UseDPDF=Y")</f>
        <v>37.082500000000003</v>
      </c>
      <c r="F24" s="20">
        <f>_xll.BDH("AMGN US Equity","TOT_FAIR_VAL_ASSET_TO_TOT_ASSETS","FQ3 2019","FQ3 2019","Currency=USD","Period=FQ","BEST_FPERIOD_OVERRIDE=FQ","FILING_STATUS=MR","Sort=A","Dates=H","DateFormat=P","Fill=—","Direction=H","UseDPDF=Y")</f>
        <v>35.624400000000001</v>
      </c>
      <c r="G24" s="20">
        <f>_xll.BDH("AMGN US Equity","TOT_FAIR_VAL_ASSET_TO_TOT_ASSETS","FQ4 2019","FQ4 2019","Currency=USD","Period=FQ","BEST_FPERIOD_OVERRIDE=FQ","FILING_STATUS=MR","Sort=A","Dates=H","DateFormat=P","Fill=—","Direction=H","UseDPDF=Y")</f>
        <v>15.217599999999999</v>
      </c>
      <c r="H24" s="20">
        <f>_xll.BDH("AMGN US Equity","TOT_FAIR_VAL_ASSET_TO_TOT_ASSETS","FQ1 2020","FQ1 2020","Currency=USD","Period=FQ","BEST_FPERIOD_OVERRIDE=FQ","FILING_STATUS=MR","Sort=A","Dates=H","DateFormat=P","Fill=—","Direction=H","UseDPDF=Y")</f>
        <v>12.952999999999999</v>
      </c>
      <c r="I24" s="20">
        <f>_xll.BDH("AMGN US Equity","TOT_FAIR_VAL_ASSET_TO_TOT_ASSETS","FQ2 2020","FQ2 2020","Currency=USD","Period=FQ","BEST_FPERIOD_OVERRIDE=FQ","FILING_STATUS=MR","Sort=A","Dates=H","DateFormat=P","Fill=—","Direction=H","UseDPDF=Y")</f>
        <v>17.558599999999998</v>
      </c>
      <c r="J24" s="20">
        <f>_xll.BDH("AMGN US Equity","TOT_FAIR_VAL_ASSET_TO_TOT_ASSETS","FQ3 2020","FQ3 2020","Currency=USD","Period=FQ","BEST_FPERIOD_OVERRIDE=FQ","FILING_STATUS=MR","Sort=A","Dates=H","DateFormat=P","Fill=—","Direction=H","UseDPDF=Y")</f>
        <v>19.043299999999999</v>
      </c>
      <c r="K24" s="20">
        <f>_xll.BDH("AMGN US Equity","TOT_FAIR_VAL_ASSET_TO_TOT_ASSETS","FQ4 2020","FQ4 2020","Currency=USD","Period=FQ","BEST_FPERIOD_OVERRIDE=FQ","FILING_STATUS=MR","Sort=A","Dates=H","DateFormat=P","Fill=—","Direction=H","UseDPDF=Y")</f>
        <v>16.952100000000002</v>
      </c>
      <c r="L24" s="20">
        <f>_xll.BDH("AMGN US Equity","TOT_FAIR_VAL_ASSET_TO_TOT_ASSETS","FQ1 2021","FQ1 2021","Currency=USD","Period=FQ","BEST_FPERIOD_OVERRIDE=FQ","FILING_STATUS=MR","Sort=A","Dates=H","DateFormat=P","Fill=—","Direction=H","UseDPDF=Y")</f>
        <v>16.5976</v>
      </c>
      <c r="M24" s="20">
        <f>_xll.BDH("AMGN US Equity","TOT_FAIR_VAL_ASSET_TO_TOT_ASSETS","FQ2 2021","FQ2 2021","Currency=USD","Period=FQ","BEST_FPERIOD_OVERRIDE=FQ","FILING_STATUS=MR","Sort=A","Dates=H","DateFormat=P","Fill=—","Direction=H","UseDPDF=Y")</f>
        <v>13.1347</v>
      </c>
      <c r="N24" s="20">
        <f>_xll.BDH("AMGN US Equity","TOT_FAIR_VAL_ASSET_TO_TOT_ASSETS","FQ3 2021","FQ3 2021","Currency=USD","Period=FQ","BEST_FPERIOD_OVERRIDE=FQ","FILING_STATUS=MR","Sort=A","Dates=H","DateFormat=P","Fill=—","Direction=H","UseDPDF=Y")</f>
        <v>20.640699999999999</v>
      </c>
      <c r="O24" s="20">
        <f>_xll.BDH("AMGN US Equity","TOT_FAIR_VAL_ASSET_TO_TOT_ASSETS","FQ4 2021","FQ4 2021","Currency=USD","Period=FQ","BEST_FPERIOD_OVERRIDE=FQ","FILING_STATUS=MR","Sort=A","Dates=H","DateFormat=P","Fill=—","Direction=H","UseDPDF=Y")</f>
        <v>13.7333</v>
      </c>
      <c r="P24" s="20">
        <f>_xll.BDH("AMGN US Equity","TOT_FAIR_VAL_ASSET_TO_TOT_ASSETS","FQ1 2022","FQ1 2022","Currency=USD","Period=FQ","BEST_FPERIOD_OVERRIDE=FQ","FILING_STATUS=MR","Sort=A","Dates=H","DateFormat=P","Fill=—","Direction=H","UseDPDF=Y")</f>
        <v>11.480499999999999</v>
      </c>
      <c r="Q24" s="20">
        <f>_xll.BDH("AMGN US Equity","TOT_FAIR_VAL_ASSET_TO_TOT_ASSETS","FQ2 2022","FQ2 2022","Currency=USD","Period=FQ","BEST_FPERIOD_OVERRIDE=FQ","FILING_STATUS=MR","Sort=A","Dates=H","DateFormat=P","Fill=—","Direction=H","UseDPDF=Y")</f>
        <v>12.3908</v>
      </c>
      <c r="R24" s="20">
        <f>_xll.BDH("AMGN US Equity","TOT_FAIR_VAL_ASSET_TO_TOT_ASSETS","FQ3 2022","FQ3 2022","Currency=USD","Period=FQ","BEST_FPERIOD_OVERRIDE=FQ","FILING_STATUS=MR","Sort=A","Dates=H","DateFormat=P","Fill=—","Direction=H","UseDPDF=Y")</f>
        <v>19.573</v>
      </c>
      <c r="S24" s="20">
        <f>_xll.BDH("AMGN US Equity","TOT_FAIR_VAL_ASSET_TO_TOT_ASSETS","FQ4 2022","FQ4 2022","Currency=USD","Period=FQ","BEST_FPERIOD_OVERRIDE=FQ","FILING_STATUS=MR","Sort=A","Dates=H","DateFormat=P","Fill=—","Direction=H","UseDPDF=Y")</f>
        <v>8.6316000000000006</v>
      </c>
      <c r="T24" s="20">
        <f>_xll.BDH("AMGN US Equity","TOT_FAIR_VAL_ASSET_TO_TOT_ASSETS","FQ1 2023","FQ1 2023","Currency=USD","Period=FQ","BEST_FPERIOD_OVERRIDE=FQ","FILING_STATUS=MR","Sort=A","Dates=H","DateFormat=P","Fill=—","Direction=H","UseDPDF=Y")</f>
        <v>40.893799999999999</v>
      </c>
      <c r="U24" s="20">
        <f>_xll.BDH("AMGN US Equity","TOT_FAIR_VAL_ASSET_TO_TOT_ASSETS","FQ2 2023","FQ2 2023","Currency=USD","Period=FQ","BEST_FPERIOD_OVERRIDE=FQ","FILING_STATUS=MR","Sort=A","Dates=H","DateFormat=P","Fill=—","Direction=H","UseDPDF=Y")</f>
        <v>42.203899999999997</v>
      </c>
      <c r="V24" s="20">
        <f>_xll.BDH("AMGN US Equity","TOT_FAIR_VAL_ASSET_TO_TOT_ASSETS","FQ3 2023","FQ3 2023","Currency=USD","Period=FQ","BEST_FPERIOD_OVERRIDE=FQ","FILING_STATUS=MR","Sort=A","Dates=H","DateFormat=P","Fill=—","Direction=H","UseDPDF=Y")</f>
        <v>43.012599999999999</v>
      </c>
      <c r="W24" s="20">
        <f>_xll.BDH("AMGN US Equity","TOT_FAIR_VAL_ASSET_TO_TOT_ASSETS","FQ4 2023","FQ4 2023","Currency=USD","Period=FQ","BEST_FPERIOD_OVERRIDE=FQ","FILING_STATUS=MR","Sort=A","Dates=H","DateFormat=P","Fill=—","Direction=H","UseDPDF=Y")</f>
        <v>15.504300000000001</v>
      </c>
      <c r="X24" s="20">
        <f>_xll.BDH("AMGN US Equity","TOT_FAIR_VAL_ASSET_TO_TOT_ASSETS","FQ1 2024","FQ1 2024","Currency=USD","Period=FQ","BEST_FPERIOD_OVERRIDE=FQ","FILING_STATUS=MR","Sort=A","Dates=H","DateFormat=P","Fill=—","Direction=H","UseDPDF=Y")</f>
        <v>14.462199999999999</v>
      </c>
      <c r="Y24" s="20">
        <f>_xll.BDH("AMGN US Equity","TOT_FAIR_VAL_ASSET_TO_TOT_ASSETS","FQ2 2024","FQ2 2024","Currency=USD","Period=FQ","BEST_FPERIOD_OVERRIDE=FQ","FILING_STATUS=MR","Sort=A","Dates=H","DateFormat=P","Fill=—","Direction=H","UseDPDF=Y")</f>
        <v>13.807499999999999</v>
      </c>
      <c r="Z24" s="20">
        <f>_xll.BDH("AMGN US Equity","TOT_FAIR_VAL_ASSET_TO_TOT_ASSETS","FQ3 2024","FQ3 2024","Currency=USD","Period=FQ","BEST_FPERIOD_OVERRIDE=FQ","FILING_STATUS=MR","Sort=A","Dates=H","DateFormat=P","Fill=—","Direction=H","UseDPDF=Y")</f>
        <v>15.123799999999999</v>
      </c>
      <c r="AA24" s="20">
        <f>_xll.BDH("AMGN US Equity","TOT_FAIR_VAL_ASSET_TO_TOT_ASSETS","FQ4 2024","FQ4 2024","Currency=USD","Period=FQ","BEST_FPERIOD_OVERRIDE=FQ","FILING_STATUS=MR","Sort=A","Dates=H","DateFormat=P","Fill=—","Direction=H","UseDPDF=Y")</f>
        <v>17.524100000000001</v>
      </c>
    </row>
    <row r="25" spans="1:27" x14ac:dyDescent="0.25">
      <c r="A25" s="7" t="s">
        <v>90</v>
      </c>
      <c r="B25" s="7"/>
      <c r="C25" s="7" t="s">
        <v>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91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10" t="s">
        <v>97</v>
      </c>
      <c r="B6" s="10" t="s">
        <v>71</v>
      </c>
      <c r="C6" s="13">
        <f>_xll.BDH("AMGN US Equity","SALES_REV_TURN","FQ4 2018","FQ4 2018","Currency=USD","Period=FQ","BEST_FPERIOD_OVERRIDE=FQ","FILING_STATUS=MR","SCALING_FORMAT=MLN","FA_ADJUSTED=GAAP","Sort=A","Dates=H","DateFormat=P","Fill=—","Direction=H","UseDPDF=Y")</f>
        <v>6230</v>
      </c>
      <c r="D6" s="13">
        <f>_xll.BDH("AMGN US Equity","SALES_REV_TURN","FQ1 2019","FQ1 2019","Currency=USD","Period=FQ","BEST_FPERIOD_OVERRIDE=FQ","FILING_STATUS=MR","SCALING_FORMAT=MLN","FA_ADJUSTED=GAAP","Sort=A","Dates=H","DateFormat=P","Fill=—","Direction=H","UseDPDF=Y")</f>
        <v>5557</v>
      </c>
      <c r="E6" s="13">
        <f>_xll.BDH("AMGN US Equity","SALES_REV_TURN","FQ2 2019","FQ2 2019","Currency=USD","Period=FQ","BEST_FPERIOD_OVERRIDE=FQ","FILING_STATUS=MR","SCALING_FORMAT=MLN","FA_ADJUSTED=GAAP","Sort=A","Dates=H","DateFormat=P","Fill=—","Direction=H","UseDPDF=Y")</f>
        <v>5871</v>
      </c>
      <c r="F6" s="13">
        <f>_xll.BDH("AMGN US Equity","SALES_REV_TURN","FQ3 2019","FQ3 2019","Currency=USD","Period=FQ","BEST_FPERIOD_OVERRIDE=FQ","FILING_STATUS=MR","SCALING_FORMAT=MLN","FA_ADJUSTED=GAAP","Sort=A","Dates=H","DateFormat=P","Fill=—","Direction=H","UseDPDF=Y")</f>
        <v>5737</v>
      </c>
      <c r="G6" s="13">
        <f>_xll.BDH("AMGN US Equity","SALES_REV_TURN","FQ4 2019","FQ4 2019","Currency=USD","Period=FQ","BEST_FPERIOD_OVERRIDE=FQ","FILING_STATUS=MR","SCALING_FORMAT=MLN","FA_ADJUSTED=GAAP","Sort=A","Dates=H","DateFormat=P","Fill=—","Direction=H","UseDPDF=Y")</f>
        <v>6197</v>
      </c>
      <c r="H6" s="13">
        <f>_xll.BDH("AMGN US Equity","SALES_REV_TURN","FQ1 2020","FQ1 2020","Currency=USD","Period=FQ","BEST_FPERIOD_OVERRIDE=FQ","FILING_STATUS=MR","SCALING_FORMAT=MLN","FA_ADJUSTED=GAAP","Sort=A","Dates=H","DateFormat=P","Fill=—","Direction=H","UseDPDF=Y")</f>
        <v>6161</v>
      </c>
      <c r="I6" s="13">
        <f>_xll.BDH("AMGN US Equity","SALES_REV_TURN","FQ2 2020","FQ2 2020","Currency=USD","Period=FQ","BEST_FPERIOD_OVERRIDE=FQ","FILING_STATUS=MR","SCALING_FORMAT=MLN","FA_ADJUSTED=GAAP","Sort=A","Dates=H","DateFormat=P","Fill=—","Direction=H","UseDPDF=Y")</f>
        <v>6206</v>
      </c>
      <c r="J6" s="13">
        <f>_xll.BDH("AMGN US Equity","SALES_REV_TURN","FQ3 2020","FQ3 2020","Currency=USD","Period=FQ","BEST_FPERIOD_OVERRIDE=FQ","FILING_STATUS=MR","SCALING_FORMAT=MLN","FA_ADJUSTED=GAAP","Sort=A","Dates=H","DateFormat=P","Fill=—","Direction=H","UseDPDF=Y")</f>
        <v>6423</v>
      </c>
      <c r="K6" s="13">
        <f>_xll.BDH("AMGN US Equity","SALES_REV_TURN","FQ4 2020","FQ4 2020","Currency=USD","Period=FQ","BEST_FPERIOD_OVERRIDE=FQ","FILING_STATUS=MR","SCALING_FORMAT=MLN","FA_ADJUSTED=GAAP","Sort=A","Dates=H","DateFormat=P","Fill=—","Direction=H","UseDPDF=Y")</f>
        <v>6634</v>
      </c>
      <c r="L6" s="13">
        <f>_xll.BDH("AMGN US Equity","SALES_REV_TURN","FQ1 2021","FQ1 2021","Currency=USD","Period=FQ","BEST_FPERIOD_OVERRIDE=FQ","FILING_STATUS=MR","SCALING_FORMAT=MLN","FA_ADJUSTED=GAAP","Sort=A","Dates=H","DateFormat=P","Fill=—","Direction=H","UseDPDF=Y")</f>
        <v>5901</v>
      </c>
      <c r="M6" s="13">
        <f>_xll.BDH("AMGN US Equity","SALES_REV_TURN","FQ2 2021","FQ2 2021","Currency=USD","Period=FQ","BEST_FPERIOD_OVERRIDE=FQ","FILING_STATUS=MR","SCALING_FORMAT=MLN","FA_ADJUSTED=GAAP","Sort=A","Dates=H","DateFormat=P","Fill=—","Direction=H","UseDPDF=Y")</f>
        <v>6526</v>
      </c>
      <c r="N6" s="13">
        <f>_xll.BDH("AMGN US Equity","SALES_REV_TURN","FQ3 2021","FQ3 2021","Currency=USD","Period=FQ","BEST_FPERIOD_OVERRIDE=FQ","FILING_STATUS=MR","SCALING_FORMAT=MLN","FA_ADJUSTED=GAAP","Sort=A","Dates=H","DateFormat=P","Fill=—","Direction=H","UseDPDF=Y")</f>
        <v>6706</v>
      </c>
      <c r="O6" s="13">
        <f>_xll.BDH("AMGN US Equity","SALES_REV_TURN","FQ4 2021","FQ4 2021","Currency=USD","Period=FQ","BEST_FPERIOD_OVERRIDE=FQ","FILING_STATUS=MR","SCALING_FORMAT=MLN","FA_ADJUSTED=GAAP","Sort=A","Dates=H","DateFormat=P","Fill=—","Direction=H","UseDPDF=Y")</f>
        <v>6846</v>
      </c>
      <c r="P6" s="13">
        <f>_xll.BDH("AMGN US Equity","SALES_REV_TURN","FQ1 2022","FQ1 2022","Currency=USD","Period=FQ","BEST_FPERIOD_OVERRIDE=FQ","FILING_STATUS=MR","SCALING_FORMAT=MLN","FA_ADJUSTED=GAAP","Sort=A","Dates=H","DateFormat=P","Fill=—","Direction=H","UseDPDF=Y")</f>
        <v>6238</v>
      </c>
      <c r="Q6" s="13">
        <f>_xll.BDH("AMGN US Equity","SALES_REV_TURN","FQ2 2022","FQ2 2022","Currency=USD","Period=FQ","BEST_FPERIOD_OVERRIDE=FQ","FILING_STATUS=MR","SCALING_FORMAT=MLN","FA_ADJUSTED=GAAP","Sort=A","Dates=H","DateFormat=P","Fill=—","Direction=H","UseDPDF=Y")</f>
        <v>6594</v>
      </c>
      <c r="R6" s="13">
        <f>_xll.BDH("AMGN US Equity","SALES_REV_TURN","FQ3 2022","FQ3 2022","Currency=USD","Period=FQ","BEST_FPERIOD_OVERRIDE=FQ","FILING_STATUS=MR","SCALING_FORMAT=MLN","FA_ADJUSTED=GAAP","Sort=A","Dates=H","DateFormat=P","Fill=—","Direction=H","UseDPDF=Y")</f>
        <v>6652</v>
      </c>
      <c r="S6" s="13">
        <f>_xll.BDH("AMGN US Equity","SALES_REV_TURN","FQ4 2022","FQ4 2022","Currency=USD","Period=FQ","BEST_FPERIOD_OVERRIDE=FQ","FILING_STATUS=MR","SCALING_FORMAT=MLN","FA_ADJUSTED=GAAP","Sort=A","Dates=H","DateFormat=P","Fill=—","Direction=H","UseDPDF=Y")</f>
        <v>6839</v>
      </c>
      <c r="T6" s="13">
        <f>_xll.BDH("AMGN US Equity","SALES_REV_TURN","FQ1 2023","FQ1 2023","Currency=USD","Period=FQ","BEST_FPERIOD_OVERRIDE=FQ","FILING_STATUS=MR","SCALING_FORMAT=MLN","FA_ADJUSTED=GAAP","Sort=A","Dates=H","DateFormat=P","Fill=—","Direction=H","UseDPDF=Y")</f>
        <v>6105</v>
      </c>
      <c r="U6" s="13">
        <f>_xll.BDH("AMGN US Equity","SALES_REV_TURN","FQ2 2023","FQ2 2023","Currency=USD","Period=FQ","BEST_FPERIOD_OVERRIDE=FQ","FILING_STATUS=MR","SCALING_FORMAT=MLN","FA_ADJUSTED=GAAP","Sort=A","Dates=H","DateFormat=P","Fill=—","Direction=H","UseDPDF=Y")</f>
        <v>6986</v>
      </c>
      <c r="V6" s="13">
        <f>_xll.BDH("AMGN US Equity","SALES_REV_TURN","FQ3 2023","FQ3 2023","Currency=USD","Period=FQ","BEST_FPERIOD_OVERRIDE=FQ","FILING_STATUS=MR","SCALING_FORMAT=MLN","FA_ADJUSTED=GAAP","Sort=A","Dates=H","DateFormat=P","Fill=—","Direction=H","UseDPDF=Y")</f>
        <v>6903</v>
      </c>
      <c r="W6" s="13">
        <f>_xll.BDH("AMGN US Equity","SALES_REV_TURN","FQ4 2023","FQ4 2023","Currency=USD","Period=FQ","BEST_FPERIOD_OVERRIDE=FQ","FILING_STATUS=MR","SCALING_FORMAT=MLN","FA_ADJUSTED=GAAP","Sort=A","Dates=H","DateFormat=P","Fill=—","Direction=H","UseDPDF=Y")</f>
        <v>8196</v>
      </c>
      <c r="X6" s="13">
        <f>_xll.BDH("AMGN US Equity","SALES_REV_TURN","FQ1 2024","FQ1 2024","Currency=USD","Period=FQ","BEST_FPERIOD_OVERRIDE=FQ","FILING_STATUS=MR","SCALING_FORMAT=MLN","FA_ADJUSTED=GAAP","Sort=A","Dates=H","DateFormat=P","Fill=—","Direction=H","UseDPDF=Y")</f>
        <v>7447</v>
      </c>
      <c r="Y6" s="13">
        <f>_xll.BDH("AMGN US Equity","SALES_REV_TURN","FQ2 2024","FQ2 2024","Currency=USD","Period=FQ","BEST_FPERIOD_OVERRIDE=FQ","FILING_STATUS=MR","SCALING_FORMAT=MLN","FA_ADJUSTED=GAAP","Sort=A","Dates=H","DateFormat=P","Fill=—","Direction=H","UseDPDF=Y")</f>
        <v>8388</v>
      </c>
      <c r="Z6" s="13">
        <f>_xll.BDH("AMGN US Equity","SALES_REV_TURN","FQ3 2024","FQ3 2024","Currency=USD","Period=FQ","BEST_FPERIOD_OVERRIDE=FQ","FILING_STATUS=MR","SCALING_FORMAT=MLN","FA_ADJUSTED=GAAP","Sort=A","Dates=H","DateFormat=P","Fill=—","Direction=H","UseDPDF=Y")</f>
        <v>8503</v>
      </c>
      <c r="AA6" s="13">
        <f>_xll.BDH("AMGN US Equity","SALES_REV_TURN","FQ4 2024","FQ4 2024","Currency=USD","Period=FQ","BEST_FPERIOD_OVERRIDE=FQ","FILING_STATUS=MR","SCALING_FORMAT=MLN","FA_ADJUSTED=GAAP","Sort=A","Dates=H","DateFormat=P","Fill=—","Direction=H","UseDPDF=Y")</f>
        <v>9086</v>
      </c>
    </row>
    <row r="7" spans="1:27" x14ac:dyDescent="0.25">
      <c r="A7" s="10" t="s">
        <v>98</v>
      </c>
      <c r="B7" s="10" t="s">
        <v>99</v>
      </c>
      <c r="C7" s="13">
        <f>_xll.BDH("AMGN US Equity","IS_OPER_INC","FQ4 2018","FQ4 2018","Currency=USD","Period=FQ","BEST_FPERIOD_OVERRIDE=FQ","FILING_STATUS=MR","SCALING_FORMAT=MLN","FA_ADJUSTED=GAAP","Sort=A","Dates=H","DateFormat=P","Fill=—","Direction=H","UseDPDF=Y")</f>
        <v>2382</v>
      </c>
      <c r="D7" s="13">
        <f>_xll.BDH("AMGN US Equity","IS_OPER_INC","FQ1 2019","FQ1 2019","Currency=USD","Period=FQ","BEST_FPERIOD_OVERRIDE=FQ","FILING_STATUS=MR","SCALING_FORMAT=MLN","FA_ADJUSTED=GAAP","Sort=A","Dates=H","DateFormat=P","Fill=—","Direction=H","UseDPDF=Y")</f>
        <v>2472</v>
      </c>
      <c r="E7" s="13">
        <f>_xll.BDH("AMGN US Equity","IS_OPER_INC","FQ2 2019","FQ2 2019","Currency=USD","Period=FQ","BEST_FPERIOD_OVERRIDE=FQ","FILING_STATUS=MR","SCALING_FORMAT=MLN","FA_ADJUSTED=GAAP","Sort=A","Dates=H","DateFormat=P","Fill=—","Direction=H","UseDPDF=Y")</f>
        <v>2678</v>
      </c>
      <c r="F7" s="13">
        <f>_xll.BDH("AMGN US Equity","IS_OPER_INC","FQ3 2019","FQ3 2019","Currency=USD","Period=FQ","BEST_FPERIOD_OVERRIDE=FQ","FILING_STATUS=MR","SCALING_FORMAT=MLN","FA_ADJUSTED=GAAP","Sort=A","Dates=H","DateFormat=P","Fill=—","Direction=H","UseDPDF=Y")</f>
        <v>2476</v>
      </c>
      <c r="G7" s="13">
        <f>_xll.BDH("AMGN US Equity","IS_OPER_INC","FQ4 2019","FQ4 2019","Currency=USD","Period=FQ","BEST_FPERIOD_OVERRIDE=FQ","FILING_STATUS=MR","SCALING_FORMAT=MLN","FA_ADJUSTED=GAAP","Sort=A","Dates=H","DateFormat=P","Fill=—","Direction=H","UseDPDF=Y")</f>
        <v>2048</v>
      </c>
      <c r="H7" s="13">
        <f>_xll.BDH("AMGN US Equity","IS_OPER_INC","FQ1 2020","FQ1 2020","Currency=USD","Period=FQ","BEST_FPERIOD_OVERRIDE=FQ","FILING_STATUS=MR","SCALING_FORMAT=MLN","FA_ADJUSTED=GAAP","Sort=A","Dates=H","DateFormat=P","Fill=—","Direction=H","UseDPDF=Y")</f>
        <v>2355</v>
      </c>
      <c r="I7" s="13">
        <f>_xll.BDH("AMGN US Equity","IS_OPER_INC","FQ2 2020","FQ2 2020","Currency=USD","Period=FQ","BEST_FPERIOD_OVERRIDE=FQ","FILING_STATUS=MR","SCALING_FORMAT=MLN","FA_ADJUSTED=GAAP","Sort=A","Dates=H","DateFormat=P","Fill=—","Direction=H","UseDPDF=Y")</f>
        <v>2323</v>
      </c>
      <c r="J7" s="13">
        <f>_xll.BDH("AMGN US Equity","IS_OPER_INC","FQ3 2020","FQ3 2020","Currency=USD","Period=FQ","BEST_FPERIOD_OVERRIDE=FQ","FILING_STATUS=MR","SCALING_FORMAT=MLN","FA_ADJUSTED=GAAP","Sort=A","Dates=H","DateFormat=P","Fill=—","Direction=H","UseDPDF=Y")</f>
        <v>2453</v>
      </c>
      <c r="K7" s="13">
        <f>_xll.BDH("AMGN US Equity","IS_OPER_INC","FQ4 2020","FQ4 2020","Currency=USD","Period=FQ","BEST_FPERIOD_OVERRIDE=FQ","FILING_STATUS=MR","SCALING_FORMAT=MLN","FA_ADJUSTED=GAAP","Sort=A","Dates=H","DateFormat=P","Fill=—","Direction=H","UseDPDF=Y")</f>
        <v>2008</v>
      </c>
      <c r="L7" s="13">
        <f>_xll.BDH("AMGN US Equity","IS_OPER_INC","FQ1 2021","FQ1 2021","Currency=USD","Period=FQ","BEST_FPERIOD_OVERRIDE=FQ","FILING_STATUS=MR","SCALING_FORMAT=MLN","FA_ADJUSTED=GAAP","Sort=A","Dates=H","DateFormat=P","Fill=—","Direction=H","UseDPDF=Y")</f>
        <v>2129</v>
      </c>
      <c r="M7" s="13">
        <f>_xll.BDH("AMGN US Equity","IS_OPER_INC","FQ2 2021","FQ2 2021","Currency=USD","Period=FQ","BEST_FPERIOD_OVERRIDE=FQ","FILING_STATUS=MR","SCALING_FORMAT=MLN","FA_ADJUSTED=GAAP","Sort=A","Dates=H","DateFormat=P","Fill=—","Direction=H","UseDPDF=Y")</f>
        <v>828</v>
      </c>
      <c r="N7" s="13">
        <f>_xll.BDH("AMGN US Equity","IS_OPER_INC","FQ3 2021","FQ3 2021","Currency=USD","Period=FQ","BEST_FPERIOD_OVERRIDE=FQ","FILING_STATUS=MR","SCALING_FORMAT=MLN","FA_ADJUSTED=GAAP","Sort=A","Dates=H","DateFormat=P","Fill=—","Direction=H","UseDPDF=Y")</f>
        <v>2378</v>
      </c>
      <c r="O7" s="13">
        <f>_xll.BDH("AMGN US Equity","IS_OPER_INC","FQ4 2021","FQ4 2021","Currency=USD","Period=FQ","BEST_FPERIOD_OVERRIDE=FQ","FILING_STATUS=MR","SCALING_FORMAT=MLN","FA_ADJUSTED=GAAP","Sort=A","Dates=H","DateFormat=P","Fill=—","Direction=H","UseDPDF=Y")</f>
        <v>2304</v>
      </c>
      <c r="P7" s="13">
        <f>_xll.BDH("AMGN US Equity","IS_OPER_INC","FQ1 2022","FQ1 2022","Currency=USD","Period=FQ","BEST_FPERIOD_OVERRIDE=FQ","FILING_STATUS=MR","SCALING_FORMAT=MLN","FA_ADJUSTED=GAAP","Sort=A","Dates=H","DateFormat=P","Fill=—","Direction=H","UseDPDF=Y")</f>
        <v>2500</v>
      </c>
      <c r="Q7" s="13">
        <f>_xll.BDH("AMGN US Equity","IS_OPER_INC","FQ2 2022","FQ2 2022","Currency=USD","Period=FQ","BEST_FPERIOD_OVERRIDE=FQ","FILING_STATUS=MR","SCALING_FORMAT=MLN","FA_ADJUSTED=GAAP","Sort=A","Dates=H","DateFormat=P","Fill=—","Direction=H","UseDPDF=Y")</f>
        <v>2176</v>
      </c>
      <c r="R7" s="13">
        <f>_xll.BDH("AMGN US Equity","IS_OPER_INC","FQ3 2022","FQ3 2022","Currency=USD","Period=FQ","BEST_FPERIOD_OVERRIDE=FQ","FILING_STATUS=MR","SCALING_FORMAT=MLN","FA_ADJUSTED=GAAP","Sort=A","Dates=H","DateFormat=P","Fill=—","Direction=H","UseDPDF=Y")</f>
        <v>2660</v>
      </c>
      <c r="S7" s="13">
        <f>_xll.BDH("AMGN US Equity","IS_OPER_INC","FQ4 2022","FQ4 2022","Currency=USD","Period=FQ","BEST_FPERIOD_OVERRIDE=FQ","FILING_STATUS=MR","SCALING_FORMAT=MLN","FA_ADJUSTED=GAAP","Sort=A","Dates=H","DateFormat=P","Fill=—","Direction=H","UseDPDF=Y")</f>
        <v>2230</v>
      </c>
      <c r="T7" s="13">
        <f>_xll.BDH("AMGN US Equity","IS_OPER_INC","FQ1 2023","FQ1 2023","Currency=USD","Period=FQ","BEST_FPERIOD_OVERRIDE=FQ","FILING_STATUS=MR","SCALING_FORMAT=MLN","FA_ADJUSTED=GAAP","Sort=A","Dates=H","DateFormat=P","Fill=—","Direction=H","UseDPDF=Y")</f>
        <v>1921</v>
      </c>
      <c r="U7" s="13">
        <f>_xll.BDH("AMGN US Equity","IS_OPER_INC","FQ2 2023","FQ2 2023","Currency=USD","Period=FQ","BEST_FPERIOD_OVERRIDE=FQ","FILING_STATUS=MR","SCALING_FORMAT=MLN","FA_ADJUSTED=GAAP","Sort=A","Dates=H","DateFormat=P","Fill=—","Direction=H","UseDPDF=Y")</f>
        <v>2684</v>
      </c>
      <c r="V7" s="13">
        <f>_xll.BDH("AMGN US Equity","IS_OPER_INC","FQ3 2023","FQ3 2023","Currency=USD","Period=FQ","BEST_FPERIOD_OVERRIDE=FQ","FILING_STATUS=MR","SCALING_FORMAT=MLN","FA_ADJUSTED=GAAP","Sort=A","Dates=H","DateFormat=P","Fill=—","Direction=H","UseDPDF=Y")</f>
        <v>2021</v>
      </c>
      <c r="W7" s="13">
        <f>_xll.BDH("AMGN US Equity","IS_OPER_INC","FQ4 2023","FQ4 2023","Currency=USD","Period=FQ","BEST_FPERIOD_OVERRIDE=FQ","FILING_STATUS=MR","SCALING_FORMAT=MLN","FA_ADJUSTED=GAAP","Sort=A","Dates=H","DateFormat=P","Fill=—","Direction=H","UseDPDF=Y")</f>
        <v>1271</v>
      </c>
      <c r="X7" s="13">
        <f>_xll.BDH("AMGN US Equity","IS_OPER_INC","FQ1 2024","FQ1 2024","Currency=USD","Period=FQ","BEST_FPERIOD_OVERRIDE=FQ","FILING_STATUS=MR","SCALING_FORMAT=MLN","FA_ADJUSTED=GAAP","Sort=A","Dates=H","DateFormat=P","Fill=—","Direction=H","UseDPDF=Y")</f>
        <v>991</v>
      </c>
      <c r="Y7" s="13">
        <f>_xll.BDH("AMGN US Equity","IS_OPER_INC","FQ2 2024","FQ2 2024","Currency=USD","Period=FQ","BEST_FPERIOD_OVERRIDE=FQ","FILING_STATUS=MR","SCALING_FORMAT=MLN","FA_ADJUSTED=GAAP","Sort=A","Dates=H","DateFormat=P","Fill=—","Direction=H","UseDPDF=Y")</f>
        <v>1909</v>
      </c>
      <c r="Z7" s="13">
        <f>_xll.BDH("AMGN US Equity","IS_OPER_INC","FQ3 2024","FQ3 2024","Currency=USD","Period=FQ","BEST_FPERIOD_OVERRIDE=FQ","FILING_STATUS=MR","SCALING_FORMAT=MLN","FA_ADJUSTED=GAAP","Sort=A","Dates=H","DateFormat=P","Fill=—","Direction=H","UseDPDF=Y")</f>
        <v>2047</v>
      </c>
      <c r="AA7" s="13">
        <f>_xll.BDH("AMGN US Equity","IS_OPER_INC","FQ4 2024","FQ4 2024","Currency=USD","Period=FQ","BEST_FPERIOD_OVERRIDE=FQ","FILING_STATUS=MR","SCALING_FORMAT=MLN","FA_ADJUSTED=GAAP","Sort=A","Dates=H","DateFormat=P","Fill=—","Direction=H","UseDPDF=Y")</f>
        <v>2311</v>
      </c>
    </row>
    <row r="8" spans="1:27" x14ac:dyDescent="0.25">
      <c r="A8" s="10" t="s">
        <v>100</v>
      </c>
      <c r="B8" s="10" t="s">
        <v>80</v>
      </c>
      <c r="C8" s="13">
        <f>_xll.BDH("AMGN US Equity","EARN_FOR_COMMON","FQ4 2018","FQ4 2018","Currency=USD","Period=FQ","BEST_FPERIOD_OVERRIDE=FQ","FILING_STATUS=MR","SCALING_FORMAT=MLN","FA_ADJUSTED=GAAP","Sort=A","Dates=H","DateFormat=P","Fill=—","Direction=H","UseDPDF=Y")</f>
        <v>1928</v>
      </c>
      <c r="D8" s="13">
        <f>_xll.BDH("AMGN US Equity","EARN_FOR_COMMON","FQ1 2019","FQ1 2019","Currency=USD","Period=FQ","BEST_FPERIOD_OVERRIDE=FQ","FILING_STATUS=MR","SCALING_FORMAT=MLN","FA_ADJUSTED=GAAP","Sort=A","Dates=H","DateFormat=P","Fill=—","Direction=H","UseDPDF=Y")</f>
        <v>1992</v>
      </c>
      <c r="E8" s="13">
        <f>_xll.BDH("AMGN US Equity","EARN_FOR_COMMON","FQ2 2019","FQ2 2019","Currency=USD","Period=FQ","BEST_FPERIOD_OVERRIDE=FQ","FILING_STATUS=MR","SCALING_FORMAT=MLN","FA_ADJUSTED=GAAP","Sort=A","Dates=H","DateFormat=P","Fill=—","Direction=H","UseDPDF=Y")</f>
        <v>2179</v>
      </c>
      <c r="F8" s="13">
        <f>_xll.BDH("AMGN US Equity","EARN_FOR_COMMON","FQ3 2019","FQ3 2019","Currency=USD","Period=FQ","BEST_FPERIOD_OVERRIDE=FQ","FILING_STATUS=MR","SCALING_FORMAT=MLN","FA_ADJUSTED=GAAP","Sort=A","Dates=H","DateFormat=P","Fill=—","Direction=H","UseDPDF=Y")</f>
        <v>1968</v>
      </c>
      <c r="G8" s="13">
        <f>_xll.BDH("AMGN US Equity","EARN_FOR_COMMON","FQ4 2019","FQ4 2019","Currency=USD","Period=FQ","BEST_FPERIOD_OVERRIDE=FQ","FILING_STATUS=MR","SCALING_FORMAT=MLN","FA_ADJUSTED=GAAP","Sort=A","Dates=H","DateFormat=P","Fill=—","Direction=H","UseDPDF=Y")</f>
        <v>1703</v>
      </c>
      <c r="H8" s="13">
        <f>_xll.BDH("AMGN US Equity","EARN_FOR_COMMON","FQ1 2020","FQ1 2020","Currency=USD","Period=FQ","BEST_FPERIOD_OVERRIDE=FQ","FILING_STATUS=MR","SCALING_FORMAT=MLN","FA_ADJUSTED=GAAP","Sort=A","Dates=H","DateFormat=P","Fill=—","Direction=H","UseDPDF=Y")</f>
        <v>1825</v>
      </c>
      <c r="I8" s="13">
        <f>_xll.BDH("AMGN US Equity","EARN_FOR_COMMON","FQ2 2020","FQ2 2020","Currency=USD","Period=FQ","BEST_FPERIOD_OVERRIDE=FQ","FILING_STATUS=MR","SCALING_FORMAT=MLN","FA_ADJUSTED=GAAP","Sort=A","Dates=H","DateFormat=P","Fill=—","Direction=H","UseDPDF=Y")</f>
        <v>1803</v>
      </c>
      <c r="J8" s="13">
        <f>_xll.BDH("AMGN US Equity","EARN_FOR_COMMON","FQ3 2020","FQ3 2020","Currency=USD","Period=FQ","BEST_FPERIOD_OVERRIDE=FQ","FILING_STATUS=MR","SCALING_FORMAT=MLN","FA_ADJUSTED=GAAP","Sort=A","Dates=H","DateFormat=P","Fill=—","Direction=H","UseDPDF=Y")</f>
        <v>2021</v>
      </c>
      <c r="K8" s="13">
        <f>_xll.BDH("AMGN US Equity","EARN_FOR_COMMON","FQ4 2020","FQ4 2020","Currency=USD","Period=FQ","BEST_FPERIOD_OVERRIDE=FQ","FILING_STATUS=MR","SCALING_FORMAT=MLN","FA_ADJUSTED=GAAP","Sort=A","Dates=H","DateFormat=P","Fill=—","Direction=H","UseDPDF=Y")</f>
        <v>1615</v>
      </c>
      <c r="L8" s="13">
        <f>_xll.BDH("AMGN US Equity","EARN_FOR_COMMON","FQ1 2021","FQ1 2021","Currency=USD","Period=FQ","BEST_FPERIOD_OVERRIDE=FQ","FILING_STATUS=MR","SCALING_FORMAT=MLN","FA_ADJUSTED=GAAP","Sort=A","Dates=H","DateFormat=P","Fill=—","Direction=H","UseDPDF=Y")</f>
        <v>1646</v>
      </c>
      <c r="M8" s="13">
        <f>_xll.BDH("AMGN US Equity","EARN_FOR_COMMON","FQ2 2021","FQ2 2021","Currency=USD","Period=FQ","BEST_FPERIOD_OVERRIDE=FQ","FILING_STATUS=MR","SCALING_FORMAT=MLN","FA_ADJUSTED=GAAP","Sort=A","Dates=H","DateFormat=P","Fill=—","Direction=H","UseDPDF=Y")</f>
        <v>464</v>
      </c>
      <c r="N8" s="13">
        <f>_xll.BDH("AMGN US Equity","EARN_FOR_COMMON","FQ3 2021","FQ3 2021","Currency=USD","Period=FQ","BEST_FPERIOD_OVERRIDE=FQ","FILING_STATUS=MR","SCALING_FORMAT=MLN","FA_ADJUSTED=GAAP","Sort=A","Dates=H","DateFormat=P","Fill=—","Direction=H","UseDPDF=Y")</f>
        <v>1884</v>
      </c>
      <c r="O8" s="13">
        <f>_xll.BDH("AMGN US Equity","EARN_FOR_COMMON","FQ4 2021","FQ4 2021","Currency=USD","Period=FQ","BEST_FPERIOD_OVERRIDE=FQ","FILING_STATUS=MR","SCALING_FORMAT=MLN","FA_ADJUSTED=GAAP","Sort=A","Dates=H","DateFormat=P","Fill=—","Direction=H","UseDPDF=Y")</f>
        <v>1899</v>
      </c>
      <c r="P8" s="13">
        <f>_xll.BDH("AMGN US Equity","EARN_FOR_COMMON","FQ1 2022","FQ1 2022","Currency=USD","Period=FQ","BEST_FPERIOD_OVERRIDE=FQ","FILING_STATUS=MR","SCALING_FORMAT=MLN","FA_ADJUSTED=GAAP","Sort=A","Dates=H","DateFormat=P","Fill=—","Direction=H","UseDPDF=Y")</f>
        <v>1476</v>
      </c>
      <c r="Q8" s="13">
        <f>_xll.BDH("AMGN US Equity","EARN_FOR_COMMON","FQ2 2022","FQ2 2022","Currency=USD","Period=FQ","BEST_FPERIOD_OVERRIDE=FQ","FILING_STATUS=MR","SCALING_FORMAT=MLN","FA_ADJUSTED=GAAP","Sort=A","Dates=H","DateFormat=P","Fill=—","Direction=H","UseDPDF=Y")</f>
        <v>1317</v>
      </c>
      <c r="R8" s="13">
        <f>_xll.BDH("AMGN US Equity","EARN_FOR_COMMON","FQ3 2022","FQ3 2022","Currency=USD","Period=FQ","BEST_FPERIOD_OVERRIDE=FQ","FILING_STATUS=MR","SCALING_FORMAT=MLN","FA_ADJUSTED=GAAP","Sort=A","Dates=H","DateFormat=P","Fill=—","Direction=H","UseDPDF=Y")</f>
        <v>2143</v>
      </c>
      <c r="S8" s="13">
        <f>_xll.BDH("AMGN US Equity","EARN_FOR_COMMON","FQ4 2022","FQ4 2022","Currency=USD","Period=FQ","BEST_FPERIOD_OVERRIDE=FQ","FILING_STATUS=MR","SCALING_FORMAT=MLN","FA_ADJUSTED=GAAP","Sort=A","Dates=H","DateFormat=P","Fill=—","Direction=H","UseDPDF=Y")</f>
        <v>1616</v>
      </c>
      <c r="T8" s="13">
        <f>_xll.BDH("AMGN US Equity","EARN_FOR_COMMON","FQ1 2023","FQ1 2023","Currency=USD","Period=FQ","BEST_FPERIOD_OVERRIDE=FQ","FILING_STATUS=MR","SCALING_FORMAT=MLN","FA_ADJUSTED=GAAP","Sort=A","Dates=H","DateFormat=P","Fill=—","Direction=H","UseDPDF=Y")</f>
        <v>2841</v>
      </c>
      <c r="U8" s="13">
        <f>_xll.BDH("AMGN US Equity","EARN_FOR_COMMON","FQ2 2023","FQ2 2023","Currency=USD","Period=FQ","BEST_FPERIOD_OVERRIDE=FQ","FILING_STATUS=MR","SCALING_FORMAT=MLN","FA_ADJUSTED=GAAP","Sort=A","Dates=H","DateFormat=P","Fill=—","Direction=H","UseDPDF=Y")</f>
        <v>1379</v>
      </c>
      <c r="V8" s="13">
        <f>_xll.BDH("AMGN US Equity","EARN_FOR_COMMON","FQ3 2023","FQ3 2023","Currency=USD","Period=FQ","BEST_FPERIOD_OVERRIDE=FQ","FILING_STATUS=MR","SCALING_FORMAT=MLN","FA_ADJUSTED=GAAP","Sort=A","Dates=H","DateFormat=P","Fill=—","Direction=H","UseDPDF=Y")</f>
        <v>1730</v>
      </c>
      <c r="W8" s="13">
        <f>_xll.BDH("AMGN US Equity","EARN_FOR_COMMON","FQ4 2023","FQ4 2023","Currency=USD","Period=FQ","BEST_FPERIOD_OVERRIDE=FQ","FILING_STATUS=MR","SCALING_FORMAT=MLN","FA_ADJUSTED=GAAP","Sort=A","Dates=H","DateFormat=P","Fill=—","Direction=H","UseDPDF=Y")</f>
        <v>767</v>
      </c>
      <c r="X8" s="13">
        <f>_xll.BDH("AMGN US Equity","EARN_FOR_COMMON","FQ1 2024","FQ1 2024","Currency=USD","Period=FQ","BEST_FPERIOD_OVERRIDE=FQ","FILING_STATUS=MR","SCALING_FORMAT=MLN","FA_ADJUSTED=GAAP","Sort=A","Dates=H","DateFormat=P","Fill=—","Direction=H","UseDPDF=Y")</f>
        <v>-113</v>
      </c>
      <c r="Y8" s="13">
        <f>_xll.BDH("AMGN US Equity","EARN_FOR_COMMON","FQ2 2024","FQ2 2024","Currency=USD","Period=FQ","BEST_FPERIOD_OVERRIDE=FQ","FILING_STATUS=MR","SCALING_FORMAT=MLN","FA_ADJUSTED=GAAP","Sort=A","Dates=H","DateFormat=P","Fill=—","Direction=H","UseDPDF=Y")</f>
        <v>746</v>
      </c>
      <c r="Z8" s="13">
        <f>_xll.BDH("AMGN US Equity","EARN_FOR_COMMON","FQ3 2024","FQ3 2024","Currency=USD","Period=FQ","BEST_FPERIOD_OVERRIDE=FQ","FILING_STATUS=MR","SCALING_FORMAT=MLN","FA_ADJUSTED=GAAP","Sort=A","Dates=H","DateFormat=P","Fill=—","Direction=H","UseDPDF=Y")</f>
        <v>2830</v>
      </c>
      <c r="AA8" s="13">
        <f>_xll.BDH("AMGN US Equity","EARN_FOR_COMMON","FQ4 2024","FQ4 2024","Currency=USD","Period=FQ","BEST_FPERIOD_OVERRIDE=FQ","FILING_STATUS=MR","SCALING_FORMAT=MLN","FA_ADJUSTED=GAAP","Sort=A","Dates=H","DateFormat=P","Fill=—","Direction=H","UseDPDF=Y")</f>
        <v>627</v>
      </c>
    </row>
    <row r="9" spans="1:27" x14ac:dyDescent="0.25">
      <c r="A9" s="10" t="s">
        <v>101</v>
      </c>
      <c r="B9" s="10" t="s">
        <v>102</v>
      </c>
      <c r="C9" s="14">
        <f>_xll.BDH("AMGN US Equity","IS_EPS","FQ4 2018","FQ4 2018","Currency=USD","Period=FQ","BEST_FPERIOD_OVERRIDE=FQ","FILING_STATUS=MR","FA_ADJUSTED=GAAP","Sort=A","Dates=H","DateFormat=P","Fill=—","Direction=H","UseDPDF=Y")</f>
        <v>3.04</v>
      </c>
      <c r="D9" s="14">
        <f>_xll.BDH("AMGN US Equity","IS_EPS","FQ1 2019","FQ1 2019","Currency=USD","Period=FQ","BEST_FPERIOD_OVERRIDE=FQ","FILING_STATUS=MR","FA_ADJUSTED=GAAP","Sort=A","Dates=H","DateFormat=P","Fill=—","Direction=H","UseDPDF=Y")</f>
        <v>3.2</v>
      </c>
      <c r="E9" s="14">
        <f>_xll.BDH("AMGN US Equity","IS_EPS","FQ2 2019","FQ2 2019","Currency=USD","Period=FQ","BEST_FPERIOD_OVERRIDE=FQ","FILING_STATUS=MR","FA_ADJUSTED=GAAP","Sort=A","Dates=H","DateFormat=P","Fill=—","Direction=H","UseDPDF=Y")</f>
        <v>3.59</v>
      </c>
      <c r="F9" s="14">
        <f>_xll.BDH("AMGN US Equity","IS_EPS","FQ3 2019","FQ3 2019","Currency=USD","Period=FQ","BEST_FPERIOD_OVERRIDE=FQ","FILING_STATUS=MR","FA_ADJUSTED=GAAP","Sort=A","Dates=H","DateFormat=P","Fill=—","Direction=H","UseDPDF=Y")</f>
        <v>3.29</v>
      </c>
      <c r="G9" s="14">
        <f>_xll.BDH("AMGN US Equity","IS_EPS","FQ4 2019","FQ4 2019","Currency=USD","Period=FQ","BEST_FPERIOD_OVERRIDE=FQ","FILING_STATUS=MR","FA_ADJUSTED=GAAP","Sort=A","Dates=H","DateFormat=P","Fill=—","Direction=H","UseDPDF=Y")</f>
        <v>2.87</v>
      </c>
      <c r="H9" s="14">
        <f>_xll.BDH("AMGN US Equity","IS_EPS","FQ1 2020","FQ1 2020","Currency=USD","Period=FQ","BEST_FPERIOD_OVERRIDE=FQ","FILING_STATUS=MR","FA_ADJUSTED=GAAP","Sort=A","Dates=H","DateFormat=P","Fill=—","Direction=H","UseDPDF=Y")</f>
        <v>3.09</v>
      </c>
      <c r="I9" s="14">
        <f>_xll.BDH("AMGN US Equity","IS_EPS","FQ2 2020","FQ2 2020","Currency=USD","Period=FQ","BEST_FPERIOD_OVERRIDE=FQ","FILING_STATUS=MR","FA_ADJUSTED=GAAP","Sort=A","Dates=H","DateFormat=P","Fill=—","Direction=H","UseDPDF=Y")</f>
        <v>3.07</v>
      </c>
      <c r="J9" s="14">
        <f>_xll.BDH("AMGN US Equity","IS_EPS","FQ3 2020","FQ3 2020","Currency=USD","Period=FQ","BEST_FPERIOD_OVERRIDE=FQ","FILING_STATUS=MR","FA_ADJUSTED=GAAP","Sort=A","Dates=H","DateFormat=P","Fill=—","Direction=H","UseDPDF=Y")</f>
        <v>3.45</v>
      </c>
      <c r="K9" s="14">
        <f>_xll.BDH("AMGN US Equity","IS_EPS","FQ4 2020","FQ4 2020","Currency=USD","Period=FQ","BEST_FPERIOD_OVERRIDE=FQ","FILING_STATUS=MR","FA_ADJUSTED=GAAP","Sort=A","Dates=H","DateFormat=P","Fill=—","Direction=H","UseDPDF=Y")</f>
        <v>2.78</v>
      </c>
      <c r="L9" s="14">
        <f>_xll.BDH("AMGN US Equity","IS_EPS","FQ1 2021","FQ1 2021","Currency=USD","Period=FQ","BEST_FPERIOD_OVERRIDE=FQ","FILING_STATUS=MR","FA_ADJUSTED=GAAP","Sort=A","Dates=H","DateFormat=P","Fill=—","Direction=H","UseDPDF=Y")</f>
        <v>2.85</v>
      </c>
      <c r="M9" s="14">
        <f>_xll.BDH("AMGN US Equity","IS_EPS","FQ2 2021","FQ2 2021","Currency=USD","Period=FQ","BEST_FPERIOD_OVERRIDE=FQ","FILING_STATUS=MR","FA_ADJUSTED=GAAP","Sort=A","Dates=H","DateFormat=P","Fill=—","Direction=H","UseDPDF=Y")</f>
        <v>0.81</v>
      </c>
      <c r="N9" s="14">
        <f>_xll.BDH("AMGN US Equity","IS_EPS","FQ3 2021","FQ3 2021","Currency=USD","Period=FQ","BEST_FPERIOD_OVERRIDE=FQ","FILING_STATUS=MR","FA_ADJUSTED=GAAP","Sort=A","Dates=H","DateFormat=P","Fill=—","Direction=H","UseDPDF=Y")</f>
        <v>3.32</v>
      </c>
      <c r="O9" s="14">
        <f>_xll.BDH("AMGN US Equity","IS_EPS","FQ4 2021","FQ4 2021","Currency=USD","Period=FQ","BEST_FPERIOD_OVERRIDE=FQ","FILING_STATUS=MR","FA_ADJUSTED=GAAP","Sort=A","Dates=H","DateFormat=P","Fill=—","Direction=H","UseDPDF=Y")</f>
        <v>3.38</v>
      </c>
      <c r="P9" s="14">
        <f>_xll.BDH("AMGN US Equity","IS_EPS","FQ1 2022","FQ1 2022","Currency=USD","Period=FQ","BEST_FPERIOD_OVERRIDE=FQ","FILING_STATUS=MR","FA_ADJUSTED=GAAP","Sort=A","Dates=H","DateFormat=P","Fill=—","Direction=H","UseDPDF=Y")</f>
        <v>2.69</v>
      </c>
      <c r="Q9" s="14">
        <f>_xll.BDH("AMGN US Equity","IS_EPS","FQ2 2022","FQ2 2022","Currency=USD","Period=FQ","BEST_FPERIOD_OVERRIDE=FQ","FILING_STATUS=MR","FA_ADJUSTED=GAAP","Sort=A","Dates=H","DateFormat=P","Fill=—","Direction=H","UseDPDF=Y")</f>
        <v>2.46</v>
      </c>
      <c r="R9" s="14">
        <f>_xll.BDH("AMGN US Equity","IS_EPS","FQ3 2022","FQ3 2022","Currency=USD","Period=FQ","BEST_FPERIOD_OVERRIDE=FQ","FILING_STATUS=MR","FA_ADJUSTED=GAAP","Sort=A","Dates=H","DateFormat=P","Fill=—","Direction=H","UseDPDF=Y")</f>
        <v>4.01</v>
      </c>
      <c r="S9" s="14">
        <f>_xll.BDH("AMGN US Equity","IS_EPS","FQ4 2022","FQ4 2022","Currency=USD","Period=FQ","BEST_FPERIOD_OVERRIDE=FQ","FILING_STATUS=MR","FA_ADJUSTED=GAAP","Sort=A","Dates=H","DateFormat=P","Fill=—","Direction=H","UseDPDF=Y")</f>
        <v>3.02</v>
      </c>
      <c r="T9" s="14">
        <f>_xll.BDH("AMGN US Equity","IS_EPS","FQ1 2023","FQ1 2023","Currency=USD","Period=FQ","BEST_FPERIOD_OVERRIDE=FQ","FILING_STATUS=MR","FA_ADJUSTED=GAAP","Sort=A","Dates=H","DateFormat=P","Fill=—","Direction=H","UseDPDF=Y")</f>
        <v>5.32</v>
      </c>
      <c r="U9" s="14">
        <f>_xll.BDH("AMGN US Equity","IS_EPS","FQ2 2023","FQ2 2023","Currency=USD","Period=FQ","BEST_FPERIOD_OVERRIDE=FQ","FILING_STATUS=MR","FA_ADJUSTED=GAAP","Sort=A","Dates=H","DateFormat=P","Fill=—","Direction=H","UseDPDF=Y")</f>
        <v>2.58</v>
      </c>
      <c r="V9" s="14">
        <f>_xll.BDH("AMGN US Equity","IS_EPS","FQ3 2023","FQ3 2023","Currency=USD","Period=FQ","BEST_FPERIOD_OVERRIDE=FQ","FILING_STATUS=MR","FA_ADJUSTED=GAAP","Sort=A","Dates=H","DateFormat=P","Fill=—","Direction=H","UseDPDF=Y")</f>
        <v>3.23</v>
      </c>
      <c r="W9" s="14">
        <f>_xll.BDH("AMGN US Equity","IS_EPS","FQ4 2023","FQ4 2023","Currency=USD","Period=FQ","BEST_FPERIOD_OVERRIDE=FQ","FILING_STATUS=MR","FA_ADJUSTED=GAAP","Sort=A","Dates=H","DateFormat=P","Fill=—","Direction=H","UseDPDF=Y")</f>
        <v>1.43</v>
      </c>
      <c r="X9" s="14">
        <f>_xll.BDH("AMGN US Equity","IS_EPS","FQ1 2024","FQ1 2024","Currency=USD","Period=FQ","BEST_FPERIOD_OVERRIDE=FQ","FILING_STATUS=MR","FA_ADJUSTED=GAAP","Sort=A","Dates=H","DateFormat=P","Fill=—","Direction=H","UseDPDF=Y")</f>
        <v>-0.21</v>
      </c>
      <c r="Y9" s="14">
        <f>_xll.BDH("AMGN US Equity","IS_EPS","FQ2 2024","FQ2 2024","Currency=USD","Period=FQ","BEST_FPERIOD_OVERRIDE=FQ","FILING_STATUS=MR","FA_ADJUSTED=GAAP","Sort=A","Dates=H","DateFormat=P","Fill=—","Direction=H","UseDPDF=Y")</f>
        <v>1.39</v>
      </c>
      <c r="Z9" s="14">
        <f>_xll.BDH("AMGN US Equity","IS_EPS","FQ3 2024","FQ3 2024","Currency=USD","Period=FQ","BEST_FPERIOD_OVERRIDE=FQ","FILING_STATUS=MR","FA_ADJUSTED=GAAP","Sort=A","Dates=H","DateFormat=P","Fill=—","Direction=H","UseDPDF=Y")</f>
        <v>5.27</v>
      </c>
      <c r="AA9" s="14">
        <f>_xll.BDH("AMGN US Equity","IS_EPS","FQ4 2024","FQ4 2024","Currency=USD","Period=FQ","BEST_FPERIOD_OVERRIDE=FQ","FILING_STATUS=MR","FA_ADJUSTED=GAAP","Sort=A","Dates=H","DateFormat=P","Fill=—","Direction=H","UseDPDF=Y")</f>
        <v>1.17</v>
      </c>
    </row>
    <row r="10" spans="1:27" x14ac:dyDescent="0.25">
      <c r="A10" s="10" t="s">
        <v>103</v>
      </c>
      <c r="B10" s="10" t="s">
        <v>104</v>
      </c>
      <c r="C10" s="14">
        <f>_xll.BDH("AMGN US Equity","IS_DILUTED_EPS","FQ4 2018","FQ4 2018","Currency=USD","Period=FQ","BEST_FPERIOD_OVERRIDE=FQ","FILING_STATUS=MR","FA_ADJUSTED=GAAP","Sort=A","Dates=H","DateFormat=P","Fill=—","Direction=H","UseDPDF=Y")</f>
        <v>3.01</v>
      </c>
      <c r="D10" s="14">
        <f>_xll.BDH("AMGN US Equity","IS_DILUTED_EPS","FQ1 2019","FQ1 2019","Currency=USD","Period=FQ","BEST_FPERIOD_OVERRIDE=FQ","FILING_STATUS=MR","FA_ADJUSTED=GAAP","Sort=A","Dates=H","DateFormat=P","Fill=—","Direction=H","UseDPDF=Y")</f>
        <v>3.18</v>
      </c>
      <c r="E10" s="14">
        <f>_xll.BDH("AMGN US Equity","IS_DILUTED_EPS","FQ2 2019","FQ2 2019","Currency=USD","Period=FQ","BEST_FPERIOD_OVERRIDE=FQ","FILING_STATUS=MR","FA_ADJUSTED=GAAP","Sort=A","Dates=H","DateFormat=P","Fill=—","Direction=H","UseDPDF=Y")</f>
        <v>3.57</v>
      </c>
      <c r="F10" s="14">
        <f>_xll.BDH("AMGN US Equity","IS_DILUTED_EPS","FQ3 2019","FQ3 2019","Currency=USD","Period=FQ","BEST_FPERIOD_OVERRIDE=FQ","FILING_STATUS=MR","FA_ADJUSTED=GAAP","Sort=A","Dates=H","DateFormat=P","Fill=—","Direction=H","UseDPDF=Y")</f>
        <v>3.27</v>
      </c>
      <c r="G10" s="14">
        <f>_xll.BDH("AMGN US Equity","IS_DILUTED_EPS","FQ4 2019","FQ4 2019","Currency=USD","Period=FQ","BEST_FPERIOD_OVERRIDE=FQ","FILING_STATUS=MR","FA_ADJUSTED=GAAP","Sort=A","Dates=H","DateFormat=P","Fill=—","Direction=H","UseDPDF=Y")</f>
        <v>2.85</v>
      </c>
      <c r="H10" s="14">
        <f>_xll.BDH("AMGN US Equity","IS_DILUTED_EPS","FQ1 2020","FQ1 2020","Currency=USD","Period=FQ","BEST_FPERIOD_OVERRIDE=FQ","FILING_STATUS=MR","FA_ADJUSTED=GAAP","Sort=A","Dates=H","DateFormat=P","Fill=—","Direction=H","UseDPDF=Y")</f>
        <v>3.07</v>
      </c>
      <c r="I10" s="14">
        <f>_xll.BDH("AMGN US Equity","IS_DILUTED_EPS","FQ2 2020","FQ2 2020","Currency=USD","Period=FQ","BEST_FPERIOD_OVERRIDE=FQ","FILING_STATUS=MR","FA_ADJUSTED=GAAP","Sort=A","Dates=H","DateFormat=P","Fill=—","Direction=H","UseDPDF=Y")</f>
        <v>3.05</v>
      </c>
      <c r="J10" s="14">
        <f>_xll.BDH("AMGN US Equity","IS_DILUTED_EPS","FQ3 2020","FQ3 2020","Currency=USD","Period=FQ","BEST_FPERIOD_OVERRIDE=FQ","FILING_STATUS=MR","FA_ADJUSTED=GAAP","Sort=A","Dates=H","DateFormat=P","Fill=—","Direction=H","UseDPDF=Y")</f>
        <v>3.43</v>
      </c>
      <c r="K10" s="14">
        <f>_xll.BDH("AMGN US Equity","IS_DILUTED_EPS","FQ4 2020","FQ4 2020","Currency=USD","Period=FQ","BEST_FPERIOD_OVERRIDE=FQ","FILING_STATUS=MR","FA_ADJUSTED=GAAP","Sort=A","Dates=H","DateFormat=P","Fill=—","Direction=H","UseDPDF=Y")</f>
        <v>2.76</v>
      </c>
      <c r="L10" s="14">
        <f>_xll.BDH("AMGN US Equity","IS_DILUTED_EPS","FQ1 2021","FQ1 2021","Currency=USD","Period=FQ","BEST_FPERIOD_OVERRIDE=FQ","FILING_STATUS=MR","FA_ADJUSTED=GAAP","Sort=A","Dates=H","DateFormat=P","Fill=—","Direction=H","UseDPDF=Y")</f>
        <v>2.83</v>
      </c>
      <c r="M10" s="14">
        <f>_xll.BDH("AMGN US Equity","IS_DILUTED_EPS","FQ2 2021","FQ2 2021","Currency=USD","Period=FQ","BEST_FPERIOD_OVERRIDE=FQ","FILING_STATUS=MR","FA_ADJUSTED=GAAP","Sort=A","Dates=H","DateFormat=P","Fill=—","Direction=H","UseDPDF=Y")</f>
        <v>0.81</v>
      </c>
      <c r="N10" s="14">
        <f>_xll.BDH("AMGN US Equity","IS_DILUTED_EPS","FQ3 2021","FQ3 2021","Currency=USD","Period=FQ","BEST_FPERIOD_OVERRIDE=FQ","FILING_STATUS=MR","FA_ADJUSTED=GAAP","Sort=A","Dates=H","DateFormat=P","Fill=—","Direction=H","UseDPDF=Y")</f>
        <v>3.31</v>
      </c>
      <c r="O10" s="14">
        <f>_xll.BDH("AMGN US Equity","IS_DILUTED_EPS","FQ4 2021","FQ4 2021","Currency=USD","Period=FQ","BEST_FPERIOD_OVERRIDE=FQ","FILING_STATUS=MR","FA_ADJUSTED=GAAP","Sort=A","Dates=H","DateFormat=P","Fill=—","Direction=H","UseDPDF=Y")</f>
        <v>3.36</v>
      </c>
      <c r="P10" s="14">
        <f>_xll.BDH("AMGN US Equity","IS_DILUTED_EPS","FQ1 2022","FQ1 2022","Currency=USD","Period=FQ","BEST_FPERIOD_OVERRIDE=FQ","FILING_STATUS=MR","FA_ADJUSTED=GAAP","Sort=A","Dates=H","DateFormat=P","Fill=—","Direction=H","UseDPDF=Y")</f>
        <v>2.68</v>
      </c>
      <c r="Q10" s="14">
        <f>_xll.BDH("AMGN US Equity","IS_DILUTED_EPS","FQ2 2022","FQ2 2022","Currency=USD","Period=FQ","BEST_FPERIOD_OVERRIDE=FQ","FILING_STATUS=MR","FA_ADJUSTED=GAAP","Sort=A","Dates=H","DateFormat=P","Fill=—","Direction=H","UseDPDF=Y")</f>
        <v>2.4500000000000002</v>
      </c>
      <c r="R10" s="14">
        <f>_xll.BDH("AMGN US Equity","IS_DILUTED_EPS","FQ3 2022","FQ3 2022","Currency=USD","Period=FQ","BEST_FPERIOD_OVERRIDE=FQ","FILING_STATUS=MR","FA_ADJUSTED=GAAP","Sort=A","Dates=H","DateFormat=P","Fill=—","Direction=H","UseDPDF=Y")</f>
        <v>3.98</v>
      </c>
      <c r="S10" s="14">
        <f>_xll.BDH("AMGN US Equity","IS_DILUTED_EPS","FQ4 2022","FQ4 2022","Currency=USD","Period=FQ","BEST_FPERIOD_OVERRIDE=FQ","FILING_STATUS=MR","FA_ADJUSTED=GAAP","Sort=A","Dates=H","DateFormat=P","Fill=—","Direction=H","UseDPDF=Y")</f>
        <v>3</v>
      </c>
      <c r="T10" s="14">
        <f>_xll.BDH("AMGN US Equity","IS_DILUTED_EPS","FQ1 2023","FQ1 2023","Currency=USD","Period=FQ","BEST_FPERIOD_OVERRIDE=FQ","FILING_STATUS=MR","FA_ADJUSTED=GAAP","Sort=A","Dates=H","DateFormat=P","Fill=—","Direction=H","UseDPDF=Y")</f>
        <v>5.28</v>
      </c>
      <c r="U10" s="14">
        <f>_xll.BDH("AMGN US Equity","IS_DILUTED_EPS","FQ2 2023","FQ2 2023","Currency=USD","Period=FQ","BEST_FPERIOD_OVERRIDE=FQ","FILING_STATUS=MR","FA_ADJUSTED=GAAP","Sort=A","Dates=H","DateFormat=P","Fill=—","Direction=H","UseDPDF=Y")</f>
        <v>2.57</v>
      </c>
      <c r="V10" s="14">
        <f>_xll.BDH("AMGN US Equity","IS_DILUTED_EPS","FQ3 2023","FQ3 2023","Currency=USD","Period=FQ","BEST_FPERIOD_OVERRIDE=FQ","FILING_STATUS=MR","FA_ADJUSTED=GAAP","Sort=A","Dates=H","DateFormat=P","Fill=—","Direction=H","UseDPDF=Y")</f>
        <v>3.22</v>
      </c>
      <c r="W10" s="14">
        <f>_xll.BDH("AMGN US Equity","IS_DILUTED_EPS","FQ4 2023","FQ4 2023","Currency=USD","Period=FQ","BEST_FPERIOD_OVERRIDE=FQ","FILING_STATUS=MR","FA_ADJUSTED=GAAP","Sort=A","Dates=H","DateFormat=P","Fill=—","Direction=H","UseDPDF=Y")</f>
        <v>1.42</v>
      </c>
      <c r="X10" s="14">
        <f>_xll.BDH("AMGN US Equity","IS_DILUTED_EPS","FQ1 2024","FQ1 2024","Currency=USD","Period=FQ","BEST_FPERIOD_OVERRIDE=FQ","FILING_STATUS=MR","FA_ADJUSTED=GAAP","Sort=A","Dates=H","DateFormat=P","Fill=—","Direction=H","UseDPDF=Y")</f>
        <v>-0.21</v>
      </c>
      <c r="Y10" s="14">
        <f>_xll.BDH("AMGN US Equity","IS_DILUTED_EPS","FQ2 2024","FQ2 2024","Currency=USD","Period=FQ","BEST_FPERIOD_OVERRIDE=FQ","FILING_STATUS=MR","FA_ADJUSTED=GAAP","Sort=A","Dates=H","DateFormat=P","Fill=—","Direction=H","UseDPDF=Y")</f>
        <v>1.38</v>
      </c>
      <c r="Z10" s="14">
        <f>_xll.BDH("AMGN US Equity","IS_DILUTED_EPS","FQ3 2024","FQ3 2024","Currency=USD","Period=FQ","BEST_FPERIOD_OVERRIDE=FQ","FILING_STATUS=MR","FA_ADJUSTED=GAAP","Sort=A","Dates=H","DateFormat=P","Fill=—","Direction=H","UseDPDF=Y")</f>
        <v>5.22</v>
      </c>
      <c r="AA10" s="14">
        <f>_xll.BDH("AMGN US Equity","IS_DILUTED_EPS","FQ4 2024","FQ4 2024","Currency=USD","Period=FQ","BEST_FPERIOD_OVERRIDE=FQ","FILING_STATUS=MR","FA_ADJUSTED=GAAP","Sort=A","Dates=H","DateFormat=P","Fill=—","Direction=H","UseDPDF=Y")</f>
        <v>1.1599999999999999</v>
      </c>
    </row>
    <row r="11" spans="1:27" x14ac:dyDescent="0.25">
      <c r="A11" s="10" t="s">
        <v>105</v>
      </c>
      <c r="B11" s="10" t="s">
        <v>106</v>
      </c>
      <c r="C11" s="13">
        <f>_xll.BDH("AMGN US Equity","IS_AVG_NUM_SH_FOR_EPS","FQ4 2018","FQ4 2018","Currency=USD","Period=FQ","BEST_FPERIOD_OVERRIDE=FQ","FILING_STATUS=MR","Sort=A","Dates=H","DateFormat=P","Fill=—","Direction=H","UseDPDF=Y")</f>
        <v>635</v>
      </c>
      <c r="D11" s="13">
        <f>_xll.BDH("AMGN US Equity","IS_AVG_NUM_SH_FOR_EPS","FQ1 2019","FQ1 2019","Currency=USD","Period=FQ","BEST_FPERIOD_OVERRIDE=FQ","FILING_STATUS=MR","Sort=A","Dates=H","DateFormat=P","Fill=—","Direction=H","UseDPDF=Y")</f>
        <v>622</v>
      </c>
      <c r="E11" s="13">
        <f>_xll.BDH("AMGN US Equity","IS_AVG_NUM_SH_FOR_EPS","FQ2 2019","FQ2 2019","Currency=USD","Period=FQ","BEST_FPERIOD_OVERRIDE=FQ","FILING_STATUS=MR","Sort=A","Dates=H","DateFormat=P","Fill=—","Direction=H","UseDPDF=Y")</f>
        <v>607</v>
      </c>
      <c r="F11" s="13">
        <f>_xll.BDH("AMGN US Equity","IS_AVG_NUM_SH_FOR_EPS","FQ3 2019","FQ3 2019","Currency=USD","Period=FQ","BEST_FPERIOD_OVERRIDE=FQ","FILING_STATUS=MR","Sort=A","Dates=H","DateFormat=P","Fill=—","Direction=H","UseDPDF=Y")</f>
        <v>599</v>
      </c>
      <c r="G11" s="13">
        <f>_xll.BDH("AMGN US Equity","IS_AVG_NUM_SH_FOR_EPS","FQ4 2019","FQ4 2019","Currency=USD","Period=FQ","BEST_FPERIOD_OVERRIDE=FQ","FILING_STATUS=MR","Sort=A","Dates=H","DateFormat=P","Fill=—","Direction=H","UseDPDF=Y")</f>
        <v>593</v>
      </c>
      <c r="H11" s="13">
        <f>_xll.BDH("AMGN US Equity","IS_AVG_NUM_SH_FOR_EPS","FQ1 2020","FQ1 2020","Currency=USD","Period=FQ","BEST_FPERIOD_OVERRIDE=FQ","FILING_STATUS=MR","Sort=A","Dates=H","DateFormat=P","Fill=—","Direction=H","UseDPDF=Y")</f>
        <v>590</v>
      </c>
      <c r="I11" s="13">
        <f>_xll.BDH("AMGN US Equity","IS_AVG_NUM_SH_FOR_EPS","FQ2 2020","FQ2 2020","Currency=USD","Period=FQ","BEST_FPERIOD_OVERRIDE=FQ","FILING_STATUS=MR","Sort=A","Dates=H","DateFormat=P","Fill=—","Direction=H","UseDPDF=Y")</f>
        <v>588</v>
      </c>
      <c r="J11" s="13">
        <f>_xll.BDH("AMGN US Equity","IS_AVG_NUM_SH_FOR_EPS","FQ3 2020","FQ3 2020","Currency=USD","Period=FQ","BEST_FPERIOD_OVERRIDE=FQ","FILING_STATUS=MR","Sort=A","Dates=H","DateFormat=P","Fill=—","Direction=H","UseDPDF=Y")</f>
        <v>585</v>
      </c>
      <c r="K11" s="13">
        <f>_xll.BDH("AMGN US Equity","IS_AVG_NUM_SH_FOR_EPS","FQ4 2020","FQ4 2020","Currency=USD","Period=FQ","BEST_FPERIOD_OVERRIDE=FQ","FILING_STATUS=MR","Sort=A","Dates=H","DateFormat=P","Fill=—","Direction=H","UseDPDF=Y")</f>
        <v>581</v>
      </c>
      <c r="L11" s="13">
        <f>_xll.BDH("AMGN US Equity","IS_AVG_NUM_SH_FOR_EPS","FQ1 2021","FQ1 2021","Currency=USD","Period=FQ","BEST_FPERIOD_OVERRIDE=FQ","FILING_STATUS=MR","Sort=A","Dates=H","DateFormat=P","Fill=—","Direction=H","UseDPDF=Y")</f>
        <v>577</v>
      </c>
      <c r="M11" s="13">
        <f>_xll.BDH("AMGN US Equity","IS_AVG_NUM_SH_FOR_EPS","FQ2 2021","FQ2 2021","Currency=USD","Period=FQ","BEST_FPERIOD_OVERRIDE=FQ","FILING_STATUS=MR","Sort=A","Dates=H","DateFormat=P","Fill=—","Direction=H","UseDPDF=Y")</f>
        <v>573</v>
      </c>
      <c r="N11" s="13">
        <f>_xll.BDH("AMGN US Equity","IS_AVG_NUM_SH_FOR_EPS","FQ3 2021","FQ3 2021","Currency=USD","Period=FQ","BEST_FPERIOD_OVERRIDE=FQ","FILING_STATUS=MR","Sort=A","Dates=H","DateFormat=P","Fill=—","Direction=H","UseDPDF=Y")</f>
        <v>567</v>
      </c>
      <c r="O11" s="13">
        <f>_xll.BDH("AMGN US Equity","IS_AVG_NUM_SH_FOR_EPS","FQ4 2021","FQ4 2021","Currency=USD","Period=FQ","BEST_FPERIOD_OVERRIDE=FQ","FILING_STATUS=MR","Sort=A","Dates=H","DateFormat=P","Fill=—","Direction=H","UseDPDF=Y")</f>
        <v>562</v>
      </c>
      <c r="P11" s="13">
        <f>_xll.BDH("AMGN US Equity","IS_AVG_NUM_SH_FOR_EPS","FQ1 2022","FQ1 2022","Currency=USD","Period=FQ","BEST_FPERIOD_OVERRIDE=FQ","FILING_STATUS=MR","Sort=A","Dates=H","DateFormat=P","Fill=—","Direction=H","UseDPDF=Y")</f>
        <v>548</v>
      </c>
      <c r="Q11" s="13">
        <f>_xll.BDH("AMGN US Equity","IS_AVG_NUM_SH_FOR_EPS","FQ2 2022","FQ2 2022","Currency=USD","Period=FQ","BEST_FPERIOD_OVERRIDE=FQ","FILING_STATUS=MR","Sort=A","Dates=H","DateFormat=P","Fill=—","Direction=H","UseDPDF=Y")</f>
        <v>535</v>
      </c>
      <c r="R11" s="13">
        <f>_xll.BDH("AMGN US Equity","IS_AVG_NUM_SH_FOR_EPS","FQ3 2022","FQ3 2022","Currency=USD","Period=FQ","BEST_FPERIOD_OVERRIDE=FQ","FILING_STATUS=MR","Sort=A","Dates=H","DateFormat=P","Fill=—","Direction=H","UseDPDF=Y")</f>
        <v>535</v>
      </c>
      <c r="S11" s="13">
        <f>_xll.BDH("AMGN US Equity","IS_AVG_NUM_SH_FOR_EPS","FQ4 2022","FQ4 2022","Currency=USD","Period=FQ","BEST_FPERIOD_OVERRIDE=FQ","FILING_STATUS=MR","Sort=A","Dates=H","DateFormat=P","Fill=—","Direction=H","UseDPDF=Y")</f>
        <v>535</v>
      </c>
      <c r="T11" s="13">
        <f>_xll.BDH("AMGN US Equity","IS_AVG_NUM_SH_FOR_EPS","FQ1 2023","FQ1 2023","Currency=USD","Period=FQ","BEST_FPERIOD_OVERRIDE=FQ","FILING_STATUS=MR","Sort=A","Dates=H","DateFormat=P","Fill=—","Direction=H","UseDPDF=Y")</f>
        <v>534</v>
      </c>
      <c r="U11" s="13">
        <f>_xll.BDH("AMGN US Equity","IS_AVG_NUM_SH_FOR_EPS","FQ2 2023","FQ2 2023","Currency=USD","Period=FQ","BEST_FPERIOD_OVERRIDE=FQ","FILING_STATUS=MR","Sort=A","Dates=H","DateFormat=P","Fill=—","Direction=H","UseDPDF=Y")</f>
        <v>535</v>
      </c>
      <c r="V11" s="13">
        <f>_xll.BDH("AMGN US Equity","IS_AVG_NUM_SH_FOR_EPS","FQ3 2023","FQ3 2023","Currency=USD","Period=FQ","BEST_FPERIOD_OVERRIDE=FQ","FILING_STATUS=MR","Sort=A","Dates=H","DateFormat=P","Fill=—","Direction=H","UseDPDF=Y")</f>
        <v>535</v>
      </c>
      <c r="W11" s="13">
        <f>_xll.BDH("AMGN US Equity","IS_AVG_NUM_SH_FOR_EPS","FQ4 2023","FQ4 2023","Currency=USD","Period=FQ","BEST_FPERIOD_OVERRIDE=FQ","FILING_STATUS=MR","Sort=A","Dates=H","DateFormat=P","Fill=—","Direction=H","UseDPDF=Y")</f>
        <v>535</v>
      </c>
      <c r="X11" s="13">
        <f>_xll.BDH("AMGN US Equity","IS_AVG_NUM_SH_FOR_EPS","FQ1 2024","FQ1 2024","Currency=USD","Period=FQ","BEST_FPERIOD_OVERRIDE=FQ","FILING_STATUS=MR","Sort=A","Dates=H","DateFormat=P","Fill=—","Direction=H","UseDPDF=Y")</f>
        <v>536</v>
      </c>
      <c r="Y11" s="13">
        <f>_xll.BDH("AMGN US Equity","IS_AVG_NUM_SH_FOR_EPS","FQ2 2024","FQ2 2024","Currency=USD","Period=FQ","BEST_FPERIOD_OVERRIDE=FQ","FILING_STATUS=MR","Sort=A","Dates=H","DateFormat=P","Fill=—","Direction=H","UseDPDF=Y")</f>
        <v>537</v>
      </c>
      <c r="Z11" s="13">
        <f>_xll.BDH("AMGN US Equity","IS_AVG_NUM_SH_FOR_EPS","FQ3 2024","FQ3 2024","Currency=USD","Period=FQ","BEST_FPERIOD_OVERRIDE=FQ","FILING_STATUS=MR","Sort=A","Dates=H","DateFormat=P","Fill=—","Direction=H","UseDPDF=Y")</f>
        <v>537</v>
      </c>
      <c r="AA11" s="13">
        <f>_xll.BDH("AMGN US Equity","IS_AVG_NUM_SH_FOR_EPS","FQ4 2024","FQ4 2024","Currency=USD","Period=FQ","BEST_FPERIOD_OVERRIDE=FQ","FILING_STATUS=MR","Sort=A","Dates=H","DateFormat=P","Fill=—","Direction=H","UseDPDF=Y")</f>
        <v>537</v>
      </c>
    </row>
    <row r="12" spans="1:27" x14ac:dyDescent="0.25">
      <c r="A12" s="10" t="s">
        <v>107</v>
      </c>
      <c r="B12" s="10" t="s">
        <v>108</v>
      </c>
      <c r="C12" s="13">
        <f>_xll.BDH("AMGN US Equity","IS_SH_FOR_DILUTED_EPS","FQ4 2018","FQ4 2018","Currency=USD","Period=FQ","BEST_FPERIOD_OVERRIDE=FQ","FILING_STATUS=MR","Sort=A","Dates=H","DateFormat=P","Fill=—","Direction=H","UseDPDF=Y")</f>
        <v>640</v>
      </c>
      <c r="D12" s="13">
        <f>_xll.BDH("AMGN US Equity","IS_SH_FOR_DILUTED_EPS","FQ1 2019","FQ1 2019","Currency=USD","Period=FQ","BEST_FPERIOD_OVERRIDE=FQ","FILING_STATUS=MR","Sort=A","Dates=H","DateFormat=P","Fill=—","Direction=H","UseDPDF=Y")</f>
        <v>626</v>
      </c>
      <c r="E12" s="13">
        <f>_xll.BDH("AMGN US Equity","IS_SH_FOR_DILUTED_EPS","FQ2 2019","FQ2 2019","Currency=USD","Period=FQ","BEST_FPERIOD_OVERRIDE=FQ","FILING_STATUS=MR","Sort=A","Dates=H","DateFormat=P","Fill=—","Direction=H","UseDPDF=Y")</f>
        <v>610</v>
      </c>
      <c r="F12" s="13">
        <f>_xll.BDH("AMGN US Equity","IS_SH_FOR_DILUTED_EPS","FQ3 2019","FQ3 2019","Currency=USD","Period=FQ","BEST_FPERIOD_OVERRIDE=FQ","FILING_STATUS=MR","Sort=A","Dates=H","DateFormat=P","Fill=—","Direction=H","UseDPDF=Y")</f>
        <v>602</v>
      </c>
      <c r="G12" s="13">
        <f>_xll.BDH("AMGN US Equity","IS_SH_FOR_DILUTED_EPS","FQ4 2019","FQ4 2019","Currency=USD","Period=FQ","BEST_FPERIOD_OVERRIDE=FQ","FILING_STATUS=MR","Sort=A","Dates=H","DateFormat=P","Fill=—","Direction=H","UseDPDF=Y")</f>
        <v>598</v>
      </c>
      <c r="H12" s="13">
        <f>_xll.BDH("AMGN US Equity","IS_SH_FOR_DILUTED_EPS","FQ1 2020","FQ1 2020","Currency=USD","Period=FQ","BEST_FPERIOD_OVERRIDE=FQ","FILING_STATUS=MR","Sort=A","Dates=H","DateFormat=P","Fill=—","Direction=H","UseDPDF=Y")</f>
        <v>594</v>
      </c>
      <c r="I12" s="13">
        <f>_xll.BDH("AMGN US Equity","IS_SH_FOR_DILUTED_EPS","FQ2 2020","FQ2 2020","Currency=USD","Period=FQ","BEST_FPERIOD_OVERRIDE=FQ","FILING_STATUS=MR","Sort=A","Dates=H","DateFormat=P","Fill=—","Direction=H","UseDPDF=Y")</f>
        <v>592</v>
      </c>
      <c r="J12" s="13">
        <f>_xll.BDH("AMGN US Equity","IS_SH_FOR_DILUTED_EPS","FQ3 2020","FQ3 2020","Currency=USD","Period=FQ","BEST_FPERIOD_OVERRIDE=FQ","FILING_STATUS=MR","Sort=A","Dates=H","DateFormat=P","Fill=—","Direction=H","UseDPDF=Y")</f>
        <v>589</v>
      </c>
      <c r="K12" s="13">
        <f>_xll.BDH("AMGN US Equity","IS_SH_FOR_DILUTED_EPS","FQ4 2020","FQ4 2020","Currency=USD","Period=FQ","BEST_FPERIOD_OVERRIDE=FQ","FILING_STATUS=MR","Sort=A","Dates=H","DateFormat=P","Fill=—","Direction=H","UseDPDF=Y")</f>
        <v>585</v>
      </c>
      <c r="L12" s="13">
        <f>_xll.BDH("AMGN US Equity","IS_SH_FOR_DILUTED_EPS","FQ1 2021","FQ1 2021","Currency=USD","Period=FQ","BEST_FPERIOD_OVERRIDE=FQ","FILING_STATUS=MR","Sort=A","Dates=H","DateFormat=P","Fill=—","Direction=H","UseDPDF=Y")</f>
        <v>581</v>
      </c>
      <c r="M12" s="13">
        <f>_xll.BDH("AMGN US Equity","IS_SH_FOR_DILUTED_EPS","FQ2 2021","FQ2 2021","Currency=USD","Period=FQ","BEST_FPERIOD_OVERRIDE=FQ","FILING_STATUS=MR","Sort=A","Dates=H","DateFormat=P","Fill=—","Direction=H","UseDPDF=Y")</f>
        <v>576</v>
      </c>
      <c r="N12" s="13">
        <f>_xll.BDH("AMGN US Equity","IS_SH_FOR_DILUTED_EPS","FQ3 2021","FQ3 2021","Currency=USD","Period=FQ","BEST_FPERIOD_OVERRIDE=FQ","FILING_STATUS=MR","Sort=A","Dates=H","DateFormat=P","Fill=—","Direction=H","UseDPDF=Y")</f>
        <v>570</v>
      </c>
      <c r="O12" s="13">
        <f>_xll.BDH("AMGN US Equity","IS_SH_FOR_DILUTED_EPS","FQ4 2021","FQ4 2021","Currency=USD","Period=FQ","BEST_FPERIOD_OVERRIDE=FQ","FILING_STATUS=MR","Sort=A","Dates=H","DateFormat=P","Fill=—","Direction=H","UseDPDF=Y")</f>
        <v>565</v>
      </c>
      <c r="P12" s="13">
        <f>_xll.BDH("AMGN US Equity","IS_SH_FOR_DILUTED_EPS","FQ1 2022","FQ1 2022","Currency=USD","Period=FQ","BEST_FPERIOD_OVERRIDE=FQ","FILING_STATUS=MR","Sort=A","Dates=H","DateFormat=P","Fill=—","Direction=H","UseDPDF=Y")</f>
        <v>551</v>
      </c>
      <c r="Q12" s="13">
        <f>_xll.BDH("AMGN US Equity","IS_SH_FOR_DILUTED_EPS","FQ2 2022","FQ2 2022","Currency=USD","Period=FQ","BEST_FPERIOD_OVERRIDE=FQ","FILING_STATUS=MR","Sort=A","Dates=H","DateFormat=P","Fill=—","Direction=H","UseDPDF=Y")</f>
        <v>537</v>
      </c>
      <c r="R12" s="13">
        <f>_xll.BDH("AMGN US Equity","IS_SH_FOR_DILUTED_EPS","FQ3 2022","FQ3 2022","Currency=USD","Period=FQ","BEST_FPERIOD_OVERRIDE=FQ","FILING_STATUS=MR","Sort=A","Dates=H","DateFormat=P","Fill=—","Direction=H","UseDPDF=Y")</f>
        <v>538</v>
      </c>
      <c r="S12" s="13">
        <f>_xll.BDH("AMGN US Equity","IS_SH_FOR_DILUTED_EPS","FQ4 2022","FQ4 2022","Currency=USD","Period=FQ","BEST_FPERIOD_OVERRIDE=FQ","FILING_STATUS=MR","Sort=A","Dates=H","DateFormat=P","Fill=—","Direction=H","UseDPDF=Y")</f>
        <v>539</v>
      </c>
      <c r="T12" s="13">
        <f>_xll.BDH("AMGN US Equity","IS_SH_FOR_DILUTED_EPS","FQ1 2023","FQ1 2023","Currency=USD","Period=FQ","BEST_FPERIOD_OVERRIDE=FQ","FILING_STATUS=MR","Sort=A","Dates=H","DateFormat=P","Fill=—","Direction=H","UseDPDF=Y")</f>
        <v>538</v>
      </c>
      <c r="U12" s="13">
        <f>_xll.BDH("AMGN US Equity","IS_SH_FOR_DILUTED_EPS","FQ2 2023","FQ2 2023","Currency=USD","Period=FQ","BEST_FPERIOD_OVERRIDE=FQ","FILING_STATUS=MR","Sort=A","Dates=H","DateFormat=P","Fill=—","Direction=H","UseDPDF=Y")</f>
        <v>537</v>
      </c>
      <c r="V12" s="13">
        <f>_xll.BDH("AMGN US Equity","IS_SH_FOR_DILUTED_EPS","FQ3 2023","FQ3 2023","Currency=USD","Period=FQ","BEST_FPERIOD_OVERRIDE=FQ","FILING_STATUS=MR","Sort=A","Dates=H","DateFormat=P","Fill=—","Direction=H","UseDPDF=Y")</f>
        <v>538</v>
      </c>
      <c r="W12" s="13">
        <f>_xll.BDH("AMGN US Equity","IS_SH_FOR_DILUTED_EPS","FQ4 2023","FQ4 2023","Currency=USD","Period=FQ","BEST_FPERIOD_OVERRIDE=FQ","FILING_STATUS=MR","Sort=A","Dates=H","DateFormat=P","Fill=—","Direction=H","UseDPDF=Y")</f>
        <v>540</v>
      </c>
      <c r="X12" s="13">
        <f>_xll.BDH("AMGN US Equity","IS_SH_FOR_DILUTED_EPS","FQ1 2024","FQ1 2024","Currency=USD","Period=FQ","BEST_FPERIOD_OVERRIDE=FQ","FILING_STATUS=MR","Sort=A","Dates=H","DateFormat=P","Fill=—","Direction=H","UseDPDF=Y")</f>
        <v>536</v>
      </c>
      <c r="Y12" s="13">
        <f>_xll.BDH("AMGN US Equity","IS_SH_FOR_DILUTED_EPS","FQ2 2024","FQ2 2024","Currency=USD","Period=FQ","BEST_FPERIOD_OVERRIDE=FQ","FILING_STATUS=MR","Sort=A","Dates=H","DateFormat=P","Fill=—","Direction=H","UseDPDF=Y")</f>
        <v>541</v>
      </c>
      <c r="Z12" s="13">
        <f>_xll.BDH("AMGN US Equity","IS_SH_FOR_DILUTED_EPS","FQ3 2024","FQ3 2024","Currency=USD","Period=FQ","BEST_FPERIOD_OVERRIDE=FQ","FILING_STATUS=MR","Sort=A","Dates=H","DateFormat=P","Fill=—","Direction=H","UseDPDF=Y")</f>
        <v>542</v>
      </c>
      <c r="AA12" s="13">
        <f>_xll.BDH("AMGN US Equity","IS_SH_FOR_DILUTED_EPS","FQ4 2024","FQ4 2024","Currency=USD","Period=FQ","BEST_FPERIOD_OVERRIDE=FQ","FILING_STATUS=MR","Sort=A","Dates=H","DateFormat=P","Fill=—","Direction=H","UseDPDF=Y")</f>
        <v>542</v>
      </c>
    </row>
    <row r="13" spans="1:27" x14ac:dyDescent="0.25">
      <c r="A13" s="10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5">
      <c r="A14" s="10" t="s">
        <v>109</v>
      </c>
      <c r="B14" s="10" t="s">
        <v>63</v>
      </c>
      <c r="C14" s="13">
        <f>_xll.BDH("AMGN US Equity","CASH_AND_MARKETABLE_SECURITIES","FQ4 2018","FQ4 2018","Currency=USD","Period=FQ","BEST_FPERIOD_OVERRIDE=FQ","FILING_STATUS=MR","SCALING_FORMAT=MLN","Sort=A","Dates=H","DateFormat=P","Fill=—","Direction=H","UseDPDF=Y")</f>
        <v>29304</v>
      </c>
      <c r="D14" s="13">
        <f>_xll.BDH("AMGN US Equity","CASH_AND_MARKETABLE_SECURITIES","FQ1 2019","FQ1 2019","Currency=USD","Period=FQ","BEST_FPERIOD_OVERRIDE=FQ","FILING_STATUS=MR","SCALING_FORMAT=MLN","Sort=A","Dates=H","DateFormat=P","Fill=—","Direction=H","UseDPDF=Y")</f>
        <v>26301</v>
      </c>
      <c r="E14" s="13">
        <f>_xll.BDH("AMGN US Equity","CASH_AND_MARKETABLE_SECURITIES","FQ2 2019","FQ2 2019","Currency=USD","Period=FQ","BEST_FPERIOD_OVERRIDE=FQ","FILING_STATUS=MR","SCALING_FORMAT=MLN","Sort=A","Dates=H","DateFormat=P","Fill=—","Direction=H","UseDPDF=Y")</f>
        <v>21758</v>
      </c>
      <c r="F14" s="13">
        <f>_xll.BDH("AMGN US Equity","CASH_AND_MARKETABLE_SECURITIES","FQ3 2019","FQ3 2019","Currency=USD","Period=FQ","BEST_FPERIOD_OVERRIDE=FQ","FILING_STATUS=MR","SCALING_FORMAT=MLN","Sort=A","Dates=H","DateFormat=P","Fill=—","Direction=H","UseDPDF=Y")</f>
        <v>20853</v>
      </c>
      <c r="G14" s="13">
        <f>_xll.BDH("AMGN US Equity","CASH_AND_MARKETABLE_SECURITIES","FQ4 2019","FQ4 2019","Currency=USD","Period=FQ","BEST_FPERIOD_OVERRIDE=FQ","FILING_STATUS=MR","SCALING_FORMAT=MLN","Sort=A","Dates=H","DateFormat=P","Fill=—","Direction=H","UseDPDF=Y")</f>
        <v>8911</v>
      </c>
      <c r="H14" s="13">
        <f>_xll.BDH("AMGN US Equity","CASH_AND_MARKETABLE_SECURITIES","FQ1 2020","FQ1 2020","Currency=USD","Period=FQ","BEST_FPERIOD_OVERRIDE=FQ","FILING_STATUS=MR","SCALING_FORMAT=MLN","Sort=A","Dates=H","DateFormat=P","Fill=—","Direction=H","UseDPDF=Y")</f>
        <v>8012</v>
      </c>
      <c r="I14" s="13">
        <f>_xll.BDH("AMGN US Equity","CASH_AND_MARKETABLE_SECURITIES","FQ2 2020","FQ2 2020","Currency=USD","Period=FQ","BEST_FPERIOD_OVERRIDE=FQ","FILING_STATUS=MR","SCALING_FORMAT=MLN","Sort=A","Dates=H","DateFormat=P","Fill=—","Direction=H","UseDPDF=Y")</f>
        <v>11421</v>
      </c>
      <c r="J14" s="13">
        <f>_xll.BDH("AMGN US Equity","CASH_AND_MARKETABLE_SECURITIES","FQ3 2020","FQ3 2020","Currency=USD","Period=FQ","BEST_FPERIOD_OVERRIDE=FQ","FILING_STATUS=MR","SCALING_FORMAT=MLN","Sort=A","Dates=H","DateFormat=P","Fill=—","Direction=H","UseDPDF=Y")</f>
        <v>12360</v>
      </c>
      <c r="K14" s="13">
        <f>_xll.BDH("AMGN US Equity","CASH_AND_MARKETABLE_SECURITIES","FQ4 2020","FQ4 2020","Currency=USD","Period=FQ","BEST_FPERIOD_OVERRIDE=FQ","FILING_STATUS=MR","SCALING_FORMAT=MLN","Sort=A","Dates=H","DateFormat=P","Fill=—","Direction=H","UseDPDF=Y")</f>
        <v>10647</v>
      </c>
      <c r="L14" s="13">
        <f>_xll.BDH("AMGN US Equity","CASH_AND_MARKETABLE_SECURITIES","FQ1 2021","FQ1 2021","Currency=USD","Period=FQ","BEST_FPERIOD_OVERRIDE=FQ","FILING_STATUS=MR","SCALING_FORMAT=MLN","Sort=A","Dates=H","DateFormat=P","Fill=—","Direction=H","UseDPDF=Y")</f>
        <v>10566</v>
      </c>
      <c r="M14" s="13">
        <f>_xll.BDH("AMGN US Equity","CASH_AND_MARKETABLE_SECURITIES","FQ2 2021","FQ2 2021","Currency=USD","Period=FQ","BEST_FPERIOD_OVERRIDE=FQ","FILING_STATUS=MR","SCALING_FORMAT=MLN","Sort=A","Dates=H","DateFormat=P","Fill=—","Direction=H","UseDPDF=Y")</f>
        <v>8082</v>
      </c>
      <c r="N14" s="13">
        <f>_xll.BDH("AMGN US Equity","CASH_AND_MARKETABLE_SECURITIES","FQ3 2021","FQ3 2021","Currency=USD","Period=FQ","BEST_FPERIOD_OVERRIDE=FQ","FILING_STATUS=MR","SCALING_FORMAT=MLN","Sort=A","Dates=H","DateFormat=P","Fill=—","Direction=H","UseDPDF=Y")</f>
        <v>12921</v>
      </c>
      <c r="O14" s="13">
        <f>_xll.BDH("AMGN US Equity","CASH_AND_MARKETABLE_SECURITIES","FQ4 2021","FQ4 2021","Currency=USD","Period=FQ","BEST_FPERIOD_OVERRIDE=FQ","FILING_STATUS=MR","SCALING_FORMAT=MLN","Sort=A","Dates=H","DateFormat=P","Fill=—","Direction=H","UseDPDF=Y")</f>
        <v>8037</v>
      </c>
      <c r="P14" s="13">
        <f>_xll.BDH("AMGN US Equity","CASH_AND_MARKETABLE_SECURITIES","FQ1 2022","FQ1 2022","Currency=USD","Period=FQ","BEST_FPERIOD_OVERRIDE=FQ","FILING_STATUS=MR","SCALING_FORMAT=MLN","Sort=A","Dates=H","DateFormat=P","Fill=—","Direction=H","UseDPDF=Y")</f>
        <v>6544</v>
      </c>
      <c r="Q14" s="13">
        <f>_xll.BDH("AMGN US Equity","CASH_AND_MARKETABLE_SECURITIES","FQ2 2022","FQ2 2022","Currency=USD","Period=FQ","BEST_FPERIOD_OVERRIDE=FQ","FILING_STATUS=MR","SCALING_FORMAT=MLN","Sort=A","Dates=H","DateFormat=P","Fill=—","Direction=H","UseDPDF=Y")</f>
        <v>7183</v>
      </c>
      <c r="R14" s="13">
        <f>_xll.BDH("AMGN US Equity","CASH_AND_MARKETABLE_SECURITIES","FQ3 2022","FQ3 2022","Currency=USD","Period=FQ","BEST_FPERIOD_OVERRIDE=FQ","FILING_STATUS=MR","SCALING_FORMAT=MLN","Sort=A","Dates=H","DateFormat=P","Fill=—","Direction=H","UseDPDF=Y")</f>
        <v>11478</v>
      </c>
      <c r="S14" s="13">
        <f>_xll.BDH("AMGN US Equity","CASH_AND_MARKETABLE_SECURITIES","FQ4 2022","FQ4 2022","Currency=USD","Period=FQ","BEST_FPERIOD_OVERRIDE=FQ","FILING_STATUS=MR","SCALING_FORMAT=MLN","Sort=A","Dates=H","DateFormat=P","Fill=—","Direction=H","UseDPDF=Y")</f>
        <v>9305</v>
      </c>
      <c r="T14" s="13">
        <f>_xll.BDH("AMGN US Equity","CASH_AND_MARKETABLE_SECURITIES","FQ1 2023","FQ1 2023","Currency=USD","Period=FQ","BEST_FPERIOD_OVERRIDE=FQ","FILING_STATUS=MR","SCALING_FORMAT=MLN","Sort=A","Dates=H","DateFormat=P","Fill=—","Direction=H","UseDPDF=Y")</f>
        <v>31561</v>
      </c>
      <c r="U14" s="13">
        <f>_xll.BDH("AMGN US Equity","CASH_AND_MARKETABLE_SECURITIES","FQ2 2023","FQ2 2023","Currency=USD","Period=FQ","BEST_FPERIOD_OVERRIDE=FQ","FILING_STATUS=MR","SCALING_FORMAT=MLN","Sort=A","Dates=H","DateFormat=P","Fill=—","Direction=H","UseDPDF=Y")</f>
        <v>34248</v>
      </c>
      <c r="V14" s="13">
        <f>_xll.BDH("AMGN US Equity","CASH_AND_MARKETABLE_SECURITIES","FQ3 2023","FQ3 2023","Currency=USD","Period=FQ","BEST_FPERIOD_OVERRIDE=FQ","FILING_STATUS=MR","SCALING_FORMAT=MLN","Sort=A","Dates=H","DateFormat=P","Fill=—","Direction=H","UseDPDF=Y")</f>
        <v>34741</v>
      </c>
      <c r="W14" s="13">
        <f>_xll.BDH("AMGN US Equity","CASH_AND_MARKETABLE_SECURITIES","FQ4 2023","FQ4 2023","Currency=USD","Period=FQ","BEST_FPERIOD_OVERRIDE=FQ","FILING_STATUS=MR","SCALING_FORMAT=MLN","Sort=A","Dates=H","DateFormat=P","Fill=—","Direction=H","UseDPDF=Y")</f>
        <v>10944</v>
      </c>
      <c r="X14" s="13">
        <f>_xll.BDH("AMGN US Equity","CASH_AND_MARKETABLE_SECURITIES","FQ1 2024","FQ1 2024","Currency=USD","Period=FQ","BEST_FPERIOD_OVERRIDE=FQ","FILING_STATUS=MR","SCALING_FORMAT=MLN","Sort=A","Dates=H","DateFormat=P","Fill=—","Direction=H","UseDPDF=Y")</f>
        <v>9708</v>
      </c>
      <c r="Y14" s="13">
        <f>_xll.BDH("AMGN US Equity","CASH_AND_MARKETABLE_SECURITIES","FQ2 2024","FQ2 2024","Currency=USD","Period=FQ","BEST_FPERIOD_OVERRIDE=FQ","FILING_STATUS=MR","SCALING_FORMAT=MLN","Sort=A","Dates=H","DateFormat=P","Fill=—","Direction=H","UseDPDF=Y")</f>
        <v>9301</v>
      </c>
      <c r="Z14" s="13">
        <f>_xll.BDH("AMGN US Equity","CASH_AND_MARKETABLE_SECURITIES","FQ3 2024","FQ3 2024","Currency=USD","Period=FQ","BEST_FPERIOD_OVERRIDE=FQ","FILING_STATUS=MR","SCALING_FORMAT=MLN","Sort=A","Dates=H","DateFormat=P","Fill=—","Direction=H","UseDPDF=Y")</f>
        <v>9011</v>
      </c>
      <c r="AA14" s="13">
        <f>_xll.BDH("AMGN US Equity","CASH_AND_MARKETABLE_SECURITIES","FQ4 2024","FQ4 2024","Currency=USD","Period=FQ","BEST_FPERIOD_OVERRIDE=FQ","FILING_STATUS=MR","SCALING_FORMAT=MLN","Sort=A","Dates=H","DateFormat=P","Fill=—","Direction=H","UseDPDF=Y")</f>
        <v>11973</v>
      </c>
    </row>
    <row r="15" spans="1:27" x14ac:dyDescent="0.25">
      <c r="A15" s="10" t="s">
        <v>110</v>
      </c>
      <c r="B15" s="10" t="s">
        <v>111</v>
      </c>
      <c r="C15" s="13">
        <f>_xll.BDH("AMGN US Equity","BS_CUR_ASSET_REPORT","FQ4 2018","FQ4 2018","Currency=USD","Period=FQ","BEST_FPERIOD_OVERRIDE=FQ","FILING_STATUS=MR","SCALING_FORMAT=MLN","Sort=A","Dates=H","DateFormat=P","Fill=—","Direction=H","UseDPDF=Y")</f>
        <v>37618</v>
      </c>
      <c r="D15" s="13">
        <f>_xll.BDH("AMGN US Equity","BS_CUR_ASSET_REPORT","FQ1 2019","FQ1 2019","Currency=USD","Period=FQ","BEST_FPERIOD_OVERRIDE=FQ","FILING_STATUS=MR","SCALING_FORMAT=MLN","Sort=A","Dates=H","DateFormat=P","Fill=—","Direction=H","UseDPDF=Y")</f>
        <v>35151</v>
      </c>
      <c r="E15" s="13">
        <f>_xll.BDH("AMGN US Equity","BS_CUR_ASSET_REPORT","FQ2 2019","FQ2 2019","Currency=USD","Period=FQ","BEST_FPERIOD_OVERRIDE=FQ","FILING_STATUS=MR","SCALING_FORMAT=MLN","Sort=A","Dates=H","DateFormat=P","Fill=—","Direction=H","UseDPDF=Y")</f>
        <v>30746</v>
      </c>
      <c r="F15" s="13">
        <f>_xll.BDH("AMGN US Equity","BS_CUR_ASSET_REPORT","FQ3 2019","FQ3 2019","Currency=USD","Period=FQ","BEST_FPERIOD_OVERRIDE=FQ","FILING_STATUS=MR","SCALING_FORMAT=MLN","Sort=A","Dates=H","DateFormat=P","Fill=—","Direction=H","UseDPDF=Y")</f>
        <v>31051</v>
      </c>
      <c r="G15" s="13">
        <f>_xll.BDH("AMGN US Equity","BS_CUR_ASSET_REPORT","FQ4 2019","FQ4 2019","Currency=USD","Period=FQ","BEST_FPERIOD_OVERRIDE=FQ","FILING_STATUS=MR","SCALING_FORMAT=MLN","Sort=A","Dates=H","DateFormat=P","Fill=—","Direction=H","UseDPDF=Y")</f>
        <v>18440</v>
      </c>
      <c r="H15" s="13">
        <f>_xll.BDH("AMGN US Equity","BS_CUR_ASSET_REPORT","FQ1 2020","FQ1 2020","Currency=USD","Period=FQ","BEST_FPERIOD_OVERRIDE=FQ","FILING_STATUS=MR","SCALING_FORMAT=MLN","Sort=A","Dates=H","DateFormat=P","Fill=—","Direction=H","UseDPDF=Y")</f>
        <v>18813</v>
      </c>
      <c r="I15" s="13">
        <f>_xll.BDH("AMGN US Equity","BS_CUR_ASSET_REPORT","FQ2 2020","FQ2 2020","Currency=USD","Period=FQ","BEST_FPERIOD_OVERRIDE=FQ","FILING_STATUS=MR","SCALING_FORMAT=MLN","Sort=A","Dates=H","DateFormat=P","Fill=—","Direction=H","UseDPDF=Y")</f>
        <v>22895</v>
      </c>
      <c r="J15" s="13">
        <f>_xll.BDH("AMGN US Equity","BS_CUR_ASSET_REPORT","FQ3 2020","FQ3 2020","Currency=USD","Period=FQ","BEST_FPERIOD_OVERRIDE=FQ","FILING_STATUS=MR","SCALING_FORMAT=MLN","Sort=A","Dates=H","DateFormat=P","Fill=—","Direction=H","UseDPDF=Y")</f>
        <v>22661</v>
      </c>
      <c r="K15" s="13">
        <f>_xll.BDH("AMGN US Equity","BS_CUR_ASSET_REPORT","FQ4 2020","FQ4 2020","Currency=USD","Period=FQ","BEST_FPERIOD_OVERRIDE=FQ","FILING_STATUS=MR","SCALING_FORMAT=MLN","Sort=A","Dates=H","DateFormat=P","Fill=—","Direction=H","UseDPDF=Y")</f>
        <v>21144</v>
      </c>
      <c r="L15" s="13">
        <f>_xll.BDH("AMGN US Equity","BS_CUR_ASSET_REPORT","FQ1 2021","FQ1 2021","Currency=USD","Period=FQ","BEST_FPERIOD_OVERRIDE=FQ","FILING_STATUS=MR","SCALING_FORMAT=MLN","Sort=A","Dates=H","DateFormat=P","Fill=—","Direction=H","UseDPDF=Y")</f>
        <v>21299</v>
      </c>
      <c r="M15" s="13">
        <f>_xll.BDH("AMGN US Equity","BS_CUR_ASSET_REPORT","FQ2 2021","FQ2 2021","Currency=USD","Period=FQ","BEST_FPERIOD_OVERRIDE=FQ","FILING_STATUS=MR","SCALING_FORMAT=MLN","Sort=A","Dates=H","DateFormat=P","Fill=—","Direction=H","UseDPDF=Y")</f>
        <v>19099</v>
      </c>
      <c r="N15" s="13">
        <f>_xll.BDH("AMGN US Equity","BS_CUR_ASSET_REPORT","FQ3 2021","FQ3 2021","Currency=USD","Period=FQ","BEST_FPERIOD_OVERRIDE=FQ","FILING_STATUS=MR","SCALING_FORMAT=MLN","Sort=A","Dates=H","DateFormat=P","Fill=—","Direction=H","UseDPDF=Y")</f>
        <v>24380</v>
      </c>
      <c r="O15" s="13">
        <f>_xll.BDH("AMGN US Equity","BS_CUR_ASSET_REPORT","FQ4 2021","FQ4 2021","Currency=USD","Period=FQ","BEST_FPERIOD_OVERRIDE=FQ","FILING_STATUS=MR","SCALING_FORMAT=MLN","Sort=A","Dates=H","DateFormat=P","Fill=—","Direction=H","UseDPDF=Y")</f>
        <v>19385</v>
      </c>
      <c r="P15" s="13">
        <f>_xll.BDH("AMGN US Equity","BS_CUR_ASSET_REPORT","FQ1 2022","FQ1 2022","Currency=USD","Period=FQ","BEST_FPERIOD_OVERRIDE=FQ","FILING_STATUS=MR","SCALING_FORMAT=MLN","Sort=A","Dates=H","DateFormat=P","Fill=—","Direction=H","UseDPDF=Y")</f>
        <v>18520</v>
      </c>
      <c r="Q15" s="13">
        <f>_xll.BDH("AMGN US Equity","BS_CUR_ASSET_REPORT","FQ2 2022","FQ2 2022","Currency=USD","Period=FQ","BEST_FPERIOD_OVERRIDE=FQ","FILING_STATUS=MR","SCALING_FORMAT=MLN","Sort=A","Dates=H","DateFormat=P","Fill=—","Direction=H","UseDPDF=Y")</f>
        <v>19322</v>
      </c>
      <c r="R15" s="13">
        <f>_xll.BDH("AMGN US Equity","BS_CUR_ASSET_REPORT","FQ3 2022","FQ3 2022","Currency=USD","Period=FQ","BEST_FPERIOD_OVERRIDE=FQ","FILING_STATUS=MR","SCALING_FORMAT=MLN","Sort=A","Dates=H","DateFormat=P","Fill=—","Direction=H","UseDPDF=Y")</f>
        <v>24062</v>
      </c>
      <c r="S15" s="13">
        <f>_xll.BDH("AMGN US Equity","BS_CUR_ASSET_REPORT","FQ4 2022","FQ4 2022","Currency=USD","Period=FQ","BEST_FPERIOD_OVERRIDE=FQ","FILING_STATUS=MR","SCALING_FORMAT=MLN","Sort=A","Dates=H","DateFormat=P","Fill=—","Direction=H","UseDPDF=Y")</f>
        <v>22186</v>
      </c>
      <c r="T15" s="13">
        <f>_xll.BDH("AMGN US Equity","BS_CUR_ASSET_REPORT","FQ1 2023","FQ1 2023","Currency=USD","Period=FQ","BEST_FPERIOD_OVERRIDE=FQ","FILING_STATUS=MR","SCALING_FORMAT=MLN","Sort=A","Dates=H","DateFormat=P","Fill=—","Direction=H","UseDPDF=Y")</f>
        <v>44703</v>
      </c>
      <c r="U15" s="13">
        <f>_xll.BDH("AMGN US Equity","BS_CUR_ASSET_REPORT","FQ2 2023","FQ2 2023","Currency=USD","Period=FQ","BEST_FPERIOD_OVERRIDE=FQ","FILING_STATUS=MR","SCALING_FORMAT=MLN","Sort=A","Dates=H","DateFormat=P","Fill=—","Direction=H","UseDPDF=Y")</f>
        <v>47380</v>
      </c>
      <c r="V15" s="13">
        <f>_xll.BDH("AMGN US Equity","BS_CUR_ASSET_REPORT","FQ3 2023","FQ3 2023","Currency=USD","Period=FQ","BEST_FPERIOD_OVERRIDE=FQ","FILING_STATUS=MR","SCALING_FORMAT=MLN","Sort=A","Dates=H","DateFormat=P","Fill=—","Direction=H","UseDPDF=Y")</f>
        <v>48477</v>
      </c>
      <c r="W15" s="13">
        <f>_xll.BDH("AMGN US Equity","BS_CUR_ASSET_REPORT","FQ4 2023","FQ4 2023","Currency=USD","Period=FQ","BEST_FPERIOD_OVERRIDE=FQ","FILING_STATUS=MR","SCALING_FORMAT=MLN","Sort=A","Dates=H","DateFormat=P","Fill=—","Direction=H","UseDPDF=Y")</f>
        <v>30332</v>
      </c>
      <c r="X15" s="13">
        <f>_xll.BDH("AMGN US Equity","BS_CUR_ASSET_REPORT","FQ1 2024","FQ1 2024","Currency=USD","Period=FQ","BEST_FPERIOD_OVERRIDE=FQ","FILING_STATUS=MR","SCALING_FORMAT=MLN","Sort=A","Dates=H","DateFormat=P","Fill=—","Direction=H","UseDPDF=Y")</f>
        <v>28029</v>
      </c>
      <c r="Y15" s="13">
        <f>_xll.BDH("AMGN US Equity","BS_CUR_ASSET_REPORT","FQ2 2024","FQ2 2024","Currency=USD","Period=FQ","BEST_FPERIOD_OVERRIDE=FQ","FILING_STATUS=MR","SCALING_FORMAT=MLN","Sort=A","Dates=H","DateFormat=P","Fill=—","Direction=H","UseDPDF=Y")</f>
        <v>27206</v>
      </c>
      <c r="Z15" s="13">
        <f>_xll.BDH("AMGN US Equity","BS_CUR_ASSET_REPORT","FQ3 2024","FQ3 2024","Currency=USD","Period=FQ","BEST_FPERIOD_OVERRIDE=FQ","FILING_STATUS=MR","SCALING_FORMAT=MLN","Sort=A","Dates=H","DateFormat=P","Fill=—","Direction=H","UseDPDF=Y")</f>
        <v>26766</v>
      </c>
      <c r="AA15" s="13">
        <f>_xll.BDH("AMGN US Equity","BS_CUR_ASSET_REPORT","FQ4 2024","FQ4 2024","Currency=USD","Period=FQ","BEST_FPERIOD_OVERRIDE=FQ","FILING_STATUS=MR","SCALING_FORMAT=MLN","Sort=A","Dates=H","DateFormat=P","Fill=—","Direction=H","UseDPDF=Y")</f>
        <v>29030</v>
      </c>
    </row>
    <row r="16" spans="1:27" x14ac:dyDescent="0.25">
      <c r="A16" s="10" t="s">
        <v>112</v>
      </c>
      <c r="B16" s="10" t="s">
        <v>113</v>
      </c>
      <c r="C16" s="13">
        <f>_xll.BDH("AMGN US Equity","BS_TOT_ASSET","FQ4 2018","FQ4 2018","Currency=USD","Period=FQ","BEST_FPERIOD_OVERRIDE=FQ","FILING_STATUS=MR","SCALING_FORMAT=MLN","Sort=A","Dates=H","DateFormat=P","Fill=—","Direction=H","UseDPDF=Y")</f>
        <v>66416</v>
      </c>
      <c r="D16" s="13">
        <f>_xll.BDH("AMGN US Equity","BS_TOT_ASSET","FQ1 2019","FQ1 2019","Currency=USD","Period=FQ","BEST_FPERIOD_OVERRIDE=FQ","FILING_STATUS=MR","SCALING_FORMAT=MLN","Sort=A","Dates=H","DateFormat=P","Fill=—","Direction=H","UseDPDF=Y")</f>
        <v>63997</v>
      </c>
      <c r="E16" s="13">
        <f>_xll.BDH("AMGN US Equity","BS_TOT_ASSET","FQ2 2019","FQ2 2019","Currency=USD","Period=FQ","BEST_FPERIOD_OVERRIDE=FQ","FILING_STATUS=MR","SCALING_FORMAT=MLN","Sort=A","Dates=H","DateFormat=P","Fill=—","Direction=H","UseDPDF=Y")</f>
        <v>59373</v>
      </c>
      <c r="F16" s="13">
        <f>_xll.BDH("AMGN US Equity","BS_TOT_ASSET","FQ3 2019","FQ3 2019","Currency=USD","Period=FQ","BEST_FPERIOD_OVERRIDE=FQ","FILING_STATUS=MR","SCALING_FORMAT=MLN","Sort=A","Dates=H","DateFormat=P","Fill=—","Direction=H","UseDPDF=Y")</f>
        <v>59535</v>
      </c>
      <c r="G16" s="13">
        <f>_xll.BDH("AMGN US Equity","BS_TOT_ASSET","FQ4 2019","FQ4 2019","Currency=USD","Period=FQ","BEST_FPERIOD_OVERRIDE=FQ","FILING_STATUS=MR","SCALING_FORMAT=MLN","Sort=A","Dates=H","DateFormat=P","Fill=—","Direction=H","UseDPDF=Y")</f>
        <v>59707</v>
      </c>
      <c r="H16" s="13">
        <f>_xll.BDH("AMGN US Equity","BS_TOT_ASSET","FQ1 2020","FQ1 2020","Currency=USD","Period=FQ","BEST_FPERIOD_OVERRIDE=FQ","FILING_STATUS=MR","SCALING_FORMAT=MLN","Sort=A","Dates=H","DateFormat=P","Fill=—","Direction=H","UseDPDF=Y")</f>
        <v>61669</v>
      </c>
      <c r="I16" s="13">
        <f>_xll.BDH("AMGN US Equity","BS_TOT_ASSET","FQ2 2020","FQ2 2020","Currency=USD","Period=FQ","BEST_FPERIOD_OVERRIDE=FQ","FILING_STATUS=MR","SCALING_FORMAT=MLN","Sort=A","Dates=H","DateFormat=P","Fill=—","Direction=H","UseDPDF=Y")</f>
        <v>65011</v>
      </c>
      <c r="J16" s="13">
        <f>_xll.BDH("AMGN US Equity","BS_TOT_ASSET","FQ3 2020","FQ3 2020","Currency=USD","Period=FQ","BEST_FPERIOD_OVERRIDE=FQ","FILING_STATUS=MR","SCALING_FORMAT=MLN","Sort=A","Dates=H","DateFormat=P","Fill=—","Direction=H","UseDPDF=Y")</f>
        <v>64637</v>
      </c>
      <c r="K16" s="13">
        <f>_xll.BDH("AMGN US Equity","BS_TOT_ASSET","FQ4 2020","FQ4 2020","Currency=USD","Period=FQ","BEST_FPERIOD_OVERRIDE=FQ","FILING_STATUS=MR","SCALING_FORMAT=MLN","Sort=A","Dates=H","DateFormat=P","Fill=—","Direction=H","UseDPDF=Y")</f>
        <v>62948</v>
      </c>
      <c r="L16" s="13">
        <f>_xll.BDH("AMGN US Equity","BS_TOT_ASSET","FQ1 2021","FQ1 2021","Currency=USD","Period=FQ","BEST_FPERIOD_OVERRIDE=FQ","FILING_STATUS=MR","SCALING_FORMAT=MLN","Sort=A","Dates=H","DateFormat=P","Fill=—","Direction=H","UseDPDF=Y")</f>
        <v>62539</v>
      </c>
      <c r="M16" s="13">
        <f>_xll.BDH("AMGN US Equity","BS_TOT_ASSET","FQ2 2021","FQ2 2021","Currency=USD","Period=FQ","BEST_FPERIOD_OVERRIDE=FQ","FILING_STATUS=MR","SCALING_FORMAT=MLN","Sort=A","Dates=H","DateFormat=P","Fill=—","Direction=H","UseDPDF=Y")</f>
        <v>59773</v>
      </c>
      <c r="N16" s="13">
        <f>_xll.BDH("AMGN US Equity","BS_TOT_ASSET","FQ3 2021","FQ3 2021","Currency=USD","Period=FQ","BEST_FPERIOD_OVERRIDE=FQ","FILING_STATUS=MR","SCALING_FORMAT=MLN","Sort=A","Dates=H","DateFormat=P","Fill=—","Direction=H","UseDPDF=Y")</f>
        <v>64993</v>
      </c>
      <c r="O16" s="13">
        <f>_xll.BDH("AMGN US Equity","BS_TOT_ASSET","FQ4 2021","FQ4 2021","Currency=USD","Period=FQ","BEST_FPERIOD_OVERRIDE=FQ","FILING_STATUS=MR","SCALING_FORMAT=MLN","Sort=A","Dates=H","DateFormat=P","Fill=—","Direction=H","UseDPDF=Y")</f>
        <v>61165</v>
      </c>
      <c r="P16" s="13">
        <f>_xll.BDH("AMGN US Equity","BS_TOT_ASSET","FQ1 2022","FQ1 2022","Currency=USD","Period=FQ","BEST_FPERIOD_OVERRIDE=FQ","FILING_STATUS=MR","SCALING_FORMAT=MLN","Sort=A","Dates=H","DateFormat=P","Fill=—","Direction=H","UseDPDF=Y")</f>
        <v>59196</v>
      </c>
      <c r="Q16" s="13">
        <f>_xll.BDH("AMGN US Equity","BS_TOT_ASSET","FQ2 2022","FQ2 2022","Currency=USD","Period=FQ","BEST_FPERIOD_OVERRIDE=FQ","FILING_STATUS=MR","SCALING_FORMAT=MLN","Sort=A","Dates=H","DateFormat=P","Fill=—","Direction=H","UseDPDF=Y")</f>
        <v>59294</v>
      </c>
      <c r="R16" s="13">
        <f>_xll.BDH("AMGN US Equity","BS_TOT_ASSET","FQ3 2022","FQ3 2022","Currency=USD","Period=FQ","BEST_FPERIOD_OVERRIDE=FQ","FILING_STATUS=MR","SCALING_FORMAT=MLN","Sort=A","Dates=H","DateFormat=P","Fill=—","Direction=H","UseDPDF=Y")</f>
        <v>63700</v>
      </c>
      <c r="S16" s="13">
        <f>_xll.BDH("AMGN US Equity","BS_TOT_ASSET","FQ4 2022","FQ4 2022","Currency=USD","Period=FQ","BEST_FPERIOD_OVERRIDE=FQ","FILING_STATUS=MR","SCALING_FORMAT=MLN","Sort=A","Dates=H","DateFormat=P","Fill=—","Direction=H","UseDPDF=Y")</f>
        <v>65121</v>
      </c>
      <c r="T16" s="13">
        <f>_xll.BDH("AMGN US Equity","BS_TOT_ASSET","FQ1 2023","FQ1 2023","Currency=USD","Period=FQ","BEST_FPERIOD_OVERRIDE=FQ","FILING_STATUS=MR","SCALING_FORMAT=MLN","Sort=A","Dates=H","DateFormat=P","Fill=—","Direction=H","UseDPDF=Y")</f>
        <v>88720</v>
      </c>
      <c r="U16" s="13">
        <f>_xll.BDH("AMGN US Equity","BS_TOT_ASSET","FQ2 2023","FQ2 2023","Currency=USD","Period=FQ","BEST_FPERIOD_OVERRIDE=FQ","FILING_STATUS=MR","SCALING_FORMAT=MLN","Sort=A","Dates=H","DateFormat=P","Fill=—","Direction=H","UseDPDF=Y")</f>
        <v>90269</v>
      </c>
      <c r="V16" s="13">
        <f>_xll.BDH("AMGN US Equity","BS_TOT_ASSET","FQ3 2023","FQ3 2023","Currency=USD","Period=FQ","BEST_FPERIOD_OVERRIDE=FQ","FILING_STATUS=MR","SCALING_FORMAT=MLN","Sort=A","Dates=H","DateFormat=P","Fill=—","Direction=H","UseDPDF=Y")</f>
        <v>90534</v>
      </c>
      <c r="W16" s="13">
        <f>_xll.BDH("AMGN US Equity","BS_TOT_ASSET","FQ4 2023","FQ4 2023","Currency=USD","Period=FQ","BEST_FPERIOD_OVERRIDE=FQ","FILING_STATUS=MR","SCALING_FORMAT=MLN","Sort=A","Dates=H","DateFormat=P","Fill=—","Direction=H","UseDPDF=Y")</f>
        <v>97154</v>
      </c>
      <c r="X16" s="13">
        <f>_xll.BDH("AMGN US Equity","BS_TOT_ASSET","FQ1 2024","FQ1 2024","Currency=USD","Period=FQ","BEST_FPERIOD_OVERRIDE=FQ","FILING_STATUS=MR","SCALING_FORMAT=MLN","Sort=A","Dates=H","DateFormat=P","Fill=—","Direction=H","UseDPDF=Y")</f>
        <v>92980</v>
      </c>
      <c r="Y16" s="13">
        <f>_xll.BDH("AMGN US Equity","BS_TOT_ASSET","FQ2 2024","FQ2 2024","Currency=USD","Period=FQ","BEST_FPERIOD_OVERRIDE=FQ","FILING_STATUS=MR","SCALING_FORMAT=MLN","Sort=A","Dates=H","DateFormat=P","Fill=—","Direction=H","UseDPDF=Y")</f>
        <v>90907</v>
      </c>
      <c r="Z16" s="13">
        <f>_xll.BDH("AMGN US Equity","BS_TOT_ASSET","FQ3 2024","FQ3 2024","Currency=USD","Period=FQ","BEST_FPERIOD_OVERRIDE=FQ","FILING_STATUS=MR","SCALING_FORMAT=MLN","Sort=A","Dates=H","DateFormat=P","Fill=—","Direction=H","UseDPDF=Y")</f>
        <v>90883</v>
      </c>
      <c r="AA16" s="13">
        <f>_xll.BDH("AMGN US Equity","BS_TOT_ASSET","FQ4 2024","FQ4 2024","Currency=USD","Period=FQ","BEST_FPERIOD_OVERRIDE=FQ","FILING_STATUS=MR","SCALING_FORMAT=MLN","Sort=A","Dates=H","DateFormat=P","Fill=—","Direction=H","UseDPDF=Y")</f>
        <v>91839</v>
      </c>
    </row>
    <row r="17" spans="1:27" x14ac:dyDescent="0.25">
      <c r="A17" s="10" t="s">
        <v>114</v>
      </c>
      <c r="B17" s="10" t="s">
        <v>115</v>
      </c>
      <c r="C17" s="13">
        <f>_xll.BDH("AMGN US Equity","BS_CUR_LIAB","FQ4 2018","FQ4 2018","Currency=USD","Period=FQ","BEST_FPERIOD_OVERRIDE=FQ","FILING_STATUS=MR","SCALING_FORMAT=MLN","Sort=A","Dates=H","DateFormat=P","Fill=—","Direction=H","UseDPDF=Y")</f>
        <v>13488</v>
      </c>
      <c r="D17" s="13">
        <f>_xll.BDH("AMGN US Equity","BS_CUR_LIAB","FQ1 2019","FQ1 2019","Currency=USD","Period=FQ","BEST_FPERIOD_OVERRIDE=FQ","FILING_STATUS=MR","SCALING_FORMAT=MLN","Sort=A","Dates=H","DateFormat=P","Fill=—","Direction=H","UseDPDF=Y")</f>
        <v>12706</v>
      </c>
      <c r="E17" s="13">
        <f>_xll.BDH("AMGN US Equity","BS_CUR_LIAB","FQ2 2019","FQ2 2019","Currency=USD","Period=FQ","BEST_FPERIOD_OVERRIDE=FQ","FILING_STATUS=MR","SCALING_FORMAT=MLN","Sort=A","Dates=H","DateFormat=P","Fill=—","Direction=H","UseDPDF=Y")</f>
        <v>10622</v>
      </c>
      <c r="F17" s="13">
        <f>_xll.BDH("AMGN US Equity","BS_CUR_LIAB","FQ3 2019","FQ3 2019","Currency=USD","Period=FQ","BEST_FPERIOD_OVERRIDE=FQ","FILING_STATUS=MR","SCALING_FORMAT=MLN","Sort=A","Dates=H","DateFormat=P","Fill=—","Direction=H","UseDPDF=Y")</f>
        <v>10737</v>
      </c>
      <c r="G17" s="13">
        <f>_xll.BDH("AMGN US Equity","BS_CUR_LIAB","FQ4 2019","FQ4 2019","Currency=USD","Period=FQ","BEST_FPERIOD_OVERRIDE=FQ","FILING_STATUS=MR","SCALING_FORMAT=MLN","Sort=A","Dates=H","DateFormat=P","Fill=—","Direction=H","UseDPDF=Y")</f>
        <v>12835</v>
      </c>
      <c r="H17" s="13">
        <f>_xll.BDH("AMGN US Equity","BS_CUR_LIAB","FQ1 2020","FQ1 2020","Currency=USD","Period=FQ","BEST_FPERIOD_OVERRIDE=FQ","FILING_STATUS=MR","SCALING_FORMAT=MLN","Sort=A","Dates=H","DateFormat=P","Fill=—","Direction=H","UseDPDF=Y")</f>
        <v>11827</v>
      </c>
      <c r="I17" s="13">
        <f>_xll.BDH("AMGN US Equity","BS_CUR_LIAB","FQ2 2020","FQ2 2020","Currency=USD","Period=FQ","BEST_FPERIOD_OVERRIDE=FQ","FILING_STATUS=MR","SCALING_FORMAT=MLN","Sort=A","Dates=H","DateFormat=P","Fill=—","Direction=H","UseDPDF=Y")</f>
        <v>10523</v>
      </c>
      <c r="J17" s="13">
        <f>_xll.BDH("AMGN US Equity","BS_CUR_LIAB","FQ3 2020","FQ3 2020","Currency=USD","Period=FQ","BEST_FPERIOD_OVERRIDE=FQ","FILING_STATUS=MR","SCALING_FORMAT=MLN","Sort=A","Dates=H","DateFormat=P","Fill=—","Direction=H","UseDPDF=Y")</f>
        <v>9953</v>
      </c>
      <c r="K17" s="13">
        <f>_xll.BDH("AMGN US Equity","BS_CUR_LIAB","FQ4 2020","FQ4 2020","Currency=USD","Period=FQ","BEST_FPERIOD_OVERRIDE=FQ","FILING_STATUS=MR","SCALING_FORMAT=MLN","Sort=A","Dates=H","DateFormat=P","Fill=—","Direction=H","UseDPDF=Y")</f>
        <v>11653</v>
      </c>
      <c r="L17" s="13">
        <f>_xll.BDH("AMGN US Equity","BS_CUR_LIAB","FQ1 2021","FQ1 2021","Currency=USD","Period=FQ","BEST_FPERIOD_OVERRIDE=FQ","FILING_STATUS=MR","SCALING_FORMAT=MLN","Sort=A","Dates=H","DateFormat=P","Fill=—","Direction=H","UseDPDF=Y")</f>
        <v>12869</v>
      </c>
      <c r="M17" s="13">
        <f>_xll.BDH("AMGN US Equity","BS_CUR_LIAB","FQ2 2021","FQ2 2021","Currency=USD","Period=FQ","BEST_FPERIOD_OVERRIDE=FQ","FILING_STATUS=MR","SCALING_FORMAT=MLN","Sort=A","Dates=H","DateFormat=P","Fill=—","Direction=H","UseDPDF=Y")</f>
        <v>14585</v>
      </c>
      <c r="N17" s="13">
        <f>_xll.BDH("AMGN US Equity","BS_CUR_LIAB","FQ3 2021","FQ3 2021","Currency=USD","Period=FQ","BEST_FPERIOD_OVERRIDE=FQ","FILING_STATUS=MR","SCALING_FORMAT=MLN","Sort=A","Dates=H","DateFormat=P","Fill=—","Direction=H","UseDPDF=Y")</f>
        <v>14842</v>
      </c>
      <c r="O17" s="13">
        <f>_xll.BDH("AMGN US Equity","BS_CUR_LIAB","FQ4 2021","FQ4 2021","Currency=USD","Period=FQ","BEST_FPERIOD_OVERRIDE=FQ","FILING_STATUS=MR","SCALING_FORMAT=MLN","Sort=A","Dates=H","DateFormat=P","Fill=—","Direction=H","UseDPDF=Y")</f>
        <v>12184</v>
      </c>
      <c r="P17" s="13">
        <f>_xll.BDH("AMGN US Equity","BS_CUR_LIAB","FQ1 2022","FQ1 2022","Currency=USD","Period=FQ","BEST_FPERIOD_OVERRIDE=FQ","FILING_STATUS=MR","SCALING_FORMAT=MLN","Sort=A","Dates=H","DateFormat=P","Fill=—","Direction=H","UseDPDF=Y")</f>
        <v>12886</v>
      </c>
      <c r="Q17" s="13">
        <f>_xll.BDH("AMGN US Equity","BS_CUR_LIAB","FQ2 2022","FQ2 2022","Currency=USD","Period=FQ","BEST_FPERIOD_OVERRIDE=FQ","FILING_STATUS=MR","SCALING_FORMAT=MLN","Sort=A","Dates=H","DateFormat=P","Fill=—","Direction=H","UseDPDF=Y")</f>
        <v>12618</v>
      </c>
      <c r="R17" s="13">
        <f>_xll.BDH("AMGN US Equity","BS_CUR_LIAB","FQ3 2022","FQ3 2022","Currency=USD","Period=FQ","BEST_FPERIOD_OVERRIDE=FQ","FILING_STATUS=MR","SCALING_FORMAT=MLN","Sort=A","Dates=H","DateFormat=P","Fill=—","Direction=H","UseDPDF=Y")</f>
        <v>14331</v>
      </c>
      <c r="S17" s="13">
        <f>_xll.BDH("AMGN US Equity","BS_CUR_LIAB","FQ4 2022","FQ4 2022","Currency=USD","Period=FQ","BEST_FPERIOD_OVERRIDE=FQ","FILING_STATUS=MR","SCALING_FORMAT=MLN","Sort=A","Dates=H","DateFormat=P","Fill=—","Direction=H","UseDPDF=Y")</f>
        <v>15687</v>
      </c>
      <c r="T17" s="13">
        <f>_xll.BDH("AMGN US Equity","BS_CUR_LIAB","FQ1 2023","FQ1 2023","Currency=USD","Period=FQ","BEST_FPERIOD_OVERRIDE=FQ","FILING_STATUS=MR","SCALING_FORMAT=MLN","Sort=A","Dates=H","DateFormat=P","Fill=—","Direction=H","UseDPDF=Y")</f>
        <v>14215</v>
      </c>
      <c r="U17" s="13">
        <f>_xll.BDH("AMGN US Equity","BS_CUR_LIAB","FQ2 2023","FQ2 2023","Currency=USD","Period=FQ","BEST_FPERIOD_OVERRIDE=FQ","FILING_STATUS=MR","SCALING_FORMAT=MLN","Sort=A","Dates=H","DateFormat=P","Fill=—","Direction=H","UseDPDF=Y")</f>
        <v>17097</v>
      </c>
      <c r="V17" s="13">
        <f>_xll.BDH("AMGN US Equity","BS_CUR_LIAB","FQ3 2023","FQ3 2023","Currency=USD","Period=FQ","BEST_FPERIOD_OVERRIDE=FQ","FILING_STATUS=MR","SCALING_FORMAT=MLN","Sort=A","Dates=H","DateFormat=P","Fill=—","Direction=H","UseDPDF=Y")</f>
        <v>16954</v>
      </c>
      <c r="W17" s="13">
        <f>_xll.BDH("AMGN US Equity","BS_CUR_LIAB","FQ4 2023","FQ4 2023","Currency=USD","Period=FQ","BEST_FPERIOD_OVERRIDE=FQ","FILING_STATUS=MR","SCALING_FORMAT=MLN","Sort=A","Dates=H","DateFormat=P","Fill=—","Direction=H","UseDPDF=Y")</f>
        <v>18392</v>
      </c>
      <c r="X17" s="13">
        <f>_xll.BDH("AMGN US Equity","BS_CUR_LIAB","FQ1 2024","FQ1 2024","Currency=USD","Period=FQ","BEST_FPERIOD_OVERRIDE=FQ","FILING_STATUS=MR","SCALING_FORMAT=MLN","Sort=A","Dates=H","DateFormat=P","Fill=—","Direction=H","UseDPDF=Y")</f>
        <v>19714</v>
      </c>
      <c r="Y17" s="13">
        <f>_xll.BDH("AMGN US Equity","BS_CUR_LIAB","FQ2 2024","FQ2 2024","Currency=USD","Period=FQ","BEST_FPERIOD_OVERRIDE=FQ","FILING_STATUS=MR","SCALING_FORMAT=MLN","Sort=A","Dates=H","DateFormat=P","Fill=—","Direction=H","UseDPDF=Y")</f>
        <v>21517</v>
      </c>
      <c r="Z17" s="13">
        <f>_xll.BDH("AMGN US Equity","BS_CUR_LIAB","FQ3 2024","FQ3 2024","Currency=USD","Period=FQ","BEST_FPERIOD_OVERRIDE=FQ","FILING_STATUS=MR","SCALING_FORMAT=MLN","Sort=A","Dates=H","DateFormat=P","Fill=—","Direction=H","UseDPDF=Y")</f>
        <v>20312</v>
      </c>
      <c r="AA17" s="13">
        <f>_xll.BDH("AMGN US Equity","BS_CUR_LIAB","FQ4 2024","FQ4 2024","Currency=USD","Period=FQ","BEST_FPERIOD_OVERRIDE=FQ","FILING_STATUS=MR","SCALING_FORMAT=MLN","Sort=A","Dates=H","DateFormat=P","Fill=—","Direction=H","UseDPDF=Y")</f>
        <v>23099</v>
      </c>
    </row>
    <row r="18" spans="1:27" x14ac:dyDescent="0.25">
      <c r="A18" s="10" t="s">
        <v>116</v>
      </c>
      <c r="B18" s="10" t="s">
        <v>117</v>
      </c>
      <c r="C18" s="13">
        <f>_xll.BDH("AMGN US Equity","BS_TOT_LIAB2","FQ4 2018","FQ4 2018","Currency=USD","Period=FQ","BEST_FPERIOD_OVERRIDE=FQ","FILING_STATUS=MR","SCALING_FORMAT=MLN","Sort=A","Dates=H","DateFormat=P","Fill=—","Direction=H","UseDPDF=Y")</f>
        <v>53916</v>
      </c>
      <c r="D18" s="13">
        <f>_xll.BDH("AMGN US Equity","BS_TOT_LIAB2","FQ1 2019","FQ1 2019","Currency=USD","Period=FQ","BEST_FPERIOD_OVERRIDE=FQ","FILING_STATUS=MR","SCALING_FORMAT=MLN","Sort=A","Dates=H","DateFormat=P","Fill=—","Direction=H","UseDPDF=Y")</f>
        <v>53165</v>
      </c>
      <c r="E18" s="13">
        <f>_xll.BDH("AMGN US Equity","BS_TOT_LIAB2","FQ2 2019","FQ2 2019","Currency=USD","Period=FQ","BEST_FPERIOD_OVERRIDE=FQ","FILING_STATUS=MR","SCALING_FORMAT=MLN","Sort=A","Dates=H","DateFormat=P","Fill=—","Direction=H","UseDPDF=Y")</f>
        <v>48579</v>
      </c>
      <c r="F18" s="13">
        <f>_xll.BDH("AMGN US Equity","BS_TOT_LIAB2","FQ3 2019","FQ3 2019","Currency=USD","Period=FQ","BEST_FPERIOD_OVERRIDE=FQ","FILING_STATUS=MR","SCALING_FORMAT=MLN","Sort=A","Dates=H","DateFormat=P","Fill=—","Direction=H","UseDPDF=Y")</f>
        <v>48608</v>
      </c>
      <c r="G18" s="13">
        <f>_xll.BDH("AMGN US Equity","BS_TOT_LIAB2","FQ4 2019","FQ4 2019","Currency=USD","Period=FQ","BEST_FPERIOD_OVERRIDE=FQ","FILING_STATUS=MR","SCALING_FORMAT=MLN","Sort=A","Dates=H","DateFormat=P","Fill=—","Direction=H","UseDPDF=Y")</f>
        <v>50034</v>
      </c>
      <c r="H18" s="13">
        <f>_xll.BDH("AMGN US Equity","BS_TOT_LIAB2","FQ1 2020","FQ1 2020","Currency=USD","Period=FQ","BEST_FPERIOD_OVERRIDE=FQ","FILING_STATUS=MR","SCALING_FORMAT=MLN","Sort=A","Dates=H","DateFormat=P","Fill=—","Direction=H","UseDPDF=Y")</f>
        <v>52184</v>
      </c>
      <c r="I18" s="13">
        <f>_xll.BDH("AMGN US Equity","BS_TOT_LIAB2","FQ2 2020","FQ2 2020","Currency=USD","Period=FQ","BEST_FPERIOD_OVERRIDE=FQ","FILING_STATUS=MR","SCALING_FORMAT=MLN","Sort=A","Dates=H","DateFormat=P","Fill=—","Direction=H","UseDPDF=Y")</f>
        <v>54352</v>
      </c>
      <c r="J18" s="13">
        <f>_xll.BDH("AMGN US Equity","BS_TOT_LIAB2","FQ3 2020","FQ3 2020","Currency=USD","Period=FQ","BEST_FPERIOD_OVERRIDE=FQ","FILING_STATUS=MR","SCALING_FORMAT=MLN","Sort=A","Dates=H","DateFormat=P","Fill=—","Direction=H","UseDPDF=Y")</f>
        <v>53678</v>
      </c>
      <c r="K18" s="13">
        <f>_xll.BDH("AMGN US Equity","BS_TOT_LIAB2","FQ4 2020","FQ4 2020","Currency=USD","Period=FQ","BEST_FPERIOD_OVERRIDE=FQ","FILING_STATUS=MR","SCALING_FORMAT=MLN","Sort=A","Dates=H","DateFormat=P","Fill=—","Direction=H","UseDPDF=Y")</f>
        <v>53539</v>
      </c>
      <c r="L18" s="13">
        <f>_xll.BDH("AMGN US Equity","BS_TOT_LIAB2","FQ1 2021","FQ1 2021","Currency=USD","Period=FQ","BEST_FPERIOD_OVERRIDE=FQ","FILING_STATUS=MR","SCALING_FORMAT=MLN","Sort=A","Dates=H","DateFormat=P","Fill=—","Direction=H","UseDPDF=Y")</f>
        <v>53205</v>
      </c>
      <c r="M18" s="13">
        <f>_xll.BDH("AMGN US Equity","BS_TOT_LIAB2","FQ2 2021","FQ2 2021","Currency=USD","Period=FQ","BEST_FPERIOD_OVERRIDE=FQ","FILING_STATUS=MR","SCALING_FORMAT=MLN","Sort=A","Dates=H","DateFormat=P","Fill=—","Direction=H","UseDPDF=Y")</f>
        <v>51526</v>
      </c>
      <c r="N18" s="13">
        <f>_xll.BDH("AMGN US Equity","BS_TOT_LIAB2","FQ3 2021","FQ3 2021","Currency=USD","Period=FQ","BEST_FPERIOD_OVERRIDE=FQ","FILING_STATUS=MR","SCALING_FORMAT=MLN","Sort=A","Dates=H","DateFormat=P","Fill=—","Direction=H","UseDPDF=Y")</f>
        <v>56776</v>
      </c>
      <c r="O18" s="13">
        <f>_xll.BDH("AMGN US Equity","BS_TOT_LIAB2","FQ4 2021","FQ4 2021","Currency=USD","Period=FQ","BEST_FPERIOD_OVERRIDE=FQ","FILING_STATUS=MR","SCALING_FORMAT=MLN","Sort=A","Dates=H","DateFormat=P","Fill=—","Direction=H","UseDPDF=Y")</f>
        <v>54465</v>
      </c>
      <c r="P18" s="13">
        <f>_xll.BDH("AMGN US Equity","BS_TOT_LIAB2","FQ1 2022","FQ1 2022","Currency=USD","Period=FQ","BEST_FPERIOD_OVERRIDE=FQ","FILING_STATUS=MR","SCALING_FORMAT=MLN","Sort=A","Dates=H","DateFormat=P","Fill=—","Direction=H","UseDPDF=Y")</f>
        <v>58280</v>
      </c>
      <c r="Q18" s="13">
        <f>_xll.BDH("AMGN US Equity","BS_TOT_LIAB2","FQ2 2022","FQ2 2022","Currency=USD","Period=FQ","BEST_FPERIOD_OVERRIDE=FQ","FILING_STATUS=MR","SCALING_FORMAT=MLN","Sort=A","Dates=H","DateFormat=P","Fill=—","Direction=H","UseDPDF=Y")</f>
        <v>56875</v>
      </c>
      <c r="R18" s="13">
        <f>_xll.BDH("AMGN US Equity","BS_TOT_LIAB2","FQ3 2022","FQ3 2022","Currency=USD","Period=FQ","BEST_FPERIOD_OVERRIDE=FQ","FILING_STATUS=MR","SCALING_FORMAT=MLN","Sort=A","Dates=H","DateFormat=P","Fill=—","Direction=H","UseDPDF=Y")</f>
        <v>60047</v>
      </c>
      <c r="S18" s="13">
        <f>_xll.BDH("AMGN US Equity","BS_TOT_LIAB2","FQ4 2022","FQ4 2022","Currency=USD","Period=FQ","BEST_FPERIOD_OVERRIDE=FQ","FILING_STATUS=MR","SCALING_FORMAT=MLN","Sort=A","Dates=H","DateFormat=P","Fill=—","Direction=H","UseDPDF=Y")</f>
        <v>61460</v>
      </c>
      <c r="T18" s="13">
        <f>_xll.BDH("AMGN US Equity","BS_TOT_LIAB2","FQ1 2023","FQ1 2023","Currency=USD","Period=FQ","BEST_FPERIOD_OVERRIDE=FQ","FILING_STATUS=MR","SCALING_FORMAT=MLN","Sort=A","Dates=H","DateFormat=P","Fill=—","Direction=H","UseDPDF=Y")</f>
        <v>83372</v>
      </c>
      <c r="U18" s="13">
        <f>_xll.BDH("AMGN US Equity","BS_TOT_LIAB2","FQ2 2023","FQ2 2023","Currency=USD","Period=FQ","BEST_FPERIOD_OVERRIDE=FQ","FILING_STATUS=MR","SCALING_FORMAT=MLN","Sort=A","Dates=H","DateFormat=P","Fill=—","Direction=H","UseDPDF=Y")</f>
        <v>83488</v>
      </c>
      <c r="V18" s="13">
        <f>_xll.BDH("AMGN US Equity","BS_TOT_LIAB2","FQ3 2023","FQ3 2023","Currency=USD","Period=FQ","BEST_FPERIOD_OVERRIDE=FQ","FILING_STATUS=MR","SCALING_FORMAT=MLN","Sort=A","Dates=H","DateFormat=P","Fill=—","Direction=H","UseDPDF=Y")</f>
        <v>82878</v>
      </c>
      <c r="W18" s="13">
        <f>_xll.BDH("AMGN US Equity","BS_TOT_LIAB2","FQ4 2023","FQ4 2023","Currency=USD","Period=FQ","BEST_FPERIOD_OVERRIDE=FQ","FILING_STATUS=MR","SCALING_FORMAT=MLN","Sort=A","Dates=H","DateFormat=P","Fill=—","Direction=H","UseDPDF=Y")</f>
        <v>90922</v>
      </c>
      <c r="X18" s="13">
        <f>_xll.BDH("AMGN US Equity","BS_TOT_LIAB2","FQ1 2024","FQ1 2024","Currency=USD","Period=FQ","BEST_FPERIOD_OVERRIDE=FQ","FILING_STATUS=MR","SCALING_FORMAT=MLN","Sort=A","Dates=H","DateFormat=P","Fill=—","Direction=H","UseDPDF=Y")</f>
        <v>87958</v>
      </c>
      <c r="Y18" s="13">
        <f>_xll.BDH("AMGN US Equity","BS_TOT_LIAB2","FQ2 2024","FQ2 2024","Currency=USD","Period=FQ","BEST_FPERIOD_OVERRIDE=FQ","FILING_STATUS=MR","SCALING_FORMAT=MLN","Sort=A","Dates=H","DateFormat=P","Fill=—","Direction=H","UseDPDF=Y")</f>
        <v>84982</v>
      </c>
      <c r="Z18" s="13">
        <f>_xll.BDH("AMGN US Equity","BS_TOT_LIAB2","FQ3 2024","FQ3 2024","Currency=USD","Period=FQ","BEST_FPERIOD_OVERRIDE=FQ","FILING_STATUS=MR","SCALING_FORMAT=MLN","Sort=A","Dates=H","DateFormat=P","Fill=—","Direction=H","UseDPDF=Y")</f>
        <v>83356</v>
      </c>
      <c r="AA18" s="13">
        <f>_xll.BDH("AMGN US Equity","BS_TOT_LIAB2","FQ4 2024","FQ4 2024","Currency=USD","Period=FQ","BEST_FPERIOD_OVERRIDE=FQ","FILING_STATUS=MR","SCALING_FORMAT=MLN","Sort=A","Dates=H","DateFormat=P","Fill=—","Direction=H","UseDPDF=Y")</f>
        <v>85962</v>
      </c>
    </row>
    <row r="19" spans="1:27" x14ac:dyDescent="0.25">
      <c r="A19" s="10" t="s">
        <v>118</v>
      </c>
      <c r="B19" s="10" t="s">
        <v>119</v>
      </c>
      <c r="C19" s="13">
        <f>_xll.BDH("AMGN US Equity","TOTAL_EQUITY","FQ4 2018","FQ4 2018","Currency=USD","Period=FQ","BEST_FPERIOD_OVERRIDE=FQ","FILING_STATUS=MR","SCALING_FORMAT=MLN","Sort=A","Dates=H","DateFormat=P","Fill=—","Direction=H","UseDPDF=Y")</f>
        <v>12500</v>
      </c>
      <c r="D19" s="13">
        <f>_xll.BDH("AMGN US Equity","TOTAL_EQUITY","FQ1 2019","FQ1 2019","Currency=USD","Period=FQ","BEST_FPERIOD_OVERRIDE=FQ","FILING_STATUS=MR","SCALING_FORMAT=MLN","Sort=A","Dates=H","DateFormat=P","Fill=—","Direction=H","UseDPDF=Y")</f>
        <v>10832</v>
      </c>
      <c r="E19" s="13">
        <f>_xll.BDH("AMGN US Equity","TOTAL_EQUITY","FQ2 2019","FQ2 2019","Currency=USD","Period=FQ","BEST_FPERIOD_OVERRIDE=FQ","FILING_STATUS=MR","SCALING_FORMAT=MLN","Sort=A","Dates=H","DateFormat=P","Fill=—","Direction=H","UseDPDF=Y")</f>
        <v>10794</v>
      </c>
      <c r="F19" s="13">
        <f>_xll.BDH("AMGN US Equity","TOTAL_EQUITY","FQ3 2019","FQ3 2019","Currency=USD","Period=FQ","BEST_FPERIOD_OVERRIDE=FQ","FILING_STATUS=MR","SCALING_FORMAT=MLN","Sort=A","Dates=H","DateFormat=P","Fill=—","Direction=H","UseDPDF=Y")</f>
        <v>10927</v>
      </c>
      <c r="G19" s="13">
        <f>_xll.BDH("AMGN US Equity","TOTAL_EQUITY","FQ4 2019","FQ4 2019","Currency=USD","Period=FQ","BEST_FPERIOD_OVERRIDE=FQ","FILING_STATUS=MR","SCALING_FORMAT=MLN","Sort=A","Dates=H","DateFormat=P","Fill=—","Direction=H","UseDPDF=Y")</f>
        <v>9673</v>
      </c>
      <c r="H19" s="13">
        <f>_xll.BDH("AMGN US Equity","TOTAL_EQUITY","FQ1 2020","FQ1 2020","Currency=USD","Period=FQ","BEST_FPERIOD_OVERRIDE=FQ","FILING_STATUS=MR","SCALING_FORMAT=MLN","Sort=A","Dates=H","DateFormat=P","Fill=—","Direction=H","UseDPDF=Y")</f>
        <v>9485</v>
      </c>
      <c r="I19" s="13">
        <f>_xll.BDH("AMGN US Equity","TOTAL_EQUITY","FQ2 2020","FQ2 2020","Currency=USD","Period=FQ","BEST_FPERIOD_OVERRIDE=FQ","FILING_STATUS=MR","SCALING_FORMAT=MLN","Sort=A","Dates=H","DateFormat=P","Fill=—","Direction=H","UseDPDF=Y")</f>
        <v>10659</v>
      </c>
      <c r="J19" s="13">
        <f>_xll.BDH("AMGN US Equity","TOTAL_EQUITY","FQ3 2020","FQ3 2020","Currency=USD","Period=FQ","BEST_FPERIOD_OVERRIDE=FQ","FILING_STATUS=MR","SCALING_FORMAT=MLN","Sort=A","Dates=H","DateFormat=P","Fill=—","Direction=H","UseDPDF=Y")</f>
        <v>10959</v>
      </c>
      <c r="K19" s="13">
        <f>_xll.BDH("AMGN US Equity","TOTAL_EQUITY","FQ4 2020","FQ4 2020","Currency=USD","Period=FQ","BEST_FPERIOD_OVERRIDE=FQ","FILING_STATUS=MR","SCALING_FORMAT=MLN","Sort=A","Dates=H","DateFormat=P","Fill=—","Direction=H","UseDPDF=Y")</f>
        <v>9409</v>
      </c>
      <c r="L19" s="13">
        <f>_xll.BDH("AMGN US Equity","TOTAL_EQUITY","FQ1 2021","FQ1 2021","Currency=USD","Period=FQ","BEST_FPERIOD_OVERRIDE=FQ","FILING_STATUS=MR","SCALING_FORMAT=MLN","Sort=A","Dates=H","DateFormat=P","Fill=—","Direction=H","UseDPDF=Y")</f>
        <v>9334</v>
      </c>
      <c r="M19" s="13">
        <f>_xll.BDH("AMGN US Equity","TOTAL_EQUITY","FQ2 2021","FQ2 2021","Currency=USD","Period=FQ","BEST_FPERIOD_OVERRIDE=FQ","FILING_STATUS=MR","SCALING_FORMAT=MLN","Sort=A","Dates=H","DateFormat=P","Fill=—","Direction=H","UseDPDF=Y")</f>
        <v>8247</v>
      </c>
      <c r="N19" s="13">
        <f>_xll.BDH("AMGN US Equity","TOTAL_EQUITY","FQ3 2021","FQ3 2021","Currency=USD","Period=FQ","BEST_FPERIOD_OVERRIDE=FQ","FILING_STATUS=MR","SCALING_FORMAT=MLN","Sort=A","Dates=H","DateFormat=P","Fill=—","Direction=H","UseDPDF=Y")</f>
        <v>8217</v>
      </c>
      <c r="O19" s="13">
        <f>_xll.BDH("AMGN US Equity","TOTAL_EQUITY","FQ4 2021","FQ4 2021","Currency=USD","Period=FQ","BEST_FPERIOD_OVERRIDE=FQ","FILING_STATUS=MR","SCALING_FORMAT=MLN","Sort=A","Dates=H","DateFormat=P","Fill=—","Direction=H","UseDPDF=Y")</f>
        <v>6700</v>
      </c>
      <c r="P19" s="13">
        <f>_xll.BDH("AMGN US Equity","TOTAL_EQUITY","FQ1 2022","FQ1 2022","Currency=USD","Period=FQ","BEST_FPERIOD_OVERRIDE=FQ","FILING_STATUS=MR","SCALING_FORMAT=MLN","Sort=A","Dates=H","DateFormat=P","Fill=—","Direction=H","UseDPDF=Y")</f>
        <v>916</v>
      </c>
      <c r="Q19" s="13">
        <f>_xll.BDH("AMGN US Equity","TOTAL_EQUITY","FQ2 2022","FQ2 2022","Currency=USD","Period=FQ","BEST_FPERIOD_OVERRIDE=FQ","FILING_STATUS=MR","SCALING_FORMAT=MLN","Sort=A","Dates=H","DateFormat=P","Fill=—","Direction=H","UseDPDF=Y")</f>
        <v>2419</v>
      </c>
      <c r="R19" s="13">
        <f>_xll.BDH("AMGN US Equity","TOTAL_EQUITY","FQ3 2022","FQ3 2022","Currency=USD","Period=FQ","BEST_FPERIOD_OVERRIDE=FQ","FILING_STATUS=MR","SCALING_FORMAT=MLN","Sort=A","Dates=H","DateFormat=P","Fill=—","Direction=H","UseDPDF=Y")</f>
        <v>3653</v>
      </c>
      <c r="S19" s="13">
        <f>_xll.BDH("AMGN US Equity","TOTAL_EQUITY","FQ4 2022","FQ4 2022","Currency=USD","Period=FQ","BEST_FPERIOD_OVERRIDE=FQ","FILING_STATUS=MR","SCALING_FORMAT=MLN","Sort=A","Dates=H","DateFormat=P","Fill=—","Direction=H","UseDPDF=Y")</f>
        <v>3661</v>
      </c>
      <c r="T19" s="13">
        <f>_xll.BDH("AMGN US Equity","TOTAL_EQUITY","FQ1 2023","FQ1 2023","Currency=USD","Period=FQ","BEST_FPERIOD_OVERRIDE=FQ","FILING_STATUS=MR","SCALING_FORMAT=MLN","Sort=A","Dates=H","DateFormat=P","Fill=—","Direction=H","UseDPDF=Y")</f>
        <v>5348</v>
      </c>
      <c r="U19" s="13">
        <f>_xll.BDH("AMGN US Equity","TOTAL_EQUITY","FQ2 2023","FQ2 2023","Currency=USD","Period=FQ","BEST_FPERIOD_OVERRIDE=FQ","FILING_STATUS=MR","SCALING_FORMAT=MLN","Sort=A","Dates=H","DateFormat=P","Fill=—","Direction=H","UseDPDF=Y")</f>
        <v>6781</v>
      </c>
      <c r="V19" s="13">
        <f>_xll.BDH("AMGN US Equity","TOTAL_EQUITY","FQ3 2023","FQ3 2023","Currency=USD","Period=FQ","BEST_FPERIOD_OVERRIDE=FQ","FILING_STATUS=MR","SCALING_FORMAT=MLN","Sort=A","Dates=H","DateFormat=P","Fill=—","Direction=H","UseDPDF=Y")</f>
        <v>7656</v>
      </c>
      <c r="W19" s="13">
        <f>_xll.BDH("AMGN US Equity","TOTAL_EQUITY","FQ4 2023","FQ4 2023","Currency=USD","Period=FQ","BEST_FPERIOD_OVERRIDE=FQ","FILING_STATUS=MR","SCALING_FORMAT=MLN","Sort=A","Dates=H","DateFormat=P","Fill=—","Direction=H","UseDPDF=Y")</f>
        <v>6232</v>
      </c>
      <c r="X19" s="13">
        <f>_xll.BDH("AMGN US Equity","TOTAL_EQUITY","FQ1 2024","FQ1 2024","Currency=USD","Period=FQ","BEST_FPERIOD_OVERRIDE=FQ","FILING_STATUS=MR","SCALING_FORMAT=MLN","Sort=A","Dates=H","DateFormat=P","Fill=—","Direction=H","UseDPDF=Y")</f>
        <v>5022</v>
      </c>
      <c r="Y19" s="13">
        <f>_xll.BDH("AMGN US Equity","TOTAL_EQUITY","FQ2 2024","FQ2 2024","Currency=USD","Period=FQ","BEST_FPERIOD_OVERRIDE=FQ","FILING_STATUS=MR","SCALING_FORMAT=MLN","Sort=A","Dates=H","DateFormat=P","Fill=—","Direction=H","UseDPDF=Y")</f>
        <v>5925</v>
      </c>
      <c r="Z19" s="13">
        <f>_xll.BDH("AMGN US Equity","TOTAL_EQUITY","FQ3 2024","FQ3 2024","Currency=USD","Period=FQ","BEST_FPERIOD_OVERRIDE=FQ","FILING_STATUS=MR","SCALING_FORMAT=MLN","Sort=A","Dates=H","DateFormat=P","Fill=—","Direction=H","UseDPDF=Y")</f>
        <v>7527</v>
      </c>
      <c r="AA19" s="13">
        <f>_xll.BDH("AMGN US Equity","TOTAL_EQUITY","FQ4 2024","FQ4 2024","Currency=USD","Period=FQ","BEST_FPERIOD_OVERRIDE=FQ","FILING_STATUS=MR","SCALING_FORMAT=MLN","Sort=A","Dates=H","DateFormat=P","Fill=—","Direction=H","UseDPDF=Y")</f>
        <v>5877</v>
      </c>
    </row>
    <row r="20" spans="1:27" x14ac:dyDescent="0.25">
      <c r="A20" s="10" t="s">
        <v>120</v>
      </c>
      <c r="B20" s="10" t="s">
        <v>121</v>
      </c>
      <c r="C20" s="13">
        <f>_xll.BDH("AMGN US Equity","BS_SH_OUT","FQ4 2018","FQ4 2018","Currency=USD","Period=FQ","BEST_FPERIOD_OVERRIDE=FQ","FILING_STATUS=MR","Sort=A","Dates=H","DateFormat=P","Fill=—","Direction=H","UseDPDF=Y")</f>
        <v>629.6</v>
      </c>
      <c r="D20" s="13">
        <f>_xll.BDH("AMGN US Equity","BS_SH_OUT","FQ1 2019","FQ1 2019","Currency=USD","Period=FQ","BEST_FPERIOD_OVERRIDE=FQ","FILING_STATUS=MR","Sort=A","Dates=H","DateFormat=P","Fill=—","Direction=H","UseDPDF=Y")</f>
        <v>614.4</v>
      </c>
      <c r="E20" s="13">
        <f>_xll.BDH("AMGN US Equity","BS_SH_OUT","FQ2 2019","FQ2 2019","Currency=USD","Period=FQ","BEST_FPERIOD_OVERRIDE=FQ","FILING_STATUS=MR","Sort=A","Dates=H","DateFormat=P","Fill=—","Direction=H","UseDPDF=Y")</f>
        <v>602.1</v>
      </c>
      <c r="F20" s="13">
        <f>_xll.BDH("AMGN US Equity","BS_SH_OUT","FQ3 2019","FQ3 2019","Currency=USD","Period=FQ","BEST_FPERIOD_OVERRIDE=FQ","FILING_STATUS=MR","Sort=A","Dates=H","DateFormat=P","Fill=—","Direction=H","UseDPDF=Y")</f>
        <v>596.20000000000005</v>
      </c>
      <c r="G20" s="13">
        <f>_xll.BDH("AMGN US Equity","BS_SH_OUT","FQ4 2019","FQ4 2019","Currency=USD","Period=FQ","BEST_FPERIOD_OVERRIDE=FQ","FILING_STATUS=MR","Sort=A","Dates=H","DateFormat=P","Fill=—","Direction=H","UseDPDF=Y")</f>
        <v>591.4</v>
      </c>
      <c r="H20" s="13">
        <f>_xll.BDH("AMGN US Equity","BS_SH_OUT","FQ1 2020","FQ1 2020","Currency=USD","Period=FQ","BEST_FPERIOD_OVERRIDE=FQ","FILING_STATUS=MR","Sort=A","Dates=H","DateFormat=P","Fill=—","Direction=H","UseDPDF=Y")</f>
        <v>588</v>
      </c>
      <c r="I20" s="13">
        <f>_xll.BDH("AMGN US Equity","BS_SH_OUT","FQ2 2020","FQ2 2020","Currency=USD","Period=FQ","BEST_FPERIOD_OVERRIDE=FQ","FILING_STATUS=MR","Sort=A","Dates=H","DateFormat=P","Fill=—","Direction=H","UseDPDF=Y")</f>
        <v>586.4</v>
      </c>
      <c r="J20" s="13">
        <f>_xll.BDH("AMGN US Equity","BS_SH_OUT","FQ3 2020","FQ3 2020","Currency=USD","Period=FQ","BEST_FPERIOD_OVERRIDE=FQ","FILING_STATUS=MR","Sort=A","Dates=H","DateFormat=P","Fill=—","Direction=H","UseDPDF=Y")</f>
        <v>583.5</v>
      </c>
      <c r="K20" s="13">
        <f>_xll.BDH("AMGN US Equity","BS_SH_OUT","FQ4 2020","FQ4 2020","Currency=USD","Period=FQ","BEST_FPERIOD_OVERRIDE=FQ","FILING_STATUS=MR","Sort=A","Dates=H","DateFormat=P","Fill=—","Direction=H","UseDPDF=Y")</f>
        <v>578.29999999999995</v>
      </c>
      <c r="L20" s="13">
        <f>_xll.BDH("AMGN US Equity","BS_SH_OUT","FQ1 2021","FQ1 2021","Currency=USD","Period=FQ","BEST_FPERIOD_OVERRIDE=FQ","FILING_STATUS=MR","Sort=A","Dates=H","DateFormat=P","Fill=—","Direction=H","UseDPDF=Y")</f>
        <v>575.29999999999995</v>
      </c>
      <c r="M20" s="13">
        <f>_xll.BDH("AMGN US Equity","BS_SH_OUT","FQ2 2021","FQ2 2021","Currency=USD","Period=FQ","BEST_FPERIOD_OVERRIDE=FQ","FILING_STATUS=MR","Sort=A","Dates=H","DateFormat=P","Fill=—","Direction=H","UseDPDF=Y")</f>
        <v>569.6</v>
      </c>
      <c r="N20" s="13">
        <f>_xll.BDH("AMGN US Equity","BS_SH_OUT","FQ3 2021","FQ3 2021","Currency=USD","Period=FQ","BEST_FPERIOD_OVERRIDE=FQ","FILING_STATUS=MR","Sort=A","Dates=H","DateFormat=P","Fill=—","Direction=H","UseDPDF=Y")</f>
        <v>565</v>
      </c>
      <c r="O20" s="13">
        <f>_xll.BDH("AMGN US Equity","BS_SH_OUT","FQ4 2021","FQ4 2021","Currency=USD","Period=FQ","BEST_FPERIOD_OVERRIDE=FQ","FILING_STATUS=MR","Sort=A","Dates=H","DateFormat=P","Fill=—","Direction=H","UseDPDF=Y")</f>
        <v>534</v>
      </c>
      <c r="P20" s="13">
        <f>_xll.BDH("AMGN US Equity","BS_SH_OUT","FQ1 2022","FQ1 2022","Currency=USD","Period=FQ","BEST_FPERIOD_OVERRIDE=FQ","FILING_STATUS=MR","Sort=A","Dates=H","DateFormat=P","Fill=—","Direction=H","UseDPDF=Y")</f>
        <v>534.20000000000005</v>
      </c>
      <c r="Q20" s="13">
        <f>_xll.BDH("AMGN US Equity","BS_SH_OUT","FQ2 2022","FQ2 2022","Currency=USD","Period=FQ","BEST_FPERIOD_OVERRIDE=FQ","FILING_STATUS=MR","Sort=A","Dates=H","DateFormat=P","Fill=—","Direction=H","UseDPDF=Y")</f>
        <v>534.9</v>
      </c>
      <c r="R20" s="13">
        <f>_xll.BDH("AMGN US Equity","BS_SH_OUT","FQ3 2022","FQ3 2022","Currency=USD","Period=FQ","BEST_FPERIOD_OVERRIDE=FQ","FILING_STATUS=MR","Sort=A","Dates=H","DateFormat=P","Fill=—","Direction=H","UseDPDF=Y")</f>
        <v>533.5</v>
      </c>
      <c r="S20" s="13">
        <f>_xll.BDH("AMGN US Equity","BS_SH_OUT","FQ4 2022","FQ4 2022","Currency=USD","Period=FQ","BEST_FPERIOD_OVERRIDE=FQ","FILING_STATUS=MR","Sort=A","Dates=H","DateFormat=P","Fill=—","Direction=H","UseDPDF=Y")</f>
        <v>534</v>
      </c>
      <c r="T20" s="13">
        <f>_xll.BDH("AMGN US Equity","BS_SH_OUT","FQ1 2023","FQ1 2023","Currency=USD","Period=FQ","BEST_FPERIOD_OVERRIDE=FQ","FILING_STATUS=MR","Sort=A","Dates=H","DateFormat=P","Fill=—","Direction=H","UseDPDF=Y")</f>
        <v>534.29999999999995</v>
      </c>
      <c r="U20" s="13">
        <f>_xll.BDH("AMGN US Equity","BS_SH_OUT","FQ2 2023","FQ2 2023","Currency=USD","Period=FQ","BEST_FPERIOD_OVERRIDE=FQ","FILING_STATUS=MR","Sort=A","Dates=H","DateFormat=P","Fill=—","Direction=H","UseDPDF=Y")</f>
        <v>534.9</v>
      </c>
      <c r="V20" s="13">
        <f>_xll.BDH("AMGN US Equity","BS_SH_OUT","FQ3 2023","FQ3 2023","Currency=USD","Period=FQ","BEST_FPERIOD_OVERRIDE=FQ","FILING_STATUS=MR","Sort=A","Dates=H","DateFormat=P","Fill=—","Direction=H","UseDPDF=Y")</f>
        <v>535.1</v>
      </c>
      <c r="W20" s="13">
        <f>_xll.BDH("AMGN US Equity","BS_SH_OUT","FQ4 2023","FQ4 2023","Currency=USD","Period=FQ","BEST_FPERIOD_OVERRIDE=FQ","FILING_STATUS=MR","Sort=A","Dates=H","DateFormat=P","Fill=—","Direction=H","UseDPDF=Y")</f>
        <v>535.4</v>
      </c>
      <c r="X20" s="13">
        <f>_xll.BDH("AMGN US Equity","BS_SH_OUT","FQ1 2024","FQ1 2024","Currency=USD","Period=FQ","BEST_FPERIOD_OVERRIDE=FQ","FILING_STATUS=MR","Sort=A","Dates=H","DateFormat=P","Fill=—","Direction=H","UseDPDF=Y")</f>
        <v>536.4</v>
      </c>
      <c r="Y20" s="13">
        <f>_xll.BDH("AMGN US Equity","BS_SH_OUT","FQ2 2024","FQ2 2024","Currency=USD","Period=FQ","BEST_FPERIOD_OVERRIDE=FQ","FILING_STATUS=MR","Sort=A","Dates=H","DateFormat=P","Fill=—","Direction=H","UseDPDF=Y")</f>
        <v>537.20000000000005</v>
      </c>
      <c r="Z20" s="13">
        <f>_xll.BDH("AMGN US Equity","BS_SH_OUT","FQ3 2024","FQ3 2024","Currency=USD","Period=FQ","BEST_FPERIOD_OVERRIDE=FQ","FILING_STATUS=MR","Sort=A","Dates=H","DateFormat=P","Fill=—","Direction=H","UseDPDF=Y")</f>
        <v>537.5</v>
      </c>
      <c r="AA20" s="13">
        <f>_xll.BDH("AMGN US Equity","BS_SH_OUT","FQ4 2024","FQ4 2024","Currency=USD","Period=FQ","BEST_FPERIOD_OVERRIDE=FQ","FILING_STATUS=MR","Sort=A","Dates=H","DateFormat=P","Fill=—","Direction=H","UseDPDF=Y")</f>
        <v>536.9</v>
      </c>
    </row>
    <row r="21" spans="1:27" x14ac:dyDescent="0.25">
      <c r="A21" s="10" t="s">
        <v>122</v>
      </c>
      <c r="B21" s="10" t="s">
        <v>123</v>
      </c>
      <c r="C21" s="13">
        <f>_xll.BDH("AMGN US Equity","ARD_SHARE_OUT_FROM_FRONT_COVER","FQ4 2018","FQ4 2018","Currency=USD","Period=FQ","BEST_FPERIOD_OVERRIDE=FQ","FILING_STATUS=MR","Sort=A","Dates=H","DateFormat=P","Fill=—","Direction=H","UseDPDF=Y")</f>
        <v>622.27800000000002</v>
      </c>
      <c r="D21" s="13">
        <f>_xll.BDH("AMGN US Equity","ARD_SHARE_OUT_FROM_FRONT_COVER","FQ1 2019","FQ1 2019","Currency=USD","Period=FQ","BEST_FPERIOD_OVERRIDE=FQ","FILING_STATUS=MR","Sort=A","Dates=H","DateFormat=P","Fill=—","Direction=H","UseDPDF=Y")</f>
        <v>609.9357</v>
      </c>
      <c r="E21" s="13">
        <f>_xll.BDH("AMGN US Equity","ARD_SHARE_OUT_FROM_FRONT_COVER","FQ2 2019","FQ2 2019","Currency=USD","Period=FQ","BEST_FPERIOD_OVERRIDE=FQ","FILING_STATUS=MR","Sort=A","Dates=H","DateFormat=P","Fill=—","Direction=H","UseDPDF=Y")</f>
        <v>599.70119999999997</v>
      </c>
      <c r="F21" s="13">
        <f>_xll.BDH("AMGN US Equity","ARD_SHARE_OUT_FROM_FRONT_COVER","FQ3 2019","FQ3 2019","Currency=USD","Period=FQ","BEST_FPERIOD_OVERRIDE=FQ","FILING_STATUS=MR","Sort=A","Dates=H","DateFormat=P","Fill=—","Direction=H","UseDPDF=Y")</f>
        <v>594.18349999999998</v>
      </c>
      <c r="G21" s="13">
        <f>_xll.BDH("AMGN US Equity","ARD_SHARE_OUT_FROM_FRONT_COVER","FQ4 2019","FQ4 2019","Currency=USD","Period=FQ","BEST_FPERIOD_OVERRIDE=FQ","FILING_STATUS=MR","Sort=A","Dates=H","DateFormat=P","Fill=—","Direction=H","UseDPDF=Y")</f>
        <v>589.80679999999995</v>
      </c>
      <c r="H21" s="13">
        <f>_xll.BDH("AMGN US Equity","ARD_SHARE_OUT_FROM_FRONT_COVER","FQ1 2020","FQ1 2020","Currency=USD","Period=FQ","BEST_FPERIOD_OVERRIDE=FQ","FILING_STATUS=MR","Sort=A","Dates=H","DateFormat=P","Fill=—","Direction=H","UseDPDF=Y")</f>
        <v>588.24739999999997</v>
      </c>
      <c r="I21" s="13">
        <f>_xll.BDH("AMGN US Equity","ARD_SHARE_OUT_FROM_FRONT_COVER","FQ2 2020","FQ2 2020","Currency=USD","Period=FQ","BEST_FPERIOD_OVERRIDE=FQ","FILING_STATUS=MR","Sort=A","Dates=H","DateFormat=P","Fill=—","Direction=H","UseDPDF=Y")</f>
        <v>585.69380000000001</v>
      </c>
      <c r="J21" s="13">
        <f>_xll.BDH("AMGN US Equity","ARD_SHARE_OUT_FROM_FRONT_COVER","FQ3 2020","FQ3 2020","Currency=USD","Period=FQ","BEST_FPERIOD_OVERRIDE=FQ","FILING_STATUS=MR","Sort=A","Dates=H","DateFormat=P","Fill=—","Direction=H","UseDPDF=Y")</f>
        <v>582.16859999999997</v>
      </c>
      <c r="K21" s="13">
        <f>_xll.BDH("AMGN US Equity","ARD_SHARE_OUT_FROM_FRONT_COVER","FQ4 2020","FQ4 2020","Currency=USD","Period=FQ","BEST_FPERIOD_OVERRIDE=FQ","FILING_STATUS=MR","Sort=A","Dates=H","DateFormat=P","Fill=—","Direction=H","UseDPDF=Y")</f>
        <v>577.56640000000004</v>
      </c>
      <c r="L21" s="13">
        <f>_xll.BDH("AMGN US Equity","ARD_SHARE_OUT_FROM_FRONT_COVER","FQ1 2021","FQ1 2021","Currency=USD","Period=FQ","BEST_FPERIOD_OVERRIDE=FQ","FILING_STATUS=MR","Sort=A","Dates=H","DateFormat=P","Fill=—","Direction=H","UseDPDF=Y")</f>
        <v>574.55399999999997</v>
      </c>
      <c r="M21" s="13">
        <f>_xll.BDH("AMGN US Equity","ARD_SHARE_OUT_FROM_FRONT_COVER","FQ2 2021","FQ2 2021","Currency=USD","Period=FQ","BEST_FPERIOD_OVERRIDE=FQ","FILING_STATUS=MR","Sort=A","Dates=H","DateFormat=P","Fill=—","Direction=H","UseDPDF=Y")</f>
        <v>567.85239999999999</v>
      </c>
      <c r="N21" s="13">
        <f>_xll.BDH("AMGN US Equity","ARD_SHARE_OUT_FROM_FRONT_COVER","FQ3 2021","FQ3 2021","Currency=USD","Period=FQ","BEST_FPERIOD_OVERRIDE=FQ","FILING_STATUS=MR","Sort=A","Dates=H","DateFormat=P","Fill=—","Direction=H","UseDPDF=Y")</f>
        <v>563.26589999999999</v>
      </c>
      <c r="O21" s="13">
        <f>_xll.BDH("AMGN US Equity","ARD_SHARE_OUT_FROM_FRONT_COVER","FQ4 2021","FQ4 2021","Currency=USD","Period=FQ","BEST_FPERIOD_OVERRIDE=FQ","FILING_STATUS=MR","Sort=A","Dates=H","DateFormat=P","Fill=—","Direction=H","UseDPDF=Y")</f>
        <v>557.02940000000001</v>
      </c>
      <c r="P21" s="13">
        <f>_xll.BDH("AMGN US Equity","ARD_SHARE_OUT_FROM_FRONT_COVER","FQ1 2022","FQ1 2022","Currency=USD","Period=FQ","BEST_FPERIOD_OVERRIDE=FQ","FILING_STATUS=MR","Sort=A","Dates=H","DateFormat=P","Fill=—","Direction=H","UseDPDF=Y")</f>
        <v>534.19989999999996</v>
      </c>
      <c r="Q21" s="13">
        <f>_xll.BDH("AMGN US Equity","ARD_SHARE_OUT_FROM_FRONT_COVER","FQ2 2022","FQ2 2022","Currency=USD","Period=FQ","BEST_FPERIOD_OVERRIDE=FQ","FILING_STATUS=MR","Sort=A","Dates=H","DateFormat=P","Fill=—","Direction=H","UseDPDF=Y")</f>
        <v>534.93089999999995</v>
      </c>
      <c r="R21" s="13">
        <f>_xll.BDH("AMGN US Equity","ARD_SHARE_OUT_FROM_FRONT_COVER","FQ3 2022","FQ3 2022","Currency=USD","Period=FQ","BEST_FPERIOD_OVERRIDE=FQ","FILING_STATUS=MR","Sort=A","Dates=H","DateFormat=P","Fill=—","Direction=H","UseDPDF=Y")</f>
        <v>533.57920000000001</v>
      </c>
      <c r="S21" s="13">
        <f>_xll.BDH("AMGN US Equity","ARD_SHARE_OUT_FROM_FRONT_COVER","FQ4 2022","FQ4 2022","Currency=USD","Period=FQ","BEST_FPERIOD_OVERRIDE=FQ","FILING_STATUS=MR","Sort=A","Dates=H","DateFormat=P","Fill=—","Direction=H","UseDPDF=Y")</f>
        <v>533.97619999999995</v>
      </c>
      <c r="T21" s="13">
        <f>_xll.BDH("AMGN US Equity","ARD_SHARE_OUT_FROM_FRONT_COVER","FQ1 2023","FQ1 2023","Currency=USD","Period=FQ","BEST_FPERIOD_OVERRIDE=FQ","FILING_STATUS=MR","Sort=A","Dates=H","DateFormat=P","Fill=—","Direction=H","UseDPDF=Y")</f>
        <v>534.32659999999998</v>
      </c>
      <c r="U21" s="13">
        <f>_xll.BDH("AMGN US Equity","ARD_SHARE_OUT_FROM_FRONT_COVER","FQ2 2023","FQ2 2023","Currency=USD","Period=FQ","BEST_FPERIOD_OVERRIDE=FQ","FILING_STATUS=MR","Sort=A","Dates=H","DateFormat=P","Fill=—","Direction=H","UseDPDF=Y")</f>
        <v>534.90120000000002</v>
      </c>
      <c r="V21" s="13">
        <f>_xll.BDH("AMGN US Equity","ARD_SHARE_OUT_FROM_FRONT_COVER","FQ3 2023","FQ3 2023","Currency=USD","Period=FQ","BEST_FPERIOD_OVERRIDE=FQ","FILING_STATUS=MR","Sort=A","Dates=H","DateFormat=P","Fill=—","Direction=H","UseDPDF=Y")</f>
        <v>535.178</v>
      </c>
      <c r="W21" s="13">
        <f>_xll.BDH("AMGN US Equity","ARD_SHARE_OUT_FROM_FRONT_COVER","FQ4 2023","FQ4 2023","Currency=USD","Period=FQ","BEST_FPERIOD_OVERRIDE=FQ","FILING_STATUS=MR","Sort=A","Dates=H","DateFormat=P","Fill=—","Direction=H","UseDPDF=Y")</f>
        <v>535.91890000000001</v>
      </c>
      <c r="X21" s="13">
        <f>_xll.BDH("AMGN US Equity","ARD_SHARE_OUT_FROM_FRONT_COVER","FQ1 2024","FQ1 2024","Currency=USD","Period=FQ","BEST_FPERIOD_OVERRIDE=FQ","FILING_STATUS=MR","Sort=A","Dates=H","DateFormat=P","Fill=—","Direction=H","UseDPDF=Y")</f>
        <v>536.43470000000002</v>
      </c>
      <c r="Y21" s="13">
        <f>_xll.BDH("AMGN US Equity","ARD_SHARE_OUT_FROM_FRONT_COVER","FQ2 2024","FQ2 2024","Currency=USD","Period=FQ","BEST_FPERIOD_OVERRIDE=FQ","FILING_STATUS=MR","Sort=A","Dates=H","DateFormat=P","Fill=—","Direction=H","UseDPDF=Y")</f>
        <v>537.32920000000001</v>
      </c>
      <c r="Z21" s="13">
        <f>_xll.BDH("AMGN US Equity","ARD_SHARE_OUT_FROM_FRONT_COVER","FQ3 2024","FQ3 2024","Currency=USD","Period=FQ","BEST_FPERIOD_OVERRIDE=FQ","FILING_STATUS=MR","Sort=A","Dates=H","DateFormat=P","Fill=—","Direction=H","UseDPDF=Y")</f>
        <v>537.53269999999998</v>
      </c>
      <c r="AA21" s="13">
        <f>_xll.BDH("AMGN US Equity","ARD_SHARE_OUT_FROM_FRONT_COVER","FQ4 2024","FQ4 2024","Currency=USD","Period=FQ","BEST_FPERIOD_OVERRIDE=FQ","FILING_STATUS=MR","Sort=A","Dates=H","DateFormat=P","Fill=—","Direction=H","UseDPDF=Y")</f>
        <v>537.20489999999995</v>
      </c>
    </row>
    <row r="22" spans="1:27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5">
      <c r="A23" s="10" t="s">
        <v>124</v>
      </c>
      <c r="B23" s="10" t="s">
        <v>85</v>
      </c>
      <c r="C23" s="13">
        <f>_xll.BDH("AMGN US Equity","CF_CASH_FROM_OPER","FQ4 2018","FQ4 2018","Currency=USD","Period=FQ","BEST_FPERIOD_OVERRIDE=FQ","FILING_STATUS=MR","SCALING_FORMAT=MLN","Sort=A","Dates=H","DateFormat=P","Fill=—","Direction=H","UseDPDF=Y")</f>
        <v>3194</v>
      </c>
      <c r="D23" s="13">
        <f>_xll.BDH("AMGN US Equity","CF_CASH_FROM_OPER","FQ1 2019","FQ1 2019","Currency=USD","Period=FQ","BEST_FPERIOD_OVERRIDE=FQ","FILING_STATUS=MR","SCALING_FORMAT=MLN","Sort=A","Dates=H","DateFormat=P","Fill=—","Direction=H","UseDPDF=Y")</f>
        <v>1845</v>
      </c>
      <c r="E23" s="13">
        <f>_xll.BDH("AMGN US Equity","CF_CASH_FROM_OPER","FQ2 2019","FQ2 2019","Currency=USD","Period=FQ","BEST_FPERIOD_OVERRIDE=FQ","FILING_STATUS=MR","SCALING_FORMAT=MLN","Sort=A","Dates=H","DateFormat=P","Fill=—","Direction=H","UseDPDF=Y")</f>
        <v>1414</v>
      </c>
      <c r="F23" s="13">
        <f>_xll.BDH("AMGN US Equity","CF_CASH_FROM_OPER","FQ3 2019","FQ3 2019","Currency=USD","Period=FQ","BEST_FPERIOD_OVERRIDE=FQ","FILING_STATUS=MR","SCALING_FORMAT=MLN","Sort=A","Dates=H","DateFormat=P","Fill=—","Direction=H","UseDPDF=Y")</f>
        <v>3377</v>
      </c>
      <c r="G23" s="13">
        <f>_xll.BDH("AMGN US Equity","CF_CASH_FROM_OPER","FQ4 2019","FQ4 2019","Currency=USD","Period=FQ","BEST_FPERIOD_OVERRIDE=FQ","FILING_STATUS=MR","SCALING_FORMAT=MLN","Sort=A","Dates=H","DateFormat=P","Fill=—","Direction=H","UseDPDF=Y")</f>
        <v>2514</v>
      </c>
      <c r="H23" s="13">
        <f>_xll.BDH("AMGN US Equity","CF_CASH_FROM_OPER","FQ1 2020","FQ1 2020","Currency=USD","Period=FQ","BEST_FPERIOD_OVERRIDE=FQ","FILING_STATUS=MR","SCALING_FORMAT=MLN","Sort=A","Dates=H","DateFormat=P","Fill=—","Direction=H","UseDPDF=Y")</f>
        <v>2134</v>
      </c>
      <c r="I23" s="13">
        <f>_xll.BDH("AMGN US Equity","CF_CASH_FROM_OPER","FQ2 2020","FQ2 2020","Currency=USD","Period=FQ","BEST_FPERIOD_OVERRIDE=FQ","FILING_STATUS=MR","SCALING_FORMAT=MLN","Sort=A","Dates=H","DateFormat=P","Fill=—","Direction=H","UseDPDF=Y")</f>
        <v>2842</v>
      </c>
      <c r="J23" s="13">
        <f>_xll.BDH("AMGN US Equity","CF_CASH_FROM_OPER","FQ3 2020","FQ3 2020","Currency=USD","Period=FQ","BEST_FPERIOD_OVERRIDE=FQ","FILING_STATUS=MR","SCALING_FORMAT=MLN","Sort=A","Dates=H","DateFormat=P","Fill=—","Direction=H","UseDPDF=Y")</f>
        <v>3368</v>
      </c>
      <c r="K23" s="13">
        <f>_xll.BDH("AMGN US Equity","CF_CASH_FROM_OPER","FQ4 2020","FQ4 2020","Currency=USD","Period=FQ","BEST_FPERIOD_OVERRIDE=FQ","FILING_STATUS=MR","SCALING_FORMAT=MLN","Sort=A","Dates=H","DateFormat=P","Fill=—","Direction=H","UseDPDF=Y")</f>
        <v>2413</v>
      </c>
      <c r="L23" s="13">
        <f>_xll.BDH("AMGN US Equity","CF_CASH_FROM_OPER","FQ1 2021","FQ1 2021","Currency=USD","Period=FQ","BEST_FPERIOD_OVERRIDE=FQ","FILING_STATUS=MR","SCALING_FORMAT=MLN","Sort=A","Dates=H","DateFormat=P","Fill=—","Direction=H","UseDPDF=Y")</f>
        <v>2104</v>
      </c>
      <c r="M23" s="13">
        <f>_xll.BDH("AMGN US Equity","CF_CASH_FROM_OPER","FQ2 2021","FQ2 2021","Currency=USD","Period=FQ","BEST_FPERIOD_OVERRIDE=FQ","FILING_STATUS=MR","SCALING_FORMAT=MLN","Sort=A","Dates=H","DateFormat=P","Fill=—","Direction=H","UseDPDF=Y")</f>
        <v>1931</v>
      </c>
      <c r="N23" s="13">
        <f>_xll.BDH("AMGN US Equity","CF_CASH_FROM_OPER","FQ3 2021","FQ3 2021","Currency=USD","Period=FQ","BEST_FPERIOD_OVERRIDE=FQ","FILING_STATUS=MR","SCALING_FORMAT=MLN","Sort=A","Dates=H","DateFormat=P","Fill=—","Direction=H","UseDPDF=Y")</f>
        <v>2418</v>
      </c>
      <c r="O23" s="13">
        <f>_xll.BDH("AMGN US Equity","CF_CASH_FROM_OPER","FQ4 2021","FQ4 2021","Currency=USD","Period=FQ","BEST_FPERIOD_OVERRIDE=FQ","FILING_STATUS=MR","SCALING_FORMAT=MLN","Sort=A","Dates=H","DateFormat=P","Fill=—","Direction=H","UseDPDF=Y")</f>
        <v>2808</v>
      </c>
      <c r="P23" s="13">
        <f>_xll.BDH("AMGN US Equity","CF_CASH_FROM_OPER","FQ1 2022","FQ1 2022","Currency=USD","Period=FQ","BEST_FPERIOD_OVERRIDE=FQ","FILING_STATUS=MR","SCALING_FORMAT=MLN","Sort=A","Dates=H","DateFormat=P","Fill=—","Direction=H","UseDPDF=Y")</f>
        <v>2164</v>
      </c>
      <c r="Q23" s="13">
        <f>_xll.BDH("AMGN US Equity","CF_CASH_FROM_OPER","FQ2 2022","FQ2 2022","Currency=USD","Period=FQ","BEST_FPERIOD_OVERRIDE=FQ","FILING_STATUS=MR","SCALING_FORMAT=MLN","Sort=A","Dates=H","DateFormat=P","Fill=—","Direction=H","UseDPDF=Y")</f>
        <v>1930</v>
      </c>
      <c r="R23" s="13">
        <f>_xll.BDH("AMGN US Equity","CF_CASH_FROM_OPER","FQ3 2022","FQ3 2022","Currency=USD","Period=FQ","BEST_FPERIOD_OVERRIDE=FQ","FILING_STATUS=MR","SCALING_FORMAT=MLN","Sort=A","Dates=H","DateFormat=P","Fill=—","Direction=H","UseDPDF=Y")</f>
        <v>2978</v>
      </c>
      <c r="S23" s="13">
        <f>_xll.BDH("AMGN US Equity","CF_CASH_FROM_OPER","FQ4 2022","FQ4 2022","Currency=USD","Period=FQ","BEST_FPERIOD_OVERRIDE=FQ","FILING_STATUS=MR","SCALING_FORMAT=MLN","Sort=A","Dates=H","DateFormat=P","Fill=—","Direction=H","UseDPDF=Y")</f>
        <v>2649</v>
      </c>
      <c r="T23" s="13">
        <f>_xll.BDH("AMGN US Equity","CF_CASH_FROM_OPER","FQ1 2023","FQ1 2023","Currency=USD","Period=FQ","BEST_FPERIOD_OVERRIDE=FQ","FILING_STATUS=MR","SCALING_FORMAT=MLN","Sort=A","Dates=H","DateFormat=P","Fill=—","Direction=H","UseDPDF=Y")</f>
        <v>1064</v>
      </c>
      <c r="U23" s="13">
        <f>_xll.BDH("AMGN US Equity","CF_CASH_FROM_OPER","FQ2 2023","FQ2 2023","Currency=USD","Period=FQ","BEST_FPERIOD_OVERRIDE=FQ","FILING_STATUS=MR","SCALING_FORMAT=MLN","Sort=A","Dates=H","DateFormat=P","Fill=—","Direction=H","UseDPDF=Y")</f>
        <v>4109</v>
      </c>
      <c r="V23" s="13">
        <f>_xll.BDH("AMGN US Equity","CF_CASH_FROM_OPER","FQ3 2023","FQ3 2023","Currency=USD","Period=FQ","BEST_FPERIOD_OVERRIDE=FQ","FILING_STATUS=MR","SCALING_FORMAT=MLN","Sort=A","Dates=H","DateFormat=P","Fill=—","Direction=H","UseDPDF=Y")</f>
        <v>2760</v>
      </c>
      <c r="W23" s="13">
        <f>_xll.BDH("AMGN US Equity","CF_CASH_FROM_OPER","FQ4 2023","FQ4 2023","Currency=USD","Period=FQ","BEST_FPERIOD_OVERRIDE=FQ","FILING_STATUS=MR","SCALING_FORMAT=MLN","Sort=A","Dates=H","DateFormat=P","Fill=—","Direction=H","UseDPDF=Y")</f>
        <v>538</v>
      </c>
      <c r="X23" s="13">
        <f>_xll.BDH("AMGN US Equity","CF_CASH_FROM_OPER","FQ1 2024","FQ1 2024","Currency=USD","Period=FQ","BEST_FPERIOD_OVERRIDE=FQ","FILING_STATUS=MR","SCALING_FORMAT=MLN","Sort=A","Dates=H","DateFormat=P","Fill=—","Direction=H","UseDPDF=Y")</f>
        <v>689</v>
      </c>
      <c r="Y23" s="13">
        <f>_xll.BDH("AMGN US Equity","CF_CASH_FROM_OPER","FQ2 2024","FQ2 2024","Currency=USD","Period=FQ","BEST_FPERIOD_OVERRIDE=FQ","FILING_STATUS=MR","SCALING_FORMAT=MLN","Sort=A","Dates=H","DateFormat=P","Fill=—","Direction=H","UseDPDF=Y")</f>
        <v>2459</v>
      </c>
      <c r="Z23" s="13">
        <f>_xll.BDH("AMGN US Equity","CF_CASH_FROM_OPER","FQ3 2024","FQ3 2024","Currency=USD","Period=FQ","BEST_FPERIOD_OVERRIDE=FQ","FILING_STATUS=MR","SCALING_FORMAT=MLN","Sort=A","Dates=H","DateFormat=P","Fill=—","Direction=H","UseDPDF=Y")</f>
        <v>3571</v>
      </c>
      <c r="AA23" s="13">
        <f>_xll.BDH("AMGN US Equity","CF_CASH_FROM_OPER","FQ4 2024","FQ4 2024","Currency=USD","Period=FQ","BEST_FPERIOD_OVERRIDE=FQ","FILING_STATUS=MR","SCALING_FORMAT=MLN","Sort=A","Dates=H","DateFormat=P","Fill=—","Direction=H","UseDPDF=Y")</f>
        <v>4771</v>
      </c>
    </row>
    <row r="24" spans="1:27" x14ac:dyDescent="0.25">
      <c r="A24" s="10" t="s">
        <v>125</v>
      </c>
      <c r="B24" s="10" t="s">
        <v>126</v>
      </c>
      <c r="C24" s="13">
        <f>_xll.BDH("AMGN US Equity","CF_CASH_FROM_INV_ACT","FQ4 2018","FQ4 2018","Currency=USD","Period=FQ","BEST_FPERIOD_OVERRIDE=FQ","FILING_STATUS=MR","SCALING_FORMAT=MLN","Sort=A","Dates=H","DateFormat=P","Fill=—","Direction=H","UseDPDF=Y")</f>
        <v>-4637</v>
      </c>
      <c r="D24" s="13">
        <f>_xll.BDH("AMGN US Equity","CF_CASH_FROM_INV_ACT","FQ1 2019","FQ1 2019","Currency=USD","Period=FQ","BEST_FPERIOD_OVERRIDE=FQ","FILING_STATUS=MR","SCALING_FORMAT=MLN","Sort=A","Dates=H","DateFormat=P","Fill=—","Direction=H","UseDPDF=Y")</f>
        <v>3555</v>
      </c>
      <c r="E24" s="13">
        <f>_xll.BDH("AMGN US Equity","CF_CASH_FROM_INV_ACT","FQ2 2019","FQ2 2019","Currency=USD","Period=FQ","BEST_FPERIOD_OVERRIDE=FQ","FILING_STATUS=MR","SCALING_FORMAT=MLN","Sort=A","Dates=H","DateFormat=P","Fill=—","Direction=H","UseDPDF=Y")</f>
        <v>2745</v>
      </c>
      <c r="F24" s="13">
        <f>_xll.BDH("AMGN US Equity","CF_CASH_FROM_INV_ACT","FQ3 2019","FQ3 2019","Currency=USD","Period=FQ","BEST_FPERIOD_OVERRIDE=FQ","FILING_STATUS=MR","SCALING_FORMAT=MLN","Sort=A","Dates=H","DateFormat=P","Fill=—","Direction=H","UseDPDF=Y")</f>
        <v>5372</v>
      </c>
      <c r="G24" s="13">
        <f>_xll.BDH("AMGN US Equity","CF_CASH_FROM_INV_ACT","FQ4 2019","FQ4 2019","Currency=USD","Period=FQ","BEST_FPERIOD_OVERRIDE=FQ","FILING_STATUS=MR","SCALING_FORMAT=MLN","Sort=A","Dates=H","DateFormat=P","Fill=—","Direction=H","UseDPDF=Y")</f>
        <v>-5963</v>
      </c>
      <c r="H24" s="13">
        <f>_xll.BDH("AMGN US Equity","CF_CASH_FROM_INV_ACT","FQ1 2020","FQ1 2020","Currency=USD","Period=FQ","BEST_FPERIOD_OVERRIDE=FQ","FILING_STATUS=MR","SCALING_FORMAT=MLN","Sort=A","Dates=H","DateFormat=P","Fill=—","Direction=H","UseDPDF=Y")</f>
        <v>-230</v>
      </c>
      <c r="I24" s="13">
        <f>_xll.BDH("AMGN US Equity","CF_CASH_FROM_INV_ACT","FQ2 2020","FQ2 2020","Currency=USD","Period=FQ","BEST_FPERIOD_OVERRIDE=FQ","FILING_STATUS=MR","SCALING_FORMAT=MLN","Sort=A","Dates=H","DateFormat=P","Fill=—","Direction=H","UseDPDF=Y")</f>
        <v>-2159</v>
      </c>
      <c r="J24" s="13">
        <f>_xll.BDH("AMGN US Equity","CF_CASH_FROM_INV_ACT","FQ3 2020","FQ3 2020","Currency=USD","Period=FQ","BEST_FPERIOD_OVERRIDE=FQ","FILING_STATUS=MR","SCALING_FORMAT=MLN","Sort=A","Dates=H","DateFormat=P","Fill=—","Direction=H","UseDPDF=Y")</f>
        <v>-1628</v>
      </c>
      <c r="K24" s="13">
        <f>_xll.BDH("AMGN US Equity","CF_CASH_FROM_INV_ACT","FQ4 2020","FQ4 2020","Currency=USD","Period=FQ","BEST_FPERIOD_OVERRIDE=FQ","FILING_STATUS=MR","SCALING_FORMAT=MLN","Sort=A","Dates=H","DateFormat=P","Fill=—","Direction=H","UseDPDF=Y")</f>
        <v>-1384</v>
      </c>
      <c r="L24" s="13">
        <f>_xll.BDH("AMGN US Equity","CF_CASH_FROM_INV_ACT","FQ1 2021","FQ1 2021","Currency=USD","Period=FQ","BEST_FPERIOD_OVERRIDE=FQ","FILING_STATUS=MR","SCALING_FORMAT=MLN","Sort=A","Dates=H","DateFormat=P","Fill=—","Direction=H","UseDPDF=Y")</f>
        <v>-319</v>
      </c>
      <c r="M24" s="13">
        <f>_xll.BDH("AMGN US Equity","CF_CASH_FROM_INV_ACT","FQ2 2021","FQ2 2021","Currency=USD","Period=FQ","BEST_FPERIOD_OVERRIDE=FQ","FILING_STATUS=MR","SCALING_FORMAT=MLN","Sort=A","Dates=H","DateFormat=P","Fill=—","Direction=H","UseDPDF=Y")</f>
        <v>1209</v>
      </c>
      <c r="N24" s="13">
        <f>_xll.BDH("AMGN US Equity","CF_CASH_FROM_INV_ACT","FQ3 2021","FQ3 2021","Currency=USD","Period=FQ","BEST_FPERIOD_OVERRIDE=FQ","FILING_STATUS=MR","SCALING_FORMAT=MLN","Sort=A","Dates=H","DateFormat=P","Fill=—","Direction=H","UseDPDF=Y")</f>
        <v>73</v>
      </c>
      <c r="O24" s="13">
        <f>_xll.BDH("AMGN US Equity","CF_CASH_FROM_INV_ACT","FQ4 2021","FQ4 2021","Currency=USD","Period=FQ","BEST_FPERIOD_OVERRIDE=FQ","FILING_STATUS=MR","SCALING_FORMAT=MLN","Sort=A","Dates=H","DateFormat=P","Fill=—","Direction=H","UseDPDF=Y")</f>
        <v>-230</v>
      </c>
      <c r="P24" s="13">
        <f>_xll.BDH("AMGN US Equity","CF_CASH_FROM_INV_ACT","FQ1 2022","FQ1 2022","Currency=USD","Period=FQ","BEST_FPERIOD_OVERRIDE=FQ","FILING_STATUS=MR","SCALING_FORMAT=MLN","Sort=A","Dates=H","DateFormat=P","Fill=—","Direction=H","UseDPDF=Y")</f>
        <v>-111</v>
      </c>
      <c r="Q24" s="13">
        <f>_xll.BDH("AMGN US Equity","CF_CASH_FROM_INV_ACT","FQ2 2022","FQ2 2022","Currency=USD","Period=FQ","BEST_FPERIOD_OVERRIDE=FQ","FILING_STATUS=MR","SCALING_FORMAT=MLN","Sort=A","Dates=H","DateFormat=P","Fill=—","Direction=H","UseDPDF=Y")</f>
        <v>-2193</v>
      </c>
      <c r="R24" s="13">
        <f>_xll.BDH("AMGN US Equity","CF_CASH_FROM_INV_ACT","FQ3 2022","FQ3 2022","Currency=USD","Period=FQ","BEST_FPERIOD_OVERRIDE=FQ","FILING_STATUS=MR","SCALING_FORMAT=MLN","Sort=A","Dates=H","DateFormat=P","Fill=—","Direction=H","UseDPDF=Y")</f>
        <v>-267</v>
      </c>
      <c r="S24" s="13">
        <f>_xll.BDH("AMGN US Equity","CF_CASH_FROM_INV_ACT","FQ4 2022","FQ4 2022","Currency=USD","Period=FQ","BEST_FPERIOD_OVERRIDE=FQ","FILING_STATUS=MR","SCALING_FORMAT=MLN","Sort=A","Dates=H","DateFormat=P","Fill=—","Direction=H","UseDPDF=Y")</f>
        <v>-3473</v>
      </c>
      <c r="T24" s="13">
        <f>_xll.BDH("AMGN US Equity","CF_CASH_FROM_INV_ACT","FQ1 2023","FQ1 2023","Currency=USD","Period=FQ","BEST_FPERIOD_OVERRIDE=FQ","FILING_STATUS=MR","SCALING_FORMAT=MLN","Sort=A","Dates=H","DateFormat=P","Fill=—","Direction=H","UseDPDF=Y")</f>
        <v>1358</v>
      </c>
      <c r="U24" s="13">
        <f>_xll.BDH("AMGN US Equity","CF_CASH_FROM_INV_ACT","FQ2 2023","FQ2 2023","Currency=USD","Period=FQ","BEST_FPERIOD_OVERRIDE=FQ","FILING_STATUS=MR","SCALING_FORMAT=MLN","Sort=A","Dates=H","DateFormat=P","Fill=—","Direction=H","UseDPDF=Y")</f>
        <v>-211</v>
      </c>
      <c r="V24" s="13">
        <f>_xll.BDH("AMGN US Equity","CF_CASH_FROM_INV_ACT","FQ3 2023","FQ3 2023","Currency=USD","Period=FQ","BEST_FPERIOD_OVERRIDE=FQ","FILING_STATUS=MR","SCALING_FORMAT=MLN","Sort=A","Dates=H","DateFormat=P","Fill=—","Direction=H","UseDPDF=Y")</f>
        <v>-262</v>
      </c>
      <c r="W24" s="13">
        <f>_xll.BDH("AMGN US Equity","CF_CASH_FROM_INV_ACT","FQ4 2023","FQ4 2023","Currency=USD","Period=FQ","BEST_FPERIOD_OVERRIDE=FQ","FILING_STATUS=MR","SCALING_FORMAT=MLN","Sort=A","Dates=H","DateFormat=P","Fill=—","Direction=H","UseDPDF=Y")</f>
        <v>-27089</v>
      </c>
      <c r="X24" s="13">
        <f>_xll.BDH("AMGN US Equity","CF_CASH_FROM_INV_ACT","FQ1 2024","FQ1 2024","Currency=USD","Period=FQ","BEST_FPERIOD_OVERRIDE=FQ","FILING_STATUS=MR","SCALING_FORMAT=MLN","Sort=A","Dates=H","DateFormat=P","Fill=—","Direction=H","UseDPDF=Y")</f>
        <v>-217</v>
      </c>
      <c r="Y24" s="13">
        <f>_xll.BDH("AMGN US Equity","CF_CASH_FROM_INV_ACT","FQ2 2024","FQ2 2024","Currency=USD","Period=FQ","BEST_FPERIOD_OVERRIDE=FQ","FILING_STATUS=MR","SCALING_FORMAT=MLN","Sort=A","Dates=H","DateFormat=P","Fill=—","Direction=H","UseDPDF=Y")</f>
        <v>-217</v>
      </c>
      <c r="Z24" s="13">
        <f>_xll.BDH("AMGN US Equity","CF_CASH_FROM_INV_ACT","FQ3 2024","FQ3 2024","Currency=USD","Period=FQ","BEST_FPERIOD_OVERRIDE=FQ","FILING_STATUS=MR","SCALING_FORMAT=MLN","Sort=A","Dates=H","DateFormat=P","Fill=—","Direction=H","UseDPDF=Y")</f>
        <v>-210</v>
      </c>
      <c r="AA24" s="13">
        <f>_xll.BDH("AMGN US Equity","CF_CASH_FROM_INV_ACT","FQ4 2024","FQ4 2024","Currency=USD","Period=FQ","BEST_FPERIOD_OVERRIDE=FQ","FILING_STATUS=MR","SCALING_FORMAT=MLN","Sort=A","Dates=H","DateFormat=P","Fill=—","Direction=H","UseDPDF=Y")</f>
        <v>-402</v>
      </c>
    </row>
    <row r="25" spans="1:27" x14ac:dyDescent="0.25">
      <c r="A25" s="10" t="s">
        <v>127</v>
      </c>
      <c r="B25" s="10" t="s">
        <v>128</v>
      </c>
      <c r="C25" s="13">
        <f>_xll.BDH("AMGN US Equity","CF_CASH_FROM_FNC_ACT","FQ4 2018","FQ4 2018","Currency=USD","Period=FQ","BEST_FPERIOD_OVERRIDE=FQ","FILING_STATUS=MR","SCALING_FORMAT=MLN","Sort=A","Dates=H","DateFormat=P","Fill=—","Direction=H","UseDPDF=Y")</f>
        <v>-3568</v>
      </c>
      <c r="D25" s="13">
        <f>_xll.BDH("AMGN US Equity","CF_CASH_FROM_FNC_ACT","FQ1 2019","FQ1 2019","Currency=USD","Period=FQ","BEST_FPERIOD_OVERRIDE=FQ","FILING_STATUS=MR","SCALING_FORMAT=MLN","Sort=A","Dates=H","DateFormat=P","Fill=—","Direction=H","UseDPDF=Y")</f>
        <v>-4987</v>
      </c>
      <c r="E25" s="13">
        <f>_xll.BDH("AMGN US Equity","CF_CASH_FROM_FNC_ACT","FQ2 2019","FQ2 2019","Currency=USD","Period=FQ","BEST_FPERIOD_OVERRIDE=FQ","FILING_STATUS=MR","SCALING_FORMAT=MLN","Sort=A","Dates=H","DateFormat=P","Fill=—","Direction=H","UseDPDF=Y")</f>
        <v>-5992</v>
      </c>
      <c r="F25" s="13">
        <f>_xll.BDH("AMGN US Equity","CF_CASH_FROM_FNC_ACT","FQ3 2019","FQ3 2019","Currency=USD","Period=FQ","BEST_FPERIOD_OVERRIDE=FQ","FILING_STATUS=MR","SCALING_FORMAT=MLN","Sort=A","Dates=H","DateFormat=P","Fill=—","Direction=H","UseDPDF=Y")</f>
        <v>-2859</v>
      </c>
      <c r="G25" s="13">
        <f>_xll.BDH("AMGN US Equity","CF_CASH_FROM_FNC_ACT","FQ4 2019","FQ4 2019","Currency=USD","Period=FQ","BEST_FPERIOD_OVERRIDE=FQ","FILING_STATUS=MR","SCALING_FORMAT=MLN","Sort=A","Dates=H","DateFormat=P","Fill=—","Direction=H","UseDPDF=Y")</f>
        <v>-1929</v>
      </c>
      <c r="H25" s="13">
        <f>_xll.BDH("AMGN US Equity","CF_CASH_FROM_FNC_ACT","FQ1 2020","FQ1 2020","Currency=USD","Period=FQ","BEST_FPERIOD_OVERRIDE=FQ","FILING_STATUS=MR","SCALING_FORMAT=MLN","Sort=A","Dates=H","DateFormat=P","Fill=—","Direction=H","UseDPDF=Y")</f>
        <v>-254</v>
      </c>
      <c r="I25" s="13">
        <f>_xll.BDH("AMGN US Equity","CF_CASH_FROM_FNC_ACT","FQ2 2020","FQ2 2020","Currency=USD","Period=FQ","BEST_FPERIOD_OVERRIDE=FQ","FILING_STATUS=MR","SCALING_FORMAT=MLN","Sort=A","Dates=H","DateFormat=P","Fill=—","Direction=H","UseDPDF=Y")</f>
        <v>775</v>
      </c>
      <c r="J25" s="13">
        <f>_xll.BDH("AMGN US Equity","CF_CASH_FROM_FNC_ACT","FQ3 2020","FQ3 2020","Currency=USD","Period=FQ","BEST_FPERIOD_OVERRIDE=FQ","FILING_STATUS=MR","SCALING_FORMAT=MLN","Sort=A","Dates=H","DateFormat=P","Fill=—","Direction=H","UseDPDF=Y")</f>
        <v>-1798</v>
      </c>
      <c r="K25" s="13">
        <f>_xll.BDH("AMGN US Equity","CF_CASH_FROM_FNC_ACT","FQ4 2020","FQ4 2020","Currency=USD","Period=FQ","BEST_FPERIOD_OVERRIDE=FQ","FILING_STATUS=MR","SCALING_FORMAT=MLN","Sort=A","Dates=H","DateFormat=P","Fill=—","Direction=H","UseDPDF=Y")</f>
        <v>-3590</v>
      </c>
      <c r="L25" s="13">
        <f>_xll.BDH("AMGN US Equity","CF_CASH_FROM_FNC_ACT","FQ1 2021","FQ1 2021","Currency=USD","Period=FQ","BEST_FPERIOD_OVERRIDE=FQ","FILING_STATUS=MR","SCALING_FORMAT=MLN","Sort=A","Dates=H","DateFormat=P","Fill=—","Direction=H","UseDPDF=Y")</f>
        <v>-1939</v>
      </c>
      <c r="M25" s="13">
        <f>_xll.BDH("AMGN US Equity","CF_CASH_FROM_FNC_ACT","FQ2 2021","FQ2 2021","Currency=USD","Period=FQ","BEST_FPERIOD_OVERRIDE=FQ","FILING_STATUS=MR","SCALING_FORMAT=MLN","Sort=A","Dates=H","DateFormat=P","Fill=—","Direction=H","UseDPDF=Y")</f>
        <v>-2622</v>
      </c>
      <c r="N25" s="13">
        <f>_xll.BDH("AMGN US Equity","CF_CASH_FROM_FNC_ACT","FQ3 2021","FQ3 2021","Currency=USD","Period=FQ","BEST_FPERIOD_OVERRIDE=FQ","FILING_STATUS=MR","SCALING_FORMAT=MLN","Sort=A","Dates=H","DateFormat=P","Fill=—","Direction=H","UseDPDF=Y")</f>
        <v>2848</v>
      </c>
      <c r="O25" s="13">
        <f>_xll.BDH("AMGN US Equity","CF_CASH_FROM_FNC_ACT","FQ4 2021","FQ4 2021","Currency=USD","Period=FQ","BEST_FPERIOD_OVERRIDE=FQ","FILING_STATUS=MR","SCALING_FORMAT=MLN","Sort=A","Dates=H","DateFormat=P","Fill=—","Direction=H","UseDPDF=Y")</f>
        <v>-6558</v>
      </c>
      <c r="P25" s="13">
        <f>_xll.BDH("AMGN US Equity","CF_CASH_FROM_FNC_ACT","FQ1 2022","FQ1 2022","Currency=USD","Period=FQ","BEST_FPERIOD_OVERRIDE=FQ","FILING_STATUS=MR","SCALING_FORMAT=MLN","Sort=A","Dates=H","DateFormat=P","Fill=—","Direction=H","UseDPDF=Y")</f>
        <v>-3514</v>
      </c>
      <c r="Q25" s="13">
        <f>_xll.BDH("AMGN US Equity","CF_CASH_FROM_FNC_ACT","FQ2 2022","FQ2 2022","Currency=USD","Period=FQ","BEST_FPERIOD_OVERRIDE=FQ","FILING_STATUS=MR","SCALING_FORMAT=MLN","Sort=A","Dates=H","DateFormat=P","Fill=—","Direction=H","UseDPDF=Y")</f>
        <v>-1062</v>
      </c>
      <c r="R25" s="13">
        <f>_xll.BDH("AMGN US Equity","CF_CASH_FROM_FNC_ACT","FQ3 2022","FQ3 2022","Currency=USD","Period=FQ","BEST_FPERIOD_OVERRIDE=FQ","FILING_STATUS=MR","SCALING_FORMAT=MLN","Sort=A","Dates=H","DateFormat=P","Fill=—","Direction=H","UseDPDF=Y")</f>
        <v>1588</v>
      </c>
      <c r="S25" s="13">
        <f>_xll.BDH("AMGN US Equity","CF_CASH_FROM_FNC_ACT","FQ4 2022","FQ4 2022","Currency=USD","Period=FQ","BEST_FPERIOD_OVERRIDE=FQ","FILING_STATUS=MR","SCALING_FORMAT=MLN","Sort=A","Dates=H","DateFormat=P","Fill=—","Direction=H","UseDPDF=Y")</f>
        <v>-1049</v>
      </c>
      <c r="T25" s="13">
        <f>_xll.BDH("AMGN US Equity","CF_CASH_FROM_FNC_ACT","FQ1 2023","FQ1 2023","Currency=USD","Period=FQ","BEST_FPERIOD_OVERRIDE=FQ","FILING_STATUS=MR","SCALING_FORMAT=MLN","Sort=A","Dates=H","DateFormat=P","Fill=—","Direction=H","UseDPDF=Y")</f>
        <v>21509</v>
      </c>
      <c r="U25" s="13">
        <f>_xll.BDH("AMGN US Equity","CF_CASH_FROM_FNC_ACT","FQ2 2023","FQ2 2023","Currency=USD","Period=FQ","BEST_FPERIOD_OVERRIDE=FQ","FILING_STATUS=MR","SCALING_FORMAT=MLN","Sort=A","Dates=H","DateFormat=P","Fill=—","Direction=H","UseDPDF=Y")</f>
        <v>-1210</v>
      </c>
      <c r="V25" s="13">
        <f>_xll.BDH("AMGN US Equity","CF_CASH_FROM_FNC_ACT","FQ3 2023","FQ3 2023","Currency=USD","Period=FQ","BEST_FPERIOD_OVERRIDE=FQ","FILING_STATUS=MR","SCALING_FORMAT=MLN","Sort=A","Dates=H","DateFormat=P","Fill=—","Direction=H","UseDPDF=Y")</f>
        <v>-2005</v>
      </c>
      <c r="W25" s="13">
        <f>_xll.BDH("AMGN US Equity","CF_CASH_FROM_FNC_ACT","FQ4 2023","FQ4 2023","Currency=USD","Period=FQ","BEST_FPERIOD_OVERRIDE=FQ","FILING_STATUS=MR","SCALING_FORMAT=MLN","Sort=A","Dates=H","DateFormat=P","Fill=—","Direction=H","UseDPDF=Y")</f>
        <v>2754</v>
      </c>
      <c r="X25" s="13">
        <f>_xll.BDH("AMGN US Equity","CF_CASH_FROM_FNC_ACT","FQ1 2024","FQ1 2024","Currency=USD","Period=FQ","BEST_FPERIOD_OVERRIDE=FQ","FILING_STATUS=MR","SCALING_FORMAT=MLN","Sort=A","Dates=H","DateFormat=P","Fill=—","Direction=H","UseDPDF=Y")</f>
        <v>-1708</v>
      </c>
      <c r="Y25" s="13">
        <f>_xll.BDH("AMGN US Equity","CF_CASH_FROM_FNC_ACT","FQ2 2024","FQ2 2024","Currency=USD","Period=FQ","BEST_FPERIOD_OVERRIDE=FQ","FILING_STATUS=MR","SCALING_FORMAT=MLN","Sort=A","Dates=H","DateFormat=P","Fill=—","Direction=H","UseDPDF=Y")</f>
        <v>-2649</v>
      </c>
      <c r="Z25" s="13">
        <f>_xll.BDH("AMGN US Equity","CF_CASH_FROM_FNC_ACT","FQ3 2024","FQ3 2024","Currency=USD","Period=FQ","BEST_FPERIOD_OVERRIDE=FQ","FILING_STATUS=MR","SCALING_FORMAT=MLN","Sort=A","Dates=H","DateFormat=P","Fill=—","Direction=H","UseDPDF=Y")</f>
        <v>-3651</v>
      </c>
      <c r="AA25" s="13">
        <f>_xll.BDH("AMGN US Equity","CF_CASH_FROM_FNC_ACT","FQ4 2024","FQ4 2024","Currency=USD","Period=FQ","BEST_FPERIOD_OVERRIDE=FQ","FILING_STATUS=MR","SCALING_FORMAT=MLN","Sort=A","Dates=H","DateFormat=P","Fill=—","Direction=H","UseDPDF=Y")</f>
        <v>-1407</v>
      </c>
    </row>
    <row r="26" spans="1:27" x14ac:dyDescent="0.25">
      <c r="A26" s="7" t="s">
        <v>90</v>
      </c>
      <c r="B26" s="7"/>
      <c r="C26" s="7" t="s">
        <v>5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8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702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1264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1265</v>
      </c>
      <c r="B7" s="10" t="s">
        <v>1266</v>
      </c>
      <c r="C7" s="13">
        <f>_xll.BDH("AMGN US Equity","CF_NET_INC","FQ4 2018","FQ4 2018","Currency=USD","Period=FQ","BEST_FPERIOD_OVERRIDE=FQ","FILING_STATUS=MR","SCALING_FORMAT=MLN","Sort=A","Dates=H","DateFormat=P","Fill=—","Direction=H","UseDPDF=Y")</f>
        <v>1928</v>
      </c>
      <c r="D7" s="13">
        <f>_xll.BDH("AMGN US Equity","CF_NET_INC","FQ1 2019","FQ1 2019","Currency=USD","Period=FQ","BEST_FPERIOD_OVERRIDE=FQ","FILING_STATUS=MR","SCALING_FORMAT=MLN","Sort=A","Dates=H","DateFormat=P","Fill=—","Direction=H","UseDPDF=Y")</f>
        <v>1992</v>
      </c>
      <c r="E7" s="13">
        <f>_xll.BDH("AMGN US Equity","CF_NET_INC","FQ2 2019","FQ2 2019","Currency=USD","Period=FQ","BEST_FPERIOD_OVERRIDE=FQ","FILING_STATUS=MR","SCALING_FORMAT=MLN","Sort=A","Dates=H","DateFormat=P","Fill=—","Direction=H","UseDPDF=Y")</f>
        <v>2179</v>
      </c>
      <c r="F7" s="13">
        <f>_xll.BDH("AMGN US Equity","CF_NET_INC","FQ3 2019","FQ3 2019","Currency=USD","Period=FQ","BEST_FPERIOD_OVERRIDE=FQ","FILING_STATUS=MR","SCALING_FORMAT=MLN","Sort=A","Dates=H","DateFormat=P","Fill=—","Direction=H","UseDPDF=Y")</f>
        <v>1968</v>
      </c>
      <c r="G7" s="13">
        <f>_xll.BDH("AMGN US Equity","CF_NET_INC","FQ4 2019","FQ4 2019","Currency=USD","Period=FQ","BEST_FPERIOD_OVERRIDE=FQ","FILING_STATUS=MR","SCALING_FORMAT=MLN","Sort=A","Dates=H","DateFormat=P","Fill=—","Direction=H","UseDPDF=Y")</f>
        <v>1703</v>
      </c>
      <c r="H7" s="13">
        <f>_xll.BDH("AMGN US Equity","CF_NET_INC","FQ1 2020","FQ1 2020","Currency=USD","Period=FQ","BEST_FPERIOD_OVERRIDE=FQ","FILING_STATUS=MR","SCALING_FORMAT=MLN","Sort=A","Dates=H","DateFormat=P","Fill=—","Direction=H","UseDPDF=Y")</f>
        <v>1825</v>
      </c>
      <c r="I7" s="13">
        <f>_xll.BDH("AMGN US Equity","CF_NET_INC","FQ2 2020","FQ2 2020","Currency=USD","Period=FQ","BEST_FPERIOD_OVERRIDE=FQ","FILING_STATUS=MR","SCALING_FORMAT=MLN","Sort=A","Dates=H","DateFormat=P","Fill=—","Direction=H","UseDPDF=Y")</f>
        <v>1803</v>
      </c>
      <c r="J7" s="13">
        <f>_xll.BDH("AMGN US Equity","CF_NET_INC","FQ3 2020","FQ3 2020","Currency=USD","Period=FQ","BEST_FPERIOD_OVERRIDE=FQ","FILING_STATUS=MR","SCALING_FORMAT=MLN","Sort=A","Dates=H","DateFormat=P","Fill=—","Direction=H","UseDPDF=Y")</f>
        <v>2021</v>
      </c>
      <c r="K7" s="13">
        <f>_xll.BDH("AMGN US Equity","CF_NET_INC","FQ4 2020","FQ4 2020","Currency=USD","Period=FQ","BEST_FPERIOD_OVERRIDE=FQ","FILING_STATUS=MR","SCALING_FORMAT=MLN","Sort=A","Dates=H","DateFormat=P","Fill=—","Direction=H","UseDPDF=Y")</f>
        <v>1615</v>
      </c>
      <c r="L7" s="13">
        <f>_xll.BDH("AMGN US Equity","CF_NET_INC","FQ1 2021","FQ1 2021","Currency=USD","Period=FQ","BEST_FPERIOD_OVERRIDE=FQ","FILING_STATUS=MR","SCALING_FORMAT=MLN","Sort=A","Dates=H","DateFormat=P","Fill=—","Direction=H","UseDPDF=Y")</f>
        <v>1646</v>
      </c>
      <c r="M7" s="13">
        <f>_xll.BDH("AMGN US Equity","CF_NET_INC","FQ2 2021","FQ2 2021","Currency=USD","Period=FQ","BEST_FPERIOD_OVERRIDE=FQ","FILING_STATUS=MR","SCALING_FORMAT=MLN","Sort=A","Dates=H","DateFormat=P","Fill=—","Direction=H","UseDPDF=Y")</f>
        <v>464</v>
      </c>
      <c r="N7" s="13">
        <f>_xll.BDH("AMGN US Equity","CF_NET_INC","FQ3 2021","FQ3 2021","Currency=USD","Period=FQ","BEST_FPERIOD_OVERRIDE=FQ","FILING_STATUS=MR","SCALING_FORMAT=MLN","Sort=A","Dates=H","DateFormat=P","Fill=—","Direction=H","UseDPDF=Y")</f>
        <v>1884</v>
      </c>
      <c r="O7" s="13">
        <f>_xll.BDH("AMGN US Equity","CF_NET_INC","FQ4 2021","FQ4 2021","Currency=USD","Period=FQ","BEST_FPERIOD_OVERRIDE=FQ","FILING_STATUS=MR","SCALING_FORMAT=MLN","Sort=A","Dates=H","DateFormat=P","Fill=—","Direction=H","UseDPDF=Y")</f>
        <v>1899</v>
      </c>
      <c r="P7" s="13">
        <f>_xll.BDH("AMGN US Equity","CF_NET_INC","FQ1 2022","FQ1 2022","Currency=USD","Period=FQ","BEST_FPERIOD_OVERRIDE=FQ","FILING_STATUS=MR","SCALING_FORMAT=MLN","Sort=A","Dates=H","DateFormat=P","Fill=—","Direction=H","UseDPDF=Y")</f>
        <v>1476</v>
      </c>
      <c r="Q7" s="13">
        <f>_xll.BDH("AMGN US Equity","CF_NET_INC","FQ2 2022","FQ2 2022","Currency=USD","Period=FQ","BEST_FPERIOD_OVERRIDE=FQ","FILING_STATUS=MR","SCALING_FORMAT=MLN","Sort=A","Dates=H","DateFormat=P","Fill=—","Direction=H","UseDPDF=Y")</f>
        <v>1317</v>
      </c>
      <c r="R7" s="13">
        <f>_xll.BDH("AMGN US Equity","CF_NET_INC","FQ3 2022","FQ3 2022","Currency=USD","Period=FQ","BEST_FPERIOD_OVERRIDE=FQ","FILING_STATUS=MR","SCALING_FORMAT=MLN","Sort=A","Dates=H","DateFormat=P","Fill=—","Direction=H","UseDPDF=Y")</f>
        <v>2143</v>
      </c>
      <c r="S7" s="13">
        <f>_xll.BDH("AMGN US Equity","CF_NET_INC","FQ4 2022","FQ4 2022","Currency=USD","Period=FQ","BEST_FPERIOD_OVERRIDE=FQ","FILING_STATUS=MR","SCALING_FORMAT=MLN","Sort=A","Dates=H","DateFormat=P","Fill=—","Direction=H","UseDPDF=Y")</f>
        <v>1616</v>
      </c>
      <c r="T7" s="13">
        <f>_xll.BDH("AMGN US Equity","CF_NET_INC","FQ1 2023","FQ1 2023","Currency=USD","Period=FQ","BEST_FPERIOD_OVERRIDE=FQ","FILING_STATUS=MR","SCALING_FORMAT=MLN","Sort=A","Dates=H","DateFormat=P","Fill=—","Direction=H","UseDPDF=Y")</f>
        <v>2841</v>
      </c>
      <c r="U7" s="13">
        <f>_xll.BDH("AMGN US Equity","CF_NET_INC","FQ2 2023","FQ2 2023","Currency=USD","Period=FQ","BEST_FPERIOD_OVERRIDE=FQ","FILING_STATUS=MR","SCALING_FORMAT=MLN","Sort=A","Dates=H","DateFormat=P","Fill=—","Direction=H","UseDPDF=Y")</f>
        <v>1379</v>
      </c>
      <c r="V7" s="13">
        <f>_xll.BDH("AMGN US Equity","CF_NET_INC","FQ3 2023","FQ3 2023","Currency=USD","Period=FQ","BEST_FPERIOD_OVERRIDE=FQ","FILING_STATUS=MR","SCALING_FORMAT=MLN","Sort=A","Dates=H","DateFormat=P","Fill=—","Direction=H","UseDPDF=Y")</f>
        <v>1730</v>
      </c>
      <c r="W7" s="13">
        <f>_xll.BDH("AMGN US Equity","CF_NET_INC","FQ4 2023","FQ4 2023","Currency=USD","Period=FQ","BEST_FPERIOD_OVERRIDE=FQ","FILING_STATUS=MR","SCALING_FORMAT=MLN","Sort=A","Dates=H","DateFormat=P","Fill=—","Direction=H","UseDPDF=Y")</f>
        <v>767</v>
      </c>
      <c r="X7" s="13">
        <f>_xll.BDH("AMGN US Equity","CF_NET_INC","FQ1 2024","FQ1 2024","Currency=USD","Period=FQ","BEST_FPERIOD_OVERRIDE=FQ","FILING_STATUS=MR","SCALING_FORMAT=MLN","Sort=A","Dates=H","DateFormat=P","Fill=—","Direction=H","UseDPDF=Y")</f>
        <v>-113</v>
      </c>
      <c r="Y7" s="13">
        <f>_xll.BDH("AMGN US Equity","CF_NET_INC","FQ2 2024","FQ2 2024","Currency=USD","Period=FQ","BEST_FPERIOD_OVERRIDE=FQ","FILING_STATUS=MR","SCALING_FORMAT=MLN","Sort=A","Dates=H","DateFormat=P","Fill=—","Direction=H","UseDPDF=Y")</f>
        <v>746</v>
      </c>
      <c r="Z7" s="13">
        <f>_xll.BDH("AMGN US Equity","CF_NET_INC","FQ3 2024","FQ3 2024","Currency=USD","Period=FQ","BEST_FPERIOD_OVERRIDE=FQ","FILING_STATUS=MR","SCALING_FORMAT=MLN","Sort=A","Dates=H","DateFormat=P","Fill=—","Direction=H","UseDPDF=Y")</f>
        <v>2830</v>
      </c>
      <c r="AA7" s="13">
        <f>_xll.BDH("AMGN US Equity","CF_NET_INC","FQ4 2024","FQ4 2024","Currency=USD","Period=FQ","BEST_FPERIOD_OVERRIDE=FQ","FILING_STATUS=MR","SCALING_FORMAT=MLN","Sort=A","Dates=H","DateFormat=P","Fill=—","Direction=H","UseDPDF=Y")</f>
        <v>627</v>
      </c>
    </row>
    <row r="8" spans="1:27" x14ac:dyDescent="0.25">
      <c r="A8" s="10" t="s">
        <v>610</v>
      </c>
      <c r="B8" s="10" t="s">
        <v>1267</v>
      </c>
      <c r="C8" s="13">
        <f>_xll.BDH("AMGN US Equity","CF_DEPR_AMORT","FQ4 2018","FQ4 2018","Currency=USD","Period=FQ","BEST_FPERIOD_OVERRIDE=FQ","FILING_STATUS=MR","SCALING_FORMAT=MLN","Sort=A","Dates=H","DateFormat=P","Fill=—","Direction=H","UseDPDF=Y")</f>
        <v>490</v>
      </c>
      <c r="D8" s="13">
        <f>_xll.BDH("AMGN US Equity","CF_DEPR_AMORT","FQ1 2019","FQ1 2019","Currency=USD","Period=FQ","BEST_FPERIOD_OVERRIDE=FQ","FILING_STATUS=MR","SCALING_FORMAT=MLN","Sort=A","Dates=H","DateFormat=P","Fill=—","Direction=H","UseDPDF=Y")</f>
        <v>495</v>
      </c>
      <c r="E8" s="13">
        <f>_xll.BDH("AMGN US Equity","CF_DEPR_AMORT","FQ2 2019","FQ2 2019","Currency=USD","Period=FQ","BEST_FPERIOD_OVERRIDE=FQ","FILING_STATUS=MR","SCALING_FORMAT=MLN","Sort=A","Dates=H","DateFormat=P","Fill=—","Direction=H","UseDPDF=Y")</f>
        <v>501</v>
      </c>
      <c r="F8" s="13">
        <f>_xll.BDH("AMGN US Equity","CF_DEPR_AMORT","FQ3 2019","FQ3 2019","Currency=USD","Period=FQ","BEST_FPERIOD_OVERRIDE=FQ","FILING_STATUS=MR","SCALING_FORMAT=MLN","Sort=A","Dates=H","DateFormat=P","Fill=—","Direction=H","UseDPDF=Y")</f>
        <v>508</v>
      </c>
      <c r="G8" s="13">
        <f>_xll.BDH("AMGN US Equity","CF_DEPR_AMORT","FQ4 2019","FQ4 2019","Currency=USD","Period=FQ","BEST_FPERIOD_OVERRIDE=FQ","FILING_STATUS=MR","SCALING_FORMAT=MLN","Sort=A","Dates=H","DateFormat=P","Fill=—","Direction=H","UseDPDF=Y")</f>
        <v>702</v>
      </c>
      <c r="H8" s="13">
        <f>_xll.BDH("AMGN US Equity","CF_DEPR_AMORT","FQ1 2020","FQ1 2020","Currency=USD","Period=FQ","BEST_FPERIOD_OVERRIDE=FQ","FILING_STATUS=MR","SCALING_FORMAT=MLN","Sort=A","Dates=H","DateFormat=P","Fill=—","Direction=H","UseDPDF=Y")</f>
        <v>897</v>
      </c>
      <c r="I8" s="13">
        <f>_xll.BDH("AMGN US Equity","CF_DEPR_AMORT","FQ2 2020","FQ2 2020","Currency=USD","Period=FQ","BEST_FPERIOD_OVERRIDE=FQ","FILING_STATUS=MR","SCALING_FORMAT=MLN","Sort=A","Dates=H","DateFormat=P","Fill=—","Direction=H","UseDPDF=Y")</f>
        <v>930</v>
      </c>
      <c r="J8" s="13">
        <f>_xll.BDH("AMGN US Equity","CF_DEPR_AMORT","FQ3 2020","FQ3 2020","Currency=USD","Period=FQ","BEST_FPERIOD_OVERRIDE=FQ","FILING_STATUS=MR","SCALING_FORMAT=MLN","Sort=A","Dates=H","DateFormat=P","Fill=—","Direction=H","UseDPDF=Y")</f>
        <v>901</v>
      </c>
      <c r="K8" s="13">
        <f>_xll.BDH("AMGN US Equity","CF_DEPR_AMORT","FQ4 2020","FQ4 2020","Currency=USD","Period=FQ","BEST_FPERIOD_OVERRIDE=FQ","FILING_STATUS=MR","SCALING_FORMAT=MLN","Sort=A","Dates=H","DateFormat=P","Fill=—","Direction=H","UseDPDF=Y")</f>
        <v>873</v>
      </c>
      <c r="L8" s="13">
        <f>_xll.BDH("AMGN US Equity","CF_DEPR_AMORT","FQ1 2021","FQ1 2021","Currency=USD","Period=FQ","BEST_FPERIOD_OVERRIDE=FQ","FILING_STATUS=MR","SCALING_FORMAT=MLN","Sort=A","Dates=H","DateFormat=P","Fill=—","Direction=H","UseDPDF=Y")</f>
        <v>841</v>
      </c>
      <c r="M8" s="13">
        <f>_xll.BDH("AMGN US Equity","CF_DEPR_AMORT","FQ2 2021","FQ2 2021","Currency=USD","Period=FQ","BEST_FPERIOD_OVERRIDE=FQ","FILING_STATUS=MR","SCALING_FORMAT=MLN","Sort=A","Dates=H","DateFormat=P","Fill=—","Direction=H","UseDPDF=Y")</f>
        <v>855</v>
      </c>
      <c r="N8" s="13">
        <f>_xll.BDH("AMGN US Equity","CF_DEPR_AMORT","FQ3 2021","FQ3 2021","Currency=USD","Period=FQ","BEST_FPERIOD_OVERRIDE=FQ","FILING_STATUS=MR","SCALING_FORMAT=MLN","Sort=A","Dates=H","DateFormat=P","Fill=—","Direction=H","UseDPDF=Y")</f>
        <v>850</v>
      </c>
      <c r="O8" s="13">
        <f>_xll.BDH("AMGN US Equity","CF_DEPR_AMORT","FQ4 2021","FQ4 2021","Currency=USD","Period=FQ","BEST_FPERIOD_OVERRIDE=FQ","FILING_STATUS=MR","SCALING_FORMAT=MLN","Sort=A","Dates=H","DateFormat=P","Fill=—","Direction=H","UseDPDF=Y")</f>
        <v>852</v>
      </c>
      <c r="P8" s="13">
        <f>_xll.BDH("AMGN US Equity","CF_DEPR_AMORT","FQ1 2022","FQ1 2022","Currency=USD","Period=FQ","BEST_FPERIOD_OVERRIDE=FQ","FILING_STATUS=MR","SCALING_FORMAT=MLN","Sort=A","Dates=H","DateFormat=P","Fill=—","Direction=H","UseDPDF=Y")</f>
        <v>841</v>
      </c>
      <c r="Q8" s="13">
        <f>_xll.BDH("AMGN US Equity","CF_DEPR_AMORT","FQ2 2022","FQ2 2022","Currency=USD","Period=FQ","BEST_FPERIOD_OVERRIDE=FQ","FILING_STATUS=MR","SCALING_FORMAT=MLN","Sort=A","Dates=H","DateFormat=P","Fill=—","Direction=H","UseDPDF=Y")</f>
        <v>828</v>
      </c>
      <c r="R8" s="13">
        <f>_xll.BDH("AMGN US Equity","CF_DEPR_AMORT","FQ3 2022","FQ3 2022","Currency=USD","Period=FQ","BEST_FPERIOD_OVERRIDE=FQ","FILING_STATUS=MR","SCALING_FORMAT=MLN","Sort=A","Dates=H","DateFormat=P","Fill=—","Direction=H","UseDPDF=Y")</f>
        <v>837</v>
      </c>
      <c r="S8" s="13">
        <f>_xll.BDH("AMGN US Equity","CF_DEPR_AMORT","FQ4 2022","FQ4 2022","Currency=USD","Period=FQ","BEST_FPERIOD_OVERRIDE=FQ","FILING_STATUS=MR","SCALING_FORMAT=MLN","Sort=A","Dates=H","DateFormat=P","Fill=—","Direction=H","UseDPDF=Y")</f>
        <v>911</v>
      </c>
      <c r="T8" s="13">
        <f>_xll.BDH("AMGN US Equity","CF_DEPR_AMORT","FQ1 2023","FQ1 2023","Currency=USD","Period=FQ","BEST_FPERIOD_OVERRIDE=FQ","FILING_STATUS=MR","SCALING_FORMAT=MLN","Sort=A","Dates=H","DateFormat=P","Fill=—","Direction=H","UseDPDF=Y")</f>
        <v>900</v>
      </c>
      <c r="U8" s="13">
        <f>_xll.BDH("AMGN US Equity","CF_DEPR_AMORT","FQ2 2023","FQ2 2023","Currency=USD","Period=FQ","BEST_FPERIOD_OVERRIDE=FQ","FILING_STATUS=MR","SCALING_FORMAT=MLN","Sort=A","Dates=H","DateFormat=P","Fill=—","Direction=H","UseDPDF=Y")</f>
        <v>896</v>
      </c>
      <c r="V8" s="13">
        <f>_xll.BDH("AMGN US Equity","CF_DEPR_AMORT","FQ3 2023","FQ3 2023","Currency=USD","Period=FQ","BEST_FPERIOD_OVERRIDE=FQ","FILING_STATUS=MR","SCALING_FORMAT=MLN","Sort=A","Dates=H","DateFormat=P","Fill=—","Direction=H","UseDPDF=Y")</f>
        <v>895</v>
      </c>
      <c r="W8" s="13">
        <f>_xll.BDH("AMGN US Equity","CF_DEPR_AMORT","FQ4 2023","FQ4 2023","Currency=USD","Period=FQ","BEST_FPERIOD_OVERRIDE=FQ","FILING_STATUS=MR","SCALING_FORMAT=MLN","Sort=A","Dates=H","DateFormat=P","Fill=—","Direction=H","UseDPDF=Y")</f>
        <v>1380</v>
      </c>
      <c r="X8" s="13">
        <f>_xll.BDH("AMGN US Equity","CF_DEPR_AMORT","FQ1 2024","FQ1 2024","Currency=USD","Period=FQ","BEST_FPERIOD_OVERRIDE=FQ","FILING_STATUS=MR","SCALING_FORMAT=MLN","Sort=A","Dates=H","DateFormat=P","Fill=—","Direction=H","UseDPDF=Y")</f>
        <v>1399</v>
      </c>
      <c r="Y8" s="13">
        <f>_xll.BDH("AMGN US Equity","CF_DEPR_AMORT","FQ2 2024","FQ2 2024","Currency=USD","Period=FQ","BEST_FPERIOD_OVERRIDE=FQ","FILING_STATUS=MR","SCALING_FORMAT=MLN","Sort=A","Dates=H","DateFormat=P","Fill=—","Direction=H","UseDPDF=Y")</f>
        <v>1400</v>
      </c>
      <c r="Z8" s="13">
        <f>_xll.BDH("AMGN US Equity","CF_DEPR_AMORT","FQ3 2024","FQ3 2024","Currency=USD","Period=FQ","BEST_FPERIOD_OVERRIDE=FQ","FILING_STATUS=MR","SCALING_FORMAT=MLN","Sort=A","Dates=H","DateFormat=P","Fill=—","Direction=H","UseDPDF=Y")</f>
        <v>1396</v>
      </c>
      <c r="AA8" s="13">
        <f>_xll.BDH("AMGN US Equity","CF_DEPR_AMORT","FQ4 2024","FQ4 2024","Currency=USD","Period=FQ","BEST_FPERIOD_OVERRIDE=FQ","FILING_STATUS=MR","SCALING_FORMAT=MLN","Sort=A","Dates=H","DateFormat=P","Fill=—","Direction=H","UseDPDF=Y")</f>
        <v>1397</v>
      </c>
    </row>
    <row r="9" spans="1:27" x14ac:dyDescent="0.25">
      <c r="A9" s="10" t="s">
        <v>1268</v>
      </c>
      <c r="B9" s="10" t="s">
        <v>1269</v>
      </c>
      <c r="C9" s="13">
        <f>_xll.BDH("AMGN US Equity","NON_CASH_ITEMS_DETAILED","FQ4 2018","FQ4 2018","Currency=USD","Period=FQ","BEST_FPERIOD_OVERRIDE=FQ","FILING_STATUS=MR","SCALING_FORMAT=MLN","Sort=A","Dates=H","DateFormat=P","Fill=—","Direction=H","UseDPDF=Y")</f>
        <v>639</v>
      </c>
      <c r="D9" s="13">
        <f>_xll.BDH("AMGN US Equity","NON_CASH_ITEMS_DETAILED","FQ1 2019","FQ1 2019","Currency=USD","Period=FQ","BEST_FPERIOD_OVERRIDE=FQ","FILING_STATUS=MR","SCALING_FORMAT=MLN","Sort=A","Dates=H","DateFormat=P","Fill=—","Direction=H","UseDPDF=Y")</f>
        <v>-572</v>
      </c>
      <c r="E9" s="13">
        <f>_xll.BDH("AMGN US Equity","NON_CASH_ITEMS_DETAILED","FQ2 2019","FQ2 2019","Currency=USD","Period=FQ","BEST_FPERIOD_OVERRIDE=FQ","FILING_STATUS=MR","SCALING_FORMAT=MLN","Sort=A","Dates=H","DateFormat=P","Fill=—","Direction=H","UseDPDF=Y")</f>
        <v>-528</v>
      </c>
      <c r="F9" s="13">
        <f>_xll.BDH("AMGN US Equity","NON_CASH_ITEMS_DETAILED","FQ3 2019","FQ3 2019","Currency=USD","Period=FQ","BEST_FPERIOD_OVERRIDE=FQ","FILING_STATUS=MR","SCALING_FORMAT=MLN","Sort=A","Dates=H","DateFormat=P","Fill=—","Direction=H","UseDPDF=Y")</f>
        <v>581</v>
      </c>
      <c r="G9" s="13">
        <f>_xll.BDH("AMGN US Equity","NON_CASH_ITEMS_DETAILED","FQ4 2019","FQ4 2019","Currency=USD","Period=FQ","BEST_FPERIOD_OVERRIDE=FQ","FILING_STATUS=MR","SCALING_FORMAT=MLN","Sort=A","Dates=H","DateFormat=P","Fill=—","Direction=H","UseDPDF=Y")</f>
        <v>612</v>
      </c>
      <c r="H9" s="13">
        <f>_xll.BDH("AMGN US Equity","NON_CASH_ITEMS_DETAILED","FQ1 2020","FQ1 2020","Currency=USD","Period=FQ","BEST_FPERIOD_OVERRIDE=FQ","FILING_STATUS=MR","SCALING_FORMAT=MLN","Sort=A","Dates=H","DateFormat=P","Fill=—","Direction=H","UseDPDF=Y")</f>
        <v>368</v>
      </c>
      <c r="I9" s="13">
        <f>_xll.BDH("AMGN US Equity","NON_CASH_ITEMS_DETAILED","FQ2 2020","FQ2 2020","Currency=USD","Period=FQ","BEST_FPERIOD_OVERRIDE=FQ","FILING_STATUS=MR","SCALING_FORMAT=MLN","Sort=A","Dates=H","DateFormat=P","Fill=—","Direction=H","UseDPDF=Y")</f>
        <v>320</v>
      </c>
      <c r="J9" s="13">
        <f>_xll.BDH("AMGN US Equity","NON_CASH_ITEMS_DETAILED","FQ3 2020","FQ3 2020","Currency=USD","Period=FQ","BEST_FPERIOD_OVERRIDE=FQ","FILING_STATUS=MR","SCALING_FORMAT=MLN","Sort=A","Dates=H","DateFormat=P","Fill=—","Direction=H","UseDPDF=Y")</f>
        <v>129</v>
      </c>
      <c r="K9" s="13">
        <f>_xll.BDH("AMGN US Equity","NON_CASH_ITEMS_DETAILED","FQ4 2020","FQ4 2020","Currency=USD","Period=FQ","BEST_FPERIOD_OVERRIDE=FQ","FILING_STATUS=MR","SCALING_FORMAT=MLN","Sort=A","Dates=H","DateFormat=P","Fill=—","Direction=H","UseDPDF=Y")</f>
        <v>-79</v>
      </c>
      <c r="L9" s="13">
        <f>_xll.BDH("AMGN US Equity","NON_CASH_ITEMS_DETAILED","FQ1 2021","FQ1 2021","Currency=USD","Period=FQ","BEST_FPERIOD_OVERRIDE=FQ","FILING_STATUS=MR","SCALING_FORMAT=MLN","Sort=A","Dates=H","DateFormat=P","Fill=—","Direction=H","UseDPDF=Y")</f>
        <v>-371</v>
      </c>
      <c r="M9" s="13">
        <f>_xll.BDH("AMGN US Equity","NON_CASH_ITEMS_DETAILED","FQ2 2021","FQ2 2021","Currency=USD","Period=FQ","BEST_FPERIOD_OVERRIDE=FQ","FILING_STATUS=MR","SCALING_FORMAT=MLN","Sort=A","Dates=H","DateFormat=P","Fill=—","Direction=H","UseDPDF=Y")</f>
        <v>1818</v>
      </c>
      <c r="N9" s="13">
        <f>_xll.BDH("AMGN US Equity","NON_CASH_ITEMS_DETAILED","FQ3 2021","FQ3 2021","Currency=USD","Period=FQ","BEST_FPERIOD_OVERRIDE=FQ","FILING_STATUS=MR","SCALING_FORMAT=MLN","Sort=A","Dates=H","DateFormat=P","Fill=—","Direction=H","UseDPDF=Y")</f>
        <v>-71</v>
      </c>
      <c r="O9" s="13">
        <f>_xll.BDH("AMGN US Equity","NON_CASH_ITEMS_DETAILED","FQ4 2021","FQ4 2021","Currency=USD","Period=FQ","BEST_FPERIOD_OVERRIDE=FQ","FILING_STATUS=MR","SCALING_FORMAT=MLN","Sort=A","Dates=H","DateFormat=P","Fill=—","Direction=H","UseDPDF=Y")</f>
        <v>111</v>
      </c>
      <c r="P9" s="13">
        <f>_xll.BDH("AMGN US Equity","NON_CASH_ITEMS_DETAILED","FQ1 2022","FQ1 2022","Currency=USD","Period=FQ","BEST_FPERIOD_OVERRIDE=FQ","FILING_STATUS=MR","SCALING_FORMAT=MLN","Sort=A","Dates=H","DateFormat=P","Fill=—","Direction=H","UseDPDF=Y")</f>
        <v>-88</v>
      </c>
      <c r="Q9" s="13">
        <f>_xll.BDH("AMGN US Equity","NON_CASH_ITEMS_DETAILED","FQ2 2022","FQ2 2022","Currency=USD","Period=FQ","BEST_FPERIOD_OVERRIDE=FQ","FILING_STATUS=MR","SCALING_FORMAT=MLN","Sort=A","Dates=H","DateFormat=P","Fill=—","Direction=H","UseDPDF=Y")</f>
        <v>1417</v>
      </c>
      <c r="R9" s="13">
        <f>_xll.BDH("AMGN US Equity","NON_CASH_ITEMS_DETAILED","FQ3 2022","FQ3 2022","Currency=USD","Period=FQ","BEST_FPERIOD_OVERRIDE=FQ","FILING_STATUS=MR","SCALING_FORMAT=MLN","Sort=A","Dates=H","DateFormat=P","Fill=—","Direction=H","UseDPDF=Y")</f>
        <v>152</v>
      </c>
      <c r="S9" s="13">
        <f>_xll.BDH("AMGN US Equity","NON_CASH_ITEMS_DETAILED","FQ4 2022","FQ4 2022","Currency=USD","Period=FQ","BEST_FPERIOD_OVERRIDE=FQ","FILING_STATUS=MR","SCALING_FORMAT=MLN","Sort=A","Dates=H","DateFormat=P","Fill=—","Direction=H","UseDPDF=Y")</f>
        <v>252</v>
      </c>
      <c r="T9" s="13">
        <f>_xll.BDH("AMGN US Equity","NON_CASH_ITEMS_DETAILED","FQ1 2023","FQ1 2023","Currency=USD","Period=FQ","BEST_FPERIOD_OVERRIDE=FQ","FILING_STATUS=MR","SCALING_FORMAT=MLN","Sort=A","Dates=H","DateFormat=P","Fill=—","Direction=H","UseDPDF=Y")</f>
        <v>-2665</v>
      </c>
      <c r="U9" s="13">
        <f>_xll.BDH("AMGN US Equity","NON_CASH_ITEMS_DETAILED","FQ2 2023","FQ2 2023","Currency=USD","Period=FQ","BEST_FPERIOD_OVERRIDE=FQ","FILING_STATUS=MR","SCALING_FORMAT=MLN","Sort=A","Dates=H","DateFormat=P","Fill=—","Direction=H","UseDPDF=Y")</f>
        <v>1990</v>
      </c>
      <c r="V9" s="13">
        <f>_xll.BDH("AMGN US Equity","NON_CASH_ITEMS_DETAILED","FQ3 2023","FQ3 2023","Currency=USD","Period=FQ","BEST_FPERIOD_OVERRIDE=FQ","FILING_STATUS=MR","SCALING_FORMAT=MLN","Sort=A","Dates=H","DateFormat=P","Fill=—","Direction=H","UseDPDF=Y")</f>
        <v>180</v>
      </c>
      <c r="W9" s="13">
        <f>_xll.BDH("AMGN US Equity","NON_CASH_ITEMS_DETAILED","FQ4 2023","FQ4 2023","Currency=USD","Period=FQ","BEST_FPERIOD_OVERRIDE=FQ","FILING_STATUS=MR","SCALING_FORMAT=MLN","Sort=A","Dates=H","DateFormat=P","Fill=—","Direction=H","UseDPDF=Y")</f>
        <v>135</v>
      </c>
      <c r="X9" s="13">
        <f>_xll.BDH("AMGN US Equity","NON_CASH_ITEMS_DETAILED","FQ1 2024","FQ1 2024","Currency=USD","Period=FQ","BEST_FPERIOD_OVERRIDE=FQ","FILING_STATUS=MR","SCALING_FORMAT=MLN","Sort=A","Dates=H","DateFormat=P","Fill=—","Direction=H","UseDPDF=Y")</f>
        <v>-765</v>
      </c>
      <c r="Y9" s="13">
        <f>_xll.BDH("AMGN US Equity","NON_CASH_ITEMS_DETAILED","FQ2 2024","FQ2 2024","Currency=USD","Period=FQ","BEST_FPERIOD_OVERRIDE=FQ","FILING_STATUS=MR","SCALING_FORMAT=MLN","Sort=A","Dates=H","DateFormat=P","Fill=—","Direction=H","UseDPDF=Y")</f>
        <v>42</v>
      </c>
      <c r="Z9" s="13">
        <f>_xll.BDH("AMGN US Equity","NON_CASH_ITEMS_DETAILED","FQ3 2024","FQ3 2024","Currency=USD","Period=FQ","BEST_FPERIOD_OVERRIDE=FQ","FILING_STATUS=MR","SCALING_FORMAT=MLN","Sort=A","Dates=H","DateFormat=P","Fill=—","Direction=H","UseDPDF=Y")</f>
        <v>-1773</v>
      </c>
      <c r="AA9" s="13">
        <f>_xll.BDH("AMGN US Equity","NON_CASH_ITEMS_DETAILED","FQ4 2024","FQ4 2024","Currency=USD","Period=FQ","BEST_FPERIOD_OVERRIDE=FQ","FILING_STATUS=MR","SCALING_FORMAT=MLN","Sort=A","Dates=H","DateFormat=P","Fill=—","Direction=H","UseDPDF=Y")</f>
        <v>744</v>
      </c>
    </row>
    <row r="10" spans="1:27" x14ac:dyDescent="0.25">
      <c r="A10" s="10" t="s">
        <v>1270</v>
      </c>
      <c r="B10" s="10" t="s">
        <v>1271</v>
      </c>
      <c r="C10" s="13">
        <f>_xll.BDH("AMGN US Equity","CF_STOCK_BASED_COMPENSATION","FQ4 2018","FQ4 2018","Currency=USD","Period=FQ","BEST_FPERIOD_OVERRIDE=FQ","FILING_STATUS=MR","SCALING_FORMAT=MLN","Sort=A","Dates=H","DateFormat=P","Fill=—","Direction=H","UseDPDF=Y")</f>
        <v>257</v>
      </c>
      <c r="D10" s="13" t="str">
        <f>_xll.BDH("AMGN US Equity","CF_STOCK_BASED_COMPENSATION","FQ1 2019","FQ1 2019","Currency=USD","Period=FQ","BEST_FPERIOD_OVERRIDE=FQ","FILING_STATUS=MR","SCALING_FORMAT=MLN","Sort=A","Dates=H","DateFormat=P","Fill=—","Direction=H","UseDPDF=Y")</f>
        <v>—</v>
      </c>
      <c r="E10" s="13" t="str">
        <f>_xll.BDH("AMGN US Equity","CF_STOCK_BASED_COMPENSATION","FQ2 2019","FQ2 2019","Currency=USD","Period=FQ","BEST_FPERIOD_OVERRIDE=FQ","FILING_STATUS=MR","SCALING_FORMAT=MLN","Sort=A","Dates=H","DateFormat=P","Fill=—","Direction=H","UseDPDF=Y")</f>
        <v>—</v>
      </c>
      <c r="F10" s="13" t="str">
        <f>_xll.BDH("AMGN US Equity","CF_STOCK_BASED_COMPENSATION","FQ3 2019","FQ3 2019","Currency=USD","Period=FQ","BEST_FPERIOD_OVERRIDE=FQ","FILING_STATUS=MR","SCALING_FORMAT=MLN","Sort=A","Dates=H","DateFormat=P","Fill=—","Direction=H","UseDPDF=Y")</f>
        <v>—</v>
      </c>
      <c r="G10" s="13" t="str">
        <f>_xll.BDH("AMGN US Equity","CF_STOCK_BASED_COMPENSATION","FQ4 2019","FQ4 2019","Currency=USD","Period=FQ","BEST_FPERIOD_OVERRIDE=FQ","FILING_STATUS=MR","SCALING_FORMAT=MLN","Sort=A","Dates=H","DateFormat=P","Fill=—","Direction=H","UseDPDF=Y")</f>
        <v>—</v>
      </c>
      <c r="H10" s="13" t="str">
        <f>_xll.BDH("AMGN US Equity","CF_STOCK_BASED_COMPENSATION","FQ1 2020","FQ1 2020","Currency=USD","Period=FQ","BEST_FPERIOD_OVERRIDE=FQ","FILING_STATUS=MR","SCALING_FORMAT=MLN","Sort=A","Dates=H","DateFormat=P","Fill=—","Direction=H","UseDPDF=Y")</f>
        <v>—</v>
      </c>
      <c r="I10" s="13" t="str">
        <f>_xll.BDH("AMGN US Equity","CF_STOCK_BASED_COMPENSATION","FQ2 2020","FQ2 2020","Currency=USD","Period=FQ","BEST_FPERIOD_OVERRIDE=FQ","FILING_STATUS=MR","SCALING_FORMAT=MLN","Sort=A","Dates=H","DateFormat=P","Fill=—","Direction=H","UseDPDF=Y")</f>
        <v>—</v>
      </c>
      <c r="J10" s="13" t="str">
        <f>_xll.BDH("AMGN US Equity","CF_STOCK_BASED_COMPENSATION","FQ3 2020","FQ3 2020","Currency=USD","Period=FQ","BEST_FPERIOD_OVERRIDE=FQ","FILING_STATUS=MR","SCALING_FORMAT=MLN","Sort=A","Dates=H","DateFormat=P","Fill=—","Direction=H","UseDPDF=Y")</f>
        <v>—</v>
      </c>
      <c r="K10" s="13" t="str">
        <f>_xll.BDH("AMGN US Equity","CF_STOCK_BASED_COMPENSATION","FQ4 2020","FQ4 2020","Currency=USD","Period=FQ","BEST_FPERIOD_OVERRIDE=FQ","FILING_STATUS=MR","SCALING_FORMAT=MLN","Sort=A","Dates=H","DateFormat=P","Fill=—","Direction=H","UseDPDF=Y")</f>
        <v>—</v>
      </c>
      <c r="L10" s="13" t="str">
        <f>_xll.BDH("AMGN US Equity","CF_STOCK_BASED_COMPENSATION","FQ1 2021","FQ1 2021","Currency=USD","Period=FQ","BEST_FPERIOD_OVERRIDE=FQ","FILING_STATUS=MR","SCALING_FORMAT=MLN","Sort=A","Dates=H","DateFormat=P","Fill=—","Direction=H","UseDPDF=Y")</f>
        <v>—</v>
      </c>
      <c r="M10" s="13" t="str">
        <f>_xll.BDH("AMGN US Equity","CF_STOCK_BASED_COMPENSATION","FQ2 2021","FQ2 2021","Currency=USD","Period=FQ","BEST_FPERIOD_OVERRIDE=FQ","FILING_STATUS=MR","SCALING_FORMAT=MLN","Sort=A","Dates=H","DateFormat=P","Fill=—","Direction=H","UseDPDF=Y")</f>
        <v>—</v>
      </c>
      <c r="N10" s="13" t="str">
        <f>_xll.BDH("AMGN US Equity","CF_STOCK_BASED_COMPENSATION","FQ3 2021","FQ3 2021","Currency=USD","Period=FQ","BEST_FPERIOD_OVERRIDE=FQ","FILING_STATUS=MR","SCALING_FORMAT=MLN","Sort=A","Dates=H","DateFormat=P","Fill=—","Direction=H","UseDPDF=Y")</f>
        <v>—</v>
      </c>
      <c r="O10" s="13" t="str">
        <f>_xll.BDH("AMGN US Equity","CF_STOCK_BASED_COMPENSATION","FQ4 2021","FQ4 2021","Currency=USD","Period=FQ","BEST_FPERIOD_OVERRIDE=FQ","FILING_STATUS=MR","SCALING_FORMAT=MLN","Sort=A","Dates=H","DateFormat=P","Fill=—","Direction=H","UseDPDF=Y")</f>
        <v>—</v>
      </c>
      <c r="P10" s="13" t="str">
        <f>_xll.BDH("AMGN US Equity","CF_STOCK_BASED_COMPENSATION","FQ1 2022","FQ1 2022","Currency=USD","Period=FQ","BEST_FPERIOD_OVERRIDE=FQ","FILING_STATUS=MR","SCALING_FORMAT=MLN","Sort=A","Dates=H","DateFormat=P","Fill=—","Direction=H","UseDPDF=Y")</f>
        <v>—</v>
      </c>
      <c r="Q10" s="13" t="str">
        <f>_xll.BDH("AMGN US Equity","CF_STOCK_BASED_COMPENSATION","FQ2 2022","FQ2 2022","Currency=USD","Period=FQ","BEST_FPERIOD_OVERRIDE=FQ","FILING_STATUS=MR","SCALING_FORMAT=MLN","Sort=A","Dates=H","DateFormat=P","Fill=—","Direction=H","UseDPDF=Y")</f>
        <v>—</v>
      </c>
      <c r="R10" s="13" t="str">
        <f>_xll.BDH("AMGN US Equity","CF_STOCK_BASED_COMPENSATION","FQ3 2022","FQ3 2022","Currency=USD","Period=FQ","BEST_FPERIOD_OVERRIDE=FQ","FILING_STATUS=MR","SCALING_FORMAT=MLN","Sort=A","Dates=H","DateFormat=P","Fill=—","Direction=H","UseDPDF=Y")</f>
        <v>—</v>
      </c>
      <c r="S10" s="13" t="str">
        <f>_xll.BDH("AMGN US Equity","CF_STOCK_BASED_COMPENSATION","FQ4 2022","FQ4 2022","Currency=USD","Period=FQ","BEST_FPERIOD_OVERRIDE=FQ","FILING_STATUS=MR","SCALING_FORMAT=MLN","Sort=A","Dates=H","DateFormat=P","Fill=—","Direction=H","UseDPDF=Y")</f>
        <v>—</v>
      </c>
      <c r="T10" s="13" t="str">
        <f>_xll.BDH("AMGN US Equity","CF_STOCK_BASED_COMPENSATION","FQ1 2023","FQ1 2023","Currency=USD","Period=FQ","BEST_FPERIOD_OVERRIDE=FQ","FILING_STATUS=MR","SCALING_FORMAT=MLN","Sort=A","Dates=H","DateFormat=P","Fill=—","Direction=H","UseDPDF=Y")</f>
        <v>—</v>
      </c>
      <c r="U10" s="13" t="str">
        <f>_xll.BDH("AMGN US Equity","CF_STOCK_BASED_COMPENSATION","FQ2 2023","FQ2 2023","Currency=USD","Period=FQ","BEST_FPERIOD_OVERRIDE=FQ","FILING_STATUS=MR","SCALING_FORMAT=MLN","Sort=A","Dates=H","DateFormat=P","Fill=—","Direction=H","UseDPDF=Y")</f>
        <v>—</v>
      </c>
      <c r="V10" s="13" t="str">
        <f>_xll.BDH("AMGN US Equity","CF_STOCK_BASED_COMPENSATION","FQ3 2023","FQ3 2023","Currency=USD","Period=FQ","BEST_FPERIOD_OVERRIDE=FQ","FILING_STATUS=MR","SCALING_FORMAT=MLN","Sort=A","Dates=H","DateFormat=P","Fill=—","Direction=H","UseDPDF=Y")</f>
        <v>—</v>
      </c>
      <c r="W10" s="13" t="str">
        <f>_xll.BDH("AMGN US Equity","CF_STOCK_BASED_COMPENSATION","FQ4 2023","FQ4 2023","Currency=USD","Period=FQ","BEST_FPERIOD_OVERRIDE=FQ","FILING_STATUS=MR","SCALING_FORMAT=MLN","Sort=A","Dates=H","DateFormat=P","Fill=—","Direction=H","UseDPDF=Y")</f>
        <v>—</v>
      </c>
      <c r="X10" s="13">
        <f>_xll.BDH("AMGN US Equity","CF_STOCK_BASED_COMPENSATION","FQ1 2024","FQ1 2024","Currency=USD","Period=FQ","BEST_FPERIOD_OVERRIDE=FQ","FILING_STATUS=MR","SCALING_FORMAT=MLN","Sort=A","Dates=H","DateFormat=P","Fill=—","Direction=H","UseDPDF=Y")</f>
        <v>103</v>
      </c>
      <c r="Y10" s="13">
        <f>_xll.BDH("AMGN US Equity","CF_STOCK_BASED_COMPENSATION","FQ2 2024","FQ2 2024","Currency=USD","Period=FQ","BEST_FPERIOD_OVERRIDE=FQ","FILING_STATUS=MR","SCALING_FORMAT=MLN","Sort=A","Dates=H","DateFormat=P","Fill=—","Direction=H","UseDPDF=Y")</f>
        <v>157</v>
      </c>
      <c r="Z10" s="13">
        <f>_xll.BDH("AMGN US Equity","CF_STOCK_BASED_COMPENSATION","FQ3 2024","FQ3 2024","Currency=USD","Period=FQ","BEST_FPERIOD_OVERRIDE=FQ","FILING_STATUS=MR","SCALING_FORMAT=MLN","Sort=A","Dates=H","DateFormat=P","Fill=—","Direction=H","UseDPDF=Y")</f>
        <v>136</v>
      </c>
      <c r="AA10" s="13">
        <f>_xll.BDH("AMGN US Equity","CF_STOCK_BASED_COMPENSATION","FQ4 2024","FQ4 2024","Currency=USD","Period=FQ","BEST_FPERIOD_OVERRIDE=FQ","FILING_STATUS=MR","SCALING_FORMAT=MLN","Sort=A","Dates=H","DateFormat=P","Fill=—","Direction=H","UseDPDF=Y")</f>
        <v>134</v>
      </c>
    </row>
    <row r="11" spans="1:27" x14ac:dyDescent="0.25">
      <c r="A11" s="10" t="s">
        <v>1272</v>
      </c>
      <c r="B11" s="10" t="s">
        <v>1273</v>
      </c>
      <c r="C11" s="13">
        <f>_xll.BDH("AMGN US Equity","CF_DEF_INC_TAX","FQ4 2018","FQ4 2018","Currency=USD","Period=FQ","BEST_FPERIOD_OVERRIDE=FQ","FILING_STATUS=MR","SCALING_FORMAT=MLN","Sort=A","Dates=H","DateFormat=P","Fill=—","Direction=H","UseDPDF=Y")</f>
        <v>-69</v>
      </c>
      <c r="D11" s="13">
        <f>_xll.BDH("AMGN US Equity","CF_DEF_INC_TAX","FQ1 2019","FQ1 2019","Currency=USD","Period=FQ","BEST_FPERIOD_OVERRIDE=FQ","FILING_STATUS=MR","SCALING_FORMAT=MLN","Sort=A","Dates=H","DateFormat=P","Fill=—","Direction=H","UseDPDF=Y")</f>
        <v>-50</v>
      </c>
      <c r="E11" s="13">
        <f>_xll.BDH("AMGN US Equity","CF_DEF_INC_TAX","FQ2 2019","FQ2 2019","Currency=USD","Period=FQ","BEST_FPERIOD_OVERRIDE=FQ","FILING_STATUS=MR","SCALING_FORMAT=MLN","Sort=A","Dates=H","DateFormat=P","Fill=—","Direction=H","UseDPDF=Y")</f>
        <v>-20</v>
      </c>
      <c r="F11" s="13">
        <f>_xll.BDH("AMGN US Equity","CF_DEF_INC_TAX","FQ3 2019","FQ3 2019","Currency=USD","Period=FQ","BEST_FPERIOD_OVERRIDE=FQ","FILING_STATUS=MR","SCALING_FORMAT=MLN","Sort=A","Dates=H","DateFormat=P","Fill=—","Direction=H","UseDPDF=Y")</f>
        <v>-102</v>
      </c>
      <c r="G11" s="13">
        <f>_xll.BDH("AMGN US Equity","CF_DEF_INC_TAX","FQ4 2019","FQ4 2019","Currency=USD","Period=FQ","BEST_FPERIOD_OVERRIDE=FQ","FILING_STATUS=MR","SCALING_FORMAT=MLN","Sort=A","Dates=H","DateFormat=P","Fill=—","Direction=H","UseDPDF=Y")</f>
        <v>-117</v>
      </c>
      <c r="H11" s="13">
        <f>_xll.BDH("AMGN US Equity","CF_DEF_INC_TAX","FQ1 2020","FQ1 2020","Currency=USD","Period=FQ","BEST_FPERIOD_OVERRIDE=FQ","FILING_STATUS=MR","SCALING_FORMAT=MLN","Sort=A","Dates=H","DateFormat=P","Fill=—","Direction=H","UseDPDF=Y")</f>
        <v>-84</v>
      </c>
      <c r="I11" s="13">
        <f>_xll.BDH("AMGN US Equity","CF_DEF_INC_TAX","FQ2 2020","FQ2 2020","Currency=USD","Period=FQ","BEST_FPERIOD_OVERRIDE=FQ","FILING_STATUS=MR","SCALING_FORMAT=MLN","Sort=A","Dates=H","DateFormat=P","Fill=—","Direction=H","UseDPDF=Y")</f>
        <v>-177</v>
      </c>
      <c r="J11" s="13">
        <f>_xll.BDH("AMGN US Equity","CF_DEF_INC_TAX","FQ3 2020","FQ3 2020","Currency=USD","Period=FQ","BEST_FPERIOD_OVERRIDE=FQ","FILING_STATUS=MR","SCALING_FORMAT=MLN","Sort=A","Dates=H","DateFormat=P","Fill=—","Direction=H","UseDPDF=Y")</f>
        <v>-78</v>
      </c>
      <c r="K11" s="13">
        <f>_xll.BDH("AMGN US Equity","CF_DEF_INC_TAX","FQ4 2020","FQ4 2020","Currency=USD","Period=FQ","BEST_FPERIOD_OVERRIDE=FQ","FILING_STATUS=MR","SCALING_FORMAT=MLN","Sort=A","Dates=H","DateFormat=P","Fill=—","Direction=H","UseDPDF=Y")</f>
        <v>52</v>
      </c>
      <c r="L11" s="13">
        <f>_xll.BDH("AMGN US Equity","CF_DEF_INC_TAX","FQ1 2021","FQ1 2021","Currency=USD","Period=FQ","BEST_FPERIOD_OVERRIDE=FQ","FILING_STATUS=MR","SCALING_FORMAT=MLN","Sort=A","Dates=H","DateFormat=P","Fill=—","Direction=H","UseDPDF=Y")</f>
        <v>-91</v>
      </c>
      <c r="M11" s="13">
        <f>_xll.BDH("AMGN US Equity","CF_DEF_INC_TAX","FQ2 2021","FQ2 2021","Currency=USD","Period=FQ","BEST_FPERIOD_OVERRIDE=FQ","FILING_STATUS=MR","SCALING_FORMAT=MLN","Sort=A","Dates=H","DateFormat=P","Fill=—","Direction=H","UseDPDF=Y")</f>
        <v>-46</v>
      </c>
      <c r="N11" s="13">
        <f>_xll.BDH("AMGN US Equity","CF_DEF_INC_TAX","FQ3 2021","FQ3 2021","Currency=USD","Period=FQ","BEST_FPERIOD_OVERRIDE=FQ","FILING_STATUS=MR","SCALING_FORMAT=MLN","Sort=A","Dates=H","DateFormat=P","Fill=—","Direction=H","UseDPDF=Y")</f>
        <v>-127</v>
      </c>
      <c r="O11" s="13">
        <f>_xll.BDH("AMGN US Equity","CF_DEF_INC_TAX","FQ4 2021","FQ4 2021","Currency=USD","Period=FQ","BEST_FPERIOD_OVERRIDE=FQ","FILING_STATUS=MR","SCALING_FORMAT=MLN","Sort=A","Dates=H","DateFormat=P","Fill=—","Direction=H","UseDPDF=Y")</f>
        <v>-189</v>
      </c>
      <c r="P11" s="13">
        <f>_xll.BDH("AMGN US Equity","CF_DEF_INC_TAX","FQ1 2022","FQ1 2022","Currency=USD","Period=FQ","BEST_FPERIOD_OVERRIDE=FQ","FILING_STATUS=MR","SCALING_FORMAT=MLN","Sort=A","Dates=H","DateFormat=P","Fill=—","Direction=H","UseDPDF=Y")</f>
        <v>-251</v>
      </c>
      <c r="Q11" s="13">
        <f>_xll.BDH("AMGN US Equity","CF_DEF_INC_TAX","FQ2 2022","FQ2 2022","Currency=USD","Period=FQ","BEST_FPERIOD_OVERRIDE=FQ","FILING_STATUS=MR","SCALING_FORMAT=MLN","Sort=A","Dates=H","DateFormat=P","Fill=—","Direction=H","UseDPDF=Y")</f>
        <v>-263</v>
      </c>
      <c r="R11" s="13">
        <f>_xll.BDH("AMGN US Equity","CF_DEF_INC_TAX","FQ3 2022","FQ3 2022","Currency=USD","Period=FQ","BEST_FPERIOD_OVERRIDE=FQ","FILING_STATUS=MR","SCALING_FORMAT=MLN","Sort=A","Dates=H","DateFormat=P","Fill=—","Direction=H","UseDPDF=Y")</f>
        <v>-333</v>
      </c>
      <c r="S11" s="13">
        <f>_xll.BDH("AMGN US Equity","CF_DEF_INC_TAX","FQ4 2022","FQ4 2022","Currency=USD","Period=FQ","BEST_FPERIOD_OVERRIDE=FQ","FILING_STATUS=MR","SCALING_FORMAT=MLN","Sort=A","Dates=H","DateFormat=P","Fill=—","Direction=H","UseDPDF=Y")</f>
        <v>-351</v>
      </c>
      <c r="T11" s="13">
        <f>_xll.BDH("AMGN US Equity","CF_DEF_INC_TAX","FQ1 2023","FQ1 2023","Currency=USD","Period=FQ","BEST_FPERIOD_OVERRIDE=FQ","FILING_STATUS=MR","SCALING_FORMAT=MLN","Sort=A","Dates=H","DateFormat=P","Fill=—","Direction=H","UseDPDF=Y")</f>
        <v>-49</v>
      </c>
      <c r="U11" s="13">
        <f>_xll.BDH("AMGN US Equity","CF_DEF_INC_TAX","FQ2 2023","FQ2 2023","Currency=USD","Period=FQ","BEST_FPERIOD_OVERRIDE=FQ","FILING_STATUS=MR","SCALING_FORMAT=MLN","Sort=A","Dates=H","DateFormat=P","Fill=—","Direction=H","UseDPDF=Y")</f>
        <v>-154</v>
      </c>
      <c r="V11" s="13">
        <f>_xll.BDH("AMGN US Equity","CF_DEF_INC_TAX","FQ3 2023","FQ3 2023","Currency=USD","Period=FQ","BEST_FPERIOD_OVERRIDE=FQ","FILING_STATUS=MR","SCALING_FORMAT=MLN","Sort=A","Dates=H","DateFormat=P","Fill=—","Direction=H","UseDPDF=Y")</f>
        <v>-447</v>
      </c>
      <c r="W11" s="13">
        <f>_xll.BDH("AMGN US Equity","CF_DEF_INC_TAX","FQ4 2023","FQ4 2023","Currency=USD","Period=FQ","BEST_FPERIOD_OVERRIDE=FQ","FILING_STATUS=MR","SCALING_FORMAT=MLN","Sort=A","Dates=H","DateFormat=P","Fill=—","Direction=H","UseDPDF=Y")</f>
        <v>-623</v>
      </c>
      <c r="X11" s="13">
        <f>_xll.BDH("AMGN US Equity","CF_DEF_INC_TAX","FQ1 2024","FQ1 2024","Currency=USD","Period=FQ","BEST_FPERIOD_OVERRIDE=FQ","FILING_STATUS=MR","SCALING_FORMAT=MLN","Sort=A","Dates=H","DateFormat=P","Fill=—","Direction=H","UseDPDF=Y")</f>
        <v>-401</v>
      </c>
      <c r="Y11" s="13">
        <f>_xll.BDH("AMGN US Equity","CF_DEF_INC_TAX","FQ2 2024","FQ2 2024","Currency=USD","Period=FQ","BEST_FPERIOD_OVERRIDE=FQ","FILING_STATUS=MR","SCALING_FORMAT=MLN","Sort=A","Dates=H","DateFormat=P","Fill=—","Direction=H","UseDPDF=Y")</f>
        <v>-383</v>
      </c>
      <c r="Z11" s="13">
        <f>_xll.BDH("AMGN US Equity","CF_DEF_INC_TAX","FQ3 2024","FQ3 2024","Currency=USD","Period=FQ","BEST_FPERIOD_OVERRIDE=FQ","FILING_STATUS=MR","SCALING_FORMAT=MLN","Sort=A","Dates=H","DateFormat=P","Fill=—","Direction=H","UseDPDF=Y")</f>
        <v>-110</v>
      </c>
      <c r="AA11" s="13">
        <f>_xll.BDH("AMGN US Equity","CF_DEF_INC_TAX","FQ4 2024","FQ4 2024","Currency=USD","Period=FQ","BEST_FPERIOD_OVERRIDE=FQ","FILING_STATUS=MR","SCALING_FORMAT=MLN","Sort=A","Dates=H","DateFormat=P","Fill=—","Direction=H","UseDPDF=Y")</f>
        <v>-334</v>
      </c>
    </row>
    <row r="12" spans="1:27" x14ac:dyDescent="0.25">
      <c r="A12" s="10" t="s">
        <v>1274</v>
      </c>
      <c r="B12" s="10" t="s">
        <v>1275</v>
      </c>
      <c r="C12" s="13">
        <f>_xll.BDH("AMGN US Equity","OTHER_NON_CASH_ADJ_LESS_DETAILED","FQ4 2018","FQ4 2018","Currency=USD","Period=FQ","BEST_FPERIOD_OVERRIDE=FQ","FILING_STATUS=MR","SCALING_FORMAT=MLN","Sort=A","Dates=H","DateFormat=P","Fill=—","Direction=H","UseDPDF=Y")</f>
        <v>451</v>
      </c>
      <c r="D12" s="13">
        <f>_xll.BDH("AMGN US Equity","OTHER_NON_CASH_ADJ_LESS_DETAILED","FQ1 2019","FQ1 2019","Currency=USD","Period=FQ","BEST_FPERIOD_OVERRIDE=FQ","FILING_STATUS=MR","SCALING_FORMAT=MLN","Sort=A","Dates=H","DateFormat=P","Fill=—","Direction=H","UseDPDF=Y")</f>
        <v>-522</v>
      </c>
      <c r="E12" s="13">
        <f>_xll.BDH("AMGN US Equity","OTHER_NON_CASH_ADJ_LESS_DETAILED","FQ2 2019","FQ2 2019","Currency=USD","Period=FQ","BEST_FPERIOD_OVERRIDE=FQ","FILING_STATUS=MR","SCALING_FORMAT=MLN","Sort=A","Dates=H","DateFormat=P","Fill=—","Direction=H","UseDPDF=Y")</f>
        <v>-508</v>
      </c>
      <c r="F12" s="13">
        <f>_xll.BDH("AMGN US Equity","OTHER_NON_CASH_ADJ_LESS_DETAILED","FQ3 2019","FQ3 2019","Currency=USD","Period=FQ","BEST_FPERIOD_OVERRIDE=FQ","FILING_STATUS=MR","SCALING_FORMAT=MLN","Sort=A","Dates=H","DateFormat=P","Fill=—","Direction=H","UseDPDF=Y")</f>
        <v>683</v>
      </c>
      <c r="G12" s="13">
        <f>_xll.BDH("AMGN US Equity","OTHER_NON_CASH_ADJ_LESS_DETAILED","FQ4 2019","FQ4 2019","Currency=USD","Period=FQ","BEST_FPERIOD_OVERRIDE=FQ","FILING_STATUS=MR","SCALING_FORMAT=MLN","Sort=A","Dates=H","DateFormat=P","Fill=—","Direction=H","UseDPDF=Y")</f>
        <v>729</v>
      </c>
      <c r="H12" s="13">
        <f>_xll.BDH("AMGN US Equity","OTHER_NON_CASH_ADJ_LESS_DETAILED","FQ1 2020","FQ1 2020","Currency=USD","Period=FQ","BEST_FPERIOD_OVERRIDE=FQ","FILING_STATUS=MR","SCALING_FORMAT=MLN","Sort=A","Dates=H","DateFormat=P","Fill=—","Direction=H","UseDPDF=Y")</f>
        <v>452</v>
      </c>
      <c r="I12" s="13">
        <f>_xll.BDH("AMGN US Equity","OTHER_NON_CASH_ADJ_LESS_DETAILED","FQ2 2020","FQ2 2020","Currency=USD","Period=FQ","BEST_FPERIOD_OVERRIDE=FQ","FILING_STATUS=MR","SCALING_FORMAT=MLN","Sort=A","Dates=H","DateFormat=P","Fill=—","Direction=H","UseDPDF=Y")</f>
        <v>497</v>
      </c>
      <c r="J12" s="13">
        <f>_xll.BDH("AMGN US Equity","OTHER_NON_CASH_ADJ_LESS_DETAILED","FQ3 2020","FQ3 2020","Currency=USD","Period=FQ","BEST_FPERIOD_OVERRIDE=FQ","FILING_STATUS=MR","SCALING_FORMAT=MLN","Sort=A","Dates=H","DateFormat=P","Fill=—","Direction=H","UseDPDF=Y")</f>
        <v>207</v>
      </c>
      <c r="K12" s="13">
        <f>_xll.BDH("AMGN US Equity","OTHER_NON_CASH_ADJ_LESS_DETAILED","FQ4 2020","FQ4 2020","Currency=USD","Period=FQ","BEST_FPERIOD_OVERRIDE=FQ","FILING_STATUS=MR","SCALING_FORMAT=MLN","Sort=A","Dates=H","DateFormat=P","Fill=—","Direction=H","UseDPDF=Y")</f>
        <v>-131</v>
      </c>
      <c r="L12" s="13">
        <f>_xll.BDH("AMGN US Equity","OTHER_NON_CASH_ADJ_LESS_DETAILED","FQ1 2021","FQ1 2021","Currency=USD","Period=FQ","BEST_FPERIOD_OVERRIDE=FQ","FILING_STATUS=MR","SCALING_FORMAT=MLN","Sort=A","Dates=H","DateFormat=P","Fill=—","Direction=H","UseDPDF=Y")</f>
        <v>-280</v>
      </c>
      <c r="M12" s="13">
        <f>_xll.BDH("AMGN US Equity","OTHER_NON_CASH_ADJ_LESS_DETAILED","FQ2 2021","FQ2 2021","Currency=USD","Period=FQ","BEST_FPERIOD_OVERRIDE=FQ","FILING_STATUS=MR","SCALING_FORMAT=MLN","Sort=A","Dates=H","DateFormat=P","Fill=—","Direction=H","UseDPDF=Y")</f>
        <v>1864</v>
      </c>
      <c r="N12" s="13">
        <f>_xll.BDH("AMGN US Equity","OTHER_NON_CASH_ADJ_LESS_DETAILED","FQ3 2021","FQ3 2021","Currency=USD","Period=FQ","BEST_FPERIOD_OVERRIDE=FQ","FILING_STATUS=MR","SCALING_FORMAT=MLN","Sort=A","Dates=H","DateFormat=P","Fill=—","Direction=H","UseDPDF=Y")</f>
        <v>56</v>
      </c>
      <c r="O12" s="13">
        <f>_xll.BDH("AMGN US Equity","OTHER_NON_CASH_ADJ_LESS_DETAILED","FQ4 2021","FQ4 2021","Currency=USD","Period=FQ","BEST_FPERIOD_OVERRIDE=FQ","FILING_STATUS=MR","SCALING_FORMAT=MLN","Sort=A","Dates=H","DateFormat=P","Fill=—","Direction=H","UseDPDF=Y")</f>
        <v>300</v>
      </c>
      <c r="P12" s="13">
        <f>_xll.BDH("AMGN US Equity","OTHER_NON_CASH_ADJ_LESS_DETAILED","FQ1 2022","FQ1 2022","Currency=USD","Period=FQ","BEST_FPERIOD_OVERRIDE=FQ","FILING_STATUS=MR","SCALING_FORMAT=MLN","Sort=A","Dates=H","DateFormat=P","Fill=—","Direction=H","UseDPDF=Y")</f>
        <v>163</v>
      </c>
      <c r="Q12" s="13">
        <f>_xll.BDH("AMGN US Equity","OTHER_NON_CASH_ADJ_LESS_DETAILED","FQ2 2022","FQ2 2022","Currency=USD","Period=FQ","BEST_FPERIOD_OVERRIDE=FQ","FILING_STATUS=MR","SCALING_FORMAT=MLN","Sort=A","Dates=H","DateFormat=P","Fill=—","Direction=H","UseDPDF=Y")</f>
        <v>1680</v>
      </c>
      <c r="R12" s="13">
        <f>_xll.BDH("AMGN US Equity","OTHER_NON_CASH_ADJ_LESS_DETAILED","FQ3 2022","FQ3 2022","Currency=USD","Period=FQ","BEST_FPERIOD_OVERRIDE=FQ","FILING_STATUS=MR","SCALING_FORMAT=MLN","Sort=A","Dates=H","DateFormat=P","Fill=—","Direction=H","UseDPDF=Y")</f>
        <v>485</v>
      </c>
      <c r="S12" s="13">
        <f>_xll.BDH("AMGN US Equity","OTHER_NON_CASH_ADJ_LESS_DETAILED","FQ4 2022","FQ4 2022","Currency=USD","Period=FQ","BEST_FPERIOD_OVERRIDE=FQ","FILING_STATUS=MR","SCALING_FORMAT=MLN","Sort=A","Dates=H","DateFormat=P","Fill=—","Direction=H","UseDPDF=Y")</f>
        <v>603</v>
      </c>
      <c r="T12" s="13">
        <f>_xll.BDH("AMGN US Equity","OTHER_NON_CASH_ADJ_LESS_DETAILED","FQ1 2023","FQ1 2023","Currency=USD","Period=FQ","BEST_FPERIOD_OVERRIDE=FQ","FILING_STATUS=MR","SCALING_FORMAT=MLN","Sort=A","Dates=H","DateFormat=P","Fill=—","Direction=H","UseDPDF=Y")</f>
        <v>-2616</v>
      </c>
      <c r="U12" s="13">
        <f>_xll.BDH("AMGN US Equity","OTHER_NON_CASH_ADJ_LESS_DETAILED","FQ2 2023","FQ2 2023","Currency=USD","Period=FQ","BEST_FPERIOD_OVERRIDE=FQ","FILING_STATUS=MR","SCALING_FORMAT=MLN","Sort=A","Dates=H","DateFormat=P","Fill=—","Direction=H","UseDPDF=Y")</f>
        <v>2144</v>
      </c>
      <c r="V12" s="13">
        <f>_xll.BDH("AMGN US Equity","OTHER_NON_CASH_ADJ_LESS_DETAILED","FQ3 2023","FQ3 2023","Currency=USD","Period=FQ","BEST_FPERIOD_OVERRIDE=FQ","FILING_STATUS=MR","SCALING_FORMAT=MLN","Sort=A","Dates=H","DateFormat=P","Fill=—","Direction=H","UseDPDF=Y")</f>
        <v>627</v>
      </c>
      <c r="W12" s="13">
        <f>_xll.BDH("AMGN US Equity","OTHER_NON_CASH_ADJ_LESS_DETAILED","FQ4 2023","FQ4 2023","Currency=USD","Period=FQ","BEST_FPERIOD_OVERRIDE=FQ","FILING_STATUS=MR","SCALING_FORMAT=MLN","Sort=A","Dates=H","DateFormat=P","Fill=—","Direction=H","UseDPDF=Y")</f>
        <v>758</v>
      </c>
      <c r="X12" s="13">
        <f>_xll.BDH("AMGN US Equity","OTHER_NON_CASH_ADJ_LESS_DETAILED","FQ1 2024","FQ1 2024","Currency=USD","Period=FQ","BEST_FPERIOD_OVERRIDE=FQ","FILING_STATUS=MR","SCALING_FORMAT=MLN","Sort=A","Dates=H","DateFormat=P","Fill=—","Direction=H","UseDPDF=Y")</f>
        <v>-467</v>
      </c>
      <c r="Y12" s="13">
        <f>_xll.BDH("AMGN US Equity","OTHER_NON_CASH_ADJ_LESS_DETAILED","FQ2 2024","FQ2 2024","Currency=USD","Period=FQ","BEST_FPERIOD_OVERRIDE=FQ","FILING_STATUS=MR","SCALING_FORMAT=MLN","Sort=A","Dates=H","DateFormat=P","Fill=—","Direction=H","UseDPDF=Y")</f>
        <v>268</v>
      </c>
      <c r="Z12" s="13">
        <f>_xll.BDH("AMGN US Equity","OTHER_NON_CASH_ADJ_LESS_DETAILED","FQ3 2024","FQ3 2024","Currency=USD","Period=FQ","BEST_FPERIOD_OVERRIDE=FQ","FILING_STATUS=MR","SCALING_FORMAT=MLN","Sort=A","Dates=H","DateFormat=P","Fill=—","Direction=H","UseDPDF=Y")</f>
        <v>-1799</v>
      </c>
      <c r="AA12" s="13">
        <f>_xll.BDH("AMGN US Equity","OTHER_NON_CASH_ADJ_LESS_DETAILED","FQ4 2024","FQ4 2024","Currency=USD","Period=FQ","BEST_FPERIOD_OVERRIDE=FQ","FILING_STATUS=MR","SCALING_FORMAT=MLN","Sort=A","Dates=H","DateFormat=P","Fill=—","Direction=H","UseDPDF=Y")</f>
        <v>944</v>
      </c>
    </row>
    <row r="13" spans="1:27" x14ac:dyDescent="0.25">
      <c r="A13" s="10" t="s">
        <v>1276</v>
      </c>
      <c r="B13" s="10" t="s">
        <v>1277</v>
      </c>
      <c r="C13" s="13">
        <f>_xll.BDH("AMGN US Equity","CF_CHNG_NON_CASH_WORK_CAP","FQ4 2018","FQ4 2018","Currency=USD","Period=FQ","BEST_FPERIOD_OVERRIDE=FQ","FILING_STATUS=MR","SCALING_FORMAT=MLN","Sort=A","Dates=H","DateFormat=P","Fill=—","Direction=H","UseDPDF=Y")</f>
        <v>137</v>
      </c>
      <c r="D13" s="13">
        <f>_xll.BDH("AMGN US Equity","CF_CHNG_NON_CASH_WORK_CAP","FQ1 2019","FQ1 2019","Currency=USD","Period=FQ","BEST_FPERIOD_OVERRIDE=FQ","FILING_STATUS=MR","SCALING_FORMAT=MLN","Sort=A","Dates=H","DateFormat=P","Fill=—","Direction=H","UseDPDF=Y")</f>
        <v>-70</v>
      </c>
      <c r="E13" s="13">
        <f>_xll.BDH("AMGN US Equity","CF_CHNG_NON_CASH_WORK_CAP","FQ2 2019","FQ2 2019","Currency=USD","Period=FQ","BEST_FPERIOD_OVERRIDE=FQ","FILING_STATUS=MR","SCALING_FORMAT=MLN","Sort=A","Dates=H","DateFormat=P","Fill=—","Direction=H","UseDPDF=Y")</f>
        <v>-738</v>
      </c>
      <c r="F13" s="13">
        <f>_xll.BDH("AMGN US Equity","CF_CHNG_NON_CASH_WORK_CAP","FQ3 2019","FQ3 2019","Currency=USD","Period=FQ","BEST_FPERIOD_OVERRIDE=FQ","FILING_STATUS=MR","SCALING_FORMAT=MLN","Sort=A","Dates=H","DateFormat=P","Fill=—","Direction=H","UseDPDF=Y")</f>
        <v>320</v>
      </c>
      <c r="G13" s="13">
        <f>_xll.BDH("AMGN US Equity","CF_CHNG_NON_CASH_WORK_CAP","FQ4 2019","FQ4 2019","Currency=USD","Period=FQ","BEST_FPERIOD_OVERRIDE=FQ","FILING_STATUS=MR","SCALING_FORMAT=MLN","Sort=A","Dates=H","DateFormat=P","Fill=—","Direction=H","UseDPDF=Y")</f>
        <v>-503</v>
      </c>
      <c r="H13" s="13">
        <f>_xll.BDH("AMGN US Equity","CF_CHNG_NON_CASH_WORK_CAP","FQ1 2020","FQ1 2020","Currency=USD","Period=FQ","BEST_FPERIOD_OVERRIDE=FQ","FILING_STATUS=MR","SCALING_FORMAT=MLN","Sort=A","Dates=H","DateFormat=P","Fill=—","Direction=H","UseDPDF=Y")</f>
        <v>-956</v>
      </c>
      <c r="I13" s="13">
        <f>_xll.BDH("AMGN US Equity","CF_CHNG_NON_CASH_WORK_CAP","FQ2 2020","FQ2 2020","Currency=USD","Period=FQ","BEST_FPERIOD_OVERRIDE=FQ","FILING_STATUS=MR","SCALING_FORMAT=MLN","Sort=A","Dates=H","DateFormat=P","Fill=—","Direction=H","UseDPDF=Y")</f>
        <v>-211</v>
      </c>
      <c r="J13" s="13">
        <f>_xll.BDH("AMGN US Equity","CF_CHNG_NON_CASH_WORK_CAP","FQ3 2020","FQ3 2020","Currency=USD","Period=FQ","BEST_FPERIOD_OVERRIDE=FQ","FILING_STATUS=MR","SCALING_FORMAT=MLN","Sort=A","Dates=H","DateFormat=P","Fill=—","Direction=H","UseDPDF=Y")</f>
        <v>317</v>
      </c>
      <c r="K13" s="13">
        <f>_xll.BDH("AMGN US Equity","CF_CHNG_NON_CASH_WORK_CAP","FQ4 2020","FQ4 2020","Currency=USD","Period=FQ","BEST_FPERIOD_OVERRIDE=FQ","FILING_STATUS=MR","SCALING_FORMAT=MLN","Sort=A","Dates=H","DateFormat=P","Fill=—","Direction=H","UseDPDF=Y")</f>
        <v>4</v>
      </c>
      <c r="L13" s="13">
        <f>_xll.BDH("AMGN US Equity","CF_CHNG_NON_CASH_WORK_CAP","FQ1 2021","FQ1 2021","Currency=USD","Period=FQ","BEST_FPERIOD_OVERRIDE=FQ","FILING_STATUS=MR","SCALING_FORMAT=MLN","Sort=A","Dates=H","DateFormat=P","Fill=—","Direction=H","UseDPDF=Y")</f>
        <v>-12</v>
      </c>
      <c r="M13" s="13">
        <f>_xll.BDH("AMGN US Equity","CF_CHNG_NON_CASH_WORK_CAP","FQ2 2021","FQ2 2021","Currency=USD","Period=FQ","BEST_FPERIOD_OVERRIDE=FQ","FILING_STATUS=MR","SCALING_FORMAT=MLN","Sort=A","Dates=H","DateFormat=P","Fill=—","Direction=H","UseDPDF=Y")</f>
        <v>-1206</v>
      </c>
      <c r="N13" s="13">
        <f>_xll.BDH("AMGN US Equity","CF_CHNG_NON_CASH_WORK_CAP","FQ3 2021","FQ3 2021","Currency=USD","Period=FQ","BEST_FPERIOD_OVERRIDE=FQ","FILING_STATUS=MR","SCALING_FORMAT=MLN","Sort=A","Dates=H","DateFormat=P","Fill=—","Direction=H","UseDPDF=Y")</f>
        <v>-245</v>
      </c>
      <c r="O13" s="13">
        <f>_xll.BDH("AMGN US Equity","CF_CHNG_NON_CASH_WORK_CAP","FQ4 2021","FQ4 2021","Currency=USD","Period=FQ","BEST_FPERIOD_OVERRIDE=FQ","FILING_STATUS=MR","SCALING_FORMAT=MLN","Sort=A","Dates=H","DateFormat=P","Fill=—","Direction=H","UseDPDF=Y")</f>
        <v>-54</v>
      </c>
      <c r="P13" s="13">
        <f>_xll.BDH("AMGN US Equity","CF_CHNG_NON_CASH_WORK_CAP","FQ1 2022","FQ1 2022","Currency=USD","Period=FQ","BEST_FPERIOD_OVERRIDE=FQ","FILING_STATUS=MR","SCALING_FORMAT=MLN","Sort=A","Dates=H","DateFormat=P","Fill=—","Direction=H","UseDPDF=Y")</f>
        <v>-65</v>
      </c>
      <c r="Q13" s="13">
        <f>_xll.BDH("AMGN US Equity","CF_CHNG_NON_CASH_WORK_CAP","FQ2 2022","FQ2 2022","Currency=USD","Period=FQ","BEST_FPERIOD_OVERRIDE=FQ","FILING_STATUS=MR","SCALING_FORMAT=MLN","Sort=A","Dates=H","DateFormat=P","Fill=—","Direction=H","UseDPDF=Y")</f>
        <v>-1632</v>
      </c>
      <c r="R13" s="13">
        <f>_xll.BDH("AMGN US Equity","CF_CHNG_NON_CASH_WORK_CAP","FQ3 2022","FQ3 2022","Currency=USD","Period=FQ","BEST_FPERIOD_OVERRIDE=FQ","FILING_STATUS=MR","SCALING_FORMAT=MLN","Sort=A","Dates=H","DateFormat=P","Fill=—","Direction=H","UseDPDF=Y")</f>
        <v>-154</v>
      </c>
      <c r="S13" s="13">
        <f>_xll.BDH("AMGN US Equity","CF_CHNG_NON_CASH_WORK_CAP","FQ4 2022","FQ4 2022","Currency=USD","Period=FQ","BEST_FPERIOD_OVERRIDE=FQ","FILING_STATUS=MR","SCALING_FORMAT=MLN","Sort=A","Dates=H","DateFormat=P","Fill=—","Direction=H","UseDPDF=Y")</f>
        <v>-130</v>
      </c>
      <c r="T13" s="13">
        <f>_xll.BDH("AMGN US Equity","CF_CHNG_NON_CASH_WORK_CAP","FQ1 2023","FQ1 2023","Currency=USD","Period=FQ","BEST_FPERIOD_OVERRIDE=FQ","FILING_STATUS=MR","SCALING_FORMAT=MLN","Sort=A","Dates=H","DateFormat=P","Fill=—","Direction=H","UseDPDF=Y")</f>
        <v>-12</v>
      </c>
      <c r="U13" s="13">
        <f>_xll.BDH("AMGN US Equity","CF_CHNG_NON_CASH_WORK_CAP","FQ2 2023","FQ2 2023","Currency=USD","Period=FQ","BEST_FPERIOD_OVERRIDE=FQ","FILING_STATUS=MR","SCALING_FORMAT=MLN","Sort=A","Dates=H","DateFormat=P","Fill=—","Direction=H","UseDPDF=Y")</f>
        <v>-156</v>
      </c>
      <c r="V13" s="13">
        <f>_xll.BDH("AMGN US Equity","CF_CHNG_NON_CASH_WORK_CAP","FQ3 2023","FQ3 2023","Currency=USD","Period=FQ","BEST_FPERIOD_OVERRIDE=FQ","FILING_STATUS=MR","SCALING_FORMAT=MLN","Sort=A","Dates=H","DateFormat=P","Fill=—","Direction=H","UseDPDF=Y")</f>
        <v>-45</v>
      </c>
      <c r="W13" s="13">
        <f>_xll.BDH("AMGN US Equity","CF_CHNG_NON_CASH_WORK_CAP","FQ4 2023","FQ4 2023","Currency=USD","Period=FQ","BEST_FPERIOD_OVERRIDE=FQ","FILING_STATUS=MR","SCALING_FORMAT=MLN","Sort=A","Dates=H","DateFormat=P","Fill=—","Direction=H","UseDPDF=Y")</f>
        <v>-1744</v>
      </c>
      <c r="X13" s="13">
        <f>_xll.BDH("AMGN US Equity","CF_CHNG_NON_CASH_WORK_CAP","FQ1 2024","FQ1 2024","Currency=USD","Period=FQ","BEST_FPERIOD_OVERRIDE=FQ","FILING_STATUS=MR","SCALING_FORMAT=MLN","Sort=A","Dates=H","DateFormat=P","Fill=—","Direction=H","UseDPDF=Y")</f>
        <v>168</v>
      </c>
      <c r="Y13" s="13">
        <f>_xll.BDH("AMGN US Equity","CF_CHNG_NON_CASH_WORK_CAP","FQ2 2024","FQ2 2024","Currency=USD","Period=FQ","BEST_FPERIOD_OVERRIDE=FQ","FILING_STATUS=MR","SCALING_FORMAT=MLN","Sort=A","Dates=H","DateFormat=P","Fill=—","Direction=H","UseDPDF=Y")</f>
        <v>271</v>
      </c>
      <c r="Z13" s="13">
        <f>_xll.BDH("AMGN US Equity","CF_CHNG_NON_CASH_WORK_CAP","FQ3 2024","FQ3 2024","Currency=USD","Period=FQ","BEST_FPERIOD_OVERRIDE=FQ","FILING_STATUS=MR","SCALING_FORMAT=MLN","Sort=A","Dates=H","DateFormat=P","Fill=—","Direction=H","UseDPDF=Y")</f>
        <v>1118</v>
      </c>
      <c r="AA13" s="13">
        <f>_xll.BDH("AMGN US Equity","CF_CHNG_NON_CASH_WORK_CAP","FQ4 2024","FQ4 2024","Currency=USD","Period=FQ","BEST_FPERIOD_OVERRIDE=FQ","FILING_STATUS=MR","SCALING_FORMAT=MLN","Sort=A","Dates=H","DateFormat=P","Fill=—","Direction=H","UseDPDF=Y")</f>
        <v>2003</v>
      </c>
    </row>
    <row r="14" spans="1:27" x14ac:dyDescent="0.25">
      <c r="A14" s="10" t="s">
        <v>1278</v>
      </c>
      <c r="B14" s="10" t="s">
        <v>1279</v>
      </c>
      <c r="C14" s="13">
        <f>_xll.BDH("AMGN US Equity","CF_ACCT_RCV_UNBILLED_REV","FQ4 2018","FQ4 2018","Currency=USD","Period=FQ","BEST_FPERIOD_OVERRIDE=FQ","FILING_STATUS=MR","SCALING_FORMAT=MLN","Sort=A","Dates=H","DateFormat=P","Fill=—","Direction=H","UseDPDF=Y")</f>
        <v>-144</v>
      </c>
      <c r="D14" s="13">
        <f>_xll.BDH("AMGN US Equity","CF_ACCT_RCV_UNBILLED_REV","FQ1 2019","FQ1 2019","Currency=USD","Period=FQ","BEST_FPERIOD_OVERRIDE=FQ","FILING_STATUS=MR","SCALING_FORMAT=MLN","Sort=A","Dates=H","DateFormat=P","Fill=—","Direction=H","UseDPDF=Y")</f>
        <v>-207</v>
      </c>
      <c r="E14" s="13">
        <f>_xll.BDH("AMGN US Equity","CF_ACCT_RCV_UNBILLED_REV","FQ2 2019","FQ2 2019","Currency=USD","Period=FQ","BEST_FPERIOD_OVERRIDE=FQ","FILING_STATUS=MR","SCALING_FORMAT=MLN","Sort=A","Dates=H","DateFormat=P","Fill=—","Direction=H","UseDPDF=Y")</f>
        <v>-21</v>
      </c>
      <c r="F14" s="13">
        <f>_xll.BDH("AMGN US Equity","CF_ACCT_RCV_UNBILLED_REV","FQ3 2019","FQ3 2019","Currency=USD","Period=FQ","BEST_FPERIOD_OVERRIDE=FQ","FILING_STATUS=MR","SCALING_FORMAT=MLN","Sort=A","Dates=H","DateFormat=P","Fill=—","Direction=H","UseDPDF=Y")</f>
        <v>165</v>
      </c>
      <c r="G14" s="13">
        <f>_xll.BDH("AMGN US Equity","CF_ACCT_RCV_UNBILLED_REV","FQ4 2019","FQ4 2019","Currency=USD","Period=FQ","BEST_FPERIOD_OVERRIDE=FQ","FILING_STATUS=MR","SCALING_FORMAT=MLN","Sort=A","Dates=H","DateFormat=P","Fill=—","Direction=H","UseDPDF=Y")</f>
        <v>-441</v>
      </c>
      <c r="H14" s="13">
        <f>_xll.BDH("AMGN US Equity","CF_ACCT_RCV_UNBILLED_REV","FQ1 2020","FQ1 2020","Currency=USD","Period=FQ","BEST_FPERIOD_OVERRIDE=FQ","FILING_STATUS=MR","SCALING_FORMAT=MLN","Sort=A","Dates=H","DateFormat=P","Fill=—","Direction=H","UseDPDF=Y")</f>
        <v>-955</v>
      </c>
      <c r="I14" s="13">
        <f>_xll.BDH("AMGN US Equity","CF_ACCT_RCV_UNBILLED_REV","FQ2 2020","FQ2 2020","Currency=USD","Period=FQ","BEST_FPERIOD_OVERRIDE=FQ","FILING_STATUS=MR","SCALING_FORMAT=MLN","Sort=A","Dates=H","DateFormat=P","Fill=—","Direction=H","UseDPDF=Y")</f>
        <v>-222</v>
      </c>
      <c r="J14" s="13">
        <f>_xll.BDH("AMGN US Equity","CF_ACCT_RCV_UNBILLED_REV","FQ3 2020","FQ3 2020","Currency=USD","Period=FQ","BEST_FPERIOD_OVERRIDE=FQ","FILING_STATUS=MR","SCALING_FORMAT=MLN","Sort=A","Dates=H","DateFormat=P","Fill=—","Direction=H","UseDPDF=Y")</f>
        <v>1146</v>
      </c>
      <c r="K14" s="13">
        <f>_xll.BDH("AMGN US Equity","CF_ACCT_RCV_UNBILLED_REV","FQ4 2020","FQ4 2020","Currency=USD","Period=FQ","BEST_FPERIOD_OVERRIDE=FQ","FILING_STATUS=MR","SCALING_FORMAT=MLN","Sort=A","Dates=H","DateFormat=P","Fill=—","Direction=H","UseDPDF=Y")</f>
        <v>-396</v>
      </c>
      <c r="L14" s="13">
        <f>_xll.BDH("AMGN US Equity","CF_ACCT_RCV_UNBILLED_REV","FQ1 2021","FQ1 2021","Currency=USD","Period=FQ","BEST_FPERIOD_OVERRIDE=FQ","FILING_STATUS=MR","SCALING_FORMAT=MLN","Sort=A","Dates=H","DateFormat=P","Fill=—","Direction=H","UseDPDF=Y")</f>
        <v>91</v>
      </c>
      <c r="M14" s="13">
        <f>_xll.BDH("AMGN US Equity","CF_ACCT_RCV_UNBILLED_REV","FQ2 2021","FQ2 2021","Currency=USD","Period=FQ","BEST_FPERIOD_OVERRIDE=FQ","FILING_STATUS=MR","SCALING_FORMAT=MLN","Sort=A","Dates=H","DateFormat=P","Fill=—","Direction=H","UseDPDF=Y")</f>
        <v>-56</v>
      </c>
      <c r="N14" s="13">
        <f>_xll.BDH("AMGN US Equity","CF_ACCT_RCV_UNBILLED_REV","FQ3 2021","FQ3 2021","Currency=USD","Period=FQ","BEST_FPERIOD_OVERRIDE=FQ","FILING_STATUS=MR","SCALING_FORMAT=MLN","Sort=A","Dates=H","DateFormat=P","Fill=—","Direction=H","UseDPDF=Y")</f>
        <v>-304</v>
      </c>
      <c r="O14" s="13">
        <f>_xll.BDH("AMGN US Equity","CF_ACCT_RCV_UNBILLED_REV","FQ4 2021","FQ4 2021","Currency=USD","Period=FQ","BEST_FPERIOD_OVERRIDE=FQ","FILING_STATUS=MR","SCALING_FORMAT=MLN","Sort=A","Dates=H","DateFormat=P","Fill=—","Direction=H","UseDPDF=Y")</f>
        <v>-160</v>
      </c>
      <c r="P14" s="13">
        <f>_xll.BDH("AMGN US Equity","CF_ACCT_RCV_UNBILLED_REV","FQ1 2022","FQ1 2022","Currency=USD","Period=FQ","BEST_FPERIOD_OVERRIDE=FQ","FILING_STATUS=MR","SCALING_FORMAT=MLN","Sort=A","Dates=H","DateFormat=P","Fill=—","Direction=H","UseDPDF=Y")</f>
        <v>-195</v>
      </c>
      <c r="Q14" s="13">
        <f>_xll.BDH("AMGN US Equity","CF_ACCT_RCV_UNBILLED_REV","FQ2 2022","FQ2 2022","Currency=USD","Period=FQ","BEST_FPERIOD_OVERRIDE=FQ","FILING_STATUS=MR","SCALING_FORMAT=MLN","Sort=A","Dates=H","DateFormat=P","Fill=—","Direction=H","UseDPDF=Y")</f>
        <v>-309</v>
      </c>
      <c r="R14" s="13">
        <f>_xll.BDH("AMGN US Equity","CF_ACCT_RCV_UNBILLED_REV","FQ3 2022","FQ3 2022","Currency=USD","Period=FQ","BEST_FPERIOD_OVERRIDE=FQ","FILING_STATUS=MR","SCALING_FORMAT=MLN","Sort=A","Dates=H","DateFormat=P","Fill=—","Direction=H","UseDPDF=Y")</f>
        <v>-62</v>
      </c>
      <c r="S14" s="13">
        <f>_xll.BDH("AMGN US Equity","CF_ACCT_RCV_UNBILLED_REV","FQ4 2022","FQ4 2022","Currency=USD","Period=FQ","BEST_FPERIOD_OVERRIDE=FQ","FILING_STATUS=MR","SCALING_FORMAT=MLN","Sort=A","Dates=H","DateFormat=P","Fill=—","Direction=H","UseDPDF=Y")</f>
        <v>-180</v>
      </c>
      <c r="T14" s="13">
        <f>_xll.BDH("AMGN US Equity","CF_ACCT_RCV_UNBILLED_REV","FQ1 2023","FQ1 2023","Currency=USD","Period=FQ","BEST_FPERIOD_OVERRIDE=FQ","FILING_STATUS=MR","SCALING_FORMAT=MLN","Sort=A","Dates=H","DateFormat=P","Fill=—","Direction=H","UseDPDF=Y")</f>
        <v>-144</v>
      </c>
      <c r="U14" s="13">
        <f>_xll.BDH("AMGN US Equity","CF_ACCT_RCV_UNBILLED_REV","FQ2 2023","FQ2 2023","Currency=USD","Period=FQ","BEST_FPERIOD_OVERRIDE=FQ","FILING_STATUS=MR","SCALING_FORMAT=MLN","Sort=A","Dates=H","DateFormat=P","Fill=—","Direction=H","UseDPDF=Y")</f>
        <v>-96</v>
      </c>
      <c r="V14" s="13">
        <f>_xll.BDH("AMGN US Equity","CF_ACCT_RCV_UNBILLED_REV","FQ3 2023","FQ3 2023","Currency=USD","Period=FQ","BEST_FPERIOD_OVERRIDE=FQ","FILING_STATUS=MR","SCALING_FORMAT=MLN","Sort=A","Dates=H","DateFormat=P","Fill=—","Direction=H","UseDPDF=Y")</f>
        <v>-342</v>
      </c>
      <c r="W14" s="13">
        <f>_xll.BDH("AMGN US Equity","CF_ACCT_RCV_UNBILLED_REV","FQ4 2023","FQ4 2023","Currency=USD","Period=FQ","BEST_FPERIOD_OVERRIDE=FQ","FILING_STATUS=MR","SCALING_FORMAT=MLN","Sort=A","Dates=H","DateFormat=P","Fill=—","Direction=H","UseDPDF=Y")</f>
        <v>-433</v>
      </c>
      <c r="X14" s="13">
        <f>_xll.BDH("AMGN US Equity","CF_ACCT_RCV_UNBILLED_REV","FQ1 2024","FQ1 2024","Currency=USD","Period=FQ","BEST_FPERIOD_OVERRIDE=FQ","FILING_STATUS=MR","SCALING_FORMAT=MLN","Sort=A","Dates=H","DateFormat=P","Fill=—","Direction=H","UseDPDF=Y")</f>
        <v>486</v>
      </c>
      <c r="Y14" s="13">
        <f>_xll.BDH("AMGN US Equity","CF_ACCT_RCV_UNBILLED_REV","FQ2 2024","FQ2 2024","Currency=USD","Period=FQ","BEST_FPERIOD_OVERRIDE=FQ","FILING_STATUS=MR","SCALING_FORMAT=MLN","Sort=A","Dates=H","DateFormat=P","Fill=—","Direction=H","UseDPDF=Y")</f>
        <v>-176</v>
      </c>
      <c r="Z14" s="13">
        <f>_xll.BDH("AMGN US Equity","CF_ACCT_RCV_UNBILLED_REV","FQ3 2024","FQ3 2024","Currency=USD","Period=FQ","BEST_FPERIOD_OVERRIDE=FQ","FILING_STATUS=MR","SCALING_FORMAT=MLN","Sort=A","Dates=H","DateFormat=P","Fill=—","Direction=H","UseDPDF=Y")</f>
        <v>-342</v>
      </c>
      <c r="AA14" s="13">
        <f>_xll.BDH("AMGN US Equity","CF_ACCT_RCV_UNBILLED_REV","FQ4 2024","FQ4 2024","Currency=USD","Period=FQ","BEST_FPERIOD_OVERRIDE=FQ","FILING_STATUS=MR","SCALING_FORMAT=MLN","Sort=A","Dates=H","DateFormat=P","Fill=—","Direction=H","UseDPDF=Y")</f>
        <v>473</v>
      </c>
    </row>
    <row r="15" spans="1:27" x14ac:dyDescent="0.25">
      <c r="A15" s="10" t="s">
        <v>1280</v>
      </c>
      <c r="B15" s="10" t="s">
        <v>1281</v>
      </c>
      <c r="C15" s="13">
        <f>_xll.BDH("AMGN US Equity","CF_CHANGE_IN_INVENTORIES","FQ4 2018","FQ4 2018","Currency=USD","Period=FQ","BEST_FPERIOD_OVERRIDE=FQ","FILING_STATUS=MR","SCALING_FORMAT=MLN","Sort=A","Dates=H","DateFormat=P","Fill=—","Direction=H","UseDPDF=Y")</f>
        <v>90</v>
      </c>
      <c r="D15" s="13">
        <f>_xll.BDH("AMGN US Equity","CF_CHANGE_IN_INVENTORIES","FQ1 2019","FQ1 2019","Currency=USD","Period=FQ","BEST_FPERIOD_OVERRIDE=FQ","FILING_STATUS=MR","SCALING_FORMAT=MLN","Sort=A","Dates=H","DateFormat=P","Fill=—","Direction=H","UseDPDF=Y")</f>
        <v>-28</v>
      </c>
      <c r="E15" s="13">
        <f>_xll.BDH("AMGN US Equity","CF_CHANGE_IN_INVENTORIES","FQ2 2019","FQ2 2019","Currency=USD","Period=FQ","BEST_FPERIOD_OVERRIDE=FQ","FILING_STATUS=MR","SCALING_FORMAT=MLN","Sort=A","Dates=H","DateFormat=P","Fill=—","Direction=H","UseDPDF=Y")</f>
        <v>-90</v>
      </c>
      <c r="F15" s="13">
        <f>_xll.BDH("AMGN US Equity","CF_CHANGE_IN_INVENTORIES","FQ3 2019","FQ3 2019","Currency=USD","Period=FQ","BEST_FPERIOD_OVERRIDE=FQ","FILING_STATUS=MR","SCALING_FORMAT=MLN","Sort=A","Dates=H","DateFormat=P","Fill=—","Direction=H","UseDPDF=Y")</f>
        <v>17</v>
      </c>
      <c r="G15" s="13">
        <f>_xll.BDH("AMGN US Equity","CF_CHANGE_IN_INVENTORIES","FQ4 2019","FQ4 2019","Currency=USD","Period=FQ","BEST_FPERIOD_OVERRIDE=FQ","FILING_STATUS=MR","SCALING_FORMAT=MLN","Sort=A","Dates=H","DateFormat=P","Fill=—","Direction=H","UseDPDF=Y")</f>
        <v>35</v>
      </c>
      <c r="H15" s="13">
        <f>_xll.BDH("AMGN US Equity","CF_CHANGE_IN_INVENTORIES","FQ1 2020","FQ1 2020","Currency=USD","Period=FQ","BEST_FPERIOD_OVERRIDE=FQ","FILING_STATUS=MR","SCALING_FORMAT=MLN","Sort=A","Dates=H","DateFormat=P","Fill=—","Direction=H","UseDPDF=Y")</f>
        <v>-113</v>
      </c>
      <c r="I15" s="13">
        <f>_xll.BDH("AMGN US Equity","CF_CHANGE_IN_INVENTORIES","FQ2 2020","FQ2 2020","Currency=USD","Period=FQ","BEST_FPERIOD_OVERRIDE=FQ","FILING_STATUS=MR","SCALING_FORMAT=MLN","Sort=A","Dates=H","DateFormat=P","Fill=—","Direction=H","UseDPDF=Y")</f>
        <v>-113</v>
      </c>
      <c r="J15" s="13">
        <f>_xll.BDH("AMGN US Equity","CF_CHANGE_IN_INVENTORIES","FQ3 2020","FQ3 2020","Currency=USD","Period=FQ","BEST_FPERIOD_OVERRIDE=FQ","FILING_STATUS=MR","SCALING_FORMAT=MLN","Sort=A","Dates=H","DateFormat=P","Fill=—","Direction=H","UseDPDF=Y")</f>
        <v>-90</v>
      </c>
      <c r="K15" s="13">
        <f>_xll.BDH("AMGN US Equity","CF_CHANGE_IN_INVENTORIES","FQ4 2020","FQ4 2020","Currency=USD","Period=FQ","BEST_FPERIOD_OVERRIDE=FQ","FILING_STATUS=MR","SCALING_FORMAT=MLN","Sort=A","Dates=H","DateFormat=P","Fill=—","Direction=H","UseDPDF=Y")</f>
        <v>101</v>
      </c>
      <c r="L15" s="13">
        <f>_xll.BDH("AMGN US Equity","CF_CHANGE_IN_INVENTORIES","FQ1 2021","FQ1 2021","Currency=USD","Period=FQ","BEST_FPERIOD_OVERRIDE=FQ","FILING_STATUS=MR","SCALING_FORMAT=MLN","Sort=A","Dates=H","DateFormat=P","Fill=—","Direction=H","UseDPDF=Y")</f>
        <v>-126</v>
      </c>
      <c r="M15" s="13">
        <f>_xll.BDH("AMGN US Equity","CF_CHANGE_IN_INVENTORIES","FQ2 2021","FQ2 2021","Currency=USD","Period=FQ","BEST_FPERIOD_OVERRIDE=FQ","FILING_STATUS=MR","SCALING_FORMAT=MLN","Sort=A","Dates=H","DateFormat=P","Fill=—","Direction=H","UseDPDF=Y")</f>
        <v>-41</v>
      </c>
      <c r="N15" s="13">
        <f>_xll.BDH("AMGN US Equity","CF_CHANGE_IN_INVENTORIES","FQ3 2021","FQ3 2021","Currency=USD","Period=FQ","BEST_FPERIOD_OVERRIDE=FQ","FILING_STATUS=MR","SCALING_FORMAT=MLN","Sort=A","Dates=H","DateFormat=P","Fill=—","Direction=H","UseDPDF=Y")</f>
        <v>-48</v>
      </c>
      <c r="O15" s="13">
        <f>_xll.BDH("AMGN US Equity","CF_CHANGE_IN_INVENTORIES","FQ4 2021","FQ4 2021","Currency=USD","Period=FQ","BEST_FPERIOD_OVERRIDE=FQ","FILING_STATUS=MR","SCALING_FORMAT=MLN","Sort=A","Dates=H","DateFormat=P","Fill=—","Direction=H","UseDPDF=Y")</f>
        <v>50</v>
      </c>
      <c r="P15" s="13">
        <f>_xll.BDH("AMGN US Equity","CF_CHANGE_IN_INVENTORIES","FQ1 2022","FQ1 2022","Currency=USD","Period=FQ","BEST_FPERIOD_OVERRIDE=FQ","FILING_STATUS=MR","SCALING_FORMAT=MLN","Sort=A","Dates=H","DateFormat=P","Fill=—","Direction=H","UseDPDF=Y")</f>
        <v>-230</v>
      </c>
      <c r="Q15" s="13">
        <f>_xll.BDH("AMGN US Equity","CF_CHANGE_IN_INVENTORIES","FQ2 2022","FQ2 2022","Currency=USD","Period=FQ","BEST_FPERIOD_OVERRIDE=FQ","FILING_STATUS=MR","SCALING_FORMAT=MLN","Sort=A","Dates=H","DateFormat=P","Fill=—","Direction=H","UseDPDF=Y")</f>
        <v>-180</v>
      </c>
      <c r="R15" s="13">
        <f>_xll.BDH("AMGN US Equity","CF_CHANGE_IN_INVENTORIES","FQ3 2022","FQ3 2022","Currency=USD","Period=FQ","BEST_FPERIOD_OVERRIDE=FQ","FILING_STATUS=MR","SCALING_FORMAT=MLN","Sort=A","Dates=H","DateFormat=P","Fill=—","Direction=H","UseDPDF=Y")</f>
        <v>-241</v>
      </c>
      <c r="S15" s="13">
        <f>_xll.BDH("AMGN US Equity","CF_CHANGE_IN_INVENTORIES","FQ4 2022","FQ4 2022","Currency=USD","Period=FQ","BEST_FPERIOD_OVERRIDE=FQ","FILING_STATUS=MR","SCALING_FORMAT=MLN","Sort=A","Dates=H","DateFormat=P","Fill=—","Direction=H","UseDPDF=Y")</f>
        <v>-91</v>
      </c>
      <c r="T15" s="13">
        <f>_xll.BDH("AMGN US Equity","CF_CHANGE_IN_INVENTORIES","FQ1 2023","FQ1 2023","Currency=USD","Period=FQ","BEST_FPERIOD_OVERRIDE=FQ","FILING_STATUS=MR","SCALING_FORMAT=MLN","Sort=A","Dates=H","DateFormat=P","Fill=—","Direction=H","UseDPDF=Y")</f>
        <v>-58</v>
      </c>
      <c r="U15" s="13">
        <f>_xll.BDH("AMGN US Equity","CF_CHANGE_IN_INVENTORIES","FQ2 2023","FQ2 2023","Currency=USD","Period=FQ","BEST_FPERIOD_OVERRIDE=FQ","FILING_STATUS=MR","SCALING_FORMAT=MLN","Sort=A","Dates=H","DateFormat=P","Fill=—","Direction=H","UseDPDF=Y")</f>
        <v>30</v>
      </c>
      <c r="V15" s="13">
        <f>_xll.BDH("AMGN US Equity","CF_CHANGE_IN_INVENTORIES","FQ3 2023","FQ3 2023","Currency=USD","Period=FQ","BEST_FPERIOD_OVERRIDE=FQ","FILING_STATUS=MR","SCALING_FORMAT=MLN","Sort=A","Dates=H","DateFormat=P","Fill=—","Direction=H","UseDPDF=Y")</f>
        <v>-54</v>
      </c>
      <c r="W15" s="13">
        <f>_xll.BDH("AMGN US Equity","CF_CHANGE_IN_INVENTORIES","FQ4 2023","FQ4 2023","Currency=USD","Period=FQ","BEST_FPERIOD_OVERRIDE=FQ","FILING_STATUS=MR","SCALING_FORMAT=MLN","Sort=A","Dates=H","DateFormat=P","Fill=—","Direction=H","UseDPDF=Y")</f>
        <v>573</v>
      </c>
      <c r="X15" s="13">
        <f>_xll.BDH("AMGN US Equity","CF_CHANGE_IN_INVENTORIES","FQ1 2024","FQ1 2024","Currency=USD","Period=FQ","BEST_FPERIOD_OVERRIDE=FQ","FILING_STATUS=MR","SCALING_FORMAT=MLN","Sort=A","Dates=H","DateFormat=P","Fill=—","Direction=H","UseDPDF=Y")</f>
        <v>806</v>
      </c>
      <c r="Y15" s="13">
        <f>_xll.BDH("AMGN US Equity","CF_CHANGE_IN_INVENTORIES","FQ2 2024","FQ2 2024","Currency=USD","Period=FQ","BEST_FPERIOD_OVERRIDE=FQ","FILING_STATUS=MR","SCALING_FORMAT=MLN","Sort=A","Dates=H","DateFormat=P","Fill=—","Direction=H","UseDPDF=Y")</f>
        <v>722</v>
      </c>
      <c r="Z15" s="13">
        <f>_xll.BDH("AMGN US Equity","CF_CHANGE_IN_INVENTORIES","FQ3 2024","FQ3 2024","Currency=USD","Period=FQ","BEST_FPERIOD_OVERRIDE=FQ","FILING_STATUS=MR","SCALING_FORMAT=MLN","Sort=A","Dates=H","DateFormat=P","Fill=—","Direction=H","UseDPDF=Y")</f>
        <v>681</v>
      </c>
      <c r="AA15" s="13">
        <f>_xll.BDH("AMGN US Equity","CF_CHANGE_IN_INVENTORIES","FQ4 2024","FQ4 2024","Currency=USD","Period=FQ","BEST_FPERIOD_OVERRIDE=FQ","FILING_STATUS=MR","SCALING_FORMAT=MLN","Sort=A","Dates=H","DateFormat=P","Fill=—","Direction=H","UseDPDF=Y")</f>
        <v>323</v>
      </c>
    </row>
    <row r="16" spans="1:27" x14ac:dyDescent="0.25">
      <c r="A16" s="10" t="s">
        <v>1282</v>
      </c>
      <c r="B16" s="10" t="s">
        <v>1283</v>
      </c>
      <c r="C16" s="13">
        <f>_xll.BDH("AMGN US Equity","CF_CHANGE_IN_ACCOUNTS_PAYABLE","FQ4 2018","FQ4 2018","Currency=USD","Period=FQ","BEST_FPERIOD_OVERRIDE=FQ","FILING_STATUS=MR","SCALING_FORMAT=MLN","Sort=A","Dates=H","DateFormat=P","Fill=—","Direction=H","UseDPDF=Y")</f>
        <v>168</v>
      </c>
      <c r="D16" s="13">
        <f>_xll.BDH("AMGN US Equity","CF_CHANGE_IN_ACCOUNTS_PAYABLE","FQ1 2019","FQ1 2019","Currency=USD","Period=FQ","BEST_FPERIOD_OVERRIDE=FQ","FILING_STATUS=MR","SCALING_FORMAT=MLN","Sort=A","Dates=H","DateFormat=P","Fill=—","Direction=H","UseDPDF=Y")</f>
        <v>-112</v>
      </c>
      <c r="E16" s="13">
        <f>_xll.BDH("AMGN US Equity","CF_CHANGE_IN_ACCOUNTS_PAYABLE","FQ2 2019","FQ2 2019","Currency=USD","Period=FQ","BEST_FPERIOD_OVERRIDE=FQ","FILING_STATUS=MR","SCALING_FORMAT=MLN","Sort=A","Dates=H","DateFormat=P","Fill=—","Direction=H","UseDPDF=Y")</f>
        <v>-93</v>
      </c>
      <c r="F16" s="13">
        <f>_xll.BDH("AMGN US Equity","CF_CHANGE_IN_ACCOUNTS_PAYABLE","FQ3 2019","FQ3 2019","Currency=USD","Period=FQ","BEST_FPERIOD_OVERRIDE=FQ","FILING_STATUS=MR","SCALING_FORMAT=MLN","Sort=A","Dates=H","DateFormat=P","Fill=—","Direction=H","UseDPDF=Y")</f>
        <v>9</v>
      </c>
      <c r="G16" s="13">
        <f>_xll.BDH("AMGN US Equity","CF_CHANGE_IN_ACCOUNTS_PAYABLE","FQ4 2019","FQ4 2019","Currency=USD","Period=FQ","BEST_FPERIOD_OVERRIDE=FQ","FILING_STATUS=MR","SCALING_FORMAT=MLN","Sort=A","Dates=H","DateFormat=P","Fill=—","Direction=H","UseDPDF=Y")</f>
        <v>360</v>
      </c>
      <c r="H16" s="13">
        <f>_xll.BDH("AMGN US Equity","CF_CHANGE_IN_ACCOUNTS_PAYABLE","FQ1 2020","FQ1 2020","Currency=USD","Period=FQ","BEST_FPERIOD_OVERRIDE=FQ","FILING_STATUS=MR","SCALING_FORMAT=MLN","Sort=A","Dates=H","DateFormat=P","Fill=—","Direction=H","UseDPDF=Y")</f>
        <v>-25</v>
      </c>
      <c r="I16" s="13">
        <f>_xll.BDH("AMGN US Equity","CF_CHANGE_IN_ACCOUNTS_PAYABLE","FQ2 2020","FQ2 2020","Currency=USD","Period=FQ","BEST_FPERIOD_OVERRIDE=FQ","FILING_STATUS=MR","SCALING_FORMAT=MLN","Sort=A","Dates=H","DateFormat=P","Fill=—","Direction=H","UseDPDF=Y")</f>
        <v>-191</v>
      </c>
      <c r="J16" s="13">
        <f>_xll.BDH("AMGN US Equity","CF_CHANGE_IN_ACCOUNTS_PAYABLE","FQ3 2020","FQ3 2020","Currency=USD","Period=FQ","BEST_FPERIOD_OVERRIDE=FQ","FILING_STATUS=MR","SCALING_FORMAT=MLN","Sort=A","Dates=H","DateFormat=P","Fill=—","Direction=H","UseDPDF=Y")</f>
        <v>14</v>
      </c>
      <c r="K16" s="13">
        <f>_xll.BDH("AMGN US Equity","CF_CHANGE_IN_ACCOUNTS_PAYABLE","FQ4 2020","FQ4 2020","Currency=USD","Period=FQ","BEST_FPERIOD_OVERRIDE=FQ","FILING_STATUS=MR","SCALING_FORMAT=MLN","Sort=A","Dates=H","DateFormat=P","Fill=—","Direction=H","UseDPDF=Y")</f>
        <v>247</v>
      </c>
      <c r="L16" s="13">
        <f>_xll.BDH("AMGN US Equity","CF_CHANGE_IN_ACCOUNTS_PAYABLE","FQ1 2021","FQ1 2021","Currency=USD","Period=FQ","BEST_FPERIOD_OVERRIDE=FQ","FILING_STATUS=MR","SCALING_FORMAT=MLN","Sort=A","Dates=H","DateFormat=P","Fill=—","Direction=H","UseDPDF=Y")</f>
        <v>-29</v>
      </c>
      <c r="M16" s="13">
        <f>_xll.BDH("AMGN US Equity","CF_CHANGE_IN_ACCOUNTS_PAYABLE","FQ2 2021","FQ2 2021","Currency=USD","Period=FQ","BEST_FPERIOD_OVERRIDE=FQ","FILING_STATUS=MR","SCALING_FORMAT=MLN","Sort=A","Dates=H","DateFormat=P","Fill=—","Direction=H","UseDPDF=Y")</f>
        <v>-127</v>
      </c>
      <c r="N16" s="13">
        <f>_xll.BDH("AMGN US Equity","CF_CHANGE_IN_ACCOUNTS_PAYABLE","FQ3 2021","FQ3 2021","Currency=USD","Period=FQ","BEST_FPERIOD_OVERRIDE=FQ","FILING_STATUS=MR","SCALING_FORMAT=MLN","Sort=A","Dates=H","DateFormat=P","Fill=—","Direction=H","UseDPDF=Y")</f>
        <v>-104</v>
      </c>
      <c r="O16" s="13">
        <f>_xll.BDH("AMGN US Equity","CF_CHANGE_IN_ACCOUNTS_PAYABLE","FQ4 2021","FQ4 2021","Currency=USD","Period=FQ","BEST_FPERIOD_OVERRIDE=FQ","FILING_STATUS=MR","SCALING_FORMAT=MLN","Sort=A","Dates=H","DateFormat=P","Fill=—","Direction=H","UseDPDF=Y")</f>
        <v>191</v>
      </c>
      <c r="P16" s="13">
        <f>_xll.BDH("AMGN US Equity","CF_CHANGE_IN_ACCOUNTS_PAYABLE","FQ1 2022","FQ1 2022","Currency=USD","Period=FQ","BEST_FPERIOD_OVERRIDE=FQ","FILING_STATUS=MR","SCALING_FORMAT=MLN","Sort=A","Dates=H","DateFormat=P","Fill=—","Direction=H","UseDPDF=Y")</f>
        <v>42</v>
      </c>
      <c r="Q16" s="13">
        <f>_xll.BDH("AMGN US Equity","CF_CHANGE_IN_ACCOUNTS_PAYABLE","FQ2 2022","FQ2 2022","Currency=USD","Period=FQ","BEST_FPERIOD_OVERRIDE=FQ","FILING_STATUS=MR","SCALING_FORMAT=MLN","Sort=A","Dates=H","DateFormat=P","Fill=—","Direction=H","UseDPDF=Y")</f>
        <v>-140</v>
      </c>
      <c r="R16" s="13">
        <f>_xll.BDH("AMGN US Equity","CF_CHANGE_IN_ACCOUNTS_PAYABLE","FQ3 2022","FQ3 2022","Currency=USD","Period=FQ","BEST_FPERIOD_OVERRIDE=FQ","FILING_STATUS=MR","SCALING_FORMAT=MLN","Sort=A","Dates=H","DateFormat=P","Fill=—","Direction=H","UseDPDF=Y")</f>
        <v>-44</v>
      </c>
      <c r="S16" s="13">
        <f>_xll.BDH("AMGN US Equity","CF_CHANGE_IN_ACCOUNTS_PAYABLE","FQ4 2022","FQ4 2022","Currency=USD","Period=FQ","BEST_FPERIOD_OVERRIDE=FQ","FILING_STATUS=MR","SCALING_FORMAT=MLN","Sort=A","Dates=H","DateFormat=P","Fill=—","Direction=H","UseDPDF=Y")</f>
        <v>296</v>
      </c>
      <c r="T16" s="13">
        <f>_xll.BDH("AMGN US Equity","CF_CHANGE_IN_ACCOUNTS_PAYABLE","FQ1 2023","FQ1 2023","Currency=USD","Period=FQ","BEST_FPERIOD_OVERRIDE=FQ","FILING_STATUS=MR","SCALING_FORMAT=MLN","Sort=A","Dates=H","DateFormat=P","Fill=—","Direction=H","UseDPDF=Y")</f>
        <v>-253</v>
      </c>
      <c r="U16" s="13">
        <f>_xll.BDH("AMGN US Equity","CF_CHANGE_IN_ACCOUNTS_PAYABLE","FQ2 2023","FQ2 2023","Currency=USD","Period=FQ","BEST_FPERIOD_OVERRIDE=FQ","FILING_STATUS=MR","SCALING_FORMAT=MLN","Sort=A","Dates=H","DateFormat=P","Fill=—","Direction=H","UseDPDF=Y")</f>
        <v>-118</v>
      </c>
      <c r="V16" s="13">
        <f>_xll.BDH("AMGN US Equity","CF_CHANGE_IN_ACCOUNTS_PAYABLE","FQ3 2023","FQ3 2023","Currency=USD","Period=FQ","BEST_FPERIOD_OVERRIDE=FQ","FILING_STATUS=MR","SCALING_FORMAT=MLN","Sort=A","Dates=H","DateFormat=P","Fill=—","Direction=H","UseDPDF=Y")</f>
        <v>156</v>
      </c>
      <c r="W16" s="13">
        <f>_xll.BDH("AMGN US Equity","CF_CHANGE_IN_ACCOUNTS_PAYABLE","FQ4 2023","FQ4 2023","Currency=USD","Period=FQ","BEST_FPERIOD_OVERRIDE=FQ","FILING_STATUS=MR","SCALING_FORMAT=MLN","Sort=A","Dates=H","DateFormat=P","Fill=—","Direction=H","UseDPDF=Y")</f>
        <v>-187</v>
      </c>
      <c r="X16" s="13">
        <f>_xll.BDH("AMGN US Equity","CF_CHANGE_IN_ACCOUNTS_PAYABLE","FQ1 2024","FQ1 2024","Currency=USD","Period=FQ","BEST_FPERIOD_OVERRIDE=FQ","FILING_STATUS=MR","SCALING_FORMAT=MLN","Sort=A","Dates=H","DateFormat=P","Fill=—","Direction=H","UseDPDF=Y")</f>
        <v>23</v>
      </c>
      <c r="Y16" s="13">
        <f>_xll.BDH("AMGN US Equity","CF_CHANGE_IN_ACCOUNTS_PAYABLE","FQ2 2024","FQ2 2024","Currency=USD","Period=FQ","BEST_FPERIOD_OVERRIDE=FQ","FILING_STATUS=MR","SCALING_FORMAT=MLN","Sort=A","Dates=H","DateFormat=P","Fill=—","Direction=H","UseDPDF=Y")</f>
        <v>643</v>
      </c>
      <c r="Z16" s="13">
        <f>_xll.BDH("AMGN US Equity","CF_CHANGE_IN_ACCOUNTS_PAYABLE","FQ3 2024","FQ3 2024","Currency=USD","Period=FQ","BEST_FPERIOD_OVERRIDE=FQ","FILING_STATUS=MR","SCALING_FORMAT=MLN","Sort=A","Dates=H","DateFormat=P","Fill=—","Direction=H","UseDPDF=Y")</f>
        <v>-122</v>
      </c>
      <c r="AA16" s="13">
        <f>_xll.BDH("AMGN US Equity","CF_CHANGE_IN_ACCOUNTS_PAYABLE","FQ4 2024","FQ4 2024","Currency=USD","Period=FQ","BEST_FPERIOD_OVERRIDE=FQ","FILING_STATUS=MR","SCALING_FORMAT=MLN","Sort=A","Dates=H","DateFormat=P","Fill=—","Direction=H","UseDPDF=Y")</f>
        <v>-232</v>
      </c>
    </row>
    <row r="17" spans="1:27" x14ac:dyDescent="0.25">
      <c r="A17" s="10" t="s">
        <v>1284</v>
      </c>
      <c r="B17" s="10" t="s">
        <v>1285</v>
      </c>
      <c r="C17" s="13">
        <f>_xll.BDH("AMGN US Equity","INC_DEC_IN_OT_OP_AST_LIAB_DETAIL","FQ4 2018","FQ4 2018","Currency=USD","Period=FQ","BEST_FPERIOD_OVERRIDE=FQ","FILING_STATUS=MR","SCALING_FORMAT=MLN","Sort=A","Dates=H","DateFormat=P","Fill=—","Direction=H","UseDPDF=Y")</f>
        <v>23</v>
      </c>
      <c r="D17" s="13">
        <f>_xll.BDH("AMGN US Equity","INC_DEC_IN_OT_OP_AST_LIAB_DETAIL","FQ1 2019","FQ1 2019","Currency=USD","Period=FQ","BEST_FPERIOD_OVERRIDE=FQ","FILING_STATUS=MR","SCALING_FORMAT=MLN","Sort=A","Dates=H","DateFormat=P","Fill=—","Direction=H","UseDPDF=Y")</f>
        <v>277</v>
      </c>
      <c r="E17" s="13">
        <f>_xll.BDH("AMGN US Equity","INC_DEC_IN_OT_OP_AST_LIAB_DETAIL","FQ2 2019","FQ2 2019","Currency=USD","Period=FQ","BEST_FPERIOD_OVERRIDE=FQ","FILING_STATUS=MR","SCALING_FORMAT=MLN","Sort=A","Dates=H","DateFormat=P","Fill=—","Direction=H","UseDPDF=Y")</f>
        <v>-534</v>
      </c>
      <c r="F17" s="13">
        <f>_xll.BDH("AMGN US Equity","INC_DEC_IN_OT_OP_AST_LIAB_DETAIL","FQ3 2019","FQ3 2019","Currency=USD","Period=FQ","BEST_FPERIOD_OVERRIDE=FQ","FILING_STATUS=MR","SCALING_FORMAT=MLN","Sort=A","Dates=H","DateFormat=P","Fill=—","Direction=H","UseDPDF=Y")</f>
        <v>129</v>
      </c>
      <c r="G17" s="13">
        <f>_xll.BDH("AMGN US Equity","INC_DEC_IN_OT_OP_AST_LIAB_DETAIL","FQ4 2019","FQ4 2019","Currency=USD","Period=FQ","BEST_FPERIOD_OVERRIDE=FQ","FILING_STATUS=MR","SCALING_FORMAT=MLN","Sort=A","Dates=H","DateFormat=P","Fill=—","Direction=H","UseDPDF=Y")</f>
        <v>-457</v>
      </c>
      <c r="H17" s="13">
        <f>_xll.BDH("AMGN US Equity","INC_DEC_IN_OT_OP_AST_LIAB_DETAIL","FQ1 2020","FQ1 2020","Currency=USD","Period=FQ","BEST_FPERIOD_OVERRIDE=FQ","FILING_STATUS=MR","SCALING_FORMAT=MLN","Sort=A","Dates=H","DateFormat=P","Fill=—","Direction=H","UseDPDF=Y")</f>
        <v>137</v>
      </c>
      <c r="I17" s="13">
        <f>_xll.BDH("AMGN US Equity","INC_DEC_IN_OT_OP_AST_LIAB_DETAIL","FQ2 2020","FQ2 2020","Currency=USD","Period=FQ","BEST_FPERIOD_OVERRIDE=FQ","FILING_STATUS=MR","SCALING_FORMAT=MLN","Sort=A","Dates=H","DateFormat=P","Fill=—","Direction=H","UseDPDF=Y")</f>
        <v>315</v>
      </c>
      <c r="J17" s="13">
        <f>_xll.BDH("AMGN US Equity","INC_DEC_IN_OT_OP_AST_LIAB_DETAIL","FQ3 2020","FQ3 2020","Currency=USD","Period=FQ","BEST_FPERIOD_OVERRIDE=FQ","FILING_STATUS=MR","SCALING_FORMAT=MLN","Sort=A","Dates=H","DateFormat=P","Fill=—","Direction=H","UseDPDF=Y")</f>
        <v>-753</v>
      </c>
      <c r="K17" s="13">
        <f>_xll.BDH("AMGN US Equity","INC_DEC_IN_OT_OP_AST_LIAB_DETAIL","FQ4 2020","FQ4 2020","Currency=USD","Period=FQ","BEST_FPERIOD_OVERRIDE=FQ","FILING_STATUS=MR","SCALING_FORMAT=MLN","Sort=A","Dates=H","DateFormat=P","Fill=—","Direction=H","UseDPDF=Y")</f>
        <v>52</v>
      </c>
      <c r="L17" s="13">
        <f>_xll.BDH("AMGN US Equity","INC_DEC_IN_OT_OP_AST_LIAB_DETAIL","FQ1 2021","FQ1 2021","Currency=USD","Period=FQ","BEST_FPERIOD_OVERRIDE=FQ","FILING_STATUS=MR","SCALING_FORMAT=MLN","Sort=A","Dates=H","DateFormat=P","Fill=—","Direction=H","UseDPDF=Y")</f>
        <v>52</v>
      </c>
      <c r="M17" s="13">
        <f>_xll.BDH("AMGN US Equity","INC_DEC_IN_OT_OP_AST_LIAB_DETAIL","FQ2 2021","FQ2 2021","Currency=USD","Period=FQ","BEST_FPERIOD_OVERRIDE=FQ","FILING_STATUS=MR","SCALING_FORMAT=MLN","Sort=A","Dates=H","DateFormat=P","Fill=—","Direction=H","UseDPDF=Y")</f>
        <v>-982</v>
      </c>
      <c r="N17" s="13">
        <f>_xll.BDH("AMGN US Equity","INC_DEC_IN_OT_OP_AST_LIAB_DETAIL","FQ3 2021","FQ3 2021","Currency=USD","Period=FQ","BEST_FPERIOD_OVERRIDE=FQ","FILING_STATUS=MR","SCALING_FORMAT=MLN","Sort=A","Dates=H","DateFormat=P","Fill=—","Direction=H","UseDPDF=Y")</f>
        <v>211</v>
      </c>
      <c r="O17" s="13">
        <f>_xll.BDH("AMGN US Equity","INC_DEC_IN_OT_OP_AST_LIAB_DETAIL","FQ4 2021","FQ4 2021","Currency=USD","Period=FQ","BEST_FPERIOD_OVERRIDE=FQ","FILING_STATUS=MR","SCALING_FORMAT=MLN","Sort=A","Dates=H","DateFormat=P","Fill=—","Direction=H","UseDPDF=Y")</f>
        <v>-135</v>
      </c>
      <c r="P17" s="13">
        <f>_xll.BDH("AMGN US Equity","INC_DEC_IN_OT_OP_AST_LIAB_DETAIL","FQ1 2022","FQ1 2022","Currency=USD","Period=FQ","BEST_FPERIOD_OVERRIDE=FQ","FILING_STATUS=MR","SCALING_FORMAT=MLN","Sort=A","Dates=H","DateFormat=P","Fill=—","Direction=H","UseDPDF=Y")</f>
        <v>318</v>
      </c>
      <c r="Q17" s="13">
        <f>_xll.BDH("AMGN US Equity","INC_DEC_IN_OT_OP_AST_LIAB_DETAIL","FQ2 2022","FQ2 2022","Currency=USD","Period=FQ","BEST_FPERIOD_OVERRIDE=FQ","FILING_STATUS=MR","SCALING_FORMAT=MLN","Sort=A","Dates=H","DateFormat=P","Fill=—","Direction=H","UseDPDF=Y")</f>
        <v>-1003</v>
      </c>
      <c r="R17" s="13">
        <f>_xll.BDH("AMGN US Equity","INC_DEC_IN_OT_OP_AST_LIAB_DETAIL","FQ3 2022","FQ3 2022","Currency=USD","Period=FQ","BEST_FPERIOD_OVERRIDE=FQ","FILING_STATUS=MR","SCALING_FORMAT=MLN","Sort=A","Dates=H","DateFormat=P","Fill=—","Direction=H","UseDPDF=Y")</f>
        <v>193</v>
      </c>
      <c r="S17" s="13">
        <f>_xll.BDH("AMGN US Equity","INC_DEC_IN_OT_OP_AST_LIAB_DETAIL","FQ4 2022","FQ4 2022","Currency=USD","Period=FQ","BEST_FPERIOD_OVERRIDE=FQ","FILING_STATUS=MR","SCALING_FORMAT=MLN","Sort=A","Dates=H","DateFormat=P","Fill=—","Direction=H","UseDPDF=Y")</f>
        <v>-155</v>
      </c>
      <c r="T17" s="13">
        <f>_xll.BDH("AMGN US Equity","INC_DEC_IN_OT_OP_AST_LIAB_DETAIL","FQ1 2023","FQ1 2023","Currency=USD","Period=FQ","BEST_FPERIOD_OVERRIDE=FQ","FILING_STATUS=MR","SCALING_FORMAT=MLN","Sort=A","Dates=H","DateFormat=P","Fill=—","Direction=H","UseDPDF=Y")</f>
        <v>443</v>
      </c>
      <c r="U17" s="13">
        <f>_xll.BDH("AMGN US Equity","INC_DEC_IN_OT_OP_AST_LIAB_DETAIL","FQ2 2023","FQ2 2023","Currency=USD","Period=FQ","BEST_FPERIOD_OVERRIDE=FQ","FILING_STATUS=MR","SCALING_FORMAT=MLN","Sort=A","Dates=H","DateFormat=P","Fill=—","Direction=H","UseDPDF=Y")</f>
        <v>28</v>
      </c>
      <c r="V17" s="13">
        <f>_xll.BDH("AMGN US Equity","INC_DEC_IN_OT_OP_AST_LIAB_DETAIL","FQ3 2023","FQ3 2023","Currency=USD","Period=FQ","BEST_FPERIOD_OVERRIDE=FQ","FILING_STATUS=MR","SCALING_FORMAT=MLN","Sort=A","Dates=H","DateFormat=P","Fill=—","Direction=H","UseDPDF=Y")</f>
        <v>195</v>
      </c>
      <c r="W17" s="13">
        <f>_xll.BDH("AMGN US Equity","INC_DEC_IN_OT_OP_AST_LIAB_DETAIL","FQ4 2023","FQ4 2023","Currency=USD","Period=FQ","BEST_FPERIOD_OVERRIDE=FQ","FILING_STATUS=MR","SCALING_FORMAT=MLN","Sort=A","Dates=H","DateFormat=P","Fill=—","Direction=H","UseDPDF=Y")</f>
        <v>-1697</v>
      </c>
      <c r="X17" s="13">
        <f>_xll.BDH("AMGN US Equity","INC_DEC_IN_OT_OP_AST_LIAB_DETAIL","FQ1 2024","FQ1 2024","Currency=USD","Period=FQ","BEST_FPERIOD_OVERRIDE=FQ","FILING_STATUS=MR","SCALING_FORMAT=MLN","Sort=A","Dates=H","DateFormat=P","Fill=—","Direction=H","UseDPDF=Y")</f>
        <v>-1147</v>
      </c>
      <c r="Y17" s="13">
        <f>_xll.BDH("AMGN US Equity","INC_DEC_IN_OT_OP_AST_LIAB_DETAIL","FQ2 2024","FQ2 2024","Currency=USD","Period=FQ","BEST_FPERIOD_OVERRIDE=FQ","FILING_STATUS=MR","SCALING_FORMAT=MLN","Sort=A","Dates=H","DateFormat=P","Fill=—","Direction=H","UseDPDF=Y")</f>
        <v>-918</v>
      </c>
      <c r="Z17" s="13">
        <f>_xll.BDH("AMGN US Equity","INC_DEC_IN_OT_OP_AST_LIAB_DETAIL","FQ3 2024","FQ3 2024","Currency=USD","Period=FQ","BEST_FPERIOD_OVERRIDE=FQ","FILING_STATUS=MR","SCALING_FORMAT=MLN","Sort=A","Dates=H","DateFormat=P","Fill=—","Direction=H","UseDPDF=Y")</f>
        <v>901</v>
      </c>
      <c r="AA17" s="13">
        <f>_xll.BDH("AMGN US Equity","INC_DEC_IN_OT_OP_AST_LIAB_DETAIL","FQ4 2024","FQ4 2024","Currency=USD","Period=FQ","BEST_FPERIOD_OVERRIDE=FQ","FILING_STATUS=MR","SCALING_FORMAT=MLN","Sort=A","Dates=H","DateFormat=P","Fill=—","Direction=H","UseDPDF=Y")</f>
        <v>1439</v>
      </c>
    </row>
    <row r="18" spans="1:27" x14ac:dyDescent="0.25">
      <c r="A18" s="10" t="s">
        <v>1286</v>
      </c>
      <c r="B18" s="10" t="s">
        <v>1287</v>
      </c>
      <c r="C18" s="13">
        <f>_xll.BDH("AMGN US Equity","CF_NET_CASH_DISCONT_OPS_OPER","FQ4 2018","FQ4 2018","Currency=USD","Period=FQ","BEST_FPERIOD_OVERRIDE=FQ","FILING_STATUS=MR","SCALING_FORMAT=MLN","Sort=A","Dates=H","DateFormat=P","Fill=—","Direction=H","UseDPDF=Y")</f>
        <v>0</v>
      </c>
      <c r="D18" s="13">
        <f>_xll.BDH("AMGN US Equity","CF_NET_CASH_DISCONT_OPS_OPER","FQ1 2019","FQ1 2019","Currency=USD","Period=FQ","BEST_FPERIOD_OVERRIDE=FQ","FILING_STATUS=MR","SCALING_FORMAT=MLN","Sort=A","Dates=H","DateFormat=P","Fill=—","Direction=H","UseDPDF=Y")</f>
        <v>0</v>
      </c>
      <c r="E18" s="13">
        <f>_xll.BDH("AMGN US Equity","CF_NET_CASH_DISCONT_OPS_OPER","FQ2 2019","FQ2 2019","Currency=USD","Period=FQ","BEST_FPERIOD_OVERRIDE=FQ","FILING_STATUS=MR","SCALING_FORMAT=MLN","Sort=A","Dates=H","DateFormat=P","Fill=—","Direction=H","UseDPDF=Y")</f>
        <v>0</v>
      </c>
      <c r="F18" s="13">
        <f>_xll.BDH("AMGN US Equity","CF_NET_CASH_DISCONT_OPS_OPER","FQ3 2019","FQ3 2019","Currency=USD","Period=FQ","BEST_FPERIOD_OVERRIDE=FQ","FILING_STATUS=MR","SCALING_FORMAT=MLN","Sort=A","Dates=H","DateFormat=P","Fill=—","Direction=H","UseDPDF=Y")</f>
        <v>0</v>
      </c>
      <c r="G18" s="13">
        <f>_xll.BDH("AMGN US Equity","CF_NET_CASH_DISCONT_OPS_OPER","FQ4 2019","FQ4 2019","Currency=USD","Period=FQ","BEST_FPERIOD_OVERRIDE=FQ","FILING_STATUS=MR","SCALING_FORMAT=MLN","Sort=A","Dates=H","DateFormat=P","Fill=—","Direction=H","UseDPDF=Y")</f>
        <v>0</v>
      </c>
      <c r="H18" s="13">
        <f>_xll.BDH("AMGN US Equity","CF_NET_CASH_DISCONT_OPS_OPER","FQ1 2020","FQ1 2020","Currency=USD","Period=FQ","BEST_FPERIOD_OVERRIDE=FQ","FILING_STATUS=MR","SCALING_FORMAT=MLN","Sort=A","Dates=H","DateFormat=P","Fill=—","Direction=H","UseDPDF=Y")</f>
        <v>0</v>
      </c>
      <c r="I18" s="13">
        <f>_xll.BDH("AMGN US Equity","CF_NET_CASH_DISCONT_OPS_OPER","FQ2 2020","FQ2 2020","Currency=USD","Period=FQ","BEST_FPERIOD_OVERRIDE=FQ","FILING_STATUS=MR","SCALING_FORMAT=MLN","Sort=A","Dates=H","DateFormat=P","Fill=—","Direction=H","UseDPDF=Y")</f>
        <v>0</v>
      </c>
      <c r="J18" s="13">
        <f>_xll.BDH("AMGN US Equity","CF_NET_CASH_DISCONT_OPS_OPER","FQ3 2020","FQ3 2020","Currency=USD","Period=FQ","BEST_FPERIOD_OVERRIDE=FQ","FILING_STATUS=MR","SCALING_FORMAT=MLN","Sort=A","Dates=H","DateFormat=P","Fill=—","Direction=H","UseDPDF=Y")</f>
        <v>0</v>
      </c>
      <c r="K18" s="13">
        <f>_xll.BDH("AMGN US Equity","CF_NET_CASH_DISCONT_OPS_OPER","FQ4 2020","FQ4 2020","Currency=USD","Period=FQ","BEST_FPERIOD_OVERRIDE=FQ","FILING_STATUS=MR","SCALING_FORMAT=MLN","Sort=A","Dates=H","DateFormat=P","Fill=—","Direction=H","UseDPDF=Y")</f>
        <v>0</v>
      </c>
      <c r="L18" s="13">
        <f>_xll.BDH("AMGN US Equity","CF_NET_CASH_DISCONT_OPS_OPER","FQ1 2021","FQ1 2021","Currency=USD","Period=FQ","BEST_FPERIOD_OVERRIDE=FQ","FILING_STATUS=MR","SCALING_FORMAT=MLN","Sort=A","Dates=H","DateFormat=P","Fill=—","Direction=H","UseDPDF=Y")</f>
        <v>0</v>
      </c>
      <c r="M18" s="13">
        <f>_xll.BDH("AMGN US Equity","CF_NET_CASH_DISCONT_OPS_OPER","FQ2 2021","FQ2 2021","Currency=USD","Period=FQ","BEST_FPERIOD_OVERRIDE=FQ","FILING_STATUS=MR","SCALING_FORMAT=MLN","Sort=A","Dates=H","DateFormat=P","Fill=—","Direction=H","UseDPDF=Y")</f>
        <v>0</v>
      </c>
      <c r="N18" s="13">
        <f>_xll.BDH("AMGN US Equity","CF_NET_CASH_DISCONT_OPS_OPER","FQ3 2021","FQ3 2021","Currency=USD","Period=FQ","BEST_FPERIOD_OVERRIDE=FQ","FILING_STATUS=MR","SCALING_FORMAT=MLN","Sort=A","Dates=H","DateFormat=P","Fill=—","Direction=H","UseDPDF=Y")</f>
        <v>0</v>
      </c>
      <c r="O18" s="13">
        <f>_xll.BDH("AMGN US Equity","CF_NET_CASH_DISCONT_OPS_OPER","FQ4 2021","FQ4 2021","Currency=USD","Period=FQ","BEST_FPERIOD_OVERRIDE=FQ","FILING_STATUS=MR","SCALING_FORMAT=MLN","Sort=A","Dates=H","DateFormat=P","Fill=—","Direction=H","UseDPDF=Y")</f>
        <v>0</v>
      </c>
      <c r="P18" s="13">
        <f>_xll.BDH("AMGN US Equity","CF_NET_CASH_DISCONT_OPS_OPER","FQ1 2022","FQ1 2022","Currency=USD","Period=FQ","BEST_FPERIOD_OVERRIDE=FQ","FILING_STATUS=MR","SCALING_FORMAT=MLN","Sort=A","Dates=H","DateFormat=P","Fill=—","Direction=H","UseDPDF=Y")</f>
        <v>0</v>
      </c>
      <c r="Q18" s="13">
        <f>_xll.BDH("AMGN US Equity","CF_NET_CASH_DISCONT_OPS_OPER","FQ2 2022","FQ2 2022","Currency=USD","Period=FQ","BEST_FPERIOD_OVERRIDE=FQ","FILING_STATUS=MR","SCALING_FORMAT=MLN","Sort=A","Dates=H","DateFormat=P","Fill=—","Direction=H","UseDPDF=Y")</f>
        <v>0</v>
      </c>
      <c r="R18" s="13">
        <f>_xll.BDH("AMGN US Equity","CF_NET_CASH_DISCONT_OPS_OPER","FQ3 2022","FQ3 2022","Currency=USD","Period=FQ","BEST_FPERIOD_OVERRIDE=FQ","FILING_STATUS=MR","SCALING_FORMAT=MLN","Sort=A","Dates=H","DateFormat=P","Fill=—","Direction=H","UseDPDF=Y")</f>
        <v>0</v>
      </c>
      <c r="S18" s="13">
        <f>_xll.BDH("AMGN US Equity","CF_NET_CASH_DISCONT_OPS_OPER","FQ4 2022","FQ4 2022","Currency=USD","Period=FQ","BEST_FPERIOD_OVERRIDE=FQ","FILING_STATUS=MR","SCALING_FORMAT=MLN","Sort=A","Dates=H","DateFormat=P","Fill=—","Direction=H","UseDPDF=Y")</f>
        <v>0</v>
      </c>
      <c r="T18" s="13">
        <f>_xll.BDH("AMGN US Equity","CF_NET_CASH_DISCONT_OPS_OPER","FQ1 2023","FQ1 2023","Currency=USD","Period=FQ","BEST_FPERIOD_OVERRIDE=FQ","FILING_STATUS=MR","SCALING_FORMAT=MLN","Sort=A","Dates=H","DateFormat=P","Fill=—","Direction=H","UseDPDF=Y")</f>
        <v>0</v>
      </c>
      <c r="U18" s="13">
        <f>_xll.BDH("AMGN US Equity","CF_NET_CASH_DISCONT_OPS_OPER","FQ2 2023","FQ2 2023","Currency=USD","Period=FQ","BEST_FPERIOD_OVERRIDE=FQ","FILING_STATUS=MR","SCALING_FORMAT=MLN","Sort=A","Dates=H","DateFormat=P","Fill=—","Direction=H","UseDPDF=Y")</f>
        <v>0</v>
      </c>
      <c r="V18" s="13">
        <f>_xll.BDH("AMGN US Equity","CF_NET_CASH_DISCONT_OPS_OPER","FQ3 2023","FQ3 2023","Currency=USD","Period=FQ","BEST_FPERIOD_OVERRIDE=FQ","FILING_STATUS=MR","SCALING_FORMAT=MLN","Sort=A","Dates=H","DateFormat=P","Fill=—","Direction=H","UseDPDF=Y")</f>
        <v>0</v>
      </c>
      <c r="W18" s="13">
        <f>_xll.BDH("AMGN US Equity","CF_NET_CASH_DISCONT_OPS_OPER","FQ4 2023","FQ4 2023","Currency=USD","Period=FQ","BEST_FPERIOD_OVERRIDE=FQ","FILING_STATUS=MR","SCALING_FORMAT=MLN","Sort=A","Dates=H","DateFormat=P","Fill=—","Direction=H","UseDPDF=Y")</f>
        <v>0</v>
      </c>
      <c r="X18" s="13">
        <f>_xll.BDH("AMGN US Equity","CF_NET_CASH_DISCONT_OPS_OPER","FQ1 2024","FQ1 2024","Currency=USD","Period=FQ","BEST_FPERIOD_OVERRIDE=FQ","FILING_STATUS=MR","SCALING_FORMAT=MLN","Sort=A","Dates=H","DateFormat=P","Fill=—","Direction=H","UseDPDF=Y")</f>
        <v>0</v>
      </c>
      <c r="Y18" s="13">
        <f>_xll.BDH("AMGN US Equity","CF_NET_CASH_DISCONT_OPS_OPER","FQ2 2024","FQ2 2024","Currency=USD","Period=FQ","BEST_FPERIOD_OVERRIDE=FQ","FILING_STATUS=MR","SCALING_FORMAT=MLN","Sort=A","Dates=H","DateFormat=P","Fill=—","Direction=H","UseDPDF=Y")</f>
        <v>0</v>
      </c>
      <c r="Z18" s="13">
        <f>_xll.BDH("AMGN US Equity","CF_NET_CASH_DISCONT_OPS_OPER","FQ3 2024","FQ3 2024","Currency=USD","Period=FQ","BEST_FPERIOD_OVERRIDE=FQ","FILING_STATUS=MR","SCALING_FORMAT=MLN","Sort=A","Dates=H","DateFormat=P","Fill=—","Direction=H","UseDPDF=Y")</f>
        <v>0</v>
      </c>
      <c r="AA18" s="13">
        <f>_xll.BDH("AMGN US Equity","CF_NET_CASH_DISCONT_OPS_OPER","FQ4 2024","FQ4 2024","Currency=USD","Period=FQ","BEST_FPERIOD_OVERRIDE=FQ","FILING_STATUS=MR","SCALING_FORMAT=MLN","Sort=A","Dates=H","DateFormat=P","Fill=—","Direction=H","UseDPDF=Y")</f>
        <v>0</v>
      </c>
    </row>
    <row r="19" spans="1:27" x14ac:dyDescent="0.25">
      <c r="A19" s="6" t="s">
        <v>1264</v>
      </c>
      <c r="B19" s="6" t="s">
        <v>85</v>
      </c>
      <c r="C19" s="19">
        <f>_xll.BDH("AMGN US Equity","CF_CASH_FROM_OPER","FQ4 2018","FQ4 2018","Currency=USD","Period=FQ","BEST_FPERIOD_OVERRIDE=FQ","FILING_STATUS=MR","SCALING_FORMAT=MLN","Sort=A","Dates=H","DateFormat=P","Fill=—","Direction=H","UseDPDF=Y")</f>
        <v>3194</v>
      </c>
      <c r="D19" s="19">
        <f>_xll.BDH("AMGN US Equity","CF_CASH_FROM_OPER","FQ1 2019","FQ1 2019","Currency=USD","Period=FQ","BEST_FPERIOD_OVERRIDE=FQ","FILING_STATUS=MR","SCALING_FORMAT=MLN","Sort=A","Dates=H","DateFormat=P","Fill=—","Direction=H","UseDPDF=Y")</f>
        <v>1845</v>
      </c>
      <c r="E19" s="19">
        <f>_xll.BDH("AMGN US Equity","CF_CASH_FROM_OPER","FQ2 2019","FQ2 2019","Currency=USD","Period=FQ","BEST_FPERIOD_OVERRIDE=FQ","FILING_STATUS=MR","SCALING_FORMAT=MLN","Sort=A","Dates=H","DateFormat=P","Fill=—","Direction=H","UseDPDF=Y")</f>
        <v>1414</v>
      </c>
      <c r="F19" s="19">
        <f>_xll.BDH("AMGN US Equity","CF_CASH_FROM_OPER","FQ3 2019","FQ3 2019","Currency=USD","Period=FQ","BEST_FPERIOD_OVERRIDE=FQ","FILING_STATUS=MR","SCALING_FORMAT=MLN","Sort=A","Dates=H","DateFormat=P","Fill=—","Direction=H","UseDPDF=Y")</f>
        <v>3377</v>
      </c>
      <c r="G19" s="19">
        <f>_xll.BDH("AMGN US Equity","CF_CASH_FROM_OPER","FQ4 2019","FQ4 2019","Currency=USD","Period=FQ","BEST_FPERIOD_OVERRIDE=FQ","FILING_STATUS=MR","SCALING_FORMAT=MLN","Sort=A","Dates=H","DateFormat=P","Fill=—","Direction=H","UseDPDF=Y")</f>
        <v>2514</v>
      </c>
      <c r="H19" s="19">
        <f>_xll.BDH("AMGN US Equity","CF_CASH_FROM_OPER","FQ1 2020","FQ1 2020","Currency=USD","Period=FQ","BEST_FPERIOD_OVERRIDE=FQ","FILING_STATUS=MR","SCALING_FORMAT=MLN","Sort=A","Dates=H","DateFormat=P","Fill=—","Direction=H","UseDPDF=Y")</f>
        <v>2134</v>
      </c>
      <c r="I19" s="19">
        <f>_xll.BDH("AMGN US Equity","CF_CASH_FROM_OPER","FQ2 2020","FQ2 2020","Currency=USD","Period=FQ","BEST_FPERIOD_OVERRIDE=FQ","FILING_STATUS=MR","SCALING_FORMAT=MLN","Sort=A","Dates=H","DateFormat=P","Fill=—","Direction=H","UseDPDF=Y")</f>
        <v>2842</v>
      </c>
      <c r="J19" s="19">
        <f>_xll.BDH("AMGN US Equity","CF_CASH_FROM_OPER","FQ3 2020","FQ3 2020","Currency=USD","Period=FQ","BEST_FPERIOD_OVERRIDE=FQ","FILING_STATUS=MR","SCALING_FORMAT=MLN","Sort=A","Dates=H","DateFormat=P","Fill=—","Direction=H","UseDPDF=Y")</f>
        <v>3368</v>
      </c>
      <c r="K19" s="19">
        <f>_xll.BDH("AMGN US Equity","CF_CASH_FROM_OPER","FQ4 2020","FQ4 2020","Currency=USD","Period=FQ","BEST_FPERIOD_OVERRIDE=FQ","FILING_STATUS=MR","SCALING_FORMAT=MLN","Sort=A","Dates=H","DateFormat=P","Fill=—","Direction=H","UseDPDF=Y")</f>
        <v>2413</v>
      </c>
      <c r="L19" s="19">
        <f>_xll.BDH("AMGN US Equity","CF_CASH_FROM_OPER","FQ1 2021","FQ1 2021","Currency=USD","Period=FQ","BEST_FPERIOD_OVERRIDE=FQ","FILING_STATUS=MR","SCALING_FORMAT=MLN","Sort=A","Dates=H","DateFormat=P","Fill=—","Direction=H","UseDPDF=Y")</f>
        <v>2104</v>
      </c>
      <c r="M19" s="19">
        <f>_xll.BDH("AMGN US Equity","CF_CASH_FROM_OPER","FQ2 2021","FQ2 2021","Currency=USD","Period=FQ","BEST_FPERIOD_OVERRIDE=FQ","FILING_STATUS=MR","SCALING_FORMAT=MLN","Sort=A","Dates=H","DateFormat=P","Fill=—","Direction=H","UseDPDF=Y")</f>
        <v>1931</v>
      </c>
      <c r="N19" s="19">
        <f>_xll.BDH("AMGN US Equity","CF_CASH_FROM_OPER","FQ3 2021","FQ3 2021","Currency=USD","Period=FQ","BEST_FPERIOD_OVERRIDE=FQ","FILING_STATUS=MR","SCALING_FORMAT=MLN","Sort=A","Dates=H","DateFormat=P","Fill=—","Direction=H","UseDPDF=Y")</f>
        <v>2418</v>
      </c>
      <c r="O19" s="19">
        <f>_xll.BDH("AMGN US Equity","CF_CASH_FROM_OPER","FQ4 2021","FQ4 2021","Currency=USD","Period=FQ","BEST_FPERIOD_OVERRIDE=FQ","FILING_STATUS=MR","SCALING_FORMAT=MLN","Sort=A","Dates=H","DateFormat=P","Fill=—","Direction=H","UseDPDF=Y")</f>
        <v>2808</v>
      </c>
      <c r="P19" s="19">
        <f>_xll.BDH("AMGN US Equity","CF_CASH_FROM_OPER","FQ1 2022","FQ1 2022","Currency=USD","Period=FQ","BEST_FPERIOD_OVERRIDE=FQ","FILING_STATUS=MR","SCALING_FORMAT=MLN","Sort=A","Dates=H","DateFormat=P","Fill=—","Direction=H","UseDPDF=Y")</f>
        <v>2164</v>
      </c>
      <c r="Q19" s="19">
        <f>_xll.BDH("AMGN US Equity","CF_CASH_FROM_OPER","FQ2 2022","FQ2 2022","Currency=USD","Period=FQ","BEST_FPERIOD_OVERRIDE=FQ","FILING_STATUS=MR","SCALING_FORMAT=MLN","Sort=A","Dates=H","DateFormat=P","Fill=—","Direction=H","UseDPDF=Y")</f>
        <v>1930</v>
      </c>
      <c r="R19" s="19">
        <f>_xll.BDH("AMGN US Equity","CF_CASH_FROM_OPER","FQ3 2022","FQ3 2022","Currency=USD","Period=FQ","BEST_FPERIOD_OVERRIDE=FQ","FILING_STATUS=MR","SCALING_FORMAT=MLN","Sort=A","Dates=H","DateFormat=P","Fill=—","Direction=H","UseDPDF=Y")</f>
        <v>2978</v>
      </c>
      <c r="S19" s="19">
        <f>_xll.BDH("AMGN US Equity","CF_CASH_FROM_OPER","FQ4 2022","FQ4 2022","Currency=USD","Period=FQ","BEST_FPERIOD_OVERRIDE=FQ","FILING_STATUS=MR","SCALING_FORMAT=MLN","Sort=A","Dates=H","DateFormat=P","Fill=—","Direction=H","UseDPDF=Y")</f>
        <v>2649</v>
      </c>
      <c r="T19" s="19">
        <f>_xll.BDH("AMGN US Equity","CF_CASH_FROM_OPER","FQ1 2023","FQ1 2023","Currency=USD","Period=FQ","BEST_FPERIOD_OVERRIDE=FQ","FILING_STATUS=MR","SCALING_FORMAT=MLN","Sort=A","Dates=H","DateFormat=P","Fill=—","Direction=H","UseDPDF=Y")</f>
        <v>1064</v>
      </c>
      <c r="U19" s="19">
        <f>_xll.BDH("AMGN US Equity","CF_CASH_FROM_OPER","FQ2 2023","FQ2 2023","Currency=USD","Period=FQ","BEST_FPERIOD_OVERRIDE=FQ","FILING_STATUS=MR","SCALING_FORMAT=MLN","Sort=A","Dates=H","DateFormat=P","Fill=—","Direction=H","UseDPDF=Y")</f>
        <v>4109</v>
      </c>
      <c r="V19" s="19">
        <f>_xll.BDH("AMGN US Equity","CF_CASH_FROM_OPER","FQ3 2023","FQ3 2023","Currency=USD","Period=FQ","BEST_FPERIOD_OVERRIDE=FQ","FILING_STATUS=MR","SCALING_FORMAT=MLN","Sort=A","Dates=H","DateFormat=P","Fill=—","Direction=H","UseDPDF=Y")</f>
        <v>2760</v>
      </c>
      <c r="W19" s="19">
        <f>_xll.BDH("AMGN US Equity","CF_CASH_FROM_OPER","FQ4 2023","FQ4 2023","Currency=USD","Period=FQ","BEST_FPERIOD_OVERRIDE=FQ","FILING_STATUS=MR","SCALING_FORMAT=MLN","Sort=A","Dates=H","DateFormat=P","Fill=—","Direction=H","UseDPDF=Y")</f>
        <v>538</v>
      </c>
      <c r="X19" s="19">
        <f>_xll.BDH("AMGN US Equity","CF_CASH_FROM_OPER","FQ1 2024","FQ1 2024","Currency=USD","Period=FQ","BEST_FPERIOD_OVERRIDE=FQ","FILING_STATUS=MR","SCALING_FORMAT=MLN","Sort=A","Dates=H","DateFormat=P","Fill=—","Direction=H","UseDPDF=Y")</f>
        <v>689</v>
      </c>
      <c r="Y19" s="19">
        <f>_xll.BDH("AMGN US Equity","CF_CASH_FROM_OPER","FQ2 2024","FQ2 2024","Currency=USD","Period=FQ","BEST_FPERIOD_OVERRIDE=FQ","FILING_STATUS=MR","SCALING_FORMAT=MLN","Sort=A","Dates=H","DateFormat=P","Fill=—","Direction=H","UseDPDF=Y")</f>
        <v>2459</v>
      </c>
      <c r="Z19" s="19">
        <f>_xll.BDH("AMGN US Equity","CF_CASH_FROM_OPER","FQ3 2024","FQ3 2024","Currency=USD","Period=FQ","BEST_FPERIOD_OVERRIDE=FQ","FILING_STATUS=MR","SCALING_FORMAT=MLN","Sort=A","Dates=H","DateFormat=P","Fill=—","Direction=H","UseDPDF=Y")</f>
        <v>3571</v>
      </c>
      <c r="AA19" s="19">
        <f>_xll.BDH("AMGN US Equity","CF_CASH_FROM_OPER","FQ4 2024","FQ4 2024","Currency=USD","Period=FQ","BEST_FPERIOD_OVERRIDE=FQ","FILING_STATUS=MR","SCALING_FORMAT=MLN","Sort=A","Dates=H","DateFormat=P","Fill=—","Direction=H","UseDPDF=Y")</f>
        <v>4771</v>
      </c>
    </row>
    <row r="20" spans="1:27" x14ac:dyDescent="0.25">
      <c r="A20" s="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x14ac:dyDescent="0.25">
      <c r="A21" s="6" t="s">
        <v>1288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x14ac:dyDescent="0.25">
      <c r="A22" s="10" t="s">
        <v>1289</v>
      </c>
      <c r="B22" s="10" t="s">
        <v>1290</v>
      </c>
      <c r="C22" s="13">
        <f>_xll.BDH("AMGN US Equity","FIXED_INTANG_ASST_CHANGE","FQ4 2018","FQ4 2018","Currency=USD","Period=FQ","BEST_FPERIOD_OVERRIDE=FQ","FILING_STATUS=MR","SCALING_FORMAT=MLN","Sort=A","Dates=H","DateFormat=P","Fill=—","Direction=H","UseDPDF=Y")</f>
        <v>-225</v>
      </c>
      <c r="D22" s="13">
        <f>_xll.BDH("AMGN US Equity","FIXED_INTANG_ASST_CHANGE","FQ1 2019","FQ1 2019","Currency=USD","Period=FQ","BEST_FPERIOD_OVERRIDE=FQ","FILING_STATUS=MR","SCALING_FORMAT=MLN","Sort=A","Dates=H","DateFormat=P","Fill=—","Direction=H","UseDPDF=Y")</f>
        <v>-116</v>
      </c>
      <c r="E22" s="13">
        <f>_xll.BDH("AMGN US Equity","FIXED_INTANG_ASST_CHANGE","FQ2 2019","FQ2 2019","Currency=USD","Period=FQ","BEST_FPERIOD_OVERRIDE=FQ","FILING_STATUS=MR","SCALING_FORMAT=MLN","Sort=A","Dates=H","DateFormat=P","Fill=—","Direction=H","UseDPDF=Y")</f>
        <v>-144</v>
      </c>
      <c r="F22" s="13">
        <f>_xll.BDH("AMGN US Equity","FIXED_INTANG_ASST_CHANGE","FQ3 2019","FQ3 2019","Currency=USD","Period=FQ","BEST_FPERIOD_OVERRIDE=FQ","FILING_STATUS=MR","SCALING_FORMAT=MLN","Sort=A","Dates=H","DateFormat=P","Fill=—","Direction=H","UseDPDF=Y")</f>
        <v>-170</v>
      </c>
      <c r="G22" s="13">
        <f>_xll.BDH("AMGN US Equity","FIXED_INTANG_ASST_CHANGE","FQ4 2019","FQ4 2019","Currency=USD","Period=FQ","BEST_FPERIOD_OVERRIDE=FQ","FILING_STATUS=MR","SCALING_FORMAT=MLN","Sort=A","Dates=H","DateFormat=P","Fill=—","Direction=H","UseDPDF=Y")</f>
        <v>-188</v>
      </c>
      <c r="H22" s="13">
        <f>_xll.BDH("AMGN US Equity","FIXED_INTANG_ASST_CHANGE","FQ1 2020","FQ1 2020","Currency=USD","Period=FQ","BEST_FPERIOD_OVERRIDE=FQ","FILING_STATUS=MR","SCALING_FORMAT=MLN","Sort=A","Dates=H","DateFormat=P","Fill=—","Direction=H","UseDPDF=Y")</f>
        <v>-142</v>
      </c>
      <c r="I22" s="13">
        <f>_xll.BDH("AMGN US Equity","FIXED_INTANG_ASST_CHANGE","FQ2 2020","FQ2 2020","Currency=USD","Period=FQ","BEST_FPERIOD_OVERRIDE=FQ","FILING_STATUS=MR","SCALING_FORMAT=MLN","Sort=A","Dates=H","DateFormat=P","Fill=—","Direction=H","UseDPDF=Y")</f>
        <v>-158</v>
      </c>
      <c r="J22" s="13">
        <f>_xll.BDH("AMGN US Equity","FIXED_INTANG_ASST_CHANGE","FQ3 2020","FQ3 2020","Currency=USD","Period=FQ","BEST_FPERIOD_OVERRIDE=FQ","FILING_STATUS=MR","SCALING_FORMAT=MLN","Sort=A","Dates=H","DateFormat=P","Fill=—","Direction=H","UseDPDF=Y")</f>
        <v>-135</v>
      </c>
      <c r="K22" s="13">
        <f>_xll.BDH("AMGN US Equity","FIXED_INTANG_ASST_CHANGE","FQ4 2020","FQ4 2020","Currency=USD","Period=FQ","BEST_FPERIOD_OVERRIDE=FQ","FILING_STATUS=MR","SCALING_FORMAT=MLN","Sort=A","Dates=H","DateFormat=P","Fill=—","Direction=H","UseDPDF=Y")</f>
        <v>-173</v>
      </c>
      <c r="L22" s="13">
        <f>_xll.BDH("AMGN US Equity","FIXED_INTANG_ASST_CHANGE","FQ1 2021","FQ1 2021","Currency=USD","Period=FQ","BEST_FPERIOD_OVERRIDE=FQ","FILING_STATUS=MR","SCALING_FORMAT=MLN","Sort=A","Dates=H","DateFormat=P","Fill=—","Direction=H","UseDPDF=Y")</f>
        <v>-166</v>
      </c>
      <c r="M22" s="13">
        <f>_xll.BDH("AMGN US Equity","FIXED_INTANG_ASST_CHANGE","FQ2 2021","FQ2 2021","Currency=USD","Period=FQ","BEST_FPERIOD_OVERRIDE=FQ","FILING_STATUS=MR","SCALING_FORMAT=MLN","Sort=A","Dates=H","DateFormat=P","Fill=—","Direction=H","UseDPDF=Y")</f>
        <v>-185</v>
      </c>
      <c r="N22" s="13">
        <f>_xll.BDH("AMGN US Equity","FIXED_INTANG_ASST_CHANGE","FQ3 2021","FQ3 2021","Currency=USD","Period=FQ","BEST_FPERIOD_OVERRIDE=FQ","FILING_STATUS=MR","SCALING_FORMAT=MLN","Sort=A","Dates=H","DateFormat=P","Fill=—","Direction=H","UseDPDF=Y")</f>
        <v>-242</v>
      </c>
      <c r="O22" s="13">
        <f>_xll.BDH("AMGN US Equity","FIXED_INTANG_ASST_CHANGE","FQ4 2021","FQ4 2021","Currency=USD","Period=FQ","BEST_FPERIOD_OVERRIDE=FQ","FILING_STATUS=MR","SCALING_FORMAT=MLN","Sort=A","Dates=H","DateFormat=P","Fill=—","Direction=H","UseDPDF=Y")</f>
        <v>-287</v>
      </c>
      <c r="P22" s="13">
        <f>_xll.BDH("AMGN US Equity","FIXED_INTANG_ASST_CHANGE","FQ1 2022","FQ1 2022","Currency=USD","Period=FQ","BEST_FPERIOD_OVERRIDE=FQ","FILING_STATUS=MR","SCALING_FORMAT=MLN","Sort=A","Dates=H","DateFormat=P","Fill=—","Direction=H","UseDPDF=Y")</f>
        <v>-190</v>
      </c>
      <c r="Q22" s="13">
        <f>_xll.BDH("AMGN US Equity","FIXED_INTANG_ASST_CHANGE","FQ2 2022","FQ2 2022","Currency=USD","Period=FQ","BEST_FPERIOD_OVERRIDE=FQ","FILING_STATUS=MR","SCALING_FORMAT=MLN","Sort=A","Dates=H","DateFormat=P","Fill=—","Direction=H","UseDPDF=Y")</f>
        <v>-246</v>
      </c>
      <c r="R22" s="13">
        <f>_xll.BDH("AMGN US Equity","FIXED_INTANG_ASST_CHANGE","FQ3 2022","FQ3 2022","Currency=USD","Period=FQ","BEST_FPERIOD_OVERRIDE=FQ","FILING_STATUS=MR","SCALING_FORMAT=MLN","Sort=A","Dates=H","DateFormat=P","Fill=—","Direction=H","UseDPDF=Y")</f>
        <v>-160</v>
      </c>
      <c r="S22" s="13">
        <f>_xll.BDH("AMGN US Equity","FIXED_INTANG_ASST_CHANGE","FQ4 2022","FQ4 2022","Currency=USD","Period=FQ","BEST_FPERIOD_OVERRIDE=FQ","FILING_STATUS=MR","SCALING_FORMAT=MLN","Sort=A","Dates=H","DateFormat=P","Fill=—","Direction=H","UseDPDF=Y")</f>
        <v>-340</v>
      </c>
      <c r="T22" s="13">
        <f>_xll.BDH("AMGN US Equity","FIXED_INTANG_ASST_CHANGE","FQ1 2023","FQ1 2023","Currency=USD","Period=FQ","BEST_FPERIOD_OVERRIDE=FQ","FILING_STATUS=MR","SCALING_FORMAT=MLN","Sort=A","Dates=H","DateFormat=P","Fill=—","Direction=H","UseDPDF=Y")</f>
        <v>-344</v>
      </c>
      <c r="U22" s="13">
        <f>_xll.BDH("AMGN US Equity","FIXED_INTANG_ASST_CHANGE","FQ2 2023","FQ2 2023","Currency=USD","Period=FQ","BEST_FPERIOD_OVERRIDE=FQ","FILING_STATUS=MR","SCALING_FORMAT=MLN","Sort=A","Dates=H","DateFormat=P","Fill=—","Direction=H","UseDPDF=Y")</f>
        <v>-271</v>
      </c>
      <c r="V22" s="13">
        <f>_xll.BDH("AMGN US Equity","FIXED_INTANG_ASST_CHANGE","FQ3 2023","FQ3 2023","Currency=USD","Period=FQ","BEST_FPERIOD_OVERRIDE=FQ","FILING_STATUS=MR","SCALING_FORMAT=MLN","Sort=A","Dates=H","DateFormat=P","Fill=—","Direction=H","UseDPDF=Y")</f>
        <v>-248</v>
      </c>
      <c r="W22" s="13">
        <f>_xll.BDH("AMGN US Equity","FIXED_INTANG_ASST_CHANGE","FQ4 2023","FQ4 2023","Currency=USD","Period=FQ","BEST_FPERIOD_OVERRIDE=FQ","FILING_STATUS=MR","SCALING_FORMAT=MLN","Sort=A","Dates=H","DateFormat=P","Fill=—","Direction=H","UseDPDF=Y")</f>
        <v>-249</v>
      </c>
      <c r="X22" s="13">
        <f>_xll.BDH("AMGN US Equity","FIXED_INTANG_ASST_CHANGE","FQ1 2024","FQ1 2024","Currency=USD","Period=FQ","BEST_FPERIOD_OVERRIDE=FQ","FILING_STATUS=MR","SCALING_FORMAT=MLN","Sort=A","Dates=H","DateFormat=P","Fill=—","Direction=H","UseDPDF=Y")</f>
        <v>-230</v>
      </c>
      <c r="Y22" s="13">
        <f>_xll.BDH("AMGN US Equity","FIXED_INTANG_ASST_CHANGE","FQ2 2024","FQ2 2024","Currency=USD","Period=FQ","BEST_FPERIOD_OVERRIDE=FQ","FILING_STATUS=MR","SCALING_FORMAT=MLN","Sort=A","Dates=H","DateFormat=P","Fill=—","Direction=H","UseDPDF=Y")</f>
        <v>-238</v>
      </c>
      <c r="Z22" s="13">
        <f>_xll.BDH("AMGN US Equity","FIXED_INTANG_ASST_CHANGE","FQ3 2024","FQ3 2024","Currency=USD","Period=FQ","BEST_FPERIOD_OVERRIDE=FQ","FILING_STATUS=MR","SCALING_FORMAT=MLN","Sort=A","Dates=H","DateFormat=P","Fill=—","Direction=H","UseDPDF=Y")</f>
        <v>-257</v>
      </c>
      <c r="AA22" s="13">
        <f>_xll.BDH("AMGN US Equity","FIXED_INTANG_ASST_CHANGE","FQ4 2024","FQ4 2024","Currency=USD","Period=FQ","BEST_FPERIOD_OVERRIDE=FQ","FILING_STATUS=MR","SCALING_FORMAT=MLN","Sort=A","Dates=H","DateFormat=P","Fill=—","Direction=H","UseDPDF=Y")</f>
        <v>-371</v>
      </c>
    </row>
    <row r="23" spans="1:27" x14ac:dyDescent="0.25">
      <c r="A23" s="10" t="s">
        <v>1291</v>
      </c>
      <c r="B23" s="10" t="s">
        <v>1292</v>
      </c>
      <c r="C23" s="13">
        <f>_xll.BDH("AMGN US Equity","DISPOSAL_OF_FIXED_INTANG","FQ4 2018","FQ4 2018","Currency=USD","Period=FQ","BEST_FPERIOD_OVERRIDE=FQ","FILING_STATUS=MR","SCALING_FORMAT=MLN","Sort=A","Dates=H","DateFormat=P","Fill=—","Direction=H","UseDPDF=Y")</f>
        <v>0</v>
      </c>
      <c r="D23" s="13">
        <f>_xll.BDH("AMGN US Equity","DISPOSAL_OF_FIXED_INTANG","FQ1 2019","FQ1 2019","Currency=USD","Period=FQ","BEST_FPERIOD_OVERRIDE=FQ","FILING_STATUS=MR","SCALING_FORMAT=MLN","Sort=A","Dates=H","DateFormat=P","Fill=—","Direction=H","UseDPDF=Y")</f>
        <v>0</v>
      </c>
      <c r="E23" s="13">
        <f>_xll.BDH("AMGN US Equity","DISPOSAL_OF_FIXED_INTANG","FQ2 2019","FQ2 2019","Currency=USD","Period=FQ","BEST_FPERIOD_OVERRIDE=FQ","FILING_STATUS=MR","SCALING_FORMAT=MLN","Sort=A","Dates=H","DateFormat=P","Fill=—","Direction=H","UseDPDF=Y")</f>
        <v>0</v>
      </c>
      <c r="F23" s="13">
        <f>_xll.BDH("AMGN US Equity","DISPOSAL_OF_FIXED_INTANG","FQ3 2019","FQ3 2019","Currency=USD","Period=FQ","BEST_FPERIOD_OVERRIDE=FQ","FILING_STATUS=MR","SCALING_FORMAT=MLN","Sort=A","Dates=H","DateFormat=P","Fill=—","Direction=H","UseDPDF=Y")</f>
        <v>0</v>
      </c>
      <c r="G23" s="13">
        <f>_xll.BDH("AMGN US Equity","DISPOSAL_OF_FIXED_INTANG","FQ4 2019","FQ4 2019","Currency=USD","Period=FQ","BEST_FPERIOD_OVERRIDE=FQ","FILING_STATUS=MR","SCALING_FORMAT=MLN","Sort=A","Dates=H","DateFormat=P","Fill=—","Direction=H","UseDPDF=Y")</f>
        <v>0</v>
      </c>
      <c r="H23" s="13">
        <f>_xll.BDH("AMGN US Equity","DISPOSAL_OF_FIXED_INTANG","FQ1 2020","FQ1 2020","Currency=USD","Period=FQ","BEST_FPERIOD_OVERRIDE=FQ","FILING_STATUS=MR","SCALING_FORMAT=MLN","Sort=A","Dates=H","DateFormat=P","Fill=—","Direction=H","UseDPDF=Y")</f>
        <v>0</v>
      </c>
      <c r="I23" s="13">
        <f>_xll.BDH("AMGN US Equity","DISPOSAL_OF_FIXED_INTANG","FQ2 2020","FQ2 2020","Currency=USD","Period=FQ","BEST_FPERIOD_OVERRIDE=FQ","FILING_STATUS=MR","SCALING_FORMAT=MLN","Sort=A","Dates=H","DateFormat=P","Fill=—","Direction=H","UseDPDF=Y")</f>
        <v>0</v>
      </c>
      <c r="J23" s="13">
        <f>_xll.BDH("AMGN US Equity","DISPOSAL_OF_FIXED_INTANG","FQ3 2020","FQ3 2020","Currency=USD","Period=FQ","BEST_FPERIOD_OVERRIDE=FQ","FILING_STATUS=MR","SCALING_FORMAT=MLN","Sort=A","Dates=H","DateFormat=P","Fill=—","Direction=H","UseDPDF=Y")</f>
        <v>0</v>
      </c>
      <c r="K23" s="13">
        <f>_xll.BDH("AMGN US Equity","DISPOSAL_OF_FIXED_INTANG","FQ4 2020","FQ4 2020","Currency=USD","Period=FQ","BEST_FPERIOD_OVERRIDE=FQ","FILING_STATUS=MR","SCALING_FORMAT=MLN","Sort=A","Dates=H","DateFormat=P","Fill=—","Direction=H","UseDPDF=Y")</f>
        <v>0</v>
      </c>
      <c r="L23" s="13">
        <f>_xll.BDH("AMGN US Equity","DISPOSAL_OF_FIXED_INTANG","FQ1 2021","FQ1 2021","Currency=USD","Period=FQ","BEST_FPERIOD_OVERRIDE=FQ","FILING_STATUS=MR","SCALING_FORMAT=MLN","Sort=A","Dates=H","DateFormat=P","Fill=—","Direction=H","UseDPDF=Y")</f>
        <v>0</v>
      </c>
      <c r="M23" s="13">
        <f>_xll.BDH("AMGN US Equity","DISPOSAL_OF_FIXED_INTANG","FQ2 2021","FQ2 2021","Currency=USD","Period=FQ","BEST_FPERIOD_OVERRIDE=FQ","FILING_STATUS=MR","SCALING_FORMAT=MLN","Sort=A","Dates=H","DateFormat=P","Fill=—","Direction=H","UseDPDF=Y")</f>
        <v>0</v>
      </c>
      <c r="N23" s="13">
        <f>_xll.BDH("AMGN US Equity","DISPOSAL_OF_FIXED_INTANG","FQ3 2021","FQ3 2021","Currency=USD","Period=FQ","BEST_FPERIOD_OVERRIDE=FQ","FILING_STATUS=MR","SCALING_FORMAT=MLN","Sort=A","Dates=H","DateFormat=P","Fill=—","Direction=H","UseDPDF=Y")</f>
        <v>0</v>
      </c>
      <c r="O23" s="13">
        <f>_xll.BDH("AMGN US Equity","DISPOSAL_OF_FIXED_INTANG","FQ4 2021","FQ4 2021","Currency=USD","Period=FQ","BEST_FPERIOD_OVERRIDE=FQ","FILING_STATUS=MR","SCALING_FORMAT=MLN","Sort=A","Dates=H","DateFormat=P","Fill=—","Direction=H","UseDPDF=Y")</f>
        <v>0</v>
      </c>
      <c r="P23" s="13">
        <f>_xll.BDH("AMGN US Equity","DISPOSAL_OF_FIXED_INTANG","FQ1 2022","FQ1 2022","Currency=USD","Period=FQ","BEST_FPERIOD_OVERRIDE=FQ","FILING_STATUS=MR","SCALING_FORMAT=MLN","Sort=A","Dates=H","DateFormat=P","Fill=—","Direction=H","UseDPDF=Y")</f>
        <v>0</v>
      </c>
      <c r="Q23" s="13">
        <f>_xll.BDH("AMGN US Equity","DISPOSAL_OF_FIXED_INTANG","FQ2 2022","FQ2 2022","Currency=USD","Period=FQ","BEST_FPERIOD_OVERRIDE=FQ","FILING_STATUS=MR","SCALING_FORMAT=MLN","Sort=A","Dates=H","DateFormat=P","Fill=—","Direction=H","UseDPDF=Y")</f>
        <v>0</v>
      </c>
      <c r="R23" s="13">
        <f>_xll.BDH("AMGN US Equity","DISPOSAL_OF_FIXED_INTANG","FQ3 2022","FQ3 2022","Currency=USD","Period=FQ","BEST_FPERIOD_OVERRIDE=FQ","FILING_STATUS=MR","SCALING_FORMAT=MLN","Sort=A","Dates=H","DateFormat=P","Fill=—","Direction=H","UseDPDF=Y")</f>
        <v>0</v>
      </c>
      <c r="S23" s="13">
        <f>_xll.BDH("AMGN US Equity","DISPOSAL_OF_FIXED_INTANG","FQ4 2022","FQ4 2022","Currency=USD","Period=FQ","BEST_FPERIOD_OVERRIDE=FQ","FILING_STATUS=MR","SCALING_FORMAT=MLN","Sort=A","Dates=H","DateFormat=P","Fill=—","Direction=H","UseDPDF=Y")</f>
        <v>0</v>
      </c>
      <c r="T23" s="13">
        <f>_xll.BDH("AMGN US Equity","DISPOSAL_OF_FIXED_INTANG","FQ1 2023","FQ1 2023","Currency=USD","Period=FQ","BEST_FPERIOD_OVERRIDE=FQ","FILING_STATUS=MR","SCALING_FORMAT=MLN","Sort=A","Dates=H","DateFormat=P","Fill=—","Direction=H","UseDPDF=Y")</f>
        <v>0</v>
      </c>
      <c r="U23" s="13">
        <f>_xll.BDH("AMGN US Equity","DISPOSAL_OF_FIXED_INTANG","FQ2 2023","FQ2 2023","Currency=USD","Period=FQ","BEST_FPERIOD_OVERRIDE=FQ","FILING_STATUS=MR","SCALING_FORMAT=MLN","Sort=A","Dates=H","DateFormat=P","Fill=—","Direction=H","UseDPDF=Y")</f>
        <v>0</v>
      </c>
      <c r="V23" s="13">
        <f>_xll.BDH("AMGN US Equity","DISPOSAL_OF_FIXED_INTANG","FQ3 2023","FQ3 2023","Currency=USD","Period=FQ","BEST_FPERIOD_OVERRIDE=FQ","FILING_STATUS=MR","SCALING_FORMAT=MLN","Sort=A","Dates=H","DateFormat=P","Fill=—","Direction=H","UseDPDF=Y")</f>
        <v>0</v>
      </c>
      <c r="W23" s="13">
        <f>_xll.BDH("AMGN US Equity","DISPOSAL_OF_FIXED_INTANG","FQ4 2023","FQ4 2023","Currency=USD","Period=FQ","BEST_FPERIOD_OVERRIDE=FQ","FILING_STATUS=MR","SCALING_FORMAT=MLN","Sort=A","Dates=H","DateFormat=P","Fill=—","Direction=H","UseDPDF=Y")</f>
        <v>0</v>
      </c>
      <c r="X23" s="13">
        <f>_xll.BDH("AMGN US Equity","DISPOSAL_OF_FIXED_INTANG","FQ1 2024","FQ1 2024","Currency=USD","Period=FQ","BEST_FPERIOD_OVERRIDE=FQ","FILING_STATUS=MR","SCALING_FORMAT=MLN","Sort=A","Dates=H","DateFormat=P","Fill=—","Direction=H","UseDPDF=Y")</f>
        <v>0</v>
      </c>
      <c r="Y23" s="13">
        <f>_xll.BDH("AMGN US Equity","DISPOSAL_OF_FIXED_INTANG","FQ2 2024","FQ2 2024","Currency=USD","Period=FQ","BEST_FPERIOD_OVERRIDE=FQ","FILING_STATUS=MR","SCALING_FORMAT=MLN","Sort=A","Dates=H","DateFormat=P","Fill=—","Direction=H","UseDPDF=Y")</f>
        <v>0</v>
      </c>
      <c r="Z23" s="13">
        <f>_xll.BDH("AMGN US Equity","DISPOSAL_OF_FIXED_INTANG","FQ3 2024","FQ3 2024","Currency=USD","Period=FQ","BEST_FPERIOD_OVERRIDE=FQ","FILING_STATUS=MR","SCALING_FORMAT=MLN","Sort=A","Dates=H","DateFormat=P","Fill=—","Direction=H","UseDPDF=Y")</f>
        <v>0</v>
      </c>
      <c r="AA23" s="13">
        <f>_xll.BDH("AMGN US Equity","DISPOSAL_OF_FIXED_INTANG","FQ4 2024","FQ4 2024","Currency=USD","Period=FQ","BEST_FPERIOD_OVERRIDE=FQ","FILING_STATUS=MR","SCALING_FORMAT=MLN","Sort=A","Dates=H","DateFormat=P","Fill=—","Direction=H","UseDPDF=Y")</f>
        <v>0</v>
      </c>
    </row>
    <row r="24" spans="1:27" x14ac:dyDescent="0.25">
      <c r="A24" s="11" t="s">
        <v>1293</v>
      </c>
      <c r="B24" s="11" t="s">
        <v>1294</v>
      </c>
      <c r="C24" s="25">
        <f>_xll.BDH("AMGN US Equity","CF_DISPOSAL_OF_FIXED_PROD_ASSETS","FQ4 2018","FQ4 2018","Currency=USD","Period=FQ","BEST_FPERIOD_OVERRIDE=FQ","FILING_STATUS=MR","SCALING_FORMAT=MLN","Sort=A","Dates=H","DateFormat=P","Fill=—","Direction=H","UseDPDF=Y")</f>
        <v>0</v>
      </c>
      <c r="D24" s="25">
        <f>_xll.BDH("AMGN US Equity","CF_DISPOSAL_OF_FIXED_PROD_ASSETS","FQ1 2019","FQ1 2019","Currency=USD","Period=FQ","BEST_FPERIOD_OVERRIDE=FQ","FILING_STATUS=MR","SCALING_FORMAT=MLN","Sort=A","Dates=H","DateFormat=P","Fill=—","Direction=H","UseDPDF=Y")</f>
        <v>0</v>
      </c>
      <c r="E24" s="25">
        <f>_xll.BDH("AMGN US Equity","CF_DISPOSAL_OF_FIXED_PROD_ASSETS","FQ2 2019","FQ2 2019","Currency=USD","Period=FQ","BEST_FPERIOD_OVERRIDE=FQ","FILING_STATUS=MR","SCALING_FORMAT=MLN","Sort=A","Dates=H","DateFormat=P","Fill=—","Direction=H","UseDPDF=Y")</f>
        <v>0</v>
      </c>
      <c r="F24" s="25">
        <f>_xll.BDH("AMGN US Equity","CF_DISPOSAL_OF_FIXED_PROD_ASSETS","FQ3 2019","FQ3 2019","Currency=USD","Period=FQ","BEST_FPERIOD_OVERRIDE=FQ","FILING_STATUS=MR","SCALING_FORMAT=MLN","Sort=A","Dates=H","DateFormat=P","Fill=—","Direction=H","UseDPDF=Y")</f>
        <v>0</v>
      </c>
      <c r="G24" s="25">
        <f>_xll.BDH("AMGN US Equity","CF_DISPOSAL_OF_FIXED_PROD_ASSETS","FQ4 2019","FQ4 2019","Currency=USD","Period=FQ","BEST_FPERIOD_OVERRIDE=FQ","FILING_STATUS=MR","SCALING_FORMAT=MLN","Sort=A","Dates=H","DateFormat=P","Fill=—","Direction=H","UseDPDF=Y")</f>
        <v>0</v>
      </c>
      <c r="H24" s="25">
        <f>_xll.BDH("AMGN US Equity","CF_DISPOSAL_OF_FIXED_PROD_ASSETS","FQ1 2020","FQ1 2020","Currency=USD","Period=FQ","BEST_FPERIOD_OVERRIDE=FQ","FILING_STATUS=MR","SCALING_FORMAT=MLN","Sort=A","Dates=H","DateFormat=P","Fill=—","Direction=H","UseDPDF=Y")</f>
        <v>0</v>
      </c>
      <c r="I24" s="25" t="str">
        <f>_xll.BDH("AMGN US Equity","CF_DISPOSAL_OF_FIXED_PROD_ASSETS","FQ2 2020","FQ2 2020","Currency=USD","Period=FQ","BEST_FPERIOD_OVERRIDE=FQ","FILING_STATUS=MR","SCALING_FORMAT=MLN","Sort=A","Dates=H","DateFormat=P","Fill=—","Direction=H","UseDPDF=Y")</f>
        <v>—</v>
      </c>
      <c r="J24" s="25">
        <f>_xll.BDH("AMGN US Equity","CF_DISPOSAL_OF_FIXED_PROD_ASSETS","FQ3 2020","FQ3 2020","Currency=USD","Period=FQ","BEST_FPERIOD_OVERRIDE=FQ","FILING_STATUS=MR","SCALING_FORMAT=MLN","Sort=A","Dates=H","DateFormat=P","Fill=—","Direction=H","UseDPDF=Y")</f>
        <v>0</v>
      </c>
      <c r="K24" s="25" t="str">
        <f>_xll.BDH("AMGN US Equity","CF_DISPOSAL_OF_FIXED_PROD_ASSETS","FQ4 2020","FQ4 2020","Currency=USD","Period=FQ","BEST_FPERIOD_OVERRIDE=FQ","FILING_STATUS=MR","SCALING_FORMAT=MLN","Sort=A","Dates=H","DateFormat=P","Fill=—","Direction=H","UseDPDF=Y")</f>
        <v>—</v>
      </c>
      <c r="L24" s="25">
        <f>_xll.BDH("AMGN US Equity","CF_DISPOSAL_OF_FIXED_PROD_ASSETS","FQ1 2021","FQ1 2021","Currency=USD","Period=FQ","BEST_FPERIOD_OVERRIDE=FQ","FILING_STATUS=MR","SCALING_FORMAT=MLN","Sort=A","Dates=H","DateFormat=P","Fill=—","Direction=H","UseDPDF=Y")</f>
        <v>0</v>
      </c>
      <c r="M24" s="25">
        <f>_xll.BDH("AMGN US Equity","CF_DISPOSAL_OF_FIXED_PROD_ASSETS","FQ2 2021","FQ2 2021","Currency=USD","Period=FQ","BEST_FPERIOD_OVERRIDE=FQ","FILING_STATUS=MR","SCALING_FORMAT=MLN","Sort=A","Dates=H","DateFormat=P","Fill=—","Direction=H","UseDPDF=Y")</f>
        <v>0</v>
      </c>
      <c r="N24" s="25">
        <f>_xll.BDH("AMGN US Equity","CF_DISPOSAL_OF_FIXED_PROD_ASSETS","FQ3 2021","FQ3 2021","Currency=USD","Period=FQ","BEST_FPERIOD_OVERRIDE=FQ","FILING_STATUS=MR","SCALING_FORMAT=MLN","Sort=A","Dates=H","DateFormat=P","Fill=—","Direction=H","UseDPDF=Y")</f>
        <v>0</v>
      </c>
      <c r="O24" s="25">
        <f>_xll.BDH("AMGN US Equity","CF_DISPOSAL_OF_FIXED_PROD_ASSETS","FQ4 2021","FQ4 2021","Currency=USD","Period=FQ","BEST_FPERIOD_OVERRIDE=FQ","FILING_STATUS=MR","SCALING_FORMAT=MLN","Sort=A","Dates=H","DateFormat=P","Fill=—","Direction=H","UseDPDF=Y")</f>
        <v>0</v>
      </c>
      <c r="P24" s="25">
        <f>_xll.BDH("AMGN US Equity","CF_DISPOSAL_OF_FIXED_PROD_ASSETS","FQ1 2022","FQ1 2022","Currency=USD","Period=FQ","BEST_FPERIOD_OVERRIDE=FQ","FILING_STATUS=MR","SCALING_FORMAT=MLN","Sort=A","Dates=H","DateFormat=P","Fill=—","Direction=H","UseDPDF=Y")</f>
        <v>0</v>
      </c>
      <c r="Q24" s="25">
        <f>_xll.BDH("AMGN US Equity","CF_DISPOSAL_OF_FIXED_PROD_ASSETS","FQ2 2022","FQ2 2022","Currency=USD","Period=FQ","BEST_FPERIOD_OVERRIDE=FQ","FILING_STATUS=MR","SCALING_FORMAT=MLN","Sort=A","Dates=H","DateFormat=P","Fill=—","Direction=H","UseDPDF=Y")</f>
        <v>0</v>
      </c>
      <c r="R24" s="25">
        <f>_xll.BDH("AMGN US Equity","CF_DISPOSAL_OF_FIXED_PROD_ASSETS","FQ3 2022","FQ3 2022","Currency=USD","Period=FQ","BEST_FPERIOD_OVERRIDE=FQ","FILING_STATUS=MR","SCALING_FORMAT=MLN","Sort=A","Dates=H","DateFormat=P","Fill=—","Direction=H","UseDPDF=Y")</f>
        <v>0</v>
      </c>
      <c r="S24" s="25">
        <f>_xll.BDH("AMGN US Equity","CF_DISPOSAL_OF_FIXED_PROD_ASSETS","FQ4 2022","FQ4 2022","Currency=USD","Period=FQ","BEST_FPERIOD_OVERRIDE=FQ","FILING_STATUS=MR","SCALING_FORMAT=MLN","Sort=A","Dates=H","DateFormat=P","Fill=—","Direction=H","UseDPDF=Y")</f>
        <v>0</v>
      </c>
      <c r="T24" s="25">
        <f>_xll.BDH("AMGN US Equity","CF_DISPOSAL_OF_FIXED_PROD_ASSETS","FQ1 2023","FQ1 2023","Currency=USD","Period=FQ","BEST_FPERIOD_OVERRIDE=FQ","FILING_STATUS=MR","SCALING_FORMAT=MLN","Sort=A","Dates=H","DateFormat=P","Fill=—","Direction=H","UseDPDF=Y")</f>
        <v>0</v>
      </c>
      <c r="U24" s="25">
        <f>_xll.BDH("AMGN US Equity","CF_DISPOSAL_OF_FIXED_PROD_ASSETS","FQ2 2023","FQ2 2023","Currency=USD","Period=FQ","BEST_FPERIOD_OVERRIDE=FQ","FILING_STATUS=MR","SCALING_FORMAT=MLN","Sort=A","Dates=H","DateFormat=P","Fill=—","Direction=H","UseDPDF=Y")</f>
        <v>0</v>
      </c>
      <c r="V24" s="25">
        <f>_xll.BDH("AMGN US Equity","CF_DISPOSAL_OF_FIXED_PROD_ASSETS","FQ3 2023","FQ3 2023","Currency=USD","Period=FQ","BEST_FPERIOD_OVERRIDE=FQ","FILING_STATUS=MR","SCALING_FORMAT=MLN","Sort=A","Dates=H","DateFormat=P","Fill=—","Direction=H","UseDPDF=Y")</f>
        <v>0</v>
      </c>
      <c r="W24" s="25">
        <f>_xll.BDH("AMGN US Equity","CF_DISPOSAL_OF_FIXED_PROD_ASSETS","FQ4 2023","FQ4 2023","Currency=USD","Period=FQ","BEST_FPERIOD_OVERRIDE=FQ","FILING_STATUS=MR","SCALING_FORMAT=MLN","Sort=A","Dates=H","DateFormat=P","Fill=—","Direction=H","UseDPDF=Y")</f>
        <v>0</v>
      </c>
      <c r="X24" s="25">
        <f>_xll.BDH("AMGN US Equity","CF_DISPOSAL_OF_FIXED_PROD_ASSETS","FQ1 2024","FQ1 2024","Currency=USD","Period=FQ","BEST_FPERIOD_OVERRIDE=FQ","FILING_STATUS=MR","SCALING_FORMAT=MLN","Sort=A","Dates=H","DateFormat=P","Fill=—","Direction=H","UseDPDF=Y")</f>
        <v>0</v>
      </c>
      <c r="Y24" s="25">
        <f>_xll.BDH("AMGN US Equity","CF_DISPOSAL_OF_FIXED_PROD_ASSETS","FQ2 2024","FQ2 2024","Currency=USD","Period=FQ","BEST_FPERIOD_OVERRIDE=FQ","FILING_STATUS=MR","SCALING_FORMAT=MLN","Sort=A","Dates=H","DateFormat=P","Fill=—","Direction=H","UseDPDF=Y")</f>
        <v>0</v>
      </c>
      <c r="Z24" s="25">
        <f>_xll.BDH("AMGN US Equity","CF_DISPOSAL_OF_FIXED_PROD_ASSETS","FQ3 2024","FQ3 2024","Currency=USD","Period=FQ","BEST_FPERIOD_OVERRIDE=FQ","FILING_STATUS=MR","SCALING_FORMAT=MLN","Sort=A","Dates=H","DateFormat=P","Fill=—","Direction=H","UseDPDF=Y")</f>
        <v>0</v>
      </c>
      <c r="AA24" s="25">
        <f>_xll.BDH("AMGN US Equity","CF_DISPOSAL_OF_FIXED_PROD_ASSETS","FQ4 2024","FQ4 2024","Currency=USD","Period=FQ","BEST_FPERIOD_OVERRIDE=FQ","FILING_STATUS=MR","SCALING_FORMAT=MLN","Sort=A","Dates=H","DateFormat=P","Fill=—","Direction=H","UseDPDF=Y")</f>
        <v>0</v>
      </c>
    </row>
    <row r="25" spans="1:27" x14ac:dyDescent="0.25">
      <c r="A25" s="11" t="s">
        <v>1295</v>
      </c>
      <c r="B25" s="11" t="s">
        <v>1296</v>
      </c>
      <c r="C25" s="25">
        <f>_xll.BDH("AMGN US Equity","CF_DISPOSAL_OF_INTANGIBLE_ASSETS","FQ4 2018","FQ4 2018","Currency=USD","Period=FQ","BEST_FPERIOD_OVERRIDE=FQ","FILING_STATUS=MR","SCALING_FORMAT=MLN","Sort=A","Dates=H","DateFormat=P","Fill=—","Direction=H","UseDPDF=Y")</f>
        <v>0</v>
      </c>
      <c r="D25" s="25">
        <f>_xll.BDH("AMGN US Equity","CF_DISPOSAL_OF_INTANGIBLE_ASSETS","FQ1 2019","FQ1 2019","Currency=USD","Period=FQ","BEST_FPERIOD_OVERRIDE=FQ","FILING_STATUS=MR","SCALING_FORMAT=MLN","Sort=A","Dates=H","DateFormat=P","Fill=—","Direction=H","UseDPDF=Y")</f>
        <v>0</v>
      </c>
      <c r="E25" s="25">
        <f>_xll.BDH("AMGN US Equity","CF_DISPOSAL_OF_INTANGIBLE_ASSETS","FQ2 2019","FQ2 2019","Currency=USD","Period=FQ","BEST_FPERIOD_OVERRIDE=FQ","FILING_STATUS=MR","SCALING_FORMAT=MLN","Sort=A","Dates=H","DateFormat=P","Fill=—","Direction=H","UseDPDF=Y")</f>
        <v>0</v>
      </c>
      <c r="F25" s="25">
        <f>_xll.BDH("AMGN US Equity","CF_DISPOSAL_OF_INTANGIBLE_ASSETS","FQ3 2019","FQ3 2019","Currency=USD","Period=FQ","BEST_FPERIOD_OVERRIDE=FQ","FILING_STATUS=MR","SCALING_FORMAT=MLN","Sort=A","Dates=H","DateFormat=P","Fill=—","Direction=H","UseDPDF=Y")</f>
        <v>0</v>
      </c>
      <c r="G25" s="25">
        <f>_xll.BDH("AMGN US Equity","CF_DISPOSAL_OF_INTANGIBLE_ASSETS","FQ4 2019","FQ4 2019","Currency=USD","Period=FQ","BEST_FPERIOD_OVERRIDE=FQ","FILING_STATUS=MR","SCALING_FORMAT=MLN","Sort=A","Dates=H","DateFormat=P","Fill=—","Direction=H","UseDPDF=Y")</f>
        <v>0</v>
      </c>
      <c r="H25" s="25">
        <f>_xll.BDH("AMGN US Equity","CF_DISPOSAL_OF_INTANGIBLE_ASSETS","FQ1 2020","FQ1 2020","Currency=USD","Period=FQ","BEST_FPERIOD_OVERRIDE=FQ","FILING_STATUS=MR","SCALING_FORMAT=MLN","Sort=A","Dates=H","DateFormat=P","Fill=—","Direction=H","UseDPDF=Y")</f>
        <v>0</v>
      </c>
      <c r="I25" s="25" t="str">
        <f>_xll.BDH("AMGN US Equity","CF_DISPOSAL_OF_INTANGIBLE_ASSETS","FQ2 2020","FQ2 2020","Currency=USD","Period=FQ","BEST_FPERIOD_OVERRIDE=FQ","FILING_STATUS=MR","SCALING_FORMAT=MLN","Sort=A","Dates=H","DateFormat=P","Fill=—","Direction=H","UseDPDF=Y")</f>
        <v>—</v>
      </c>
      <c r="J25" s="25">
        <f>_xll.BDH("AMGN US Equity","CF_DISPOSAL_OF_INTANGIBLE_ASSETS","FQ3 2020","FQ3 2020","Currency=USD","Period=FQ","BEST_FPERIOD_OVERRIDE=FQ","FILING_STATUS=MR","SCALING_FORMAT=MLN","Sort=A","Dates=H","DateFormat=P","Fill=—","Direction=H","UseDPDF=Y")</f>
        <v>0</v>
      </c>
      <c r="K25" s="25" t="str">
        <f>_xll.BDH("AMGN US Equity","CF_DISPOSAL_OF_INTANGIBLE_ASSETS","FQ4 2020","FQ4 2020","Currency=USD","Period=FQ","BEST_FPERIOD_OVERRIDE=FQ","FILING_STATUS=MR","SCALING_FORMAT=MLN","Sort=A","Dates=H","DateFormat=P","Fill=—","Direction=H","UseDPDF=Y")</f>
        <v>—</v>
      </c>
      <c r="L25" s="25">
        <f>_xll.BDH("AMGN US Equity","CF_DISPOSAL_OF_INTANGIBLE_ASSETS","FQ1 2021","FQ1 2021","Currency=USD","Period=FQ","BEST_FPERIOD_OVERRIDE=FQ","FILING_STATUS=MR","SCALING_FORMAT=MLN","Sort=A","Dates=H","DateFormat=P","Fill=—","Direction=H","UseDPDF=Y")</f>
        <v>0</v>
      </c>
      <c r="M25" s="25">
        <f>_xll.BDH("AMGN US Equity","CF_DISPOSAL_OF_INTANGIBLE_ASSETS","FQ2 2021","FQ2 2021","Currency=USD","Period=FQ","BEST_FPERIOD_OVERRIDE=FQ","FILING_STATUS=MR","SCALING_FORMAT=MLN","Sort=A","Dates=H","DateFormat=P","Fill=—","Direction=H","UseDPDF=Y")</f>
        <v>0</v>
      </c>
      <c r="N25" s="25">
        <f>_xll.BDH("AMGN US Equity","CF_DISPOSAL_OF_INTANGIBLE_ASSETS","FQ3 2021","FQ3 2021","Currency=USD","Period=FQ","BEST_FPERIOD_OVERRIDE=FQ","FILING_STATUS=MR","SCALING_FORMAT=MLN","Sort=A","Dates=H","DateFormat=P","Fill=—","Direction=H","UseDPDF=Y")</f>
        <v>0</v>
      </c>
      <c r="O25" s="25">
        <f>_xll.BDH("AMGN US Equity","CF_DISPOSAL_OF_INTANGIBLE_ASSETS","FQ4 2021","FQ4 2021","Currency=USD","Period=FQ","BEST_FPERIOD_OVERRIDE=FQ","FILING_STATUS=MR","SCALING_FORMAT=MLN","Sort=A","Dates=H","DateFormat=P","Fill=—","Direction=H","UseDPDF=Y")</f>
        <v>0</v>
      </c>
      <c r="P25" s="25">
        <f>_xll.BDH("AMGN US Equity","CF_DISPOSAL_OF_INTANGIBLE_ASSETS","FQ1 2022","FQ1 2022","Currency=USD","Period=FQ","BEST_FPERIOD_OVERRIDE=FQ","FILING_STATUS=MR","SCALING_FORMAT=MLN","Sort=A","Dates=H","DateFormat=P","Fill=—","Direction=H","UseDPDF=Y")</f>
        <v>0</v>
      </c>
      <c r="Q25" s="25">
        <f>_xll.BDH("AMGN US Equity","CF_DISPOSAL_OF_INTANGIBLE_ASSETS","FQ2 2022","FQ2 2022","Currency=USD","Period=FQ","BEST_FPERIOD_OVERRIDE=FQ","FILING_STATUS=MR","SCALING_FORMAT=MLN","Sort=A","Dates=H","DateFormat=P","Fill=—","Direction=H","UseDPDF=Y")</f>
        <v>0</v>
      </c>
      <c r="R25" s="25">
        <f>_xll.BDH("AMGN US Equity","CF_DISPOSAL_OF_INTANGIBLE_ASSETS","FQ3 2022","FQ3 2022","Currency=USD","Period=FQ","BEST_FPERIOD_OVERRIDE=FQ","FILING_STATUS=MR","SCALING_FORMAT=MLN","Sort=A","Dates=H","DateFormat=P","Fill=—","Direction=H","UseDPDF=Y")</f>
        <v>0</v>
      </c>
      <c r="S25" s="25">
        <f>_xll.BDH("AMGN US Equity","CF_DISPOSAL_OF_INTANGIBLE_ASSETS","FQ4 2022","FQ4 2022","Currency=USD","Period=FQ","BEST_FPERIOD_OVERRIDE=FQ","FILING_STATUS=MR","SCALING_FORMAT=MLN","Sort=A","Dates=H","DateFormat=P","Fill=—","Direction=H","UseDPDF=Y")</f>
        <v>0</v>
      </c>
      <c r="T25" s="25">
        <f>_xll.BDH("AMGN US Equity","CF_DISPOSAL_OF_INTANGIBLE_ASSETS","FQ1 2023","FQ1 2023","Currency=USD","Period=FQ","BEST_FPERIOD_OVERRIDE=FQ","FILING_STATUS=MR","SCALING_FORMAT=MLN","Sort=A","Dates=H","DateFormat=P","Fill=—","Direction=H","UseDPDF=Y")</f>
        <v>0</v>
      </c>
      <c r="U25" s="25">
        <f>_xll.BDH("AMGN US Equity","CF_DISPOSAL_OF_INTANGIBLE_ASSETS","FQ2 2023","FQ2 2023","Currency=USD","Period=FQ","BEST_FPERIOD_OVERRIDE=FQ","FILING_STATUS=MR","SCALING_FORMAT=MLN","Sort=A","Dates=H","DateFormat=P","Fill=—","Direction=H","UseDPDF=Y")</f>
        <v>0</v>
      </c>
      <c r="V25" s="25">
        <f>_xll.BDH("AMGN US Equity","CF_DISPOSAL_OF_INTANGIBLE_ASSETS","FQ3 2023","FQ3 2023","Currency=USD","Period=FQ","BEST_FPERIOD_OVERRIDE=FQ","FILING_STATUS=MR","SCALING_FORMAT=MLN","Sort=A","Dates=H","DateFormat=P","Fill=—","Direction=H","UseDPDF=Y")</f>
        <v>0</v>
      </c>
      <c r="W25" s="25">
        <f>_xll.BDH("AMGN US Equity","CF_DISPOSAL_OF_INTANGIBLE_ASSETS","FQ4 2023","FQ4 2023","Currency=USD","Period=FQ","BEST_FPERIOD_OVERRIDE=FQ","FILING_STATUS=MR","SCALING_FORMAT=MLN","Sort=A","Dates=H","DateFormat=P","Fill=—","Direction=H","UseDPDF=Y")</f>
        <v>0</v>
      </c>
      <c r="X25" s="25">
        <f>_xll.BDH("AMGN US Equity","CF_DISPOSAL_OF_INTANGIBLE_ASSETS","FQ1 2024","FQ1 2024","Currency=USD","Period=FQ","BEST_FPERIOD_OVERRIDE=FQ","FILING_STATUS=MR","SCALING_FORMAT=MLN","Sort=A","Dates=H","DateFormat=P","Fill=—","Direction=H","UseDPDF=Y")</f>
        <v>0</v>
      </c>
      <c r="Y25" s="25">
        <f>_xll.BDH("AMGN US Equity","CF_DISPOSAL_OF_INTANGIBLE_ASSETS","FQ2 2024","FQ2 2024","Currency=USD","Period=FQ","BEST_FPERIOD_OVERRIDE=FQ","FILING_STATUS=MR","SCALING_FORMAT=MLN","Sort=A","Dates=H","DateFormat=P","Fill=—","Direction=H","UseDPDF=Y")</f>
        <v>0</v>
      </c>
      <c r="Z25" s="25">
        <f>_xll.BDH("AMGN US Equity","CF_DISPOSAL_OF_INTANGIBLE_ASSETS","FQ3 2024","FQ3 2024","Currency=USD","Period=FQ","BEST_FPERIOD_OVERRIDE=FQ","FILING_STATUS=MR","SCALING_FORMAT=MLN","Sort=A","Dates=H","DateFormat=P","Fill=—","Direction=H","UseDPDF=Y")</f>
        <v>0</v>
      </c>
      <c r="AA25" s="25">
        <f>_xll.BDH("AMGN US Equity","CF_DISPOSAL_OF_INTANGIBLE_ASSETS","FQ4 2024","FQ4 2024","Currency=USD","Period=FQ","BEST_FPERIOD_OVERRIDE=FQ","FILING_STATUS=MR","SCALING_FORMAT=MLN","Sort=A","Dates=H","DateFormat=P","Fill=—","Direction=H","UseDPDF=Y")</f>
        <v>0</v>
      </c>
    </row>
    <row r="26" spans="1:27" x14ac:dyDescent="0.25">
      <c r="A26" s="10" t="s">
        <v>1297</v>
      </c>
      <c r="B26" s="10" t="s">
        <v>1298</v>
      </c>
      <c r="C26" s="13">
        <f>_xll.BDH("AMGN US Equity","ACQUIS_OF_FIXED_INTANG","FQ4 2018","FQ4 2018","Currency=USD","Period=FQ","BEST_FPERIOD_OVERRIDE=FQ","FILING_STATUS=MR","SCALING_FORMAT=MLN","Sort=A","Dates=H","DateFormat=P","Fill=—","Direction=H","UseDPDF=Y")</f>
        <v>-225</v>
      </c>
      <c r="D26" s="13">
        <f>_xll.BDH("AMGN US Equity","ACQUIS_OF_FIXED_INTANG","FQ1 2019","FQ1 2019","Currency=USD","Period=FQ","BEST_FPERIOD_OVERRIDE=FQ","FILING_STATUS=MR","SCALING_FORMAT=MLN","Sort=A","Dates=H","DateFormat=P","Fill=—","Direction=H","UseDPDF=Y")</f>
        <v>-116</v>
      </c>
      <c r="E26" s="13">
        <f>_xll.BDH("AMGN US Equity","ACQUIS_OF_FIXED_INTANG","FQ2 2019","FQ2 2019","Currency=USD","Period=FQ","BEST_FPERIOD_OVERRIDE=FQ","FILING_STATUS=MR","SCALING_FORMAT=MLN","Sort=A","Dates=H","DateFormat=P","Fill=—","Direction=H","UseDPDF=Y")</f>
        <v>-144</v>
      </c>
      <c r="F26" s="13">
        <f>_xll.BDH("AMGN US Equity","ACQUIS_OF_FIXED_INTANG","FQ3 2019","FQ3 2019","Currency=USD","Period=FQ","BEST_FPERIOD_OVERRIDE=FQ","FILING_STATUS=MR","SCALING_FORMAT=MLN","Sort=A","Dates=H","DateFormat=P","Fill=—","Direction=H","UseDPDF=Y")</f>
        <v>-170</v>
      </c>
      <c r="G26" s="13">
        <f>_xll.BDH("AMGN US Equity","ACQUIS_OF_FIXED_INTANG","FQ4 2019","FQ4 2019","Currency=USD","Period=FQ","BEST_FPERIOD_OVERRIDE=FQ","FILING_STATUS=MR","SCALING_FORMAT=MLN","Sort=A","Dates=H","DateFormat=P","Fill=—","Direction=H","UseDPDF=Y")</f>
        <v>-188</v>
      </c>
      <c r="H26" s="13">
        <f>_xll.BDH("AMGN US Equity","ACQUIS_OF_FIXED_INTANG","FQ1 2020","FQ1 2020","Currency=USD","Period=FQ","BEST_FPERIOD_OVERRIDE=FQ","FILING_STATUS=MR","SCALING_FORMAT=MLN","Sort=A","Dates=H","DateFormat=P","Fill=—","Direction=H","UseDPDF=Y")</f>
        <v>-142</v>
      </c>
      <c r="I26" s="13">
        <f>_xll.BDH("AMGN US Equity","ACQUIS_OF_FIXED_INTANG","FQ2 2020","FQ2 2020","Currency=USD","Period=FQ","BEST_FPERIOD_OVERRIDE=FQ","FILING_STATUS=MR","SCALING_FORMAT=MLN","Sort=A","Dates=H","DateFormat=P","Fill=—","Direction=H","UseDPDF=Y")</f>
        <v>-158</v>
      </c>
      <c r="J26" s="13">
        <f>_xll.BDH("AMGN US Equity","ACQUIS_OF_FIXED_INTANG","FQ3 2020","FQ3 2020","Currency=USD","Period=FQ","BEST_FPERIOD_OVERRIDE=FQ","FILING_STATUS=MR","SCALING_FORMAT=MLN","Sort=A","Dates=H","DateFormat=P","Fill=—","Direction=H","UseDPDF=Y")</f>
        <v>-135</v>
      </c>
      <c r="K26" s="13">
        <f>_xll.BDH("AMGN US Equity","ACQUIS_OF_FIXED_INTANG","FQ4 2020","FQ4 2020","Currency=USD","Period=FQ","BEST_FPERIOD_OVERRIDE=FQ","FILING_STATUS=MR","SCALING_FORMAT=MLN","Sort=A","Dates=H","DateFormat=P","Fill=—","Direction=H","UseDPDF=Y")</f>
        <v>-173</v>
      </c>
      <c r="L26" s="13">
        <f>_xll.BDH("AMGN US Equity","ACQUIS_OF_FIXED_INTANG","FQ1 2021","FQ1 2021","Currency=USD","Period=FQ","BEST_FPERIOD_OVERRIDE=FQ","FILING_STATUS=MR","SCALING_FORMAT=MLN","Sort=A","Dates=H","DateFormat=P","Fill=—","Direction=H","UseDPDF=Y")</f>
        <v>-166</v>
      </c>
      <c r="M26" s="13">
        <f>_xll.BDH("AMGN US Equity","ACQUIS_OF_FIXED_INTANG","FQ2 2021","FQ2 2021","Currency=USD","Period=FQ","BEST_FPERIOD_OVERRIDE=FQ","FILING_STATUS=MR","SCALING_FORMAT=MLN","Sort=A","Dates=H","DateFormat=P","Fill=—","Direction=H","UseDPDF=Y")</f>
        <v>-185</v>
      </c>
      <c r="N26" s="13">
        <f>_xll.BDH("AMGN US Equity","ACQUIS_OF_FIXED_INTANG","FQ3 2021","FQ3 2021","Currency=USD","Period=FQ","BEST_FPERIOD_OVERRIDE=FQ","FILING_STATUS=MR","SCALING_FORMAT=MLN","Sort=A","Dates=H","DateFormat=P","Fill=—","Direction=H","UseDPDF=Y")</f>
        <v>-242</v>
      </c>
      <c r="O26" s="13">
        <f>_xll.BDH("AMGN US Equity","ACQUIS_OF_FIXED_INTANG","FQ4 2021","FQ4 2021","Currency=USD","Period=FQ","BEST_FPERIOD_OVERRIDE=FQ","FILING_STATUS=MR","SCALING_FORMAT=MLN","Sort=A","Dates=H","DateFormat=P","Fill=—","Direction=H","UseDPDF=Y")</f>
        <v>-287</v>
      </c>
      <c r="P26" s="13">
        <f>_xll.BDH("AMGN US Equity","ACQUIS_OF_FIXED_INTANG","FQ1 2022","FQ1 2022","Currency=USD","Period=FQ","BEST_FPERIOD_OVERRIDE=FQ","FILING_STATUS=MR","SCALING_FORMAT=MLN","Sort=A","Dates=H","DateFormat=P","Fill=—","Direction=H","UseDPDF=Y")</f>
        <v>-190</v>
      </c>
      <c r="Q26" s="13">
        <f>_xll.BDH("AMGN US Equity","ACQUIS_OF_FIXED_INTANG","FQ2 2022","FQ2 2022","Currency=USD","Period=FQ","BEST_FPERIOD_OVERRIDE=FQ","FILING_STATUS=MR","SCALING_FORMAT=MLN","Sort=A","Dates=H","DateFormat=P","Fill=—","Direction=H","UseDPDF=Y")</f>
        <v>-246</v>
      </c>
      <c r="R26" s="13">
        <f>_xll.BDH("AMGN US Equity","ACQUIS_OF_FIXED_INTANG","FQ3 2022","FQ3 2022","Currency=USD","Period=FQ","BEST_FPERIOD_OVERRIDE=FQ","FILING_STATUS=MR","SCALING_FORMAT=MLN","Sort=A","Dates=H","DateFormat=P","Fill=—","Direction=H","UseDPDF=Y")</f>
        <v>-160</v>
      </c>
      <c r="S26" s="13">
        <f>_xll.BDH("AMGN US Equity","ACQUIS_OF_FIXED_INTANG","FQ4 2022","FQ4 2022","Currency=USD","Period=FQ","BEST_FPERIOD_OVERRIDE=FQ","FILING_STATUS=MR","SCALING_FORMAT=MLN","Sort=A","Dates=H","DateFormat=P","Fill=—","Direction=H","UseDPDF=Y")</f>
        <v>-340</v>
      </c>
      <c r="T26" s="13">
        <f>_xll.BDH("AMGN US Equity","ACQUIS_OF_FIXED_INTANG","FQ1 2023","FQ1 2023","Currency=USD","Period=FQ","BEST_FPERIOD_OVERRIDE=FQ","FILING_STATUS=MR","SCALING_FORMAT=MLN","Sort=A","Dates=H","DateFormat=P","Fill=—","Direction=H","UseDPDF=Y")</f>
        <v>-344</v>
      </c>
      <c r="U26" s="13">
        <f>_xll.BDH("AMGN US Equity","ACQUIS_OF_FIXED_INTANG","FQ2 2023","FQ2 2023","Currency=USD","Period=FQ","BEST_FPERIOD_OVERRIDE=FQ","FILING_STATUS=MR","SCALING_FORMAT=MLN","Sort=A","Dates=H","DateFormat=P","Fill=—","Direction=H","UseDPDF=Y")</f>
        <v>-271</v>
      </c>
      <c r="V26" s="13">
        <f>_xll.BDH("AMGN US Equity","ACQUIS_OF_FIXED_INTANG","FQ3 2023","FQ3 2023","Currency=USD","Period=FQ","BEST_FPERIOD_OVERRIDE=FQ","FILING_STATUS=MR","SCALING_FORMAT=MLN","Sort=A","Dates=H","DateFormat=P","Fill=—","Direction=H","UseDPDF=Y")</f>
        <v>-248</v>
      </c>
      <c r="W26" s="13">
        <f>_xll.BDH("AMGN US Equity","ACQUIS_OF_FIXED_INTANG","FQ4 2023","FQ4 2023","Currency=USD","Period=FQ","BEST_FPERIOD_OVERRIDE=FQ","FILING_STATUS=MR","SCALING_FORMAT=MLN","Sort=A","Dates=H","DateFormat=P","Fill=—","Direction=H","UseDPDF=Y")</f>
        <v>-249</v>
      </c>
      <c r="X26" s="13">
        <f>_xll.BDH("AMGN US Equity","ACQUIS_OF_FIXED_INTANG","FQ1 2024","FQ1 2024","Currency=USD","Period=FQ","BEST_FPERIOD_OVERRIDE=FQ","FILING_STATUS=MR","SCALING_FORMAT=MLN","Sort=A","Dates=H","DateFormat=P","Fill=—","Direction=H","UseDPDF=Y")</f>
        <v>-230</v>
      </c>
      <c r="Y26" s="13">
        <f>_xll.BDH("AMGN US Equity","ACQUIS_OF_FIXED_INTANG","FQ2 2024","FQ2 2024","Currency=USD","Period=FQ","BEST_FPERIOD_OVERRIDE=FQ","FILING_STATUS=MR","SCALING_FORMAT=MLN","Sort=A","Dates=H","DateFormat=P","Fill=—","Direction=H","UseDPDF=Y")</f>
        <v>-238</v>
      </c>
      <c r="Z26" s="13">
        <f>_xll.BDH("AMGN US Equity","ACQUIS_OF_FIXED_INTANG","FQ3 2024","FQ3 2024","Currency=USD","Period=FQ","BEST_FPERIOD_OVERRIDE=FQ","FILING_STATUS=MR","SCALING_FORMAT=MLN","Sort=A","Dates=H","DateFormat=P","Fill=—","Direction=H","UseDPDF=Y")</f>
        <v>-257</v>
      </c>
      <c r="AA26" s="13">
        <f>_xll.BDH("AMGN US Equity","ACQUIS_OF_FIXED_INTANG","FQ4 2024","FQ4 2024","Currency=USD","Period=FQ","BEST_FPERIOD_OVERRIDE=FQ","FILING_STATUS=MR","SCALING_FORMAT=MLN","Sort=A","Dates=H","DateFormat=P","Fill=—","Direction=H","UseDPDF=Y")</f>
        <v>-371</v>
      </c>
    </row>
    <row r="27" spans="1:27" x14ac:dyDescent="0.25">
      <c r="A27" s="11" t="s">
        <v>1299</v>
      </c>
      <c r="B27" s="11" t="s">
        <v>1300</v>
      </c>
      <c r="C27" s="25">
        <f>_xll.BDH("AMGN US Equity","CF_PURCHASE_OF_FIXED_PROD_ASSETS","FQ4 2018","FQ4 2018","Currency=USD","Period=FQ","BEST_FPERIOD_OVERRIDE=FQ","FILING_STATUS=MR","SCALING_FORMAT=MLN","Sort=A","Dates=H","DateFormat=P","Fill=—","Direction=H","UseDPDF=Y")</f>
        <v>-225</v>
      </c>
      <c r="D27" s="25">
        <f>_xll.BDH("AMGN US Equity","CF_PURCHASE_OF_FIXED_PROD_ASSETS","FQ1 2019","FQ1 2019","Currency=USD","Period=FQ","BEST_FPERIOD_OVERRIDE=FQ","FILING_STATUS=MR","SCALING_FORMAT=MLN","Sort=A","Dates=H","DateFormat=P","Fill=—","Direction=H","UseDPDF=Y")</f>
        <v>-116</v>
      </c>
      <c r="E27" s="25">
        <f>_xll.BDH("AMGN US Equity","CF_PURCHASE_OF_FIXED_PROD_ASSETS","FQ2 2019","FQ2 2019","Currency=USD","Period=FQ","BEST_FPERIOD_OVERRIDE=FQ","FILING_STATUS=MR","SCALING_FORMAT=MLN","Sort=A","Dates=H","DateFormat=P","Fill=—","Direction=H","UseDPDF=Y")</f>
        <v>-144</v>
      </c>
      <c r="F27" s="25">
        <f>_xll.BDH("AMGN US Equity","CF_PURCHASE_OF_FIXED_PROD_ASSETS","FQ3 2019","FQ3 2019","Currency=USD","Period=FQ","BEST_FPERIOD_OVERRIDE=FQ","FILING_STATUS=MR","SCALING_FORMAT=MLN","Sort=A","Dates=H","DateFormat=P","Fill=—","Direction=H","UseDPDF=Y")</f>
        <v>-170</v>
      </c>
      <c r="G27" s="25">
        <f>_xll.BDH("AMGN US Equity","CF_PURCHASE_OF_FIXED_PROD_ASSETS","FQ4 2019","FQ4 2019","Currency=USD","Period=FQ","BEST_FPERIOD_OVERRIDE=FQ","FILING_STATUS=MR","SCALING_FORMAT=MLN","Sort=A","Dates=H","DateFormat=P","Fill=—","Direction=H","UseDPDF=Y")</f>
        <v>-188</v>
      </c>
      <c r="H27" s="25">
        <f>_xll.BDH("AMGN US Equity","CF_PURCHASE_OF_FIXED_PROD_ASSETS","FQ1 2020","FQ1 2020","Currency=USD","Period=FQ","BEST_FPERIOD_OVERRIDE=FQ","FILING_STATUS=MR","SCALING_FORMAT=MLN","Sort=A","Dates=H","DateFormat=P","Fill=—","Direction=H","UseDPDF=Y")</f>
        <v>-142</v>
      </c>
      <c r="I27" s="25">
        <f>_xll.BDH("AMGN US Equity","CF_PURCHASE_OF_FIXED_PROD_ASSETS","FQ2 2020","FQ2 2020","Currency=USD","Period=FQ","BEST_FPERIOD_OVERRIDE=FQ","FILING_STATUS=MR","SCALING_FORMAT=MLN","Sort=A","Dates=H","DateFormat=P","Fill=—","Direction=H","UseDPDF=Y")</f>
        <v>-158</v>
      </c>
      <c r="J27" s="25">
        <f>_xll.BDH("AMGN US Equity","CF_PURCHASE_OF_FIXED_PROD_ASSETS","FQ3 2020","FQ3 2020","Currency=USD","Period=FQ","BEST_FPERIOD_OVERRIDE=FQ","FILING_STATUS=MR","SCALING_FORMAT=MLN","Sort=A","Dates=H","DateFormat=P","Fill=—","Direction=H","UseDPDF=Y")</f>
        <v>-135</v>
      </c>
      <c r="K27" s="25">
        <f>_xll.BDH("AMGN US Equity","CF_PURCHASE_OF_FIXED_PROD_ASSETS","FQ4 2020","FQ4 2020","Currency=USD","Period=FQ","BEST_FPERIOD_OVERRIDE=FQ","FILING_STATUS=MR","SCALING_FORMAT=MLN","Sort=A","Dates=H","DateFormat=P","Fill=—","Direction=H","UseDPDF=Y")</f>
        <v>-173</v>
      </c>
      <c r="L27" s="25">
        <f>_xll.BDH("AMGN US Equity","CF_PURCHASE_OF_FIXED_PROD_ASSETS","FQ1 2021","FQ1 2021","Currency=USD","Period=FQ","BEST_FPERIOD_OVERRIDE=FQ","FILING_STATUS=MR","SCALING_FORMAT=MLN","Sort=A","Dates=H","DateFormat=P","Fill=—","Direction=H","UseDPDF=Y")</f>
        <v>-166</v>
      </c>
      <c r="M27" s="25">
        <f>_xll.BDH("AMGN US Equity","CF_PURCHASE_OF_FIXED_PROD_ASSETS","FQ2 2021","FQ2 2021","Currency=USD","Period=FQ","BEST_FPERIOD_OVERRIDE=FQ","FILING_STATUS=MR","SCALING_FORMAT=MLN","Sort=A","Dates=H","DateFormat=P","Fill=—","Direction=H","UseDPDF=Y")</f>
        <v>-185</v>
      </c>
      <c r="N27" s="25">
        <f>_xll.BDH("AMGN US Equity","CF_PURCHASE_OF_FIXED_PROD_ASSETS","FQ3 2021","FQ3 2021","Currency=USD","Period=FQ","BEST_FPERIOD_OVERRIDE=FQ","FILING_STATUS=MR","SCALING_FORMAT=MLN","Sort=A","Dates=H","DateFormat=P","Fill=—","Direction=H","UseDPDF=Y")</f>
        <v>-242</v>
      </c>
      <c r="O27" s="25">
        <f>_xll.BDH("AMGN US Equity","CF_PURCHASE_OF_FIXED_PROD_ASSETS","FQ4 2021","FQ4 2021","Currency=USD","Period=FQ","BEST_FPERIOD_OVERRIDE=FQ","FILING_STATUS=MR","SCALING_FORMAT=MLN","Sort=A","Dates=H","DateFormat=P","Fill=—","Direction=H","UseDPDF=Y")</f>
        <v>-287</v>
      </c>
      <c r="P27" s="25">
        <f>_xll.BDH("AMGN US Equity","CF_PURCHASE_OF_FIXED_PROD_ASSETS","FQ1 2022","FQ1 2022","Currency=USD","Period=FQ","BEST_FPERIOD_OVERRIDE=FQ","FILING_STATUS=MR","SCALING_FORMAT=MLN","Sort=A","Dates=H","DateFormat=P","Fill=—","Direction=H","UseDPDF=Y")</f>
        <v>-190</v>
      </c>
      <c r="Q27" s="25">
        <f>_xll.BDH("AMGN US Equity","CF_PURCHASE_OF_FIXED_PROD_ASSETS","FQ2 2022","FQ2 2022","Currency=USD","Period=FQ","BEST_FPERIOD_OVERRIDE=FQ","FILING_STATUS=MR","SCALING_FORMAT=MLN","Sort=A","Dates=H","DateFormat=P","Fill=—","Direction=H","UseDPDF=Y")</f>
        <v>-246</v>
      </c>
      <c r="R27" s="25">
        <f>_xll.BDH("AMGN US Equity","CF_PURCHASE_OF_FIXED_PROD_ASSETS","FQ3 2022","FQ3 2022","Currency=USD","Period=FQ","BEST_FPERIOD_OVERRIDE=FQ","FILING_STATUS=MR","SCALING_FORMAT=MLN","Sort=A","Dates=H","DateFormat=P","Fill=—","Direction=H","UseDPDF=Y")</f>
        <v>-160</v>
      </c>
      <c r="S27" s="25">
        <f>_xll.BDH("AMGN US Equity","CF_PURCHASE_OF_FIXED_PROD_ASSETS","FQ4 2022","FQ4 2022","Currency=USD","Period=FQ","BEST_FPERIOD_OVERRIDE=FQ","FILING_STATUS=MR","SCALING_FORMAT=MLN","Sort=A","Dates=H","DateFormat=P","Fill=—","Direction=H","UseDPDF=Y")</f>
        <v>-340</v>
      </c>
      <c r="T27" s="25">
        <f>_xll.BDH("AMGN US Equity","CF_PURCHASE_OF_FIXED_PROD_ASSETS","FQ1 2023","FQ1 2023","Currency=USD","Period=FQ","BEST_FPERIOD_OVERRIDE=FQ","FILING_STATUS=MR","SCALING_FORMAT=MLN","Sort=A","Dates=H","DateFormat=P","Fill=—","Direction=H","UseDPDF=Y")</f>
        <v>-344</v>
      </c>
      <c r="U27" s="25">
        <f>_xll.BDH("AMGN US Equity","CF_PURCHASE_OF_FIXED_PROD_ASSETS","FQ2 2023","FQ2 2023","Currency=USD","Period=FQ","BEST_FPERIOD_OVERRIDE=FQ","FILING_STATUS=MR","SCALING_FORMAT=MLN","Sort=A","Dates=H","DateFormat=P","Fill=—","Direction=H","UseDPDF=Y")</f>
        <v>-271</v>
      </c>
      <c r="V27" s="25">
        <f>_xll.BDH("AMGN US Equity","CF_PURCHASE_OF_FIXED_PROD_ASSETS","FQ3 2023","FQ3 2023","Currency=USD","Period=FQ","BEST_FPERIOD_OVERRIDE=FQ","FILING_STATUS=MR","SCALING_FORMAT=MLN","Sort=A","Dates=H","DateFormat=P","Fill=—","Direction=H","UseDPDF=Y")</f>
        <v>-248</v>
      </c>
      <c r="W27" s="25">
        <f>_xll.BDH("AMGN US Equity","CF_PURCHASE_OF_FIXED_PROD_ASSETS","FQ4 2023","FQ4 2023","Currency=USD","Period=FQ","BEST_FPERIOD_OVERRIDE=FQ","FILING_STATUS=MR","SCALING_FORMAT=MLN","Sort=A","Dates=H","DateFormat=P","Fill=—","Direction=H","UseDPDF=Y")</f>
        <v>-249</v>
      </c>
      <c r="X27" s="25">
        <f>_xll.BDH("AMGN US Equity","CF_PURCHASE_OF_FIXED_PROD_ASSETS","FQ1 2024","FQ1 2024","Currency=USD","Period=FQ","BEST_FPERIOD_OVERRIDE=FQ","FILING_STATUS=MR","SCALING_FORMAT=MLN","Sort=A","Dates=H","DateFormat=P","Fill=—","Direction=H","UseDPDF=Y")</f>
        <v>-230</v>
      </c>
      <c r="Y27" s="25">
        <f>_xll.BDH("AMGN US Equity","CF_PURCHASE_OF_FIXED_PROD_ASSETS","FQ2 2024","FQ2 2024","Currency=USD","Period=FQ","BEST_FPERIOD_OVERRIDE=FQ","FILING_STATUS=MR","SCALING_FORMAT=MLN","Sort=A","Dates=H","DateFormat=P","Fill=—","Direction=H","UseDPDF=Y")</f>
        <v>-238</v>
      </c>
      <c r="Z27" s="25">
        <f>_xll.BDH("AMGN US Equity","CF_PURCHASE_OF_FIXED_PROD_ASSETS","FQ3 2024","FQ3 2024","Currency=USD","Period=FQ","BEST_FPERIOD_OVERRIDE=FQ","FILING_STATUS=MR","SCALING_FORMAT=MLN","Sort=A","Dates=H","DateFormat=P","Fill=—","Direction=H","UseDPDF=Y")</f>
        <v>-257</v>
      </c>
      <c r="AA27" s="25">
        <f>_xll.BDH("AMGN US Equity","CF_PURCHASE_OF_FIXED_PROD_ASSETS","FQ4 2024","FQ4 2024","Currency=USD","Period=FQ","BEST_FPERIOD_OVERRIDE=FQ","FILING_STATUS=MR","SCALING_FORMAT=MLN","Sort=A","Dates=H","DateFormat=P","Fill=—","Direction=H","UseDPDF=Y")</f>
        <v>-371</v>
      </c>
    </row>
    <row r="28" spans="1:27" x14ac:dyDescent="0.25">
      <c r="A28" s="11" t="s">
        <v>1301</v>
      </c>
      <c r="B28" s="11" t="s">
        <v>1302</v>
      </c>
      <c r="C28" s="25">
        <f>_xll.BDH("AMGN US Equity","CF_ACQUISITION_OF_INTANG_ASSETS","FQ4 2018","FQ4 2018","Currency=USD","Period=FQ","BEST_FPERIOD_OVERRIDE=FQ","FILING_STATUS=MR","SCALING_FORMAT=MLN","Sort=A","Dates=H","DateFormat=P","Fill=—","Direction=H","UseDPDF=Y")</f>
        <v>0</v>
      </c>
      <c r="D28" s="25">
        <f>_xll.BDH("AMGN US Equity","CF_ACQUISITION_OF_INTANG_ASSETS","FQ1 2019","FQ1 2019","Currency=USD","Period=FQ","BEST_FPERIOD_OVERRIDE=FQ","FILING_STATUS=MR","SCALING_FORMAT=MLN","Sort=A","Dates=H","DateFormat=P","Fill=—","Direction=H","UseDPDF=Y")</f>
        <v>0</v>
      </c>
      <c r="E28" s="25">
        <f>_xll.BDH("AMGN US Equity","CF_ACQUISITION_OF_INTANG_ASSETS","FQ2 2019","FQ2 2019","Currency=USD","Period=FQ","BEST_FPERIOD_OVERRIDE=FQ","FILING_STATUS=MR","SCALING_FORMAT=MLN","Sort=A","Dates=H","DateFormat=P","Fill=—","Direction=H","UseDPDF=Y")</f>
        <v>0</v>
      </c>
      <c r="F28" s="25">
        <f>_xll.BDH("AMGN US Equity","CF_ACQUISITION_OF_INTANG_ASSETS","FQ3 2019","FQ3 2019","Currency=USD","Period=FQ","BEST_FPERIOD_OVERRIDE=FQ","FILING_STATUS=MR","SCALING_FORMAT=MLN","Sort=A","Dates=H","DateFormat=P","Fill=—","Direction=H","UseDPDF=Y")</f>
        <v>0</v>
      </c>
      <c r="G28" s="25">
        <f>_xll.BDH("AMGN US Equity","CF_ACQUISITION_OF_INTANG_ASSETS","FQ4 2019","FQ4 2019","Currency=USD","Period=FQ","BEST_FPERIOD_OVERRIDE=FQ","FILING_STATUS=MR","SCALING_FORMAT=MLN","Sort=A","Dates=H","DateFormat=P","Fill=—","Direction=H","UseDPDF=Y")</f>
        <v>0</v>
      </c>
      <c r="H28" s="25">
        <f>_xll.BDH("AMGN US Equity","CF_ACQUISITION_OF_INTANG_ASSETS","FQ1 2020","FQ1 2020","Currency=USD","Period=FQ","BEST_FPERIOD_OVERRIDE=FQ","FILING_STATUS=MR","SCALING_FORMAT=MLN","Sort=A","Dates=H","DateFormat=P","Fill=—","Direction=H","UseDPDF=Y")</f>
        <v>0</v>
      </c>
      <c r="I28" s="25">
        <f>_xll.BDH("AMGN US Equity","CF_ACQUISITION_OF_INTANG_ASSETS","FQ2 2020","FQ2 2020","Currency=USD","Period=FQ","BEST_FPERIOD_OVERRIDE=FQ","FILING_STATUS=MR","SCALING_FORMAT=MLN","Sort=A","Dates=H","DateFormat=P","Fill=—","Direction=H","UseDPDF=Y")</f>
        <v>0</v>
      </c>
      <c r="J28" s="25">
        <f>_xll.BDH("AMGN US Equity","CF_ACQUISITION_OF_INTANG_ASSETS","FQ3 2020","FQ3 2020","Currency=USD","Period=FQ","BEST_FPERIOD_OVERRIDE=FQ","FILING_STATUS=MR","SCALING_FORMAT=MLN","Sort=A","Dates=H","DateFormat=P","Fill=—","Direction=H","UseDPDF=Y")</f>
        <v>0</v>
      </c>
      <c r="K28" s="25">
        <f>_xll.BDH("AMGN US Equity","CF_ACQUISITION_OF_INTANG_ASSETS","FQ4 2020","FQ4 2020","Currency=USD","Period=FQ","BEST_FPERIOD_OVERRIDE=FQ","FILING_STATUS=MR","SCALING_FORMAT=MLN","Sort=A","Dates=H","DateFormat=P","Fill=—","Direction=H","UseDPDF=Y")</f>
        <v>0</v>
      </c>
      <c r="L28" s="25">
        <f>_xll.BDH("AMGN US Equity","CF_ACQUISITION_OF_INTANG_ASSETS","FQ1 2021","FQ1 2021","Currency=USD","Period=FQ","BEST_FPERIOD_OVERRIDE=FQ","FILING_STATUS=MR","SCALING_FORMAT=MLN","Sort=A","Dates=H","DateFormat=P","Fill=—","Direction=H","UseDPDF=Y")</f>
        <v>0</v>
      </c>
      <c r="M28" s="25">
        <f>_xll.BDH("AMGN US Equity","CF_ACQUISITION_OF_INTANG_ASSETS","FQ2 2021","FQ2 2021","Currency=USD","Period=FQ","BEST_FPERIOD_OVERRIDE=FQ","FILING_STATUS=MR","SCALING_FORMAT=MLN","Sort=A","Dates=H","DateFormat=P","Fill=—","Direction=H","UseDPDF=Y")</f>
        <v>0</v>
      </c>
      <c r="N28" s="25">
        <f>_xll.BDH("AMGN US Equity","CF_ACQUISITION_OF_INTANG_ASSETS","FQ3 2021","FQ3 2021","Currency=USD","Period=FQ","BEST_FPERIOD_OVERRIDE=FQ","FILING_STATUS=MR","SCALING_FORMAT=MLN","Sort=A","Dates=H","DateFormat=P","Fill=—","Direction=H","UseDPDF=Y")</f>
        <v>0</v>
      </c>
      <c r="O28" s="25">
        <f>_xll.BDH("AMGN US Equity","CF_ACQUISITION_OF_INTANG_ASSETS","FQ4 2021","FQ4 2021","Currency=USD","Period=FQ","BEST_FPERIOD_OVERRIDE=FQ","FILING_STATUS=MR","SCALING_FORMAT=MLN","Sort=A","Dates=H","DateFormat=P","Fill=—","Direction=H","UseDPDF=Y")</f>
        <v>0</v>
      </c>
      <c r="P28" s="25">
        <f>_xll.BDH("AMGN US Equity","CF_ACQUISITION_OF_INTANG_ASSETS","FQ1 2022","FQ1 2022","Currency=USD","Period=FQ","BEST_FPERIOD_OVERRIDE=FQ","FILING_STATUS=MR","SCALING_FORMAT=MLN","Sort=A","Dates=H","DateFormat=P","Fill=—","Direction=H","UseDPDF=Y")</f>
        <v>0</v>
      </c>
      <c r="Q28" s="25">
        <f>_xll.BDH("AMGN US Equity","CF_ACQUISITION_OF_INTANG_ASSETS","FQ2 2022","FQ2 2022","Currency=USD","Period=FQ","BEST_FPERIOD_OVERRIDE=FQ","FILING_STATUS=MR","SCALING_FORMAT=MLN","Sort=A","Dates=H","DateFormat=P","Fill=—","Direction=H","UseDPDF=Y")</f>
        <v>0</v>
      </c>
      <c r="R28" s="25">
        <f>_xll.BDH("AMGN US Equity","CF_ACQUISITION_OF_INTANG_ASSETS","FQ3 2022","FQ3 2022","Currency=USD","Period=FQ","BEST_FPERIOD_OVERRIDE=FQ","FILING_STATUS=MR","SCALING_FORMAT=MLN","Sort=A","Dates=H","DateFormat=P","Fill=—","Direction=H","UseDPDF=Y")</f>
        <v>0</v>
      </c>
      <c r="S28" s="25">
        <f>_xll.BDH("AMGN US Equity","CF_ACQUISITION_OF_INTANG_ASSETS","FQ4 2022","FQ4 2022","Currency=USD","Period=FQ","BEST_FPERIOD_OVERRIDE=FQ","FILING_STATUS=MR","SCALING_FORMAT=MLN","Sort=A","Dates=H","DateFormat=P","Fill=—","Direction=H","UseDPDF=Y")</f>
        <v>0</v>
      </c>
      <c r="T28" s="25">
        <f>_xll.BDH("AMGN US Equity","CF_ACQUISITION_OF_INTANG_ASSETS","FQ1 2023","FQ1 2023","Currency=USD","Period=FQ","BEST_FPERIOD_OVERRIDE=FQ","FILING_STATUS=MR","SCALING_FORMAT=MLN","Sort=A","Dates=H","DateFormat=P","Fill=—","Direction=H","UseDPDF=Y")</f>
        <v>0</v>
      </c>
      <c r="U28" s="25">
        <f>_xll.BDH("AMGN US Equity","CF_ACQUISITION_OF_INTANG_ASSETS","FQ2 2023","FQ2 2023","Currency=USD","Period=FQ","BEST_FPERIOD_OVERRIDE=FQ","FILING_STATUS=MR","SCALING_FORMAT=MLN","Sort=A","Dates=H","DateFormat=P","Fill=—","Direction=H","UseDPDF=Y")</f>
        <v>0</v>
      </c>
      <c r="V28" s="25">
        <f>_xll.BDH("AMGN US Equity","CF_ACQUISITION_OF_INTANG_ASSETS","FQ3 2023","FQ3 2023","Currency=USD","Period=FQ","BEST_FPERIOD_OVERRIDE=FQ","FILING_STATUS=MR","SCALING_FORMAT=MLN","Sort=A","Dates=H","DateFormat=P","Fill=—","Direction=H","UseDPDF=Y")</f>
        <v>0</v>
      </c>
      <c r="W28" s="25">
        <f>_xll.BDH("AMGN US Equity","CF_ACQUISITION_OF_INTANG_ASSETS","FQ4 2023","FQ4 2023","Currency=USD","Period=FQ","BEST_FPERIOD_OVERRIDE=FQ","FILING_STATUS=MR","SCALING_FORMAT=MLN","Sort=A","Dates=H","DateFormat=P","Fill=—","Direction=H","UseDPDF=Y")</f>
        <v>0</v>
      </c>
      <c r="X28" s="25">
        <f>_xll.BDH("AMGN US Equity","CF_ACQUISITION_OF_INTANG_ASSETS","FQ1 2024","FQ1 2024","Currency=USD","Period=FQ","BEST_FPERIOD_OVERRIDE=FQ","FILING_STATUS=MR","SCALING_FORMAT=MLN","Sort=A","Dates=H","DateFormat=P","Fill=—","Direction=H","UseDPDF=Y")</f>
        <v>0</v>
      </c>
      <c r="Y28" s="25">
        <f>_xll.BDH("AMGN US Equity","CF_ACQUISITION_OF_INTANG_ASSETS","FQ2 2024","FQ2 2024","Currency=USD","Period=FQ","BEST_FPERIOD_OVERRIDE=FQ","FILING_STATUS=MR","SCALING_FORMAT=MLN","Sort=A","Dates=H","DateFormat=P","Fill=—","Direction=H","UseDPDF=Y")</f>
        <v>0</v>
      </c>
      <c r="Z28" s="25">
        <f>_xll.BDH("AMGN US Equity","CF_ACQUISITION_OF_INTANG_ASSETS","FQ3 2024","FQ3 2024","Currency=USD","Period=FQ","BEST_FPERIOD_OVERRIDE=FQ","FILING_STATUS=MR","SCALING_FORMAT=MLN","Sort=A","Dates=H","DateFormat=P","Fill=—","Direction=H","UseDPDF=Y")</f>
        <v>0</v>
      </c>
      <c r="AA28" s="25">
        <f>_xll.BDH("AMGN US Equity","CF_ACQUISITION_OF_INTANG_ASSETS","FQ4 2024","FQ4 2024","Currency=USD","Period=FQ","BEST_FPERIOD_OVERRIDE=FQ","FILING_STATUS=MR","SCALING_FORMAT=MLN","Sort=A","Dates=H","DateFormat=P","Fill=—","Direction=H","UseDPDF=Y")</f>
        <v>0</v>
      </c>
    </row>
    <row r="29" spans="1:27" x14ac:dyDescent="0.25">
      <c r="A29" s="10" t="s">
        <v>1303</v>
      </c>
      <c r="B29" s="10" t="s">
        <v>1304</v>
      </c>
      <c r="C29" s="13">
        <f>_xll.BDH("AMGN US Equity","NET_CHG_IN_LT_INVEST_DETAILED","FQ4 2018","FQ4 2018","Currency=USD","Period=FQ","BEST_FPERIOD_OVERRIDE=FQ","FILING_STATUS=MR","SCALING_FORMAT=MLN","Sort=A","Dates=H","DateFormat=P","Fill=—","Direction=H","UseDPDF=Y")</f>
        <v>0</v>
      </c>
      <c r="D29" s="13">
        <f>_xll.BDH("AMGN US Equity","NET_CHG_IN_LT_INVEST_DETAILED","FQ1 2019","FQ1 2019","Currency=USD","Period=FQ","BEST_FPERIOD_OVERRIDE=FQ","FILING_STATUS=MR","SCALING_FORMAT=MLN","Sort=A","Dates=H","DateFormat=P","Fill=—","Direction=H","UseDPDF=Y")</f>
        <v>0</v>
      </c>
      <c r="E29" s="13">
        <f>_xll.BDH("AMGN US Equity","NET_CHG_IN_LT_INVEST_DETAILED","FQ2 2019","FQ2 2019","Currency=USD","Period=FQ","BEST_FPERIOD_OVERRIDE=FQ","FILING_STATUS=MR","SCALING_FORMAT=MLN","Sort=A","Dates=H","DateFormat=P","Fill=—","Direction=H","UseDPDF=Y")</f>
        <v>-12</v>
      </c>
      <c r="F29" s="13">
        <f>_xll.BDH("AMGN US Equity","NET_CHG_IN_LT_INVEST_DETAILED","FQ3 2019","FQ3 2019","Currency=USD","Period=FQ","BEST_FPERIOD_OVERRIDE=FQ","FILING_STATUS=MR","SCALING_FORMAT=MLN","Sort=A","Dates=H","DateFormat=P","Fill=—","Direction=H","UseDPDF=Y")</f>
        <v>-2</v>
      </c>
      <c r="G29" s="13">
        <f>_xll.BDH("AMGN US Equity","NET_CHG_IN_LT_INVEST_DETAILED","FQ4 2019","FQ4 2019","Currency=USD","Period=FQ","BEST_FPERIOD_OVERRIDE=FQ","FILING_STATUS=MR","SCALING_FORMAT=MLN","Sort=A","Dates=H","DateFormat=P","Fill=—","Direction=H","UseDPDF=Y")</f>
        <v>0</v>
      </c>
      <c r="H29" s="13">
        <f>_xll.BDH("AMGN US Equity","NET_CHG_IN_LT_INVEST_DETAILED","FQ1 2020","FQ1 2020","Currency=USD","Period=FQ","BEST_FPERIOD_OVERRIDE=FQ","FILING_STATUS=MR","SCALING_FORMAT=MLN","Sort=A","Dates=H","DateFormat=P","Fill=—","Direction=H","UseDPDF=Y")</f>
        <v>0</v>
      </c>
      <c r="I29" s="13">
        <f>_xll.BDH("AMGN US Equity","NET_CHG_IN_LT_INVEST_DETAILED","FQ2 2020","FQ2 2020","Currency=USD","Period=FQ","BEST_FPERIOD_OVERRIDE=FQ","FILING_STATUS=MR","SCALING_FORMAT=MLN","Sort=A","Dates=H","DateFormat=P","Fill=—","Direction=H","UseDPDF=Y")</f>
        <v>-2648</v>
      </c>
      <c r="J29" s="13">
        <f>_xll.BDH("AMGN US Equity","NET_CHG_IN_LT_INVEST_DETAILED","FQ3 2020","FQ3 2020","Currency=USD","Period=FQ","BEST_FPERIOD_OVERRIDE=FQ","FILING_STATUS=MR","SCALING_FORMAT=MLN","Sort=A","Dates=H","DateFormat=P","Fill=—","Direction=H","UseDPDF=Y")</f>
        <v>-506</v>
      </c>
      <c r="K29" s="13">
        <f>_xll.BDH("AMGN US Equity","NET_CHG_IN_LT_INVEST_DETAILED","FQ4 2020","FQ4 2020","Currency=USD","Period=FQ","BEST_FPERIOD_OVERRIDE=FQ","FILING_STATUS=MR","SCALING_FORMAT=MLN","Sort=A","Dates=H","DateFormat=P","Fill=—","Direction=H","UseDPDF=Y")</f>
        <v>-65</v>
      </c>
      <c r="L29" s="13">
        <f>_xll.BDH("AMGN US Equity","NET_CHG_IN_LT_INVEST_DETAILED","FQ1 2021","FQ1 2021","Currency=USD","Period=FQ","BEST_FPERIOD_OVERRIDE=FQ","FILING_STATUS=MR","SCALING_FORMAT=MLN","Sort=A","Dates=H","DateFormat=P","Fill=—","Direction=H","UseDPDF=Y")</f>
        <v>0</v>
      </c>
      <c r="M29" s="13">
        <f>_xll.BDH("AMGN US Equity","NET_CHG_IN_LT_INVEST_DETAILED","FQ2 2021","FQ2 2021","Currency=USD","Period=FQ","BEST_FPERIOD_OVERRIDE=FQ","FILING_STATUS=MR","SCALING_FORMAT=MLN","Sort=A","Dates=H","DateFormat=P","Fill=—","Direction=H","UseDPDF=Y")</f>
        <v>0</v>
      </c>
      <c r="N29" s="13">
        <f>_xll.BDH("AMGN US Equity","NET_CHG_IN_LT_INVEST_DETAILED","FQ3 2021","FQ3 2021","Currency=USD","Period=FQ","BEST_FPERIOD_OVERRIDE=FQ","FILING_STATUS=MR","SCALING_FORMAT=MLN","Sort=A","Dates=H","DateFormat=P","Fill=—","Direction=H","UseDPDF=Y")</f>
        <v>0</v>
      </c>
      <c r="O29" s="13">
        <f>_xll.BDH("AMGN US Equity","NET_CHG_IN_LT_INVEST_DETAILED","FQ4 2021","FQ4 2021","Currency=USD","Period=FQ","BEST_FPERIOD_OVERRIDE=FQ","FILING_STATUS=MR","SCALING_FORMAT=MLN","Sort=A","Dates=H","DateFormat=P","Fill=—","Direction=H","UseDPDF=Y")</f>
        <v>-157</v>
      </c>
      <c r="P29" s="13">
        <f>_xll.BDH("AMGN US Equity","NET_CHG_IN_LT_INVEST_DETAILED","FQ1 2022","FQ1 2022","Currency=USD","Period=FQ","BEST_FPERIOD_OVERRIDE=FQ","FILING_STATUS=MR","SCALING_FORMAT=MLN","Sort=A","Dates=H","DateFormat=P","Fill=—","Direction=H","UseDPDF=Y")</f>
        <v>0</v>
      </c>
      <c r="Q29" s="13">
        <f>_xll.BDH("AMGN US Equity","NET_CHG_IN_LT_INVEST_DETAILED","FQ2 2022","FQ2 2022","Currency=USD","Period=FQ","BEST_FPERIOD_OVERRIDE=FQ","FILING_STATUS=MR","SCALING_FORMAT=MLN","Sort=A","Dates=H","DateFormat=P","Fill=—","Direction=H","UseDPDF=Y")</f>
        <v>0</v>
      </c>
      <c r="R29" s="13">
        <f>_xll.BDH("AMGN US Equity","NET_CHG_IN_LT_INVEST_DETAILED","FQ3 2022","FQ3 2022","Currency=USD","Period=FQ","BEST_FPERIOD_OVERRIDE=FQ","FILING_STATUS=MR","SCALING_FORMAT=MLN","Sort=A","Dates=H","DateFormat=P","Fill=—","Direction=H","UseDPDF=Y")</f>
        <v>0</v>
      </c>
      <c r="S29" s="13">
        <f>_xll.BDH("AMGN US Equity","NET_CHG_IN_LT_INVEST_DETAILED","FQ4 2022","FQ4 2022","Currency=USD","Period=FQ","BEST_FPERIOD_OVERRIDE=FQ","FILING_STATUS=MR","SCALING_FORMAT=MLN","Sort=A","Dates=H","DateFormat=P","Fill=—","Direction=H","UseDPDF=Y")</f>
        <v>-18</v>
      </c>
      <c r="T29" s="13">
        <f>_xll.BDH("AMGN US Equity","NET_CHG_IN_LT_INVEST_DETAILED","FQ1 2023","FQ1 2023","Currency=USD","Period=FQ","BEST_FPERIOD_OVERRIDE=FQ","FILING_STATUS=MR","SCALING_FORMAT=MLN","Sort=A","Dates=H","DateFormat=P","Fill=—","Direction=H","UseDPDF=Y")</f>
        <v>0</v>
      </c>
      <c r="U29" s="13">
        <f>_xll.BDH("AMGN US Equity","NET_CHG_IN_LT_INVEST_DETAILED","FQ2 2023","FQ2 2023","Currency=USD","Period=FQ","BEST_FPERIOD_OVERRIDE=FQ","FILING_STATUS=MR","SCALING_FORMAT=MLN","Sort=A","Dates=H","DateFormat=P","Fill=—","Direction=H","UseDPDF=Y")</f>
        <v>0</v>
      </c>
      <c r="V29" s="13">
        <f>_xll.BDH("AMGN US Equity","NET_CHG_IN_LT_INVEST_DETAILED","FQ3 2023","FQ3 2023","Currency=USD","Period=FQ","BEST_FPERIOD_OVERRIDE=FQ","FILING_STATUS=MR","SCALING_FORMAT=MLN","Sort=A","Dates=H","DateFormat=P","Fill=—","Direction=H","UseDPDF=Y")</f>
        <v>1125</v>
      </c>
      <c r="W29" s="13">
        <f>_xll.BDH("AMGN US Equity","NET_CHG_IN_LT_INVEST_DETAILED","FQ4 2023","FQ4 2023","Currency=USD","Period=FQ","BEST_FPERIOD_OVERRIDE=FQ","FILING_STATUS=MR","SCALING_FORMAT=MLN","Sort=A","Dates=H","DateFormat=P","Fill=—","Direction=H","UseDPDF=Y")</f>
        <v>548</v>
      </c>
      <c r="X29" s="13">
        <f>_xll.BDH("AMGN US Equity","NET_CHG_IN_LT_INVEST_DETAILED","FQ1 2024","FQ1 2024","Currency=USD","Period=FQ","BEST_FPERIOD_OVERRIDE=FQ","FILING_STATUS=MR","SCALING_FORMAT=MLN","Sort=A","Dates=H","DateFormat=P","Fill=—","Direction=H","UseDPDF=Y")</f>
        <v>0</v>
      </c>
      <c r="Y29" s="13">
        <f>_xll.BDH("AMGN US Equity","NET_CHG_IN_LT_INVEST_DETAILED","FQ2 2024","FQ2 2024","Currency=USD","Period=FQ","BEST_FPERIOD_OVERRIDE=FQ","FILING_STATUS=MR","SCALING_FORMAT=MLN","Sort=A","Dates=H","DateFormat=P","Fill=—","Direction=H","UseDPDF=Y")</f>
        <v>0</v>
      </c>
      <c r="Z29" s="13">
        <f>_xll.BDH("AMGN US Equity","NET_CHG_IN_LT_INVEST_DETAILED","FQ3 2024","FQ3 2024","Currency=USD","Period=FQ","BEST_FPERIOD_OVERRIDE=FQ","FILING_STATUS=MR","SCALING_FORMAT=MLN","Sort=A","Dates=H","DateFormat=P","Fill=—","Direction=H","UseDPDF=Y")</f>
        <v>0</v>
      </c>
      <c r="AA29" s="13">
        <f>_xll.BDH("AMGN US Equity","NET_CHG_IN_LT_INVEST_DETAILED","FQ4 2024","FQ4 2024","Currency=USD","Period=FQ","BEST_FPERIOD_OVERRIDE=FQ","FILING_STATUS=MR","SCALING_FORMAT=MLN","Sort=A","Dates=H","DateFormat=P","Fill=—","Direction=H","UseDPDF=Y")</f>
        <v>0</v>
      </c>
    </row>
    <row r="30" spans="1:27" x14ac:dyDescent="0.25">
      <c r="A30" s="10" t="s">
        <v>1305</v>
      </c>
      <c r="B30" s="10" t="s">
        <v>1306</v>
      </c>
      <c r="C30" s="13">
        <f>_xll.BDH("AMGN US Equity","CF_DECR_INVEST","FQ4 2018","FQ4 2018","Currency=USD","Period=FQ","BEST_FPERIOD_OVERRIDE=FQ","FILING_STATUS=MR","SCALING_FORMAT=MLN","Sort=A","Dates=H","DateFormat=P","Fill=—","Direction=H","UseDPDF=Y")</f>
        <v>0</v>
      </c>
      <c r="D30" s="13">
        <f>_xll.BDH("AMGN US Equity","CF_DECR_INVEST","FQ1 2019","FQ1 2019","Currency=USD","Period=FQ","BEST_FPERIOD_OVERRIDE=FQ","FILING_STATUS=MR","SCALING_FORMAT=MLN","Sort=A","Dates=H","DateFormat=P","Fill=—","Direction=H","UseDPDF=Y")</f>
        <v>0</v>
      </c>
      <c r="E30" s="13">
        <f>_xll.BDH("AMGN US Equity","CF_DECR_INVEST","FQ2 2019","FQ2 2019","Currency=USD","Period=FQ","BEST_FPERIOD_OVERRIDE=FQ","FILING_STATUS=MR","SCALING_FORMAT=MLN","Sort=A","Dates=H","DateFormat=P","Fill=—","Direction=H","UseDPDF=Y")</f>
        <v>0</v>
      </c>
      <c r="F30" s="13">
        <f>_xll.BDH("AMGN US Equity","CF_DECR_INVEST","FQ3 2019","FQ3 2019","Currency=USD","Period=FQ","BEST_FPERIOD_OVERRIDE=FQ","FILING_STATUS=MR","SCALING_FORMAT=MLN","Sort=A","Dates=H","DateFormat=P","Fill=—","Direction=H","UseDPDF=Y")</f>
        <v>0</v>
      </c>
      <c r="G30" s="13" t="str">
        <f>_xll.BDH("AMGN US Equity","CF_DECR_INVEST","FQ4 2019","FQ4 2019","Currency=USD","Period=FQ","BEST_FPERIOD_OVERRIDE=FQ","FILING_STATUS=MR","SCALING_FORMAT=MLN","Sort=A","Dates=H","DateFormat=P","Fill=—","Direction=H","UseDPDF=Y")</f>
        <v>—</v>
      </c>
      <c r="H30" s="13">
        <f>_xll.BDH("AMGN US Equity","CF_DECR_INVEST","FQ1 2020","FQ1 2020","Currency=USD","Period=FQ","BEST_FPERIOD_OVERRIDE=FQ","FILING_STATUS=MR","SCALING_FORMAT=MLN","Sort=A","Dates=H","DateFormat=P","Fill=—","Direction=H","UseDPDF=Y")</f>
        <v>0</v>
      </c>
      <c r="I30" s="13">
        <f>_xll.BDH("AMGN US Equity","CF_DECR_INVEST","FQ2 2020","FQ2 2020","Currency=USD","Period=FQ","BEST_FPERIOD_OVERRIDE=FQ","FILING_STATUS=MR","SCALING_FORMAT=MLN","Sort=A","Dates=H","DateFormat=P","Fill=—","Direction=H","UseDPDF=Y")</f>
        <v>0</v>
      </c>
      <c r="J30" s="13">
        <f>_xll.BDH("AMGN US Equity","CF_DECR_INVEST","FQ3 2020","FQ3 2020","Currency=USD","Period=FQ","BEST_FPERIOD_OVERRIDE=FQ","FILING_STATUS=MR","SCALING_FORMAT=MLN","Sort=A","Dates=H","DateFormat=P","Fill=—","Direction=H","UseDPDF=Y")</f>
        <v>0</v>
      </c>
      <c r="K30" s="13">
        <f>_xll.BDH("AMGN US Equity","CF_DECR_INVEST","FQ4 2020","FQ4 2020","Currency=USD","Period=FQ","BEST_FPERIOD_OVERRIDE=FQ","FILING_STATUS=MR","SCALING_FORMAT=MLN","Sort=A","Dates=H","DateFormat=P","Fill=—","Direction=H","UseDPDF=Y")</f>
        <v>0</v>
      </c>
      <c r="L30" s="13">
        <f>_xll.BDH("AMGN US Equity","CF_DECR_INVEST","FQ1 2021","FQ1 2021","Currency=USD","Period=FQ","BEST_FPERIOD_OVERRIDE=FQ","FILING_STATUS=MR","SCALING_FORMAT=MLN","Sort=A","Dates=H","DateFormat=P","Fill=—","Direction=H","UseDPDF=Y")</f>
        <v>0</v>
      </c>
      <c r="M30" s="13">
        <f>_xll.BDH("AMGN US Equity","CF_DECR_INVEST","FQ2 2021","FQ2 2021","Currency=USD","Period=FQ","BEST_FPERIOD_OVERRIDE=FQ","FILING_STATUS=MR","SCALING_FORMAT=MLN","Sort=A","Dates=H","DateFormat=P","Fill=—","Direction=H","UseDPDF=Y")</f>
        <v>0</v>
      </c>
      <c r="N30" s="13">
        <f>_xll.BDH("AMGN US Equity","CF_DECR_INVEST","FQ3 2021","FQ3 2021","Currency=USD","Period=FQ","BEST_FPERIOD_OVERRIDE=FQ","FILING_STATUS=MR","SCALING_FORMAT=MLN","Sort=A","Dates=H","DateFormat=P","Fill=—","Direction=H","UseDPDF=Y")</f>
        <v>0</v>
      </c>
      <c r="O30" s="13">
        <f>_xll.BDH("AMGN US Equity","CF_DECR_INVEST","FQ4 2021","FQ4 2021","Currency=USD","Period=FQ","BEST_FPERIOD_OVERRIDE=FQ","FILING_STATUS=MR","SCALING_FORMAT=MLN","Sort=A","Dates=H","DateFormat=P","Fill=—","Direction=H","UseDPDF=Y")</f>
        <v>0</v>
      </c>
      <c r="P30" s="13">
        <f>_xll.BDH("AMGN US Equity","CF_DECR_INVEST","FQ1 2022","FQ1 2022","Currency=USD","Period=FQ","BEST_FPERIOD_OVERRIDE=FQ","FILING_STATUS=MR","SCALING_FORMAT=MLN","Sort=A","Dates=H","DateFormat=P","Fill=—","Direction=H","UseDPDF=Y")</f>
        <v>0</v>
      </c>
      <c r="Q30" s="13">
        <f>_xll.BDH("AMGN US Equity","CF_DECR_INVEST","FQ2 2022","FQ2 2022","Currency=USD","Period=FQ","BEST_FPERIOD_OVERRIDE=FQ","FILING_STATUS=MR","SCALING_FORMAT=MLN","Sort=A","Dates=H","DateFormat=P","Fill=—","Direction=H","UseDPDF=Y")</f>
        <v>0</v>
      </c>
      <c r="R30" s="13">
        <f>_xll.BDH("AMGN US Equity","CF_DECR_INVEST","FQ3 2022","FQ3 2022","Currency=USD","Period=FQ","BEST_FPERIOD_OVERRIDE=FQ","FILING_STATUS=MR","SCALING_FORMAT=MLN","Sort=A","Dates=H","DateFormat=P","Fill=—","Direction=H","UseDPDF=Y")</f>
        <v>0</v>
      </c>
      <c r="S30" s="13">
        <f>_xll.BDH("AMGN US Equity","CF_DECR_INVEST","FQ4 2022","FQ4 2022","Currency=USD","Period=FQ","BEST_FPERIOD_OVERRIDE=FQ","FILING_STATUS=MR","SCALING_FORMAT=MLN","Sort=A","Dates=H","DateFormat=P","Fill=—","Direction=H","UseDPDF=Y")</f>
        <v>0</v>
      </c>
      <c r="T30" s="13">
        <f>_xll.BDH("AMGN US Equity","CF_DECR_INVEST","FQ1 2023","FQ1 2023","Currency=USD","Period=FQ","BEST_FPERIOD_OVERRIDE=FQ","FILING_STATUS=MR","SCALING_FORMAT=MLN","Sort=A","Dates=H","DateFormat=P","Fill=—","Direction=H","UseDPDF=Y")</f>
        <v>0</v>
      </c>
      <c r="U30" s="13">
        <f>_xll.BDH("AMGN US Equity","CF_DECR_INVEST","FQ2 2023","FQ2 2023","Currency=USD","Period=FQ","BEST_FPERIOD_OVERRIDE=FQ","FILING_STATUS=MR","SCALING_FORMAT=MLN","Sort=A","Dates=H","DateFormat=P","Fill=—","Direction=H","UseDPDF=Y")</f>
        <v>0</v>
      </c>
      <c r="V30" s="13">
        <f>_xll.BDH("AMGN US Equity","CF_DECR_INVEST","FQ3 2023","FQ3 2023","Currency=USD","Period=FQ","BEST_FPERIOD_OVERRIDE=FQ","FILING_STATUS=MR","SCALING_FORMAT=MLN","Sort=A","Dates=H","DateFormat=P","Fill=—","Direction=H","UseDPDF=Y")</f>
        <v>1125</v>
      </c>
      <c r="W30" s="13">
        <f>_xll.BDH("AMGN US Equity","CF_DECR_INVEST","FQ4 2023","FQ4 2023","Currency=USD","Period=FQ","BEST_FPERIOD_OVERRIDE=FQ","FILING_STATUS=MR","SCALING_FORMAT=MLN","Sort=A","Dates=H","DateFormat=P","Fill=—","Direction=H","UseDPDF=Y")</f>
        <v>548</v>
      </c>
      <c r="X30" s="13">
        <f>_xll.BDH("AMGN US Equity","CF_DECR_INVEST","FQ1 2024","FQ1 2024","Currency=USD","Period=FQ","BEST_FPERIOD_OVERRIDE=FQ","FILING_STATUS=MR","SCALING_FORMAT=MLN","Sort=A","Dates=H","DateFormat=P","Fill=—","Direction=H","UseDPDF=Y")</f>
        <v>0</v>
      </c>
      <c r="Y30" s="13">
        <f>_xll.BDH("AMGN US Equity","CF_DECR_INVEST","FQ2 2024","FQ2 2024","Currency=USD","Period=FQ","BEST_FPERIOD_OVERRIDE=FQ","FILING_STATUS=MR","SCALING_FORMAT=MLN","Sort=A","Dates=H","DateFormat=P","Fill=—","Direction=H","UseDPDF=Y")</f>
        <v>0</v>
      </c>
      <c r="Z30" s="13">
        <f>_xll.BDH("AMGN US Equity","CF_DECR_INVEST","FQ3 2024","FQ3 2024","Currency=USD","Period=FQ","BEST_FPERIOD_OVERRIDE=FQ","FILING_STATUS=MR","SCALING_FORMAT=MLN","Sort=A","Dates=H","DateFormat=P","Fill=—","Direction=H","UseDPDF=Y")</f>
        <v>0</v>
      </c>
      <c r="AA30" s="13">
        <f>_xll.BDH("AMGN US Equity","CF_DECR_INVEST","FQ4 2024","FQ4 2024","Currency=USD","Period=FQ","BEST_FPERIOD_OVERRIDE=FQ","FILING_STATUS=MR","SCALING_FORMAT=MLN","Sort=A","Dates=H","DateFormat=P","Fill=—","Direction=H","UseDPDF=Y")</f>
        <v>0</v>
      </c>
    </row>
    <row r="31" spans="1:27" x14ac:dyDescent="0.25">
      <c r="A31" s="10" t="s">
        <v>1307</v>
      </c>
      <c r="B31" s="10" t="s">
        <v>1308</v>
      </c>
      <c r="C31" s="13">
        <f>_xll.BDH("AMGN US Equity","CF_INCR_INVEST","FQ4 2018","FQ4 2018","Currency=USD","Period=FQ","BEST_FPERIOD_OVERRIDE=FQ","FILING_STATUS=MR","SCALING_FORMAT=MLN","Sort=A","Dates=H","DateFormat=P","Fill=—","Direction=H","UseDPDF=Y")</f>
        <v>0</v>
      </c>
      <c r="D31" s="13">
        <f>_xll.BDH("AMGN US Equity","CF_INCR_INVEST","FQ1 2019","FQ1 2019","Currency=USD","Period=FQ","BEST_FPERIOD_OVERRIDE=FQ","FILING_STATUS=MR","SCALING_FORMAT=MLN","Sort=A","Dates=H","DateFormat=P","Fill=—","Direction=H","UseDPDF=Y")</f>
        <v>0</v>
      </c>
      <c r="E31" s="13">
        <f>_xll.BDH("AMGN US Equity","CF_INCR_INVEST","FQ2 2019","FQ2 2019","Currency=USD","Period=FQ","BEST_FPERIOD_OVERRIDE=FQ","FILING_STATUS=MR","SCALING_FORMAT=MLN","Sort=A","Dates=H","DateFormat=P","Fill=—","Direction=H","UseDPDF=Y")</f>
        <v>-12</v>
      </c>
      <c r="F31" s="13">
        <f>_xll.BDH("AMGN US Equity","CF_INCR_INVEST","FQ3 2019","FQ3 2019","Currency=USD","Period=FQ","BEST_FPERIOD_OVERRIDE=FQ","FILING_STATUS=MR","SCALING_FORMAT=MLN","Sort=A","Dates=H","DateFormat=P","Fill=—","Direction=H","UseDPDF=Y")</f>
        <v>-2</v>
      </c>
      <c r="G31" s="13">
        <f>_xll.BDH("AMGN US Equity","CF_INCR_INVEST","FQ4 2019","FQ4 2019","Currency=USD","Period=FQ","BEST_FPERIOD_OVERRIDE=FQ","FILING_STATUS=MR","SCALING_FORMAT=MLN","Sort=A","Dates=H","DateFormat=P","Fill=—","Direction=H","UseDPDF=Y")</f>
        <v>0</v>
      </c>
      <c r="H31" s="13">
        <f>_xll.BDH("AMGN US Equity","CF_INCR_INVEST","FQ1 2020","FQ1 2020","Currency=USD","Period=FQ","BEST_FPERIOD_OVERRIDE=FQ","FILING_STATUS=MR","SCALING_FORMAT=MLN","Sort=A","Dates=H","DateFormat=P","Fill=—","Direction=H","UseDPDF=Y")</f>
        <v>0</v>
      </c>
      <c r="I31" s="13">
        <f>_xll.BDH("AMGN US Equity","CF_INCR_INVEST","FQ2 2020","FQ2 2020","Currency=USD","Period=FQ","BEST_FPERIOD_OVERRIDE=FQ","FILING_STATUS=MR","SCALING_FORMAT=MLN","Sort=A","Dates=H","DateFormat=P","Fill=—","Direction=H","UseDPDF=Y")</f>
        <v>-2648</v>
      </c>
      <c r="J31" s="13">
        <f>_xll.BDH("AMGN US Equity","CF_INCR_INVEST","FQ3 2020","FQ3 2020","Currency=USD","Period=FQ","BEST_FPERIOD_OVERRIDE=FQ","FILING_STATUS=MR","SCALING_FORMAT=MLN","Sort=A","Dates=H","DateFormat=P","Fill=—","Direction=H","UseDPDF=Y")</f>
        <v>-506</v>
      </c>
      <c r="K31" s="13">
        <f>_xll.BDH("AMGN US Equity","CF_INCR_INVEST","FQ4 2020","FQ4 2020","Currency=USD","Period=FQ","BEST_FPERIOD_OVERRIDE=FQ","FILING_STATUS=MR","SCALING_FORMAT=MLN","Sort=A","Dates=H","DateFormat=P","Fill=—","Direction=H","UseDPDF=Y")</f>
        <v>-65</v>
      </c>
      <c r="L31" s="13">
        <f>_xll.BDH("AMGN US Equity","CF_INCR_INVEST","FQ1 2021","FQ1 2021","Currency=USD","Period=FQ","BEST_FPERIOD_OVERRIDE=FQ","FILING_STATUS=MR","SCALING_FORMAT=MLN","Sort=A","Dates=H","DateFormat=P","Fill=—","Direction=H","UseDPDF=Y")</f>
        <v>0</v>
      </c>
      <c r="M31" s="13">
        <f>_xll.BDH("AMGN US Equity","CF_INCR_INVEST","FQ2 2021","FQ2 2021","Currency=USD","Period=FQ","BEST_FPERIOD_OVERRIDE=FQ","FILING_STATUS=MR","SCALING_FORMAT=MLN","Sort=A","Dates=H","DateFormat=P","Fill=—","Direction=H","UseDPDF=Y")</f>
        <v>0</v>
      </c>
      <c r="N31" s="13">
        <f>_xll.BDH("AMGN US Equity","CF_INCR_INVEST","FQ3 2021","FQ3 2021","Currency=USD","Period=FQ","BEST_FPERIOD_OVERRIDE=FQ","FILING_STATUS=MR","SCALING_FORMAT=MLN","Sort=A","Dates=H","DateFormat=P","Fill=—","Direction=H","UseDPDF=Y")</f>
        <v>0</v>
      </c>
      <c r="O31" s="13">
        <f>_xll.BDH("AMGN US Equity","CF_INCR_INVEST","FQ4 2021","FQ4 2021","Currency=USD","Period=FQ","BEST_FPERIOD_OVERRIDE=FQ","FILING_STATUS=MR","SCALING_FORMAT=MLN","Sort=A","Dates=H","DateFormat=P","Fill=—","Direction=H","UseDPDF=Y")</f>
        <v>-157</v>
      </c>
      <c r="P31" s="13">
        <f>_xll.BDH("AMGN US Equity","CF_INCR_INVEST","FQ1 2022","FQ1 2022","Currency=USD","Period=FQ","BEST_FPERIOD_OVERRIDE=FQ","FILING_STATUS=MR","SCALING_FORMAT=MLN","Sort=A","Dates=H","DateFormat=P","Fill=—","Direction=H","UseDPDF=Y")</f>
        <v>0</v>
      </c>
      <c r="Q31" s="13">
        <f>_xll.BDH("AMGN US Equity","CF_INCR_INVEST","FQ2 2022","FQ2 2022","Currency=USD","Period=FQ","BEST_FPERIOD_OVERRIDE=FQ","FILING_STATUS=MR","SCALING_FORMAT=MLN","Sort=A","Dates=H","DateFormat=P","Fill=—","Direction=H","UseDPDF=Y")</f>
        <v>0</v>
      </c>
      <c r="R31" s="13">
        <f>_xll.BDH("AMGN US Equity","CF_INCR_INVEST","FQ3 2022","FQ3 2022","Currency=USD","Period=FQ","BEST_FPERIOD_OVERRIDE=FQ","FILING_STATUS=MR","SCALING_FORMAT=MLN","Sort=A","Dates=H","DateFormat=P","Fill=—","Direction=H","UseDPDF=Y")</f>
        <v>0</v>
      </c>
      <c r="S31" s="13">
        <f>_xll.BDH("AMGN US Equity","CF_INCR_INVEST","FQ4 2022","FQ4 2022","Currency=USD","Period=FQ","BEST_FPERIOD_OVERRIDE=FQ","FILING_STATUS=MR","SCALING_FORMAT=MLN","Sort=A","Dates=H","DateFormat=P","Fill=—","Direction=H","UseDPDF=Y")</f>
        <v>-18</v>
      </c>
      <c r="T31" s="13">
        <f>_xll.BDH("AMGN US Equity","CF_INCR_INVEST","FQ1 2023","FQ1 2023","Currency=USD","Period=FQ","BEST_FPERIOD_OVERRIDE=FQ","FILING_STATUS=MR","SCALING_FORMAT=MLN","Sort=A","Dates=H","DateFormat=P","Fill=—","Direction=H","UseDPDF=Y")</f>
        <v>0</v>
      </c>
      <c r="U31" s="13">
        <f>_xll.BDH("AMGN US Equity","CF_INCR_INVEST","FQ2 2023","FQ2 2023","Currency=USD","Period=FQ","BEST_FPERIOD_OVERRIDE=FQ","FILING_STATUS=MR","SCALING_FORMAT=MLN","Sort=A","Dates=H","DateFormat=P","Fill=—","Direction=H","UseDPDF=Y")</f>
        <v>0</v>
      </c>
      <c r="V31" s="13">
        <f>_xll.BDH("AMGN US Equity","CF_INCR_INVEST","FQ3 2023","FQ3 2023","Currency=USD","Period=FQ","BEST_FPERIOD_OVERRIDE=FQ","FILING_STATUS=MR","SCALING_FORMAT=MLN","Sort=A","Dates=H","DateFormat=P","Fill=—","Direction=H","UseDPDF=Y")</f>
        <v>0</v>
      </c>
      <c r="W31" s="13">
        <f>_xll.BDH("AMGN US Equity","CF_INCR_INVEST","FQ4 2023","FQ4 2023","Currency=USD","Period=FQ","BEST_FPERIOD_OVERRIDE=FQ","FILING_STATUS=MR","SCALING_FORMAT=MLN","Sort=A","Dates=H","DateFormat=P","Fill=—","Direction=H","UseDPDF=Y")</f>
        <v>0</v>
      </c>
      <c r="X31" s="13">
        <f>_xll.BDH("AMGN US Equity","CF_INCR_INVEST","FQ1 2024","FQ1 2024","Currency=USD","Period=FQ","BEST_FPERIOD_OVERRIDE=FQ","FILING_STATUS=MR","SCALING_FORMAT=MLN","Sort=A","Dates=H","DateFormat=P","Fill=—","Direction=H","UseDPDF=Y")</f>
        <v>0</v>
      </c>
      <c r="Y31" s="13">
        <f>_xll.BDH("AMGN US Equity","CF_INCR_INVEST","FQ2 2024","FQ2 2024","Currency=USD","Period=FQ","BEST_FPERIOD_OVERRIDE=FQ","FILING_STATUS=MR","SCALING_FORMAT=MLN","Sort=A","Dates=H","DateFormat=P","Fill=—","Direction=H","UseDPDF=Y")</f>
        <v>0</v>
      </c>
      <c r="Z31" s="13">
        <f>_xll.BDH("AMGN US Equity","CF_INCR_INVEST","FQ3 2024","FQ3 2024","Currency=USD","Period=FQ","BEST_FPERIOD_OVERRIDE=FQ","FILING_STATUS=MR","SCALING_FORMAT=MLN","Sort=A","Dates=H","DateFormat=P","Fill=—","Direction=H","UseDPDF=Y")</f>
        <v>0</v>
      </c>
      <c r="AA31" s="13">
        <f>_xll.BDH("AMGN US Equity","CF_INCR_INVEST","FQ4 2024","FQ4 2024","Currency=USD","Period=FQ","BEST_FPERIOD_OVERRIDE=FQ","FILING_STATUS=MR","SCALING_FORMAT=MLN","Sort=A","Dates=H","DateFormat=P","Fill=—","Direction=H","UseDPDF=Y")</f>
        <v>0</v>
      </c>
    </row>
    <row r="32" spans="1:27" x14ac:dyDescent="0.25">
      <c r="A32" s="10" t="s">
        <v>1309</v>
      </c>
      <c r="B32" s="10" t="s">
        <v>1310</v>
      </c>
      <c r="C32" s="13">
        <f>_xll.BDH("AMGN US Equity","CF_NT_CSH_RCVD_PD_FOR_ACQUIS_DIV","FQ4 2018","FQ4 2018","Currency=USD","Period=FQ","BEST_FPERIOD_OVERRIDE=FQ","FILING_STATUS=MR","SCALING_FORMAT=MLN","Sort=A","Dates=H","DateFormat=P","Fill=—","Direction=H","UseDPDF=Y")</f>
        <v>-2</v>
      </c>
      <c r="D32" s="13">
        <f>_xll.BDH("AMGN US Equity","CF_NT_CSH_RCVD_PD_FOR_ACQUIS_DIV","FQ1 2019","FQ1 2019","Currency=USD","Period=FQ","BEST_FPERIOD_OVERRIDE=FQ","FILING_STATUS=MR","SCALING_FORMAT=MLN","Sort=A","Dates=H","DateFormat=P","Fill=—","Direction=H","UseDPDF=Y")</f>
        <v>0</v>
      </c>
      <c r="E32" s="13">
        <f>_xll.BDH("AMGN US Equity","CF_NT_CSH_RCVD_PD_FOR_ACQUIS_DIV","FQ2 2019","FQ2 2019","Currency=USD","Period=FQ","BEST_FPERIOD_OVERRIDE=FQ","FILING_STATUS=MR","SCALING_FORMAT=MLN","Sort=A","Dates=H","DateFormat=P","Fill=—","Direction=H","UseDPDF=Y")</f>
        <v>0</v>
      </c>
      <c r="F32" s="13">
        <f>_xll.BDH("AMGN US Equity","CF_NT_CSH_RCVD_PD_FOR_ACQUIS_DIV","FQ3 2019","FQ3 2019","Currency=USD","Period=FQ","BEST_FPERIOD_OVERRIDE=FQ","FILING_STATUS=MR","SCALING_FORMAT=MLN","Sort=A","Dates=H","DateFormat=P","Fill=—","Direction=H","UseDPDF=Y")</f>
        <v>0</v>
      </c>
      <c r="G32" s="13">
        <f>_xll.BDH("AMGN US Equity","CF_NT_CSH_RCVD_PD_FOR_ACQUIS_DIV","FQ4 2019","FQ4 2019","Currency=USD","Period=FQ","BEST_FPERIOD_OVERRIDE=FQ","FILING_STATUS=MR","SCALING_FORMAT=MLN","Sort=A","Dates=H","DateFormat=P","Fill=—","Direction=H","UseDPDF=Y")</f>
        <v>-13440</v>
      </c>
      <c r="H32" s="13">
        <f>_xll.BDH("AMGN US Equity","CF_NT_CSH_RCVD_PD_FOR_ACQUIS_DIV","FQ1 2020","FQ1 2020","Currency=USD","Period=FQ","BEST_FPERIOD_OVERRIDE=FQ","FILING_STATUS=MR","SCALING_FORMAT=MLN","Sort=A","Dates=H","DateFormat=P","Fill=—","Direction=H","UseDPDF=Y")</f>
        <v>0</v>
      </c>
      <c r="I32" s="13">
        <f>_xll.BDH("AMGN US Equity","CF_NT_CSH_RCVD_PD_FOR_ACQUIS_DIV","FQ2 2020","FQ2 2020","Currency=USD","Period=FQ","BEST_FPERIOD_OVERRIDE=FQ","FILING_STATUS=MR","SCALING_FORMAT=MLN","Sort=A","Dates=H","DateFormat=P","Fill=—","Direction=H","UseDPDF=Y")</f>
        <v>0</v>
      </c>
      <c r="J32" s="13">
        <f>_xll.BDH("AMGN US Equity","CF_NT_CSH_RCVD_PD_FOR_ACQUIS_DIV","FQ3 2020","FQ3 2020","Currency=USD","Period=FQ","BEST_FPERIOD_OVERRIDE=FQ","FILING_STATUS=MR","SCALING_FORMAT=MLN","Sort=A","Dates=H","DateFormat=P","Fill=—","Direction=H","UseDPDF=Y")</f>
        <v>0</v>
      </c>
      <c r="K32" s="13">
        <f>_xll.BDH("AMGN US Equity","CF_NT_CSH_RCVD_PD_FOR_ACQUIS_DIV","FQ4 2020","FQ4 2020","Currency=USD","Period=FQ","BEST_FPERIOD_OVERRIDE=FQ","FILING_STATUS=MR","SCALING_FORMAT=MLN","Sort=A","Dates=H","DateFormat=P","Fill=—","Direction=H","UseDPDF=Y")</f>
        <v>0</v>
      </c>
      <c r="L32" s="13">
        <f>_xll.BDH("AMGN US Equity","CF_NT_CSH_RCVD_PD_FOR_ACQUIS_DIV","FQ1 2021","FQ1 2021","Currency=USD","Period=FQ","BEST_FPERIOD_OVERRIDE=FQ","FILING_STATUS=MR","SCALING_FORMAT=MLN","Sort=A","Dates=H","DateFormat=P","Fill=—","Direction=H","UseDPDF=Y")</f>
        <v>0</v>
      </c>
      <c r="M32" s="13">
        <f>_xll.BDH("AMGN US Equity","CF_NT_CSH_RCVD_PD_FOR_ACQUIS_DIV","FQ2 2021","FQ2 2021","Currency=USD","Period=FQ","BEST_FPERIOD_OVERRIDE=FQ","FILING_STATUS=MR","SCALING_FORMAT=MLN","Sort=A","Dates=H","DateFormat=P","Fill=—","Direction=H","UseDPDF=Y")</f>
        <v>-1626</v>
      </c>
      <c r="N32" s="13">
        <f>_xll.BDH("AMGN US Equity","CF_NT_CSH_RCVD_PD_FOR_ACQUIS_DIV","FQ3 2021","FQ3 2021","Currency=USD","Period=FQ","BEST_FPERIOD_OVERRIDE=FQ","FILING_STATUS=MR","SCALING_FORMAT=MLN","Sort=A","Dates=H","DateFormat=P","Fill=—","Direction=H","UseDPDF=Y")</f>
        <v>-13</v>
      </c>
      <c r="O32" s="13">
        <f>_xll.BDH("AMGN US Equity","CF_NT_CSH_RCVD_PD_FOR_ACQUIS_DIV","FQ4 2021","FQ4 2021","Currency=USD","Period=FQ","BEST_FPERIOD_OVERRIDE=FQ","FILING_STATUS=MR","SCALING_FORMAT=MLN","Sort=A","Dates=H","DateFormat=P","Fill=—","Direction=H","UseDPDF=Y")</f>
        <v>-890</v>
      </c>
      <c r="P32" s="13">
        <f>_xll.BDH("AMGN US Equity","CF_NT_CSH_RCVD_PD_FOR_ACQUIS_DIV","FQ1 2022","FQ1 2022","Currency=USD","Period=FQ","BEST_FPERIOD_OVERRIDE=FQ","FILING_STATUS=MR","SCALING_FORMAT=MLN","Sort=A","Dates=H","DateFormat=P","Fill=—","Direction=H","UseDPDF=Y")</f>
        <v>0</v>
      </c>
      <c r="Q32" s="13">
        <f>_xll.BDH("AMGN US Equity","CF_NT_CSH_RCVD_PD_FOR_ACQUIS_DIV","FQ2 2022","FQ2 2022","Currency=USD","Period=FQ","BEST_FPERIOD_OVERRIDE=FQ","FILING_STATUS=MR","SCALING_FORMAT=MLN","Sort=A","Dates=H","DateFormat=P","Fill=—","Direction=H","UseDPDF=Y")</f>
        <v>0</v>
      </c>
      <c r="R32" s="13">
        <f>_xll.BDH("AMGN US Equity","CF_NT_CSH_RCVD_PD_FOR_ACQUIS_DIV","FQ3 2022","FQ3 2022","Currency=USD","Period=FQ","BEST_FPERIOD_OVERRIDE=FQ","FILING_STATUS=MR","SCALING_FORMAT=MLN","Sort=A","Dates=H","DateFormat=P","Fill=—","Direction=H","UseDPDF=Y")</f>
        <v>0</v>
      </c>
      <c r="S32" s="13">
        <f>_xll.BDH("AMGN US Equity","CF_NT_CSH_RCVD_PD_FOR_ACQUIS_DIV","FQ4 2022","FQ4 2022","Currency=USD","Period=FQ","BEST_FPERIOD_OVERRIDE=FQ","FILING_STATUS=MR","SCALING_FORMAT=MLN","Sort=A","Dates=H","DateFormat=P","Fill=—","Direction=H","UseDPDF=Y")</f>
        <v>-3709</v>
      </c>
      <c r="T32" s="13">
        <f>_xll.BDH("AMGN US Equity","CF_NT_CSH_RCVD_PD_FOR_ACQUIS_DIV","FQ1 2023","FQ1 2023","Currency=USD","Period=FQ","BEST_FPERIOD_OVERRIDE=FQ","FILING_STATUS=MR","SCALING_FORMAT=MLN","Sort=A","Dates=H","DateFormat=P","Fill=—","Direction=H","UseDPDF=Y")</f>
        <v>0</v>
      </c>
      <c r="U32" s="13">
        <f>_xll.BDH("AMGN US Equity","CF_NT_CSH_RCVD_PD_FOR_ACQUIS_DIV","FQ2 2023","FQ2 2023","Currency=USD","Period=FQ","BEST_FPERIOD_OVERRIDE=FQ","FILING_STATUS=MR","SCALING_FORMAT=MLN","Sort=A","Dates=H","DateFormat=P","Fill=—","Direction=H","UseDPDF=Y")</f>
        <v>0</v>
      </c>
      <c r="V32" s="13">
        <f>_xll.BDH("AMGN US Equity","CF_NT_CSH_RCVD_PD_FOR_ACQUIS_DIV","FQ3 2023","FQ3 2023","Currency=USD","Period=FQ","BEST_FPERIOD_OVERRIDE=FQ","FILING_STATUS=MR","SCALING_FORMAT=MLN","Sort=A","Dates=H","DateFormat=P","Fill=—","Direction=H","UseDPDF=Y")</f>
        <v>0</v>
      </c>
      <c r="W32" s="13">
        <f>_xll.BDH("AMGN US Equity","CF_NT_CSH_RCVD_PD_FOR_ACQUIS_DIV","FQ4 2023","FQ4 2023","Currency=USD","Period=FQ","BEST_FPERIOD_OVERRIDE=FQ","FILING_STATUS=MR","SCALING_FORMAT=MLN","Sort=A","Dates=H","DateFormat=P","Fill=—","Direction=H","UseDPDF=Y")</f>
        <v>-26764</v>
      </c>
      <c r="X32" s="13">
        <f>_xll.BDH("AMGN US Equity","CF_NT_CSH_RCVD_PD_FOR_ACQUIS_DIV","FQ1 2024","FQ1 2024","Currency=USD","Period=FQ","BEST_FPERIOD_OVERRIDE=FQ","FILING_STATUS=MR","SCALING_FORMAT=MLN","Sort=A","Dates=H","DateFormat=P","Fill=—","Direction=H","UseDPDF=Y")</f>
        <v>0</v>
      </c>
      <c r="Y32" s="13">
        <f>_xll.BDH("AMGN US Equity","CF_NT_CSH_RCVD_PD_FOR_ACQUIS_DIV","FQ2 2024","FQ2 2024","Currency=USD","Period=FQ","BEST_FPERIOD_OVERRIDE=FQ","FILING_STATUS=MR","SCALING_FORMAT=MLN","Sort=A","Dates=H","DateFormat=P","Fill=—","Direction=H","UseDPDF=Y")</f>
        <v>0</v>
      </c>
      <c r="Z32" s="13">
        <f>_xll.BDH("AMGN US Equity","CF_NT_CSH_RCVD_PD_FOR_ACQUIS_DIV","FQ3 2024","FQ3 2024","Currency=USD","Period=FQ","BEST_FPERIOD_OVERRIDE=FQ","FILING_STATUS=MR","SCALING_FORMAT=MLN","Sort=A","Dates=H","DateFormat=P","Fill=—","Direction=H","UseDPDF=Y")</f>
        <v>0</v>
      </c>
      <c r="AA32" s="13">
        <f>_xll.BDH("AMGN US Equity","CF_NT_CSH_RCVD_PD_FOR_ACQUIS_DIV","FQ4 2024","FQ4 2024","Currency=USD","Period=FQ","BEST_FPERIOD_OVERRIDE=FQ","FILING_STATUS=MR","SCALING_FORMAT=MLN","Sort=A","Dates=H","DateFormat=P","Fill=—","Direction=H","UseDPDF=Y")</f>
        <v>0</v>
      </c>
    </row>
    <row r="33" spans="1:27" x14ac:dyDescent="0.25">
      <c r="A33" s="10" t="s">
        <v>1311</v>
      </c>
      <c r="B33" s="10" t="s">
        <v>1312</v>
      </c>
      <c r="C33" s="13">
        <f>_xll.BDH("AMGN US Equity","CF_CASH_FOR_DIVESTITURES","FQ4 2018","FQ4 2018","Currency=USD","Period=FQ","BEST_FPERIOD_OVERRIDE=FQ","FILING_STATUS=MR","SCALING_FORMAT=MLN","Sort=A","Dates=H","DateFormat=P","Fill=—","Direction=H","UseDPDF=Y")</f>
        <v>0</v>
      </c>
      <c r="D33" s="13">
        <f>_xll.BDH("AMGN US Equity","CF_CASH_FOR_DIVESTITURES","FQ1 2019","FQ1 2019","Currency=USD","Period=FQ","BEST_FPERIOD_OVERRIDE=FQ","FILING_STATUS=MR","SCALING_FORMAT=MLN","Sort=A","Dates=H","DateFormat=P","Fill=—","Direction=H","UseDPDF=Y")</f>
        <v>0</v>
      </c>
      <c r="E33" s="13">
        <f>_xll.BDH("AMGN US Equity","CF_CASH_FOR_DIVESTITURES","FQ2 2019","FQ2 2019","Currency=USD","Period=FQ","BEST_FPERIOD_OVERRIDE=FQ","FILING_STATUS=MR","SCALING_FORMAT=MLN","Sort=A","Dates=H","DateFormat=P","Fill=—","Direction=H","UseDPDF=Y")</f>
        <v>0</v>
      </c>
      <c r="F33" s="13">
        <f>_xll.BDH("AMGN US Equity","CF_CASH_FOR_DIVESTITURES","FQ3 2019","FQ3 2019","Currency=USD","Period=FQ","BEST_FPERIOD_OVERRIDE=FQ","FILING_STATUS=MR","SCALING_FORMAT=MLN","Sort=A","Dates=H","DateFormat=P","Fill=—","Direction=H","UseDPDF=Y")</f>
        <v>0</v>
      </c>
      <c r="G33" s="13">
        <f>_xll.BDH("AMGN US Equity","CF_CASH_FOR_DIVESTITURES","FQ4 2019","FQ4 2019","Currency=USD","Period=FQ","BEST_FPERIOD_OVERRIDE=FQ","FILING_STATUS=MR","SCALING_FORMAT=MLN","Sort=A","Dates=H","DateFormat=P","Fill=—","Direction=H","UseDPDF=Y")</f>
        <v>0</v>
      </c>
      <c r="H33" s="13">
        <f>_xll.BDH("AMGN US Equity","CF_CASH_FOR_DIVESTITURES","FQ1 2020","FQ1 2020","Currency=USD","Period=FQ","BEST_FPERIOD_OVERRIDE=FQ","FILING_STATUS=MR","SCALING_FORMAT=MLN","Sort=A","Dates=H","DateFormat=P","Fill=—","Direction=H","UseDPDF=Y")</f>
        <v>0</v>
      </c>
      <c r="I33" s="13">
        <f>_xll.BDH("AMGN US Equity","CF_CASH_FOR_DIVESTITURES","FQ2 2020","FQ2 2020","Currency=USD","Period=FQ","BEST_FPERIOD_OVERRIDE=FQ","FILING_STATUS=MR","SCALING_FORMAT=MLN","Sort=A","Dates=H","DateFormat=P","Fill=—","Direction=H","UseDPDF=Y")</f>
        <v>0</v>
      </c>
      <c r="J33" s="13">
        <f>_xll.BDH("AMGN US Equity","CF_CASH_FOR_DIVESTITURES","FQ3 2020","FQ3 2020","Currency=USD","Period=FQ","BEST_FPERIOD_OVERRIDE=FQ","FILING_STATUS=MR","SCALING_FORMAT=MLN","Sort=A","Dates=H","DateFormat=P","Fill=—","Direction=H","UseDPDF=Y")</f>
        <v>0</v>
      </c>
      <c r="K33" s="13">
        <f>_xll.BDH("AMGN US Equity","CF_CASH_FOR_DIVESTITURES","FQ4 2020","FQ4 2020","Currency=USD","Period=FQ","BEST_FPERIOD_OVERRIDE=FQ","FILING_STATUS=MR","SCALING_FORMAT=MLN","Sort=A","Dates=H","DateFormat=P","Fill=—","Direction=H","UseDPDF=Y")</f>
        <v>0</v>
      </c>
      <c r="L33" s="13">
        <f>_xll.BDH("AMGN US Equity","CF_CASH_FOR_DIVESTITURES","FQ1 2021","FQ1 2021","Currency=USD","Period=FQ","BEST_FPERIOD_OVERRIDE=FQ","FILING_STATUS=MR","SCALING_FORMAT=MLN","Sort=A","Dates=H","DateFormat=P","Fill=—","Direction=H","UseDPDF=Y")</f>
        <v>0</v>
      </c>
      <c r="M33" s="13">
        <f>_xll.BDH("AMGN US Equity","CF_CASH_FOR_DIVESTITURES","FQ2 2021","FQ2 2021","Currency=USD","Period=FQ","BEST_FPERIOD_OVERRIDE=FQ","FILING_STATUS=MR","SCALING_FORMAT=MLN","Sort=A","Dates=H","DateFormat=P","Fill=—","Direction=H","UseDPDF=Y")</f>
        <v>0</v>
      </c>
      <c r="N33" s="13">
        <f>_xll.BDH("AMGN US Equity","CF_CASH_FOR_DIVESTITURES","FQ3 2021","FQ3 2021","Currency=USD","Period=FQ","BEST_FPERIOD_OVERRIDE=FQ","FILING_STATUS=MR","SCALING_FORMAT=MLN","Sort=A","Dates=H","DateFormat=P","Fill=—","Direction=H","UseDPDF=Y")</f>
        <v>0</v>
      </c>
      <c r="O33" s="13">
        <f>_xll.BDH("AMGN US Equity","CF_CASH_FOR_DIVESTITURES","FQ4 2021","FQ4 2021","Currency=USD","Period=FQ","BEST_FPERIOD_OVERRIDE=FQ","FILING_STATUS=MR","SCALING_FORMAT=MLN","Sort=A","Dates=H","DateFormat=P","Fill=—","Direction=H","UseDPDF=Y")</f>
        <v>0</v>
      </c>
      <c r="P33" s="13">
        <f>_xll.BDH("AMGN US Equity","CF_CASH_FOR_DIVESTITURES","FQ1 2022","FQ1 2022","Currency=USD","Period=FQ","BEST_FPERIOD_OVERRIDE=FQ","FILING_STATUS=MR","SCALING_FORMAT=MLN","Sort=A","Dates=H","DateFormat=P","Fill=—","Direction=H","UseDPDF=Y")</f>
        <v>0</v>
      </c>
      <c r="Q33" s="13">
        <f>_xll.BDH("AMGN US Equity","CF_CASH_FOR_DIVESTITURES","FQ2 2022","FQ2 2022","Currency=USD","Period=FQ","BEST_FPERIOD_OVERRIDE=FQ","FILING_STATUS=MR","SCALING_FORMAT=MLN","Sort=A","Dates=H","DateFormat=P","Fill=—","Direction=H","UseDPDF=Y")</f>
        <v>0</v>
      </c>
      <c r="R33" s="13">
        <f>_xll.BDH("AMGN US Equity","CF_CASH_FOR_DIVESTITURES","FQ3 2022","FQ3 2022","Currency=USD","Period=FQ","BEST_FPERIOD_OVERRIDE=FQ","FILING_STATUS=MR","SCALING_FORMAT=MLN","Sort=A","Dates=H","DateFormat=P","Fill=—","Direction=H","UseDPDF=Y")</f>
        <v>0</v>
      </c>
      <c r="S33" s="13">
        <f>_xll.BDH("AMGN US Equity","CF_CASH_FOR_DIVESTITURES","FQ4 2022","FQ4 2022","Currency=USD","Period=FQ","BEST_FPERIOD_OVERRIDE=FQ","FILING_STATUS=MR","SCALING_FORMAT=MLN","Sort=A","Dates=H","DateFormat=P","Fill=—","Direction=H","UseDPDF=Y")</f>
        <v>130</v>
      </c>
      <c r="T33" s="13">
        <f>_xll.BDH("AMGN US Equity","CF_CASH_FOR_DIVESTITURES","FQ1 2023","FQ1 2023","Currency=USD","Period=FQ","BEST_FPERIOD_OVERRIDE=FQ","FILING_STATUS=MR","SCALING_FORMAT=MLN","Sort=A","Dates=H","DateFormat=P","Fill=—","Direction=H","UseDPDF=Y")</f>
        <v>0</v>
      </c>
      <c r="U33" s="13">
        <f>_xll.BDH("AMGN US Equity","CF_CASH_FOR_DIVESTITURES","FQ2 2023","FQ2 2023","Currency=USD","Period=FQ","BEST_FPERIOD_OVERRIDE=FQ","FILING_STATUS=MR","SCALING_FORMAT=MLN","Sort=A","Dates=H","DateFormat=P","Fill=—","Direction=H","UseDPDF=Y")</f>
        <v>0</v>
      </c>
      <c r="V33" s="13">
        <f>_xll.BDH("AMGN US Equity","CF_CASH_FOR_DIVESTITURES","FQ3 2023","FQ3 2023","Currency=USD","Period=FQ","BEST_FPERIOD_OVERRIDE=FQ","FILING_STATUS=MR","SCALING_FORMAT=MLN","Sort=A","Dates=H","DateFormat=P","Fill=—","Direction=H","UseDPDF=Y")</f>
        <v>0</v>
      </c>
      <c r="W33" s="13">
        <f>_xll.BDH("AMGN US Equity","CF_CASH_FOR_DIVESTITURES","FQ4 2023","FQ4 2023","Currency=USD","Period=FQ","BEST_FPERIOD_OVERRIDE=FQ","FILING_STATUS=MR","SCALING_FORMAT=MLN","Sort=A","Dates=H","DateFormat=P","Fill=—","Direction=H","UseDPDF=Y")</f>
        <v>225</v>
      </c>
      <c r="X33" s="13">
        <f>_xll.BDH("AMGN US Equity","CF_CASH_FOR_DIVESTITURES","FQ1 2024","FQ1 2024","Currency=USD","Period=FQ","BEST_FPERIOD_OVERRIDE=FQ","FILING_STATUS=MR","SCALING_FORMAT=MLN","Sort=A","Dates=H","DateFormat=P","Fill=—","Direction=H","UseDPDF=Y")</f>
        <v>0</v>
      </c>
      <c r="Y33" s="13">
        <f>_xll.BDH("AMGN US Equity","CF_CASH_FOR_DIVESTITURES","FQ2 2024","FQ2 2024","Currency=USD","Period=FQ","BEST_FPERIOD_OVERRIDE=FQ","FILING_STATUS=MR","SCALING_FORMAT=MLN","Sort=A","Dates=H","DateFormat=P","Fill=—","Direction=H","UseDPDF=Y")</f>
        <v>0</v>
      </c>
      <c r="Z33" s="13">
        <f>_xll.BDH("AMGN US Equity","CF_CASH_FOR_DIVESTITURES","FQ3 2024","FQ3 2024","Currency=USD","Period=FQ","BEST_FPERIOD_OVERRIDE=FQ","FILING_STATUS=MR","SCALING_FORMAT=MLN","Sort=A","Dates=H","DateFormat=P","Fill=—","Direction=H","UseDPDF=Y")</f>
        <v>0</v>
      </c>
      <c r="AA33" s="13">
        <f>_xll.BDH("AMGN US Equity","CF_CASH_FOR_DIVESTITURES","FQ4 2024","FQ4 2024","Currency=USD","Period=FQ","BEST_FPERIOD_OVERRIDE=FQ","FILING_STATUS=MR","SCALING_FORMAT=MLN","Sort=A","Dates=H","DateFormat=P","Fill=—","Direction=H","UseDPDF=Y")</f>
        <v>0</v>
      </c>
    </row>
    <row r="34" spans="1:27" x14ac:dyDescent="0.25">
      <c r="A34" s="10" t="s">
        <v>1313</v>
      </c>
      <c r="B34" s="10" t="s">
        <v>1314</v>
      </c>
      <c r="C34" s="13">
        <f>_xll.BDH("AMGN US Equity","CF_CASH_FOR_ACQUIS_SUBSIDIARIES","FQ4 2018","FQ4 2018","Currency=USD","Period=FQ","BEST_FPERIOD_OVERRIDE=FQ","FILING_STATUS=MR","SCALING_FORMAT=MLN","Sort=A","Dates=H","DateFormat=P","Fill=—","Direction=H","UseDPDF=Y")</f>
        <v>-2</v>
      </c>
      <c r="D34" s="13">
        <f>_xll.BDH("AMGN US Equity","CF_CASH_FOR_ACQUIS_SUBSIDIARIES","FQ1 2019","FQ1 2019","Currency=USD","Period=FQ","BEST_FPERIOD_OVERRIDE=FQ","FILING_STATUS=MR","SCALING_FORMAT=MLN","Sort=A","Dates=H","DateFormat=P","Fill=—","Direction=H","UseDPDF=Y")</f>
        <v>0</v>
      </c>
      <c r="E34" s="13">
        <f>_xll.BDH("AMGN US Equity","CF_CASH_FOR_ACQUIS_SUBSIDIARIES","FQ2 2019","FQ2 2019","Currency=USD","Period=FQ","BEST_FPERIOD_OVERRIDE=FQ","FILING_STATUS=MR","SCALING_FORMAT=MLN","Sort=A","Dates=H","DateFormat=P","Fill=—","Direction=H","UseDPDF=Y")</f>
        <v>0</v>
      </c>
      <c r="F34" s="13">
        <f>_xll.BDH("AMGN US Equity","CF_CASH_FOR_ACQUIS_SUBSIDIARIES","FQ3 2019","FQ3 2019","Currency=USD","Period=FQ","BEST_FPERIOD_OVERRIDE=FQ","FILING_STATUS=MR","SCALING_FORMAT=MLN","Sort=A","Dates=H","DateFormat=P","Fill=—","Direction=H","UseDPDF=Y")</f>
        <v>0</v>
      </c>
      <c r="G34" s="13">
        <f>_xll.BDH("AMGN US Equity","CF_CASH_FOR_ACQUIS_SUBSIDIARIES","FQ4 2019","FQ4 2019","Currency=USD","Period=FQ","BEST_FPERIOD_OVERRIDE=FQ","FILING_STATUS=MR","SCALING_FORMAT=MLN","Sort=A","Dates=H","DateFormat=P","Fill=—","Direction=H","UseDPDF=Y")</f>
        <v>-13440</v>
      </c>
      <c r="H34" s="13">
        <f>_xll.BDH("AMGN US Equity","CF_CASH_FOR_ACQUIS_SUBSIDIARIES","FQ1 2020","FQ1 2020","Currency=USD","Period=FQ","BEST_FPERIOD_OVERRIDE=FQ","FILING_STATUS=MR","SCALING_FORMAT=MLN","Sort=A","Dates=H","DateFormat=P","Fill=—","Direction=H","UseDPDF=Y")</f>
        <v>0</v>
      </c>
      <c r="I34" s="13">
        <f>_xll.BDH("AMGN US Equity","CF_CASH_FOR_ACQUIS_SUBSIDIARIES","FQ2 2020","FQ2 2020","Currency=USD","Period=FQ","BEST_FPERIOD_OVERRIDE=FQ","FILING_STATUS=MR","SCALING_FORMAT=MLN","Sort=A","Dates=H","DateFormat=P","Fill=—","Direction=H","UseDPDF=Y")</f>
        <v>0</v>
      </c>
      <c r="J34" s="13">
        <f>_xll.BDH("AMGN US Equity","CF_CASH_FOR_ACQUIS_SUBSIDIARIES","FQ3 2020","FQ3 2020","Currency=USD","Period=FQ","BEST_FPERIOD_OVERRIDE=FQ","FILING_STATUS=MR","SCALING_FORMAT=MLN","Sort=A","Dates=H","DateFormat=P","Fill=—","Direction=H","UseDPDF=Y")</f>
        <v>0</v>
      </c>
      <c r="K34" s="13">
        <f>_xll.BDH("AMGN US Equity","CF_CASH_FOR_ACQUIS_SUBSIDIARIES","FQ4 2020","FQ4 2020","Currency=USD","Period=FQ","BEST_FPERIOD_OVERRIDE=FQ","FILING_STATUS=MR","SCALING_FORMAT=MLN","Sort=A","Dates=H","DateFormat=P","Fill=—","Direction=H","UseDPDF=Y")</f>
        <v>0</v>
      </c>
      <c r="L34" s="13">
        <f>_xll.BDH("AMGN US Equity","CF_CASH_FOR_ACQUIS_SUBSIDIARIES","FQ1 2021","FQ1 2021","Currency=USD","Period=FQ","BEST_FPERIOD_OVERRIDE=FQ","FILING_STATUS=MR","SCALING_FORMAT=MLN","Sort=A","Dates=H","DateFormat=P","Fill=—","Direction=H","UseDPDF=Y")</f>
        <v>0</v>
      </c>
      <c r="M34" s="13">
        <f>_xll.BDH("AMGN US Equity","CF_CASH_FOR_ACQUIS_SUBSIDIARIES","FQ2 2021","FQ2 2021","Currency=USD","Period=FQ","BEST_FPERIOD_OVERRIDE=FQ","FILING_STATUS=MR","SCALING_FORMAT=MLN","Sort=A","Dates=H","DateFormat=P","Fill=—","Direction=H","UseDPDF=Y")</f>
        <v>-1626</v>
      </c>
      <c r="N34" s="13">
        <f>_xll.BDH("AMGN US Equity","CF_CASH_FOR_ACQUIS_SUBSIDIARIES","FQ3 2021","FQ3 2021","Currency=USD","Period=FQ","BEST_FPERIOD_OVERRIDE=FQ","FILING_STATUS=MR","SCALING_FORMAT=MLN","Sort=A","Dates=H","DateFormat=P","Fill=—","Direction=H","UseDPDF=Y")</f>
        <v>-13</v>
      </c>
      <c r="O34" s="13">
        <f>_xll.BDH("AMGN US Equity","CF_CASH_FOR_ACQUIS_SUBSIDIARIES","FQ4 2021","FQ4 2021","Currency=USD","Period=FQ","BEST_FPERIOD_OVERRIDE=FQ","FILING_STATUS=MR","SCALING_FORMAT=MLN","Sort=A","Dates=H","DateFormat=P","Fill=—","Direction=H","UseDPDF=Y")</f>
        <v>-890</v>
      </c>
      <c r="P34" s="13">
        <f>_xll.BDH("AMGN US Equity","CF_CASH_FOR_ACQUIS_SUBSIDIARIES","FQ1 2022","FQ1 2022","Currency=USD","Period=FQ","BEST_FPERIOD_OVERRIDE=FQ","FILING_STATUS=MR","SCALING_FORMAT=MLN","Sort=A","Dates=H","DateFormat=P","Fill=—","Direction=H","UseDPDF=Y")</f>
        <v>0</v>
      </c>
      <c r="Q34" s="13">
        <f>_xll.BDH("AMGN US Equity","CF_CASH_FOR_ACQUIS_SUBSIDIARIES","FQ2 2022","FQ2 2022","Currency=USD","Period=FQ","BEST_FPERIOD_OVERRIDE=FQ","FILING_STATUS=MR","SCALING_FORMAT=MLN","Sort=A","Dates=H","DateFormat=P","Fill=—","Direction=H","UseDPDF=Y")</f>
        <v>0</v>
      </c>
      <c r="R34" s="13">
        <f>_xll.BDH("AMGN US Equity","CF_CASH_FOR_ACQUIS_SUBSIDIARIES","FQ3 2022","FQ3 2022","Currency=USD","Period=FQ","BEST_FPERIOD_OVERRIDE=FQ","FILING_STATUS=MR","SCALING_FORMAT=MLN","Sort=A","Dates=H","DateFormat=P","Fill=—","Direction=H","UseDPDF=Y")</f>
        <v>0</v>
      </c>
      <c r="S34" s="13">
        <f>_xll.BDH("AMGN US Equity","CF_CASH_FOR_ACQUIS_SUBSIDIARIES","FQ4 2022","FQ4 2022","Currency=USD","Period=FQ","BEST_FPERIOD_OVERRIDE=FQ","FILING_STATUS=MR","SCALING_FORMAT=MLN","Sort=A","Dates=H","DateFormat=P","Fill=—","Direction=H","UseDPDF=Y")</f>
        <v>-3839</v>
      </c>
      <c r="T34" s="13">
        <f>_xll.BDH("AMGN US Equity","CF_CASH_FOR_ACQUIS_SUBSIDIARIES","FQ1 2023","FQ1 2023","Currency=USD","Period=FQ","BEST_FPERIOD_OVERRIDE=FQ","FILING_STATUS=MR","SCALING_FORMAT=MLN","Sort=A","Dates=H","DateFormat=P","Fill=—","Direction=H","UseDPDF=Y")</f>
        <v>0</v>
      </c>
      <c r="U34" s="13">
        <f>_xll.BDH("AMGN US Equity","CF_CASH_FOR_ACQUIS_SUBSIDIARIES","FQ2 2023","FQ2 2023","Currency=USD","Period=FQ","BEST_FPERIOD_OVERRIDE=FQ","FILING_STATUS=MR","SCALING_FORMAT=MLN","Sort=A","Dates=H","DateFormat=P","Fill=—","Direction=H","UseDPDF=Y")</f>
        <v>0</v>
      </c>
      <c r="V34" s="13">
        <f>_xll.BDH("AMGN US Equity","CF_CASH_FOR_ACQUIS_SUBSIDIARIES","FQ3 2023","FQ3 2023","Currency=USD","Period=FQ","BEST_FPERIOD_OVERRIDE=FQ","FILING_STATUS=MR","SCALING_FORMAT=MLN","Sort=A","Dates=H","DateFormat=P","Fill=—","Direction=H","UseDPDF=Y")</f>
        <v>0</v>
      </c>
      <c r="W34" s="13">
        <f>_xll.BDH("AMGN US Equity","CF_CASH_FOR_ACQUIS_SUBSIDIARIES","FQ4 2023","FQ4 2023","Currency=USD","Period=FQ","BEST_FPERIOD_OVERRIDE=FQ","FILING_STATUS=MR","SCALING_FORMAT=MLN","Sort=A","Dates=H","DateFormat=P","Fill=—","Direction=H","UseDPDF=Y")</f>
        <v>-26989</v>
      </c>
      <c r="X34" s="13">
        <f>_xll.BDH("AMGN US Equity","CF_CASH_FOR_ACQUIS_SUBSIDIARIES","FQ1 2024","FQ1 2024","Currency=USD","Period=FQ","BEST_FPERIOD_OVERRIDE=FQ","FILING_STATUS=MR","SCALING_FORMAT=MLN","Sort=A","Dates=H","DateFormat=P","Fill=—","Direction=H","UseDPDF=Y")</f>
        <v>0</v>
      </c>
      <c r="Y34" s="13">
        <f>_xll.BDH("AMGN US Equity","CF_CASH_FOR_ACQUIS_SUBSIDIARIES","FQ2 2024","FQ2 2024","Currency=USD","Period=FQ","BEST_FPERIOD_OVERRIDE=FQ","FILING_STATUS=MR","SCALING_FORMAT=MLN","Sort=A","Dates=H","DateFormat=P","Fill=—","Direction=H","UseDPDF=Y")</f>
        <v>0</v>
      </c>
      <c r="Z34" s="13">
        <f>_xll.BDH("AMGN US Equity","CF_CASH_FOR_ACQUIS_SUBSIDIARIES","FQ3 2024","FQ3 2024","Currency=USD","Period=FQ","BEST_FPERIOD_OVERRIDE=FQ","FILING_STATUS=MR","SCALING_FORMAT=MLN","Sort=A","Dates=H","DateFormat=P","Fill=—","Direction=H","UseDPDF=Y")</f>
        <v>0</v>
      </c>
      <c r="AA34" s="13">
        <f>_xll.BDH("AMGN US Equity","CF_CASH_FOR_ACQUIS_SUBSIDIARIES","FQ4 2024","FQ4 2024","Currency=USD","Period=FQ","BEST_FPERIOD_OVERRIDE=FQ","FILING_STATUS=MR","SCALING_FORMAT=MLN","Sort=A","Dates=H","DateFormat=P","Fill=—","Direction=H","UseDPDF=Y")</f>
        <v>0</v>
      </c>
    </row>
    <row r="35" spans="1:27" x14ac:dyDescent="0.25">
      <c r="A35" s="10" t="s">
        <v>1315</v>
      </c>
      <c r="B35" s="10" t="s">
        <v>1316</v>
      </c>
      <c r="C35" s="13">
        <f>_xll.BDH("AMGN US Equity","CF_CASH_FOR_JOINT_VENTURES_ASSOC","FQ4 2018","FQ4 2018","Currency=USD","Period=FQ","BEST_FPERIOD_OVERRIDE=FQ","FILING_STATUS=MR","SCALING_FORMAT=MLN","Sort=A","Dates=H","DateFormat=P","Fill=—","Direction=H","UseDPDF=Y")</f>
        <v>0</v>
      </c>
      <c r="D35" s="13">
        <f>_xll.BDH("AMGN US Equity","CF_CASH_FOR_JOINT_VENTURES_ASSOC","FQ1 2019","FQ1 2019","Currency=USD","Period=FQ","BEST_FPERIOD_OVERRIDE=FQ","FILING_STATUS=MR","SCALING_FORMAT=MLN","Sort=A","Dates=H","DateFormat=P","Fill=—","Direction=H","UseDPDF=Y")</f>
        <v>0</v>
      </c>
      <c r="E35" s="13">
        <f>_xll.BDH("AMGN US Equity","CF_CASH_FOR_JOINT_VENTURES_ASSOC","FQ2 2019","FQ2 2019","Currency=USD","Period=FQ","BEST_FPERIOD_OVERRIDE=FQ","FILING_STATUS=MR","SCALING_FORMAT=MLN","Sort=A","Dates=H","DateFormat=P","Fill=—","Direction=H","UseDPDF=Y")</f>
        <v>0</v>
      </c>
      <c r="F35" s="13">
        <f>_xll.BDH("AMGN US Equity","CF_CASH_FOR_JOINT_VENTURES_ASSOC","FQ3 2019","FQ3 2019","Currency=USD","Period=FQ","BEST_FPERIOD_OVERRIDE=FQ","FILING_STATUS=MR","SCALING_FORMAT=MLN","Sort=A","Dates=H","DateFormat=P","Fill=—","Direction=H","UseDPDF=Y")</f>
        <v>0</v>
      </c>
      <c r="G35" s="13">
        <f>_xll.BDH("AMGN US Equity","CF_CASH_FOR_JOINT_VENTURES_ASSOC","FQ4 2019","FQ4 2019","Currency=USD","Period=FQ","BEST_FPERIOD_OVERRIDE=FQ","FILING_STATUS=MR","SCALING_FORMAT=MLN","Sort=A","Dates=H","DateFormat=P","Fill=—","Direction=H","UseDPDF=Y")</f>
        <v>0</v>
      </c>
      <c r="H35" s="13">
        <f>_xll.BDH("AMGN US Equity","CF_CASH_FOR_JOINT_VENTURES_ASSOC","FQ1 2020","FQ1 2020","Currency=USD","Period=FQ","BEST_FPERIOD_OVERRIDE=FQ","FILING_STATUS=MR","SCALING_FORMAT=MLN","Sort=A","Dates=H","DateFormat=P","Fill=—","Direction=H","UseDPDF=Y")</f>
        <v>0</v>
      </c>
      <c r="I35" s="13">
        <f>_xll.BDH("AMGN US Equity","CF_CASH_FOR_JOINT_VENTURES_ASSOC","FQ2 2020","FQ2 2020","Currency=USD","Period=FQ","BEST_FPERIOD_OVERRIDE=FQ","FILING_STATUS=MR","SCALING_FORMAT=MLN","Sort=A","Dates=H","DateFormat=P","Fill=—","Direction=H","UseDPDF=Y")</f>
        <v>0</v>
      </c>
      <c r="J35" s="13">
        <f>_xll.BDH("AMGN US Equity","CF_CASH_FOR_JOINT_VENTURES_ASSOC","FQ3 2020","FQ3 2020","Currency=USD","Period=FQ","BEST_FPERIOD_OVERRIDE=FQ","FILING_STATUS=MR","SCALING_FORMAT=MLN","Sort=A","Dates=H","DateFormat=P","Fill=—","Direction=H","UseDPDF=Y")</f>
        <v>0</v>
      </c>
      <c r="K35" s="13">
        <f>_xll.BDH("AMGN US Equity","CF_CASH_FOR_JOINT_VENTURES_ASSOC","FQ4 2020","FQ4 2020","Currency=USD","Period=FQ","BEST_FPERIOD_OVERRIDE=FQ","FILING_STATUS=MR","SCALING_FORMAT=MLN","Sort=A","Dates=H","DateFormat=P","Fill=—","Direction=H","UseDPDF=Y")</f>
        <v>0</v>
      </c>
      <c r="L35" s="13">
        <f>_xll.BDH("AMGN US Equity","CF_CASH_FOR_JOINT_VENTURES_ASSOC","FQ1 2021","FQ1 2021","Currency=USD","Period=FQ","BEST_FPERIOD_OVERRIDE=FQ","FILING_STATUS=MR","SCALING_FORMAT=MLN","Sort=A","Dates=H","DateFormat=P","Fill=—","Direction=H","UseDPDF=Y")</f>
        <v>0</v>
      </c>
      <c r="M35" s="13">
        <f>_xll.BDH("AMGN US Equity","CF_CASH_FOR_JOINT_VENTURES_ASSOC","FQ2 2021","FQ2 2021","Currency=USD","Period=FQ","BEST_FPERIOD_OVERRIDE=FQ","FILING_STATUS=MR","SCALING_FORMAT=MLN","Sort=A","Dates=H","DateFormat=P","Fill=—","Direction=H","UseDPDF=Y")</f>
        <v>0</v>
      </c>
      <c r="N35" s="13">
        <f>_xll.BDH("AMGN US Equity","CF_CASH_FOR_JOINT_VENTURES_ASSOC","FQ3 2021","FQ3 2021","Currency=USD","Period=FQ","BEST_FPERIOD_OVERRIDE=FQ","FILING_STATUS=MR","SCALING_FORMAT=MLN","Sort=A","Dates=H","DateFormat=P","Fill=—","Direction=H","UseDPDF=Y")</f>
        <v>0</v>
      </c>
      <c r="O35" s="13">
        <f>_xll.BDH("AMGN US Equity","CF_CASH_FOR_JOINT_VENTURES_ASSOC","FQ4 2021","FQ4 2021","Currency=USD","Period=FQ","BEST_FPERIOD_OVERRIDE=FQ","FILING_STATUS=MR","SCALING_FORMAT=MLN","Sort=A","Dates=H","DateFormat=P","Fill=—","Direction=H","UseDPDF=Y")</f>
        <v>0</v>
      </c>
      <c r="P35" s="13">
        <f>_xll.BDH("AMGN US Equity","CF_CASH_FOR_JOINT_VENTURES_ASSOC","FQ1 2022","FQ1 2022","Currency=USD","Period=FQ","BEST_FPERIOD_OVERRIDE=FQ","FILING_STATUS=MR","SCALING_FORMAT=MLN","Sort=A","Dates=H","DateFormat=P","Fill=—","Direction=H","UseDPDF=Y")</f>
        <v>0</v>
      </c>
      <c r="Q35" s="13">
        <f>_xll.BDH("AMGN US Equity","CF_CASH_FOR_JOINT_VENTURES_ASSOC","FQ2 2022","FQ2 2022","Currency=USD","Period=FQ","BEST_FPERIOD_OVERRIDE=FQ","FILING_STATUS=MR","SCALING_FORMAT=MLN","Sort=A","Dates=H","DateFormat=P","Fill=—","Direction=H","UseDPDF=Y")</f>
        <v>0</v>
      </c>
      <c r="R35" s="13">
        <f>_xll.BDH("AMGN US Equity","CF_CASH_FOR_JOINT_VENTURES_ASSOC","FQ3 2022","FQ3 2022","Currency=USD","Period=FQ","BEST_FPERIOD_OVERRIDE=FQ","FILING_STATUS=MR","SCALING_FORMAT=MLN","Sort=A","Dates=H","DateFormat=P","Fill=—","Direction=H","UseDPDF=Y")</f>
        <v>0</v>
      </c>
      <c r="S35" s="13">
        <f>_xll.BDH("AMGN US Equity","CF_CASH_FOR_JOINT_VENTURES_ASSOC","FQ4 2022","FQ4 2022","Currency=USD","Period=FQ","BEST_FPERIOD_OVERRIDE=FQ","FILING_STATUS=MR","SCALING_FORMAT=MLN","Sort=A","Dates=H","DateFormat=P","Fill=—","Direction=H","UseDPDF=Y")</f>
        <v>0</v>
      </c>
      <c r="T35" s="13">
        <f>_xll.BDH("AMGN US Equity","CF_CASH_FOR_JOINT_VENTURES_ASSOC","FQ1 2023","FQ1 2023","Currency=USD","Period=FQ","BEST_FPERIOD_OVERRIDE=FQ","FILING_STATUS=MR","SCALING_FORMAT=MLN","Sort=A","Dates=H","DateFormat=P","Fill=—","Direction=H","UseDPDF=Y")</f>
        <v>0</v>
      </c>
      <c r="U35" s="13">
        <f>_xll.BDH("AMGN US Equity","CF_CASH_FOR_JOINT_VENTURES_ASSOC","FQ2 2023","FQ2 2023","Currency=USD","Period=FQ","BEST_FPERIOD_OVERRIDE=FQ","FILING_STATUS=MR","SCALING_FORMAT=MLN","Sort=A","Dates=H","DateFormat=P","Fill=—","Direction=H","UseDPDF=Y")</f>
        <v>0</v>
      </c>
      <c r="V35" s="13">
        <f>_xll.BDH("AMGN US Equity","CF_CASH_FOR_JOINT_VENTURES_ASSOC","FQ3 2023","FQ3 2023","Currency=USD","Period=FQ","BEST_FPERIOD_OVERRIDE=FQ","FILING_STATUS=MR","SCALING_FORMAT=MLN","Sort=A","Dates=H","DateFormat=P","Fill=—","Direction=H","UseDPDF=Y")</f>
        <v>0</v>
      </c>
      <c r="W35" s="13">
        <f>_xll.BDH("AMGN US Equity","CF_CASH_FOR_JOINT_VENTURES_ASSOC","FQ4 2023","FQ4 2023","Currency=USD","Period=FQ","BEST_FPERIOD_OVERRIDE=FQ","FILING_STATUS=MR","SCALING_FORMAT=MLN","Sort=A","Dates=H","DateFormat=P","Fill=—","Direction=H","UseDPDF=Y")</f>
        <v>0</v>
      </c>
      <c r="X35" s="13">
        <f>_xll.BDH("AMGN US Equity","CF_CASH_FOR_JOINT_VENTURES_ASSOC","FQ1 2024","FQ1 2024","Currency=USD","Period=FQ","BEST_FPERIOD_OVERRIDE=FQ","FILING_STATUS=MR","SCALING_FORMAT=MLN","Sort=A","Dates=H","DateFormat=P","Fill=—","Direction=H","UseDPDF=Y")</f>
        <v>0</v>
      </c>
      <c r="Y35" s="13">
        <f>_xll.BDH("AMGN US Equity","CF_CASH_FOR_JOINT_VENTURES_ASSOC","FQ2 2024","FQ2 2024","Currency=USD","Period=FQ","BEST_FPERIOD_OVERRIDE=FQ","FILING_STATUS=MR","SCALING_FORMAT=MLN","Sort=A","Dates=H","DateFormat=P","Fill=—","Direction=H","UseDPDF=Y")</f>
        <v>0</v>
      </c>
      <c r="Z35" s="13">
        <f>_xll.BDH("AMGN US Equity","CF_CASH_FOR_JOINT_VENTURES_ASSOC","FQ3 2024","FQ3 2024","Currency=USD","Period=FQ","BEST_FPERIOD_OVERRIDE=FQ","FILING_STATUS=MR","SCALING_FORMAT=MLN","Sort=A","Dates=H","DateFormat=P","Fill=—","Direction=H","UseDPDF=Y")</f>
        <v>0</v>
      </c>
      <c r="AA35" s="13">
        <f>_xll.BDH("AMGN US Equity","CF_CASH_FOR_JOINT_VENTURES_ASSOC","FQ4 2024","FQ4 2024","Currency=USD","Period=FQ","BEST_FPERIOD_OVERRIDE=FQ","FILING_STATUS=MR","SCALING_FORMAT=MLN","Sort=A","Dates=H","DateFormat=P","Fill=—","Direction=H","UseDPDF=Y")</f>
        <v>0</v>
      </c>
    </row>
    <row r="36" spans="1:27" x14ac:dyDescent="0.25">
      <c r="A36" s="10" t="s">
        <v>1317</v>
      </c>
      <c r="B36" s="10" t="s">
        <v>1318</v>
      </c>
      <c r="C36" s="13">
        <f>_xll.BDH("AMGN US Equity","OTHER_INVESTING_ACT_DETAILED","FQ4 2018","FQ4 2018","Currency=USD","Period=FQ","BEST_FPERIOD_OVERRIDE=FQ","FILING_STATUS=MR","SCALING_FORMAT=MLN","Sort=A","Dates=H","DateFormat=P","Fill=—","Direction=H","UseDPDF=Y")</f>
        <v>-4410</v>
      </c>
      <c r="D36" s="13">
        <f>_xll.BDH("AMGN US Equity","OTHER_INVESTING_ACT_DETAILED","FQ1 2019","FQ1 2019","Currency=USD","Period=FQ","BEST_FPERIOD_OVERRIDE=FQ","FILING_STATUS=MR","SCALING_FORMAT=MLN","Sort=A","Dates=H","DateFormat=P","Fill=—","Direction=H","UseDPDF=Y")</f>
        <v>3671</v>
      </c>
      <c r="E36" s="13">
        <f>_xll.BDH("AMGN US Equity","OTHER_INVESTING_ACT_DETAILED","FQ2 2019","FQ2 2019","Currency=USD","Period=FQ","BEST_FPERIOD_OVERRIDE=FQ","FILING_STATUS=MR","SCALING_FORMAT=MLN","Sort=A","Dates=H","DateFormat=P","Fill=—","Direction=H","UseDPDF=Y")</f>
        <v>2901</v>
      </c>
      <c r="F36" s="13">
        <f>_xll.BDH("AMGN US Equity","OTHER_INVESTING_ACT_DETAILED","FQ3 2019","FQ3 2019","Currency=USD","Period=FQ","BEST_FPERIOD_OVERRIDE=FQ","FILING_STATUS=MR","SCALING_FORMAT=MLN","Sort=A","Dates=H","DateFormat=P","Fill=—","Direction=H","UseDPDF=Y")</f>
        <v>5544</v>
      </c>
      <c r="G36" s="13">
        <f>_xll.BDH("AMGN US Equity","OTHER_INVESTING_ACT_DETAILED","FQ4 2019","FQ4 2019","Currency=USD","Period=FQ","BEST_FPERIOD_OVERRIDE=FQ","FILING_STATUS=MR","SCALING_FORMAT=MLN","Sort=A","Dates=H","DateFormat=P","Fill=—","Direction=H","UseDPDF=Y")</f>
        <v>7665</v>
      </c>
      <c r="H36" s="13">
        <f>_xll.BDH("AMGN US Equity","OTHER_INVESTING_ACT_DETAILED","FQ1 2020","FQ1 2020","Currency=USD","Period=FQ","BEST_FPERIOD_OVERRIDE=FQ","FILING_STATUS=MR","SCALING_FORMAT=MLN","Sort=A","Dates=H","DateFormat=P","Fill=—","Direction=H","UseDPDF=Y")</f>
        <v>-88</v>
      </c>
      <c r="I36" s="13">
        <f>_xll.BDH("AMGN US Equity","OTHER_INVESTING_ACT_DETAILED","FQ2 2020","FQ2 2020","Currency=USD","Period=FQ","BEST_FPERIOD_OVERRIDE=FQ","FILING_STATUS=MR","SCALING_FORMAT=MLN","Sort=A","Dates=H","DateFormat=P","Fill=—","Direction=H","UseDPDF=Y")</f>
        <v>647</v>
      </c>
      <c r="J36" s="13">
        <f>_xll.BDH("AMGN US Equity","OTHER_INVESTING_ACT_DETAILED","FQ3 2020","FQ3 2020","Currency=USD","Period=FQ","BEST_FPERIOD_OVERRIDE=FQ","FILING_STATUS=MR","SCALING_FORMAT=MLN","Sort=A","Dates=H","DateFormat=P","Fill=—","Direction=H","UseDPDF=Y")</f>
        <v>-987</v>
      </c>
      <c r="K36" s="13">
        <f>_xll.BDH("AMGN US Equity","OTHER_INVESTING_ACT_DETAILED","FQ4 2020","FQ4 2020","Currency=USD","Period=FQ","BEST_FPERIOD_OVERRIDE=FQ","FILING_STATUS=MR","SCALING_FORMAT=MLN","Sort=A","Dates=H","DateFormat=P","Fill=—","Direction=H","UseDPDF=Y")</f>
        <v>-1146</v>
      </c>
      <c r="L36" s="13">
        <f>_xll.BDH("AMGN US Equity","OTHER_INVESTING_ACT_DETAILED","FQ1 2021","FQ1 2021","Currency=USD","Period=FQ","BEST_FPERIOD_OVERRIDE=FQ","FILING_STATUS=MR","SCALING_FORMAT=MLN","Sort=A","Dates=H","DateFormat=P","Fill=—","Direction=H","UseDPDF=Y")</f>
        <v>-153</v>
      </c>
      <c r="M36" s="13">
        <f>_xll.BDH("AMGN US Equity","OTHER_INVESTING_ACT_DETAILED","FQ2 2021","FQ2 2021","Currency=USD","Period=FQ","BEST_FPERIOD_OVERRIDE=FQ","FILING_STATUS=MR","SCALING_FORMAT=MLN","Sort=A","Dates=H","DateFormat=P","Fill=—","Direction=H","UseDPDF=Y")</f>
        <v>3020</v>
      </c>
      <c r="N36" s="13">
        <f>_xll.BDH("AMGN US Equity","OTHER_INVESTING_ACT_DETAILED","FQ3 2021","FQ3 2021","Currency=USD","Period=FQ","BEST_FPERIOD_OVERRIDE=FQ","FILING_STATUS=MR","SCALING_FORMAT=MLN","Sort=A","Dates=H","DateFormat=P","Fill=—","Direction=H","UseDPDF=Y")</f>
        <v>328</v>
      </c>
      <c r="O36" s="13">
        <f>_xll.BDH("AMGN US Equity","OTHER_INVESTING_ACT_DETAILED","FQ4 2021","FQ4 2021","Currency=USD","Period=FQ","BEST_FPERIOD_OVERRIDE=FQ","FILING_STATUS=MR","SCALING_FORMAT=MLN","Sort=A","Dates=H","DateFormat=P","Fill=—","Direction=H","UseDPDF=Y")</f>
        <v>1104</v>
      </c>
      <c r="P36" s="13">
        <f>_xll.BDH("AMGN US Equity","OTHER_INVESTING_ACT_DETAILED","FQ1 2022","FQ1 2022","Currency=USD","Period=FQ","BEST_FPERIOD_OVERRIDE=FQ","FILING_STATUS=MR","SCALING_FORMAT=MLN","Sort=A","Dates=H","DateFormat=P","Fill=—","Direction=H","UseDPDF=Y")</f>
        <v>79</v>
      </c>
      <c r="Q36" s="13">
        <f>_xll.BDH("AMGN US Equity","OTHER_INVESTING_ACT_DETAILED","FQ2 2022","FQ2 2022","Currency=USD","Period=FQ","BEST_FPERIOD_OVERRIDE=FQ","FILING_STATUS=MR","SCALING_FORMAT=MLN","Sort=A","Dates=H","DateFormat=P","Fill=—","Direction=H","UseDPDF=Y")</f>
        <v>-1947</v>
      </c>
      <c r="R36" s="13">
        <f>_xll.BDH("AMGN US Equity","OTHER_INVESTING_ACT_DETAILED","FQ3 2022","FQ3 2022","Currency=USD","Period=FQ","BEST_FPERIOD_OVERRIDE=FQ","FILING_STATUS=MR","SCALING_FORMAT=MLN","Sort=A","Dates=H","DateFormat=P","Fill=—","Direction=H","UseDPDF=Y")</f>
        <v>-107</v>
      </c>
      <c r="S36" s="13">
        <f>_xll.BDH("AMGN US Equity","OTHER_INVESTING_ACT_DETAILED","FQ4 2022","FQ4 2022","Currency=USD","Period=FQ","BEST_FPERIOD_OVERRIDE=FQ","FILING_STATUS=MR","SCALING_FORMAT=MLN","Sort=A","Dates=H","DateFormat=P","Fill=—","Direction=H","UseDPDF=Y")</f>
        <v>594</v>
      </c>
      <c r="T36" s="13">
        <f>_xll.BDH("AMGN US Equity","OTHER_INVESTING_ACT_DETAILED","FQ1 2023","FQ1 2023","Currency=USD","Period=FQ","BEST_FPERIOD_OVERRIDE=FQ","FILING_STATUS=MR","SCALING_FORMAT=MLN","Sort=A","Dates=H","DateFormat=P","Fill=—","Direction=H","UseDPDF=Y")</f>
        <v>1702</v>
      </c>
      <c r="U36" s="13">
        <f>_xll.BDH("AMGN US Equity","OTHER_INVESTING_ACT_DETAILED","FQ2 2023","FQ2 2023","Currency=USD","Period=FQ","BEST_FPERIOD_OVERRIDE=FQ","FILING_STATUS=MR","SCALING_FORMAT=MLN","Sort=A","Dates=H","DateFormat=P","Fill=—","Direction=H","UseDPDF=Y")</f>
        <v>60</v>
      </c>
      <c r="V36" s="13">
        <f>_xll.BDH("AMGN US Equity","OTHER_INVESTING_ACT_DETAILED","FQ3 2023","FQ3 2023","Currency=USD","Period=FQ","BEST_FPERIOD_OVERRIDE=FQ","FILING_STATUS=MR","SCALING_FORMAT=MLN","Sort=A","Dates=H","DateFormat=P","Fill=—","Direction=H","UseDPDF=Y")</f>
        <v>-1139</v>
      </c>
      <c r="W36" s="13">
        <f>_xll.BDH("AMGN US Equity","OTHER_INVESTING_ACT_DETAILED","FQ4 2023","FQ4 2023","Currency=USD","Period=FQ","BEST_FPERIOD_OVERRIDE=FQ","FILING_STATUS=MR","SCALING_FORMAT=MLN","Sort=A","Dates=H","DateFormat=P","Fill=—","Direction=H","UseDPDF=Y")</f>
        <v>-624</v>
      </c>
      <c r="X36" s="13">
        <f>_xll.BDH("AMGN US Equity","OTHER_INVESTING_ACT_DETAILED","FQ1 2024","FQ1 2024","Currency=USD","Period=FQ","BEST_FPERIOD_OVERRIDE=FQ","FILING_STATUS=MR","SCALING_FORMAT=MLN","Sort=A","Dates=H","DateFormat=P","Fill=—","Direction=H","UseDPDF=Y")</f>
        <v>13</v>
      </c>
      <c r="Y36" s="13">
        <f>_xll.BDH("AMGN US Equity","OTHER_INVESTING_ACT_DETAILED","FQ2 2024","FQ2 2024","Currency=USD","Period=FQ","BEST_FPERIOD_OVERRIDE=FQ","FILING_STATUS=MR","SCALING_FORMAT=MLN","Sort=A","Dates=H","DateFormat=P","Fill=—","Direction=H","UseDPDF=Y")</f>
        <v>21</v>
      </c>
      <c r="Z36" s="13">
        <f>_xll.BDH("AMGN US Equity","OTHER_INVESTING_ACT_DETAILED","FQ3 2024","FQ3 2024","Currency=USD","Period=FQ","BEST_FPERIOD_OVERRIDE=FQ","FILING_STATUS=MR","SCALING_FORMAT=MLN","Sort=A","Dates=H","DateFormat=P","Fill=—","Direction=H","UseDPDF=Y")</f>
        <v>47</v>
      </c>
      <c r="AA36" s="13">
        <f>_xll.BDH("AMGN US Equity","OTHER_INVESTING_ACT_DETAILED","FQ4 2024","FQ4 2024","Currency=USD","Period=FQ","BEST_FPERIOD_OVERRIDE=FQ","FILING_STATUS=MR","SCALING_FORMAT=MLN","Sort=A","Dates=H","DateFormat=P","Fill=—","Direction=H","UseDPDF=Y")</f>
        <v>-31</v>
      </c>
    </row>
    <row r="37" spans="1:27" x14ac:dyDescent="0.25">
      <c r="A37" s="10" t="s">
        <v>1286</v>
      </c>
      <c r="B37" s="10" t="s">
        <v>1319</v>
      </c>
      <c r="C37" s="13">
        <f>_xll.BDH("AMGN US Equity","CF_NET_CASH_DISCONTINUED_OPS_INV","FQ4 2018","FQ4 2018","Currency=USD","Period=FQ","BEST_FPERIOD_OVERRIDE=FQ","FILING_STATUS=MR","SCALING_FORMAT=MLN","Sort=A","Dates=H","DateFormat=P","Fill=—","Direction=H","UseDPDF=Y")</f>
        <v>0</v>
      </c>
      <c r="D37" s="13">
        <f>_xll.BDH("AMGN US Equity","CF_NET_CASH_DISCONTINUED_OPS_INV","FQ1 2019","FQ1 2019","Currency=USD","Period=FQ","BEST_FPERIOD_OVERRIDE=FQ","FILING_STATUS=MR","SCALING_FORMAT=MLN","Sort=A","Dates=H","DateFormat=P","Fill=—","Direction=H","UseDPDF=Y")</f>
        <v>0</v>
      </c>
      <c r="E37" s="13">
        <f>_xll.BDH("AMGN US Equity","CF_NET_CASH_DISCONTINUED_OPS_INV","FQ2 2019","FQ2 2019","Currency=USD","Period=FQ","BEST_FPERIOD_OVERRIDE=FQ","FILING_STATUS=MR","SCALING_FORMAT=MLN","Sort=A","Dates=H","DateFormat=P","Fill=—","Direction=H","UseDPDF=Y")</f>
        <v>0</v>
      </c>
      <c r="F37" s="13">
        <f>_xll.BDH("AMGN US Equity","CF_NET_CASH_DISCONTINUED_OPS_INV","FQ3 2019","FQ3 2019","Currency=USD","Period=FQ","BEST_FPERIOD_OVERRIDE=FQ","FILING_STATUS=MR","SCALING_FORMAT=MLN","Sort=A","Dates=H","DateFormat=P","Fill=—","Direction=H","UseDPDF=Y")</f>
        <v>0</v>
      </c>
      <c r="G37" s="13">
        <f>_xll.BDH("AMGN US Equity","CF_NET_CASH_DISCONTINUED_OPS_INV","FQ4 2019","FQ4 2019","Currency=USD","Period=FQ","BEST_FPERIOD_OVERRIDE=FQ","FILING_STATUS=MR","SCALING_FORMAT=MLN","Sort=A","Dates=H","DateFormat=P","Fill=—","Direction=H","UseDPDF=Y")</f>
        <v>0</v>
      </c>
      <c r="H37" s="13">
        <f>_xll.BDH("AMGN US Equity","CF_NET_CASH_DISCONTINUED_OPS_INV","FQ1 2020","FQ1 2020","Currency=USD","Period=FQ","BEST_FPERIOD_OVERRIDE=FQ","FILING_STATUS=MR","SCALING_FORMAT=MLN","Sort=A","Dates=H","DateFormat=P","Fill=—","Direction=H","UseDPDF=Y")</f>
        <v>0</v>
      </c>
      <c r="I37" s="13">
        <f>_xll.BDH("AMGN US Equity","CF_NET_CASH_DISCONTINUED_OPS_INV","FQ2 2020","FQ2 2020","Currency=USD","Period=FQ","BEST_FPERIOD_OVERRIDE=FQ","FILING_STATUS=MR","SCALING_FORMAT=MLN","Sort=A","Dates=H","DateFormat=P","Fill=—","Direction=H","UseDPDF=Y")</f>
        <v>0</v>
      </c>
      <c r="J37" s="13">
        <f>_xll.BDH("AMGN US Equity","CF_NET_CASH_DISCONTINUED_OPS_INV","FQ3 2020","FQ3 2020","Currency=USD","Period=FQ","BEST_FPERIOD_OVERRIDE=FQ","FILING_STATUS=MR","SCALING_FORMAT=MLN","Sort=A","Dates=H","DateFormat=P","Fill=—","Direction=H","UseDPDF=Y")</f>
        <v>0</v>
      </c>
      <c r="K37" s="13">
        <f>_xll.BDH("AMGN US Equity","CF_NET_CASH_DISCONTINUED_OPS_INV","FQ4 2020","FQ4 2020","Currency=USD","Period=FQ","BEST_FPERIOD_OVERRIDE=FQ","FILING_STATUS=MR","SCALING_FORMAT=MLN","Sort=A","Dates=H","DateFormat=P","Fill=—","Direction=H","UseDPDF=Y")</f>
        <v>0</v>
      </c>
      <c r="L37" s="13">
        <f>_xll.BDH("AMGN US Equity","CF_NET_CASH_DISCONTINUED_OPS_INV","FQ1 2021","FQ1 2021","Currency=USD","Period=FQ","BEST_FPERIOD_OVERRIDE=FQ","FILING_STATUS=MR","SCALING_FORMAT=MLN","Sort=A","Dates=H","DateFormat=P","Fill=—","Direction=H","UseDPDF=Y")</f>
        <v>0</v>
      </c>
      <c r="M37" s="13">
        <f>_xll.BDH("AMGN US Equity","CF_NET_CASH_DISCONTINUED_OPS_INV","FQ2 2021","FQ2 2021","Currency=USD","Period=FQ","BEST_FPERIOD_OVERRIDE=FQ","FILING_STATUS=MR","SCALING_FORMAT=MLN","Sort=A","Dates=H","DateFormat=P","Fill=—","Direction=H","UseDPDF=Y")</f>
        <v>0</v>
      </c>
      <c r="N37" s="13">
        <f>_xll.BDH("AMGN US Equity","CF_NET_CASH_DISCONTINUED_OPS_INV","FQ3 2021","FQ3 2021","Currency=USD","Period=FQ","BEST_FPERIOD_OVERRIDE=FQ","FILING_STATUS=MR","SCALING_FORMAT=MLN","Sort=A","Dates=H","DateFormat=P","Fill=—","Direction=H","UseDPDF=Y")</f>
        <v>0</v>
      </c>
      <c r="O37" s="13">
        <f>_xll.BDH("AMGN US Equity","CF_NET_CASH_DISCONTINUED_OPS_INV","FQ4 2021","FQ4 2021","Currency=USD","Period=FQ","BEST_FPERIOD_OVERRIDE=FQ","FILING_STATUS=MR","SCALING_FORMAT=MLN","Sort=A","Dates=H","DateFormat=P","Fill=—","Direction=H","UseDPDF=Y")</f>
        <v>0</v>
      </c>
      <c r="P37" s="13">
        <f>_xll.BDH("AMGN US Equity","CF_NET_CASH_DISCONTINUED_OPS_INV","FQ1 2022","FQ1 2022","Currency=USD","Period=FQ","BEST_FPERIOD_OVERRIDE=FQ","FILING_STATUS=MR","SCALING_FORMAT=MLN","Sort=A","Dates=H","DateFormat=P","Fill=—","Direction=H","UseDPDF=Y")</f>
        <v>0</v>
      </c>
      <c r="Q37" s="13">
        <f>_xll.BDH("AMGN US Equity","CF_NET_CASH_DISCONTINUED_OPS_INV","FQ2 2022","FQ2 2022","Currency=USD","Period=FQ","BEST_FPERIOD_OVERRIDE=FQ","FILING_STATUS=MR","SCALING_FORMAT=MLN","Sort=A","Dates=H","DateFormat=P","Fill=—","Direction=H","UseDPDF=Y")</f>
        <v>0</v>
      </c>
      <c r="R37" s="13">
        <f>_xll.BDH("AMGN US Equity","CF_NET_CASH_DISCONTINUED_OPS_INV","FQ3 2022","FQ3 2022","Currency=USD","Period=FQ","BEST_FPERIOD_OVERRIDE=FQ","FILING_STATUS=MR","SCALING_FORMAT=MLN","Sort=A","Dates=H","DateFormat=P","Fill=—","Direction=H","UseDPDF=Y")</f>
        <v>0</v>
      </c>
      <c r="S37" s="13">
        <f>_xll.BDH("AMGN US Equity","CF_NET_CASH_DISCONTINUED_OPS_INV","FQ4 2022","FQ4 2022","Currency=USD","Period=FQ","BEST_FPERIOD_OVERRIDE=FQ","FILING_STATUS=MR","SCALING_FORMAT=MLN","Sort=A","Dates=H","DateFormat=P","Fill=—","Direction=H","UseDPDF=Y")</f>
        <v>0</v>
      </c>
      <c r="T37" s="13">
        <f>_xll.BDH("AMGN US Equity","CF_NET_CASH_DISCONTINUED_OPS_INV","FQ1 2023","FQ1 2023","Currency=USD","Period=FQ","BEST_FPERIOD_OVERRIDE=FQ","FILING_STATUS=MR","SCALING_FORMAT=MLN","Sort=A","Dates=H","DateFormat=P","Fill=—","Direction=H","UseDPDF=Y")</f>
        <v>0</v>
      </c>
      <c r="U37" s="13">
        <f>_xll.BDH("AMGN US Equity","CF_NET_CASH_DISCONTINUED_OPS_INV","FQ2 2023","FQ2 2023","Currency=USD","Period=FQ","BEST_FPERIOD_OVERRIDE=FQ","FILING_STATUS=MR","SCALING_FORMAT=MLN","Sort=A","Dates=H","DateFormat=P","Fill=—","Direction=H","UseDPDF=Y")</f>
        <v>0</v>
      </c>
      <c r="V37" s="13">
        <f>_xll.BDH("AMGN US Equity","CF_NET_CASH_DISCONTINUED_OPS_INV","FQ3 2023","FQ3 2023","Currency=USD","Period=FQ","BEST_FPERIOD_OVERRIDE=FQ","FILING_STATUS=MR","SCALING_FORMAT=MLN","Sort=A","Dates=H","DateFormat=P","Fill=—","Direction=H","UseDPDF=Y")</f>
        <v>0</v>
      </c>
      <c r="W37" s="13">
        <f>_xll.BDH("AMGN US Equity","CF_NET_CASH_DISCONTINUED_OPS_INV","FQ4 2023","FQ4 2023","Currency=USD","Period=FQ","BEST_FPERIOD_OVERRIDE=FQ","FILING_STATUS=MR","SCALING_FORMAT=MLN","Sort=A","Dates=H","DateFormat=P","Fill=—","Direction=H","UseDPDF=Y")</f>
        <v>0</v>
      </c>
      <c r="X37" s="13">
        <f>_xll.BDH("AMGN US Equity","CF_NET_CASH_DISCONTINUED_OPS_INV","FQ1 2024","FQ1 2024","Currency=USD","Period=FQ","BEST_FPERIOD_OVERRIDE=FQ","FILING_STATUS=MR","SCALING_FORMAT=MLN","Sort=A","Dates=H","DateFormat=P","Fill=—","Direction=H","UseDPDF=Y")</f>
        <v>0</v>
      </c>
      <c r="Y37" s="13">
        <f>_xll.BDH("AMGN US Equity","CF_NET_CASH_DISCONTINUED_OPS_INV","FQ2 2024","FQ2 2024","Currency=USD","Period=FQ","BEST_FPERIOD_OVERRIDE=FQ","FILING_STATUS=MR","SCALING_FORMAT=MLN","Sort=A","Dates=H","DateFormat=P","Fill=—","Direction=H","UseDPDF=Y")</f>
        <v>0</v>
      </c>
      <c r="Z37" s="13">
        <f>_xll.BDH("AMGN US Equity","CF_NET_CASH_DISCONTINUED_OPS_INV","FQ3 2024","FQ3 2024","Currency=USD","Period=FQ","BEST_FPERIOD_OVERRIDE=FQ","FILING_STATUS=MR","SCALING_FORMAT=MLN","Sort=A","Dates=H","DateFormat=P","Fill=—","Direction=H","UseDPDF=Y")</f>
        <v>0</v>
      </c>
      <c r="AA37" s="13">
        <f>_xll.BDH("AMGN US Equity","CF_NET_CASH_DISCONTINUED_OPS_INV","FQ4 2024","FQ4 2024","Currency=USD","Period=FQ","BEST_FPERIOD_OVERRIDE=FQ","FILING_STATUS=MR","SCALING_FORMAT=MLN","Sort=A","Dates=H","DateFormat=P","Fill=—","Direction=H","UseDPDF=Y")</f>
        <v>0</v>
      </c>
    </row>
    <row r="38" spans="1:27" x14ac:dyDescent="0.25">
      <c r="A38" s="6" t="s">
        <v>1288</v>
      </c>
      <c r="B38" s="6" t="s">
        <v>126</v>
      </c>
      <c r="C38" s="19">
        <f>_xll.BDH("AMGN US Equity","CF_CASH_FROM_INV_ACT","FQ4 2018","FQ4 2018","Currency=USD","Period=FQ","BEST_FPERIOD_OVERRIDE=FQ","FILING_STATUS=MR","SCALING_FORMAT=MLN","Sort=A","Dates=H","DateFormat=P","Fill=—","Direction=H","UseDPDF=Y")</f>
        <v>-4637</v>
      </c>
      <c r="D38" s="19">
        <f>_xll.BDH("AMGN US Equity","CF_CASH_FROM_INV_ACT","FQ1 2019","FQ1 2019","Currency=USD","Period=FQ","BEST_FPERIOD_OVERRIDE=FQ","FILING_STATUS=MR","SCALING_FORMAT=MLN","Sort=A","Dates=H","DateFormat=P","Fill=—","Direction=H","UseDPDF=Y")</f>
        <v>3555</v>
      </c>
      <c r="E38" s="19">
        <f>_xll.BDH("AMGN US Equity","CF_CASH_FROM_INV_ACT","FQ2 2019","FQ2 2019","Currency=USD","Period=FQ","BEST_FPERIOD_OVERRIDE=FQ","FILING_STATUS=MR","SCALING_FORMAT=MLN","Sort=A","Dates=H","DateFormat=P","Fill=—","Direction=H","UseDPDF=Y")</f>
        <v>2745</v>
      </c>
      <c r="F38" s="19">
        <f>_xll.BDH("AMGN US Equity","CF_CASH_FROM_INV_ACT","FQ3 2019","FQ3 2019","Currency=USD","Period=FQ","BEST_FPERIOD_OVERRIDE=FQ","FILING_STATUS=MR","SCALING_FORMAT=MLN","Sort=A","Dates=H","DateFormat=P","Fill=—","Direction=H","UseDPDF=Y")</f>
        <v>5372</v>
      </c>
      <c r="G38" s="19">
        <f>_xll.BDH("AMGN US Equity","CF_CASH_FROM_INV_ACT","FQ4 2019","FQ4 2019","Currency=USD","Period=FQ","BEST_FPERIOD_OVERRIDE=FQ","FILING_STATUS=MR","SCALING_FORMAT=MLN","Sort=A","Dates=H","DateFormat=P","Fill=—","Direction=H","UseDPDF=Y")</f>
        <v>-5963</v>
      </c>
      <c r="H38" s="19">
        <f>_xll.BDH("AMGN US Equity","CF_CASH_FROM_INV_ACT","FQ1 2020","FQ1 2020","Currency=USD","Period=FQ","BEST_FPERIOD_OVERRIDE=FQ","FILING_STATUS=MR","SCALING_FORMAT=MLN","Sort=A","Dates=H","DateFormat=P","Fill=—","Direction=H","UseDPDF=Y")</f>
        <v>-230</v>
      </c>
      <c r="I38" s="19">
        <f>_xll.BDH("AMGN US Equity","CF_CASH_FROM_INV_ACT","FQ2 2020","FQ2 2020","Currency=USD","Period=FQ","BEST_FPERIOD_OVERRIDE=FQ","FILING_STATUS=MR","SCALING_FORMAT=MLN","Sort=A","Dates=H","DateFormat=P","Fill=—","Direction=H","UseDPDF=Y")</f>
        <v>-2159</v>
      </c>
      <c r="J38" s="19">
        <f>_xll.BDH("AMGN US Equity","CF_CASH_FROM_INV_ACT","FQ3 2020","FQ3 2020","Currency=USD","Period=FQ","BEST_FPERIOD_OVERRIDE=FQ","FILING_STATUS=MR","SCALING_FORMAT=MLN","Sort=A","Dates=H","DateFormat=P","Fill=—","Direction=H","UseDPDF=Y")</f>
        <v>-1628</v>
      </c>
      <c r="K38" s="19">
        <f>_xll.BDH("AMGN US Equity","CF_CASH_FROM_INV_ACT","FQ4 2020","FQ4 2020","Currency=USD","Period=FQ","BEST_FPERIOD_OVERRIDE=FQ","FILING_STATUS=MR","SCALING_FORMAT=MLN","Sort=A","Dates=H","DateFormat=P","Fill=—","Direction=H","UseDPDF=Y")</f>
        <v>-1384</v>
      </c>
      <c r="L38" s="19">
        <f>_xll.BDH("AMGN US Equity","CF_CASH_FROM_INV_ACT","FQ1 2021","FQ1 2021","Currency=USD","Period=FQ","BEST_FPERIOD_OVERRIDE=FQ","FILING_STATUS=MR","SCALING_FORMAT=MLN","Sort=A","Dates=H","DateFormat=P","Fill=—","Direction=H","UseDPDF=Y")</f>
        <v>-319</v>
      </c>
      <c r="M38" s="19">
        <f>_xll.BDH("AMGN US Equity","CF_CASH_FROM_INV_ACT","FQ2 2021","FQ2 2021","Currency=USD","Period=FQ","BEST_FPERIOD_OVERRIDE=FQ","FILING_STATUS=MR","SCALING_FORMAT=MLN","Sort=A","Dates=H","DateFormat=P","Fill=—","Direction=H","UseDPDF=Y")</f>
        <v>1209</v>
      </c>
      <c r="N38" s="19">
        <f>_xll.BDH("AMGN US Equity","CF_CASH_FROM_INV_ACT","FQ3 2021","FQ3 2021","Currency=USD","Period=FQ","BEST_FPERIOD_OVERRIDE=FQ","FILING_STATUS=MR","SCALING_FORMAT=MLN","Sort=A","Dates=H","DateFormat=P","Fill=—","Direction=H","UseDPDF=Y")</f>
        <v>73</v>
      </c>
      <c r="O38" s="19">
        <f>_xll.BDH("AMGN US Equity","CF_CASH_FROM_INV_ACT","FQ4 2021","FQ4 2021","Currency=USD","Period=FQ","BEST_FPERIOD_OVERRIDE=FQ","FILING_STATUS=MR","SCALING_FORMAT=MLN","Sort=A","Dates=H","DateFormat=P","Fill=—","Direction=H","UseDPDF=Y")</f>
        <v>-230</v>
      </c>
      <c r="P38" s="19">
        <f>_xll.BDH("AMGN US Equity","CF_CASH_FROM_INV_ACT","FQ1 2022","FQ1 2022","Currency=USD","Period=FQ","BEST_FPERIOD_OVERRIDE=FQ","FILING_STATUS=MR","SCALING_FORMAT=MLN","Sort=A","Dates=H","DateFormat=P","Fill=—","Direction=H","UseDPDF=Y")</f>
        <v>-111</v>
      </c>
      <c r="Q38" s="19">
        <f>_xll.BDH("AMGN US Equity","CF_CASH_FROM_INV_ACT","FQ2 2022","FQ2 2022","Currency=USD","Period=FQ","BEST_FPERIOD_OVERRIDE=FQ","FILING_STATUS=MR","SCALING_FORMAT=MLN","Sort=A","Dates=H","DateFormat=P","Fill=—","Direction=H","UseDPDF=Y")</f>
        <v>-2193</v>
      </c>
      <c r="R38" s="19">
        <f>_xll.BDH("AMGN US Equity","CF_CASH_FROM_INV_ACT","FQ3 2022","FQ3 2022","Currency=USD","Period=FQ","BEST_FPERIOD_OVERRIDE=FQ","FILING_STATUS=MR","SCALING_FORMAT=MLN","Sort=A","Dates=H","DateFormat=P","Fill=—","Direction=H","UseDPDF=Y")</f>
        <v>-267</v>
      </c>
      <c r="S38" s="19">
        <f>_xll.BDH("AMGN US Equity","CF_CASH_FROM_INV_ACT","FQ4 2022","FQ4 2022","Currency=USD","Period=FQ","BEST_FPERIOD_OVERRIDE=FQ","FILING_STATUS=MR","SCALING_FORMAT=MLN","Sort=A","Dates=H","DateFormat=P","Fill=—","Direction=H","UseDPDF=Y")</f>
        <v>-3473</v>
      </c>
      <c r="T38" s="19">
        <f>_xll.BDH("AMGN US Equity","CF_CASH_FROM_INV_ACT","FQ1 2023","FQ1 2023","Currency=USD","Period=FQ","BEST_FPERIOD_OVERRIDE=FQ","FILING_STATUS=MR","SCALING_FORMAT=MLN","Sort=A","Dates=H","DateFormat=P","Fill=—","Direction=H","UseDPDF=Y")</f>
        <v>1358</v>
      </c>
      <c r="U38" s="19">
        <f>_xll.BDH("AMGN US Equity","CF_CASH_FROM_INV_ACT","FQ2 2023","FQ2 2023","Currency=USD","Period=FQ","BEST_FPERIOD_OVERRIDE=FQ","FILING_STATUS=MR","SCALING_FORMAT=MLN","Sort=A","Dates=H","DateFormat=P","Fill=—","Direction=H","UseDPDF=Y")</f>
        <v>-211</v>
      </c>
      <c r="V38" s="19">
        <f>_xll.BDH("AMGN US Equity","CF_CASH_FROM_INV_ACT","FQ3 2023","FQ3 2023","Currency=USD","Period=FQ","BEST_FPERIOD_OVERRIDE=FQ","FILING_STATUS=MR","SCALING_FORMAT=MLN","Sort=A","Dates=H","DateFormat=P","Fill=—","Direction=H","UseDPDF=Y")</f>
        <v>-262</v>
      </c>
      <c r="W38" s="19">
        <f>_xll.BDH("AMGN US Equity","CF_CASH_FROM_INV_ACT","FQ4 2023","FQ4 2023","Currency=USD","Period=FQ","BEST_FPERIOD_OVERRIDE=FQ","FILING_STATUS=MR","SCALING_FORMAT=MLN","Sort=A","Dates=H","DateFormat=P","Fill=—","Direction=H","UseDPDF=Y")</f>
        <v>-27089</v>
      </c>
      <c r="X38" s="19">
        <f>_xll.BDH("AMGN US Equity","CF_CASH_FROM_INV_ACT","FQ1 2024","FQ1 2024","Currency=USD","Period=FQ","BEST_FPERIOD_OVERRIDE=FQ","FILING_STATUS=MR","SCALING_FORMAT=MLN","Sort=A","Dates=H","DateFormat=P","Fill=—","Direction=H","UseDPDF=Y")</f>
        <v>-217</v>
      </c>
      <c r="Y38" s="19">
        <f>_xll.BDH("AMGN US Equity","CF_CASH_FROM_INV_ACT","FQ2 2024","FQ2 2024","Currency=USD","Period=FQ","BEST_FPERIOD_OVERRIDE=FQ","FILING_STATUS=MR","SCALING_FORMAT=MLN","Sort=A","Dates=H","DateFormat=P","Fill=—","Direction=H","UseDPDF=Y")</f>
        <v>-217</v>
      </c>
      <c r="Z38" s="19">
        <f>_xll.BDH("AMGN US Equity","CF_CASH_FROM_INV_ACT","FQ3 2024","FQ3 2024","Currency=USD","Period=FQ","BEST_FPERIOD_OVERRIDE=FQ","FILING_STATUS=MR","SCALING_FORMAT=MLN","Sort=A","Dates=H","DateFormat=P","Fill=—","Direction=H","UseDPDF=Y")</f>
        <v>-210</v>
      </c>
      <c r="AA38" s="19">
        <f>_xll.BDH("AMGN US Equity","CF_CASH_FROM_INV_ACT","FQ4 2024","FQ4 2024","Currency=USD","Period=FQ","BEST_FPERIOD_OVERRIDE=FQ","FILING_STATUS=MR","SCALING_FORMAT=MLN","Sort=A","Dates=H","DateFormat=P","Fill=—","Direction=H","UseDPDF=Y")</f>
        <v>-402</v>
      </c>
    </row>
    <row r="39" spans="1:27" x14ac:dyDescent="0.25">
      <c r="A39" s="6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x14ac:dyDescent="0.25">
      <c r="A40" s="6" t="s">
        <v>1320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 x14ac:dyDescent="0.25">
      <c r="A41" s="10" t="s">
        <v>1321</v>
      </c>
      <c r="B41" s="10" t="s">
        <v>1322</v>
      </c>
      <c r="C41" s="13">
        <f>_xll.BDH("AMGN US Equity","CF_DVD_PAID","FQ4 2018","FQ4 2018","Currency=USD","Period=FQ","BEST_FPERIOD_OVERRIDE=FQ","FILING_STATUS=MR","SCALING_FORMAT=MLN","Sort=A","Dates=H","DateFormat=P","Fill=—","Direction=H","UseDPDF=Y")</f>
        <v>-840</v>
      </c>
      <c r="D41" s="13">
        <f>_xll.BDH("AMGN US Equity","CF_DVD_PAID","FQ1 2019","FQ1 2019","Currency=USD","Period=FQ","BEST_FPERIOD_OVERRIDE=FQ","FILING_STATUS=MR","SCALING_FORMAT=MLN","Sort=A","Dates=H","DateFormat=P","Fill=—","Direction=H","UseDPDF=Y")</f>
        <v>-901</v>
      </c>
      <c r="E41" s="13">
        <f>_xll.BDH("AMGN US Equity","CF_DVD_PAID","FQ2 2019","FQ2 2019","Currency=USD","Period=FQ","BEST_FPERIOD_OVERRIDE=FQ","FILING_STATUS=MR","SCALING_FORMAT=MLN","Sort=A","Dates=H","DateFormat=P","Fill=—","Direction=H","UseDPDF=Y")</f>
        <v>-880</v>
      </c>
      <c r="F41" s="13">
        <f>_xll.BDH("AMGN US Equity","CF_DVD_PAID","FQ3 2019","FQ3 2019","Currency=USD","Period=FQ","BEST_FPERIOD_OVERRIDE=FQ","FILING_STATUS=MR","SCALING_FORMAT=MLN","Sort=A","Dates=H","DateFormat=P","Fill=—","Direction=H","UseDPDF=Y")</f>
        <v>-868</v>
      </c>
      <c r="G41" s="13">
        <f>_xll.BDH("AMGN US Equity","CF_DVD_PAID","FQ4 2019","FQ4 2019","Currency=USD","Period=FQ","BEST_FPERIOD_OVERRIDE=FQ","FILING_STATUS=MR","SCALING_FORMAT=MLN","Sort=A","Dates=H","DateFormat=P","Fill=—","Direction=H","UseDPDF=Y")</f>
        <v>-860</v>
      </c>
      <c r="H41" s="13">
        <f>_xll.BDH("AMGN US Equity","CF_DVD_PAID","FQ1 2020","FQ1 2020","Currency=USD","Period=FQ","BEST_FPERIOD_OVERRIDE=FQ","FILING_STATUS=MR","SCALING_FORMAT=MLN","Sort=A","Dates=H","DateFormat=P","Fill=—","Direction=H","UseDPDF=Y")</f>
        <v>-945</v>
      </c>
      <c r="I41" s="13">
        <f>_xll.BDH("AMGN US Equity","CF_DVD_PAID","FQ2 2020","FQ2 2020","Currency=USD","Period=FQ","BEST_FPERIOD_OVERRIDE=FQ","FILING_STATUS=MR","SCALING_FORMAT=MLN","Sort=A","Dates=H","DateFormat=P","Fill=—","Direction=H","UseDPDF=Y")</f>
        <v>-942</v>
      </c>
      <c r="J41" s="13">
        <f>_xll.BDH("AMGN US Equity","CF_DVD_PAID","FQ3 2020","FQ3 2020","Currency=USD","Period=FQ","BEST_FPERIOD_OVERRIDE=FQ","FILING_STATUS=MR","SCALING_FORMAT=MLN","Sort=A","Dates=H","DateFormat=P","Fill=—","Direction=H","UseDPDF=Y")</f>
        <v>-936</v>
      </c>
      <c r="K41" s="13">
        <f>_xll.BDH("AMGN US Equity","CF_DVD_PAID","FQ4 2020","FQ4 2020","Currency=USD","Period=FQ","BEST_FPERIOD_OVERRIDE=FQ","FILING_STATUS=MR","SCALING_FORMAT=MLN","Sort=A","Dates=H","DateFormat=P","Fill=—","Direction=H","UseDPDF=Y")</f>
        <v>-932</v>
      </c>
      <c r="L41" s="13">
        <f>_xll.BDH("AMGN US Equity","CF_DVD_PAID","FQ1 2021","FQ1 2021","Currency=USD","Period=FQ","BEST_FPERIOD_OVERRIDE=FQ","FILING_STATUS=MR","SCALING_FORMAT=MLN","Sort=A","Dates=H","DateFormat=P","Fill=—","Direction=H","UseDPDF=Y")</f>
        <v>-1016</v>
      </c>
      <c r="M41" s="13">
        <f>_xll.BDH("AMGN US Equity","CF_DVD_PAID","FQ2 2021","FQ2 2021","Currency=USD","Period=FQ","BEST_FPERIOD_OVERRIDE=FQ","FILING_STATUS=MR","SCALING_FORMAT=MLN","Sort=A","Dates=H","DateFormat=P","Fill=—","Direction=H","UseDPDF=Y")</f>
        <v>-1008</v>
      </c>
      <c r="N41" s="13">
        <f>_xll.BDH("AMGN US Equity","CF_DVD_PAID","FQ3 2021","FQ3 2021","Currency=USD","Period=FQ","BEST_FPERIOD_OVERRIDE=FQ","FILING_STATUS=MR","SCALING_FORMAT=MLN","Sort=A","Dates=H","DateFormat=P","Fill=—","Direction=H","UseDPDF=Y")</f>
        <v>-999</v>
      </c>
      <c r="O41" s="13">
        <f>_xll.BDH("AMGN US Equity","CF_DVD_PAID","FQ4 2021","FQ4 2021","Currency=USD","Period=FQ","BEST_FPERIOD_OVERRIDE=FQ","FILING_STATUS=MR","SCALING_FORMAT=MLN","Sort=A","Dates=H","DateFormat=P","Fill=—","Direction=H","UseDPDF=Y")</f>
        <v>-990</v>
      </c>
      <c r="P41" s="13">
        <f>_xll.BDH("AMGN US Equity","CF_DVD_PAID","FQ1 2022","FQ1 2022","Currency=USD","Period=FQ","BEST_FPERIOD_OVERRIDE=FQ","FILING_STATUS=MR","SCALING_FORMAT=MLN","Sort=A","Dates=H","DateFormat=P","Fill=—","Direction=H","UseDPDF=Y")</f>
        <v>-1080</v>
      </c>
      <c r="Q41" s="13">
        <f>_xll.BDH("AMGN US Equity","CF_DVD_PAID","FQ2 2022","FQ2 2022","Currency=USD","Period=FQ","BEST_FPERIOD_OVERRIDE=FQ","FILING_STATUS=MR","SCALING_FORMAT=MLN","Sort=A","Dates=H","DateFormat=P","Fill=—","Direction=H","UseDPDF=Y")</f>
        <v>-1038</v>
      </c>
      <c r="R41" s="13">
        <f>_xll.BDH("AMGN US Equity","CF_DVD_PAID","FQ3 2022","FQ3 2022","Currency=USD","Period=FQ","BEST_FPERIOD_OVERRIDE=FQ","FILING_STATUS=MR","SCALING_FORMAT=MLN","Sort=A","Dates=H","DateFormat=P","Fill=—","Direction=H","UseDPDF=Y")</f>
        <v>-1038</v>
      </c>
      <c r="S41" s="13">
        <f>_xll.BDH("AMGN US Equity","CF_DVD_PAID","FQ4 2022","FQ4 2022","Currency=USD","Period=FQ","BEST_FPERIOD_OVERRIDE=FQ","FILING_STATUS=MR","SCALING_FORMAT=MLN","Sort=A","Dates=H","DateFormat=P","Fill=—","Direction=H","UseDPDF=Y")</f>
        <v>-1040</v>
      </c>
      <c r="T41" s="13">
        <f>_xll.BDH("AMGN US Equity","CF_DVD_PAID","FQ1 2023","FQ1 2023","Currency=USD","Period=FQ","BEST_FPERIOD_OVERRIDE=FQ","FILING_STATUS=MR","SCALING_FORMAT=MLN","Sort=A","Dates=H","DateFormat=P","Fill=—","Direction=H","UseDPDF=Y")</f>
        <v>-1137</v>
      </c>
      <c r="U41" s="13">
        <f>_xll.BDH("AMGN US Equity","CF_DVD_PAID","FQ2 2023","FQ2 2023","Currency=USD","Period=FQ","BEST_FPERIOD_OVERRIDE=FQ","FILING_STATUS=MR","SCALING_FORMAT=MLN","Sort=A","Dates=H","DateFormat=P","Fill=—","Direction=H","UseDPDF=Y")</f>
        <v>-1139</v>
      </c>
      <c r="V41" s="13">
        <f>_xll.BDH("AMGN US Equity","CF_DVD_PAID","FQ3 2023","FQ3 2023","Currency=USD","Period=FQ","BEST_FPERIOD_OVERRIDE=FQ","FILING_STATUS=MR","SCALING_FORMAT=MLN","Sort=A","Dates=H","DateFormat=P","Fill=—","Direction=H","UseDPDF=Y")</f>
        <v>-1140</v>
      </c>
      <c r="W41" s="13">
        <f>_xll.BDH("AMGN US Equity","CF_DVD_PAID","FQ4 2023","FQ4 2023","Currency=USD","Period=FQ","BEST_FPERIOD_OVERRIDE=FQ","FILING_STATUS=MR","SCALING_FORMAT=MLN","Sort=A","Dates=H","DateFormat=P","Fill=—","Direction=H","UseDPDF=Y")</f>
        <v>-1140</v>
      </c>
      <c r="X41" s="13">
        <f>_xll.BDH("AMGN US Equity","CF_DVD_PAID","FQ1 2024","FQ1 2024","Currency=USD","Period=FQ","BEST_FPERIOD_OVERRIDE=FQ","FILING_STATUS=MR","SCALING_FORMAT=MLN","Sort=A","Dates=H","DateFormat=P","Fill=—","Direction=H","UseDPDF=Y")</f>
        <v>-1208</v>
      </c>
      <c r="Y41" s="13">
        <f>_xll.BDH("AMGN US Equity","CF_DVD_PAID","FQ2 2024","FQ2 2024","Currency=USD","Period=FQ","BEST_FPERIOD_OVERRIDE=FQ","FILING_STATUS=MR","SCALING_FORMAT=MLN","Sort=A","Dates=H","DateFormat=P","Fill=—","Direction=H","UseDPDF=Y")</f>
        <v>-1209</v>
      </c>
      <c r="Z41" s="13">
        <f>_xll.BDH("AMGN US Equity","CF_DVD_PAID","FQ3 2024","FQ3 2024","Currency=USD","Period=FQ","BEST_FPERIOD_OVERRIDE=FQ","FILING_STATUS=MR","SCALING_FORMAT=MLN","Sort=A","Dates=H","DateFormat=P","Fill=—","Direction=H","UseDPDF=Y")</f>
        <v>-1210</v>
      </c>
      <c r="AA41" s="13">
        <f>_xll.BDH("AMGN US Equity","CF_DVD_PAID","FQ4 2024","FQ4 2024","Currency=USD","Period=FQ","BEST_FPERIOD_OVERRIDE=FQ","FILING_STATUS=MR","SCALING_FORMAT=MLN","Sort=A","Dates=H","DateFormat=P","Fill=—","Direction=H","UseDPDF=Y")</f>
        <v>-1205</v>
      </c>
    </row>
    <row r="42" spans="1:27" x14ac:dyDescent="0.25">
      <c r="A42" s="10" t="s">
        <v>1323</v>
      </c>
      <c r="B42" s="10" t="s">
        <v>1324</v>
      </c>
      <c r="C42" s="13">
        <f>_xll.BDH("AMGN US Equity","PROC_FR_REPAYMNTS_BOR_DETAILED","FQ4 2018","FQ4 2018","Currency=USD","Period=FQ","BEST_FPERIOD_OVERRIDE=FQ","FILING_STATUS=MR","SCALING_FORMAT=MLN","Sort=A","Dates=H","DateFormat=P","Fill=—","Direction=H","UseDPDF=Y")</f>
        <v>-621</v>
      </c>
      <c r="D42" s="13">
        <f>_xll.BDH("AMGN US Equity","PROC_FR_REPAYMNTS_BOR_DETAILED","FQ1 2019","FQ1 2019","Currency=USD","Period=FQ","BEST_FPERIOD_OVERRIDE=FQ","FILING_STATUS=MR","SCALING_FORMAT=MLN","Sort=A","Dates=H","DateFormat=P","Fill=—","Direction=H","UseDPDF=Y")</f>
        <v>-1000</v>
      </c>
      <c r="E42" s="13">
        <f>_xll.BDH("AMGN US Equity","PROC_FR_REPAYMNTS_BOR_DETAILED","FQ2 2019","FQ2 2019","Currency=USD","Period=FQ","BEST_FPERIOD_OVERRIDE=FQ","FILING_STATUS=MR","SCALING_FORMAT=MLN","Sort=A","Dates=H","DateFormat=P","Fill=—","Direction=H","UseDPDF=Y")</f>
        <v>-2650</v>
      </c>
      <c r="F42" s="13">
        <f>_xll.BDH("AMGN US Equity","PROC_FR_REPAYMNTS_BOR_DETAILED","FQ3 2019","FQ3 2019","Currency=USD","Period=FQ","BEST_FPERIOD_OVERRIDE=FQ","FILING_STATUS=MR","SCALING_FORMAT=MLN","Sort=A","Dates=H","DateFormat=P","Fill=—","Direction=H","UseDPDF=Y")</f>
        <v>-864</v>
      </c>
      <c r="G42" s="13">
        <f>_xll.BDH("AMGN US Equity","PROC_FR_REPAYMNTS_BOR_DETAILED","FQ4 2019","FQ4 2019","Currency=USD","Period=FQ","BEST_FPERIOD_OVERRIDE=FQ","FILING_STATUS=MR","SCALING_FORMAT=MLN","Sort=A","Dates=H","DateFormat=P","Fill=—","Direction=H","UseDPDF=Y")</f>
        <v>0</v>
      </c>
      <c r="H42" s="13">
        <f>_xll.BDH("AMGN US Equity","PROC_FR_REPAYMNTS_BOR_DETAILED","FQ1 2020","FQ1 2020","Currency=USD","Period=FQ","BEST_FPERIOD_OVERRIDE=FQ","FILING_STATUS=MR","SCALING_FORMAT=MLN","Sort=A","Dates=H","DateFormat=P","Fill=—","Direction=H","UseDPDF=Y")</f>
        <v>1713</v>
      </c>
      <c r="I42" s="13">
        <f>_xll.BDH("AMGN US Equity","PROC_FR_REPAYMNTS_BOR_DETAILED","FQ2 2020","FQ2 2020","Currency=USD","Period=FQ","BEST_FPERIOD_OVERRIDE=FQ","FILING_STATUS=MR","SCALING_FORMAT=MLN","Sort=A","Dates=H","DateFormat=P","Fill=—","Direction=H","UseDPDF=Y")</f>
        <v>2289</v>
      </c>
      <c r="J42" s="13">
        <f>_xll.BDH("AMGN US Equity","PROC_FR_REPAYMNTS_BOR_DETAILED","FQ3 2020","FQ3 2020","Currency=USD","Period=FQ","BEST_FPERIOD_OVERRIDE=FQ","FILING_STATUS=MR","SCALING_FORMAT=MLN","Sort=A","Dates=H","DateFormat=P","Fill=—","Direction=H","UseDPDF=Y")</f>
        <v>-88</v>
      </c>
      <c r="K42" s="13">
        <f>_xll.BDH("AMGN US Equity","PROC_FR_REPAYMNTS_BOR_DETAILED","FQ4 2020","FQ4 2020","Currency=USD","Period=FQ","BEST_FPERIOD_OVERRIDE=FQ","FILING_STATUS=MR","SCALING_FORMAT=MLN","Sort=A","Dates=H","DateFormat=P","Fill=—","Direction=H","UseDPDF=Y")</f>
        <v>-1450</v>
      </c>
      <c r="L42" s="13">
        <f>_xll.BDH("AMGN US Equity","PROC_FR_REPAYMNTS_BOR_DETAILED","FQ1 2021","FQ1 2021","Currency=USD","Period=FQ","BEST_FPERIOD_OVERRIDE=FQ","FILING_STATUS=MR","SCALING_FORMAT=MLN","Sort=A","Dates=H","DateFormat=P","Fill=—","Direction=H","UseDPDF=Y")</f>
        <v>0</v>
      </c>
      <c r="M42" s="13">
        <f>_xll.BDH("AMGN US Equity","PROC_FR_REPAYMNTS_BOR_DETAILED","FQ2 2021","FQ2 2021","Currency=USD","Period=FQ","BEST_FPERIOD_OVERRIDE=FQ","FILING_STATUS=MR","SCALING_FORMAT=MLN","Sort=A","Dates=H","DateFormat=P","Fill=—","Direction=H","UseDPDF=Y")</f>
        <v>0</v>
      </c>
      <c r="N42" s="13">
        <f>_xll.BDH("AMGN US Equity","PROC_FR_REPAYMNTS_BOR_DETAILED","FQ3 2021","FQ3 2021","Currency=USD","Period=FQ","BEST_FPERIOD_OVERRIDE=FQ","FILING_STATUS=MR","SCALING_FORMAT=MLN","Sort=A","Dates=H","DateFormat=P","Fill=—","Direction=H","UseDPDF=Y")</f>
        <v>4946</v>
      </c>
      <c r="O42" s="13">
        <f>_xll.BDH("AMGN US Equity","PROC_FR_REPAYMNTS_BOR_DETAILED","FQ4 2021","FQ4 2021","Currency=USD","Period=FQ","BEST_FPERIOD_OVERRIDE=FQ","FILING_STATUS=MR","SCALING_FORMAT=MLN","Sort=A","Dates=H","DateFormat=P","Fill=—","Direction=H","UseDPDF=Y")</f>
        <v>-4151</v>
      </c>
      <c r="P42" s="13">
        <f>_xll.BDH("AMGN US Equity","PROC_FR_REPAYMNTS_BOR_DETAILED","FQ1 2022","FQ1 2022","Currency=USD","Period=FQ","BEST_FPERIOD_OVERRIDE=FQ","FILING_STATUS=MR","SCALING_FORMAT=MLN","Sort=A","Dates=H","DateFormat=P","Fill=—","Direction=H","UseDPDF=Y")</f>
        <v>3952</v>
      </c>
      <c r="Q42" s="13">
        <f>_xll.BDH("AMGN US Equity","PROC_FR_REPAYMNTS_BOR_DETAILED","FQ2 2022","FQ2 2022","Currency=USD","Period=FQ","BEST_FPERIOD_OVERRIDE=FQ","FILING_STATUS=MR","SCALING_FORMAT=MLN","Sort=A","Dates=H","DateFormat=P","Fill=—","Direction=H","UseDPDF=Y")</f>
        <v>2</v>
      </c>
      <c r="R42" s="13">
        <f>_xll.BDH("AMGN US Equity","PROC_FR_REPAYMNTS_BOR_DETAILED","FQ3 2022","FQ3 2022","Currency=USD","Period=FQ","BEST_FPERIOD_OVERRIDE=FQ","FILING_STATUS=MR","SCALING_FORMAT=MLN","Sort=A","Dates=H","DateFormat=P","Fill=—","Direction=H","UseDPDF=Y")</f>
        <v>2984</v>
      </c>
      <c r="S42" s="13">
        <f>_xll.BDH("AMGN US Equity","PROC_FR_REPAYMNTS_BOR_DETAILED","FQ4 2022","FQ4 2022","Currency=USD","Period=FQ","BEST_FPERIOD_OVERRIDE=FQ","FILING_STATUS=MR","SCALING_FORMAT=MLN","Sort=A","Dates=H","DateFormat=P","Fill=—","Direction=H","UseDPDF=Y")</f>
        <v>-19</v>
      </c>
      <c r="T42" s="13">
        <f>_xll.BDH("AMGN US Equity","PROC_FR_REPAYMNTS_BOR_DETAILED","FQ1 2023","FQ1 2023","Currency=USD","Period=FQ","BEST_FPERIOD_OVERRIDE=FQ","FILING_STATUS=MR","SCALING_FORMAT=MLN","Sort=A","Dates=H","DateFormat=P","Fill=—","Direction=H","UseDPDF=Y")</f>
        <v>22674</v>
      </c>
      <c r="U42" s="13">
        <f>_xll.BDH("AMGN US Equity","PROC_FR_REPAYMNTS_BOR_DETAILED","FQ2 2023","FQ2 2023","Currency=USD","Period=FQ","BEST_FPERIOD_OVERRIDE=FQ","FILING_STATUS=MR","SCALING_FORMAT=MLN","Sort=A","Dates=H","DateFormat=P","Fill=—","Direction=H","UseDPDF=Y")</f>
        <v>-18</v>
      </c>
      <c r="V42" s="13">
        <f>_xll.BDH("AMGN US Equity","PROC_FR_REPAYMNTS_BOR_DETAILED","FQ3 2023","FQ3 2023","Currency=USD","Period=FQ","BEST_FPERIOD_OVERRIDE=FQ","FILING_STATUS=MR","SCALING_FORMAT=MLN","Sort=A","Dates=H","DateFormat=P","Fill=—","Direction=H","UseDPDF=Y")</f>
        <v>-329</v>
      </c>
      <c r="W42" s="13">
        <f>_xll.BDH("AMGN US Equity","PROC_FR_REPAYMNTS_BOR_DETAILED","FQ4 2023","FQ4 2023","Currency=USD","Period=FQ","BEST_FPERIOD_OVERRIDE=FQ","FILING_STATUS=MR","SCALING_FORMAT=MLN","Sort=A","Dates=H","DateFormat=P","Fill=—","Direction=H","UseDPDF=Y")</f>
        <v>3349</v>
      </c>
      <c r="X42" s="13">
        <f>_xll.BDH("AMGN US Equity","PROC_FR_REPAYMNTS_BOR_DETAILED","FQ1 2024","FQ1 2024","Currency=USD","Period=FQ","BEST_FPERIOD_OVERRIDE=FQ","FILING_STATUS=MR","SCALING_FORMAT=MLN","Sort=A","Dates=H","DateFormat=P","Fill=—","Direction=H","UseDPDF=Y")</f>
        <v>-410</v>
      </c>
      <c r="Y42" s="13">
        <f>_xll.BDH("AMGN US Equity","PROC_FR_REPAYMNTS_BOR_DETAILED","FQ2 2024","FQ2 2024","Currency=USD","Period=FQ","BEST_FPERIOD_OVERRIDE=FQ","FILING_STATUS=MR","SCALING_FORMAT=MLN","Sort=A","Dates=H","DateFormat=P","Fill=—","Direction=H","UseDPDF=Y")</f>
        <v>-1400</v>
      </c>
      <c r="Z42" s="13">
        <f>_xll.BDH("AMGN US Equity","PROC_FR_REPAYMNTS_BOR_DETAILED","FQ3 2024","FQ3 2024","Currency=USD","Period=FQ","BEST_FPERIOD_OVERRIDE=FQ","FILING_STATUS=MR","SCALING_FORMAT=MLN","Sort=A","Dates=H","DateFormat=P","Fill=—","Direction=H","UseDPDF=Y")</f>
        <v>-1790</v>
      </c>
      <c r="AA42" s="13">
        <f>_xll.BDH("AMGN US Equity","PROC_FR_REPAYMNTS_BOR_DETAILED","FQ4 2024","FQ4 2024","Currency=USD","Period=FQ","BEST_FPERIOD_OVERRIDE=FQ","FILING_STATUS=MR","SCALING_FORMAT=MLN","Sort=A","Dates=H","DateFormat=P","Fill=—","Direction=H","UseDPDF=Y")</f>
        <v>-659</v>
      </c>
    </row>
    <row r="43" spans="1:27" x14ac:dyDescent="0.25">
      <c r="A43" s="10" t="s">
        <v>1325</v>
      </c>
      <c r="B43" s="10" t="s">
        <v>1326</v>
      </c>
      <c r="C43" s="13" t="str">
        <f>_xll.BDH("AMGN US Equity","CF_NET_CHG_ST_DEBT_CPTL_LEAS","FQ4 2018","FQ4 2018","Currency=USD","Period=FQ","BEST_FPERIOD_OVERRIDE=FQ","FILING_STATUS=MR","SCALING_FORMAT=MLN","Sort=A","Dates=H","DateFormat=P","Fill=—","Direction=H","UseDPDF=Y")</f>
        <v>—</v>
      </c>
      <c r="D43" s="13">
        <f>_xll.BDH("AMGN US Equity","CF_NET_CHG_ST_DEBT_CPTL_LEAS","FQ1 2019","FQ1 2019","Currency=USD","Period=FQ","BEST_FPERIOD_OVERRIDE=FQ","FILING_STATUS=MR","SCALING_FORMAT=MLN","Sort=A","Dates=H","DateFormat=P","Fill=—","Direction=H","UseDPDF=Y")</f>
        <v>0</v>
      </c>
      <c r="E43" s="13">
        <f>_xll.BDH("AMGN US Equity","CF_NET_CHG_ST_DEBT_CPTL_LEAS","FQ2 2019","FQ2 2019","Currency=USD","Period=FQ","BEST_FPERIOD_OVERRIDE=FQ","FILING_STATUS=MR","SCALING_FORMAT=MLN","Sort=A","Dates=H","DateFormat=P","Fill=—","Direction=H","UseDPDF=Y")</f>
        <v>0</v>
      </c>
      <c r="F43" s="13" t="str">
        <f>_xll.BDH("AMGN US Equity","CF_NET_CHG_ST_DEBT_CPTL_LEAS","FQ3 2019","FQ3 2019","Currency=USD","Period=FQ","BEST_FPERIOD_OVERRIDE=FQ","FILING_STATUS=MR","SCALING_FORMAT=MLN","Sort=A","Dates=H","DateFormat=P","Fill=—","Direction=H","UseDPDF=Y")</f>
        <v>—</v>
      </c>
      <c r="G43" s="13" t="str">
        <f>_xll.BDH("AMGN US Equity","CF_NET_CHG_ST_DEBT_CPTL_LEAS","FQ4 2019","FQ4 2019","Currency=USD","Period=FQ","BEST_FPERIOD_OVERRIDE=FQ","FILING_STATUS=MR","SCALING_FORMAT=MLN","Sort=A","Dates=H","DateFormat=P","Fill=—","Direction=H","UseDPDF=Y")</f>
        <v>—</v>
      </c>
      <c r="H43" s="13" t="str">
        <f>_xll.BDH("AMGN US Equity","CF_NET_CHG_ST_DEBT_CPTL_LEAS","FQ1 2020","FQ1 2020","Currency=USD","Period=FQ","BEST_FPERIOD_OVERRIDE=FQ","FILING_STATUS=MR","SCALING_FORMAT=MLN","Sort=A","Dates=H","DateFormat=P","Fill=—","Direction=H","UseDPDF=Y")</f>
        <v>—</v>
      </c>
      <c r="I43" s="13" t="str">
        <f>_xll.BDH("AMGN US Equity","CF_NET_CHG_ST_DEBT_CPTL_LEAS","FQ2 2020","FQ2 2020","Currency=USD","Period=FQ","BEST_FPERIOD_OVERRIDE=FQ","FILING_STATUS=MR","SCALING_FORMAT=MLN","Sort=A","Dates=H","DateFormat=P","Fill=—","Direction=H","UseDPDF=Y")</f>
        <v>—</v>
      </c>
      <c r="J43" s="13" t="str">
        <f>_xll.BDH("AMGN US Equity","CF_NET_CHG_ST_DEBT_CPTL_LEAS","FQ3 2020","FQ3 2020","Currency=USD","Period=FQ","BEST_FPERIOD_OVERRIDE=FQ","FILING_STATUS=MR","SCALING_FORMAT=MLN","Sort=A","Dates=H","DateFormat=P","Fill=—","Direction=H","UseDPDF=Y")</f>
        <v>—</v>
      </c>
      <c r="K43" s="13" t="str">
        <f>_xll.BDH("AMGN US Equity","CF_NET_CHG_ST_DEBT_CPTL_LEAS","FQ4 2020","FQ4 2020","Currency=USD","Period=FQ","BEST_FPERIOD_OVERRIDE=FQ","FILING_STATUS=MR","SCALING_FORMAT=MLN","Sort=A","Dates=H","DateFormat=P","Fill=—","Direction=H","UseDPDF=Y")</f>
        <v>—</v>
      </c>
      <c r="L43" s="13" t="str">
        <f>_xll.BDH("AMGN US Equity","CF_NET_CHG_ST_DEBT_CPTL_LEAS","FQ1 2021","FQ1 2021","Currency=USD","Period=FQ","BEST_FPERIOD_OVERRIDE=FQ","FILING_STATUS=MR","SCALING_FORMAT=MLN","Sort=A","Dates=H","DateFormat=P","Fill=—","Direction=H","UseDPDF=Y")</f>
        <v>—</v>
      </c>
      <c r="M43" s="13">
        <f>_xll.BDH("AMGN US Equity","CF_NET_CHG_ST_DEBT_CPTL_LEAS","FQ2 2021","FQ2 2021","Currency=USD","Period=FQ","BEST_FPERIOD_OVERRIDE=FQ","FILING_STATUS=MR","SCALING_FORMAT=MLN","Sort=A","Dates=H","DateFormat=P","Fill=—","Direction=H","UseDPDF=Y")</f>
        <v>0</v>
      </c>
      <c r="N43" s="13" t="str">
        <f>_xll.BDH("AMGN US Equity","CF_NET_CHG_ST_DEBT_CPTL_LEAS","FQ3 2021","FQ3 2021","Currency=USD","Period=FQ","BEST_FPERIOD_OVERRIDE=FQ","FILING_STATUS=MR","SCALING_FORMAT=MLN","Sort=A","Dates=H","DateFormat=P","Fill=—","Direction=H","UseDPDF=Y")</f>
        <v>—</v>
      </c>
      <c r="O43" s="13" t="str">
        <f>_xll.BDH("AMGN US Equity","CF_NET_CHG_ST_DEBT_CPTL_LEAS","FQ4 2021","FQ4 2021","Currency=USD","Period=FQ","BEST_FPERIOD_OVERRIDE=FQ","FILING_STATUS=MR","SCALING_FORMAT=MLN","Sort=A","Dates=H","DateFormat=P","Fill=—","Direction=H","UseDPDF=Y")</f>
        <v>—</v>
      </c>
      <c r="P43" s="13">
        <f>_xll.BDH("AMGN US Equity","CF_NET_CHG_ST_DEBT_CPTL_LEAS","FQ1 2022","FQ1 2022","Currency=USD","Period=FQ","BEST_FPERIOD_OVERRIDE=FQ","FILING_STATUS=MR","SCALING_FORMAT=MLN","Sort=A","Dates=H","DateFormat=P","Fill=—","Direction=H","UseDPDF=Y")</f>
        <v>0</v>
      </c>
      <c r="Q43" s="13">
        <f>_xll.BDH("AMGN US Equity","CF_NET_CHG_ST_DEBT_CPTL_LEAS","FQ2 2022","FQ2 2022","Currency=USD","Period=FQ","BEST_FPERIOD_OVERRIDE=FQ","FILING_STATUS=MR","SCALING_FORMAT=MLN","Sort=A","Dates=H","DateFormat=P","Fill=—","Direction=H","UseDPDF=Y")</f>
        <v>0</v>
      </c>
      <c r="R43" s="13">
        <f>_xll.BDH("AMGN US Equity","CF_NET_CHG_ST_DEBT_CPTL_LEAS","FQ3 2022","FQ3 2022","Currency=USD","Period=FQ","BEST_FPERIOD_OVERRIDE=FQ","FILING_STATUS=MR","SCALING_FORMAT=MLN","Sort=A","Dates=H","DateFormat=P","Fill=—","Direction=H","UseDPDF=Y")</f>
        <v>0</v>
      </c>
      <c r="S43" s="13">
        <f>_xll.BDH("AMGN US Equity","CF_NET_CHG_ST_DEBT_CPTL_LEAS","FQ4 2022","FQ4 2022","Currency=USD","Period=FQ","BEST_FPERIOD_OVERRIDE=FQ","FILING_STATUS=MR","SCALING_FORMAT=MLN","Sort=A","Dates=H","DateFormat=P","Fill=—","Direction=H","UseDPDF=Y")</f>
        <v>0</v>
      </c>
      <c r="T43" s="13">
        <f>_xll.BDH("AMGN US Equity","CF_NET_CHG_ST_DEBT_CPTL_LEAS","FQ1 2023","FQ1 2023","Currency=USD","Period=FQ","BEST_FPERIOD_OVERRIDE=FQ","FILING_STATUS=MR","SCALING_FORMAT=MLN","Sort=A","Dates=H","DateFormat=P","Fill=—","Direction=H","UseDPDF=Y")</f>
        <v>0</v>
      </c>
      <c r="U43" s="13" t="str">
        <f>_xll.BDH("AMGN US Equity","CF_NET_CHG_ST_DEBT_CPTL_LEAS","FQ2 2023","FQ2 2023","Currency=USD","Period=FQ","BEST_FPERIOD_OVERRIDE=FQ","FILING_STATUS=MR","SCALING_FORMAT=MLN","Sort=A","Dates=H","DateFormat=P","Fill=—","Direction=H","UseDPDF=Y")</f>
        <v>—</v>
      </c>
      <c r="V43" s="13" t="str">
        <f>_xll.BDH("AMGN US Equity","CF_NET_CHG_ST_DEBT_CPTL_LEAS","FQ3 2023","FQ3 2023","Currency=USD","Period=FQ","BEST_FPERIOD_OVERRIDE=FQ","FILING_STATUS=MR","SCALING_FORMAT=MLN","Sort=A","Dates=H","DateFormat=P","Fill=—","Direction=H","UseDPDF=Y")</f>
        <v>—</v>
      </c>
      <c r="W43" s="13">
        <f>_xll.BDH("AMGN US Equity","CF_NET_CHG_ST_DEBT_CPTL_LEAS","FQ4 2023","FQ4 2023","Currency=USD","Period=FQ","BEST_FPERIOD_OVERRIDE=FQ","FILING_STATUS=MR","SCALING_FORMAT=MLN","Sort=A","Dates=H","DateFormat=P","Fill=—","Direction=H","UseDPDF=Y")</f>
        <v>0</v>
      </c>
      <c r="X43" s="13">
        <f>_xll.BDH("AMGN US Equity","CF_NET_CHG_ST_DEBT_CPTL_LEAS","FQ1 2024","FQ1 2024","Currency=USD","Period=FQ","BEST_FPERIOD_OVERRIDE=FQ","FILING_STATUS=MR","SCALING_FORMAT=MLN","Sort=A","Dates=H","DateFormat=P","Fill=—","Direction=H","UseDPDF=Y")</f>
        <v>0</v>
      </c>
      <c r="Y43" s="13">
        <f>_xll.BDH("AMGN US Equity","CF_NET_CHG_ST_DEBT_CPTL_LEAS","FQ2 2024","FQ2 2024","Currency=USD","Period=FQ","BEST_FPERIOD_OVERRIDE=FQ","FILING_STATUS=MR","SCALING_FORMAT=MLN","Sort=A","Dates=H","DateFormat=P","Fill=—","Direction=H","UseDPDF=Y")</f>
        <v>0</v>
      </c>
      <c r="Z43" s="13">
        <f>_xll.BDH("AMGN US Equity","CF_NET_CHG_ST_DEBT_CPTL_LEAS","FQ3 2024","FQ3 2024","Currency=USD","Period=FQ","BEST_FPERIOD_OVERRIDE=FQ","FILING_STATUS=MR","SCALING_FORMAT=MLN","Sort=A","Dates=H","DateFormat=P","Fill=—","Direction=H","UseDPDF=Y")</f>
        <v>0</v>
      </c>
      <c r="AA43" s="13">
        <f>_xll.BDH("AMGN US Equity","CF_NET_CHG_ST_DEBT_CPTL_LEAS","FQ4 2024","FQ4 2024","Currency=USD","Period=FQ","BEST_FPERIOD_OVERRIDE=FQ","FILING_STATUS=MR","SCALING_FORMAT=MLN","Sort=A","Dates=H","DateFormat=P","Fill=—","Direction=H","UseDPDF=Y")</f>
        <v>0</v>
      </c>
    </row>
    <row r="44" spans="1:27" x14ac:dyDescent="0.25">
      <c r="A44" s="10" t="s">
        <v>1327</v>
      </c>
      <c r="B44" s="10" t="s">
        <v>1328</v>
      </c>
      <c r="C44" s="13" t="str">
        <f>_xll.BDH("AMGN US Equity","CF_LT_DEBT_CAP_LEAS_PROCEEDS","FQ4 2018","FQ4 2018","Currency=USD","Period=FQ","BEST_FPERIOD_OVERRIDE=FQ","FILING_STATUS=MR","SCALING_FORMAT=MLN","Sort=A","Dates=H","DateFormat=P","Fill=—","Direction=H","UseDPDF=Y")</f>
        <v>—</v>
      </c>
      <c r="D44" s="13">
        <f>_xll.BDH("AMGN US Equity","CF_LT_DEBT_CAP_LEAS_PROCEEDS","FQ1 2019","FQ1 2019","Currency=USD","Period=FQ","BEST_FPERIOD_OVERRIDE=FQ","FILING_STATUS=MR","SCALING_FORMAT=MLN","Sort=A","Dates=H","DateFormat=P","Fill=—","Direction=H","UseDPDF=Y")</f>
        <v>0</v>
      </c>
      <c r="E44" s="13">
        <f>_xll.BDH("AMGN US Equity","CF_LT_DEBT_CAP_LEAS_PROCEEDS","FQ2 2019","FQ2 2019","Currency=USD","Period=FQ","BEST_FPERIOD_OVERRIDE=FQ","FILING_STATUS=MR","SCALING_FORMAT=MLN","Sort=A","Dates=H","DateFormat=P","Fill=—","Direction=H","UseDPDF=Y")</f>
        <v>0</v>
      </c>
      <c r="F44" s="13">
        <f>_xll.BDH("AMGN US Equity","CF_LT_DEBT_CAP_LEAS_PROCEEDS","FQ3 2019","FQ3 2019","Currency=USD","Period=FQ","BEST_FPERIOD_OVERRIDE=FQ","FILING_STATUS=MR","SCALING_FORMAT=MLN","Sort=A","Dates=H","DateFormat=P","Fill=—","Direction=H","UseDPDF=Y")</f>
        <v>0</v>
      </c>
      <c r="G44" s="13">
        <f>_xll.BDH("AMGN US Equity","CF_LT_DEBT_CAP_LEAS_PROCEEDS","FQ4 2019","FQ4 2019","Currency=USD","Period=FQ","BEST_FPERIOD_OVERRIDE=FQ","FILING_STATUS=MR","SCALING_FORMAT=MLN","Sort=A","Dates=H","DateFormat=P","Fill=—","Direction=H","UseDPDF=Y")</f>
        <v>0</v>
      </c>
      <c r="H44" s="13">
        <f>_xll.BDH("AMGN US Equity","CF_LT_DEBT_CAP_LEAS_PROCEEDS","FQ1 2020","FQ1 2020","Currency=USD","Period=FQ","BEST_FPERIOD_OVERRIDE=FQ","FILING_STATUS=MR","SCALING_FORMAT=MLN","Sort=A","Dates=H","DateFormat=P","Fill=—","Direction=H","UseDPDF=Y")</f>
        <v>4963</v>
      </c>
      <c r="I44" s="13">
        <f>_xll.BDH("AMGN US Equity","CF_LT_DEBT_CAP_LEAS_PROCEEDS","FQ2 2020","FQ2 2020","Currency=USD","Period=FQ","BEST_FPERIOD_OVERRIDE=FQ","FILING_STATUS=MR","SCALING_FORMAT=MLN","Sort=A","Dates=H","DateFormat=P","Fill=—","Direction=H","UseDPDF=Y")</f>
        <v>4039</v>
      </c>
      <c r="J44" s="13" t="str">
        <f>_xll.BDH("AMGN US Equity","CF_LT_DEBT_CAP_LEAS_PROCEEDS","FQ3 2020","FQ3 2020","Currency=USD","Period=FQ","BEST_FPERIOD_OVERRIDE=FQ","FILING_STATUS=MR","SCALING_FORMAT=MLN","Sort=A","Dates=H","DateFormat=P","Fill=—","Direction=H","UseDPDF=Y")</f>
        <v>—</v>
      </c>
      <c r="K44" s="13" t="str">
        <f>_xll.BDH("AMGN US Equity","CF_LT_DEBT_CAP_LEAS_PROCEEDS","FQ4 2020","FQ4 2020","Currency=USD","Period=FQ","BEST_FPERIOD_OVERRIDE=FQ","FILING_STATUS=MR","SCALING_FORMAT=MLN","Sort=A","Dates=H","DateFormat=P","Fill=—","Direction=H","UseDPDF=Y")</f>
        <v>—</v>
      </c>
      <c r="L44" s="13">
        <f>_xll.BDH("AMGN US Equity","CF_LT_DEBT_CAP_LEAS_PROCEEDS","FQ1 2021","FQ1 2021","Currency=USD","Period=FQ","BEST_FPERIOD_OVERRIDE=FQ","FILING_STATUS=MR","SCALING_FORMAT=MLN","Sort=A","Dates=H","DateFormat=P","Fill=—","Direction=H","UseDPDF=Y")</f>
        <v>0</v>
      </c>
      <c r="M44" s="13">
        <f>_xll.BDH("AMGN US Equity","CF_LT_DEBT_CAP_LEAS_PROCEEDS","FQ2 2021","FQ2 2021","Currency=USD","Period=FQ","BEST_FPERIOD_OVERRIDE=FQ","FILING_STATUS=MR","SCALING_FORMAT=MLN","Sort=A","Dates=H","DateFormat=P","Fill=—","Direction=H","UseDPDF=Y")</f>
        <v>0</v>
      </c>
      <c r="N44" s="13">
        <f>_xll.BDH("AMGN US Equity","CF_LT_DEBT_CAP_LEAS_PROCEEDS","FQ3 2021","FQ3 2021","Currency=USD","Period=FQ","BEST_FPERIOD_OVERRIDE=FQ","FILING_STATUS=MR","SCALING_FORMAT=MLN","Sort=A","Dates=H","DateFormat=P","Fill=—","Direction=H","UseDPDF=Y")</f>
        <v>4946</v>
      </c>
      <c r="O44" s="13" t="str">
        <f>_xll.BDH("AMGN US Equity","CF_LT_DEBT_CAP_LEAS_PROCEEDS","FQ4 2021","FQ4 2021","Currency=USD","Period=FQ","BEST_FPERIOD_OVERRIDE=FQ","FILING_STATUS=MR","SCALING_FORMAT=MLN","Sort=A","Dates=H","DateFormat=P","Fill=—","Direction=H","UseDPDF=Y")</f>
        <v>—</v>
      </c>
      <c r="P44" s="13">
        <f>_xll.BDH("AMGN US Equity","CF_LT_DEBT_CAP_LEAS_PROCEEDS","FQ1 2022","FQ1 2022","Currency=USD","Period=FQ","BEST_FPERIOD_OVERRIDE=FQ","FILING_STATUS=MR","SCALING_FORMAT=MLN","Sort=A","Dates=H","DateFormat=P","Fill=—","Direction=H","UseDPDF=Y")</f>
        <v>3952</v>
      </c>
      <c r="Q44" s="13">
        <f>_xll.BDH("AMGN US Equity","CF_LT_DEBT_CAP_LEAS_PROCEEDS","FQ2 2022","FQ2 2022","Currency=USD","Period=FQ","BEST_FPERIOD_OVERRIDE=FQ","FILING_STATUS=MR","SCALING_FORMAT=MLN","Sort=A","Dates=H","DateFormat=P","Fill=—","Direction=H","UseDPDF=Y")</f>
        <v>2</v>
      </c>
      <c r="R44" s="13">
        <f>_xll.BDH("AMGN US Equity","CF_LT_DEBT_CAP_LEAS_PROCEEDS","FQ3 2022","FQ3 2022","Currency=USD","Period=FQ","BEST_FPERIOD_OVERRIDE=FQ","FILING_STATUS=MR","SCALING_FORMAT=MLN","Sort=A","Dates=H","DateFormat=P","Fill=—","Direction=H","UseDPDF=Y")</f>
        <v>2984</v>
      </c>
      <c r="S44" s="13">
        <f>_xll.BDH("AMGN US Equity","CF_LT_DEBT_CAP_LEAS_PROCEEDS","FQ4 2022","FQ4 2022","Currency=USD","Period=FQ","BEST_FPERIOD_OVERRIDE=FQ","FILING_STATUS=MR","SCALING_FORMAT=MLN","Sort=A","Dates=H","DateFormat=P","Fill=—","Direction=H","UseDPDF=Y")</f>
        <v>0</v>
      </c>
      <c r="T44" s="13">
        <f>_xll.BDH("AMGN US Equity","CF_LT_DEBT_CAP_LEAS_PROCEEDS","FQ1 2023","FQ1 2023","Currency=USD","Period=FQ","BEST_FPERIOD_OVERRIDE=FQ","FILING_STATUS=MR","SCALING_FORMAT=MLN","Sort=A","Dates=H","DateFormat=P","Fill=—","Direction=H","UseDPDF=Y")</f>
        <v>23798</v>
      </c>
      <c r="U44" s="13" t="str">
        <f>_xll.BDH("AMGN US Equity","CF_LT_DEBT_CAP_LEAS_PROCEEDS","FQ2 2023","FQ2 2023","Currency=USD","Period=FQ","BEST_FPERIOD_OVERRIDE=FQ","FILING_STATUS=MR","SCALING_FORMAT=MLN","Sort=A","Dates=H","DateFormat=P","Fill=—","Direction=H","UseDPDF=Y")</f>
        <v>—</v>
      </c>
      <c r="V44" s="13" t="str">
        <f>_xll.BDH("AMGN US Equity","CF_LT_DEBT_CAP_LEAS_PROCEEDS","FQ3 2023","FQ3 2023","Currency=USD","Period=FQ","BEST_FPERIOD_OVERRIDE=FQ","FILING_STATUS=MR","SCALING_FORMAT=MLN","Sort=A","Dates=H","DateFormat=P","Fill=—","Direction=H","UseDPDF=Y")</f>
        <v>—</v>
      </c>
      <c r="W44" s="13">
        <f>_xll.BDH("AMGN US Equity","CF_LT_DEBT_CAP_LEAS_PROCEEDS","FQ4 2023","FQ4 2023","Currency=USD","Period=FQ","BEST_FPERIOD_OVERRIDE=FQ","FILING_STATUS=MR","SCALING_FORMAT=MLN","Sort=A","Dates=H","DateFormat=P","Fill=—","Direction=H","UseDPDF=Y")</f>
        <v>3996</v>
      </c>
      <c r="X44" s="13">
        <f>_xll.BDH("AMGN US Equity","CF_LT_DEBT_CAP_LEAS_PROCEEDS","FQ1 2024","FQ1 2024","Currency=USD","Period=FQ","BEST_FPERIOD_OVERRIDE=FQ","FILING_STATUS=MR","SCALING_FORMAT=MLN","Sort=A","Dates=H","DateFormat=P","Fill=—","Direction=H","UseDPDF=Y")</f>
        <v>0</v>
      </c>
      <c r="Y44" s="13">
        <f>_xll.BDH("AMGN US Equity","CF_LT_DEBT_CAP_LEAS_PROCEEDS","FQ2 2024","FQ2 2024","Currency=USD","Period=FQ","BEST_FPERIOD_OVERRIDE=FQ","FILING_STATUS=MR","SCALING_FORMAT=MLN","Sort=A","Dates=H","DateFormat=P","Fill=—","Direction=H","UseDPDF=Y")</f>
        <v>0</v>
      </c>
      <c r="Z44" s="13">
        <f>_xll.BDH("AMGN US Equity","CF_LT_DEBT_CAP_LEAS_PROCEEDS","FQ3 2024","FQ3 2024","Currency=USD","Period=FQ","BEST_FPERIOD_OVERRIDE=FQ","FILING_STATUS=MR","SCALING_FORMAT=MLN","Sort=A","Dates=H","DateFormat=P","Fill=—","Direction=H","UseDPDF=Y")</f>
        <v>0</v>
      </c>
      <c r="AA44" s="13">
        <f>_xll.BDH("AMGN US Equity","CF_LT_DEBT_CAP_LEAS_PROCEEDS","FQ4 2024","FQ4 2024","Currency=USD","Period=FQ","BEST_FPERIOD_OVERRIDE=FQ","FILING_STATUS=MR","SCALING_FORMAT=MLN","Sort=A","Dates=H","DateFormat=P","Fill=—","Direction=H","UseDPDF=Y")</f>
        <v>0</v>
      </c>
    </row>
    <row r="45" spans="1:27" x14ac:dyDescent="0.25">
      <c r="A45" s="10" t="s">
        <v>1329</v>
      </c>
      <c r="B45" s="10" t="s">
        <v>1330</v>
      </c>
      <c r="C45" s="13">
        <f>_xll.BDH("AMGN US Equity","CF_LT_DEBT_CAP_LEAS_PAYMENT","FQ4 2018","FQ4 2018","Currency=USD","Period=FQ","BEST_FPERIOD_OVERRIDE=FQ","FILING_STATUS=MR","SCALING_FORMAT=MLN","Sort=A","Dates=H","DateFormat=P","Fill=—","Direction=H","UseDPDF=Y")</f>
        <v>-621</v>
      </c>
      <c r="D45" s="13">
        <f>_xll.BDH("AMGN US Equity","CF_LT_DEBT_CAP_LEAS_PAYMENT","FQ1 2019","FQ1 2019","Currency=USD","Period=FQ","BEST_FPERIOD_OVERRIDE=FQ","FILING_STATUS=MR","SCALING_FORMAT=MLN","Sort=A","Dates=H","DateFormat=P","Fill=—","Direction=H","UseDPDF=Y")</f>
        <v>-1000</v>
      </c>
      <c r="E45" s="13">
        <f>_xll.BDH("AMGN US Equity","CF_LT_DEBT_CAP_LEAS_PAYMENT","FQ2 2019","FQ2 2019","Currency=USD","Period=FQ","BEST_FPERIOD_OVERRIDE=FQ","FILING_STATUS=MR","SCALING_FORMAT=MLN","Sort=A","Dates=H","DateFormat=P","Fill=—","Direction=H","UseDPDF=Y")</f>
        <v>-2650</v>
      </c>
      <c r="F45" s="13">
        <f>_xll.BDH("AMGN US Equity","CF_LT_DEBT_CAP_LEAS_PAYMENT","FQ3 2019","FQ3 2019","Currency=USD","Period=FQ","BEST_FPERIOD_OVERRIDE=FQ","FILING_STATUS=MR","SCALING_FORMAT=MLN","Sort=A","Dates=H","DateFormat=P","Fill=—","Direction=H","UseDPDF=Y")</f>
        <v>-864</v>
      </c>
      <c r="G45" s="13">
        <f>_xll.BDH("AMGN US Equity","CF_LT_DEBT_CAP_LEAS_PAYMENT","FQ4 2019","FQ4 2019","Currency=USD","Period=FQ","BEST_FPERIOD_OVERRIDE=FQ","FILING_STATUS=MR","SCALING_FORMAT=MLN","Sort=A","Dates=H","DateFormat=P","Fill=—","Direction=H","UseDPDF=Y")</f>
        <v>0</v>
      </c>
      <c r="H45" s="13">
        <f>_xll.BDH("AMGN US Equity","CF_LT_DEBT_CAP_LEAS_PAYMENT","FQ1 2020","FQ1 2020","Currency=USD","Period=FQ","BEST_FPERIOD_OVERRIDE=FQ","FILING_STATUS=MR","SCALING_FORMAT=MLN","Sort=A","Dates=H","DateFormat=P","Fill=—","Direction=H","UseDPDF=Y")</f>
        <v>-3250</v>
      </c>
      <c r="I45" s="13">
        <f>_xll.BDH("AMGN US Equity","CF_LT_DEBT_CAP_LEAS_PAYMENT","FQ2 2020","FQ2 2020","Currency=USD","Period=FQ","BEST_FPERIOD_OVERRIDE=FQ","FILING_STATUS=MR","SCALING_FORMAT=MLN","Sort=A","Dates=H","DateFormat=P","Fill=—","Direction=H","UseDPDF=Y")</f>
        <v>-1750</v>
      </c>
      <c r="J45" s="13" t="str">
        <f>_xll.BDH("AMGN US Equity","CF_LT_DEBT_CAP_LEAS_PAYMENT","FQ3 2020","FQ3 2020","Currency=USD","Period=FQ","BEST_FPERIOD_OVERRIDE=FQ","FILING_STATUS=MR","SCALING_FORMAT=MLN","Sort=A","Dates=H","DateFormat=P","Fill=—","Direction=H","UseDPDF=Y")</f>
        <v>—</v>
      </c>
      <c r="K45" s="13" t="str">
        <f>_xll.BDH("AMGN US Equity","CF_LT_DEBT_CAP_LEAS_PAYMENT","FQ4 2020","FQ4 2020","Currency=USD","Period=FQ","BEST_FPERIOD_OVERRIDE=FQ","FILING_STATUS=MR","SCALING_FORMAT=MLN","Sort=A","Dates=H","DateFormat=P","Fill=—","Direction=H","UseDPDF=Y")</f>
        <v>—</v>
      </c>
      <c r="L45" s="13">
        <f>_xll.BDH("AMGN US Equity","CF_LT_DEBT_CAP_LEAS_PAYMENT","FQ1 2021","FQ1 2021","Currency=USD","Period=FQ","BEST_FPERIOD_OVERRIDE=FQ","FILING_STATUS=MR","SCALING_FORMAT=MLN","Sort=A","Dates=H","DateFormat=P","Fill=—","Direction=H","UseDPDF=Y")</f>
        <v>0</v>
      </c>
      <c r="M45" s="13">
        <f>_xll.BDH("AMGN US Equity","CF_LT_DEBT_CAP_LEAS_PAYMENT","FQ2 2021","FQ2 2021","Currency=USD","Period=FQ","BEST_FPERIOD_OVERRIDE=FQ","FILING_STATUS=MR","SCALING_FORMAT=MLN","Sort=A","Dates=H","DateFormat=P","Fill=—","Direction=H","UseDPDF=Y")</f>
        <v>0</v>
      </c>
      <c r="N45" s="13">
        <f>_xll.BDH("AMGN US Equity","CF_LT_DEBT_CAP_LEAS_PAYMENT","FQ3 2021","FQ3 2021","Currency=USD","Period=FQ","BEST_FPERIOD_OVERRIDE=FQ","FILING_STATUS=MR","SCALING_FORMAT=MLN","Sort=A","Dates=H","DateFormat=P","Fill=—","Direction=H","UseDPDF=Y")</f>
        <v>0</v>
      </c>
      <c r="O45" s="13" t="str">
        <f>_xll.BDH("AMGN US Equity","CF_LT_DEBT_CAP_LEAS_PAYMENT","FQ4 2021","FQ4 2021","Currency=USD","Period=FQ","BEST_FPERIOD_OVERRIDE=FQ","FILING_STATUS=MR","SCALING_FORMAT=MLN","Sort=A","Dates=H","DateFormat=P","Fill=—","Direction=H","UseDPDF=Y")</f>
        <v>—</v>
      </c>
      <c r="P45" s="13">
        <f>_xll.BDH("AMGN US Equity","CF_LT_DEBT_CAP_LEAS_PAYMENT","FQ1 2022","FQ1 2022","Currency=USD","Period=FQ","BEST_FPERIOD_OVERRIDE=FQ","FILING_STATUS=MR","SCALING_FORMAT=MLN","Sort=A","Dates=H","DateFormat=P","Fill=—","Direction=H","UseDPDF=Y")</f>
        <v>0</v>
      </c>
      <c r="Q45" s="13">
        <f>_xll.BDH("AMGN US Equity","CF_LT_DEBT_CAP_LEAS_PAYMENT","FQ2 2022","FQ2 2022","Currency=USD","Period=FQ","BEST_FPERIOD_OVERRIDE=FQ","FILING_STATUS=MR","SCALING_FORMAT=MLN","Sort=A","Dates=H","DateFormat=P","Fill=—","Direction=H","UseDPDF=Y")</f>
        <v>0</v>
      </c>
      <c r="R45" s="13">
        <f>_xll.BDH("AMGN US Equity","CF_LT_DEBT_CAP_LEAS_PAYMENT","FQ3 2022","FQ3 2022","Currency=USD","Period=FQ","BEST_FPERIOD_OVERRIDE=FQ","FILING_STATUS=MR","SCALING_FORMAT=MLN","Sort=A","Dates=H","DateFormat=P","Fill=—","Direction=H","UseDPDF=Y")</f>
        <v>0</v>
      </c>
      <c r="S45" s="13">
        <f>_xll.BDH("AMGN US Equity","CF_LT_DEBT_CAP_LEAS_PAYMENT","FQ4 2022","FQ4 2022","Currency=USD","Period=FQ","BEST_FPERIOD_OVERRIDE=FQ","FILING_STATUS=MR","SCALING_FORMAT=MLN","Sort=A","Dates=H","DateFormat=P","Fill=—","Direction=H","UseDPDF=Y")</f>
        <v>-19</v>
      </c>
      <c r="T45" s="13">
        <f>_xll.BDH("AMGN US Equity","CF_LT_DEBT_CAP_LEAS_PAYMENT","FQ1 2023","FQ1 2023","Currency=USD","Period=FQ","BEST_FPERIOD_OVERRIDE=FQ","FILING_STATUS=MR","SCALING_FORMAT=MLN","Sort=A","Dates=H","DateFormat=P","Fill=—","Direction=H","UseDPDF=Y")</f>
        <v>-1124</v>
      </c>
      <c r="U45" s="13" t="str">
        <f>_xll.BDH("AMGN US Equity","CF_LT_DEBT_CAP_LEAS_PAYMENT","FQ2 2023","FQ2 2023","Currency=USD","Period=FQ","BEST_FPERIOD_OVERRIDE=FQ","FILING_STATUS=MR","SCALING_FORMAT=MLN","Sort=A","Dates=H","DateFormat=P","Fill=—","Direction=H","UseDPDF=Y")</f>
        <v>—</v>
      </c>
      <c r="V45" s="13" t="str">
        <f>_xll.BDH("AMGN US Equity","CF_LT_DEBT_CAP_LEAS_PAYMENT","FQ3 2023","FQ3 2023","Currency=USD","Period=FQ","BEST_FPERIOD_OVERRIDE=FQ","FILING_STATUS=MR","SCALING_FORMAT=MLN","Sort=A","Dates=H","DateFormat=P","Fill=—","Direction=H","UseDPDF=Y")</f>
        <v>—</v>
      </c>
      <c r="W45" s="13">
        <f>_xll.BDH("AMGN US Equity","CF_LT_DEBT_CAP_LEAS_PAYMENT","FQ4 2023","FQ4 2023","Currency=USD","Period=FQ","BEST_FPERIOD_OVERRIDE=FQ","FILING_STATUS=MR","SCALING_FORMAT=MLN","Sort=A","Dates=H","DateFormat=P","Fill=—","Direction=H","UseDPDF=Y")</f>
        <v>-647</v>
      </c>
      <c r="X45" s="13">
        <f>_xll.BDH("AMGN US Equity","CF_LT_DEBT_CAP_LEAS_PAYMENT","FQ1 2024","FQ1 2024","Currency=USD","Period=FQ","BEST_FPERIOD_OVERRIDE=FQ","FILING_STATUS=MR","SCALING_FORMAT=MLN","Sort=A","Dates=H","DateFormat=P","Fill=—","Direction=H","UseDPDF=Y")</f>
        <v>-410</v>
      </c>
      <c r="Y45" s="13">
        <f>_xll.BDH("AMGN US Equity","CF_LT_DEBT_CAP_LEAS_PAYMENT","FQ2 2024","FQ2 2024","Currency=USD","Period=FQ","BEST_FPERIOD_OVERRIDE=FQ","FILING_STATUS=MR","SCALING_FORMAT=MLN","Sort=A","Dates=H","DateFormat=P","Fill=—","Direction=H","UseDPDF=Y")</f>
        <v>-1400</v>
      </c>
      <c r="Z45" s="13">
        <f>_xll.BDH("AMGN US Equity","CF_LT_DEBT_CAP_LEAS_PAYMENT","FQ3 2024","FQ3 2024","Currency=USD","Period=FQ","BEST_FPERIOD_OVERRIDE=FQ","FILING_STATUS=MR","SCALING_FORMAT=MLN","Sort=A","Dates=H","DateFormat=P","Fill=—","Direction=H","UseDPDF=Y")</f>
        <v>-1790</v>
      </c>
      <c r="AA45" s="13">
        <f>_xll.BDH("AMGN US Equity","CF_LT_DEBT_CAP_LEAS_PAYMENT","FQ4 2024","FQ4 2024","Currency=USD","Period=FQ","BEST_FPERIOD_OVERRIDE=FQ","FILING_STATUS=MR","SCALING_FORMAT=MLN","Sort=A","Dates=H","DateFormat=P","Fill=—","Direction=H","UseDPDF=Y")</f>
        <v>-659</v>
      </c>
    </row>
    <row r="46" spans="1:27" x14ac:dyDescent="0.25">
      <c r="A46" s="10" t="s">
        <v>1331</v>
      </c>
      <c r="B46" s="10" t="s">
        <v>1332</v>
      </c>
      <c r="C46" s="13">
        <f>_xll.BDH("AMGN US Equity","PROC_FR_REPURCH_EQTY_DETAILED","FQ4 2018","FQ4 2018","Currency=USD","Period=FQ","BEST_FPERIOD_OVERRIDE=FQ","FILING_STATUS=MR","SCALING_FORMAT=MLN","Sort=A","Dates=H","DateFormat=P","Fill=—","Direction=H","UseDPDF=Y")</f>
        <v>-2250</v>
      </c>
      <c r="D46" s="13">
        <f>_xll.BDH("AMGN US Equity","PROC_FR_REPURCH_EQTY_DETAILED","FQ1 2019","FQ1 2019","Currency=USD","Period=FQ","BEST_FPERIOD_OVERRIDE=FQ","FILING_STATUS=MR","SCALING_FORMAT=MLN","Sort=A","Dates=H","DateFormat=P","Fill=—","Direction=H","UseDPDF=Y")</f>
        <v>-3032</v>
      </c>
      <c r="E46" s="13">
        <f>_xll.BDH("AMGN US Equity","PROC_FR_REPURCH_EQTY_DETAILED","FQ2 2019","FQ2 2019","Currency=USD","Period=FQ","BEST_FPERIOD_OVERRIDE=FQ","FILING_STATUS=MR","SCALING_FORMAT=MLN","Sort=A","Dates=H","DateFormat=P","Fill=—","Direction=H","UseDPDF=Y")</f>
        <v>-2415</v>
      </c>
      <c r="F46" s="13">
        <f>_xll.BDH("AMGN US Equity","PROC_FR_REPURCH_EQTY_DETAILED","FQ3 2019","FQ3 2019","Currency=USD","Period=FQ","BEST_FPERIOD_OVERRIDE=FQ","FILING_STATUS=MR","SCALING_FORMAT=MLN","Sort=A","Dates=H","DateFormat=P","Fill=—","Direction=H","UseDPDF=Y")</f>
        <v>-1161</v>
      </c>
      <c r="G46" s="13">
        <f>_xll.BDH("AMGN US Equity","PROC_FR_REPURCH_EQTY_DETAILED","FQ4 2019","FQ4 2019","Currency=USD","Period=FQ","BEST_FPERIOD_OVERRIDE=FQ","FILING_STATUS=MR","SCALING_FORMAT=MLN","Sort=A","Dates=H","DateFormat=P","Fill=—","Direction=H","UseDPDF=Y")</f>
        <v>-1231</v>
      </c>
      <c r="H46" s="13">
        <f>_xll.BDH("AMGN US Equity","PROC_FR_REPURCH_EQTY_DETAILED","FQ1 2020","FQ1 2020","Currency=USD","Period=FQ","BEST_FPERIOD_OVERRIDE=FQ","FILING_STATUS=MR","SCALING_FORMAT=MLN","Sort=A","Dates=H","DateFormat=P","Fill=—","Direction=H","UseDPDF=Y")</f>
        <v>-961</v>
      </c>
      <c r="I46" s="13">
        <f>_xll.BDH("AMGN US Equity","PROC_FR_REPURCH_EQTY_DETAILED","FQ2 2020","FQ2 2020","Currency=USD","Period=FQ","BEST_FPERIOD_OVERRIDE=FQ","FILING_STATUS=MR","SCALING_FORMAT=MLN","Sort=A","Dates=H","DateFormat=P","Fill=—","Direction=H","UseDPDF=Y")</f>
        <v>-555</v>
      </c>
      <c r="J46" s="13">
        <f>_xll.BDH("AMGN US Equity","PROC_FR_REPURCH_EQTY_DETAILED","FQ3 2020","FQ3 2020","Currency=USD","Period=FQ","BEST_FPERIOD_OVERRIDE=FQ","FILING_STATUS=MR","SCALING_FORMAT=MLN","Sort=A","Dates=H","DateFormat=P","Fill=—","Direction=H","UseDPDF=Y")</f>
        <v>-765</v>
      </c>
      <c r="K46" s="13">
        <f>_xll.BDH("AMGN US Equity","PROC_FR_REPURCH_EQTY_DETAILED","FQ4 2020","FQ4 2020","Currency=USD","Period=FQ","BEST_FPERIOD_OVERRIDE=FQ","FILING_STATUS=MR","SCALING_FORMAT=MLN","Sort=A","Dates=H","DateFormat=P","Fill=—","Direction=H","UseDPDF=Y")</f>
        <v>-1205</v>
      </c>
      <c r="L46" s="13">
        <f>_xll.BDH("AMGN US Equity","PROC_FR_REPURCH_EQTY_DETAILED","FQ1 2021","FQ1 2021","Currency=USD","Period=FQ","BEST_FPERIOD_OVERRIDE=FQ","FILING_STATUS=MR","SCALING_FORMAT=MLN","Sort=A","Dates=H","DateFormat=P","Fill=—","Direction=H","UseDPDF=Y")</f>
        <v>-871</v>
      </c>
      <c r="M46" s="13">
        <f>_xll.BDH("AMGN US Equity","PROC_FR_REPURCH_EQTY_DETAILED","FQ2 2021","FQ2 2021","Currency=USD","Period=FQ","BEST_FPERIOD_OVERRIDE=FQ","FILING_STATUS=MR","SCALING_FORMAT=MLN","Sort=A","Dates=H","DateFormat=P","Fill=—","Direction=H","UseDPDF=Y")</f>
        <v>-1581</v>
      </c>
      <c r="N46" s="13">
        <f>_xll.BDH("AMGN US Equity","PROC_FR_REPURCH_EQTY_DETAILED","FQ3 2021","FQ3 2021","Currency=USD","Period=FQ","BEST_FPERIOD_OVERRIDE=FQ","FILING_STATUS=MR","SCALING_FORMAT=MLN","Sort=A","Dates=H","DateFormat=P","Fill=—","Direction=H","UseDPDF=Y")</f>
        <v>-1080</v>
      </c>
      <c r="O46" s="13">
        <f>_xll.BDH("AMGN US Equity","PROC_FR_REPURCH_EQTY_DETAILED","FQ4 2021","FQ4 2021","Currency=USD","Period=FQ","BEST_FPERIOD_OVERRIDE=FQ","FILING_STATUS=MR","SCALING_FORMAT=MLN","Sort=A","Dates=H","DateFormat=P","Fill=—","Direction=H","UseDPDF=Y")</f>
        <v>-1443</v>
      </c>
      <c r="P46" s="13">
        <f>_xll.BDH("AMGN US Equity","PROC_FR_REPURCH_EQTY_DETAILED","FQ1 2022","FQ1 2022","Currency=USD","Period=FQ","BEST_FPERIOD_OVERRIDE=FQ","FILING_STATUS=MR","SCALING_FORMAT=MLN","Sort=A","Dates=H","DateFormat=P","Fill=—","Direction=H","UseDPDF=Y")</f>
        <v>-6360</v>
      </c>
      <c r="Q46" s="13">
        <f>_xll.BDH("AMGN US Equity","PROC_FR_REPURCH_EQTY_DETAILED","FQ2 2022","FQ2 2022","Currency=USD","Period=FQ","BEST_FPERIOD_OVERRIDE=FQ","FILING_STATUS=MR","SCALING_FORMAT=MLN","Sort=A","Dates=H","DateFormat=P","Fill=—","Direction=H","UseDPDF=Y")</f>
        <v>0</v>
      </c>
      <c r="R46" s="13">
        <f>_xll.BDH("AMGN US Equity","PROC_FR_REPURCH_EQTY_DETAILED","FQ3 2022","FQ3 2022","Currency=USD","Period=FQ","BEST_FPERIOD_OVERRIDE=FQ","FILING_STATUS=MR","SCALING_FORMAT=MLN","Sort=A","Dates=H","DateFormat=P","Fill=—","Direction=H","UseDPDF=Y")</f>
        <v>0</v>
      </c>
      <c r="S46" s="13">
        <f>_xll.BDH("AMGN US Equity","PROC_FR_REPURCH_EQTY_DETAILED","FQ4 2022","FQ4 2022","Currency=USD","Period=FQ","BEST_FPERIOD_OVERRIDE=FQ","FILING_STATUS=MR","SCALING_FORMAT=MLN","Sort=A","Dates=H","DateFormat=P","Fill=—","Direction=H","UseDPDF=Y")</f>
        <v>0</v>
      </c>
      <c r="T46" s="13">
        <f>_xll.BDH("AMGN US Equity","PROC_FR_REPURCH_EQTY_DETAILED","FQ1 2023","FQ1 2023","Currency=USD","Period=FQ","BEST_FPERIOD_OVERRIDE=FQ","FILING_STATUS=MR","SCALING_FORMAT=MLN","Sort=A","Dates=H","DateFormat=P","Fill=—","Direction=H","UseDPDF=Y")</f>
        <v>0</v>
      </c>
      <c r="U46" s="13">
        <f>_xll.BDH("AMGN US Equity","PROC_FR_REPURCH_EQTY_DETAILED","FQ2 2023","FQ2 2023","Currency=USD","Period=FQ","BEST_FPERIOD_OVERRIDE=FQ","FILING_STATUS=MR","SCALING_FORMAT=MLN","Sort=A","Dates=H","DateFormat=P","Fill=—","Direction=H","UseDPDF=Y")</f>
        <v>0</v>
      </c>
      <c r="V46" s="13">
        <f>_xll.BDH("AMGN US Equity","PROC_FR_REPURCH_EQTY_DETAILED","FQ3 2023","FQ3 2023","Currency=USD","Period=FQ","BEST_FPERIOD_OVERRIDE=FQ","FILING_STATUS=MR","SCALING_FORMAT=MLN","Sort=A","Dates=H","DateFormat=P","Fill=—","Direction=H","UseDPDF=Y")</f>
        <v>0</v>
      </c>
      <c r="W46" s="13">
        <f>_xll.BDH("AMGN US Equity","PROC_FR_REPURCH_EQTY_DETAILED","FQ4 2023","FQ4 2023","Currency=USD","Period=FQ","BEST_FPERIOD_OVERRIDE=FQ","FILING_STATUS=MR","SCALING_FORMAT=MLN","Sort=A","Dates=H","DateFormat=P","Fill=—","Direction=H","UseDPDF=Y")</f>
        <v>0</v>
      </c>
      <c r="X46" s="13">
        <f>_xll.BDH("AMGN US Equity","PROC_FR_REPURCH_EQTY_DETAILED","FQ1 2024","FQ1 2024","Currency=USD","Period=FQ","BEST_FPERIOD_OVERRIDE=FQ","FILING_STATUS=MR","SCALING_FORMAT=MLN","Sort=A","Dates=H","DateFormat=P","Fill=—","Direction=H","UseDPDF=Y")</f>
        <v>0</v>
      </c>
      <c r="Y46" s="13">
        <f>_xll.BDH("AMGN US Equity","PROC_FR_REPURCH_EQTY_DETAILED","FQ2 2024","FQ2 2024","Currency=USD","Period=FQ","BEST_FPERIOD_OVERRIDE=FQ","FILING_STATUS=MR","SCALING_FORMAT=MLN","Sort=A","Dates=H","DateFormat=P","Fill=—","Direction=H","UseDPDF=Y")</f>
        <v>0</v>
      </c>
      <c r="Z46" s="13">
        <f>_xll.BDH("AMGN US Equity","PROC_FR_REPURCH_EQTY_DETAILED","FQ3 2024","FQ3 2024","Currency=USD","Period=FQ","BEST_FPERIOD_OVERRIDE=FQ","FILING_STATUS=MR","SCALING_FORMAT=MLN","Sort=A","Dates=H","DateFormat=P","Fill=—","Direction=H","UseDPDF=Y")</f>
        <v>0</v>
      </c>
      <c r="AA46" s="13">
        <f>_xll.BDH("AMGN US Equity","PROC_FR_REPURCH_EQTY_DETAILED","FQ4 2024","FQ4 2024","Currency=USD","Period=FQ","BEST_FPERIOD_OVERRIDE=FQ","FILING_STATUS=MR","SCALING_FORMAT=MLN","Sort=A","Dates=H","DateFormat=P","Fill=—","Direction=H","UseDPDF=Y")</f>
        <v>-200</v>
      </c>
    </row>
    <row r="47" spans="1:27" x14ac:dyDescent="0.25">
      <c r="A47" s="10" t="s">
        <v>1333</v>
      </c>
      <c r="B47" s="10" t="s">
        <v>1334</v>
      </c>
      <c r="C47" s="13">
        <f>_xll.BDH("AMGN US Equity","CF_INCR_CAP_STOCK","FQ4 2018","FQ4 2018","Currency=USD","Period=FQ","BEST_FPERIOD_OVERRIDE=FQ","FILING_STATUS=MR","SCALING_FORMAT=MLN","Sort=A","Dates=H","DateFormat=P","Fill=—","Direction=H","UseDPDF=Y")</f>
        <v>0</v>
      </c>
      <c r="D47" s="13">
        <f>_xll.BDH("AMGN US Equity","CF_INCR_CAP_STOCK","FQ1 2019","FQ1 2019","Currency=USD","Period=FQ","BEST_FPERIOD_OVERRIDE=FQ","FILING_STATUS=MR","SCALING_FORMAT=MLN","Sort=A","Dates=H","DateFormat=P","Fill=—","Direction=H","UseDPDF=Y")</f>
        <v>0</v>
      </c>
      <c r="E47" s="13">
        <f>_xll.BDH("AMGN US Equity","CF_INCR_CAP_STOCK","FQ2 2019","FQ2 2019","Currency=USD","Period=FQ","BEST_FPERIOD_OVERRIDE=FQ","FILING_STATUS=MR","SCALING_FORMAT=MLN","Sort=A","Dates=H","DateFormat=P","Fill=—","Direction=H","UseDPDF=Y")</f>
        <v>0</v>
      </c>
      <c r="F47" s="13">
        <f>_xll.BDH("AMGN US Equity","CF_INCR_CAP_STOCK","FQ3 2019","FQ3 2019","Currency=USD","Period=FQ","BEST_FPERIOD_OVERRIDE=FQ","FILING_STATUS=MR","SCALING_FORMAT=MLN","Sort=A","Dates=H","DateFormat=P","Fill=—","Direction=H","UseDPDF=Y")</f>
        <v>0</v>
      </c>
      <c r="G47" s="13">
        <f>_xll.BDH("AMGN US Equity","CF_INCR_CAP_STOCK","FQ4 2019","FQ4 2019","Currency=USD","Period=FQ","BEST_FPERIOD_OVERRIDE=FQ","FILING_STATUS=MR","SCALING_FORMAT=MLN","Sort=A","Dates=H","DateFormat=P","Fill=—","Direction=H","UseDPDF=Y")</f>
        <v>0</v>
      </c>
      <c r="H47" s="13">
        <f>_xll.BDH("AMGN US Equity","CF_INCR_CAP_STOCK","FQ1 2020","FQ1 2020","Currency=USD","Period=FQ","BEST_FPERIOD_OVERRIDE=FQ","FILING_STATUS=MR","SCALING_FORMAT=MLN","Sort=A","Dates=H","DateFormat=P","Fill=—","Direction=H","UseDPDF=Y")</f>
        <v>0</v>
      </c>
      <c r="I47" s="13">
        <f>_xll.BDH("AMGN US Equity","CF_INCR_CAP_STOCK","FQ2 2020","FQ2 2020","Currency=USD","Period=FQ","BEST_FPERIOD_OVERRIDE=FQ","FILING_STATUS=MR","SCALING_FORMAT=MLN","Sort=A","Dates=H","DateFormat=P","Fill=—","Direction=H","UseDPDF=Y")</f>
        <v>0</v>
      </c>
      <c r="J47" s="13">
        <f>_xll.BDH("AMGN US Equity","CF_INCR_CAP_STOCK","FQ3 2020","FQ3 2020","Currency=USD","Period=FQ","BEST_FPERIOD_OVERRIDE=FQ","FILING_STATUS=MR","SCALING_FORMAT=MLN","Sort=A","Dates=H","DateFormat=P","Fill=—","Direction=H","UseDPDF=Y")</f>
        <v>0</v>
      </c>
      <c r="K47" s="13">
        <f>_xll.BDH("AMGN US Equity","CF_INCR_CAP_STOCK","FQ4 2020","FQ4 2020","Currency=USD","Period=FQ","BEST_FPERIOD_OVERRIDE=FQ","FILING_STATUS=MR","SCALING_FORMAT=MLN","Sort=A","Dates=H","DateFormat=P","Fill=—","Direction=H","UseDPDF=Y")</f>
        <v>0</v>
      </c>
      <c r="L47" s="13">
        <f>_xll.BDH("AMGN US Equity","CF_INCR_CAP_STOCK","FQ1 2021","FQ1 2021","Currency=USD","Period=FQ","BEST_FPERIOD_OVERRIDE=FQ","FILING_STATUS=MR","SCALING_FORMAT=MLN","Sort=A","Dates=H","DateFormat=P","Fill=—","Direction=H","UseDPDF=Y")</f>
        <v>0</v>
      </c>
      <c r="M47" s="13">
        <f>_xll.BDH("AMGN US Equity","CF_INCR_CAP_STOCK","FQ2 2021","FQ2 2021","Currency=USD","Period=FQ","BEST_FPERIOD_OVERRIDE=FQ","FILING_STATUS=MR","SCALING_FORMAT=MLN","Sort=A","Dates=H","DateFormat=P","Fill=—","Direction=H","UseDPDF=Y")</f>
        <v>0</v>
      </c>
      <c r="N47" s="13">
        <f>_xll.BDH("AMGN US Equity","CF_INCR_CAP_STOCK","FQ3 2021","FQ3 2021","Currency=USD","Period=FQ","BEST_FPERIOD_OVERRIDE=FQ","FILING_STATUS=MR","SCALING_FORMAT=MLN","Sort=A","Dates=H","DateFormat=P","Fill=—","Direction=H","UseDPDF=Y")</f>
        <v>0</v>
      </c>
      <c r="O47" s="13">
        <f>_xll.BDH("AMGN US Equity","CF_INCR_CAP_STOCK","FQ4 2021","FQ4 2021","Currency=USD","Period=FQ","BEST_FPERIOD_OVERRIDE=FQ","FILING_STATUS=MR","SCALING_FORMAT=MLN","Sort=A","Dates=H","DateFormat=P","Fill=—","Direction=H","UseDPDF=Y")</f>
        <v>0</v>
      </c>
      <c r="P47" s="13">
        <f>_xll.BDH("AMGN US Equity","CF_INCR_CAP_STOCK","FQ1 2022","FQ1 2022","Currency=USD","Period=FQ","BEST_FPERIOD_OVERRIDE=FQ","FILING_STATUS=MR","SCALING_FORMAT=MLN","Sort=A","Dates=H","DateFormat=P","Fill=—","Direction=H","UseDPDF=Y")</f>
        <v>0</v>
      </c>
      <c r="Q47" s="13">
        <f>_xll.BDH("AMGN US Equity","CF_INCR_CAP_STOCK","FQ2 2022","FQ2 2022","Currency=USD","Period=FQ","BEST_FPERIOD_OVERRIDE=FQ","FILING_STATUS=MR","SCALING_FORMAT=MLN","Sort=A","Dates=H","DateFormat=P","Fill=—","Direction=H","UseDPDF=Y")</f>
        <v>0</v>
      </c>
      <c r="R47" s="13">
        <f>_xll.BDH("AMGN US Equity","CF_INCR_CAP_STOCK","FQ3 2022","FQ3 2022","Currency=USD","Period=FQ","BEST_FPERIOD_OVERRIDE=FQ","FILING_STATUS=MR","SCALING_FORMAT=MLN","Sort=A","Dates=H","DateFormat=P","Fill=—","Direction=H","UseDPDF=Y")</f>
        <v>0</v>
      </c>
      <c r="S47" s="13">
        <f>_xll.BDH("AMGN US Equity","CF_INCR_CAP_STOCK","FQ4 2022","FQ4 2022","Currency=USD","Period=FQ","BEST_FPERIOD_OVERRIDE=FQ","FILING_STATUS=MR","SCALING_FORMAT=MLN","Sort=A","Dates=H","DateFormat=P","Fill=—","Direction=H","UseDPDF=Y")</f>
        <v>0</v>
      </c>
      <c r="T47" s="13">
        <f>_xll.BDH("AMGN US Equity","CF_INCR_CAP_STOCK","FQ1 2023","FQ1 2023","Currency=USD","Period=FQ","BEST_FPERIOD_OVERRIDE=FQ","FILING_STATUS=MR","SCALING_FORMAT=MLN","Sort=A","Dates=H","DateFormat=P","Fill=—","Direction=H","UseDPDF=Y")</f>
        <v>0</v>
      </c>
      <c r="U47" s="13">
        <f>_xll.BDH("AMGN US Equity","CF_INCR_CAP_STOCK","FQ2 2023","FQ2 2023","Currency=USD","Period=FQ","BEST_FPERIOD_OVERRIDE=FQ","FILING_STATUS=MR","SCALING_FORMAT=MLN","Sort=A","Dates=H","DateFormat=P","Fill=—","Direction=H","UseDPDF=Y")</f>
        <v>0</v>
      </c>
      <c r="V47" s="13">
        <f>_xll.BDH("AMGN US Equity","CF_INCR_CAP_STOCK","FQ3 2023","FQ3 2023","Currency=USD","Period=FQ","BEST_FPERIOD_OVERRIDE=FQ","FILING_STATUS=MR","SCALING_FORMAT=MLN","Sort=A","Dates=H","DateFormat=P","Fill=—","Direction=H","UseDPDF=Y")</f>
        <v>0</v>
      </c>
      <c r="W47" s="13">
        <f>_xll.BDH("AMGN US Equity","CF_INCR_CAP_STOCK","FQ4 2023","FQ4 2023","Currency=USD","Period=FQ","BEST_FPERIOD_OVERRIDE=FQ","FILING_STATUS=MR","SCALING_FORMAT=MLN","Sort=A","Dates=H","DateFormat=P","Fill=—","Direction=H","UseDPDF=Y")</f>
        <v>0</v>
      </c>
      <c r="X47" s="13">
        <f>_xll.BDH("AMGN US Equity","CF_INCR_CAP_STOCK","FQ1 2024","FQ1 2024","Currency=USD","Period=FQ","BEST_FPERIOD_OVERRIDE=FQ","FILING_STATUS=MR","SCALING_FORMAT=MLN","Sort=A","Dates=H","DateFormat=P","Fill=—","Direction=H","UseDPDF=Y")</f>
        <v>0</v>
      </c>
      <c r="Y47" s="13">
        <f>_xll.BDH("AMGN US Equity","CF_INCR_CAP_STOCK","FQ2 2024","FQ2 2024","Currency=USD","Period=FQ","BEST_FPERIOD_OVERRIDE=FQ","FILING_STATUS=MR","SCALING_FORMAT=MLN","Sort=A","Dates=H","DateFormat=P","Fill=—","Direction=H","UseDPDF=Y")</f>
        <v>0</v>
      </c>
      <c r="Z47" s="13">
        <f>_xll.BDH("AMGN US Equity","CF_INCR_CAP_STOCK","FQ3 2024","FQ3 2024","Currency=USD","Period=FQ","BEST_FPERIOD_OVERRIDE=FQ","FILING_STATUS=MR","SCALING_FORMAT=MLN","Sort=A","Dates=H","DateFormat=P","Fill=—","Direction=H","UseDPDF=Y")</f>
        <v>0</v>
      </c>
      <c r="AA47" s="13">
        <f>_xll.BDH("AMGN US Equity","CF_INCR_CAP_STOCK","FQ4 2024","FQ4 2024","Currency=USD","Period=FQ","BEST_FPERIOD_OVERRIDE=FQ","FILING_STATUS=MR","SCALING_FORMAT=MLN","Sort=A","Dates=H","DateFormat=P","Fill=—","Direction=H","UseDPDF=Y")</f>
        <v>0</v>
      </c>
    </row>
    <row r="48" spans="1:27" x14ac:dyDescent="0.25">
      <c r="A48" s="10" t="s">
        <v>1335</v>
      </c>
      <c r="B48" s="10" t="s">
        <v>1336</v>
      </c>
      <c r="C48" s="13">
        <f>_xll.BDH("AMGN US Equity","CF_DECR_CAP_STOCK","FQ4 2018","FQ4 2018","Currency=USD","Period=FQ","BEST_FPERIOD_OVERRIDE=FQ","FILING_STATUS=MR","SCALING_FORMAT=MLN","Sort=A","Dates=H","DateFormat=P","Fill=—","Direction=H","UseDPDF=Y")</f>
        <v>-2250</v>
      </c>
      <c r="D48" s="13">
        <f>_xll.BDH("AMGN US Equity","CF_DECR_CAP_STOCK","FQ1 2019","FQ1 2019","Currency=USD","Period=FQ","BEST_FPERIOD_OVERRIDE=FQ","FILING_STATUS=MR","SCALING_FORMAT=MLN","Sort=A","Dates=H","DateFormat=P","Fill=—","Direction=H","UseDPDF=Y")</f>
        <v>-3032</v>
      </c>
      <c r="E48" s="13">
        <f>_xll.BDH("AMGN US Equity","CF_DECR_CAP_STOCK","FQ2 2019","FQ2 2019","Currency=USD","Period=FQ","BEST_FPERIOD_OVERRIDE=FQ","FILING_STATUS=MR","SCALING_FORMAT=MLN","Sort=A","Dates=H","DateFormat=P","Fill=—","Direction=H","UseDPDF=Y")</f>
        <v>-2415</v>
      </c>
      <c r="F48" s="13">
        <f>_xll.BDH("AMGN US Equity","CF_DECR_CAP_STOCK","FQ3 2019","FQ3 2019","Currency=USD","Period=FQ","BEST_FPERIOD_OVERRIDE=FQ","FILING_STATUS=MR","SCALING_FORMAT=MLN","Sort=A","Dates=H","DateFormat=P","Fill=—","Direction=H","UseDPDF=Y")</f>
        <v>-1161</v>
      </c>
      <c r="G48" s="13">
        <f>_xll.BDH("AMGN US Equity","CF_DECR_CAP_STOCK","FQ4 2019","FQ4 2019","Currency=USD","Period=FQ","BEST_FPERIOD_OVERRIDE=FQ","FILING_STATUS=MR","SCALING_FORMAT=MLN","Sort=A","Dates=H","DateFormat=P","Fill=—","Direction=H","UseDPDF=Y")</f>
        <v>-1231</v>
      </c>
      <c r="H48" s="13">
        <f>_xll.BDH("AMGN US Equity","CF_DECR_CAP_STOCK","FQ1 2020","FQ1 2020","Currency=USD","Period=FQ","BEST_FPERIOD_OVERRIDE=FQ","FILING_STATUS=MR","SCALING_FORMAT=MLN","Sort=A","Dates=H","DateFormat=P","Fill=—","Direction=H","UseDPDF=Y")</f>
        <v>-961</v>
      </c>
      <c r="I48" s="13">
        <f>_xll.BDH("AMGN US Equity","CF_DECR_CAP_STOCK","FQ2 2020","FQ2 2020","Currency=USD","Period=FQ","BEST_FPERIOD_OVERRIDE=FQ","FILING_STATUS=MR","SCALING_FORMAT=MLN","Sort=A","Dates=H","DateFormat=P","Fill=—","Direction=H","UseDPDF=Y")</f>
        <v>-555</v>
      </c>
      <c r="J48" s="13">
        <f>_xll.BDH("AMGN US Equity","CF_DECR_CAP_STOCK","FQ3 2020","FQ3 2020","Currency=USD","Period=FQ","BEST_FPERIOD_OVERRIDE=FQ","FILING_STATUS=MR","SCALING_FORMAT=MLN","Sort=A","Dates=H","DateFormat=P","Fill=—","Direction=H","UseDPDF=Y")</f>
        <v>-765</v>
      </c>
      <c r="K48" s="13">
        <f>_xll.BDH("AMGN US Equity","CF_DECR_CAP_STOCK","FQ4 2020","FQ4 2020","Currency=USD","Period=FQ","BEST_FPERIOD_OVERRIDE=FQ","FILING_STATUS=MR","SCALING_FORMAT=MLN","Sort=A","Dates=H","DateFormat=P","Fill=—","Direction=H","UseDPDF=Y")</f>
        <v>-1205</v>
      </c>
      <c r="L48" s="13">
        <f>_xll.BDH("AMGN US Equity","CF_DECR_CAP_STOCK","FQ1 2021","FQ1 2021","Currency=USD","Period=FQ","BEST_FPERIOD_OVERRIDE=FQ","FILING_STATUS=MR","SCALING_FORMAT=MLN","Sort=A","Dates=H","DateFormat=P","Fill=—","Direction=H","UseDPDF=Y")</f>
        <v>-871</v>
      </c>
      <c r="M48" s="13">
        <f>_xll.BDH("AMGN US Equity","CF_DECR_CAP_STOCK","FQ2 2021","FQ2 2021","Currency=USD","Period=FQ","BEST_FPERIOD_OVERRIDE=FQ","FILING_STATUS=MR","SCALING_FORMAT=MLN","Sort=A","Dates=H","DateFormat=P","Fill=—","Direction=H","UseDPDF=Y")</f>
        <v>-1581</v>
      </c>
      <c r="N48" s="13">
        <f>_xll.BDH("AMGN US Equity","CF_DECR_CAP_STOCK","FQ3 2021","FQ3 2021","Currency=USD","Period=FQ","BEST_FPERIOD_OVERRIDE=FQ","FILING_STATUS=MR","SCALING_FORMAT=MLN","Sort=A","Dates=H","DateFormat=P","Fill=—","Direction=H","UseDPDF=Y")</f>
        <v>-1080</v>
      </c>
      <c r="O48" s="13">
        <f>_xll.BDH("AMGN US Equity","CF_DECR_CAP_STOCK","FQ4 2021","FQ4 2021","Currency=USD","Period=FQ","BEST_FPERIOD_OVERRIDE=FQ","FILING_STATUS=MR","SCALING_FORMAT=MLN","Sort=A","Dates=H","DateFormat=P","Fill=—","Direction=H","UseDPDF=Y")</f>
        <v>-1443</v>
      </c>
      <c r="P48" s="13">
        <f>_xll.BDH("AMGN US Equity","CF_DECR_CAP_STOCK","FQ1 2022","FQ1 2022","Currency=USD","Period=FQ","BEST_FPERIOD_OVERRIDE=FQ","FILING_STATUS=MR","SCALING_FORMAT=MLN","Sort=A","Dates=H","DateFormat=P","Fill=—","Direction=H","UseDPDF=Y")</f>
        <v>-6360</v>
      </c>
      <c r="Q48" s="13">
        <f>_xll.BDH("AMGN US Equity","CF_DECR_CAP_STOCK","FQ2 2022","FQ2 2022","Currency=USD","Period=FQ","BEST_FPERIOD_OVERRIDE=FQ","FILING_STATUS=MR","SCALING_FORMAT=MLN","Sort=A","Dates=H","DateFormat=P","Fill=—","Direction=H","UseDPDF=Y")</f>
        <v>0</v>
      </c>
      <c r="R48" s="13">
        <f>_xll.BDH("AMGN US Equity","CF_DECR_CAP_STOCK","FQ3 2022","FQ3 2022","Currency=USD","Period=FQ","BEST_FPERIOD_OVERRIDE=FQ","FILING_STATUS=MR","SCALING_FORMAT=MLN","Sort=A","Dates=H","DateFormat=P","Fill=—","Direction=H","UseDPDF=Y")</f>
        <v>0</v>
      </c>
      <c r="S48" s="13">
        <f>_xll.BDH("AMGN US Equity","CF_DECR_CAP_STOCK","FQ4 2022","FQ4 2022","Currency=USD","Period=FQ","BEST_FPERIOD_OVERRIDE=FQ","FILING_STATUS=MR","SCALING_FORMAT=MLN","Sort=A","Dates=H","DateFormat=P","Fill=—","Direction=H","UseDPDF=Y")</f>
        <v>0</v>
      </c>
      <c r="T48" s="13">
        <f>_xll.BDH("AMGN US Equity","CF_DECR_CAP_STOCK","FQ1 2023","FQ1 2023","Currency=USD","Period=FQ","BEST_FPERIOD_OVERRIDE=FQ","FILING_STATUS=MR","SCALING_FORMAT=MLN","Sort=A","Dates=H","DateFormat=P","Fill=—","Direction=H","UseDPDF=Y")</f>
        <v>0</v>
      </c>
      <c r="U48" s="13">
        <f>_xll.BDH("AMGN US Equity","CF_DECR_CAP_STOCK","FQ2 2023","FQ2 2023","Currency=USD","Period=FQ","BEST_FPERIOD_OVERRIDE=FQ","FILING_STATUS=MR","SCALING_FORMAT=MLN","Sort=A","Dates=H","DateFormat=P","Fill=—","Direction=H","UseDPDF=Y")</f>
        <v>0</v>
      </c>
      <c r="V48" s="13">
        <f>_xll.BDH("AMGN US Equity","CF_DECR_CAP_STOCK","FQ3 2023","FQ3 2023","Currency=USD","Period=FQ","BEST_FPERIOD_OVERRIDE=FQ","FILING_STATUS=MR","SCALING_FORMAT=MLN","Sort=A","Dates=H","DateFormat=P","Fill=—","Direction=H","UseDPDF=Y")</f>
        <v>0</v>
      </c>
      <c r="W48" s="13">
        <f>_xll.BDH("AMGN US Equity","CF_DECR_CAP_STOCK","FQ4 2023","FQ4 2023","Currency=USD","Period=FQ","BEST_FPERIOD_OVERRIDE=FQ","FILING_STATUS=MR","SCALING_FORMAT=MLN","Sort=A","Dates=H","DateFormat=P","Fill=—","Direction=H","UseDPDF=Y")</f>
        <v>0</v>
      </c>
      <c r="X48" s="13">
        <f>_xll.BDH("AMGN US Equity","CF_DECR_CAP_STOCK","FQ1 2024","FQ1 2024","Currency=USD","Period=FQ","BEST_FPERIOD_OVERRIDE=FQ","FILING_STATUS=MR","SCALING_FORMAT=MLN","Sort=A","Dates=H","DateFormat=P","Fill=—","Direction=H","UseDPDF=Y")</f>
        <v>0</v>
      </c>
      <c r="Y48" s="13">
        <f>_xll.BDH("AMGN US Equity","CF_DECR_CAP_STOCK","FQ2 2024","FQ2 2024","Currency=USD","Period=FQ","BEST_FPERIOD_OVERRIDE=FQ","FILING_STATUS=MR","SCALING_FORMAT=MLN","Sort=A","Dates=H","DateFormat=P","Fill=—","Direction=H","UseDPDF=Y")</f>
        <v>0</v>
      </c>
      <c r="Z48" s="13">
        <f>_xll.BDH("AMGN US Equity","CF_DECR_CAP_STOCK","FQ3 2024","FQ3 2024","Currency=USD","Period=FQ","BEST_FPERIOD_OVERRIDE=FQ","FILING_STATUS=MR","SCALING_FORMAT=MLN","Sort=A","Dates=H","DateFormat=P","Fill=—","Direction=H","UseDPDF=Y")</f>
        <v>0</v>
      </c>
      <c r="AA48" s="13">
        <f>_xll.BDH("AMGN US Equity","CF_DECR_CAP_STOCK","FQ4 2024","FQ4 2024","Currency=USD","Period=FQ","BEST_FPERIOD_OVERRIDE=FQ","FILING_STATUS=MR","SCALING_FORMAT=MLN","Sort=A","Dates=H","DateFormat=P","Fill=—","Direction=H","UseDPDF=Y")</f>
        <v>-200</v>
      </c>
    </row>
    <row r="49" spans="1:27" x14ac:dyDescent="0.25">
      <c r="A49" s="10" t="s">
        <v>1337</v>
      </c>
      <c r="B49" s="10" t="s">
        <v>1338</v>
      </c>
      <c r="C49" s="13">
        <f>_xll.BDH("AMGN US Equity","OTHER_FIN_AND_DEC_CAP","FQ4 2018","FQ4 2018","Currency=USD","Period=FQ","BEST_FPERIOD_OVERRIDE=FQ","FILING_STATUS=MR","SCALING_FORMAT=MLN","Sort=A","Dates=H","DateFormat=P","Fill=—","Direction=H","UseDPDF=Y")</f>
        <v>143</v>
      </c>
      <c r="D49" s="13">
        <f>_xll.BDH("AMGN US Equity","OTHER_FIN_AND_DEC_CAP","FQ1 2019","FQ1 2019","Currency=USD","Period=FQ","BEST_FPERIOD_OVERRIDE=FQ","FILING_STATUS=MR","SCALING_FORMAT=MLN","Sort=A","Dates=H","DateFormat=P","Fill=—","Direction=H","UseDPDF=Y")</f>
        <v>-54</v>
      </c>
      <c r="E49" s="13">
        <f>_xll.BDH("AMGN US Equity","OTHER_FIN_AND_DEC_CAP","FQ2 2019","FQ2 2019","Currency=USD","Period=FQ","BEST_FPERIOD_OVERRIDE=FQ","FILING_STATUS=MR","SCALING_FORMAT=MLN","Sort=A","Dates=H","DateFormat=P","Fill=—","Direction=H","UseDPDF=Y")</f>
        <v>-47</v>
      </c>
      <c r="F49" s="13">
        <f>_xll.BDH("AMGN US Equity","OTHER_FIN_AND_DEC_CAP","FQ3 2019","FQ3 2019","Currency=USD","Period=FQ","BEST_FPERIOD_OVERRIDE=FQ","FILING_STATUS=MR","SCALING_FORMAT=MLN","Sort=A","Dates=H","DateFormat=P","Fill=—","Direction=H","UseDPDF=Y")</f>
        <v>34</v>
      </c>
      <c r="G49" s="13">
        <f>_xll.BDH("AMGN US Equity","OTHER_FIN_AND_DEC_CAP","FQ4 2019","FQ4 2019","Currency=USD","Period=FQ","BEST_FPERIOD_OVERRIDE=FQ","FILING_STATUS=MR","SCALING_FORMAT=MLN","Sort=A","Dates=H","DateFormat=P","Fill=—","Direction=H","UseDPDF=Y")</f>
        <v>162</v>
      </c>
      <c r="H49" s="13">
        <f>_xll.BDH("AMGN US Equity","OTHER_FIN_AND_DEC_CAP","FQ1 2020","FQ1 2020","Currency=USD","Period=FQ","BEST_FPERIOD_OVERRIDE=FQ","FILING_STATUS=MR","SCALING_FORMAT=MLN","Sort=A","Dates=H","DateFormat=P","Fill=—","Direction=H","UseDPDF=Y")</f>
        <v>-61</v>
      </c>
      <c r="I49" s="13">
        <f>_xll.BDH("AMGN US Equity","OTHER_FIN_AND_DEC_CAP","FQ2 2020","FQ2 2020","Currency=USD","Period=FQ","BEST_FPERIOD_OVERRIDE=FQ","FILING_STATUS=MR","SCALING_FORMAT=MLN","Sort=A","Dates=H","DateFormat=P","Fill=—","Direction=H","UseDPDF=Y")</f>
        <v>-17</v>
      </c>
      <c r="J49" s="13">
        <f>_xll.BDH("AMGN US Equity","OTHER_FIN_AND_DEC_CAP","FQ3 2020","FQ3 2020","Currency=USD","Period=FQ","BEST_FPERIOD_OVERRIDE=FQ","FILING_STATUS=MR","SCALING_FORMAT=MLN","Sort=A","Dates=H","DateFormat=P","Fill=—","Direction=H","UseDPDF=Y")</f>
        <v>-9</v>
      </c>
      <c r="K49" s="13">
        <f>_xll.BDH("AMGN US Equity","OTHER_FIN_AND_DEC_CAP","FQ4 2020","FQ4 2020","Currency=USD","Period=FQ","BEST_FPERIOD_OVERRIDE=FQ","FILING_STATUS=MR","SCALING_FORMAT=MLN","Sort=A","Dates=H","DateFormat=P","Fill=—","Direction=H","UseDPDF=Y")</f>
        <v>-3</v>
      </c>
      <c r="L49" s="13">
        <f>_xll.BDH("AMGN US Equity","OTHER_FIN_AND_DEC_CAP","FQ1 2021","FQ1 2021","Currency=USD","Period=FQ","BEST_FPERIOD_OVERRIDE=FQ","FILING_STATUS=MR","SCALING_FORMAT=MLN","Sort=A","Dates=H","DateFormat=P","Fill=—","Direction=H","UseDPDF=Y")</f>
        <v>-52</v>
      </c>
      <c r="M49" s="13">
        <f>_xll.BDH("AMGN US Equity","OTHER_FIN_AND_DEC_CAP","FQ2 2021","FQ2 2021","Currency=USD","Period=FQ","BEST_FPERIOD_OVERRIDE=FQ","FILING_STATUS=MR","SCALING_FORMAT=MLN","Sort=A","Dates=H","DateFormat=P","Fill=—","Direction=H","UseDPDF=Y")</f>
        <v>-33</v>
      </c>
      <c r="N49" s="13">
        <f>_xll.BDH("AMGN US Equity","OTHER_FIN_AND_DEC_CAP","FQ3 2021","FQ3 2021","Currency=USD","Period=FQ","BEST_FPERIOD_OVERRIDE=FQ","FILING_STATUS=MR","SCALING_FORMAT=MLN","Sort=A","Dates=H","DateFormat=P","Fill=—","Direction=H","UseDPDF=Y")</f>
        <v>-19</v>
      </c>
      <c r="O49" s="13">
        <f>_xll.BDH("AMGN US Equity","OTHER_FIN_AND_DEC_CAP","FQ4 2021","FQ4 2021","Currency=USD","Period=FQ","BEST_FPERIOD_OVERRIDE=FQ","FILING_STATUS=MR","SCALING_FORMAT=MLN","Sort=A","Dates=H","DateFormat=P","Fill=—","Direction=H","UseDPDF=Y")</f>
        <v>26</v>
      </c>
      <c r="P49" s="13">
        <f>_xll.BDH("AMGN US Equity","OTHER_FIN_AND_DEC_CAP","FQ1 2022","FQ1 2022","Currency=USD","Period=FQ","BEST_FPERIOD_OVERRIDE=FQ","FILING_STATUS=MR","SCALING_FORMAT=MLN","Sort=A","Dates=H","DateFormat=P","Fill=—","Direction=H","UseDPDF=Y")</f>
        <v>-26</v>
      </c>
      <c r="Q49" s="13">
        <f>_xll.BDH("AMGN US Equity","OTHER_FIN_AND_DEC_CAP","FQ2 2022","FQ2 2022","Currency=USD","Period=FQ","BEST_FPERIOD_OVERRIDE=FQ","FILING_STATUS=MR","SCALING_FORMAT=MLN","Sort=A","Dates=H","DateFormat=P","Fill=—","Direction=H","UseDPDF=Y")</f>
        <v>-26</v>
      </c>
      <c r="R49" s="13">
        <f>_xll.BDH("AMGN US Equity","OTHER_FIN_AND_DEC_CAP","FQ3 2022","FQ3 2022","Currency=USD","Period=FQ","BEST_FPERIOD_OVERRIDE=FQ","FILING_STATUS=MR","SCALING_FORMAT=MLN","Sort=A","Dates=H","DateFormat=P","Fill=—","Direction=H","UseDPDF=Y")</f>
        <v>-358</v>
      </c>
      <c r="S49" s="13">
        <f>_xll.BDH("AMGN US Equity","OTHER_FIN_AND_DEC_CAP","FQ4 2022","FQ4 2022","Currency=USD","Period=FQ","BEST_FPERIOD_OVERRIDE=FQ","FILING_STATUS=MR","SCALING_FORMAT=MLN","Sort=A","Dates=H","DateFormat=P","Fill=—","Direction=H","UseDPDF=Y")</f>
        <v>10</v>
      </c>
      <c r="T49" s="13">
        <f>_xll.BDH("AMGN US Equity","OTHER_FIN_AND_DEC_CAP","FQ1 2023","FQ1 2023","Currency=USD","Period=FQ","BEST_FPERIOD_OVERRIDE=FQ","FILING_STATUS=MR","SCALING_FORMAT=MLN","Sort=A","Dates=H","DateFormat=P","Fill=—","Direction=H","UseDPDF=Y")</f>
        <v>-28</v>
      </c>
      <c r="U49" s="13">
        <f>_xll.BDH("AMGN US Equity","OTHER_FIN_AND_DEC_CAP","FQ2 2023","FQ2 2023","Currency=USD","Period=FQ","BEST_FPERIOD_OVERRIDE=FQ","FILING_STATUS=MR","SCALING_FORMAT=MLN","Sort=A","Dates=H","DateFormat=P","Fill=—","Direction=H","UseDPDF=Y")</f>
        <v>-53</v>
      </c>
      <c r="V49" s="13">
        <f>_xll.BDH("AMGN US Equity","OTHER_FIN_AND_DEC_CAP","FQ3 2023","FQ3 2023","Currency=USD","Period=FQ","BEST_FPERIOD_OVERRIDE=FQ","FILING_STATUS=MR","SCALING_FORMAT=MLN","Sort=A","Dates=H","DateFormat=P","Fill=—","Direction=H","UseDPDF=Y")</f>
        <v>-536</v>
      </c>
      <c r="W49" s="13">
        <f>_xll.BDH("AMGN US Equity","OTHER_FIN_AND_DEC_CAP","FQ4 2023","FQ4 2023","Currency=USD","Period=FQ","BEST_FPERIOD_OVERRIDE=FQ","FILING_STATUS=MR","SCALING_FORMAT=MLN","Sort=A","Dates=H","DateFormat=P","Fill=—","Direction=H","UseDPDF=Y")</f>
        <v>545</v>
      </c>
      <c r="X49" s="13">
        <f>_xll.BDH("AMGN US Equity","OTHER_FIN_AND_DEC_CAP","FQ1 2024","FQ1 2024","Currency=USD","Period=FQ","BEST_FPERIOD_OVERRIDE=FQ","FILING_STATUS=MR","SCALING_FORMAT=MLN","Sort=A","Dates=H","DateFormat=P","Fill=—","Direction=H","UseDPDF=Y")</f>
        <v>-90</v>
      </c>
      <c r="Y49" s="13">
        <f>_xll.BDH("AMGN US Equity","OTHER_FIN_AND_DEC_CAP","FQ2 2024","FQ2 2024","Currency=USD","Period=FQ","BEST_FPERIOD_OVERRIDE=FQ","FILING_STATUS=MR","SCALING_FORMAT=MLN","Sort=A","Dates=H","DateFormat=P","Fill=—","Direction=H","UseDPDF=Y")</f>
        <v>-40</v>
      </c>
      <c r="Z49" s="13">
        <f>_xll.BDH("AMGN US Equity","OTHER_FIN_AND_DEC_CAP","FQ3 2024","FQ3 2024","Currency=USD","Period=FQ","BEST_FPERIOD_OVERRIDE=FQ","FILING_STATUS=MR","SCALING_FORMAT=MLN","Sort=A","Dates=H","DateFormat=P","Fill=—","Direction=H","UseDPDF=Y")</f>
        <v>-651</v>
      </c>
      <c r="AA49" s="13">
        <f>_xll.BDH("AMGN US Equity","OTHER_FIN_AND_DEC_CAP","FQ4 2024","FQ4 2024","Currency=USD","Period=FQ","BEST_FPERIOD_OVERRIDE=FQ","FILING_STATUS=MR","SCALING_FORMAT=MLN","Sort=A","Dates=H","DateFormat=P","Fill=—","Direction=H","UseDPDF=Y")</f>
        <v>657</v>
      </c>
    </row>
    <row r="50" spans="1:27" x14ac:dyDescent="0.25">
      <c r="A50" s="10" t="s">
        <v>1286</v>
      </c>
      <c r="B50" s="10" t="s">
        <v>1339</v>
      </c>
      <c r="C50" s="13">
        <f>_xll.BDH("AMGN US Equity","CF_NET_CASH_DISCONTINUED_OPS_FIN","FQ4 2018","FQ4 2018","Currency=USD","Period=FQ","BEST_FPERIOD_OVERRIDE=FQ","FILING_STATUS=MR","SCALING_FORMAT=MLN","Sort=A","Dates=H","DateFormat=P","Fill=—","Direction=H","UseDPDF=Y")</f>
        <v>0</v>
      </c>
      <c r="D50" s="13">
        <f>_xll.BDH("AMGN US Equity","CF_NET_CASH_DISCONTINUED_OPS_FIN","FQ1 2019","FQ1 2019","Currency=USD","Period=FQ","BEST_FPERIOD_OVERRIDE=FQ","FILING_STATUS=MR","SCALING_FORMAT=MLN","Sort=A","Dates=H","DateFormat=P","Fill=—","Direction=H","UseDPDF=Y")</f>
        <v>0</v>
      </c>
      <c r="E50" s="13">
        <f>_xll.BDH("AMGN US Equity","CF_NET_CASH_DISCONTINUED_OPS_FIN","FQ2 2019","FQ2 2019","Currency=USD","Period=FQ","BEST_FPERIOD_OVERRIDE=FQ","FILING_STATUS=MR","SCALING_FORMAT=MLN","Sort=A","Dates=H","DateFormat=P","Fill=—","Direction=H","UseDPDF=Y")</f>
        <v>0</v>
      </c>
      <c r="F50" s="13">
        <f>_xll.BDH("AMGN US Equity","CF_NET_CASH_DISCONTINUED_OPS_FIN","FQ3 2019","FQ3 2019","Currency=USD","Period=FQ","BEST_FPERIOD_OVERRIDE=FQ","FILING_STATUS=MR","SCALING_FORMAT=MLN","Sort=A","Dates=H","DateFormat=P","Fill=—","Direction=H","UseDPDF=Y")</f>
        <v>0</v>
      </c>
      <c r="G50" s="13">
        <f>_xll.BDH("AMGN US Equity","CF_NET_CASH_DISCONTINUED_OPS_FIN","FQ4 2019","FQ4 2019","Currency=USD","Period=FQ","BEST_FPERIOD_OVERRIDE=FQ","FILING_STATUS=MR","SCALING_FORMAT=MLN","Sort=A","Dates=H","DateFormat=P","Fill=—","Direction=H","UseDPDF=Y")</f>
        <v>0</v>
      </c>
      <c r="H50" s="13">
        <f>_xll.BDH("AMGN US Equity","CF_NET_CASH_DISCONTINUED_OPS_FIN","FQ1 2020","FQ1 2020","Currency=USD","Period=FQ","BEST_FPERIOD_OVERRIDE=FQ","FILING_STATUS=MR","SCALING_FORMAT=MLN","Sort=A","Dates=H","DateFormat=P","Fill=—","Direction=H","UseDPDF=Y")</f>
        <v>0</v>
      </c>
      <c r="I50" s="13">
        <f>_xll.BDH("AMGN US Equity","CF_NET_CASH_DISCONTINUED_OPS_FIN","FQ2 2020","FQ2 2020","Currency=USD","Period=FQ","BEST_FPERIOD_OVERRIDE=FQ","FILING_STATUS=MR","SCALING_FORMAT=MLN","Sort=A","Dates=H","DateFormat=P","Fill=—","Direction=H","UseDPDF=Y")</f>
        <v>0</v>
      </c>
      <c r="J50" s="13">
        <f>_xll.BDH("AMGN US Equity","CF_NET_CASH_DISCONTINUED_OPS_FIN","FQ3 2020","FQ3 2020","Currency=USD","Period=FQ","BEST_FPERIOD_OVERRIDE=FQ","FILING_STATUS=MR","SCALING_FORMAT=MLN","Sort=A","Dates=H","DateFormat=P","Fill=—","Direction=H","UseDPDF=Y")</f>
        <v>0</v>
      </c>
      <c r="K50" s="13">
        <f>_xll.BDH("AMGN US Equity","CF_NET_CASH_DISCONTINUED_OPS_FIN","FQ4 2020","FQ4 2020","Currency=USD","Period=FQ","BEST_FPERIOD_OVERRIDE=FQ","FILING_STATUS=MR","SCALING_FORMAT=MLN","Sort=A","Dates=H","DateFormat=P","Fill=—","Direction=H","UseDPDF=Y")</f>
        <v>0</v>
      </c>
      <c r="L50" s="13">
        <f>_xll.BDH("AMGN US Equity","CF_NET_CASH_DISCONTINUED_OPS_FIN","FQ1 2021","FQ1 2021","Currency=USD","Period=FQ","BEST_FPERIOD_OVERRIDE=FQ","FILING_STATUS=MR","SCALING_FORMAT=MLN","Sort=A","Dates=H","DateFormat=P","Fill=—","Direction=H","UseDPDF=Y")</f>
        <v>0</v>
      </c>
      <c r="M50" s="13">
        <f>_xll.BDH("AMGN US Equity","CF_NET_CASH_DISCONTINUED_OPS_FIN","FQ2 2021","FQ2 2021","Currency=USD","Period=FQ","BEST_FPERIOD_OVERRIDE=FQ","FILING_STATUS=MR","SCALING_FORMAT=MLN","Sort=A","Dates=H","DateFormat=P","Fill=—","Direction=H","UseDPDF=Y")</f>
        <v>0</v>
      </c>
      <c r="N50" s="13">
        <f>_xll.BDH("AMGN US Equity","CF_NET_CASH_DISCONTINUED_OPS_FIN","FQ3 2021","FQ3 2021","Currency=USD","Period=FQ","BEST_FPERIOD_OVERRIDE=FQ","FILING_STATUS=MR","SCALING_FORMAT=MLN","Sort=A","Dates=H","DateFormat=P","Fill=—","Direction=H","UseDPDF=Y")</f>
        <v>0</v>
      </c>
      <c r="O50" s="13">
        <f>_xll.BDH("AMGN US Equity","CF_NET_CASH_DISCONTINUED_OPS_FIN","FQ4 2021","FQ4 2021","Currency=USD","Period=FQ","BEST_FPERIOD_OVERRIDE=FQ","FILING_STATUS=MR","SCALING_FORMAT=MLN","Sort=A","Dates=H","DateFormat=P","Fill=—","Direction=H","UseDPDF=Y")</f>
        <v>0</v>
      </c>
      <c r="P50" s="13">
        <f>_xll.BDH("AMGN US Equity","CF_NET_CASH_DISCONTINUED_OPS_FIN","FQ1 2022","FQ1 2022","Currency=USD","Period=FQ","BEST_FPERIOD_OVERRIDE=FQ","FILING_STATUS=MR","SCALING_FORMAT=MLN","Sort=A","Dates=H","DateFormat=P","Fill=—","Direction=H","UseDPDF=Y")</f>
        <v>0</v>
      </c>
      <c r="Q50" s="13">
        <f>_xll.BDH("AMGN US Equity","CF_NET_CASH_DISCONTINUED_OPS_FIN","FQ2 2022","FQ2 2022","Currency=USD","Period=FQ","BEST_FPERIOD_OVERRIDE=FQ","FILING_STATUS=MR","SCALING_FORMAT=MLN","Sort=A","Dates=H","DateFormat=P","Fill=—","Direction=H","UseDPDF=Y")</f>
        <v>0</v>
      </c>
      <c r="R50" s="13">
        <f>_xll.BDH("AMGN US Equity","CF_NET_CASH_DISCONTINUED_OPS_FIN","FQ3 2022","FQ3 2022","Currency=USD","Period=FQ","BEST_FPERIOD_OVERRIDE=FQ","FILING_STATUS=MR","SCALING_FORMAT=MLN","Sort=A","Dates=H","DateFormat=P","Fill=—","Direction=H","UseDPDF=Y")</f>
        <v>0</v>
      </c>
      <c r="S50" s="13">
        <f>_xll.BDH("AMGN US Equity","CF_NET_CASH_DISCONTINUED_OPS_FIN","FQ4 2022","FQ4 2022","Currency=USD","Period=FQ","BEST_FPERIOD_OVERRIDE=FQ","FILING_STATUS=MR","SCALING_FORMAT=MLN","Sort=A","Dates=H","DateFormat=P","Fill=—","Direction=H","UseDPDF=Y")</f>
        <v>0</v>
      </c>
      <c r="T50" s="13">
        <f>_xll.BDH("AMGN US Equity","CF_NET_CASH_DISCONTINUED_OPS_FIN","FQ1 2023","FQ1 2023","Currency=USD","Period=FQ","BEST_FPERIOD_OVERRIDE=FQ","FILING_STATUS=MR","SCALING_FORMAT=MLN","Sort=A","Dates=H","DateFormat=P","Fill=—","Direction=H","UseDPDF=Y")</f>
        <v>0</v>
      </c>
      <c r="U50" s="13">
        <f>_xll.BDH("AMGN US Equity","CF_NET_CASH_DISCONTINUED_OPS_FIN","FQ2 2023","FQ2 2023","Currency=USD","Period=FQ","BEST_FPERIOD_OVERRIDE=FQ","FILING_STATUS=MR","SCALING_FORMAT=MLN","Sort=A","Dates=H","DateFormat=P","Fill=—","Direction=H","UseDPDF=Y")</f>
        <v>0</v>
      </c>
      <c r="V50" s="13">
        <f>_xll.BDH("AMGN US Equity","CF_NET_CASH_DISCONTINUED_OPS_FIN","FQ3 2023","FQ3 2023","Currency=USD","Period=FQ","BEST_FPERIOD_OVERRIDE=FQ","FILING_STATUS=MR","SCALING_FORMAT=MLN","Sort=A","Dates=H","DateFormat=P","Fill=—","Direction=H","UseDPDF=Y")</f>
        <v>0</v>
      </c>
      <c r="W50" s="13">
        <f>_xll.BDH("AMGN US Equity","CF_NET_CASH_DISCONTINUED_OPS_FIN","FQ4 2023","FQ4 2023","Currency=USD","Period=FQ","BEST_FPERIOD_OVERRIDE=FQ","FILING_STATUS=MR","SCALING_FORMAT=MLN","Sort=A","Dates=H","DateFormat=P","Fill=—","Direction=H","UseDPDF=Y")</f>
        <v>0</v>
      </c>
      <c r="X50" s="13">
        <f>_xll.BDH("AMGN US Equity","CF_NET_CASH_DISCONTINUED_OPS_FIN","FQ1 2024","FQ1 2024","Currency=USD","Period=FQ","BEST_FPERIOD_OVERRIDE=FQ","FILING_STATUS=MR","SCALING_FORMAT=MLN","Sort=A","Dates=H","DateFormat=P","Fill=—","Direction=H","UseDPDF=Y")</f>
        <v>0</v>
      </c>
      <c r="Y50" s="13">
        <f>_xll.BDH("AMGN US Equity","CF_NET_CASH_DISCONTINUED_OPS_FIN","FQ2 2024","FQ2 2024","Currency=USD","Period=FQ","BEST_FPERIOD_OVERRIDE=FQ","FILING_STATUS=MR","SCALING_FORMAT=MLN","Sort=A","Dates=H","DateFormat=P","Fill=—","Direction=H","UseDPDF=Y")</f>
        <v>0</v>
      </c>
      <c r="Z50" s="13">
        <f>_xll.BDH("AMGN US Equity","CF_NET_CASH_DISCONTINUED_OPS_FIN","FQ3 2024","FQ3 2024","Currency=USD","Period=FQ","BEST_FPERIOD_OVERRIDE=FQ","FILING_STATUS=MR","SCALING_FORMAT=MLN","Sort=A","Dates=H","DateFormat=P","Fill=—","Direction=H","UseDPDF=Y")</f>
        <v>0</v>
      </c>
      <c r="AA50" s="13">
        <f>_xll.BDH("AMGN US Equity","CF_NET_CASH_DISCONTINUED_OPS_FIN","FQ4 2024","FQ4 2024","Currency=USD","Period=FQ","BEST_FPERIOD_OVERRIDE=FQ","FILING_STATUS=MR","SCALING_FORMAT=MLN","Sort=A","Dates=H","DateFormat=P","Fill=—","Direction=H","UseDPDF=Y")</f>
        <v>0</v>
      </c>
    </row>
    <row r="51" spans="1:27" x14ac:dyDescent="0.25">
      <c r="A51" s="6" t="s">
        <v>1320</v>
      </c>
      <c r="B51" s="6" t="s">
        <v>1340</v>
      </c>
      <c r="C51" s="19">
        <f>_xll.BDH("AMGN US Equity","CFF_ACTIVITIES_DETAILED","FQ4 2018","FQ4 2018","Currency=USD","Period=FQ","BEST_FPERIOD_OVERRIDE=FQ","FILING_STATUS=MR","SCALING_FORMAT=MLN","Sort=A","Dates=H","DateFormat=P","Fill=—","Direction=H","UseDPDF=Y")</f>
        <v>-3568</v>
      </c>
      <c r="D51" s="19">
        <f>_xll.BDH("AMGN US Equity","CFF_ACTIVITIES_DETAILED","FQ1 2019","FQ1 2019","Currency=USD","Period=FQ","BEST_FPERIOD_OVERRIDE=FQ","FILING_STATUS=MR","SCALING_FORMAT=MLN","Sort=A","Dates=H","DateFormat=P","Fill=—","Direction=H","UseDPDF=Y")</f>
        <v>-4987</v>
      </c>
      <c r="E51" s="19">
        <f>_xll.BDH("AMGN US Equity","CFF_ACTIVITIES_DETAILED","FQ2 2019","FQ2 2019","Currency=USD","Period=FQ","BEST_FPERIOD_OVERRIDE=FQ","FILING_STATUS=MR","SCALING_FORMAT=MLN","Sort=A","Dates=H","DateFormat=P","Fill=—","Direction=H","UseDPDF=Y")</f>
        <v>-5992</v>
      </c>
      <c r="F51" s="19">
        <f>_xll.BDH("AMGN US Equity","CFF_ACTIVITIES_DETAILED","FQ3 2019","FQ3 2019","Currency=USD","Period=FQ","BEST_FPERIOD_OVERRIDE=FQ","FILING_STATUS=MR","SCALING_FORMAT=MLN","Sort=A","Dates=H","DateFormat=P","Fill=—","Direction=H","UseDPDF=Y")</f>
        <v>-2859</v>
      </c>
      <c r="G51" s="19">
        <f>_xll.BDH("AMGN US Equity","CFF_ACTIVITIES_DETAILED","FQ4 2019","FQ4 2019","Currency=USD","Period=FQ","BEST_FPERIOD_OVERRIDE=FQ","FILING_STATUS=MR","SCALING_FORMAT=MLN","Sort=A","Dates=H","DateFormat=P","Fill=—","Direction=H","UseDPDF=Y")</f>
        <v>-1929</v>
      </c>
      <c r="H51" s="19">
        <f>_xll.BDH("AMGN US Equity","CFF_ACTIVITIES_DETAILED","FQ1 2020","FQ1 2020","Currency=USD","Period=FQ","BEST_FPERIOD_OVERRIDE=FQ","FILING_STATUS=MR","SCALING_FORMAT=MLN","Sort=A","Dates=H","DateFormat=P","Fill=—","Direction=H","UseDPDF=Y")</f>
        <v>-254</v>
      </c>
      <c r="I51" s="19">
        <f>_xll.BDH("AMGN US Equity","CFF_ACTIVITIES_DETAILED","FQ2 2020","FQ2 2020","Currency=USD","Period=FQ","BEST_FPERIOD_OVERRIDE=FQ","FILING_STATUS=MR","SCALING_FORMAT=MLN","Sort=A","Dates=H","DateFormat=P","Fill=—","Direction=H","UseDPDF=Y")</f>
        <v>775</v>
      </c>
      <c r="J51" s="19">
        <f>_xll.BDH("AMGN US Equity","CFF_ACTIVITIES_DETAILED","FQ3 2020","FQ3 2020","Currency=USD","Period=FQ","BEST_FPERIOD_OVERRIDE=FQ","FILING_STATUS=MR","SCALING_FORMAT=MLN","Sort=A","Dates=H","DateFormat=P","Fill=—","Direction=H","UseDPDF=Y")</f>
        <v>-1798</v>
      </c>
      <c r="K51" s="19">
        <f>_xll.BDH("AMGN US Equity","CFF_ACTIVITIES_DETAILED","FQ4 2020","FQ4 2020","Currency=USD","Period=FQ","BEST_FPERIOD_OVERRIDE=FQ","FILING_STATUS=MR","SCALING_FORMAT=MLN","Sort=A","Dates=H","DateFormat=P","Fill=—","Direction=H","UseDPDF=Y")</f>
        <v>-3590</v>
      </c>
      <c r="L51" s="19">
        <f>_xll.BDH("AMGN US Equity","CFF_ACTIVITIES_DETAILED","FQ1 2021","FQ1 2021","Currency=USD","Period=FQ","BEST_FPERIOD_OVERRIDE=FQ","FILING_STATUS=MR","SCALING_FORMAT=MLN","Sort=A","Dates=H","DateFormat=P","Fill=—","Direction=H","UseDPDF=Y")</f>
        <v>-1939</v>
      </c>
      <c r="M51" s="19">
        <f>_xll.BDH("AMGN US Equity","CFF_ACTIVITIES_DETAILED","FQ2 2021","FQ2 2021","Currency=USD","Period=FQ","BEST_FPERIOD_OVERRIDE=FQ","FILING_STATUS=MR","SCALING_FORMAT=MLN","Sort=A","Dates=H","DateFormat=P","Fill=—","Direction=H","UseDPDF=Y")</f>
        <v>-2622</v>
      </c>
      <c r="N51" s="19">
        <f>_xll.BDH("AMGN US Equity","CFF_ACTIVITIES_DETAILED","FQ3 2021","FQ3 2021","Currency=USD","Period=FQ","BEST_FPERIOD_OVERRIDE=FQ","FILING_STATUS=MR","SCALING_FORMAT=MLN","Sort=A","Dates=H","DateFormat=P","Fill=—","Direction=H","UseDPDF=Y")</f>
        <v>2848</v>
      </c>
      <c r="O51" s="19">
        <f>_xll.BDH("AMGN US Equity","CFF_ACTIVITIES_DETAILED","FQ4 2021","FQ4 2021","Currency=USD","Period=FQ","BEST_FPERIOD_OVERRIDE=FQ","FILING_STATUS=MR","SCALING_FORMAT=MLN","Sort=A","Dates=H","DateFormat=P","Fill=—","Direction=H","UseDPDF=Y")</f>
        <v>-6558</v>
      </c>
      <c r="P51" s="19">
        <f>_xll.BDH("AMGN US Equity","CFF_ACTIVITIES_DETAILED","FQ1 2022","FQ1 2022","Currency=USD","Period=FQ","BEST_FPERIOD_OVERRIDE=FQ","FILING_STATUS=MR","SCALING_FORMAT=MLN","Sort=A","Dates=H","DateFormat=P","Fill=—","Direction=H","UseDPDF=Y")</f>
        <v>-3514</v>
      </c>
      <c r="Q51" s="19">
        <f>_xll.BDH("AMGN US Equity","CFF_ACTIVITIES_DETAILED","FQ2 2022","FQ2 2022","Currency=USD","Period=FQ","BEST_FPERIOD_OVERRIDE=FQ","FILING_STATUS=MR","SCALING_FORMAT=MLN","Sort=A","Dates=H","DateFormat=P","Fill=—","Direction=H","UseDPDF=Y")</f>
        <v>-1062</v>
      </c>
      <c r="R51" s="19">
        <f>_xll.BDH("AMGN US Equity","CFF_ACTIVITIES_DETAILED","FQ3 2022","FQ3 2022","Currency=USD","Period=FQ","BEST_FPERIOD_OVERRIDE=FQ","FILING_STATUS=MR","SCALING_FORMAT=MLN","Sort=A","Dates=H","DateFormat=P","Fill=—","Direction=H","UseDPDF=Y")</f>
        <v>1588</v>
      </c>
      <c r="S51" s="19">
        <f>_xll.BDH("AMGN US Equity","CFF_ACTIVITIES_DETAILED","FQ4 2022","FQ4 2022","Currency=USD","Period=FQ","BEST_FPERIOD_OVERRIDE=FQ","FILING_STATUS=MR","SCALING_FORMAT=MLN","Sort=A","Dates=H","DateFormat=P","Fill=—","Direction=H","UseDPDF=Y")</f>
        <v>-1049</v>
      </c>
      <c r="T51" s="19">
        <f>_xll.BDH("AMGN US Equity","CFF_ACTIVITIES_DETAILED","FQ1 2023","FQ1 2023","Currency=USD","Period=FQ","BEST_FPERIOD_OVERRIDE=FQ","FILING_STATUS=MR","SCALING_FORMAT=MLN","Sort=A","Dates=H","DateFormat=P","Fill=—","Direction=H","UseDPDF=Y")</f>
        <v>21509</v>
      </c>
      <c r="U51" s="19">
        <f>_xll.BDH("AMGN US Equity","CFF_ACTIVITIES_DETAILED","FQ2 2023","FQ2 2023","Currency=USD","Period=FQ","BEST_FPERIOD_OVERRIDE=FQ","FILING_STATUS=MR","SCALING_FORMAT=MLN","Sort=A","Dates=H","DateFormat=P","Fill=—","Direction=H","UseDPDF=Y")</f>
        <v>-1210</v>
      </c>
      <c r="V51" s="19">
        <f>_xll.BDH("AMGN US Equity","CFF_ACTIVITIES_DETAILED","FQ3 2023","FQ3 2023","Currency=USD","Period=FQ","BEST_FPERIOD_OVERRIDE=FQ","FILING_STATUS=MR","SCALING_FORMAT=MLN","Sort=A","Dates=H","DateFormat=P","Fill=—","Direction=H","UseDPDF=Y")</f>
        <v>-2005</v>
      </c>
      <c r="W51" s="19">
        <f>_xll.BDH("AMGN US Equity","CFF_ACTIVITIES_DETAILED","FQ4 2023","FQ4 2023","Currency=USD","Period=FQ","BEST_FPERIOD_OVERRIDE=FQ","FILING_STATUS=MR","SCALING_FORMAT=MLN","Sort=A","Dates=H","DateFormat=P","Fill=—","Direction=H","UseDPDF=Y")</f>
        <v>2754</v>
      </c>
      <c r="X51" s="19">
        <f>_xll.BDH("AMGN US Equity","CFF_ACTIVITIES_DETAILED","FQ1 2024","FQ1 2024","Currency=USD","Period=FQ","BEST_FPERIOD_OVERRIDE=FQ","FILING_STATUS=MR","SCALING_FORMAT=MLN","Sort=A","Dates=H","DateFormat=P","Fill=—","Direction=H","UseDPDF=Y")</f>
        <v>-1708</v>
      </c>
      <c r="Y51" s="19">
        <f>_xll.BDH("AMGN US Equity","CFF_ACTIVITIES_DETAILED","FQ2 2024","FQ2 2024","Currency=USD","Period=FQ","BEST_FPERIOD_OVERRIDE=FQ","FILING_STATUS=MR","SCALING_FORMAT=MLN","Sort=A","Dates=H","DateFormat=P","Fill=—","Direction=H","UseDPDF=Y")</f>
        <v>-2649</v>
      </c>
      <c r="Z51" s="19">
        <f>_xll.BDH("AMGN US Equity","CFF_ACTIVITIES_DETAILED","FQ3 2024","FQ3 2024","Currency=USD","Period=FQ","BEST_FPERIOD_OVERRIDE=FQ","FILING_STATUS=MR","SCALING_FORMAT=MLN","Sort=A","Dates=H","DateFormat=P","Fill=—","Direction=H","UseDPDF=Y")</f>
        <v>-3651</v>
      </c>
      <c r="AA51" s="19">
        <f>_xll.BDH("AMGN US Equity","CFF_ACTIVITIES_DETAILED","FQ4 2024","FQ4 2024","Currency=USD","Period=FQ","BEST_FPERIOD_OVERRIDE=FQ","FILING_STATUS=MR","SCALING_FORMAT=MLN","Sort=A","Dates=H","DateFormat=P","Fill=—","Direction=H","UseDPDF=Y")</f>
        <v>-1407</v>
      </c>
    </row>
    <row r="52" spans="1:27" x14ac:dyDescent="0.25">
      <c r="A52" s="6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x14ac:dyDescent="0.25">
      <c r="A53" s="10" t="s">
        <v>1341</v>
      </c>
      <c r="B53" s="10" t="s">
        <v>1342</v>
      </c>
      <c r="C53" s="13">
        <f>_xll.BDH("AMGN US Equity","CF_EFFECT_FOREIGN_EXCHANGES","FQ4 2018","FQ4 2018","Currency=USD","Period=FQ","BEST_FPERIOD_OVERRIDE=FQ","FILING_STATUS=MR","SCALING_FORMAT=MLN","Sort=A","Dates=H","DateFormat=P","Fill=—","Direction=H","UseDPDF=Y")</f>
        <v>0</v>
      </c>
      <c r="D53" s="13">
        <f>_xll.BDH("AMGN US Equity","CF_EFFECT_FOREIGN_EXCHANGES","FQ1 2019","FQ1 2019","Currency=USD","Period=FQ","BEST_FPERIOD_OVERRIDE=FQ","FILING_STATUS=MR","SCALING_FORMAT=MLN","Sort=A","Dates=H","DateFormat=P","Fill=—","Direction=H","UseDPDF=Y")</f>
        <v>0</v>
      </c>
      <c r="E53" s="13">
        <f>_xll.BDH("AMGN US Equity","CF_EFFECT_FOREIGN_EXCHANGES","FQ2 2019","FQ2 2019","Currency=USD","Period=FQ","BEST_FPERIOD_OVERRIDE=FQ","FILING_STATUS=MR","SCALING_FORMAT=MLN","Sort=A","Dates=H","DateFormat=P","Fill=—","Direction=H","UseDPDF=Y")</f>
        <v>0</v>
      </c>
      <c r="F53" s="13">
        <f>_xll.BDH("AMGN US Equity","CF_EFFECT_FOREIGN_EXCHANGES","FQ3 2019","FQ3 2019","Currency=USD","Period=FQ","BEST_FPERIOD_OVERRIDE=FQ","FILING_STATUS=MR","SCALING_FORMAT=MLN","Sort=A","Dates=H","DateFormat=P","Fill=—","Direction=H","UseDPDF=Y")</f>
        <v>0</v>
      </c>
      <c r="G53" s="13">
        <f>_xll.BDH("AMGN US Equity","CF_EFFECT_FOREIGN_EXCHANGES","FQ4 2019","FQ4 2019","Currency=USD","Period=FQ","BEST_FPERIOD_OVERRIDE=FQ","FILING_STATUS=MR","SCALING_FORMAT=MLN","Sort=A","Dates=H","DateFormat=P","Fill=—","Direction=H","UseDPDF=Y")</f>
        <v>0</v>
      </c>
      <c r="H53" s="13">
        <f>_xll.BDH("AMGN US Equity","CF_EFFECT_FOREIGN_EXCHANGES","FQ1 2020","FQ1 2020","Currency=USD","Period=FQ","BEST_FPERIOD_OVERRIDE=FQ","FILING_STATUS=MR","SCALING_FORMAT=MLN","Sort=A","Dates=H","DateFormat=P","Fill=—","Direction=H","UseDPDF=Y")</f>
        <v>0</v>
      </c>
      <c r="I53" s="13">
        <f>_xll.BDH("AMGN US Equity","CF_EFFECT_FOREIGN_EXCHANGES","FQ2 2020","FQ2 2020","Currency=USD","Period=FQ","BEST_FPERIOD_OVERRIDE=FQ","FILING_STATUS=MR","SCALING_FORMAT=MLN","Sort=A","Dates=H","DateFormat=P","Fill=—","Direction=H","UseDPDF=Y")</f>
        <v>0</v>
      </c>
      <c r="J53" s="13">
        <f>_xll.BDH("AMGN US Equity","CF_EFFECT_FOREIGN_EXCHANGES","FQ3 2020","FQ3 2020","Currency=USD","Period=FQ","BEST_FPERIOD_OVERRIDE=FQ","FILING_STATUS=MR","SCALING_FORMAT=MLN","Sort=A","Dates=H","DateFormat=P","Fill=—","Direction=H","UseDPDF=Y")</f>
        <v>0</v>
      </c>
      <c r="K53" s="13">
        <f>_xll.BDH("AMGN US Equity","CF_EFFECT_FOREIGN_EXCHANGES","FQ4 2020","FQ4 2020","Currency=USD","Period=FQ","BEST_FPERIOD_OVERRIDE=FQ","FILING_STATUS=MR","SCALING_FORMAT=MLN","Sort=A","Dates=H","DateFormat=P","Fill=—","Direction=H","UseDPDF=Y")</f>
        <v>0</v>
      </c>
      <c r="L53" s="13">
        <f>_xll.BDH("AMGN US Equity","CF_EFFECT_FOREIGN_EXCHANGES","FQ1 2021","FQ1 2021","Currency=USD","Period=FQ","BEST_FPERIOD_OVERRIDE=FQ","FILING_STATUS=MR","SCALING_FORMAT=MLN","Sort=A","Dates=H","DateFormat=P","Fill=—","Direction=H","UseDPDF=Y")</f>
        <v>0</v>
      </c>
      <c r="M53" s="13">
        <f>_xll.BDH("AMGN US Equity","CF_EFFECT_FOREIGN_EXCHANGES","FQ2 2021","FQ2 2021","Currency=USD","Period=FQ","BEST_FPERIOD_OVERRIDE=FQ","FILING_STATUS=MR","SCALING_FORMAT=MLN","Sort=A","Dates=H","DateFormat=P","Fill=—","Direction=H","UseDPDF=Y")</f>
        <v>0</v>
      </c>
      <c r="N53" s="13">
        <f>_xll.BDH("AMGN US Equity","CF_EFFECT_FOREIGN_EXCHANGES","FQ3 2021","FQ3 2021","Currency=USD","Period=FQ","BEST_FPERIOD_OVERRIDE=FQ","FILING_STATUS=MR","SCALING_FORMAT=MLN","Sort=A","Dates=H","DateFormat=P","Fill=—","Direction=H","UseDPDF=Y")</f>
        <v>0</v>
      </c>
      <c r="O53" s="13">
        <f>_xll.BDH("AMGN US Equity","CF_EFFECT_FOREIGN_EXCHANGES","FQ4 2021","FQ4 2021","Currency=USD","Period=FQ","BEST_FPERIOD_OVERRIDE=FQ","FILING_STATUS=MR","SCALING_FORMAT=MLN","Sort=A","Dates=H","DateFormat=P","Fill=—","Direction=H","UseDPDF=Y")</f>
        <v>0</v>
      </c>
      <c r="P53" s="13">
        <f>_xll.BDH("AMGN US Equity","CF_EFFECT_FOREIGN_EXCHANGES","FQ1 2022","FQ1 2022","Currency=USD","Period=FQ","BEST_FPERIOD_OVERRIDE=FQ","FILING_STATUS=MR","SCALING_FORMAT=MLN","Sort=A","Dates=H","DateFormat=P","Fill=—","Direction=H","UseDPDF=Y")</f>
        <v>0</v>
      </c>
      <c r="Q53" s="13">
        <f>_xll.BDH("AMGN US Equity","CF_EFFECT_FOREIGN_EXCHANGES","FQ2 2022","FQ2 2022","Currency=USD","Period=FQ","BEST_FPERIOD_OVERRIDE=FQ","FILING_STATUS=MR","SCALING_FORMAT=MLN","Sort=A","Dates=H","DateFormat=P","Fill=—","Direction=H","UseDPDF=Y")</f>
        <v>0</v>
      </c>
      <c r="R53" s="13">
        <f>_xll.BDH("AMGN US Equity","CF_EFFECT_FOREIGN_EXCHANGES","FQ3 2022","FQ3 2022","Currency=USD","Period=FQ","BEST_FPERIOD_OVERRIDE=FQ","FILING_STATUS=MR","SCALING_FORMAT=MLN","Sort=A","Dates=H","DateFormat=P","Fill=—","Direction=H","UseDPDF=Y")</f>
        <v>0</v>
      </c>
      <c r="S53" s="13">
        <f>_xll.BDH("AMGN US Equity","CF_EFFECT_FOREIGN_EXCHANGES","FQ4 2022","FQ4 2022","Currency=USD","Period=FQ","BEST_FPERIOD_OVERRIDE=FQ","FILING_STATUS=MR","SCALING_FORMAT=MLN","Sort=A","Dates=H","DateFormat=P","Fill=—","Direction=H","UseDPDF=Y")</f>
        <v>0</v>
      </c>
      <c r="T53" s="13">
        <f>_xll.BDH("AMGN US Equity","CF_EFFECT_FOREIGN_EXCHANGES","FQ1 2023","FQ1 2023","Currency=USD","Period=FQ","BEST_FPERIOD_OVERRIDE=FQ","FILING_STATUS=MR","SCALING_FORMAT=MLN","Sort=A","Dates=H","DateFormat=P","Fill=—","Direction=H","UseDPDF=Y")</f>
        <v>0</v>
      </c>
      <c r="U53" s="13">
        <f>_xll.BDH("AMGN US Equity","CF_EFFECT_FOREIGN_EXCHANGES","FQ2 2023","FQ2 2023","Currency=USD","Period=FQ","BEST_FPERIOD_OVERRIDE=FQ","FILING_STATUS=MR","SCALING_FORMAT=MLN","Sort=A","Dates=H","DateFormat=P","Fill=—","Direction=H","UseDPDF=Y")</f>
        <v>0</v>
      </c>
      <c r="V53" s="13">
        <f>_xll.BDH("AMGN US Equity","CF_EFFECT_FOREIGN_EXCHANGES","FQ3 2023","FQ3 2023","Currency=USD","Period=FQ","BEST_FPERIOD_OVERRIDE=FQ","FILING_STATUS=MR","SCALING_FORMAT=MLN","Sort=A","Dates=H","DateFormat=P","Fill=—","Direction=H","UseDPDF=Y")</f>
        <v>0</v>
      </c>
      <c r="W53" s="13">
        <f>_xll.BDH("AMGN US Equity","CF_EFFECT_FOREIGN_EXCHANGES","FQ4 2023","FQ4 2023","Currency=USD","Period=FQ","BEST_FPERIOD_OVERRIDE=FQ","FILING_STATUS=MR","SCALING_FORMAT=MLN","Sort=A","Dates=H","DateFormat=P","Fill=—","Direction=H","UseDPDF=Y")</f>
        <v>0</v>
      </c>
      <c r="X53" s="13">
        <f>_xll.BDH("AMGN US Equity","CF_EFFECT_FOREIGN_EXCHANGES","FQ1 2024","FQ1 2024","Currency=USD","Period=FQ","BEST_FPERIOD_OVERRIDE=FQ","FILING_STATUS=MR","SCALING_FORMAT=MLN","Sort=A","Dates=H","DateFormat=P","Fill=—","Direction=H","UseDPDF=Y")</f>
        <v>0</v>
      </c>
      <c r="Y53" s="13">
        <f>_xll.BDH("AMGN US Equity","CF_EFFECT_FOREIGN_EXCHANGES","FQ2 2024","FQ2 2024","Currency=USD","Period=FQ","BEST_FPERIOD_OVERRIDE=FQ","FILING_STATUS=MR","SCALING_FORMAT=MLN","Sort=A","Dates=H","DateFormat=P","Fill=—","Direction=H","UseDPDF=Y")</f>
        <v>0</v>
      </c>
      <c r="Z53" s="13">
        <f>_xll.BDH("AMGN US Equity","CF_EFFECT_FOREIGN_EXCHANGES","FQ3 2024","FQ3 2024","Currency=USD","Period=FQ","BEST_FPERIOD_OVERRIDE=FQ","FILING_STATUS=MR","SCALING_FORMAT=MLN","Sort=A","Dates=H","DateFormat=P","Fill=—","Direction=H","UseDPDF=Y")</f>
        <v>0</v>
      </c>
      <c r="AA53" s="13">
        <f>_xll.BDH("AMGN US Equity","CF_EFFECT_FOREIGN_EXCHANGES","FQ4 2024","FQ4 2024","Currency=USD","Period=FQ","BEST_FPERIOD_OVERRIDE=FQ","FILING_STATUS=MR","SCALING_FORMAT=MLN","Sort=A","Dates=H","DateFormat=P","Fill=—","Direction=H","UseDPDF=Y")</f>
        <v>0</v>
      </c>
    </row>
    <row r="54" spans="1:27" x14ac:dyDescent="0.25">
      <c r="A54" s="6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x14ac:dyDescent="0.25">
      <c r="A55" s="6" t="s">
        <v>1343</v>
      </c>
      <c r="B55" s="6" t="s">
        <v>1344</v>
      </c>
      <c r="C55" s="19">
        <f>_xll.BDH("AMGN US Equity","CF_NET_CHNG_CASH","FQ4 2018","FQ4 2018","Currency=USD","Period=FQ","BEST_FPERIOD_OVERRIDE=FQ","FILING_STATUS=MR","SCALING_FORMAT=MLN","Sort=A","Dates=H","DateFormat=P","Fill=—","Direction=H","UseDPDF=Y")</f>
        <v>-5011</v>
      </c>
      <c r="D55" s="19">
        <f>_xll.BDH("AMGN US Equity","CF_NET_CHNG_CASH","FQ1 2019","FQ1 2019","Currency=USD","Period=FQ","BEST_FPERIOD_OVERRIDE=FQ","FILING_STATUS=MR","SCALING_FORMAT=MLN","Sort=A","Dates=H","DateFormat=P","Fill=—","Direction=H","UseDPDF=Y")</f>
        <v>413</v>
      </c>
      <c r="E55" s="19">
        <f>_xll.BDH("AMGN US Equity","CF_NET_CHNG_CASH","FQ2 2019","FQ2 2019","Currency=USD","Period=FQ","BEST_FPERIOD_OVERRIDE=FQ","FILING_STATUS=MR","SCALING_FORMAT=MLN","Sort=A","Dates=H","DateFormat=P","Fill=—","Direction=H","UseDPDF=Y")</f>
        <v>-1833</v>
      </c>
      <c r="F55" s="19">
        <f>_xll.BDH("AMGN US Equity","CF_NET_CHNG_CASH","FQ3 2019","FQ3 2019","Currency=USD","Period=FQ","BEST_FPERIOD_OVERRIDE=FQ","FILING_STATUS=MR","SCALING_FORMAT=MLN","Sort=A","Dates=H","DateFormat=P","Fill=—","Direction=H","UseDPDF=Y")</f>
        <v>5890</v>
      </c>
      <c r="G55" s="19">
        <f>_xll.BDH("AMGN US Equity","CF_NET_CHNG_CASH","FQ4 2019","FQ4 2019","Currency=USD","Period=FQ","BEST_FPERIOD_OVERRIDE=FQ","FILING_STATUS=MR","SCALING_FORMAT=MLN","Sort=A","Dates=H","DateFormat=P","Fill=—","Direction=H","UseDPDF=Y")</f>
        <v>-5378</v>
      </c>
      <c r="H55" s="19">
        <f>_xll.BDH("AMGN US Equity","CF_NET_CHNG_CASH","FQ1 2020","FQ1 2020","Currency=USD","Period=FQ","BEST_FPERIOD_OVERRIDE=FQ","FILING_STATUS=MR","SCALING_FORMAT=MLN","Sort=A","Dates=H","DateFormat=P","Fill=—","Direction=H","UseDPDF=Y")</f>
        <v>1650</v>
      </c>
      <c r="I55" s="19">
        <f>_xll.BDH("AMGN US Equity","CF_NET_CHNG_CASH","FQ2 2020","FQ2 2020","Currency=USD","Period=FQ","BEST_FPERIOD_OVERRIDE=FQ","FILING_STATUS=MR","SCALING_FORMAT=MLN","Sort=A","Dates=H","DateFormat=P","Fill=—","Direction=H","UseDPDF=Y")</f>
        <v>1458</v>
      </c>
      <c r="J55" s="19">
        <f>_xll.BDH("AMGN US Equity","CF_NET_CHNG_CASH","FQ3 2020","FQ3 2020","Currency=USD","Period=FQ","BEST_FPERIOD_OVERRIDE=FQ","FILING_STATUS=MR","SCALING_FORMAT=MLN","Sort=A","Dates=H","DateFormat=P","Fill=—","Direction=H","UseDPDF=Y")</f>
        <v>-58</v>
      </c>
      <c r="K55" s="19">
        <f>_xll.BDH("AMGN US Equity","CF_NET_CHNG_CASH","FQ4 2020","FQ4 2020","Currency=USD","Period=FQ","BEST_FPERIOD_OVERRIDE=FQ","FILING_STATUS=MR","SCALING_FORMAT=MLN","Sort=A","Dates=H","DateFormat=P","Fill=—","Direction=H","UseDPDF=Y")</f>
        <v>-2561</v>
      </c>
      <c r="L55" s="19">
        <f>_xll.BDH("AMGN US Equity","CF_NET_CHNG_CASH","FQ1 2021","FQ1 2021","Currency=USD","Period=FQ","BEST_FPERIOD_OVERRIDE=FQ","FILING_STATUS=MR","SCALING_FORMAT=MLN","Sort=A","Dates=H","DateFormat=P","Fill=—","Direction=H","UseDPDF=Y")</f>
        <v>-154</v>
      </c>
      <c r="M55" s="19">
        <f>_xll.BDH("AMGN US Equity","CF_NET_CHNG_CASH","FQ2 2021","FQ2 2021","Currency=USD","Period=FQ","BEST_FPERIOD_OVERRIDE=FQ","FILING_STATUS=MR","SCALING_FORMAT=MLN","Sort=A","Dates=H","DateFormat=P","Fill=—","Direction=H","UseDPDF=Y")</f>
        <v>518</v>
      </c>
      <c r="N55" s="19">
        <f>_xll.BDH("AMGN US Equity","CF_NET_CHNG_CASH","FQ3 2021","FQ3 2021","Currency=USD","Period=FQ","BEST_FPERIOD_OVERRIDE=FQ","FILING_STATUS=MR","SCALING_FORMAT=MLN","Sort=A","Dates=H","DateFormat=P","Fill=—","Direction=H","UseDPDF=Y")</f>
        <v>5339</v>
      </c>
      <c r="O55" s="19">
        <f>_xll.BDH("AMGN US Equity","CF_NET_CHNG_CASH","FQ4 2021","FQ4 2021","Currency=USD","Period=FQ","BEST_FPERIOD_OVERRIDE=FQ","FILING_STATUS=MR","SCALING_FORMAT=MLN","Sort=A","Dates=H","DateFormat=P","Fill=—","Direction=H","UseDPDF=Y")</f>
        <v>-3980</v>
      </c>
      <c r="P55" s="19">
        <f>_xll.BDH("AMGN US Equity","CF_NET_CHNG_CASH","FQ1 2022","FQ1 2022","Currency=USD","Period=FQ","BEST_FPERIOD_OVERRIDE=FQ","FILING_STATUS=MR","SCALING_FORMAT=MLN","Sort=A","Dates=H","DateFormat=P","Fill=—","Direction=H","UseDPDF=Y")</f>
        <v>-1461</v>
      </c>
      <c r="Q55" s="19">
        <f>_xll.BDH("AMGN US Equity","CF_NET_CHNG_CASH","FQ2 2022","FQ2 2022","Currency=USD","Period=FQ","BEST_FPERIOD_OVERRIDE=FQ","FILING_STATUS=MR","SCALING_FORMAT=MLN","Sort=A","Dates=H","DateFormat=P","Fill=—","Direction=H","UseDPDF=Y")</f>
        <v>-1325</v>
      </c>
      <c r="R55" s="19">
        <f>_xll.BDH("AMGN US Equity","CF_NET_CHNG_CASH","FQ3 2022","FQ3 2022","Currency=USD","Period=FQ","BEST_FPERIOD_OVERRIDE=FQ","FILING_STATUS=MR","SCALING_FORMAT=MLN","Sort=A","Dates=H","DateFormat=P","Fill=—","Direction=H","UseDPDF=Y")</f>
        <v>4299</v>
      </c>
      <c r="S55" s="19">
        <f>_xll.BDH("AMGN US Equity","CF_NET_CHNG_CASH","FQ4 2022","FQ4 2022","Currency=USD","Period=FQ","BEST_FPERIOD_OVERRIDE=FQ","FILING_STATUS=MR","SCALING_FORMAT=MLN","Sort=A","Dates=H","DateFormat=P","Fill=—","Direction=H","UseDPDF=Y")</f>
        <v>-1873</v>
      </c>
      <c r="T55" s="19">
        <f>_xll.BDH("AMGN US Equity","CF_NET_CHNG_CASH","FQ1 2023","FQ1 2023","Currency=USD","Period=FQ","BEST_FPERIOD_OVERRIDE=FQ","FILING_STATUS=MR","SCALING_FORMAT=MLN","Sort=A","Dates=H","DateFormat=P","Fill=—","Direction=H","UseDPDF=Y")</f>
        <v>23931</v>
      </c>
      <c r="U55" s="19">
        <f>_xll.BDH("AMGN US Equity","CF_NET_CHNG_CASH","FQ2 2023","FQ2 2023","Currency=USD","Period=FQ","BEST_FPERIOD_OVERRIDE=FQ","FILING_STATUS=MR","SCALING_FORMAT=MLN","Sort=A","Dates=H","DateFormat=P","Fill=—","Direction=H","UseDPDF=Y")</f>
        <v>2688</v>
      </c>
      <c r="V55" s="19">
        <f>_xll.BDH("AMGN US Equity","CF_NET_CHNG_CASH","FQ3 2023","FQ3 2023","Currency=USD","Period=FQ","BEST_FPERIOD_OVERRIDE=FQ","FILING_STATUS=MR","SCALING_FORMAT=MLN","Sort=A","Dates=H","DateFormat=P","Fill=—","Direction=H","UseDPDF=Y")</f>
        <v>493</v>
      </c>
      <c r="W55" s="19">
        <f>_xll.BDH("AMGN US Equity","CF_NET_CHNG_CASH","FQ4 2023","FQ4 2023","Currency=USD","Period=FQ","BEST_FPERIOD_OVERRIDE=FQ","FILING_STATUS=MR","SCALING_FORMAT=MLN","Sort=A","Dates=H","DateFormat=P","Fill=—","Direction=H","UseDPDF=Y")</f>
        <v>-23797</v>
      </c>
      <c r="X55" s="19">
        <f>_xll.BDH("AMGN US Equity","CF_NET_CHNG_CASH","FQ1 2024","FQ1 2024","Currency=USD","Period=FQ","BEST_FPERIOD_OVERRIDE=FQ","FILING_STATUS=MR","SCALING_FORMAT=MLN","Sort=A","Dates=H","DateFormat=P","Fill=—","Direction=H","UseDPDF=Y")</f>
        <v>-1236</v>
      </c>
      <c r="Y55" s="19">
        <f>_xll.BDH("AMGN US Equity","CF_NET_CHNG_CASH","FQ2 2024","FQ2 2024","Currency=USD","Period=FQ","BEST_FPERIOD_OVERRIDE=FQ","FILING_STATUS=MR","SCALING_FORMAT=MLN","Sort=A","Dates=H","DateFormat=P","Fill=—","Direction=H","UseDPDF=Y")</f>
        <v>-407</v>
      </c>
      <c r="Z55" s="19">
        <f>_xll.BDH("AMGN US Equity","CF_NET_CHNG_CASH","FQ3 2024","FQ3 2024","Currency=USD","Period=FQ","BEST_FPERIOD_OVERRIDE=FQ","FILING_STATUS=MR","SCALING_FORMAT=MLN","Sort=A","Dates=H","DateFormat=P","Fill=—","Direction=H","UseDPDF=Y")</f>
        <v>-290</v>
      </c>
      <c r="AA55" s="19">
        <f>_xll.BDH("AMGN US Equity","CF_NET_CHNG_CASH","FQ4 2024","FQ4 2024","Currency=USD","Period=FQ","BEST_FPERIOD_OVERRIDE=FQ","FILING_STATUS=MR","SCALING_FORMAT=MLN","Sort=A","Dates=H","DateFormat=P","Fill=—","Direction=H","UseDPDF=Y")</f>
        <v>2962</v>
      </c>
    </row>
    <row r="56" spans="1:27" x14ac:dyDescent="0.25">
      <c r="A56" s="6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x14ac:dyDescent="0.25">
      <c r="A57" s="6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x14ac:dyDescent="0.25">
      <c r="A58" s="6" t="s">
        <v>4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x14ac:dyDescent="0.25">
      <c r="A59" s="10" t="s">
        <v>78</v>
      </c>
      <c r="B59" s="10" t="s">
        <v>78</v>
      </c>
      <c r="C59" s="13">
        <f>_xll.BDH("AMGN US Equity","EBITDA","FQ4 2018","FQ4 2018","Currency=USD","Period=FQ","BEST_FPERIOD_OVERRIDE=FQ","FILING_STATUS=MR","SCALING_FORMAT=MLN","FA_ADJUSTED=GAAP","Sort=A","Dates=H","DateFormat=P","Fill=—","Direction=H","UseDPDF=Y")</f>
        <v>2872</v>
      </c>
      <c r="D59" s="13">
        <f>_xll.BDH("AMGN US Equity","EBITDA","FQ1 2019","FQ1 2019","Currency=USD","Period=FQ","BEST_FPERIOD_OVERRIDE=FQ","FILING_STATUS=MR","SCALING_FORMAT=MLN","FA_ADJUSTED=GAAP","Sort=A","Dates=H","DateFormat=P","Fill=—","Direction=H","UseDPDF=Y")</f>
        <v>3007</v>
      </c>
      <c r="E59" s="13">
        <f>_xll.BDH("AMGN US Equity","EBITDA","FQ2 2019","FQ2 2019","Currency=USD","Period=FQ","BEST_FPERIOD_OVERRIDE=FQ","FILING_STATUS=MR","SCALING_FORMAT=MLN","FA_ADJUSTED=GAAP","Sort=A","Dates=H","DateFormat=P","Fill=—","Direction=H","UseDPDF=Y")</f>
        <v>3221</v>
      </c>
      <c r="F59" s="13">
        <f>_xll.BDH("AMGN US Equity","EBITDA","FQ3 2019","FQ3 2019","Currency=USD","Period=FQ","BEST_FPERIOD_OVERRIDE=FQ","FILING_STATUS=MR","SCALING_FORMAT=MLN","FA_ADJUSTED=GAAP","Sort=A","Dates=H","DateFormat=P","Fill=—","Direction=H","UseDPDF=Y")</f>
        <v>3026</v>
      </c>
      <c r="G59" s="13">
        <f>_xll.BDH("AMGN US Equity","EBITDA","FQ4 2019","FQ4 2019","Currency=USD","Period=FQ","BEST_FPERIOD_OVERRIDE=FQ","FILING_STATUS=MR","SCALING_FORMAT=MLN","FA_ADJUSTED=GAAP","Sort=A","Dates=H","DateFormat=P","Fill=—","Direction=H","UseDPDF=Y")</f>
        <v>2797</v>
      </c>
      <c r="H59" s="13">
        <f>_xll.BDH("AMGN US Equity","EBITDA","FQ1 2020","FQ1 2020","Currency=USD","Period=FQ","BEST_FPERIOD_OVERRIDE=FQ","FILING_STATUS=MR","SCALING_FORMAT=MLN","FA_ADJUSTED=GAAP","Sort=A","Dates=H","DateFormat=P","Fill=—","Direction=H","UseDPDF=Y")</f>
        <v>3252</v>
      </c>
      <c r="I59" s="13">
        <f>_xll.BDH("AMGN US Equity","EBITDA","FQ2 2020","FQ2 2020","Currency=USD","Period=FQ","BEST_FPERIOD_OVERRIDE=FQ","FILING_STATUS=MR","SCALING_FORMAT=MLN","FA_ADJUSTED=GAAP","Sort=A","Dates=H","DateFormat=P","Fill=—","Direction=H","UseDPDF=Y")</f>
        <v>3253</v>
      </c>
      <c r="J59" s="13">
        <f>_xll.BDH("AMGN US Equity","EBITDA","FQ3 2020","FQ3 2020","Currency=USD","Period=FQ","BEST_FPERIOD_OVERRIDE=FQ","FILING_STATUS=MR","SCALING_FORMAT=MLN","FA_ADJUSTED=GAAP","Sort=A","Dates=H","DateFormat=P","Fill=—","Direction=H","UseDPDF=Y")</f>
        <v>3354</v>
      </c>
      <c r="K59" s="13">
        <f>_xll.BDH("AMGN US Equity","EBITDA","FQ4 2020","FQ4 2020","Currency=USD","Period=FQ","BEST_FPERIOD_OVERRIDE=FQ","FILING_STATUS=MR","SCALING_FORMAT=MLN","FA_ADJUSTED=GAAP","Sort=A","Dates=H","DateFormat=P","Fill=—","Direction=H","UseDPDF=Y")</f>
        <v>2881</v>
      </c>
      <c r="L59" s="13">
        <f>_xll.BDH("AMGN US Equity","EBITDA","FQ1 2021","FQ1 2021","Currency=USD","Period=FQ","BEST_FPERIOD_OVERRIDE=FQ","FILING_STATUS=MR","SCALING_FORMAT=MLN","FA_ADJUSTED=GAAP","Sort=A","Dates=H","DateFormat=P","Fill=—","Direction=H","UseDPDF=Y")</f>
        <v>2970</v>
      </c>
      <c r="M59" s="13">
        <f>_xll.BDH("AMGN US Equity","EBITDA","FQ2 2021","FQ2 2021","Currency=USD","Period=FQ","BEST_FPERIOD_OVERRIDE=FQ","FILING_STATUS=MR","SCALING_FORMAT=MLN","FA_ADJUSTED=GAAP","Sort=A","Dates=H","DateFormat=P","Fill=—","Direction=H","UseDPDF=Y")</f>
        <v>1683</v>
      </c>
      <c r="N59" s="13">
        <f>_xll.BDH("AMGN US Equity","EBITDA","FQ3 2021","FQ3 2021","Currency=USD","Period=FQ","BEST_FPERIOD_OVERRIDE=FQ","FILING_STATUS=MR","SCALING_FORMAT=MLN","FA_ADJUSTED=GAAP","Sort=A","Dates=H","DateFormat=P","Fill=—","Direction=H","UseDPDF=Y")</f>
        <v>3228</v>
      </c>
      <c r="O59" s="13">
        <f>_xll.BDH("AMGN US Equity","EBITDA","FQ4 2021","FQ4 2021","Currency=USD","Period=FQ","BEST_FPERIOD_OVERRIDE=FQ","FILING_STATUS=MR","SCALING_FORMAT=MLN","FA_ADJUSTED=GAAP","Sort=A","Dates=H","DateFormat=P","Fill=—","Direction=H","UseDPDF=Y")</f>
        <v>3156</v>
      </c>
      <c r="P59" s="13">
        <f>_xll.BDH("AMGN US Equity","EBITDA","FQ1 2022","FQ1 2022","Currency=USD","Period=FQ","BEST_FPERIOD_OVERRIDE=FQ","FILING_STATUS=MR","SCALING_FORMAT=MLN","FA_ADJUSTED=GAAP","Sort=A","Dates=H","DateFormat=P","Fill=—","Direction=H","UseDPDF=Y")</f>
        <v>3341</v>
      </c>
      <c r="Q59" s="13">
        <f>_xll.BDH("AMGN US Equity","EBITDA","FQ2 2022","FQ2 2022","Currency=USD","Period=FQ","BEST_FPERIOD_OVERRIDE=FQ","FILING_STATUS=MR","SCALING_FORMAT=MLN","FA_ADJUSTED=GAAP","Sort=A","Dates=H","DateFormat=P","Fill=—","Direction=H","UseDPDF=Y")</f>
        <v>3004</v>
      </c>
      <c r="R59" s="13">
        <f>_xll.BDH("AMGN US Equity","EBITDA","FQ3 2022","FQ3 2022","Currency=USD","Period=FQ","BEST_FPERIOD_OVERRIDE=FQ","FILING_STATUS=MR","SCALING_FORMAT=MLN","FA_ADJUSTED=GAAP","Sort=A","Dates=H","DateFormat=P","Fill=—","Direction=H","UseDPDF=Y")</f>
        <v>3497</v>
      </c>
      <c r="S59" s="13">
        <f>_xll.BDH("AMGN US Equity","EBITDA","FQ4 2022","FQ4 2022","Currency=USD","Period=FQ","BEST_FPERIOD_OVERRIDE=FQ","FILING_STATUS=MR","SCALING_FORMAT=MLN","FA_ADJUSTED=GAAP","Sort=A","Dates=H","DateFormat=P","Fill=—","Direction=H","UseDPDF=Y")</f>
        <v>3141</v>
      </c>
      <c r="T59" s="13">
        <f>_xll.BDH("AMGN US Equity","EBITDA","FQ1 2023","FQ1 2023","Currency=USD","Period=FQ","BEST_FPERIOD_OVERRIDE=FQ","FILING_STATUS=MR","SCALING_FORMAT=MLN","FA_ADJUSTED=GAAP","Sort=A","Dates=H","DateFormat=P","Fill=—","Direction=H","UseDPDF=Y")</f>
        <v>2821</v>
      </c>
      <c r="U59" s="13">
        <f>_xll.BDH("AMGN US Equity","EBITDA","FQ2 2023","FQ2 2023","Currency=USD","Period=FQ","BEST_FPERIOD_OVERRIDE=FQ","FILING_STATUS=MR","SCALING_FORMAT=MLN","FA_ADJUSTED=GAAP","Sort=A","Dates=H","DateFormat=P","Fill=—","Direction=H","UseDPDF=Y")</f>
        <v>3580</v>
      </c>
      <c r="V59" s="13">
        <f>_xll.BDH("AMGN US Equity","EBITDA","FQ3 2023","FQ3 2023","Currency=USD","Period=FQ","BEST_FPERIOD_OVERRIDE=FQ","FILING_STATUS=MR","SCALING_FORMAT=MLN","FA_ADJUSTED=GAAP","Sort=A","Dates=H","DateFormat=P","Fill=—","Direction=H","UseDPDF=Y")</f>
        <v>2916</v>
      </c>
      <c r="W59" s="13">
        <f>_xll.BDH("AMGN US Equity","EBITDA","FQ4 2023","FQ4 2023","Currency=USD","Period=FQ","BEST_FPERIOD_OVERRIDE=FQ","FILING_STATUS=MR","SCALING_FORMAT=MLN","FA_ADJUSTED=GAAP","Sort=A","Dates=H","DateFormat=P","Fill=—","Direction=H","UseDPDF=Y")</f>
        <v>2651</v>
      </c>
      <c r="X59" s="13">
        <f>_xll.BDH("AMGN US Equity","EBITDA","FQ1 2024","FQ1 2024","Currency=USD","Period=FQ","BEST_FPERIOD_OVERRIDE=FQ","FILING_STATUS=MR","SCALING_FORMAT=MLN","FA_ADJUSTED=GAAP","Sort=A","Dates=H","DateFormat=P","Fill=—","Direction=H","UseDPDF=Y")</f>
        <v>2390</v>
      </c>
      <c r="Y59" s="13">
        <f>_xll.BDH("AMGN US Equity","EBITDA","FQ2 2024","FQ2 2024","Currency=USD","Period=FQ","BEST_FPERIOD_OVERRIDE=FQ","FILING_STATUS=MR","SCALING_FORMAT=MLN","FA_ADJUSTED=GAAP","Sort=A","Dates=H","DateFormat=P","Fill=—","Direction=H","UseDPDF=Y")</f>
        <v>3309</v>
      </c>
      <c r="Z59" s="13">
        <f>_xll.BDH("AMGN US Equity","EBITDA","FQ3 2024","FQ3 2024","Currency=USD","Period=FQ","BEST_FPERIOD_OVERRIDE=FQ","FILING_STATUS=MR","SCALING_FORMAT=MLN","FA_ADJUSTED=GAAP","Sort=A","Dates=H","DateFormat=P","Fill=—","Direction=H","UseDPDF=Y")</f>
        <v>3443</v>
      </c>
      <c r="AA59" s="13">
        <f>_xll.BDH("AMGN US Equity","EBITDA","FQ4 2024","FQ4 2024","Currency=USD","Period=FQ","BEST_FPERIOD_OVERRIDE=FQ","FILING_STATUS=MR","SCALING_FORMAT=MLN","FA_ADJUSTED=GAAP","Sort=A","Dates=H","DateFormat=P","Fill=—","Direction=H","UseDPDF=Y")</f>
        <v>3708</v>
      </c>
    </row>
    <row r="60" spans="1:27" x14ac:dyDescent="0.25">
      <c r="A60" s="10" t="s">
        <v>1345</v>
      </c>
      <c r="B60" s="10" t="s">
        <v>390</v>
      </c>
      <c r="C60" s="14">
        <f>_xll.BDH("AMGN US Equity","EBITDA_MARGIN","FQ4 2018","FQ4 2018","Currency=USD","Period=FQ","BEST_FPERIOD_OVERRIDE=FQ","FILING_STATUS=MR","FA_ADJUSTED=GAAP","Sort=A","Dates=H","DateFormat=P","Fill=—","Direction=H","UseDPDF=Y")</f>
        <v>51.412799999999997</v>
      </c>
      <c r="D60" s="14">
        <f>_xll.BDH("AMGN US Equity","EBITDA_MARGIN","FQ1 2019","FQ1 2019","Currency=USD","Period=FQ","BEST_FPERIOD_OVERRIDE=FQ","FILING_STATUS=MR","FA_ADJUSTED=GAAP","Sort=A","Dates=H","DateFormat=P","Fill=—","Direction=H","UseDPDF=Y")</f>
        <v>50.606299999999997</v>
      </c>
      <c r="E60" s="14">
        <f>_xll.BDH("AMGN US Equity","EBITDA_MARGIN","FQ2 2019","FQ2 2019","Currency=USD","Period=FQ","BEST_FPERIOD_OVERRIDE=FQ","FILING_STATUS=MR","FA_ADJUSTED=GAAP","Sort=A","Dates=H","DateFormat=P","Fill=—","Direction=H","UseDPDF=Y")</f>
        <v>50.606900000000003</v>
      </c>
      <c r="F60" s="14">
        <f>_xll.BDH("AMGN US Equity","EBITDA_MARGIN","FQ3 2019","FQ3 2019","Currency=USD","Period=FQ","BEST_FPERIOD_OVERRIDE=FQ","FILING_STATUS=MR","FA_ADJUSTED=GAAP","Sort=A","Dates=H","DateFormat=P","Fill=—","Direction=H","UseDPDF=Y")</f>
        <v>51.831600000000002</v>
      </c>
      <c r="G60" s="14">
        <f>_xll.BDH("AMGN US Equity","EBITDA_MARGIN","FQ4 2019","FQ4 2019","Currency=USD","Period=FQ","BEST_FPERIOD_OVERRIDE=FQ","FILING_STATUS=MR","FA_ADJUSTED=GAAP","Sort=A","Dates=H","DateFormat=P","Fill=—","Direction=H","UseDPDF=Y")</f>
        <v>51.583799999999997</v>
      </c>
      <c r="H60" s="14">
        <f>_xll.BDH("AMGN US Equity","EBITDA_MARGIN","FQ1 2020","FQ1 2020","Currency=USD","Period=FQ","BEST_FPERIOD_OVERRIDE=FQ","FILING_STATUS=MR","FA_ADJUSTED=GAAP","Sort=A","Dates=H","DateFormat=P","Fill=—","Direction=H","UseDPDF=Y")</f>
        <v>51.305999999999997</v>
      </c>
      <c r="I60" s="14">
        <f>_xll.BDH("AMGN US Equity","EBITDA_MARGIN","FQ2 2020","FQ2 2020","Currency=USD","Period=FQ","BEST_FPERIOD_OVERRIDE=FQ","FILING_STATUS=MR","FA_ADJUSTED=GAAP","Sort=A","Dates=H","DateFormat=P","Fill=—","Direction=H","UseDPDF=Y")</f>
        <v>50.730400000000003</v>
      </c>
      <c r="J60" s="14">
        <f>_xll.BDH("AMGN US Equity","EBITDA_MARGIN","FQ3 2020","FQ3 2020","Currency=USD","Period=FQ","BEST_FPERIOD_OVERRIDE=FQ","FILING_STATUS=MR","FA_ADJUSTED=GAAP","Sort=A","Dates=H","DateFormat=P","Fill=—","Direction=H","UseDPDF=Y")</f>
        <v>50.650300000000001</v>
      </c>
      <c r="K60" s="14">
        <f>_xll.BDH("AMGN US Equity","EBITDA_MARGIN","FQ4 2020","FQ4 2020","Currency=USD","Period=FQ","BEST_FPERIOD_OVERRIDE=FQ","FILING_STATUS=MR","FA_ADJUSTED=GAAP","Sort=A","Dates=H","DateFormat=P","Fill=—","Direction=H","UseDPDF=Y")</f>
        <v>50.110100000000003</v>
      </c>
      <c r="L60" s="14">
        <f>_xll.BDH("AMGN US Equity","EBITDA_MARGIN","FQ1 2021","FQ1 2021","Currency=USD","Period=FQ","BEST_FPERIOD_OVERRIDE=FQ","FILING_STATUS=MR","FA_ADJUSTED=GAAP","Sort=A","Dates=H","DateFormat=P","Fill=—","Direction=H","UseDPDF=Y")</f>
        <v>49.507199999999997</v>
      </c>
      <c r="M60" s="14">
        <f>_xll.BDH("AMGN US Equity","EBITDA_MARGIN","FQ2 2021","FQ2 2021","Currency=USD","Period=FQ","BEST_FPERIOD_OVERRIDE=FQ","FILING_STATUS=MR","FA_ADJUSTED=GAAP","Sort=A","Dates=H","DateFormat=P","Fill=—","Direction=H","UseDPDF=Y")</f>
        <v>42.724800000000002</v>
      </c>
      <c r="N60" s="14">
        <f>_xll.BDH("AMGN US Equity","EBITDA_MARGIN","FQ3 2021","FQ3 2021","Currency=USD","Period=FQ","BEST_FPERIOD_OVERRIDE=FQ","FILING_STATUS=MR","FA_ADJUSTED=GAAP","Sort=A","Dates=H","DateFormat=P","Fill=—","Direction=H","UseDPDF=Y")</f>
        <v>41.766599999999997</v>
      </c>
      <c r="O60" s="14">
        <f>_xll.BDH("AMGN US Equity","EBITDA_MARGIN","FQ4 2021","FQ4 2021","Currency=USD","Period=FQ","BEST_FPERIOD_OVERRIDE=FQ","FILING_STATUS=MR","FA_ADJUSTED=GAAP","Sort=A","Dates=H","DateFormat=P","Fill=—","Direction=H","UseDPDF=Y")</f>
        <v>42.484299999999998</v>
      </c>
      <c r="P60" s="14">
        <f>_xll.BDH("AMGN US Equity","EBITDA_MARGIN","FQ1 2022","FQ1 2022","Currency=USD","Period=FQ","BEST_FPERIOD_OVERRIDE=FQ","FILING_STATUS=MR","FA_ADJUSTED=GAAP","Sort=A","Dates=H","DateFormat=P","Fill=—","Direction=H","UseDPDF=Y")</f>
        <v>43.350099999999998</v>
      </c>
      <c r="Q60" s="14">
        <f>_xll.BDH("AMGN US Equity","EBITDA_MARGIN","FQ2 2022","FQ2 2022","Currency=USD","Period=FQ","BEST_FPERIOD_OVERRIDE=FQ","FILING_STATUS=MR","FA_ADJUSTED=GAAP","Sort=A","Dates=H","DateFormat=P","Fill=—","Direction=H","UseDPDF=Y")</f>
        <v>48.245100000000001</v>
      </c>
      <c r="R60" s="14">
        <f>_xll.BDH("AMGN US Equity","EBITDA_MARGIN","FQ3 2022","FQ3 2022","Currency=USD","Period=FQ","BEST_FPERIOD_OVERRIDE=FQ","FILING_STATUS=MR","FA_ADJUSTED=GAAP","Sort=A","Dates=H","DateFormat=P","Fill=—","Direction=H","UseDPDF=Y")</f>
        <v>49.365699999999997</v>
      </c>
      <c r="S60" s="14">
        <f>_xll.BDH("AMGN US Equity","EBITDA_MARGIN","FQ4 2022","FQ4 2022","Currency=USD","Period=FQ","BEST_FPERIOD_OVERRIDE=FQ","FILING_STATUS=MR","FA_ADJUSTED=GAAP","Sort=A","Dates=H","DateFormat=P","Fill=—","Direction=H","UseDPDF=Y")</f>
        <v>49.321899999999999</v>
      </c>
      <c r="T60" s="14">
        <f>_xll.BDH("AMGN US Equity","EBITDA_MARGIN","FQ1 2023","FQ1 2023","Currency=USD","Period=FQ","BEST_FPERIOD_OVERRIDE=FQ","FILING_STATUS=MR","FA_ADJUSTED=GAAP","Sort=A","Dates=H","DateFormat=P","Fill=—","Direction=H","UseDPDF=Y")</f>
        <v>47.5869</v>
      </c>
      <c r="U60" s="14">
        <f>_xll.BDH("AMGN US Equity","EBITDA_MARGIN","FQ2 2023","FQ2 2023","Currency=USD","Period=FQ","BEST_FPERIOD_OVERRIDE=FQ","FILING_STATUS=MR","FA_ADJUSTED=GAAP","Sort=A","Dates=H","DateFormat=P","Fill=—","Direction=H","UseDPDF=Y")</f>
        <v>49.052</v>
      </c>
      <c r="V60" s="14">
        <f>_xll.BDH("AMGN US Equity","EBITDA_MARGIN","FQ3 2023","FQ3 2023","Currency=USD","Period=FQ","BEST_FPERIOD_OVERRIDE=FQ","FILING_STATUS=MR","FA_ADJUSTED=GAAP","Sort=A","Dates=H","DateFormat=P","Fill=—","Direction=H","UseDPDF=Y")</f>
        <v>46.427900000000001</v>
      </c>
      <c r="W60" s="14">
        <f>_xll.BDH("AMGN US Equity","EBITDA_MARGIN","FQ4 2023","FQ4 2023","Currency=USD","Period=FQ","BEST_FPERIOD_OVERRIDE=FQ","FILING_STATUS=MR","FA_ADJUSTED=GAAP","Sort=A","Dates=H","DateFormat=P","Fill=—","Direction=H","UseDPDF=Y")</f>
        <v>42.454799999999999</v>
      </c>
      <c r="X60" s="14">
        <f>_xll.BDH("AMGN US Equity","EBITDA_MARGIN","FQ1 2024","FQ1 2024","Currency=USD","Period=FQ","BEST_FPERIOD_OVERRIDE=FQ","FILING_STATUS=MR","FA_ADJUSTED=GAAP","Sort=A","Dates=H","DateFormat=P","Fill=—","Direction=H","UseDPDF=Y")</f>
        <v>39.066099999999999</v>
      </c>
      <c r="Y60" s="14">
        <f>_xll.BDH("AMGN US Equity","EBITDA_MARGIN","FQ2 2024","FQ2 2024","Currency=USD","Period=FQ","BEST_FPERIOD_OVERRIDE=FQ","FILING_STATUS=MR","FA_ADJUSTED=GAAP","Sort=A","Dates=H","DateFormat=P","Fill=—","Direction=H","UseDPDF=Y")</f>
        <v>36.419499999999999</v>
      </c>
      <c r="Z60" s="14">
        <f>_xll.BDH("AMGN US Equity","EBITDA_MARGIN","FQ3 2024","FQ3 2024","Currency=USD","Period=FQ","BEST_FPERIOD_OVERRIDE=FQ","FILING_STATUS=MR","FA_ADJUSTED=GAAP","Sort=A","Dates=H","DateFormat=P","Fill=—","Direction=H","UseDPDF=Y")</f>
        <v>36.248199999999997</v>
      </c>
      <c r="AA60" s="14">
        <f>_xll.BDH("AMGN US Equity","EBITDA_MARGIN","FQ4 2024","FQ4 2024","Currency=USD","Period=FQ","BEST_FPERIOD_OVERRIDE=FQ","FILING_STATUS=MR","FA_ADJUSTED=GAAP","Sort=A","Dates=H","DateFormat=P","Fill=—","Direction=H","UseDPDF=Y")</f>
        <v>38.445399999999999</v>
      </c>
    </row>
    <row r="61" spans="1:27" x14ac:dyDescent="0.25">
      <c r="A61" s="10" t="s">
        <v>1346</v>
      </c>
      <c r="B61" s="10" t="s">
        <v>1347</v>
      </c>
      <c r="C61" s="13">
        <f>_xll.BDH("AMGN US Equity","CF_NET_CASH_PAID_FOR_AQUIS","FQ4 2018","FQ4 2018","Currency=USD","Period=FQ","BEST_FPERIOD_OVERRIDE=FQ","FILING_STATUS=MR","SCALING_FORMAT=MLN","Sort=A","Dates=H","DateFormat=P","Fill=—","Direction=H","UseDPDF=Y")</f>
        <v>2</v>
      </c>
      <c r="D61" s="13" t="str">
        <f>_xll.BDH("AMGN US Equity","CF_NET_CASH_PAID_FOR_AQUIS","FQ1 2019","FQ1 2019","Currency=USD","Period=FQ","BEST_FPERIOD_OVERRIDE=FQ","FILING_STATUS=MR","SCALING_FORMAT=MLN","Sort=A","Dates=H","DateFormat=P","Fill=—","Direction=H","UseDPDF=Y")</f>
        <v>—</v>
      </c>
      <c r="E61" s="13" t="str">
        <f>_xll.BDH("AMGN US Equity","CF_NET_CASH_PAID_FOR_AQUIS","FQ2 2019","FQ2 2019","Currency=USD","Period=FQ","BEST_FPERIOD_OVERRIDE=FQ","FILING_STATUS=MR","SCALING_FORMAT=MLN","Sort=A","Dates=H","DateFormat=P","Fill=—","Direction=H","UseDPDF=Y")</f>
        <v>—</v>
      </c>
      <c r="F61" s="13" t="str">
        <f>_xll.BDH("AMGN US Equity","CF_NET_CASH_PAID_FOR_AQUIS","FQ3 2019","FQ3 2019","Currency=USD","Period=FQ","BEST_FPERIOD_OVERRIDE=FQ","FILING_STATUS=MR","SCALING_FORMAT=MLN","Sort=A","Dates=H","DateFormat=P","Fill=—","Direction=H","UseDPDF=Y")</f>
        <v>—</v>
      </c>
      <c r="G61" s="13" t="str">
        <f>_xll.BDH("AMGN US Equity","CF_NET_CASH_PAID_FOR_AQUIS","FQ4 2019","FQ4 2019","Currency=USD","Period=FQ","BEST_FPERIOD_OVERRIDE=FQ","FILING_STATUS=MR","SCALING_FORMAT=MLN","Sort=A","Dates=H","DateFormat=P","Fill=—","Direction=H","UseDPDF=Y")</f>
        <v>—</v>
      </c>
      <c r="H61" s="13">
        <f>_xll.BDH("AMGN US Equity","CF_NET_CASH_PAID_FOR_AQUIS","FQ1 2020","FQ1 2020","Currency=USD","Period=FQ","BEST_FPERIOD_OVERRIDE=FQ","FILING_STATUS=MR","SCALING_FORMAT=MLN","Sort=A","Dates=H","DateFormat=P","Fill=—","Direction=H","UseDPDF=Y")</f>
        <v>0</v>
      </c>
      <c r="I61" s="13">
        <f>_xll.BDH("AMGN US Equity","CF_NET_CASH_PAID_FOR_AQUIS","FQ2 2020","FQ2 2020","Currency=USD","Period=FQ","BEST_FPERIOD_OVERRIDE=FQ","FILING_STATUS=MR","SCALING_FORMAT=MLN","Sort=A","Dates=H","DateFormat=P","Fill=—","Direction=H","UseDPDF=Y")</f>
        <v>0</v>
      </c>
      <c r="J61" s="13">
        <f>_xll.BDH("AMGN US Equity","CF_NET_CASH_PAID_FOR_AQUIS","FQ3 2020","FQ3 2020","Currency=USD","Period=FQ","BEST_FPERIOD_OVERRIDE=FQ","FILING_STATUS=MR","SCALING_FORMAT=MLN","Sort=A","Dates=H","DateFormat=P","Fill=—","Direction=H","UseDPDF=Y")</f>
        <v>0</v>
      </c>
      <c r="K61" s="13">
        <f>_xll.BDH("AMGN US Equity","CF_NET_CASH_PAID_FOR_AQUIS","FQ4 2020","FQ4 2020","Currency=USD","Period=FQ","BEST_FPERIOD_OVERRIDE=FQ","FILING_STATUS=MR","SCALING_FORMAT=MLN","Sort=A","Dates=H","DateFormat=P","Fill=—","Direction=H","UseDPDF=Y")</f>
        <v>0</v>
      </c>
      <c r="L61" s="13">
        <f>_xll.BDH("AMGN US Equity","CF_NET_CASH_PAID_FOR_AQUIS","FQ1 2021","FQ1 2021","Currency=USD","Period=FQ","BEST_FPERIOD_OVERRIDE=FQ","FILING_STATUS=MR","SCALING_FORMAT=MLN","Sort=A","Dates=H","DateFormat=P","Fill=—","Direction=H","UseDPDF=Y")</f>
        <v>0</v>
      </c>
      <c r="M61" s="13">
        <f>_xll.BDH("AMGN US Equity","CF_NET_CASH_PAID_FOR_AQUIS","FQ2 2021","FQ2 2021","Currency=USD","Period=FQ","BEST_FPERIOD_OVERRIDE=FQ","FILING_STATUS=MR","SCALING_FORMAT=MLN","Sort=A","Dates=H","DateFormat=P","Fill=—","Direction=H","UseDPDF=Y")</f>
        <v>1626</v>
      </c>
      <c r="N61" s="13">
        <f>_xll.BDH("AMGN US Equity","CF_NET_CASH_PAID_FOR_AQUIS","FQ3 2021","FQ3 2021","Currency=USD","Period=FQ","BEST_FPERIOD_OVERRIDE=FQ","FILING_STATUS=MR","SCALING_FORMAT=MLN","Sort=A","Dates=H","DateFormat=P","Fill=—","Direction=H","UseDPDF=Y")</f>
        <v>13</v>
      </c>
      <c r="O61" s="13">
        <f>_xll.BDH("AMGN US Equity","CF_NET_CASH_PAID_FOR_AQUIS","FQ4 2021","FQ4 2021","Currency=USD","Period=FQ","BEST_FPERIOD_OVERRIDE=FQ","FILING_STATUS=MR","SCALING_FORMAT=MLN","Sort=A","Dates=H","DateFormat=P","Fill=—","Direction=H","UseDPDF=Y")</f>
        <v>890</v>
      </c>
      <c r="P61" s="13" t="str">
        <f>_xll.BDH("AMGN US Equity","CF_NET_CASH_PAID_FOR_AQUIS","FQ1 2022","FQ1 2022","Currency=USD","Period=FQ","BEST_FPERIOD_OVERRIDE=FQ","FILING_STATUS=MR","SCALING_FORMAT=MLN","Sort=A","Dates=H","DateFormat=P","Fill=—","Direction=H","UseDPDF=Y")</f>
        <v>—</v>
      </c>
      <c r="Q61" s="13" t="str">
        <f>_xll.BDH("AMGN US Equity","CF_NET_CASH_PAID_FOR_AQUIS","FQ2 2022","FQ2 2022","Currency=USD","Period=FQ","BEST_FPERIOD_OVERRIDE=FQ","FILING_STATUS=MR","SCALING_FORMAT=MLN","Sort=A","Dates=H","DateFormat=P","Fill=—","Direction=H","UseDPDF=Y")</f>
        <v>—</v>
      </c>
      <c r="R61" s="13" t="str">
        <f>_xll.BDH("AMGN US Equity","CF_NET_CASH_PAID_FOR_AQUIS","FQ3 2022","FQ3 2022","Currency=USD","Period=FQ","BEST_FPERIOD_OVERRIDE=FQ","FILING_STATUS=MR","SCALING_FORMAT=MLN","Sort=A","Dates=H","DateFormat=P","Fill=—","Direction=H","UseDPDF=Y")</f>
        <v>—</v>
      </c>
      <c r="S61" s="13" t="str">
        <f>_xll.BDH("AMGN US Equity","CF_NET_CASH_PAID_FOR_AQUIS","FQ4 2022","FQ4 2022","Currency=USD","Period=FQ","BEST_FPERIOD_OVERRIDE=FQ","FILING_STATUS=MR","SCALING_FORMAT=MLN","Sort=A","Dates=H","DateFormat=P","Fill=—","Direction=H","UseDPDF=Y")</f>
        <v>—</v>
      </c>
      <c r="T61" s="13" t="str">
        <f>_xll.BDH("AMGN US Equity","CF_NET_CASH_PAID_FOR_AQUIS","FQ1 2023","FQ1 2023","Currency=USD","Period=FQ","BEST_FPERIOD_OVERRIDE=FQ","FILING_STATUS=MR","SCALING_FORMAT=MLN","Sort=A","Dates=H","DateFormat=P","Fill=—","Direction=H","UseDPDF=Y")</f>
        <v>—</v>
      </c>
      <c r="U61" s="13" t="str">
        <f>_xll.BDH("AMGN US Equity","CF_NET_CASH_PAID_FOR_AQUIS","FQ2 2023","FQ2 2023","Currency=USD","Period=FQ","BEST_FPERIOD_OVERRIDE=FQ","FILING_STATUS=MR","SCALING_FORMAT=MLN","Sort=A","Dates=H","DateFormat=P","Fill=—","Direction=H","UseDPDF=Y")</f>
        <v>—</v>
      </c>
      <c r="V61" s="13" t="str">
        <f>_xll.BDH("AMGN US Equity","CF_NET_CASH_PAID_FOR_AQUIS","FQ3 2023","FQ3 2023","Currency=USD","Period=FQ","BEST_FPERIOD_OVERRIDE=FQ","FILING_STATUS=MR","SCALING_FORMAT=MLN","Sort=A","Dates=H","DateFormat=P","Fill=—","Direction=H","UseDPDF=Y")</f>
        <v>—</v>
      </c>
      <c r="W61" s="13" t="str">
        <f>_xll.BDH("AMGN US Equity","CF_NET_CASH_PAID_FOR_AQUIS","FQ4 2023","FQ4 2023","Currency=USD","Period=FQ","BEST_FPERIOD_OVERRIDE=FQ","FILING_STATUS=MR","SCALING_FORMAT=MLN","Sort=A","Dates=H","DateFormat=P","Fill=—","Direction=H","UseDPDF=Y")</f>
        <v>—</v>
      </c>
      <c r="X61" s="13" t="str">
        <f>_xll.BDH("AMGN US Equity","CF_NET_CASH_PAID_FOR_AQUIS","FQ1 2024","FQ1 2024","Currency=USD","Period=FQ","BEST_FPERIOD_OVERRIDE=FQ","FILING_STATUS=MR","SCALING_FORMAT=MLN","Sort=A","Dates=H","DateFormat=P","Fill=—","Direction=H","UseDPDF=Y")</f>
        <v>—</v>
      </c>
      <c r="Y61" s="13" t="str">
        <f>_xll.BDH("AMGN US Equity","CF_NET_CASH_PAID_FOR_AQUIS","FQ2 2024","FQ2 2024","Currency=USD","Period=FQ","BEST_FPERIOD_OVERRIDE=FQ","FILING_STATUS=MR","SCALING_FORMAT=MLN","Sort=A","Dates=H","DateFormat=P","Fill=—","Direction=H","UseDPDF=Y")</f>
        <v>—</v>
      </c>
      <c r="Z61" s="13" t="str">
        <f>_xll.BDH("AMGN US Equity","CF_NET_CASH_PAID_FOR_AQUIS","FQ3 2024","FQ3 2024","Currency=USD","Period=FQ","BEST_FPERIOD_OVERRIDE=FQ","FILING_STATUS=MR","SCALING_FORMAT=MLN","Sort=A","Dates=H","DateFormat=P","Fill=—","Direction=H","UseDPDF=Y")</f>
        <v>—</v>
      </c>
      <c r="AA61" s="13" t="str">
        <f>_xll.BDH("AMGN US Equity","CF_NET_CASH_PAID_FOR_AQUIS","FQ4 2024","FQ4 2024","Currency=USD","Period=FQ","BEST_FPERIOD_OVERRIDE=FQ","FILING_STATUS=MR","SCALING_FORMAT=MLN","Sort=A","Dates=H","DateFormat=P","Fill=—","Direction=H","UseDPDF=Y")</f>
        <v>—</v>
      </c>
    </row>
    <row r="62" spans="1:27" x14ac:dyDescent="0.25">
      <c r="A62" s="10" t="s">
        <v>88</v>
      </c>
      <c r="B62" s="10" t="s">
        <v>89</v>
      </c>
      <c r="C62" s="13">
        <f>_xll.BDH("AMGN US Equity","CF_FREE_CASH_FLOW","FQ4 2018","FQ4 2018","Currency=USD","Period=FQ","BEST_FPERIOD_OVERRIDE=FQ","FILING_STATUS=MR","SCALING_FORMAT=MLN","Sort=A","Dates=H","DateFormat=P","Fill=—","Direction=H","UseDPDF=Y")</f>
        <v>2969</v>
      </c>
      <c r="D62" s="13">
        <f>_xll.BDH("AMGN US Equity","CF_FREE_CASH_FLOW","FQ1 2019","FQ1 2019","Currency=USD","Period=FQ","BEST_FPERIOD_OVERRIDE=FQ","FILING_STATUS=MR","SCALING_FORMAT=MLN","Sort=A","Dates=H","DateFormat=P","Fill=—","Direction=H","UseDPDF=Y")</f>
        <v>1729</v>
      </c>
      <c r="E62" s="13">
        <f>_xll.BDH("AMGN US Equity","CF_FREE_CASH_FLOW","FQ2 2019","FQ2 2019","Currency=USD","Period=FQ","BEST_FPERIOD_OVERRIDE=FQ","FILING_STATUS=MR","SCALING_FORMAT=MLN","Sort=A","Dates=H","DateFormat=P","Fill=—","Direction=H","UseDPDF=Y")</f>
        <v>1270</v>
      </c>
      <c r="F62" s="13">
        <f>_xll.BDH("AMGN US Equity","CF_FREE_CASH_FLOW","FQ3 2019","FQ3 2019","Currency=USD","Period=FQ","BEST_FPERIOD_OVERRIDE=FQ","FILING_STATUS=MR","SCALING_FORMAT=MLN","Sort=A","Dates=H","DateFormat=P","Fill=—","Direction=H","UseDPDF=Y")</f>
        <v>3207</v>
      </c>
      <c r="G62" s="13">
        <f>_xll.BDH("AMGN US Equity","CF_FREE_CASH_FLOW","FQ4 2019","FQ4 2019","Currency=USD","Period=FQ","BEST_FPERIOD_OVERRIDE=FQ","FILING_STATUS=MR","SCALING_FORMAT=MLN","Sort=A","Dates=H","DateFormat=P","Fill=—","Direction=H","UseDPDF=Y")</f>
        <v>2326</v>
      </c>
      <c r="H62" s="13">
        <f>_xll.BDH("AMGN US Equity","CF_FREE_CASH_FLOW","FQ1 2020","FQ1 2020","Currency=USD","Period=FQ","BEST_FPERIOD_OVERRIDE=FQ","FILING_STATUS=MR","SCALING_FORMAT=MLN","Sort=A","Dates=H","DateFormat=P","Fill=—","Direction=H","UseDPDF=Y")</f>
        <v>1992</v>
      </c>
      <c r="I62" s="13">
        <f>_xll.BDH("AMGN US Equity","CF_FREE_CASH_FLOW","FQ2 2020","FQ2 2020","Currency=USD","Period=FQ","BEST_FPERIOD_OVERRIDE=FQ","FILING_STATUS=MR","SCALING_FORMAT=MLN","Sort=A","Dates=H","DateFormat=P","Fill=—","Direction=H","UseDPDF=Y")</f>
        <v>2684</v>
      </c>
      <c r="J62" s="13">
        <f>_xll.BDH("AMGN US Equity","CF_FREE_CASH_FLOW","FQ3 2020","FQ3 2020","Currency=USD","Period=FQ","BEST_FPERIOD_OVERRIDE=FQ","FILING_STATUS=MR","SCALING_FORMAT=MLN","Sort=A","Dates=H","DateFormat=P","Fill=—","Direction=H","UseDPDF=Y")</f>
        <v>3233</v>
      </c>
      <c r="K62" s="13">
        <f>_xll.BDH("AMGN US Equity","CF_FREE_CASH_FLOW","FQ4 2020","FQ4 2020","Currency=USD","Period=FQ","BEST_FPERIOD_OVERRIDE=FQ","FILING_STATUS=MR","SCALING_FORMAT=MLN","Sort=A","Dates=H","DateFormat=P","Fill=—","Direction=H","UseDPDF=Y")</f>
        <v>2240</v>
      </c>
      <c r="L62" s="13">
        <f>_xll.BDH("AMGN US Equity","CF_FREE_CASH_FLOW","FQ1 2021","FQ1 2021","Currency=USD","Period=FQ","BEST_FPERIOD_OVERRIDE=FQ","FILING_STATUS=MR","SCALING_FORMAT=MLN","Sort=A","Dates=H","DateFormat=P","Fill=—","Direction=H","UseDPDF=Y")</f>
        <v>1938</v>
      </c>
      <c r="M62" s="13">
        <f>_xll.BDH("AMGN US Equity","CF_FREE_CASH_FLOW","FQ2 2021","FQ2 2021","Currency=USD","Period=FQ","BEST_FPERIOD_OVERRIDE=FQ","FILING_STATUS=MR","SCALING_FORMAT=MLN","Sort=A","Dates=H","DateFormat=P","Fill=—","Direction=H","UseDPDF=Y")</f>
        <v>1746</v>
      </c>
      <c r="N62" s="13">
        <f>_xll.BDH("AMGN US Equity","CF_FREE_CASH_FLOW","FQ3 2021","FQ3 2021","Currency=USD","Period=FQ","BEST_FPERIOD_OVERRIDE=FQ","FILING_STATUS=MR","SCALING_FORMAT=MLN","Sort=A","Dates=H","DateFormat=P","Fill=—","Direction=H","UseDPDF=Y")</f>
        <v>2176</v>
      </c>
      <c r="O62" s="13">
        <f>_xll.BDH("AMGN US Equity","CF_FREE_CASH_FLOW","FQ4 2021","FQ4 2021","Currency=USD","Period=FQ","BEST_FPERIOD_OVERRIDE=FQ","FILING_STATUS=MR","SCALING_FORMAT=MLN","Sort=A","Dates=H","DateFormat=P","Fill=—","Direction=H","UseDPDF=Y")</f>
        <v>2521</v>
      </c>
      <c r="P62" s="13">
        <f>_xll.BDH("AMGN US Equity","CF_FREE_CASH_FLOW","FQ1 2022","FQ1 2022","Currency=USD","Period=FQ","BEST_FPERIOD_OVERRIDE=FQ","FILING_STATUS=MR","SCALING_FORMAT=MLN","Sort=A","Dates=H","DateFormat=P","Fill=—","Direction=H","UseDPDF=Y")</f>
        <v>1974</v>
      </c>
      <c r="Q62" s="13">
        <f>_xll.BDH("AMGN US Equity","CF_FREE_CASH_FLOW","FQ2 2022","FQ2 2022","Currency=USD","Period=FQ","BEST_FPERIOD_OVERRIDE=FQ","FILING_STATUS=MR","SCALING_FORMAT=MLN","Sort=A","Dates=H","DateFormat=P","Fill=—","Direction=H","UseDPDF=Y")</f>
        <v>1684</v>
      </c>
      <c r="R62" s="13">
        <f>_xll.BDH("AMGN US Equity","CF_FREE_CASH_FLOW","FQ3 2022","FQ3 2022","Currency=USD","Period=FQ","BEST_FPERIOD_OVERRIDE=FQ","FILING_STATUS=MR","SCALING_FORMAT=MLN","Sort=A","Dates=H","DateFormat=P","Fill=—","Direction=H","UseDPDF=Y")</f>
        <v>2818</v>
      </c>
      <c r="S62" s="13">
        <f>_xll.BDH("AMGN US Equity","CF_FREE_CASH_FLOW","FQ4 2022","FQ4 2022","Currency=USD","Period=FQ","BEST_FPERIOD_OVERRIDE=FQ","FILING_STATUS=MR","SCALING_FORMAT=MLN","Sort=A","Dates=H","DateFormat=P","Fill=—","Direction=H","UseDPDF=Y")</f>
        <v>2309</v>
      </c>
      <c r="T62" s="13">
        <f>_xll.BDH("AMGN US Equity","CF_FREE_CASH_FLOW","FQ1 2023","FQ1 2023","Currency=USD","Period=FQ","BEST_FPERIOD_OVERRIDE=FQ","FILING_STATUS=MR","SCALING_FORMAT=MLN","Sort=A","Dates=H","DateFormat=P","Fill=—","Direction=H","UseDPDF=Y")</f>
        <v>720</v>
      </c>
      <c r="U62" s="13">
        <f>_xll.BDH("AMGN US Equity","CF_FREE_CASH_FLOW","FQ2 2023","FQ2 2023","Currency=USD","Period=FQ","BEST_FPERIOD_OVERRIDE=FQ","FILING_STATUS=MR","SCALING_FORMAT=MLN","Sort=A","Dates=H","DateFormat=P","Fill=—","Direction=H","UseDPDF=Y")</f>
        <v>3838</v>
      </c>
      <c r="V62" s="13">
        <f>_xll.BDH("AMGN US Equity","CF_FREE_CASH_FLOW","FQ3 2023","FQ3 2023","Currency=USD","Period=FQ","BEST_FPERIOD_OVERRIDE=FQ","FILING_STATUS=MR","SCALING_FORMAT=MLN","Sort=A","Dates=H","DateFormat=P","Fill=—","Direction=H","UseDPDF=Y")</f>
        <v>2512</v>
      </c>
      <c r="W62" s="13">
        <f>_xll.BDH("AMGN US Equity","CF_FREE_CASH_FLOW","FQ4 2023","FQ4 2023","Currency=USD","Period=FQ","BEST_FPERIOD_OVERRIDE=FQ","FILING_STATUS=MR","SCALING_FORMAT=MLN","Sort=A","Dates=H","DateFormat=P","Fill=—","Direction=H","UseDPDF=Y")</f>
        <v>289</v>
      </c>
      <c r="X62" s="13">
        <f>_xll.BDH("AMGN US Equity","CF_FREE_CASH_FLOW","FQ1 2024","FQ1 2024","Currency=USD","Period=FQ","BEST_FPERIOD_OVERRIDE=FQ","FILING_STATUS=MR","SCALING_FORMAT=MLN","Sort=A","Dates=H","DateFormat=P","Fill=—","Direction=H","UseDPDF=Y")</f>
        <v>459</v>
      </c>
      <c r="Y62" s="13">
        <f>_xll.BDH("AMGN US Equity","CF_FREE_CASH_FLOW","FQ2 2024","FQ2 2024","Currency=USD","Period=FQ","BEST_FPERIOD_OVERRIDE=FQ","FILING_STATUS=MR","SCALING_FORMAT=MLN","Sort=A","Dates=H","DateFormat=P","Fill=—","Direction=H","UseDPDF=Y")</f>
        <v>2221</v>
      </c>
      <c r="Z62" s="13">
        <f>_xll.BDH("AMGN US Equity","CF_FREE_CASH_FLOW","FQ3 2024","FQ3 2024","Currency=USD","Period=FQ","BEST_FPERIOD_OVERRIDE=FQ","FILING_STATUS=MR","SCALING_FORMAT=MLN","Sort=A","Dates=H","DateFormat=P","Fill=—","Direction=H","UseDPDF=Y")</f>
        <v>3314</v>
      </c>
      <c r="AA62" s="13">
        <f>_xll.BDH("AMGN US Equity","CF_FREE_CASH_FLOW","FQ4 2024","FQ4 2024","Currency=USD","Period=FQ","BEST_FPERIOD_OVERRIDE=FQ","FILING_STATUS=MR","SCALING_FORMAT=MLN","Sort=A","Dates=H","DateFormat=P","Fill=—","Direction=H","UseDPDF=Y")</f>
        <v>4400</v>
      </c>
    </row>
    <row r="63" spans="1:27" x14ac:dyDescent="0.25">
      <c r="A63" s="10" t="s">
        <v>1348</v>
      </c>
      <c r="B63" s="10" t="s">
        <v>1349</v>
      </c>
      <c r="C63" s="13">
        <f>_xll.BDH("AMGN US Equity","CF_FREE_CASH_FLOW_FIRM","FQ4 2018","FQ4 2018","Currency=USD","Period=FQ","BEST_FPERIOD_OVERRIDE=FQ","FILING_STATUS=MR","SCALING_FORMAT=MLN","FA_ADJUSTED=GAAP","Sort=A","Dates=H","DateFormat=P","Fill=—","Direction=H","UseDPDF=Y")</f>
        <v>3279.5976999999998</v>
      </c>
      <c r="D63" s="13">
        <f>_xll.BDH("AMGN US Equity","CF_FREE_CASH_FLOW_FIRM","FQ1 2019","FQ1 2019","Currency=USD","Period=FQ","BEST_FPERIOD_OVERRIDE=FQ","FILING_STATUS=MR","SCALING_FORMAT=MLN","FA_ADJUSTED=GAAP","Sort=A","Dates=H","DateFormat=P","Fill=—","Direction=H","UseDPDF=Y")</f>
        <v>2024.2705000000001</v>
      </c>
      <c r="E63" s="13">
        <f>_xll.BDH("AMGN US Equity","CF_FREE_CASH_FLOW_FIRM","FQ2 2019","FQ2 2019","Currency=USD","Period=FQ","BEST_FPERIOD_OVERRIDE=FQ","FILING_STATUS=MR","SCALING_FORMAT=MLN","FA_ADJUSTED=GAAP","Sort=A","Dates=H","DateFormat=P","Fill=—","Direction=H","UseDPDF=Y")</f>
        <v>1552.1482000000001</v>
      </c>
      <c r="F63" s="13">
        <f>_xll.BDH("AMGN US Equity","CF_FREE_CASH_FLOW_FIRM","FQ3 2019","FQ3 2019","Currency=USD","Period=FQ","BEST_FPERIOD_OVERRIDE=FQ","FILING_STATUS=MR","SCALING_FORMAT=MLN","FA_ADJUSTED=GAAP","Sort=A","Dates=H","DateFormat=P","Fill=—","Direction=H","UseDPDF=Y")</f>
        <v>3477.5243999999998</v>
      </c>
      <c r="G63" s="13">
        <f>_xll.BDH("AMGN US Equity","CF_FREE_CASH_FLOW_FIRM","FQ4 2019","FQ4 2019","Currency=USD","Period=FQ","BEST_FPERIOD_OVERRIDE=FQ","FILING_STATUS=MR","SCALING_FORMAT=MLN","FA_ADJUSTED=GAAP","Sort=A","Dates=H","DateFormat=P","Fill=—","Direction=H","UseDPDF=Y")</f>
        <v>2584.4987000000001</v>
      </c>
      <c r="H63" s="13">
        <f>_xll.BDH("AMGN US Equity","CF_FREE_CASH_FLOW_FIRM","FQ1 2020","FQ1 2020","Currency=USD","Period=FQ","BEST_FPERIOD_OVERRIDE=FQ","FILING_STATUS=MR","SCALING_FORMAT=MLN","FA_ADJUSTED=GAAP","Sort=A","Dates=H","DateFormat=P","Fill=—","Direction=H","UseDPDF=Y")</f>
        <v>2304.5990000000002</v>
      </c>
      <c r="I63" s="13">
        <f>_xll.BDH("AMGN US Equity","CF_FREE_CASH_FLOW_FIRM","FQ2 2020","FQ2 2020","Currency=USD","Period=FQ","BEST_FPERIOD_OVERRIDE=FQ","FILING_STATUS=MR","SCALING_FORMAT=MLN","FA_ADJUSTED=GAAP","Sort=A","Dates=H","DateFormat=P","Fill=—","Direction=H","UseDPDF=Y")</f>
        <v>2946.9005000000002</v>
      </c>
      <c r="J63" s="13">
        <f>_xll.BDH("AMGN US Equity","CF_FREE_CASH_FLOW_FIRM","FQ3 2020","FQ3 2020","Currency=USD","Period=FQ","BEST_FPERIOD_OVERRIDE=FQ","FILING_STATUS=MR","SCALING_FORMAT=MLN","FA_ADJUSTED=GAAP","Sort=A","Dates=H","DateFormat=P","Fill=—","Direction=H","UseDPDF=Y")</f>
        <v>3509.6736000000001</v>
      </c>
      <c r="K63" s="13">
        <f>_xll.BDH("AMGN US Equity","CF_FREE_CASH_FLOW_FIRM","FQ4 2020","FQ4 2020","Currency=USD","Period=FQ","BEST_FPERIOD_OVERRIDE=FQ","FILING_STATUS=MR","SCALING_FORMAT=MLN","FA_ADJUSTED=GAAP","Sort=A","Dates=H","DateFormat=P","Fill=—","Direction=H","UseDPDF=Y")</f>
        <v>2513.6120999999998</v>
      </c>
      <c r="L63" s="13">
        <f>_xll.BDH("AMGN US Equity","CF_FREE_CASH_FLOW_FIRM","FQ1 2021","FQ1 2021","Currency=USD","Period=FQ","BEST_FPERIOD_OVERRIDE=FQ","FILING_STATUS=MR","SCALING_FORMAT=MLN","FA_ADJUSTED=GAAP","Sort=A","Dates=H","DateFormat=P","Fill=—","Direction=H","UseDPDF=Y")</f>
        <v>2190.6170999999999</v>
      </c>
      <c r="M63" s="13">
        <f>_xll.BDH("AMGN US Equity","CF_FREE_CASH_FLOW_FIRM","FQ2 2021","FQ2 2021","Currency=USD","Period=FQ","BEST_FPERIOD_OVERRIDE=FQ","FILING_STATUS=MR","SCALING_FORMAT=MLN","FA_ADJUSTED=GAAP","Sort=A","Dates=H","DateFormat=P","Fill=—","Direction=H","UseDPDF=Y")</f>
        <v>1979.6631</v>
      </c>
      <c r="N63" s="13">
        <f>_xll.BDH("AMGN US Equity","CF_FREE_CASH_FLOW_FIRM","FQ3 2021","FQ3 2021","Currency=USD","Period=FQ","BEST_FPERIOD_OVERRIDE=FQ","FILING_STATUS=MR","SCALING_FORMAT=MLN","FA_ADJUSTED=GAAP","Sort=A","Dates=H","DateFormat=P","Fill=—","Direction=H","UseDPDF=Y")</f>
        <v>2434.7768000000001</v>
      </c>
      <c r="O63" s="13">
        <f>_xll.BDH("AMGN US Equity","CF_FREE_CASH_FLOW_FIRM","FQ4 2021","FQ4 2021","Currency=USD","Period=FQ","BEST_FPERIOD_OVERRIDE=FQ","FILING_STATUS=MR","SCALING_FORMAT=MLN","FA_ADJUSTED=GAAP","Sort=A","Dates=H","DateFormat=P","Fill=—","Direction=H","UseDPDF=Y")</f>
        <v>2819.5288999999998</v>
      </c>
      <c r="P63" s="13">
        <f>_xll.BDH("AMGN US Equity","CF_FREE_CASH_FLOW_FIRM","FQ1 2022","FQ1 2022","Currency=USD","Period=FQ","BEST_FPERIOD_OVERRIDE=FQ","FILING_STATUS=MR","SCALING_FORMAT=MLN","FA_ADJUSTED=GAAP","Sort=A","Dates=H","DateFormat=P","Fill=—","Direction=H","UseDPDF=Y")</f>
        <v>2233.9522000000002</v>
      </c>
      <c r="Q63" s="13">
        <f>_xll.BDH("AMGN US Equity","CF_FREE_CASH_FLOW_FIRM","FQ2 2022","FQ2 2022","Currency=USD","Period=FQ","BEST_FPERIOD_OVERRIDE=FQ","FILING_STATUS=MR","SCALING_FORMAT=MLN","FA_ADJUSTED=GAAP","Sort=A","Dates=H","DateFormat=P","Fill=—","Direction=H","UseDPDF=Y")</f>
        <v>1966.1528000000001</v>
      </c>
      <c r="R63" s="13">
        <f>_xll.BDH("AMGN US Equity","CF_FREE_CASH_FLOW_FIRM","FQ3 2022","FQ3 2022","Currency=USD","Period=FQ","BEST_FPERIOD_OVERRIDE=FQ","FILING_STATUS=MR","SCALING_FORMAT=MLN","FA_ADJUSTED=GAAP","Sort=A","Dates=H","DateFormat=P","Fill=—","Direction=H","UseDPDF=Y")</f>
        <v>3147.6923000000002</v>
      </c>
      <c r="S63" s="13">
        <f>_xll.BDH("AMGN US Equity","CF_FREE_CASH_FLOW_FIRM","FQ4 2022","FQ4 2022","Currency=USD","Period=FQ","BEST_FPERIOD_OVERRIDE=FQ","FILING_STATUS=MR","SCALING_FORMAT=MLN","FA_ADJUSTED=GAAP","Sort=A","Dates=H","DateFormat=P","Fill=—","Direction=H","UseDPDF=Y")</f>
        <v>2692.6613000000002</v>
      </c>
      <c r="T63" s="13">
        <f>_xll.BDH("AMGN US Equity","CF_FREE_CASH_FLOW_FIRM","FQ1 2023","FQ1 2023","Currency=USD","Period=FQ","BEST_FPERIOD_OVERRIDE=FQ","FILING_STATUS=MR","SCALING_FORMAT=MLN","FA_ADJUSTED=GAAP","Sort=A","Dates=H","DateFormat=P","Fill=—","Direction=H","UseDPDF=Y")</f>
        <v>1168.1880000000001</v>
      </c>
      <c r="U63" s="13">
        <f>_xll.BDH("AMGN US Equity","CF_FREE_CASH_FLOW_FIRM","FQ2 2023","FQ2 2023","Currency=USD","Period=FQ","BEST_FPERIOD_OVERRIDE=FQ","FILING_STATUS=MR","SCALING_FORMAT=MLN","FA_ADJUSTED=GAAP","Sort=A","Dates=H","DateFormat=P","Fill=—","Direction=H","UseDPDF=Y")</f>
        <v>4480.5081</v>
      </c>
      <c r="V63" s="13">
        <f>_xll.BDH("AMGN US Equity","CF_FREE_CASH_FLOW_FIRM","FQ3 2023","FQ3 2023","Currency=USD","Period=FQ","BEST_FPERIOD_OVERRIDE=FQ","FILING_STATUS=MR","SCALING_FORMAT=MLN","FA_ADJUSTED=GAAP","Sort=A","Dates=H","DateFormat=P","Fill=—","Direction=H","UseDPDF=Y")</f>
        <v>3186.4068000000002</v>
      </c>
      <c r="W63" s="13">
        <f>_xll.BDH("AMGN US Equity","CF_FREE_CASH_FLOW_FIRM","FQ4 2023","FQ4 2023","Currency=USD","Period=FQ","BEST_FPERIOD_OVERRIDE=FQ","FILING_STATUS=MR","SCALING_FORMAT=MLN","FA_ADJUSTED=GAAP","Sort=A","Dates=H","DateFormat=P","Fill=—","Direction=H","UseDPDF=Y")</f>
        <v>1028.0926999999999</v>
      </c>
      <c r="X63" s="13">
        <f>_xll.BDH("AMGN US Equity","CF_FREE_CASH_FLOW_FIRM","FQ1 2024","FQ1 2024","Currency=USD","Period=FQ","BEST_FPERIOD_OVERRIDE=FQ","FILING_STATUS=MR","SCALING_FORMAT=MLN","FA_ADJUSTED=GAAP","Sort=A","Dates=H","DateFormat=P","Fill=—","Direction=H","UseDPDF=Y")</f>
        <v>1172.6276</v>
      </c>
      <c r="Y63" s="13">
        <f>_xll.BDH("AMGN US Equity","CF_FREE_CASH_FLOW_FIRM","FQ2 2024","FQ2 2024","Currency=USD","Period=FQ","BEST_FPERIOD_OVERRIDE=FQ","FILING_STATUS=MR","SCALING_FORMAT=MLN","FA_ADJUSTED=GAAP","Sort=A","Dates=H","DateFormat=P","Fill=—","Direction=H","UseDPDF=Y")</f>
        <v>2980.1536999999998</v>
      </c>
      <c r="Z63" s="13">
        <f>_xll.BDH("AMGN US Equity","CF_FREE_CASH_FLOW_FIRM","FQ3 2024","FQ3 2024","Currency=USD","Period=FQ","BEST_FPERIOD_OVERRIDE=FQ","FILING_STATUS=MR","SCALING_FORMAT=MLN","FA_ADJUSTED=GAAP","Sort=A","Dates=H","DateFormat=P","Fill=—","Direction=H","UseDPDF=Y")</f>
        <v>4022.1844999999998</v>
      </c>
      <c r="AA63" s="13">
        <f>_xll.BDH("AMGN US Equity","CF_FREE_CASH_FLOW_FIRM","FQ4 2024","FQ4 2024","Currency=USD","Period=FQ","BEST_FPERIOD_OVERRIDE=FQ","FILING_STATUS=MR","SCALING_FORMAT=MLN","FA_ADJUSTED=GAAP","Sort=A","Dates=H","DateFormat=P","Fill=—","Direction=H","UseDPDF=Y")</f>
        <v>4998.9372999999996</v>
      </c>
    </row>
    <row r="64" spans="1:27" x14ac:dyDescent="0.25">
      <c r="A64" s="10" t="s">
        <v>1350</v>
      </c>
      <c r="B64" s="10" t="s">
        <v>1351</v>
      </c>
      <c r="C64" s="13">
        <f>_xll.BDH("AMGN US Equity","FREE_CASH_FLOW_EQUITY","FQ4 2018","FQ4 2018","Currency=USD","Period=FQ","BEST_FPERIOD_OVERRIDE=FQ","FILING_STATUS=MR","SCALING_FORMAT=MLN","Sort=A","Dates=H","DateFormat=P","Fill=—","Direction=H","UseDPDF=Y")</f>
        <v>2348</v>
      </c>
      <c r="D64" s="13">
        <f>_xll.BDH("AMGN US Equity","FREE_CASH_FLOW_EQUITY","FQ1 2019","FQ1 2019","Currency=USD","Period=FQ","BEST_FPERIOD_OVERRIDE=FQ","FILING_STATUS=MR","SCALING_FORMAT=MLN","Sort=A","Dates=H","DateFormat=P","Fill=—","Direction=H","UseDPDF=Y")</f>
        <v>729</v>
      </c>
      <c r="E64" s="13">
        <f>_xll.BDH("AMGN US Equity","FREE_CASH_FLOW_EQUITY","FQ2 2019","FQ2 2019","Currency=USD","Period=FQ","BEST_FPERIOD_OVERRIDE=FQ","FILING_STATUS=MR","SCALING_FORMAT=MLN","Sort=A","Dates=H","DateFormat=P","Fill=—","Direction=H","UseDPDF=Y")</f>
        <v>-1380</v>
      </c>
      <c r="F64" s="13">
        <f>_xll.BDH("AMGN US Equity","FREE_CASH_FLOW_EQUITY","FQ3 2019","FQ3 2019","Currency=USD","Period=FQ","BEST_FPERIOD_OVERRIDE=FQ","FILING_STATUS=MR","SCALING_FORMAT=MLN","Sort=A","Dates=H","DateFormat=P","Fill=—","Direction=H","UseDPDF=Y")</f>
        <v>2343</v>
      </c>
      <c r="G64" s="13">
        <f>_xll.BDH("AMGN US Equity","FREE_CASH_FLOW_EQUITY","FQ4 2019","FQ4 2019","Currency=USD","Period=FQ","BEST_FPERIOD_OVERRIDE=FQ","FILING_STATUS=MR","SCALING_FORMAT=MLN","Sort=A","Dates=H","DateFormat=P","Fill=—","Direction=H","UseDPDF=Y")</f>
        <v>2326</v>
      </c>
      <c r="H64" s="13">
        <f>_xll.BDH("AMGN US Equity","FREE_CASH_FLOW_EQUITY","FQ1 2020","FQ1 2020","Currency=USD","Period=FQ","BEST_FPERIOD_OVERRIDE=FQ","FILING_STATUS=MR","SCALING_FORMAT=MLN","Sort=A","Dates=H","DateFormat=P","Fill=—","Direction=H","UseDPDF=Y")</f>
        <v>3705</v>
      </c>
      <c r="I64" s="13">
        <f>_xll.BDH("AMGN US Equity","FREE_CASH_FLOW_EQUITY","FQ2 2020","FQ2 2020","Currency=USD","Period=FQ","BEST_FPERIOD_OVERRIDE=FQ","FILING_STATUS=MR","SCALING_FORMAT=MLN","Sort=A","Dates=H","DateFormat=P","Fill=—","Direction=H","UseDPDF=Y")</f>
        <v>4973</v>
      </c>
      <c r="J64" s="13">
        <f>_xll.BDH("AMGN US Equity","FREE_CASH_FLOW_EQUITY","FQ3 2020","FQ3 2020","Currency=USD","Period=FQ","BEST_FPERIOD_OVERRIDE=FQ","FILING_STATUS=MR","SCALING_FORMAT=MLN","Sort=A","Dates=H","DateFormat=P","Fill=—","Direction=H","UseDPDF=Y")</f>
        <v>3145</v>
      </c>
      <c r="K64" s="13">
        <f>_xll.BDH("AMGN US Equity","FREE_CASH_FLOW_EQUITY","FQ4 2020","FQ4 2020","Currency=USD","Period=FQ","BEST_FPERIOD_OVERRIDE=FQ","FILING_STATUS=MR","SCALING_FORMAT=MLN","Sort=A","Dates=H","DateFormat=P","Fill=—","Direction=H","UseDPDF=Y")</f>
        <v>790</v>
      </c>
      <c r="L64" s="13">
        <f>_xll.BDH("AMGN US Equity","FREE_CASH_FLOW_EQUITY","FQ1 2021","FQ1 2021","Currency=USD","Period=FQ","BEST_FPERIOD_OVERRIDE=FQ","FILING_STATUS=MR","SCALING_FORMAT=MLN","Sort=A","Dates=H","DateFormat=P","Fill=—","Direction=H","UseDPDF=Y")</f>
        <v>1938</v>
      </c>
      <c r="M64" s="13">
        <f>_xll.BDH("AMGN US Equity","FREE_CASH_FLOW_EQUITY","FQ2 2021","FQ2 2021","Currency=USD","Period=FQ","BEST_FPERIOD_OVERRIDE=FQ","FILING_STATUS=MR","SCALING_FORMAT=MLN","Sort=A","Dates=H","DateFormat=P","Fill=—","Direction=H","UseDPDF=Y")</f>
        <v>1746</v>
      </c>
      <c r="N64" s="13">
        <f>_xll.BDH("AMGN US Equity","FREE_CASH_FLOW_EQUITY","FQ3 2021","FQ3 2021","Currency=USD","Period=FQ","BEST_FPERIOD_OVERRIDE=FQ","FILING_STATUS=MR","SCALING_FORMAT=MLN","Sort=A","Dates=H","DateFormat=P","Fill=—","Direction=H","UseDPDF=Y")</f>
        <v>7122</v>
      </c>
      <c r="O64" s="13">
        <f>_xll.BDH("AMGN US Equity","FREE_CASH_FLOW_EQUITY","FQ4 2021","FQ4 2021","Currency=USD","Period=FQ","BEST_FPERIOD_OVERRIDE=FQ","FILING_STATUS=MR","SCALING_FORMAT=MLN","Sort=A","Dates=H","DateFormat=P","Fill=—","Direction=H","UseDPDF=Y")</f>
        <v>-1630</v>
      </c>
      <c r="P64" s="13">
        <f>_xll.BDH("AMGN US Equity","FREE_CASH_FLOW_EQUITY","FQ1 2022","FQ1 2022","Currency=USD","Period=FQ","BEST_FPERIOD_OVERRIDE=FQ","FILING_STATUS=MR","SCALING_FORMAT=MLN","Sort=A","Dates=H","DateFormat=P","Fill=—","Direction=H","UseDPDF=Y")</f>
        <v>5926</v>
      </c>
      <c r="Q64" s="13">
        <f>_xll.BDH("AMGN US Equity","FREE_CASH_FLOW_EQUITY","FQ2 2022","FQ2 2022","Currency=USD","Period=FQ","BEST_FPERIOD_OVERRIDE=FQ","FILING_STATUS=MR","SCALING_FORMAT=MLN","Sort=A","Dates=H","DateFormat=P","Fill=—","Direction=H","UseDPDF=Y")</f>
        <v>1686</v>
      </c>
      <c r="R64" s="13">
        <f>_xll.BDH("AMGN US Equity","FREE_CASH_FLOW_EQUITY","FQ3 2022","FQ3 2022","Currency=USD","Period=FQ","BEST_FPERIOD_OVERRIDE=FQ","FILING_STATUS=MR","SCALING_FORMAT=MLN","Sort=A","Dates=H","DateFormat=P","Fill=—","Direction=H","UseDPDF=Y")</f>
        <v>5802</v>
      </c>
      <c r="S64" s="13">
        <f>_xll.BDH("AMGN US Equity","FREE_CASH_FLOW_EQUITY","FQ4 2022","FQ4 2022","Currency=USD","Period=FQ","BEST_FPERIOD_OVERRIDE=FQ","FILING_STATUS=MR","SCALING_FORMAT=MLN","Sort=A","Dates=H","DateFormat=P","Fill=—","Direction=H","UseDPDF=Y")</f>
        <v>2290</v>
      </c>
      <c r="T64" s="13">
        <f>_xll.BDH("AMGN US Equity","FREE_CASH_FLOW_EQUITY","FQ1 2023","FQ1 2023","Currency=USD","Period=FQ","BEST_FPERIOD_OVERRIDE=FQ","FILING_STATUS=MR","SCALING_FORMAT=MLN","Sort=A","Dates=H","DateFormat=P","Fill=—","Direction=H","UseDPDF=Y")</f>
        <v>23394</v>
      </c>
      <c r="U64" s="13">
        <f>_xll.BDH("AMGN US Equity","FREE_CASH_FLOW_EQUITY","FQ2 2023","FQ2 2023","Currency=USD","Period=FQ","BEST_FPERIOD_OVERRIDE=FQ","FILING_STATUS=MR","SCALING_FORMAT=MLN","Sort=A","Dates=H","DateFormat=P","Fill=—","Direction=H","UseDPDF=Y")</f>
        <v>3820</v>
      </c>
      <c r="V64" s="13">
        <f>_xll.BDH("AMGN US Equity","FREE_CASH_FLOW_EQUITY","FQ3 2023","FQ3 2023","Currency=USD","Period=FQ","BEST_FPERIOD_OVERRIDE=FQ","FILING_STATUS=MR","SCALING_FORMAT=MLN","Sort=A","Dates=H","DateFormat=P","Fill=—","Direction=H","UseDPDF=Y")</f>
        <v>2183</v>
      </c>
      <c r="W64" s="13">
        <f>_xll.BDH("AMGN US Equity","FREE_CASH_FLOW_EQUITY","FQ4 2023","FQ4 2023","Currency=USD","Period=FQ","BEST_FPERIOD_OVERRIDE=FQ","FILING_STATUS=MR","SCALING_FORMAT=MLN","Sort=A","Dates=H","DateFormat=P","Fill=—","Direction=H","UseDPDF=Y")</f>
        <v>3638</v>
      </c>
      <c r="X64" s="13">
        <f>_xll.BDH("AMGN US Equity","FREE_CASH_FLOW_EQUITY","FQ1 2024","FQ1 2024","Currency=USD","Period=FQ","BEST_FPERIOD_OVERRIDE=FQ","FILING_STATUS=MR","SCALING_FORMAT=MLN","Sort=A","Dates=H","DateFormat=P","Fill=—","Direction=H","UseDPDF=Y")</f>
        <v>49</v>
      </c>
      <c r="Y64" s="13">
        <f>_xll.BDH("AMGN US Equity","FREE_CASH_FLOW_EQUITY","FQ2 2024","FQ2 2024","Currency=USD","Period=FQ","BEST_FPERIOD_OVERRIDE=FQ","FILING_STATUS=MR","SCALING_FORMAT=MLN","Sort=A","Dates=H","DateFormat=P","Fill=—","Direction=H","UseDPDF=Y")</f>
        <v>821</v>
      </c>
      <c r="Z64" s="13">
        <f>_xll.BDH("AMGN US Equity","FREE_CASH_FLOW_EQUITY","FQ3 2024","FQ3 2024","Currency=USD","Period=FQ","BEST_FPERIOD_OVERRIDE=FQ","FILING_STATUS=MR","SCALING_FORMAT=MLN","Sort=A","Dates=H","DateFormat=P","Fill=—","Direction=H","UseDPDF=Y")</f>
        <v>1524</v>
      </c>
      <c r="AA64" s="13">
        <f>_xll.BDH("AMGN US Equity","FREE_CASH_FLOW_EQUITY","FQ4 2024","FQ4 2024","Currency=USD","Period=FQ","BEST_FPERIOD_OVERRIDE=FQ","FILING_STATUS=MR","SCALING_FORMAT=MLN","Sort=A","Dates=H","DateFormat=P","Fill=—","Direction=H","UseDPDF=Y")</f>
        <v>3741</v>
      </c>
    </row>
    <row r="65" spans="1:27" x14ac:dyDescent="0.25">
      <c r="A65" s="10" t="s">
        <v>1352</v>
      </c>
      <c r="B65" s="10" t="s">
        <v>272</v>
      </c>
      <c r="C65" s="14">
        <f>_xll.BDH("AMGN US Equity","FREE_CASH_FLOW_PER_SH","FQ4 2018","FQ4 2018","Currency=USD","Period=FQ","BEST_FPERIOD_OVERRIDE=FQ","FILING_STATUS=MR","Sort=A","Dates=H","DateFormat=P","Fill=—","Direction=H","UseDPDF=Y")</f>
        <v>4.6756000000000002</v>
      </c>
      <c r="D65" s="14">
        <f>_xll.BDH("AMGN US Equity","FREE_CASH_FLOW_PER_SH","FQ1 2019","FQ1 2019","Currency=USD","Period=FQ","BEST_FPERIOD_OVERRIDE=FQ","FILING_STATUS=MR","Sort=A","Dates=H","DateFormat=P","Fill=—","Direction=H","UseDPDF=Y")</f>
        <v>2.7797000000000001</v>
      </c>
      <c r="E65" s="14">
        <f>_xll.BDH("AMGN US Equity","FREE_CASH_FLOW_PER_SH","FQ2 2019","FQ2 2019","Currency=USD","Period=FQ","BEST_FPERIOD_OVERRIDE=FQ","FILING_STATUS=MR","Sort=A","Dates=H","DateFormat=P","Fill=—","Direction=H","UseDPDF=Y")</f>
        <v>2.0922999999999998</v>
      </c>
      <c r="F65" s="14">
        <f>_xll.BDH("AMGN US Equity","FREE_CASH_FLOW_PER_SH","FQ3 2019","FQ3 2019","Currency=USD","Period=FQ","BEST_FPERIOD_OVERRIDE=FQ","FILING_STATUS=MR","Sort=A","Dates=H","DateFormat=P","Fill=—","Direction=H","UseDPDF=Y")</f>
        <v>5.3539000000000003</v>
      </c>
      <c r="G65" s="14">
        <f>_xll.BDH("AMGN US Equity","FREE_CASH_FLOW_PER_SH","FQ4 2019","FQ4 2019","Currency=USD","Period=FQ","BEST_FPERIOD_OVERRIDE=FQ","FILING_STATUS=MR","Sort=A","Dates=H","DateFormat=P","Fill=—","Direction=H","UseDPDF=Y")</f>
        <v>3.9224000000000001</v>
      </c>
      <c r="H65" s="14">
        <f>_xll.BDH("AMGN US Equity","FREE_CASH_FLOW_PER_SH","FQ1 2020","FQ1 2020","Currency=USD","Period=FQ","BEST_FPERIOD_OVERRIDE=FQ","FILING_STATUS=MR","Sort=A","Dates=H","DateFormat=P","Fill=—","Direction=H","UseDPDF=Y")</f>
        <v>3.3763000000000001</v>
      </c>
      <c r="I65" s="14">
        <f>_xll.BDH("AMGN US Equity","FREE_CASH_FLOW_PER_SH","FQ2 2020","FQ2 2020","Currency=USD","Period=FQ","BEST_FPERIOD_OVERRIDE=FQ","FILING_STATUS=MR","Sort=A","Dates=H","DateFormat=P","Fill=—","Direction=H","UseDPDF=Y")</f>
        <v>4.5646000000000004</v>
      </c>
      <c r="J65" s="14">
        <f>_xll.BDH("AMGN US Equity","FREE_CASH_FLOW_PER_SH","FQ3 2020","FQ3 2020","Currency=USD","Period=FQ","BEST_FPERIOD_OVERRIDE=FQ","FILING_STATUS=MR","Sort=A","Dates=H","DateFormat=P","Fill=—","Direction=H","UseDPDF=Y")</f>
        <v>5.5265000000000004</v>
      </c>
      <c r="K65" s="14">
        <f>_xll.BDH("AMGN US Equity","FREE_CASH_FLOW_PER_SH","FQ4 2020","FQ4 2020","Currency=USD","Period=FQ","BEST_FPERIOD_OVERRIDE=FQ","FILING_STATUS=MR","Sort=A","Dates=H","DateFormat=P","Fill=—","Direction=H","UseDPDF=Y")</f>
        <v>3.8553999999999999</v>
      </c>
      <c r="L65" s="14">
        <f>_xll.BDH("AMGN US Equity","FREE_CASH_FLOW_PER_SH","FQ1 2021","FQ1 2021","Currency=USD","Period=FQ","BEST_FPERIOD_OVERRIDE=FQ","FILING_STATUS=MR","Sort=A","Dates=H","DateFormat=P","Fill=—","Direction=H","UseDPDF=Y")</f>
        <v>3.3588</v>
      </c>
      <c r="M65" s="14">
        <f>_xll.BDH("AMGN US Equity","FREE_CASH_FLOW_PER_SH","FQ2 2021","FQ2 2021","Currency=USD","Period=FQ","BEST_FPERIOD_OVERRIDE=FQ","FILING_STATUS=MR","Sort=A","Dates=H","DateFormat=P","Fill=—","Direction=H","UseDPDF=Y")</f>
        <v>3.0470999999999999</v>
      </c>
      <c r="N65" s="14">
        <f>_xll.BDH("AMGN US Equity","FREE_CASH_FLOW_PER_SH","FQ3 2021","FQ3 2021","Currency=USD","Period=FQ","BEST_FPERIOD_OVERRIDE=FQ","FILING_STATUS=MR","Sort=A","Dates=H","DateFormat=P","Fill=—","Direction=H","UseDPDF=Y")</f>
        <v>3.8376999999999999</v>
      </c>
      <c r="O65" s="14">
        <f>_xll.BDH("AMGN US Equity","FREE_CASH_FLOW_PER_SH","FQ4 2021","FQ4 2021","Currency=USD","Period=FQ","BEST_FPERIOD_OVERRIDE=FQ","FILING_STATUS=MR","Sort=A","Dates=H","DateFormat=P","Fill=—","Direction=H","UseDPDF=Y")</f>
        <v>4.4858000000000002</v>
      </c>
      <c r="P65" s="14">
        <f>_xll.BDH("AMGN US Equity","FREE_CASH_FLOW_PER_SH","FQ1 2022","FQ1 2022","Currency=USD","Period=FQ","BEST_FPERIOD_OVERRIDE=FQ","FILING_STATUS=MR","Sort=A","Dates=H","DateFormat=P","Fill=—","Direction=H","UseDPDF=Y")</f>
        <v>3.6021999999999998</v>
      </c>
      <c r="Q65" s="14">
        <f>_xll.BDH("AMGN US Equity","FREE_CASH_FLOW_PER_SH","FQ2 2022","FQ2 2022","Currency=USD","Period=FQ","BEST_FPERIOD_OVERRIDE=FQ","FILING_STATUS=MR","Sort=A","Dates=H","DateFormat=P","Fill=—","Direction=H","UseDPDF=Y")</f>
        <v>3.1476999999999999</v>
      </c>
      <c r="R65" s="14">
        <f>_xll.BDH("AMGN US Equity","FREE_CASH_FLOW_PER_SH","FQ3 2022","FQ3 2022","Currency=USD","Period=FQ","BEST_FPERIOD_OVERRIDE=FQ","FILING_STATUS=MR","Sort=A","Dates=H","DateFormat=P","Fill=—","Direction=H","UseDPDF=Y")</f>
        <v>5.2672999999999996</v>
      </c>
      <c r="S65" s="14">
        <f>_xll.BDH("AMGN US Equity","FREE_CASH_FLOW_PER_SH","FQ4 2022","FQ4 2022","Currency=USD","Period=FQ","BEST_FPERIOD_OVERRIDE=FQ","FILING_STATUS=MR","Sort=A","Dates=H","DateFormat=P","Fill=—","Direction=H","UseDPDF=Y")</f>
        <v>4.3159000000000001</v>
      </c>
      <c r="T65" s="14">
        <f>_xll.BDH("AMGN US Equity","FREE_CASH_FLOW_PER_SH","FQ1 2023","FQ1 2023","Currency=USD","Period=FQ","BEST_FPERIOD_OVERRIDE=FQ","FILING_STATUS=MR","Sort=A","Dates=H","DateFormat=P","Fill=—","Direction=H","UseDPDF=Y")</f>
        <v>1.3483000000000001</v>
      </c>
      <c r="U65" s="14">
        <f>_xll.BDH("AMGN US Equity","FREE_CASH_FLOW_PER_SH","FQ2 2023","FQ2 2023","Currency=USD","Period=FQ","BEST_FPERIOD_OVERRIDE=FQ","FILING_STATUS=MR","Sort=A","Dates=H","DateFormat=P","Fill=—","Direction=H","UseDPDF=Y")</f>
        <v>7.1738</v>
      </c>
      <c r="V65" s="14">
        <f>_xll.BDH("AMGN US Equity","FREE_CASH_FLOW_PER_SH","FQ3 2023","FQ3 2023","Currency=USD","Period=FQ","BEST_FPERIOD_OVERRIDE=FQ","FILING_STATUS=MR","Sort=A","Dates=H","DateFormat=P","Fill=—","Direction=H","UseDPDF=Y")</f>
        <v>4.6952999999999996</v>
      </c>
      <c r="W65" s="14">
        <f>_xll.BDH("AMGN US Equity","FREE_CASH_FLOW_PER_SH","FQ4 2023","FQ4 2023","Currency=USD","Period=FQ","BEST_FPERIOD_OVERRIDE=FQ","FILING_STATUS=MR","Sort=A","Dates=H","DateFormat=P","Fill=—","Direction=H","UseDPDF=Y")</f>
        <v>0.54020000000000001</v>
      </c>
      <c r="X65" s="14">
        <f>_xll.BDH("AMGN US Equity","FREE_CASH_FLOW_PER_SH","FQ1 2024","FQ1 2024","Currency=USD","Period=FQ","BEST_FPERIOD_OVERRIDE=FQ","FILING_STATUS=MR","Sort=A","Dates=H","DateFormat=P","Fill=—","Direction=H","UseDPDF=Y")</f>
        <v>0.85629999999999995</v>
      </c>
      <c r="Y65" s="14">
        <f>_xll.BDH("AMGN US Equity","FREE_CASH_FLOW_PER_SH","FQ2 2024","FQ2 2024","Currency=USD","Period=FQ","BEST_FPERIOD_OVERRIDE=FQ","FILING_STATUS=MR","Sort=A","Dates=H","DateFormat=P","Fill=—","Direction=H","UseDPDF=Y")</f>
        <v>4.1359000000000004</v>
      </c>
      <c r="Z65" s="14">
        <f>_xll.BDH("AMGN US Equity","FREE_CASH_FLOW_PER_SH","FQ3 2024","FQ3 2024","Currency=USD","Period=FQ","BEST_FPERIOD_OVERRIDE=FQ","FILING_STATUS=MR","Sort=A","Dates=H","DateFormat=P","Fill=—","Direction=H","UseDPDF=Y")</f>
        <v>6.1712999999999996</v>
      </c>
      <c r="AA65" s="14">
        <f>_xll.BDH("AMGN US Equity","FREE_CASH_FLOW_PER_SH","FQ4 2024","FQ4 2024","Currency=USD","Period=FQ","BEST_FPERIOD_OVERRIDE=FQ","FILING_STATUS=MR","Sort=A","Dates=H","DateFormat=P","Fill=—","Direction=H","UseDPDF=Y")</f>
        <v>8.1936999999999998</v>
      </c>
    </row>
    <row r="66" spans="1:27" x14ac:dyDescent="0.25">
      <c r="A66" s="10" t="s">
        <v>1353</v>
      </c>
      <c r="B66" s="10" t="s">
        <v>231</v>
      </c>
      <c r="C66" s="14">
        <f>_xll.BDH("AMGN US Equity","PX_TO_FREE_CASH_FLOW","FQ4 2018","FQ4 2018","Currency=USD","Period=FQ","BEST_FPERIOD_OVERRIDE=FQ","FILING_STATUS=MR","Sort=A","Dates=H","DateFormat=P","Fill=—","Direction=H","UseDPDF=Y")</f>
        <v>12.135</v>
      </c>
      <c r="D66" s="14">
        <f>_xll.BDH("AMGN US Equity","PX_TO_FREE_CASH_FLOW","FQ1 2019","FQ1 2019","Currency=USD","Period=FQ","BEST_FPERIOD_OVERRIDE=FQ","FILING_STATUS=MR","Sort=A","Dates=H","DateFormat=P","Fill=—","Direction=H","UseDPDF=Y")</f>
        <v>12.512</v>
      </c>
      <c r="E66" s="14">
        <f>_xll.BDH("AMGN US Equity","PX_TO_FREE_CASH_FLOW","FQ2 2019","FQ2 2019","Currency=USD","Period=FQ","BEST_FPERIOD_OVERRIDE=FQ","FILING_STATUS=MR","Sort=A","Dates=H","DateFormat=P","Fill=—","Direction=H","UseDPDF=Y")</f>
        <v>12.835599999999999</v>
      </c>
      <c r="F66" s="14">
        <f>_xll.BDH("AMGN US Equity","PX_TO_FREE_CASH_FLOW","FQ3 2019","FQ3 2019","Currency=USD","Period=FQ","BEST_FPERIOD_OVERRIDE=FQ","FILING_STATUS=MR","Sort=A","Dates=H","DateFormat=P","Fill=—","Direction=H","UseDPDF=Y")</f>
        <v>12.985900000000001</v>
      </c>
      <c r="G66" s="14">
        <f>_xll.BDH("AMGN US Equity","PX_TO_FREE_CASH_FLOW","FQ4 2019","FQ4 2019","Currency=USD","Period=FQ","BEST_FPERIOD_OVERRIDE=FQ","FILING_STATUS=MR","Sort=A","Dates=H","DateFormat=P","Fill=—","Direction=H","UseDPDF=Y")</f>
        <v>17.038699999999999</v>
      </c>
      <c r="H66" s="14">
        <f>_xll.BDH("AMGN US Equity","PX_TO_FREE_CASH_FLOW","FQ1 2020","FQ1 2020","Currency=USD","Period=FQ","BEST_FPERIOD_OVERRIDE=FQ","FILING_STATUS=MR","Sort=A","Dates=H","DateFormat=P","Fill=—","Direction=H","UseDPDF=Y")</f>
        <v>13.7492</v>
      </c>
      <c r="I66" s="14">
        <f>_xll.BDH("AMGN US Equity","PX_TO_FREE_CASH_FLOW","FQ2 2020","FQ2 2020","Currency=USD","Period=FQ","BEST_FPERIOD_OVERRIDE=FQ","FILING_STATUS=MR","Sort=A","Dates=H","DateFormat=P","Fill=—","Direction=H","UseDPDF=Y")</f>
        <v>13.6991</v>
      </c>
      <c r="J66" s="14">
        <f>_xll.BDH("AMGN US Equity","PX_TO_FREE_CASH_FLOW","FQ3 2020","FQ3 2020","Currency=USD","Period=FQ","BEST_FPERIOD_OVERRIDE=FQ","FILING_STATUS=MR","Sort=A","Dates=H","DateFormat=P","Fill=—","Direction=H","UseDPDF=Y")</f>
        <v>14.615399999999999</v>
      </c>
      <c r="K66" s="14">
        <f>_xll.BDH("AMGN US Equity","PX_TO_FREE_CASH_FLOW","FQ4 2020","FQ4 2020","Currency=USD","Period=FQ","BEST_FPERIOD_OVERRIDE=FQ","FILING_STATUS=MR","Sort=A","Dates=H","DateFormat=P","Fill=—","Direction=H","UseDPDF=Y")</f>
        <v>13.2727</v>
      </c>
      <c r="L66" s="14">
        <f>_xll.BDH("AMGN US Equity","PX_TO_FREE_CASH_FLOW","FQ1 2021","FQ1 2021","Currency=USD","Period=FQ","BEST_FPERIOD_OVERRIDE=FQ","FILING_STATUS=MR","Sort=A","Dates=H","DateFormat=P","Fill=—","Direction=H","UseDPDF=Y")</f>
        <v>14.377700000000001</v>
      </c>
      <c r="M66" s="14">
        <f>_xll.BDH("AMGN US Equity","PX_TO_FREE_CASH_FLOW","FQ2 2021","FQ2 2021","Currency=USD","Period=FQ","BEST_FPERIOD_OVERRIDE=FQ","FILING_STATUS=MR","Sort=A","Dates=H","DateFormat=P","Fill=—","Direction=H","UseDPDF=Y")</f>
        <v>15.4391</v>
      </c>
      <c r="N66" s="14">
        <f>_xll.BDH("AMGN US Equity","PX_TO_FREE_CASH_FLOW","FQ3 2021","FQ3 2021","Currency=USD","Period=FQ","BEST_FPERIOD_OVERRIDE=FQ","FILING_STATUS=MR","Sort=A","Dates=H","DateFormat=P","Fill=—","Direction=H","UseDPDF=Y")</f>
        <v>15.082599999999999</v>
      </c>
      <c r="O66" s="14">
        <f>_xll.BDH("AMGN US Equity","PX_TO_FREE_CASH_FLOW","FQ4 2021","FQ4 2021","Currency=USD","Period=FQ","BEST_FPERIOD_OVERRIDE=FQ","FILING_STATUS=MR","Sort=A","Dates=H","DateFormat=P","Fill=—","Direction=H","UseDPDF=Y")</f>
        <v>15.2736</v>
      </c>
      <c r="P66" s="14">
        <f>_xll.BDH("AMGN US Equity","PX_TO_FREE_CASH_FLOW","FQ1 2022","FQ1 2022","Currency=USD","Period=FQ","BEST_FPERIOD_OVERRIDE=FQ","FILING_STATUS=MR","Sort=A","Dates=H","DateFormat=P","Fill=—","Direction=H","UseDPDF=Y")</f>
        <v>16.150600000000001</v>
      </c>
      <c r="Q66" s="14">
        <f>_xll.BDH("AMGN US Equity","PX_TO_FREE_CASH_FLOW","FQ2 2022","FQ2 2022","Currency=USD","Period=FQ","BEST_FPERIOD_OVERRIDE=FQ","FILING_STATUS=MR","Sort=A","Dates=H","DateFormat=P","Fill=—","Direction=H","UseDPDF=Y")</f>
        <v>16.141100000000002</v>
      </c>
      <c r="R66" s="14">
        <f>_xll.BDH("AMGN US Equity","PX_TO_FREE_CASH_FLOW","FQ3 2022","FQ3 2022","Currency=USD","Period=FQ","BEST_FPERIOD_OVERRIDE=FQ","FILING_STATUS=MR","Sort=A","Dates=H","DateFormat=P","Fill=—","Direction=H","UseDPDF=Y")</f>
        <v>13.658200000000001</v>
      </c>
      <c r="S66" s="14">
        <f>_xll.BDH("AMGN US Equity","PX_TO_FREE_CASH_FLOW","FQ4 2022","FQ4 2022","Currency=USD","Period=FQ","BEST_FPERIOD_OVERRIDE=FQ","FILING_STATUS=MR","Sort=A","Dates=H","DateFormat=P","Fill=—","Direction=H","UseDPDF=Y")</f>
        <v>16.080300000000001</v>
      </c>
      <c r="T66" s="14">
        <f>_xll.BDH("AMGN US Equity","PX_TO_FREE_CASH_FLOW","FQ1 2023","FQ1 2023","Currency=USD","Period=FQ","BEST_FPERIOD_OVERRIDE=FQ","FILING_STATUS=MR","Sort=A","Dates=H","DateFormat=P","Fill=—","Direction=H","UseDPDF=Y")</f>
        <v>17.1708</v>
      </c>
      <c r="U66" s="14">
        <f>_xll.BDH("AMGN US Equity","PX_TO_FREE_CASH_FLOW","FQ2 2023","FQ2 2023","Currency=USD","Period=FQ","BEST_FPERIOD_OVERRIDE=FQ","FILING_STATUS=MR","Sort=A","Dates=H","DateFormat=P","Fill=—","Direction=H","UseDPDF=Y")</f>
        <v>12.262700000000001</v>
      </c>
      <c r="V66" s="14">
        <f>_xll.BDH("AMGN US Equity","PX_TO_FREE_CASH_FLOW","FQ3 2023","FQ3 2023","Currency=USD","Period=FQ","BEST_FPERIOD_OVERRIDE=FQ","FILING_STATUS=MR","Sort=A","Dates=H","DateFormat=P","Fill=—","Direction=H","UseDPDF=Y")</f>
        <v>15.3285</v>
      </c>
      <c r="W66" s="14">
        <f>_xll.BDH("AMGN US Equity","PX_TO_FREE_CASH_FLOW","FQ4 2023","FQ4 2023","Currency=USD","Period=FQ","BEST_FPERIOD_OVERRIDE=FQ","FILING_STATUS=MR","Sort=A","Dates=H","DateFormat=P","Fill=—","Direction=H","UseDPDF=Y")</f>
        <v>20.935199999999998</v>
      </c>
      <c r="X66" s="14">
        <f>_xll.BDH("AMGN US Equity","PX_TO_FREE_CASH_FLOW","FQ1 2024","FQ1 2024","Currency=USD","Period=FQ","BEST_FPERIOD_OVERRIDE=FQ","FILING_STATUS=MR","Sort=A","Dates=H","DateFormat=P","Fill=—","Direction=H","UseDPDF=Y")</f>
        <v>21.432700000000001</v>
      </c>
      <c r="Y66" s="14">
        <f>_xll.BDH("AMGN US Equity","PX_TO_FREE_CASH_FLOW","FQ2 2024","FQ2 2024","Currency=USD","Period=FQ","BEST_FPERIOD_OVERRIDE=FQ","FILING_STATUS=MR","Sort=A","Dates=H","DateFormat=P","Fill=—","Direction=H","UseDPDF=Y")</f>
        <v>30.549099999999999</v>
      </c>
      <c r="Z66" s="14">
        <f>_xll.BDH("AMGN US Equity","PX_TO_FREE_CASH_FLOW","FQ3 2024","FQ3 2024","Currency=USD","Period=FQ","BEST_FPERIOD_OVERRIDE=FQ","FILING_STATUS=MR","Sort=A","Dates=H","DateFormat=P","Fill=—","Direction=H","UseDPDF=Y")</f>
        <v>27.5304</v>
      </c>
      <c r="AA66" s="14">
        <f>_xll.BDH("AMGN US Equity","PX_TO_FREE_CASH_FLOW","FQ4 2024","FQ4 2024","Currency=USD","Period=FQ","BEST_FPERIOD_OVERRIDE=FQ","FILING_STATUS=MR","Sort=A","Dates=H","DateFormat=P","Fill=—","Direction=H","UseDPDF=Y")</f>
        <v>13.464700000000001</v>
      </c>
    </row>
    <row r="67" spans="1:27" x14ac:dyDescent="0.25">
      <c r="A67" s="10" t="s">
        <v>1354</v>
      </c>
      <c r="B67" s="10" t="s">
        <v>1355</v>
      </c>
      <c r="C67" s="14">
        <f>_xll.BDH("AMGN US Equity","CASH_FLOW_TO_NET_INC","FQ4 2018","FQ4 2018","Currency=USD","Period=FQ","BEST_FPERIOD_OVERRIDE=FQ","FILING_STATUS=MR","FA_ADJUSTED=GAAP","Sort=A","Dates=H","DateFormat=P","Fill=—","Direction=H","UseDPDF=Y")</f>
        <v>1.6566000000000001</v>
      </c>
      <c r="D67" s="14">
        <f>_xll.BDH("AMGN US Equity","CASH_FLOW_TO_NET_INC","FQ1 2019","FQ1 2019","Currency=USD","Period=FQ","BEST_FPERIOD_OVERRIDE=FQ","FILING_STATUS=MR","FA_ADJUSTED=GAAP","Sort=A","Dates=H","DateFormat=P","Fill=—","Direction=H","UseDPDF=Y")</f>
        <v>0.92620000000000002</v>
      </c>
      <c r="E67" s="14">
        <f>_xll.BDH("AMGN US Equity","CASH_FLOW_TO_NET_INC","FQ2 2019","FQ2 2019","Currency=USD","Period=FQ","BEST_FPERIOD_OVERRIDE=FQ","FILING_STATUS=MR","FA_ADJUSTED=GAAP","Sort=A","Dates=H","DateFormat=P","Fill=—","Direction=H","UseDPDF=Y")</f>
        <v>0.64890000000000003</v>
      </c>
      <c r="F67" s="14">
        <f>_xll.BDH("AMGN US Equity","CASH_FLOW_TO_NET_INC","FQ3 2019","FQ3 2019","Currency=USD","Period=FQ","BEST_FPERIOD_OVERRIDE=FQ","FILING_STATUS=MR","FA_ADJUSTED=GAAP","Sort=A","Dates=H","DateFormat=P","Fill=—","Direction=H","UseDPDF=Y")</f>
        <v>1.716</v>
      </c>
      <c r="G67" s="14">
        <f>_xll.BDH("AMGN US Equity","CASH_FLOW_TO_NET_INC","FQ4 2019","FQ4 2019","Currency=USD","Period=FQ","BEST_FPERIOD_OVERRIDE=FQ","FILING_STATUS=MR","FA_ADJUSTED=GAAP","Sort=A","Dates=H","DateFormat=P","Fill=—","Direction=H","UseDPDF=Y")</f>
        <v>1.4762</v>
      </c>
      <c r="H67" s="14">
        <f>_xll.BDH("AMGN US Equity","CASH_FLOW_TO_NET_INC","FQ1 2020","FQ1 2020","Currency=USD","Period=FQ","BEST_FPERIOD_OVERRIDE=FQ","FILING_STATUS=MR","FA_ADJUSTED=GAAP","Sort=A","Dates=H","DateFormat=P","Fill=—","Direction=H","UseDPDF=Y")</f>
        <v>1.1693</v>
      </c>
      <c r="I67" s="14">
        <f>_xll.BDH("AMGN US Equity","CASH_FLOW_TO_NET_INC","FQ2 2020","FQ2 2020","Currency=USD","Period=FQ","BEST_FPERIOD_OVERRIDE=FQ","FILING_STATUS=MR","FA_ADJUSTED=GAAP","Sort=A","Dates=H","DateFormat=P","Fill=—","Direction=H","UseDPDF=Y")</f>
        <v>1.5763</v>
      </c>
      <c r="J67" s="14">
        <f>_xll.BDH("AMGN US Equity","CASH_FLOW_TO_NET_INC","FQ3 2020","FQ3 2020","Currency=USD","Period=FQ","BEST_FPERIOD_OVERRIDE=FQ","FILING_STATUS=MR","FA_ADJUSTED=GAAP","Sort=A","Dates=H","DateFormat=P","Fill=—","Direction=H","UseDPDF=Y")</f>
        <v>1.6665000000000001</v>
      </c>
      <c r="K67" s="14">
        <f>_xll.BDH("AMGN US Equity","CASH_FLOW_TO_NET_INC","FQ4 2020","FQ4 2020","Currency=USD","Period=FQ","BEST_FPERIOD_OVERRIDE=FQ","FILING_STATUS=MR","FA_ADJUSTED=GAAP","Sort=A","Dates=H","DateFormat=P","Fill=—","Direction=H","UseDPDF=Y")</f>
        <v>1.4941</v>
      </c>
      <c r="L67" s="14">
        <f>_xll.BDH("AMGN US Equity","CASH_FLOW_TO_NET_INC","FQ1 2021","FQ1 2021","Currency=USD","Period=FQ","BEST_FPERIOD_OVERRIDE=FQ","FILING_STATUS=MR","FA_ADJUSTED=GAAP","Sort=A","Dates=H","DateFormat=P","Fill=—","Direction=H","UseDPDF=Y")</f>
        <v>1.2783</v>
      </c>
      <c r="M67" s="14">
        <f>_xll.BDH("AMGN US Equity","CASH_FLOW_TO_NET_INC","FQ2 2021","FQ2 2021","Currency=USD","Period=FQ","BEST_FPERIOD_OVERRIDE=FQ","FILING_STATUS=MR","FA_ADJUSTED=GAAP","Sort=A","Dates=H","DateFormat=P","Fill=—","Direction=H","UseDPDF=Y")</f>
        <v>4.1616</v>
      </c>
      <c r="N67" s="14">
        <f>_xll.BDH("AMGN US Equity","CASH_FLOW_TO_NET_INC","FQ3 2021","FQ3 2021","Currency=USD","Period=FQ","BEST_FPERIOD_OVERRIDE=FQ","FILING_STATUS=MR","FA_ADJUSTED=GAAP","Sort=A","Dates=H","DateFormat=P","Fill=—","Direction=H","UseDPDF=Y")</f>
        <v>1.2834000000000001</v>
      </c>
      <c r="O67" s="14">
        <f>_xll.BDH("AMGN US Equity","CASH_FLOW_TO_NET_INC","FQ4 2021","FQ4 2021","Currency=USD","Period=FQ","BEST_FPERIOD_OVERRIDE=FQ","FILING_STATUS=MR","FA_ADJUSTED=GAAP","Sort=A","Dates=H","DateFormat=P","Fill=—","Direction=H","UseDPDF=Y")</f>
        <v>1.4786999999999999</v>
      </c>
      <c r="P67" s="14">
        <f>_xll.BDH("AMGN US Equity","CASH_FLOW_TO_NET_INC","FQ1 2022","FQ1 2022","Currency=USD","Period=FQ","BEST_FPERIOD_OVERRIDE=FQ","FILING_STATUS=MR","FA_ADJUSTED=GAAP","Sort=A","Dates=H","DateFormat=P","Fill=—","Direction=H","UseDPDF=Y")</f>
        <v>1.4661</v>
      </c>
      <c r="Q67" s="14">
        <f>_xll.BDH("AMGN US Equity","CASH_FLOW_TO_NET_INC","FQ2 2022","FQ2 2022","Currency=USD","Period=FQ","BEST_FPERIOD_OVERRIDE=FQ","FILING_STATUS=MR","FA_ADJUSTED=GAAP","Sort=A","Dates=H","DateFormat=P","Fill=—","Direction=H","UseDPDF=Y")</f>
        <v>1.4655</v>
      </c>
      <c r="R67" s="14">
        <f>_xll.BDH("AMGN US Equity","CASH_FLOW_TO_NET_INC","FQ3 2022","FQ3 2022","Currency=USD","Period=FQ","BEST_FPERIOD_OVERRIDE=FQ","FILING_STATUS=MR","FA_ADJUSTED=GAAP","Sort=A","Dates=H","DateFormat=P","Fill=—","Direction=H","UseDPDF=Y")</f>
        <v>1.3895999999999999</v>
      </c>
      <c r="S67" s="14">
        <f>_xll.BDH("AMGN US Equity","CASH_FLOW_TO_NET_INC","FQ4 2022","FQ4 2022","Currency=USD","Period=FQ","BEST_FPERIOD_OVERRIDE=FQ","FILING_STATUS=MR","FA_ADJUSTED=GAAP","Sort=A","Dates=H","DateFormat=P","Fill=—","Direction=H","UseDPDF=Y")</f>
        <v>1.6392</v>
      </c>
      <c r="T67" s="14">
        <f>_xll.BDH("AMGN US Equity","CASH_FLOW_TO_NET_INC","FQ1 2023","FQ1 2023","Currency=USD","Period=FQ","BEST_FPERIOD_OVERRIDE=FQ","FILING_STATUS=MR","FA_ADJUSTED=GAAP","Sort=A","Dates=H","DateFormat=P","Fill=—","Direction=H","UseDPDF=Y")</f>
        <v>0.3745</v>
      </c>
      <c r="U67" s="14">
        <f>_xll.BDH("AMGN US Equity","CASH_FLOW_TO_NET_INC","FQ2 2023","FQ2 2023","Currency=USD","Period=FQ","BEST_FPERIOD_OVERRIDE=FQ","FILING_STATUS=MR","FA_ADJUSTED=GAAP","Sort=A","Dates=H","DateFormat=P","Fill=—","Direction=H","UseDPDF=Y")</f>
        <v>2.9796999999999998</v>
      </c>
      <c r="V67" s="14">
        <f>_xll.BDH("AMGN US Equity","CASH_FLOW_TO_NET_INC","FQ3 2023","FQ3 2023","Currency=USD","Period=FQ","BEST_FPERIOD_OVERRIDE=FQ","FILING_STATUS=MR","FA_ADJUSTED=GAAP","Sort=A","Dates=H","DateFormat=P","Fill=—","Direction=H","UseDPDF=Y")</f>
        <v>1.5953999999999999</v>
      </c>
      <c r="W67" s="14">
        <f>_xll.BDH("AMGN US Equity","CASH_FLOW_TO_NET_INC","FQ4 2023","FQ4 2023","Currency=USD","Period=FQ","BEST_FPERIOD_OVERRIDE=FQ","FILING_STATUS=MR","FA_ADJUSTED=GAAP","Sort=A","Dates=H","DateFormat=P","Fill=—","Direction=H","UseDPDF=Y")</f>
        <v>0.70140000000000002</v>
      </c>
      <c r="X67" s="14" t="str">
        <f>_xll.BDH("AMGN US Equity","CASH_FLOW_TO_NET_INC","FQ1 2024","FQ1 2024","Currency=USD","Period=FQ","BEST_FPERIOD_OVERRIDE=FQ","FILING_STATUS=MR","FA_ADJUSTED=GAAP","Sort=A","Dates=H","DateFormat=P","Fill=—","Direction=H","UseDPDF=Y")</f>
        <v>—</v>
      </c>
      <c r="Y67" s="14">
        <f>_xll.BDH("AMGN US Equity","CASH_FLOW_TO_NET_INC","FQ2 2024","FQ2 2024","Currency=USD","Period=FQ","BEST_FPERIOD_OVERRIDE=FQ","FILING_STATUS=MR","FA_ADJUSTED=GAAP","Sort=A","Dates=H","DateFormat=P","Fill=—","Direction=H","UseDPDF=Y")</f>
        <v>3.2961999999999998</v>
      </c>
      <c r="Z67" s="14">
        <f>_xll.BDH("AMGN US Equity","CASH_FLOW_TO_NET_INC","FQ3 2024","FQ3 2024","Currency=USD","Period=FQ","BEST_FPERIOD_OVERRIDE=FQ","FILING_STATUS=MR","FA_ADJUSTED=GAAP","Sort=A","Dates=H","DateFormat=P","Fill=—","Direction=H","UseDPDF=Y")</f>
        <v>1.2618</v>
      </c>
      <c r="AA67" s="14">
        <f>_xll.BDH("AMGN US Equity","CASH_FLOW_TO_NET_INC","FQ4 2024","FQ4 2024","Currency=USD","Period=FQ","BEST_FPERIOD_OVERRIDE=FQ","FILING_STATUS=MR","FA_ADJUSTED=GAAP","Sort=A","Dates=H","DateFormat=P","Fill=—","Direction=H","UseDPDF=Y")</f>
        <v>7.6093000000000002</v>
      </c>
    </row>
    <row r="68" spans="1:27" x14ac:dyDescent="0.25">
      <c r="A68" s="7" t="s">
        <v>90</v>
      </c>
      <c r="B68" s="7"/>
      <c r="C68" s="7" t="s">
        <v>5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50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412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270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1356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1357</v>
      </c>
      <c r="B8" s="10" t="s">
        <v>1358</v>
      </c>
      <c r="C8" s="13">
        <f>_xll.BDH("AMGN US Equity","ARD_NET_INCOME_CF","FQ4 2018","FQ4 2018","Currency=USD","Period=FQ","BEST_FPERIOD_OVERRIDE=FQ","FILING_STATUS=MR","SCALING_FORMAT=MLN","Sort=A","Dates=H","DateFormat=P","Fill=—","Direction=H","UseDPDF=Y")</f>
        <v>8394</v>
      </c>
      <c r="D8" s="13">
        <f>_xll.BDH("AMGN US Equity","ARD_NET_INCOME_CF","FQ1 2019","FQ1 2019","Currency=USD","Period=FQ","BEST_FPERIOD_OVERRIDE=FQ","FILING_STATUS=MR","SCALING_FORMAT=MLN","Sort=A","Dates=H","DateFormat=P","Fill=—","Direction=H","UseDPDF=Y")</f>
        <v>1992</v>
      </c>
      <c r="E8" s="13">
        <f>_xll.BDH("AMGN US Equity","ARD_NET_INCOME_CF","FQ2 2019","FQ2 2019","Currency=USD","Period=FQ","BEST_FPERIOD_OVERRIDE=FQ","FILING_STATUS=MR","SCALING_FORMAT=MLN","Sort=A","Dates=H","DateFormat=P","Fill=—","Direction=H","UseDPDF=Y")</f>
        <v>4171</v>
      </c>
      <c r="F8" s="13">
        <f>_xll.BDH("AMGN US Equity","ARD_NET_INCOME_CF","FQ3 2019","FQ3 2019","Currency=USD","Period=FQ","BEST_FPERIOD_OVERRIDE=FQ","FILING_STATUS=MR","SCALING_FORMAT=MLN","Sort=A","Dates=H","DateFormat=P","Fill=—","Direction=H","UseDPDF=Y")</f>
        <v>6139</v>
      </c>
      <c r="G8" s="13">
        <f>_xll.BDH("AMGN US Equity","ARD_NET_INCOME_CF","FQ4 2019","FQ4 2019","Currency=USD","Period=FQ","BEST_FPERIOD_OVERRIDE=FQ","FILING_STATUS=MR","SCALING_FORMAT=MLN","Sort=A","Dates=H","DateFormat=P","Fill=—","Direction=H","UseDPDF=Y")</f>
        <v>7842</v>
      </c>
      <c r="H8" s="13">
        <f>_xll.BDH("AMGN US Equity","ARD_NET_INCOME_CF","FQ1 2020","FQ1 2020","Currency=USD","Period=FQ","BEST_FPERIOD_OVERRIDE=FQ","FILING_STATUS=MR","SCALING_FORMAT=MLN","Sort=A","Dates=H","DateFormat=P","Fill=—","Direction=H","UseDPDF=Y")</f>
        <v>1825</v>
      </c>
      <c r="I8" s="13">
        <f>_xll.BDH("AMGN US Equity","ARD_NET_INCOME_CF","FQ2 2020","FQ2 2020","Currency=USD","Period=FQ","BEST_FPERIOD_OVERRIDE=FQ","FILING_STATUS=MR","SCALING_FORMAT=MLN","Sort=A","Dates=H","DateFormat=P","Fill=—","Direction=H","UseDPDF=Y")</f>
        <v>3628</v>
      </c>
      <c r="J8" s="13">
        <f>_xll.BDH("AMGN US Equity","ARD_NET_INCOME_CF","FQ3 2020","FQ3 2020","Currency=USD","Period=FQ","BEST_FPERIOD_OVERRIDE=FQ","FILING_STATUS=MR","SCALING_FORMAT=MLN","Sort=A","Dates=H","DateFormat=P","Fill=—","Direction=H","UseDPDF=Y")</f>
        <v>5649</v>
      </c>
      <c r="K8" s="13">
        <f>_xll.BDH("AMGN US Equity","ARD_NET_INCOME_CF","FQ4 2020","FQ4 2020","Currency=USD","Period=FQ","BEST_FPERIOD_OVERRIDE=FQ","FILING_STATUS=MR","SCALING_FORMAT=MLN","Sort=A","Dates=H","DateFormat=P","Fill=—","Direction=H","UseDPDF=Y")</f>
        <v>7264</v>
      </c>
      <c r="L8" s="13">
        <f>_xll.BDH("AMGN US Equity","ARD_NET_INCOME_CF","FQ1 2021","FQ1 2021","Currency=USD","Period=FQ","BEST_FPERIOD_OVERRIDE=FQ","FILING_STATUS=MR","SCALING_FORMAT=MLN","Sort=A","Dates=H","DateFormat=P","Fill=—","Direction=H","UseDPDF=Y")</f>
        <v>1646</v>
      </c>
      <c r="M8" s="13">
        <f>_xll.BDH("AMGN US Equity","ARD_NET_INCOME_CF","FQ2 2021","FQ2 2021","Currency=USD","Period=FQ","BEST_FPERIOD_OVERRIDE=FQ","FILING_STATUS=MR","SCALING_FORMAT=MLN","Sort=A","Dates=H","DateFormat=P","Fill=—","Direction=H","UseDPDF=Y")</f>
        <v>2110</v>
      </c>
      <c r="N8" s="13">
        <f>_xll.BDH("AMGN US Equity","ARD_NET_INCOME_CF","FQ3 2021","FQ3 2021","Currency=USD","Period=FQ","BEST_FPERIOD_OVERRIDE=FQ","FILING_STATUS=MR","SCALING_FORMAT=MLN","Sort=A","Dates=H","DateFormat=P","Fill=—","Direction=H","UseDPDF=Y")</f>
        <v>3994</v>
      </c>
      <c r="O8" s="13">
        <f>_xll.BDH("AMGN US Equity","ARD_NET_INCOME_CF","FQ4 2021","FQ4 2021","Currency=USD","Period=FQ","BEST_FPERIOD_OVERRIDE=FQ","FILING_STATUS=MR","SCALING_FORMAT=MLN","Sort=A","Dates=H","DateFormat=P","Fill=—","Direction=H","UseDPDF=Y")</f>
        <v>5893</v>
      </c>
      <c r="P8" s="13">
        <f>_xll.BDH("AMGN US Equity","ARD_NET_INCOME_CF","FQ1 2022","FQ1 2022","Currency=USD","Period=FQ","BEST_FPERIOD_OVERRIDE=FQ","FILING_STATUS=MR","SCALING_FORMAT=MLN","Sort=A","Dates=H","DateFormat=P","Fill=—","Direction=H","UseDPDF=Y")</f>
        <v>1476</v>
      </c>
      <c r="Q8" s="13">
        <f>_xll.BDH("AMGN US Equity","ARD_NET_INCOME_CF","FQ2 2022","FQ2 2022","Currency=USD","Period=FQ","BEST_FPERIOD_OVERRIDE=FQ","FILING_STATUS=MR","SCALING_FORMAT=MLN","Sort=A","Dates=H","DateFormat=P","Fill=—","Direction=H","UseDPDF=Y")</f>
        <v>2793</v>
      </c>
      <c r="R8" s="13">
        <f>_xll.BDH("AMGN US Equity","ARD_NET_INCOME_CF","FQ3 2022","FQ3 2022","Currency=USD","Period=FQ","BEST_FPERIOD_OVERRIDE=FQ","FILING_STATUS=MR","SCALING_FORMAT=MLN","Sort=A","Dates=H","DateFormat=P","Fill=—","Direction=H","UseDPDF=Y")</f>
        <v>4936</v>
      </c>
      <c r="S8" s="13">
        <f>_xll.BDH("AMGN US Equity","ARD_NET_INCOME_CF","FQ4 2022","FQ4 2022","Currency=USD","Period=FQ","BEST_FPERIOD_OVERRIDE=FQ","FILING_STATUS=MR","SCALING_FORMAT=MLN","Sort=A","Dates=H","DateFormat=P","Fill=—","Direction=H","UseDPDF=Y")</f>
        <v>6552</v>
      </c>
      <c r="T8" s="13">
        <f>_xll.BDH("AMGN US Equity","ARD_NET_INCOME_CF","FQ1 2023","FQ1 2023","Currency=USD","Period=FQ","BEST_FPERIOD_OVERRIDE=FQ","FILING_STATUS=MR","SCALING_FORMAT=MLN","Sort=A","Dates=H","DateFormat=P","Fill=—","Direction=H","UseDPDF=Y")</f>
        <v>2841</v>
      </c>
      <c r="U8" s="13">
        <f>_xll.BDH("AMGN US Equity","ARD_NET_INCOME_CF","FQ2 2023","FQ2 2023","Currency=USD","Period=FQ","BEST_FPERIOD_OVERRIDE=FQ","FILING_STATUS=MR","SCALING_FORMAT=MLN","Sort=A","Dates=H","DateFormat=P","Fill=—","Direction=H","UseDPDF=Y")</f>
        <v>4220</v>
      </c>
      <c r="V8" s="13">
        <f>_xll.BDH("AMGN US Equity","ARD_NET_INCOME_CF","FQ3 2023","FQ3 2023","Currency=USD","Period=FQ","BEST_FPERIOD_OVERRIDE=FQ","FILING_STATUS=MR","SCALING_FORMAT=MLN","Sort=A","Dates=H","DateFormat=P","Fill=—","Direction=H","UseDPDF=Y")</f>
        <v>5950</v>
      </c>
      <c r="W8" s="13">
        <f>_xll.BDH("AMGN US Equity","ARD_NET_INCOME_CF","FQ4 2023","FQ4 2023","Currency=USD","Period=FQ","BEST_FPERIOD_OVERRIDE=FQ","FILING_STATUS=MR","SCALING_FORMAT=MLN","Sort=A","Dates=H","DateFormat=P","Fill=—","Direction=H","UseDPDF=Y")</f>
        <v>6717</v>
      </c>
      <c r="X8" s="13">
        <f>_xll.BDH("AMGN US Equity","ARD_NET_INCOME_CF","FQ1 2024","FQ1 2024","Currency=USD","Period=FQ","BEST_FPERIOD_OVERRIDE=FQ","FILING_STATUS=MR","SCALING_FORMAT=MLN","Sort=A","Dates=H","DateFormat=P","Fill=—","Direction=H","UseDPDF=Y")</f>
        <v>-113</v>
      </c>
      <c r="Y8" s="13">
        <f>_xll.BDH("AMGN US Equity","ARD_NET_INCOME_CF","FQ2 2024","FQ2 2024","Currency=USD","Period=FQ","BEST_FPERIOD_OVERRIDE=FQ","FILING_STATUS=MR","SCALING_FORMAT=MLN","Sort=A","Dates=H","DateFormat=P","Fill=—","Direction=H","UseDPDF=Y")</f>
        <v>633</v>
      </c>
      <c r="Z8" s="13">
        <f>_xll.BDH("AMGN US Equity","ARD_NET_INCOME_CF","FQ3 2024","FQ3 2024","Currency=USD","Period=FQ","BEST_FPERIOD_OVERRIDE=FQ","FILING_STATUS=MR","SCALING_FORMAT=MLN","Sort=A","Dates=H","DateFormat=P","Fill=—","Direction=H","UseDPDF=Y")</f>
        <v>3463</v>
      </c>
      <c r="AA8" s="13">
        <f>_xll.BDH("AMGN US Equity","ARD_NET_INCOME_CF","FQ4 2024","FQ4 2024","Currency=USD","Period=FQ","BEST_FPERIOD_OVERRIDE=FQ","FILING_STATUS=MR","SCALING_FORMAT=MLN","Sort=A","Dates=H","DateFormat=P","Fill=—","Direction=H","UseDPDF=Y")</f>
        <v>4090</v>
      </c>
    </row>
    <row r="9" spans="1:27" x14ac:dyDescent="0.25">
      <c r="A9" s="10" t="s">
        <v>1359</v>
      </c>
      <c r="B9" s="10" t="s">
        <v>1360</v>
      </c>
      <c r="C9" s="13">
        <f>_xll.BDH("AMGN US Equity","ARD_DEPRECIATION_AND_AMORT_CF","FQ4 2018","FQ4 2018","Currency=USD","Period=FQ","BEST_FPERIOD_OVERRIDE=FQ","FILING_STATUS=MR","SCALING_FORMAT=MLN","Sort=A","Dates=H","DateFormat=P","Fill=—","Direction=H","UseDPDF=Y")</f>
        <v>1946</v>
      </c>
      <c r="D9" s="13">
        <f>_xll.BDH("AMGN US Equity","ARD_DEPRECIATION_AND_AMORT_CF","FQ1 2019","FQ1 2019","Currency=USD","Period=FQ","BEST_FPERIOD_OVERRIDE=FQ","FILING_STATUS=MR","SCALING_FORMAT=MLN","Sort=A","Dates=H","DateFormat=P","Fill=—","Direction=H","UseDPDF=Y")</f>
        <v>495</v>
      </c>
      <c r="E9" s="13">
        <f>_xll.BDH("AMGN US Equity","ARD_DEPRECIATION_AND_AMORT_CF","FQ2 2019","FQ2 2019","Currency=USD","Period=FQ","BEST_FPERIOD_OVERRIDE=FQ","FILING_STATUS=MR","SCALING_FORMAT=MLN","Sort=A","Dates=H","DateFormat=P","Fill=—","Direction=H","UseDPDF=Y")</f>
        <v>996</v>
      </c>
      <c r="F9" s="13">
        <f>_xll.BDH("AMGN US Equity","ARD_DEPRECIATION_AND_AMORT_CF","FQ3 2019","FQ3 2019","Currency=USD","Period=FQ","BEST_FPERIOD_OVERRIDE=FQ","FILING_STATUS=MR","SCALING_FORMAT=MLN","Sort=A","Dates=H","DateFormat=P","Fill=—","Direction=H","UseDPDF=Y")</f>
        <v>1504</v>
      </c>
      <c r="G9" s="13">
        <f>_xll.BDH("AMGN US Equity","ARD_DEPRECIATION_AND_AMORT_CF","FQ4 2019","FQ4 2019","Currency=USD","Period=FQ","BEST_FPERIOD_OVERRIDE=FQ","FILING_STATUS=MR","SCALING_FORMAT=MLN","Sort=A","Dates=H","DateFormat=P","Fill=—","Direction=H","UseDPDF=Y")</f>
        <v>2206</v>
      </c>
      <c r="H9" s="13">
        <f>_xll.BDH("AMGN US Equity","ARD_DEPRECIATION_AND_AMORT_CF","FQ1 2020","FQ1 2020","Currency=USD","Period=FQ","BEST_FPERIOD_OVERRIDE=FQ","FILING_STATUS=MR","SCALING_FORMAT=MLN","Sort=A","Dates=H","DateFormat=P","Fill=—","Direction=H","UseDPDF=Y")</f>
        <v>897</v>
      </c>
      <c r="I9" s="13">
        <f>_xll.BDH("AMGN US Equity","ARD_DEPRECIATION_AND_AMORT_CF","FQ2 2020","FQ2 2020","Currency=USD","Period=FQ","BEST_FPERIOD_OVERRIDE=FQ","FILING_STATUS=MR","SCALING_FORMAT=MLN","Sort=A","Dates=H","DateFormat=P","Fill=—","Direction=H","UseDPDF=Y")</f>
        <v>1827</v>
      </c>
      <c r="J9" s="13">
        <f>_xll.BDH("AMGN US Equity","ARD_DEPRECIATION_AND_AMORT_CF","FQ3 2020","FQ3 2020","Currency=USD","Period=FQ","BEST_FPERIOD_OVERRIDE=FQ","FILING_STATUS=MR","SCALING_FORMAT=MLN","Sort=A","Dates=H","DateFormat=P","Fill=—","Direction=H","UseDPDF=Y")</f>
        <v>2728</v>
      </c>
      <c r="K9" s="13">
        <f>_xll.BDH("AMGN US Equity","ARD_DEPRECIATION_AND_AMORT_CF","FQ4 2020","FQ4 2020","Currency=USD","Period=FQ","BEST_FPERIOD_OVERRIDE=FQ","FILING_STATUS=MR","SCALING_FORMAT=MLN","Sort=A","Dates=H","DateFormat=P","Fill=—","Direction=H","UseDPDF=Y")</f>
        <v>3601</v>
      </c>
      <c r="L9" s="13">
        <f>_xll.BDH("AMGN US Equity","ARD_DEPRECIATION_AND_AMORT_CF","FQ1 2021","FQ1 2021","Currency=USD","Period=FQ","BEST_FPERIOD_OVERRIDE=FQ","FILING_STATUS=MR","SCALING_FORMAT=MLN","Sort=A","Dates=H","DateFormat=P","Fill=—","Direction=H","UseDPDF=Y")</f>
        <v>841</v>
      </c>
      <c r="M9" s="13">
        <f>_xll.BDH("AMGN US Equity","ARD_DEPRECIATION_AND_AMORT_CF","FQ2 2021","FQ2 2021","Currency=USD","Period=FQ","BEST_FPERIOD_OVERRIDE=FQ","FILING_STATUS=MR","SCALING_FORMAT=MLN","Sort=A","Dates=H","DateFormat=P","Fill=—","Direction=H","UseDPDF=Y")</f>
        <v>1696</v>
      </c>
      <c r="N9" s="13">
        <f>_xll.BDH("AMGN US Equity","ARD_DEPRECIATION_AND_AMORT_CF","FQ3 2021","FQ3 2021","Currency=USD","Period=FQ","BEST_FPERIOD_OVERRIDE=FQ","FILING_STATUS=MR","SCALING_FORMAT=MLN","Sort=A","Dates=H","DateFormat=P","Fill=—","Direction=H","UseDPDF=Y")</f>
        <v>2546</v>
      </c>
      <c r="O9" s="13">
        <f>_xll.BDH("AMGN US Equity","ARD_DEPRECIATION_AND_AMORT_CF","FQ4 2021","FQ4 2021","Currency=USD","Period=FQ","BEST_FPERIOD_OVERRIDE=FQ","FILING_STATUS=MR","SCALING_FORMAT=MLN","Sort=A","Dates=H","DateFormat=P","Fill=—","Direction=H","UseDPDF=Y")</f>
        <v>3398</v>
      </c>
      <c r="P9" s="13">
        <f>_xll.BDH("AMGN US Equity","ARD_DEPRECIATION_AND_AMORT_CF","FQ1 2022","FQ1 2022","Currency=USD","Period=FQ","BEST_FPERIOD_OVERRIDE=FQ","FILING_STATUS=MR","SCALING_FORMAT=MLN","Sort=A","Dates=H","DateFormat=P","Fill=—","Direction=H","UseDPDF=Y")</f>
        <v>841</v>
      </c>
      <c r="Q9" s="13">
        <f>_xll.BDH("AMGN US Equity","ARD_DEPRECIATION_AND_AMORT_CF","FQ2 2022","FQ2 2022","Currency=USD","Period=FQ","BEST_FPERIOD_OVERRIDE=FQ","FILING_STATUS=MR","SCALING_FORMAT=MLN","Sort=A","Dates=H","DateFormat=P","Fill=—","Direction=H","UseDPDF=Y")</f>
        <v>1669</v>
      </c>
      <c r="R9" s="13">
        <f>_xll.BDH("AMGN US Equity","ARD_DEPRECIATION_AND_AMORT_CF","FQ3 2022","FQ3 2022","Currency=USD","Period=FQ","BEST_FPERIOD_OVERRIDE=FQ","FILING_STATUS=MR","SCALING_FORMAT=MLN","Sort=A","Dates=H","DateFormat=P","Fill=—","Direction=H","UseDPDF=Y")</f>
        <v>2506</v>
      </c>
      <c r="S9" s="13">
        <f>_xll.BDH("AMGN US Equity","ARD_DEPRECIATION_AND_AMORT_CF","FQ4 2022","FQ4 2022","Currency=USD","Period=FQ","BEST_FPERIOD_OVERRIDE=FQ","FILING_STATUS=MR","SCALING_FORMAT=MLN","Sort=A","Dates=H","DateFormat=P","Fill=—","Direction=H","UseDPDF=Y")</f>
        <v>3417</v>
      </c>
      <c r="T9" s="13">
        <f>_xll.BDH("AMGN US Equity","ARD_DEPRECIATION_AND_AMORT_CF","FQ1 2023","FQ1 2023","Currency=USD","Period=FQ","BEST_FPERIOD_OVERRIDE=FQ","FILING_STATUS=MR","SCALING_FORMAT=MLN","Sort=A","Dates=H","DateFormat=P","Fill=—","Direction=H","UseDPDF=Y")</f>
        <v>900</v>
      </c>
      <c r="U9" s="13">
        <f>_xll.BDH("AMGN US Equity","ARD_DEPRECIATION_AND_AMORT_CF","FQ2 2023","FQ2 2023","Currency=USD","Period=FQ","BEST_FPERIOD_OVERRIDE=FQ","FILING_STATUS=MR","SCALING_FORMAT=MLN","Sort=A","Dates=H","DateFormat=P","Fill=—","Direction=H","UseDPDF=Y")</f>
        <v>1796</v>
      </c>
      <c r="V9" s="13">
        <f>_xll.BDH("AMGN US Equity","ARD_DEPRECIATION_AND_AMORT_CF","FQ3 2023","FQ3 2023","Currency=USD","Period=FQ","BEST_FPERIOD_OVERRIDE=FQ","FILING_STATUS=MR","SCALING_FORMAT=MLN","Sort=A","Dates=H","DateFormat=P","Fill=—","Direction=H","UseDPDF=Y")</f>
        <v>2691</v>
      </c>
      <c r="W9" s="13">
        <f>_xll.BDH("AMGN US Equity","ARD_DEPRECIATION_AND_AMORT_CF","FQ4 2023","FQ4 2023","Currency=USD","Period=FQ","BEST_FPERIOD_OVERRIDE=FQ","FILING_STATUS=MR","SCALING_FORMAT=MLN","Sort=A","Dates=H","DateFormat=P","Fill=—","Direction=H","UseDPDF=Y")</f>
        <v>4071</v>
      </c>
      <c r="X9" s="13">
        <f>_xll.BDH("AMGN US Equity","ARD_DEPRECIATION_AND_AMORT_CF","FQ1 2024","FQ1 2024","Currency=USD","Period=FQ","BEST_FPERIOD_OVERRIDE=FQ","FILING_STATUS=MR","SCALING_FORMAT=MLN","Sort=A","Dates=H","DateFormat=P","Fill=—","Direction=H","UseDPDF=Y")</f>
        <v>1399</v>
      </c>
      <c r="Y9" s="13">
        <f>_xll.BDH("AMGN US Equity","ARD_DEPRECIATION_AND_AMORT_CF","FQ2 2024","FQ2 2024","Currency=USD","Period=FQ","BEST_FPERIOD_OVERRIDE=FQ","FILING_STATUS=MR","SCALING_FORMAT=MLN","Sort=A","Dates=H","DateFormat=P","Fill=—","Direction=H","UseDPDF=Y")</f>
        <v>2799</v>
      </c>
      <c r="Z9" s="13">
        <f>_xll.BDH("AMGN US Equity","ARD_DEPRECIATION_AND_AMORT_CF","FQ3 2024","FQ3 2024","Currency=USD","Period=FQ","BEST_FPERIOD_OVERRIDE=FQ","FILING_STATUS=MR","SCALING_FORMAT=MLN","Sort=A","Dates=H","DateFormat=P","Fill=—","Direction=H","UseDPDF=Y")</f>
        <v>4195</v>
      </c>
      <c r="AA9" s="13">
        <f>_xll.BDH("AMGN US Equity","ARD_DEPRECIATION_AND_AMORT_CF","FQ4 2024","FQ4 2024","Currency=USD","Period=FQ","BEST_FPERIOD_OVERRIDE=FQ","FILING_STATUS=MR","SCALING_FORMAT=MLN","Sort=A","Dates=H","DateFormat=P","Fill=—","Direction=H","UseDPDF=Y")</f>
        <v>5592</v>
      </c>
    </row>
    <row r="10" spans="1:27" x14ac:dyDescent="0.25">
      <c r="A10" s="10" t="s">
        <v>1361</v>
      </c>
      <c r="B10" s="10" t="s">
        <v>1362</v>
      </c>
      <c r="C10" s="13">
        <f>_xll.BDH("AMGN US Equity","ARD_DEFERRED_INCOME_TAXES_CF","FQ4 2018","FQ4 2018","Currency=USD","Period=FQ","BEST_FPERIOD_OVERRIDE=FQ","FILING_STATUS=MR","SCALING_FORMAT=MLN","Sort=A","Dates=H","DateFormat=P","Fill=—","Direction=H","UseDPDF=Y")</f>
        <v>-363</v>
      </c>
      <c r="D10" s="13">
        <f>_xll.BDH("AMGN US Equity","ARD_DEFERRED_INCOME_TAXES_CF","FQ1 2019","FQ1 2019","Currency=USD","Period=FQ","BEST_FPERIOD_OVERRIDE=FQ","FILING_STATUS=MR","SCALING_FORMAT=MLN","Sort=A","Dates=H","DateFormat=P","Fill=—","Direction=H","UseDPDF=Y")</f>
        <v>-50</v>
      </c>
      <c r="E10" s="13">
        <f>_xll.BDH("AMGN US Equity","ARD_DEFERRED_INCOME_TAXES_CF","FQ2 2019","FQ2 2019","Currency=USD","Period=FQ","BEST_FPERIOD_OVERRIDE=FQ","FILING_STATUS=MR","SCALING_FORMAT=MLN","Sort=A","Dates=H","DateFormat=P","Fill=—","Direction=H","UseDPDF=Y")</f>
        <v>-70</v>
      </c>
      <c r="F10" s="13">
        <f>_xll.BDH("AMGN US Equity","ARD_DEFERRED_INCOME_TAXES_CF","FQ3 2019","FQ3 2019","Currency=USD","Period=FQ","BEST_FPERIOD_OVERRIDE=FQ","FILING_STATUS=MR","SCALING_FORMAT=MLN","Sort=A","Dates=H","DateFormat=P","Fill=—","Direction=H","UseDPDF=Y")</f>
        <v>-172</v>
      </c>
      <c r="G10" s="13">
        <f>_xll.BDH("AMGN US Equity","ARD_DEFERRED_INCOME_TAXES_CF","FQ4 2019","FQ4 2019","Currency=USD","Period=FQ","BEST_FPERIOD_OVERRIDE=FQ","FILING_STATUS=MR","SCALING_FORMAT=MLN","Sort=A","Dates=H","DateFormat=P","Fill=—","Direction=H","UseDPDF=Y")</f>
        <v>-289</v>
      </c>
      <c r="H10" s="13">
        <f>_xll.BDH("AMGN US Equity","ARD_DEFERRED_INCOME_TAXES_CF","FQ1 2020","FQ1 2020","Currency=USD","Period=FQ","BEST_FPERIOD_OVERRIDE=FQ","FILING_STATUS=MR","SCALING_FORMAT=MLN","Sort=A","Dates=H","DateFormat=P","Fill=—","Direction=H","UseDPDF=Y")</f>
        <v>-84</v>
      </c>
      <c r="I10" s="13">
        <f>_xll.BDH("AMGN US Equity","ARD_DEFERRED_INCOME_TAXES_CF","FQ2 2020","FQ2 2020","Currency=USD","Period=FQ","BEST_FPERIOD_OVERRIDE=FQ","FILING_STATUS=MR","SCALING_FORMAT=MLN","Sort=A","Dates=H","DateFormat=P","Fill=—","Direction=H","UseDPDF=Y")</f>
        <v>-261</v>
      </c>
      <c r="J10" s="13">
        <f>_xll.BDH("AMGN US Equity","ARD_DEFERRED_INCOME_TAXES_CF","FQ3 2020","FQ3 2020","Currency=USD","Period=FQ","BEST_FPERIOD_OVERRIDE=FQ","FILING_STATUS=MR","SCALING_FORMAT=MLN","Sort=A","Dates=H","DateFormat=P","Fill=—","Direction=H","UseDPDF=Y")</f>
        <v>-339</v>
      </c>
      <c r="K10" s="13">
        <f>_xll.BDH("AMGN US Equity","ARD_DEFERRED_INCOME_TAXES_CF","FQ4 2020","FQ4 2020","Currency=USD","Period=FQ","BEST_FPERIOD_OVERRIDE=FQ","FILING_STATUS=MR","SCALING_FORMAT=MLN","Sort=A","Dates=H","DateFormat=P","Fill=—","Direction=H","UseDPDF=Y")</f>
        <v>-287</v>
      </c>
      <c r="L10" s="13">
        <f>_xll.BDH("AMGN US Equity","ARD_DEFERRED_INCOME_TAXES_CF","FQ1 2021","FQ1 2021","Currency=USD","Period=FQ","BEST_FPERIOD_OVERRIDE=FQ","FILING_STATUS=MR","SCALING_FORMAT=MLN","Sort=A","Dates=H","DateFormat=P","Fill=—","Direction=H","UseDPDF=Y")</f>
        <v>-91</v>
      </c>
      <c r="M10" s="13">
        <f>_xll.BDH("AMGN US Equity","ARD_DEFERRED_INCOME_TAXES_CF","FQ2 2021","FQ2 2021","Currency=USD","Period=FQ","BEST_FPERIOD_OVERRIDE=FQ","FILING_STATUS=MR","SCALING_FORMAT=MLN","Sort=A","Dates=H","DateFormat=P","Fill=—","Direction=H","UseDPDF=Y")</f>
        <v>-137</v>
      </c>
      <c r="N10" s="13">
        <f>_xll.BDH("AMGN US Equity","ARD_DEFERRED_INCOME_TAXES_CF","FQ3 2021","FQ3 2021","Currency=USD","Period=FQ","BEST_FPERIOD_OVERRIDE=FQ","FILING_STATUS=MR","SCALING_FORMAT=MLN","Sort=A","Dates=H","DateFormat=P","Fill=—","Direction=H","UseDPDF=Y")</f>
        <v>-264</v>
      </c>
      <c r="O10" s="13">
        <f>_xll.BDH("AMGN US Equity","ARD_DEFERRED_INCOME_TAXES_CF","FQ4 2021","FQ4 2021","Currency=USD","Period=FQ","BEST_FPERIOD_OVERRIDE=FQ","FILING_STATUS=MR","SCALING_FORMAT=MLN","Sort=A","Dates=H","DateFormat=P","Fill=—","Direction=H","UseDPDF=Y")</f>
        <v>-453</v>
      </c>
      <c r="P10" s="13">
        <f>_xll.BDH("AMGN US Equity","ARD_DEFERRED_INCOME_TAXES_CF","FQ1 2022","FQ1 2022","Currency=USD","Period=FQ","BEST_FPERIOD_OVERRIDE=FQ","FILING_STATUS=MR","SCALING_FORMAT=MLN","Sort=A","Dates=H","DateFormat=P","Fill=—","Direction=H","UseDPDF=Y")</f>
        <v>-251</v>
      </c>
      <c r="Q10" s="13">
        <f>_xll.BDH("AMGN US Equity","ARD_DEFERRED_INCOME_TAXES_CF","FQ2 2022","FQ2 2022","Currency=USD","Period=FQ","BEST_FPERIOD_OVERRIDE=FQ","FILING_STATUS=MR","SCALING_FORMAT=MLN","Sort=A","Dates=H","DateFormat=P","Fill=—","Direction=H","UseDPDF=Y")</f>
        <v>-514</v>
      </c>
      <c r="R10" s="13">
        <f>_xll.BDH("AMGN US Equity","ARD_DEFERRED_INCOME_TAXES_CF","FQ3 2022","FQ3 2022","Currency=USD","Period=FQ","BEST_FPERIOD_OVERRIDE=FQ","FILING_STATUS=MR","SCALING_FORMAT=MLN","Sort=A","Dates=H","DateFormat=P","Fill=—","Direction=H","UseDPDF=Y")</f>
        <v>-847</v>
      </c>
      <c r="S10" s="13">
        <f>_xll.BDH("AMGN US Equity","ARD_DEFERRED_INCOME_TAXES_CF","FQ4 2022","FQ4 2022","Currency=USD","Period=FQ","BEST_FPERIOD_OVERRIDE=FQ","FILING_STATUS=MR","SCALING_FORMAT=MLN","Sort=A","Dates=H","DateFormat=P","Fill=—","Direction=H","UseDPDF=Y")</f>
        <v>-1198</v>
      </c>
      <c r="T10" s="13">
        <f>_xll.BDH("AMGN US Equity","ARD_DEFERRED_INCOME_TAXES_CF","FQ1 2023","FQ1 2023","Currency=USD","Period=FQ","BEST_FPERIOD_OVERRIDE=FQ","FILING_STATUS=MR","SCALING_FORMAT=MLN","Sort=A","Dates=H","DateFormat=P","Fill=—","Direction=H","UseDPDF=Y")</f>
        <v>-49</v>
      </c>
      <c r="U10" s="13">
        <f>_xll.BDH("AMGN US Equity","ARD_DEFERRED_INCOME_TAXES_CF","FQ2 2023","FQ2 2023","Currency=USD","Period=FQ","BEST_FPERIOD_OVERRIDE=FQ","FILING_STATUS=MR","SCALING_FORMAT=MLN","Sort=A","Dates=H","DateFormat=P","Fill=—","Direction=H","UseDPDF=Y")</f>
        <v>-203</v>
      </c>
      <c r="V10" s="13">
        <f>_xll.BDH("AMGN US Equity","ARD_DEFERRED_INCOME_TAXES_CF","FQ3 2023","FQ3 2023","Currency=USD","Period=FQ","BEST_FPERIOD_OVERRIDE=FQ","FILING_STATUS=MR","SCALING_FORMAT=MLN","Sort=A","Dates=H","DateFormat=P","Fill=—","Direction=H","UseDPDF=Y")</f>
        <v>-650</v>
      </c>
      <c r="W10" s="13">
        <f>_xll.BDH("AMGN US Equity","ARD_DEFERRED_INCOME_TAXES_CF","FQ4 2023","FQ4 2023","Currency=USD","Period=FQ","BEST_FPERIOD_OVERRIDE=FQ","FILING_STATUS=MR","SCALING_FORMAT=MLN","Sort=A","Dates=H","DateFormat=P","Fill=—","Direction=H","UseDPDF=Y")</f>
        <v>-1273</v>
      </c>
      <c r="X10" s="13">
        <f>_xll.BDH("AMGN US Equity","ARD_DEFERRED_INCOME_TAXES_CF","FQ1 2024","FQ1 2024","Currency=USD","Period=FQ","BEST_FPERIOD_OVERRIDE=FQ","FILING_STATUS=MR","SCALING_FORMAT=MLN","Sort=A","Dates=H","DateFormat=P","Fill=—","Direction=H","UseDPDF=Y")</f>
        <v>-401</v>
      </c>
      <c r="Y10" s="13">
        <f>_xll.BDH("AMGN US Equity","ARD_DEFERRED_INCOME_TAXES_CF","FQ2 2024","FQ2 2024","Currency=USD","Period=FQ","BEST_FPERIOD_OVERRIDE=FQ","FILING_STATUS=MR","SCALING_FORMAT=MLN","Sort=A","Dates=H","DateFormat=P","Fill=—","Direction=H","UseDPDF=Y")</f>
        <v>-784</v>
      </c>
      <c r="Z10" s="13">
        <f>_xll.BDH("AMGN US Equity","ARD_DEFERRED_INCOME_TAXES_CF","FQ3 2024","FQ3 2024","Currency=USD","Period=FQ","BEST_FPERIOD_OVERRIDE=FQ","FILING_STATUS=MR","SCALING_FORMAT=MLN","Sort=A","Dates=H","DateFormat=P","Fill=—","Direction=H","UseDPDF=Y")</f>
        <v>-894</v>
      </c>
      <c r="AA10" s="13">
        <f>_xll.BDH("AMGN US Equity","ARD_DEFERRED_INCOME_TAXES_CF","FQ4 2024","FQ4 2024","Currency=USD","Period=FQ","BEST_FPERIOD_OVERRIDE=FQ","FILING_STATUS=MR","SCALING_FORMAT=MLN","Sort=A","Dates=H","DateFormat=P","Fill=—","Direction=H","UseDPDF=Y")</f>
        <v>-1228</v>
      </c>
    </row>
    <row r="11" spans="1:27" x14ac:dyDescent="0.25">
      <c r="A11" s="10" t="s">
        <v>674</v>
      </c>
      <c r="B11" s="10" t="s">
        <v>1363</v>
      </c>
      <c r="C11" s="13">
        <f>_xll.BDH("AMGN US Equity","ARD_STOCK_BASED_COMPENSATION","FQ4 2018","FQ4 2018","Currency=USD","Period=FQ","BEST_FPERIOD_OVERRIDE=FQ","FILING_STATUS=MR","SCALING_FORMAT=MLN","Sort=A","Dates=H","DateFormat=P","Fill=—","Direction=H","UseDPDF=Y")</f>
        <v>311</v>
      </c>
      <c r="D11" s="13" t="str">
        <f>_xll.BDH("AMGN US Equity","ARD_STOCK_BASED_COMPENSATION","FQ1 2019","FQ1 2019","Currency=USD","Period=FQ","BEST_FPERIOD_OVERRIDE=FQ","FILING_STATUS=MR","SCALING_FORMAT=MLN","Sort=A","Dates=H","DateFormat=P","Fill=—","Direction=H","UseDPDF=Y")</f>
        <v>—</v>
      </c>
      <c r="E11" s="13" t="str">
        <f>_xll.BDH("AMGN US Equity","ARD_STOCK_BASED_COMPENSATION","FQ2 2019","FQ2 2019","Currency=USD","Period=FQ","BEST_FPERIOD_OVERRIDE=FQ","FILING_STATUS=MR","SCALING_FORMAT=MLN","Sort=A","Dates=H","DateFormat=P","Fill=—","Direction=H","UseDPDF=Y")</f>
        <v>—</v>
      </c>
      <c r="F11" s="13" t="str">
        <f>_xll.BDH("AMGN US Equity","ARD_STOCK_BASED_COMPENSATION","FQ3 2019","FQ3 2019","Currency=USD","Period=FQ","BEST_FPERIOD_OVERRIDE=FQ","FILING_STATUS=MR","SCALING_FORMAT=MLN","Sort=A","Dates=H","DateFormat=P","Fill=—","Direction=H","UseDPDF=Y")</f>
        <v>—</v>
      </c>
      <c r="G11" s="13">
        <f>_xll.BDH("AMGN US Equity","ARD_STOCK_BASED_COMPENSATION","FQ4 2019","FQ4 2019","Currency=USD","Period=FQ","BEST_FPERIOD_OVERRIDE=FQ","FILING_STATUS=MR","SCALING_FORMAT=MLN","Sort=A","Dates=H","DateFormat=P","Fill=—","Direction=H","UseDPDF=Y")</f>
        <v>308</v>
      </c>
      <c r="H11" s="13" t="str">
        <f>_xll.BDH("AMGN US Equity","ARD_STOCK_BASED_COMPENSATION","FQ1 2020","FQ1 2020","Currency=USD","Period=FQ","BEST_FPERIOD_OVERRIDE=FQ","FILING_STATUS=MR","SCALING_FORMAT=MLN","Sort=A","Dates=H","DateFormat=P","Fill=—","Direction=H","UseDPDF=Y")</f>
        <v>—</v>
      </c>
      <c r="I11" s="13" t="str">
        <f>_xll.BDH("AMGN US Equity","ARD_STOCK_BASED_COMPENSATION","FQ2 2020","FQ2 2020","Currency=USD","Period=FQ","BEST_FPERIOD_OVERRIDE=FQ","FILING_STATUS=MR","SCALING_FORMAT=MLN","Sort=A","Dates=H","DateFormat=P","Fill=—","Direction=H","UseDPDF=Y")</f>
        <v>—</v>
      </c>
      <c r="J11" s="13" t="str">
        <f>_xll.BDH("AMGN US Equity","ARD_STOCK_BASED_COMPENSATION","FQ3 2020","FQ3 2020","Currency=USD","Period=FQ","BEST_FPERIOD_OVERRIDE=FQ","FILING_STATUS=MR","SCALING_FORMAT=MLN","Sort=A","Dates=H","DateFormat=P","Fill=—","Direction=H","UseDPDF=Y")</f>
        <v>—</v>
      </c>
      <c r="K11" s="13">
        <f>_xll.BDH("AMGN US Equity","ARD_STOCK_BASED_COMPENSATION","FQ4 2020","FQ4 2020","Currency=USD","Period=FQ","BEST_FPERIOD_OVERRIDE=FQ","FILING_STATUS=MR","SCALING_FORMAT=MLN","Sort=A","Dates=H","DateFormat=P","Fill=—","Direction=H","UseDPDF=Y")</f>
        <v>330</v>
      </c>
      <c r="L11" s="13" t="str">
        <f>_xll.BDH("AMGN US Equity","ARD_STOCK_BASED_COMPENSATION","FQ1 2021","FQ1 2021","Currency=USD","Period=FQ","BEST_FPERIOD_OVERRIDE=FQ","FILING_STATUS=MR","SCALING_FORMAT=MLN","Sort=A","Dates=H","DateFormat=P","Fill=—","Direction=H","UseDPDF=Y")</f>
        <v>—</v>
      </c>
      <c r="M11" s="13" t="str">
        <f>_xll.BDH("AMGN US Equity","ARD_STOCK_BASED_COMPENSATION","FQ2 2021","FQ2 2021","Currency=USD","Period=FQ","BEST_FPERIOD_OVERRIDE=FQ","FILING_STATUS=MR","SCALING_FORMAT=MLN","Sort=A","Dates=H","DateFormat=P","Fill=—","Direction=H","UseDPDF=Y")</f>
        <v>—</v>
      </c>
      <c r="N11" s="13" t="str">
        <f>_xll.BDH("AMGN US Equity","ARD_STOCK_BASED_COMPENSATION","FQ3 2021","FQ3 2021","Currency=USD","Period=FQ","BEST_FPERIOD_OVERRIDE=FQ","FILING_STATUS=MR","SCALING_FORMAT=MLN","Sort=A","Dates=H","DateFormat=P","Fill=—","Direction=H","UseDPDF=Y")</f>
        <v>—</v>
      </c>
      <c r="O11" s="13">
        <f>_xll.BDH("AMGN US Equity","ARD_STOCK_BASED_COMPENSATION","FQ4 2021","FQ4 2021","Currency=USD","Period=FQ","BEST_FPERIOD_OVERRIDE=FQ","FILING_STATUS=MR","SCALING_FORMAT=MLN","Sort=A","Dates=H","DateFormat=P","Fill=—","Direction=H","UseDPDF=Y")</f>
        <v>341</v>
      </c>
      <c r="P11" s="13" t="str">
        <f>_xll.BDH("AMGN US Equity","ARD_STOCK_BASED_COMPENSATION","FQ1 2022","FQ1 2022","Currency=USD","Period=FQ","BEST_FPERIOD_OVERRIDE=FQ","FILING_STATUS=MR","SCALING_FORMAT=MLN","Sort=A","Dates=H","DateFormat=P","Fill=—","Direction=H","UseDPDF=Y")</f>
        <v>—</v>
      </c>
      <c r="Q11" s="13" t="str">
        <f>_xll.BDH("AMGN US Equity","ARD_STOCK_BASED_COMPENSATION","FQ2 2022","FQ2 2022","Currency=USD","Period=FQ","BEST_FPERIOD_OVERRIDE=FQ","FILING_STATUS=MR","SCALING_FORMAT=MLN","Sort=A","Dates=H","DateFormat=P","Fill=—","Direction=H","UseDPDF=Y")</f>
        <v>—</v>
      </c>
      <c r="R11" s="13" t="str">
        <f>_xll.BDH("AMGN US Equity","ARD_STOCK_BASED_COMPENSATION","FQ3 2022","FQ3 2022","Currency=USD","Period=FQ","BEST_FPERIOD_OVERRIDE=FQ","FILING_STATUS=MR","SCALING_FORMAT=MLN","Sort=A","Dates=H","DateFormat=P","Fill=—","Direction=H","UseDPDF=Y")</f>
        <v>—</v>
      </c>
      <c r="S11" s="13">
        <f>_xll.BDH("AMGN US Equity","ARD_STOCK_BASED_COMPENSATION","FQ4 2022","FQ4 2022","Currency=USD","Period=FQ","BEST_FPERIOD_OVERRIDE=FQ","FILING_STATUS=MR","SCALING_FORMAT=MLN","Sort=A","Dates=H","DateFormat=P","Fill=—","Direction=H","UseDPDF=Y")</f>
        <v>401</v>
      </c>
      <c r="T11" s="13" t="str">
        <f>_xll.BDH("AMGN US Equity","ARD_STOCK_BASED_COMPENSATION","FQ1 2023","FQ1 2023","Currency=USD","Period=FQ","BEST_FPERIOD_OVERRIDE=FQ","FILING_STATUS=MR","SCALING_FORMAT=MLN","Sort=A","Dates=H","DateFormat=P","Fill=—","Direction=H","UseDPDF=Y")</f>
        <v>—</v>
      </c>
      <c r="U11" s="13" t="str">
        <f>_xll.BDH("AMGN US Equity","ARD_STOCK_BASED_COMPENSATION","FQ2 2023","FQ2 2023","Currency=USD","Period=FQ","BEST_FPERIOD_OVERRIDE=FQ","FILING_STATUS=MR","SCALING_FORMAT=MLN","Sort=A","Dates=H","DateFormat=P","Fill=—","Direction=H","UseDPDF=Y")</f>
        <v>—</v>
      </c>
      <c r="V11" s="13" t="str">
        <f>_xll.BDH("AMGN US Equity","ARD_STOCK_BASED_COMPENSATION","FQ3 2023","FQ3 2023","Currency=USD","Period=FQ","BEST_FPERIOD_OVERRIDE=FQ","FILING_STATUS=MR","SCALING_FORMAT=MLN","Sort=A","Dates=H","DateFormat=P","Fill=—","Direction=H","UseDPDF=Y")</f>
        <v>—</v>
      </c>
      <c r="W11" s="13">
        <f>_xll.BDH("AMGN US Equity","ARD_STOCK_BASED_COMPENSATION","FQ4 2023","FQ4 2023","Currency=USD","Period=FQ","BEST_FPERIOD_OVERRIDE=FQ","FILING_STATUS=MR","SCALING_FORMAT=MLN","Sort=A","Dates=H","DateFormat=P","Fill=—","Direction=H","UseDPDF=Y")</f>
        <v>431</v>
      </c>
      <c r="X11" s="13">
        <f>_xll.BDH("AMGN US Equity","ARD_STOCK_BASED_COMPENSATION","FQ1 2024","FQ1 2024","Currency=USD","Period=FQ","BEST_FPERIOD_OVERRIDE=FQ","FILING_STATUS=MR","SCALING_FORMAT=MLN","Sort=A","Dates=H","DateFormat=P","Fill=—","Direction=H","UseDPDF=Y")</f>
        <v>103</v>
      </c>
      <c r="Y11" s="13">
        <f>_xll.BDH("AMGN US Equity","ARD_STOCK_BASED_COMPENSATION","FQ2 2024","FQ2 2024","Currency=USD","Period=FQ","BEST_FPERIOD_OVERRIDE=FQ","FILING_STATUS=MR","SCALING_FORMAT=MLN","Sort=A","Dates=H","DateFormat=P","Fill=—","Direction=H","UseDPDF=Y")</f>
        <v>260</v>
      </c>
      <c r="Z11" s="13">
        <f>_xll.BDH("AMGN US Equity","ARD_STOCK_BASED_COMPENSATION","FQ3 2024","FQ3 2024","Currency=USD","Period=FQ","BEST_FPERIOD_OVERRIDE=FQ","FILING_STATUS=MR","SCALING_FORMAT=MLN","Sort=A","Dates=H","DateFormat=P","Fill=—","Direction=H","UseDPDF=Y")</f>
        <v>396</v>
      </c>
      <c r="AA11" s="13">
        <f>_xll.BDH("AMGN US Equity","ARD_STOCK_BASED_COMPENSATION","FQ4 2024","FQ4 2024","Currency=USD","Period=FQ","BEST_FPERIOD_OVERRIDE=FQ","FILING_STATUS=MR","SCALING_FORMAT=MLN","Sort=A","Dates=H","DateFormat=P","Fill=—","Direction=H","UseDPDF=Y")</f>
        <v>530</v>
      </c>
    </row>
    <row r="12" spans="1:27" x14ac:dyDescent="0.25">
      <c r="A12" s="10" t="s">
        <v>1364</v>
      </c>
      <c r="B12" s="10" t="s">
        <v>1365</v>
      </c>
      <c r="C12" s="13">
        <f>_xll.BDH("AMGN US Equity","ARD_OTHER_NON_CASH_ITEMS","FQ4 2018","FQ4 2018","Currency=USD","Period=FQ","BEST_FPERIOD_OVERRIDE=FQ","FILING_STATUS=MR","SCALING_FORMAT=MLN","Sort=A","Dates=H","DateFormat=P","Fill=—","Direction=H","UseDPDF=Y")</f>
        <v>386</v>
      </c>
      <c r="D12" s="13">
        <f>_xll.BDH("AMGN US Equity","ARD_OTHER_NON_CASH_ITEMS","FQ1 2019","FQ1 2019","Currency=USD","Period=FQ","BEST_FPERIOD_OVERRIDE=FQ","FILING_STATUS=MR","SCALING_FORMAT=MLN","Sort=A","Dates=H","DateFormat=P","Fill=—","Direction=H","UseDPDF=Y")</f>
        <v>24</v>
      </c>
      <c r="E12" s="13">
        <f>_xll.BDH("AMGN US Equity","ARD_OTHER_NON_CASH_ITEMS","FQ2 2019","FQ2 2019","Currency=USD","Period=FQ","BEST_FPERIOD_OVERRIDE=FQ","FILING_STATUS=MR","SCALING_FORMAT=MLN","Sort=A","Dates=H","DateFormat=P","Fill=—","Direction=H","UseDPDF=Y")</f>
        <v>32</v>
      </c>
      <c r="F12" s="13">
        <f>_xll.BDH("AMGN US Equity","ARD_OTHER_NON_CASH_ITEMS","FQ3 2019","FQ3 2019","Currency=USD","Period=FQ","BEST_FPERIOD_OVERRIDE=FQ","FILING_STATUS=MR","SCALING_FORMAT=MLN","Sort=A","Dates=H","DateFormat=P","Fill=—","Direction=H","UseDPDF=Y")</f>
        <v>169</v>
      </c>
      <c r="G12" s="13">
        <f>_xll.BDH("AMGN US Equity","ARD_OTHER_NON_CASH_ITEMS","FQ4 2019","FQ4 2019","Currency=USD","Period=FQ","BEST_FPERIOD_OVERRIDE=FQ","FILING_STATUS=MR","SCALING_FORMAT=MLN","Sort=A","Dates=H","DateFormat=P","Fill=—","Direction=H","UseDPDF=Y")</f>
        <v>-186</v>
      </c>
      <c r="H12" s="13">
        <f>_xll.BDH("AMGN US Equity","ARD_OTHER_NON_CASH_ITEMS","FQ1 2020","FQ1 2020","Currency=USD","Period=FQ","BEST_FPERIOD_OVERRIDE=FQ","FILING_STATUS=MR","SCALING_FORMAT=MLN","Sort=A","Dates=H","DateFormat=P","Fill=—","Direction=H","UseDPDF=Y")</f>
        <v>107</v>
      </c>
      <c r="I12" s="13">
        <f>_xll.BDH("AMGN US Equity","ARD_OTHER_NON_CASH_ITEMS","FQ2 2020","FQ2 2020","Currency=USD","Period=FQ","BEST_FPERIOD_OVERRIDE=FQ","FILING_STATUS=MR","SCALING_FORMAT=MLN","Sort=A","Dates=H","DateFormat=P","Fill=—","Direction=H","UseDPDF=Y")</f>
        <v>245</v>
      </c>
      <c r="J12" s="13">
        <f>_xll.BDH("AMGN US Equity","ARD_OTHER_NON_CASH_ITEMS","FQ3 2020","FQ3 2020","Currency=USD","Period=FQ","BEST_FPERIOD_OVERRIDE=FQ","FILING_STATUS=MR","SCALING_FORMAT=MLN","Sort=A","Dates=H","DateFormat=P","Fill=—","Direction=H","UseDPDF=Y")</f>
        <v>270</v>
      </c>
      <c r="K12" s="13">
        <f>_xll.BDH("AMGN US Equity","ARD_OTHER_NON_CASH_ITEMS","FQ4 2020","FQ4 2020","Currency=USD","Period=FQ","BEST_FPERIOD_OVERRIDE=FQ","FILING_STATUS=MR","SCALING_FORMAT=MLN","Sort=A","Dates=H","DateFormat=P","Fill=—","Direction=H","UseDPDF=Y")</f>
        <v>-195</v>
      </c>
      <c r="L12" s="13">
        <f>_xll.BDH("AMGN US Equity","ARD_OTHER_NON_CASH_ITEMS","FQ1 2021","FQ1 2021","Currency=USD","Period=FQ","BEST_FPERIOD_OVERRIDE=FQ","FILING_STATUS=MR","SCALING_FORMAT=MLN","Sort=A","Dates=H","DateFormat=P","Fill=—","Direction=H","UseDPDF=Y")</f>
        <v>164</v>
      </c>
      <c r="M12" s="13">
        <f>_xll.BDH("AMGN US Equity","ARD_OTHER_NON_CASH_ITEMS","FQ2 2021","FQ2 2021","Currency=USD","Period=FQ","BEST_FPERIOD_OVERRIDE=FQ","FILING_STATUS=MR","SCALING_FORMAT=MLN","Sort=A","Dates=H","DateFormat=P","Fill=—","Direction=H","UseDPDF=Y")</f>
        <v>206</v>
      </c>
      <c r="N12" s="13">
        <f>_xll.BDH("AMGN US Equity","ARD_OTHER_NON_CASH_ITEMS","FQ3 2021","FQ3 2021","Currency=USD","Period=FQ","BEST_FPERIOD_OVERRIDE=FQ","FILING_STATUS=MR","SCALING_FORMAT=MLN","Sort=A","Dates=H","DateFormat=P","Fill=—","Direction=H","UseDPDF=Y")</f>
        <v>57</v>
      </c>
      <c r="O12" s="13">
        <f>_xll.BDH("AMGN US Equity","ARD_OTHER_NON_CASH_ITEMS","FQ4 2021","FQ4 2021","Currency=USD","Period=FQ","BEST_FPERIOD_OVERRIDE=FQ","FILING_STATUS=MR","SCALING_FORMAT=MLN","Sort=A","Dates=H","DateFormat=P","Fill=—","Direction=H","UseDPDF=Y")</f>
        <v>-262</v>
      </c>
      <c r="P12" s="13">
        <f>_xll.BDH("AMGN US Equity","ARD_OTHER_NON_CASH_ITEMS","FQ1 2022","FQ1 2022","Currency=USD","Period=FQ","BEST_FPERIOD_OVERRIDE=FQ","FILING_STATUS=MR","SCALING_FORMAT=MLN","Sort=A","Dates=H","DateFormat=P","Fill=—","Direction=H","UseDPDF=Y")</f>
        <v>240</v>
      </c>
      <c r="Q12" s="13">
        <f>_xll.BDH("AMGN US Equity","ARD_OTHER_NON_CASH_ITEMS","FQ2 2022","FQ2 2022","Currency=USD","Period=FQ","BEST_FPERIOD_OVERRIDE=FQ","FILING_STATUS=MR","SCALING_FORMAT=MLN","Sort=A","Dates=H","DateFormat=P","Fill=—","Direction=H","UseDPDF=Y")</f>
        <v>996</v>
      </c>
      <c r="R12" s="13">
        <f>_xll.BDH("AMGN US Equity","ARD_OTHER_NON_CASH_ITEMS","FQ3 2022","FQ3 2022","Currency=USD","Period=FQ","BEST_FPERIOD_OVERRIDE=FQ","FILING_STATUS=MR","SCALING_FORMAT=MLN","Sort=A","Dates=H","DateFormat=P","Fill=—","Direction=H","UseDPDF=Y")</f>
        <v>801</v>
      </c>
      <c r="S12" s="13">
        <f>_xll.BDH("AMGN US Equity","ARD_OTHER_NON_CASH_ITEMS","FQ4 2022","FQ4 2022","Currency=USD","Period=FQ","BEST_FPERIOD_OVERRIDE=FQ","FILING_STATUS=MR","SCALING_FORMAT=MLN","Sort=A","Dates=H","DateFormat=P","Fill=—","Direction=H","UseDPDF=Y")</f>
        <v>391</v>
      </c>
      <c r="T12" s="13">
        <f>_xll.BDH("AMGN US Equity","ARD_OTHER_NON_CASH_ITEMS","FQ1 2023","FQ1 2023","Currency=USD","Period=FQ","BEST_FPERIOD_OVERRIDE=FQ","FILING_STATUS=MR","SCALING_FORMAT=MLN","Sort=A","Dates=H","DateFormat=P","Fill=—","Direction=H","UseDPDF=Y")</f>
        <v>-13</v>
      </c>
      <c r="U12" s="13">
        <f>_xll.BDH("AMGN US Equity","ARD_OTHER_NON_CASH_ITEMS","FQ2 2023","FQ2 2023","Currency=USD","Period=FQ","BEST_FPERIOD_OVERRIDE=FQ","FILING_STATUS=MR","SCALING_FORMAT=MLN","Sort=A","Dates=H","DateFormat=P","Fill=—","Direction=H","UseDPDF=Y")</f>
        <v>171</v>
      </c>
      <c r="V12" s="13">
        <f>_xll.BDH("AMGN US Equity","ARD_OTHER_NON_CASH_ITEMS","FQ3 2023","FQ3 2023","Currency=USD","Period=FQ","BEST_FPERIOD_OVERRIDE=FQ","FILING_STATUS=MR","SCALING_FORMAT=MLN","Sort=A","Dates=H","DateFormat=P","Fill=—","Direction=H","UseDPDF=Y")</f>
        <v>849</v>
      </c>
      <c r="W12" s="13">
        <f>_xll.BDH("AMGN US Equity","ARD_OTHER_NON_CASH_ITEMS","FQ4 2023","FQ4 2023","Currency=USD","Period=FQ","BEST_FPERIOD_OVERRIDE=FQ","FILING_STATUS=MR","SCALING_FORMAT=MLN","Sort=A","Dates=H","DateFormat=P","Fill=—","Direction=H","UseDPDF=Y")</f>
        <v>-1002</v>
      </c>
      <c r="X12" s="13">
        <f>_xll.BDH("AMGN US Equity","ARD_OTHER_NON_CASH_ITEMS","FQ1 2024","FQ1 2024","Currency=USD","Period=FQ","BEST_FPERIOD_OVERRIDE=FQ","FILING_STATUS=MR","SCALING_FORMAT=MLN","Sort=A","Dates=H","DateFormat=P","Fill=—","Direction=H","UseDPDF=Y")</f>
        <v>-95</v>
      </c>
      <c r="Y12" s="13">
        <f>_xll.BDH("AMGN US Equity","ARD_OTHER_NON_CASH_ITEMS","FQ2 2024","FQ2 2024","Currency=USD","Period=FQ","BEST_FPERIOD_OVERRIDE=FQ","FILING_STATUS=MR","SCALING_FORMAT=MLN","Sort=A","Dates=H","DateFormat=P","Fill=—","Direction=H","UseDPDF=Y")</f>
        <v>-67</v>
      </c>
      <c r="Z12" s="13">
        <f>_xll.BDH("AMGN US Equity","ARD_OTHER_NON_CASH_ITEMS","FQ3 2024","FQ3 2024","Currency=USD","Period=FQ","BEST_FPERIOD_OVERRIDE=FQ","FILING_STATUS=MR","SCALING_FORMAT=MLN","Sort=A","Dates=H","DateFormat=P","Fill=—","Direction=H","UseDPDF=Y")</f>
        <v>1</v>
      </c>
      <c r="AA12" s="13">
        <f>_xll.BDH("AMGN US Equity","ARD_OTHER_NON_CASH_ITEMS","FQ4 2024","FQ4 2024","Currency=USD","Period=FQ","BEST_FPERIOD_OVERRIDE=FQ","FILING_STATUS=MR","SCALING_FORMAT=MLN","Sort=A","Dates=H","DateFormat=P","Fill=—","Direction=H","UseDPDF=Y")</f>
        <v>151</v>
      </c>
    </row>
    <row r="13" spans="1:27" x14ac:dyDescent="0.25">
      <c r="A13" s="10" t="s">
        <v>1366</v>
      </c>
      <c r="B13" s="10" t="s">
        <v>1367</v>
      </c>
      <c r="C13" s="13">
        <f>_xll.BDH("AMGN US Equity","ARD_CHANGE_IN_INVENTORIES","FQ4 2018","FQ4 2018","Currency=USD","Period=FQ","BEST_FPERIOD_OVERRIDE=FQ","FILING_STATUS=MR","SCALING_FORMAT=MLN","Sort=A","Dates=H","DateFormat=P","Fill=—","Direction=H","UseDPDF=Y")</f>
        <v>-3</v>
      </c>
      <c r="D13" s="13">
        <f>_xll.BDH("AMGN US Equity","ARD_CHANGE_IN_INVENTORIES","FQ1 2019","FQ1 2019","Currency=USD","Period=FQ","BEST_FPERIOD_OVERRIDE=FQ","FILING_STATUS=MR","SCALING_FORMAT=MLN","Sort=A","Dates=H","DateFormat=P","Fill=—","Direction=H","UseDPDF=Y")</f>
        <v>-28</v>
      </c>
      <c r="E13" s="13">
        <f>_xll.BDH("AMGN US Equity","ARD_CHANGE_IN_INVENTORIES","FQ2 2019","FQ2 2019","Currency=USD","Period=FQ","BEST_FPERIOD_OVERRIDE=FQ","FILING_STATUS=MR","SCALING_FORMAT=MLN","Sort=A","Dates=H","DateFormat=P","Fill=—","Direction=H","UseDPDF=Y")</f>
        <v>-118</v>
      </c>
      <c r="F13" s="13">
        <f>_xll.BDH("AMGN US Equity","ARD_CHANGE_IN_INVENTORIES","FQ3 2019","FQ3 2019","Currency=USD","Period=FQ","BEST_FPERIOD_OVERRIDE=FQ","FILING_STATUS=MR","SCALING_FORMAT=MLN","Sort=A","Dates=H","DateFormat=P","Fill=—","Direction=H","UseDPDF=Y")</f>
        <v>-101</v>
      </c>
      <c r="G13" s="13">
        <f>_xll.BDH("AMGN US Equity","ARD_CHANGE_IN_INVENTORIES","FQ4 2019","FQ4 2019","Currency=USD","Period=FQ","BEST_FPERIOD_OVERRIDE=FQ","FILING_STATUS=MR","SCALING_FORMAT=MLN","Sort=A","Dates=H","DateFormat=P","Fill=—","Direction=H","UseDPDF=Y")</f>
        <v>-66</v>
      </c>
      <c r="H13" s="13">
        <f>_xll.BDH("AMGN US Equity","ARD_CHANGE_IN_INVENTORIES","FQ1 2020","FQ1 2020","Currency=USD","Period=FQ","BEST_FPERIOD_OVERRIDE=FQ","FILING_STATUS=MR","SCALING_FORMAT=MLN","Sort=A","Dates=H","DateFormat=P","Fill=—","Direction=H","UseDPDF=Y")</f>
        <v>-113</v>
      </c>
      <c r="I13" s="13">
        <f>_xll.BDH("AMGN US Equity","ARD_CHANGE_IN_INVENTORIES","FQ2 2020","FQ2 2020","Currency=USD","Period=FQ","BEST_FPERIOD_OVERRIDE=FQ","FILING_STATUS=MR","SCALING_FORMAT=MLN","Sort=A","Dates=H","DateFormat=P","Fill=—","Direction=H","UseDPDF=Y")</f>
        <v>-226</v>
      </c>
      <c r="J13" s="13">
        <f>_xll.BDH("AMGN US Equity","ARD_CHANGE_IN_INVENTORIES","FQ3 2020","FQ3 2020","Currency=USD","Period=FQ","BEST_FPERIOD_OVERRIDE=FQ","FILING_STATUS=MR","SCALING_FORMAT=MLN","Sort=A","Dates=H","DateFormat=P","Fill=—","Direction=H","UseDPDF=Y")</f>
        <v>-316</v>
      </c>
      <c r="K13" s="13">
        <f>_xll.BDH("AMGN US Equity","ARD_CHANGE_IN_INVENTORIES","FQ4 2020","FQ4 2020","Currency=USD","Period=FQ","BEST_FPERIOD_OVERRIDE=FQ","FILING_STATUS=MR","SCALING_FORMAT=MLN","Sort=A","Dates=H","DateFormat=P","Fill=—","Direction=H","UseDPDF=Y")</f>
        <v>-215</v>
      </c>
      <c r="L13" s="13">
        <f>_xll.BDH("AMGN US Equity","ARD_CHANGE_IN_INVENTORIES","FQ1 2021","FQ1 2021","Currency=USD","Period=FQ","BEST_FPERIOD_OVERRIDE=FQ","FILING_STATUS=MR","SCALING_FORMAT=MLN","Sort=A","Dates=H","DateFormat=P","Fill=—","Direction=H","UseDPDF=Y")</f>
        <v>-126</v>
      </c>
      <c r="M13" s="13">
        <f>_xll.BDH("AMGN US Equity","ARD_CHANGE_IN_INVENTORIES","FQ2 2021","FQ2 2021","Currency=USD","Period=FQ","BEST_FPERIOD_OVERRIDE=FQ","FILING_STATUS=MR","SCALING_FORMAT=MLN","Sort=A","Dates=H","DateFormat=P","Fill=—","Direction=H","UseDPDF=Y")</f>
        <v>-167</v>
      </c>
      <c r="N13" s="13">
        <f>_xll.BDH("AMGN US Equity","ARD_CHANGE_IN_INVENTORIES","FQ3 2021","FQ3 2021","Currency=USD","Period=FQ","BEST_FPERIOD_OVERRIDE=FQ","FILING_STATUS=MR","SCALING_FORMAT=MLN","Sort=A","Dates=H","DateFormat=P","Fill=—","Direction=H","UseDPDF=Y")</f>
        <v>-215</v>
      </c>
      <c r="O13" s="13">
        <f>_xll.BDH("AMGN US Equity","ARD_CHANGE_IN_INVENTORIES","FQ4 2021","FQ4 2021","Currency=USD","Period=FQ","BEST_FPERIOD_OVERRIDE=FQ","FILING_STATUS=MR","SCALING_FORMAT=MLN","Sort=A","Dates=H","DateFormat=P","Fill=—","Direction=H","UseDPDF=Y")</f>
        <v>-165</v>
      </c>
      <c r="P13" s="13">
        <f>_xll.BDH("AMGN US Equity","ARD_CHANGE_IN_INVENTORIES","FQ1 2022","FQ1 2022","Currency=USD","Period=FQ","BEST_FPERIOD_OVERRIDE=FQ","FILING_STATUS=MR","SCALING_FORMAT=MLN","Sort=A","Dates=H","DateFormat=P","Fill=—","Direction=H","UseDPDF=Y")</f>
        <v>-230</v>
      </c>
      <c r="Q13" s="13">
        <f>_xll.BDH("AMGN US Equity","ARD_CHANGE_IN_INVENTORIES","FQ2 2022","FQ2 2022","Currency=USD","Period=FQ","BEST_FPERIOD_OVERRIDE=FQ","FILING_STATUS=MR","SCALING_FORMAT=MLN","Sort=A","Dates=H","DateFormat=P","Fill=—","Direction=H","UseDPDF=Y")</f>
        <v>-410</v>
      </c>
      <c r="R13" s="13">
        <f>_xll.BDH("AMGN US Equity","ARD_CHANGE_IN_INVENTORIES","FQ3 2022","FQ3 2022","Currency=USD","Period=FQ","BEST_FPERIOD_OVERRIDE=FQ","FILING_STATUS=MR","SCALING_FORMAT=MLN","Sort=A","Dates=H","DateFormat=P","Fill=—","Direction=H","UseDPDF=Y")</f>
        <v>-651</v>
      </c>
      <c r="S13" s="13">
        <f>_xll.BDH("AMGN US Equity","ARD_CHANGE_IN_INVENTORIES","FQ4 2022","FQ4 2022","Currency=USD","Period=FQ","BEST_FPERIOD_OVERRIDE=FQ","FILING_STATUS=MR","SCALING_FORMAT=MLN","Sort=A","Dates=H","DateFormat=P","Fill=—","Direction=H","UseDPDF=Y")</f>
        <v>-742</v>
      </c>
      <c r="T13" s="13">
        <f>_xll.BDH("AMGN US Equity","ARD_CHANGE_IN_INVENTORIES","FQ1 2023","FQ1 2023","Currency=USD","Period=FQ","BEST_FPERIOD_OVERRIDE=FQ","FILING_STATUS=MR","SCALING_FORMAT=MLN","Sort=A","Dates=H","DateFormat=P","Fill=—","Direction=H","UseDPDF=Y")</f>
        <v>-58</v>
      </c>
      <c r="U13" s="13">
        <f>_xll.BDH("AMGN US Equity","ARD_CHANGE_IN_INVENTORIES","FQ2 2023","FQ2 2023","Currency=USD","Period=FQ","BEST_FPERIOD_OVERRIDE=FQ","FILING_STATUS=MR","SCALING_FORMAT=MLN","Sort=A","Dates=H","DateFormat=P","Fill=—","Direction=H","UseDPDF=Y")</f>
        <v>-28</v>
      </c>
      <c r="V13" s="13">
        <f>_xll.BDH("AMGN US Equity","ARD_CHANGE_IN_INVENTORIES","FQ3 2023","FQ3 2023","Currency=USD","Period=FQ","BEST_FPERIOD_OVERRIDE=FQ","FILING_STATUS=MR","SCALING_FORMAT=MLN","Sort=A","Dates=H","DateFormat=P","Fill=—","Direction=H","UseDPDF=Y")</f>
        <v>-82</v>
      </c>
      <c r="W13" s="13">
        <f>_xll.BDH("AMGN US Equity","ARD_CHANGE_IN_INVENTORIES","FQ4 2023","FQ4 2023","Currency=USD","Period=FQ","BEST_FPERIOD_OVERRIDE=FQ","FILING_STATUS=MR","SCALING_FORMAT=MLN","Sort=A","Dates=H","DateFormat=P","Fill=—","Direction=H","UseDPDF=Y")</f>
        <v>491</v>
      </c>
      <c r="X13" s="13">
        <f>_xll.BDH("AMGN US Equity","ARD_CHANGE_IN_INVENTORIES","FQ1 2024","FQ1 2024","Currency=USD","Period=FQ","BEST_FPERIOD_OVERRIDE=FQ","FILING_STATUS=MR","SCALING_FORMAT=MLN","Sort=A","Dates=H","DateFormat=P","Fill=—","Direction=H","UseDPDF=Y")</f>
        <v>806</v>
      </c>
      <c r="Y13" s="13">
        <f>_xll.BDH("AMGN US Equity","ARD_CHANGE_IN_INVENTORIES","FQ2 2024","FQ2 2024","Currency=USD","Period=FQ","BEST_FPERIOD_OVERRIDE=FQ","FILING_STATUS=MR","SCALING_FORMAT=MLN","Sort=A","Dates=H","DateFormat=P","Fill=—","Direction=H","UseDPDF=Y")</f>
        <v>1528</v>
      </c>
      <c r="Z13" s="13">
        <f>_xll.BDH("AMGN US Equity","ARD_CHANGE_IN_INVENTORIES","FQ3 2024","FQ3 2024","Currency=USD","Period=FQ","BEST_FPERIOD_OVERRIDE=FQ","FILING_STATUS=MR","SCALING_FORMAT=MLN","Sort=A","Dates=H","DateFormat=P","Fill=—","Direction=H","UseDPDF=Y")</f>
        <v>2209</v>
      </c>
      <c r="AA13" s="13">
        <f>_xll.BDH("AMGN US Equity","ARD_CHANGE_IN_INVENTORIES","FQ4 2024","FQ4 2024","Currency=USD","Period=FQ","BEST_FPERIOD_OVERRIDE=FQ","FILING_STATUS=MR","SCALING_FORMAT=MLN","Sort=A","Dates=H","DateFormat=P","Fill=—","Direction=H","UseDPDF=Y")</f>
        <v>2532</v>
      </c>
    </row>
    <row r="14" spans="1:27" x14ac:dyDescent="0.25">
      <c r="A14" s="10" t="s">
        <v>1368</v>
      </c>
      <c r="B14" s="10" t="s">
        <v>1369</v>
      </c>
      <c r="C14" s="13">
        <f>_xll.BDH("AMGN US Equity","ARD_CHANGE_IN_ACCOUNTS_PAYABLE","FQ4 2018","FQ4 2018","Currency=USD","Period=FQ","BEST_FPERIOD_OVERRIDE=FQ","FILING_STATUS=MR","SCALING_FORMAT=MLN","Sort=A","Dates=H","DateFormat=P","Fill=—","Direction=H","UseDPDF=Y")</f>
        <v>-143</v>
      </c>
      <c r="D14" s="13">
        <f>_xll.BDH("AMGN US Equity","ARD_CHANGE_IN_ACCOUNTS_PAYABLE","FQ1 2019","FQ1 2019","Currency=USD","Period=FQ","BEST_FPERIOD_OVERRIDE=FQ","FILING_STATUS=MR","SCALING_FORMAT=MLN","Sort=A","Dates=H","DateFormat=P","Fill=—","Direction=H","UseDPDF=Y")</f>
        <v>-112</v>
      </c>
      <c r="E14" s="13">
        <f>_xll.BDH("AMGN US Equity","ARD_CHANGE_IN_ACCOUNTS_PAYABLE","FQ2 2019","FQ2 2019","Currency=USD","Period=FQ","BEST_FPERIOD_OVERRIDE=FQ","FILING_STATUS=MR","SCALING_FORMAT=MLN","Sort=A","Dates=H","DateFormat=P","Fill=—","Direction=H","UseDPDF=Y")</f>
        <v>-205</v>
      </c>
      <c r="F14" s="13">
        <f>_xll.BDH("AMGN US Equity","ARD_CHANGE_IN_ACCOUNTS_PAYABLE","FQ3 2019","FQ3 2019","Currency=USD","Period=FQ","BEST_FPERIOD_OVERRIDE=FQ","FILING_STATUS=MR","SCALING_FORMAT=MLN","Sort=A","Dates=H","DateFormat=P","Fill=—","Direction=H","UseDPDF=Y")</f>
        <v>-196</v>
      </c>
      <c r="G14" s="13">
        <f>_xll.BDH("AMGN US Equity","ARD_CHANGE_IN_ACCOUNTS_PAYABLE","FQ4 2019","FQ4 2019","Currency=USD","Period=FQ","BEST_FPERIOD_OVERRIDE=FQ","FILING_STATUS=MR","SCALING_FORMAT=MLN","Sort=A","Dates=H","DateFormat=P","Fill=—","Direction=H","UseDPDF=Y")</f>
        <v>164</v>
      </c>
      <c r="H14" s="13">
        <f>_xll.BDH("AMGN US Equity","ARD_CHANGE_IN_ACCOUNTS_PAYABLE","FQ1 2020","FQ1 2020","Currency=USD","Period=FQ","BEST_FPERIOD_OVERRIDE=FQ","FILING_STATUS=MR","SCALING_FORMAT=MLN","Sort=A","Dates=H","DateFormat=P","Fill=—","Direction=H","UseDPDF=Y")</f>
        <v>-25</v>
      </c>
      <c r="I14" s="13">
        <f>_xll.BDH("AMGN US Equity","ARD_CHANGE_IN_ACCOUNTS_PAYABLE","FQ2 2020","FQ2 2020","Currency=USD","Period=FQ","BEST_FPERIOD_OVERRIDE=FQ","FILING_STATUS=MR","SCALING_FORMAT=MLN","Sort=A","Dates=H","DateFormat=P","Fill=—","Direction=H","UseDPDF=Y")</f>
        <v>-216</v>
      </c>
      <c r="J14" s="13">
        <f>_xll.BDH("AMGN US Equity","ARD_CHANGE_IN_ACCOUNTS_PAYABLE","FQ3 2020","FQ3 2020","Currency=USD","Period=FQ","BEST_FPERIOD_OVERRIDE=FQ","FILING_STATUS=MR","SCALING_FORMAT=MLN","Sort=A","Dates=H","DateFormat=P","Fill=—","Direction=H","UseDPDF=Y")</f>
        <v>-202</v>
      </c>
      <c r="K14" s="13">
        <f>_xll.BDH("AMGN US Equity","ARD_CHANGE_IN_ACCOUNTS_PAYABLE","FQ4 2020","FQ4 2020","Currency=USD","Period=FQ","BEST_FPERIOD_OVERRIDE=FQ","FILING_STATUS=MR","SCALING_FORMAT=MLN","Sort=A","Dates=H","DateFormat=P","Fill=—","Direction=H","UseDPDF=Y")</f>
        <v>45</v>
      </c>
      <c r="L14" s="13">
        <f>_xll.BDH("AMGN US Equity","ARD_CHANGE_IN_ACCOUNTS_PAYABLE","FQ1 2021","FQ1 2021","Currency=USD","Period=FQ","BEST_FPERIOD_OVERRIDE=FQ","FILING_STATUS=MR","SCALING_FORMAT=MLN","Sort=A","Dates=H","DateFormat=P","Fill=—","Direction=H","UseDPDF=Y")</f>
        <v>-29</v>
      </c>
      <c r="M14" s="13">
        <f>_xll.BDH("AMGN US Equity","ARD_CHANGE_IN_ACCOUNTS_PAYABLE","FQ2 2021","FQ2 2021","Currency=USD","Period=FQ","BEST_FPERIOD_OVERRIDE=FQ","FILING_STATUS=MR","SCALING_FORMAT=MLN","Sort=A","Dates=H","DateFormat=P","Fill=—","Direction=H","UseDPDF=Y")</f>
        <v>-156</v>
      </c>
      <c r="N14" s="13">
        <f>_xll.BDH("AMGN US Equity","ARD_CHANGE_IN_ACCOUNTS_PAYABLE","FQ3 2021","FQ3 2021","Currency=USD","Period=FQ","BEST_FPERIOD_OVERRIDE=FQ","FILING_STATUS=MR","SCALING_FORMAT=MLN","Sort=A","Dates=H","DateFormat=P","Fill=—","Direction=H","UseDPDF=Y")</f>
        <v>-260</v>
      </c>
      <c r="O14" s="13">
        <f>_xll.BDH("AMGN US Equity","ARD_CHANGE_IN_ACCOUNTS_PAYABLE","FQ4 2021","FQ4 2021","Currency=USD","Period=FQ","BEST_FPERIOD_OVERRIDE=FQ","FILING_STATUS=MR","SCALING_FORMAT=MLN","Sort=A","Dates=H","DateFormat=P","Fill=—","Direction=H","UseDPDF=Y")</f>
        <v>-69</v>
      </c>
      <c r="P14" s="13">
        <f>_xll.BDH("AMGN US Equity","ARD_CHANGE_IN_ACCOUNTS_PAYABLE","FQ1 2022","FQ1 2022","Currency=USD","Period=FQ","BEST_FPERIOD_OVERRIDE=FQ","FILING_STATUS=MR","SCALING_FORMAT=MLN","Sort=A","Dates=H","DateFormat=P","Fill=—","Direction=H","UseDPDF=Y")</f>
        <v>42</v>
      </c>
      <c r="Q14" s="13">
        <f>_xll.BDH("AMGN US Equity","ARD_CHANGE_IN_ACCOUNTS_PAYABLE","FQ2 2022","FQ2 2022","Currency=USD","Period=FQ","BEST_FPERIOD_OVERRIDE=FQ","FILING_STATUS=MR","SCALING_FORMAT=MLN","Sort=A","Dates=H","DateFormat=P","Fill=—","Direction=H","UseDPDF=Y")</f>
        <v>-98</v>
      </c>
      <c r="R14" s="13">
        <f>_xll.BDH("AMGN US Equity","ARD_CHANGE_IN_ACCOUNTS_PAYABLE","FQ3 2022","FQ3 2022","Currency=USD","Period=FQ","BEST_FPERIOD_OVERRIDE=FQ","FILING_STATUS=MR","SCALING_FORMAT=MLN","Sort=A","Dates=H","DateFormat=P","Fill=—","Direction=H","UseDPDF=Y")</f>
        <v>-142</v>
      </c>
      <c r="S14" s="13">
        <f>_xll.BDH("AMGN US Equity","ARD_CHANGE_IN_ACCOUNTS_PAYABLE","FQ4 2022","FQ4 2022","Currency=USD","Period=FQ","BEST_FPERIOD_OVERRIDE=FQ","FILING_STATUS=MR","SCALING_FORMAT=MLN","Sort=A","Dates=H","DateFormat=P","Fill=—","Direction=H","UseDPDF=Y")</f>
        <v>154</v>
      </c>
      <c r="T14" s="13">
        <f>_xll.BDH("AMGN US Equity","ARD_CHANGE_IN_ACCOUNTS_PAYABLE","FQ1 2023","FQ1 2023","Currency=USD","Period=FQ","BEST_FPERIOD_OVERRIDE=FQ","FILING_STATUS=MR","SCALING_FORMAT=MLN","Sort=A","Dates=H","DateFormat=P","Fill=—","Direction=H","UseDPDF=Y")</f>
        <v>-253</v>
      </c>
      <c r="U14" s="13">
        <f>_xll.BDH("AMGN US Equity","ARD_CHANGE_IN_ACCOUNTS_PAYABLE","FQ2 2023","FQ2 2023","Currency=USD","Period=FQ","BEST_FPERIOD_OVERRIDE=FQ","FILING_STATUS=MR","SCALING_FORMAT=MLN","Sort=A","Dates=H","DateFormat=P","Fill=—","Direction=H","UseDPDF=Y")</f>
        <v>-371</v>
      </c>
      <c r="V14" s="13">
        <f>_xll.BDH("AMGN US Equity","ARD_CHANGE_IN_ACCOUNTS_PAYABLE","FQ3 2023","FQ3 2023","Currency=USD","Period=FQ","BEST_FPERIOD_OVERRIDE=FQ","FILING_STATUS=MR","SCALING_FORMAT=MLN","Sort=A","Dates=H","DateFormat=P","Fill=—","Direction=H","UseDPDF=Y")</f>
        <v>-215</v>
      </c>
      <c r="W14" s="13">
        <f>_xll.BDH("AMGN US Equity","ARD_CHANGE_IN_ACCOUNTS_PAYABLE","FQ4 2023","FQ4 2023","Currency=USD","Period=FQ","BEST_FPERIOD_OVERRIDE=FQ","FILING_STATUS=MR","SCALING_FORMAT=MLN","Sort=A","Dates=H","DateFormat=P","Fill=—","Direction=H","UseDPDF=Y")</f>
        <v>-402</v>
      </c>
      <c r="X14" s="13">
        <f>_xll.BDH("AMGN US Equity","ARD_CHANGE_IN_ACCOUNTS_PAYABLE","FQ1 2024","FQ1 2024","Currency=USD","Period=FQ","BEST_FPERIOD_OVERRIDE=FQ","FILING_STATUS=MR","SCALING_FORMAT=MLN","Sort=A","Dates=H","DateFormat=P","Fill=—","Direction=H","UseDPDF=Y")</f>
        <v>23</v>
      </c>
      <c r="Y14" s="13">
        <f>_xll.BDH("AMGN US Equity","ARD_CHANGE_IN_ACCOUNTS_PAYABLE","FQ2 2024","FQ2 2024","Currency=USD","Period=FQ","BEST_FPERIOD_OVERRIDE=FQ","FILING_STATUS=MR","SCALING_FORMAT=MLN","Sort=A","Dates=H","DateFormat=P","Fill=—","Direction=H","UseDPDF=Y")</f>
        <v>666</v>
      </c>
      <c r="Z14" s="13">
        <f>_xll.BDH("AMGN US Equity","ARD_CHANGE_IN_ACCOUNTS_PAYABLE","FQ3 2024","FQ3 2024","Currency=USD","Period=FQ","BEST_FPERIOD_OVERRIDE=FQ","FILING_STATUS=MR","SCALING_FORMAT=MLN","Sort=A","Dates=H","DateFormat=P","Fill=—","Direction=H","UseDPDF=Y")</f>
        <v>544</v>
      </c>
      <c r="AA14" s="13">
        <f>_xll.BDH("AMGN US Equity","ARD_CHANGE_IN_ACCOUNTS_PAYABLE","FQ4 2024","FQ4 2024","Currency=USD","Period=FQ","BEST_FPERIOD_OVERRIDE=FQ","FILING_STATUS=MR","SCALING_FORMAT=MLN","Sort=A","Dates=H","DateFormat=P","Fill=—","Direction=H","UseDPDF=Y")</f>
        <v>312</v>
      </c>
    </row>
    <row r="15" spans="1:27" x14ac:dyDescent="0.25">
      <c r="A15" s="10" t="s">
        <v>1370</v>
      </c>
      <c r="B15" s="10" t="s">
        <v>1371</v>
      </c>
      <c r="C15" s="13">
        <f>_xll.BDH("AMGN US Equity","ARD_CHG_IN_ACCOUNTS_RECEIVABLE","FQ4 2018","FQ4 2018","Currency=USD","Period=FQ","BEST_FPERIOD_OVERRIDE=FQ","FILING_STATUS=MR","SCALING_FORMAT=MLN","Sort=A","Dates=H","DateFormat=P","Fill=—","Direction=H","UseDPDF=Y")</f>
        <v>-378</v>
      </c>
      <c r="D15" s="13">
        <f>_xll.BDH("AMGN US Equity","ARD_CHG_IN_ACCOUNTS_RECEIVABLE","FQ1 2019","FQ1 2019","Currency=USD","Period=FQ","BEST_FPERIOD_OVERRIDE=FQ","FILING_STATUS=MR","SCALING_FORMAT=MLN","Sort=A","Dates=H","DateFormat=P","Fill=—","Direction=H","UseDPDF=Y")</f>
        <v>-207</v>
      </c>
      <c r="E15" s="13">
        <f>_xll.BDH("AMGN US Equity","ARD_CHG_IN_ACCOUNTS_RECEIVABLE","FQ2 2019","FQ2 2019","Currency=USD","Period=FQ","BEST_FPERIOD_OVERRIDE=FQ","FILING_STATUS=MR","SCALING_FORMAT=MLN","Sort=A","Dates=H","DateFormat=P","Fill=—","Direction=H","UseDPDF=Y")</f>
        <v>-228</v>
      </c>
      <c r="F15" s="13">
        <f>_xll.BDH("AMGN US Equity","ARD_CHG_IN_ACCOUNTS_RECEIVABLE","FQ3 2019","FQ3 2019","Currency=USD","Period=FQ","BEST_FPERIOD_OVERRIDE=FQ","FILING_STATUS=MR","SCALING_FORMAT=MLN","Sort=A","Dates=H","DateFormat=P","Fill=—","Direction=H","UseDPDF=Y")</f>
        <v>-63</v>
      </c>
      <c r="G15" s="13">
        <f>_xll.BDH("AMGN US Equity","ARD_CHG_IN_ACCOUNTS_RECEIVABLE","FQ4 2019","FQ4 2019","Currency=USD","Period=FQ","BEST_FPERIOD_OVERRIDE=FQ","FILING_STATUS=MR","SCALING_FORMAT=MLN","Sort=A","Dates=H","DateFormat=P","Fill=—","Direction=H","UseDPDF=Y")</f>
        <v>-504</v>
      </c>
      <c r="H15" s="13">
        <f>_xll.BDH("AMGN US Equity","ARD_CHG_IN_ACCOUNTS_RECEIVABLE","FQ1 2020","FQ1 2020","Currency=USD","Period=FQ","BEST_FPERIOD_OVERRIDE=FQ","FILING_STATUS=MR","SCALING_FORMAT=MLN","Sort=A","Dates=H","DateFormat=P","Fill=—","Direction=H","UseDPDF=Y")</f>
        <v>-955</v>
      </c>
      <c r="I15" s="13">
        <f>_xll.BDH("AMGN US Equity","ARD_CHG_IN_ACCOUNTS_RECEIVABLE","FQ2 2020","FQ2 2020","Currency=USD","Period=FQ","BEST_FPERIOD_OVERRIDE=FQ","FILING_STATUS=MR","SCALING_FORMAT=MLN","Sort=A","Dates=H","DateFormat=P","Fill=—","Direction=H","UseDPDF=Y")</f>
        <v>-1177</v>
      </c>
      <c r="J15" s="13">
        <f>_xll.BDH("AMGN US Equity","ARD_CHG_IN_ACCOUNTS_RECEIVABLE","FQ3 2020","FQ3 2020","Currency=USD","Period=FQ","BEST_FPERIOD_OVERRIDE=FQ","FILING_STATUS=MR","SCALING_FORMAT=MLN","Sort=A","Dates=H","DateFormat=P","Fill=—","Direction=H","UseDPDF=Y")</f>
        <v>-31</v>
      </c>
      <c r="K15" s="13">
        <f>_xll.BDH("AMGN US Equity","ARD_CHG_IN_ACCOUNTS_RECEIVABLE","FQ4 2020","FQ4 2020","Currency=USD","Period=FQ","BEST_FPERIOD_OVERRIDE=FQ","FILING_STATUS=MR","SCALING_FORMAT=MLN","Sort=A","Dates=H","DateFormat=P","Fill=—","Direction=H","UseDPDF=Y")</f>
        <v>-427</v>
      </c>
      <c r="L15" s="13">
        <f>_xll.BDH("AMGN US Equity","ARD_CHG_IN_ACCOUNTS_RECEIVABLE","FQ1 2021","FQ1 2021","Currency=USD","Period=FQ","BEST_FPERIOD_OVERRIDE=FQ","FILING_STATUS=MR","SCALING_FORMAT=MLN","Sort=A","Dates=H","DateFormat=P","Fill=—","Direction=H","UseDPDF=Y")</f>
        <v>91</v>
      </c>
      <c r="M15" s="13">
        <f>_xll.BDH("AMGN US Equity","ARD_CHG_IN_ACCOUNTS_RECEIVABLE","FQ2 2021","FQ2 2021","Currency=USD","Period=FQ","BEST_FPERIOD_OVERRIDE=FQ","FILING_STATUS=MR","SCALING_FORMAT=MLN","Sort=A","Dates=H","DateFormat=P","Fill=—","Direction=H","UseDPDF=Y")</f>
        <v>35</v>
      </c>
      <c r="N15" s="13">
        <f>_xll.BDH("AMGN US Equity","ARD_CHG_IN_ACCOUNTS_RECEIVABLE","FQ3 2021","FQ3 2021","Currency=USD","Period=FQ","BEST_FPERIOD_OVERRIDE=FQ","FILING_STATUS=MR","SCALING_FORMAT=MLN","Sort=A","Dates=H","DateFormat=P","Fill=—","Direction=H","UseDPDF=Y")</f>
        <v>-269</v>
      </c>
      <c r="O15" s="13">
        <f>_xll.BDH("AMGN US Equity","ARD_CHG_IN_ACCOUNTS_RECEIVABLE","FQ4 2021","FQ4 2021","Currency=USD","Period=FQ","BEST_FPERIOD_OVERRIDE=FQ","FILING_STATUS=MR","SCALING_FORMAT=MLN","Sort=A","Dates=H","DateFormat=P","Fill=—","Direction=H","UseDPDF=Y")</f>
        <v>-429</v>
      </c>
      <c r="P15" s="13">
        <f>_xll.BDH("AMGN US Equity","ARD_CHG_IN_ACCOUNTS_RECEIVABLE","FQ1 2022","FQ1 2022","Currency=USD","Period=FQ","BEST_FPERIOD_OVERRIDE=FQ","FILING_STATUS=MR","SCALING_FORMAT=MLN","Sort=A","Dates=H","DateFormat=P","Fill=—","Direction=H","UseDPDF=Y")</f>
        <v>-195</v>
      </c>
      <c r="Q15" s="13">
        <f>_xll.BDH("AMGN US Equity","ARD_CHG_IN_ACCOUNTS_RECEIVABLE","FQ2 2022","FQ2 2022","Currency=USD","Period=FQ","BEST_FPERIOD_OVERRIDE=FQ","FILING_STATUS=MR","SCALING_FORMAT=MLN","Sort=A","Dates=H","DateFormat=P","Fill=—","Direction=H","UseDPDF=Y")</f>
        <v>-504</v>
      </c>
      <c r="R15" s="13">
        <f>_xll.BDH("AMGN US Equity","ARD_CHG_IN_ACCOUNTS_RECEIVABLE","FQ3 2022","FQ3 2022","Currency=USD","Period=FQ","BEST_FPERIOD_OVERRIDE=FQ","FILING_STATUS=MR","SCALING_FORMAT=MLN","Sort=A","Dates=H","DateFormat=P","Fill=—","Direction=H","UseDPDF=Y")</f>
        <v>-566</v>
      </c>
      <c r="S15" s="13">
        <f>_xll.BDH("AMGN US Equity","ARD_CHG_IN_ACCOUNTS_RECEIVABLE","FQ4 2022","FQ4 2022","Currency=USD","Period=FQ","BEST_FPERIOD_OVERRIDE=FQ","FILING_STATUS=MR","SCALING_FORMAT=MLN","Sort=A","Dates=H","DateFormat=P","Fill=—","Direction=H","UseDPDF=Y")</f>
        <v>-746</v>
      </c>
      <c r="T15" s="13">
        <f>_xll.BDH("AMGN US Equity","ARD_CHG_IN_ACCOUNTS_RECEIVABLE","FQ1 2023","FQ1 2023","Currency=USD","Period=FQ","BEST_FPERIOD_OVERRIDE=FQ","FILING_STATUS=MR","SCALING_FORMAT=MLN","Sort=A","Dates=H","DateFormat=P","Fill=—","Direction=H","UseDPDF=Y")</f>
        <v>-144</v>
      </c>
      <c r="U15" s="13">
        <f>_xll.BDH("AMGN US Equity","ARD_CHG_IN_ACCOUNTS_RECEIVABLE","FQ2 2023","FQ2 2023","Currency=USD","Period=FQ","BEST_FPERIOD_OVERRIDE=FQ","FILING_STATUS=MR","SCALING_FORMAT=MLN","Sort=A","Dates=H","DateFormat=P","Fill=—","Direction=H","UseDPDF=Y")</f>
        <v>-240</v>
      </c>
      <c r="V15" s="13">
        <f>_xll.BDH("AMGN US Equity","ARD_CHG_IN_ACCOUNTS_RECEIVABLE","FQ3 2023","FQ3 2023","Currency=USD","Period=FQ","BEST_FPERIOD_OVERRIDE=FQ","FILING_STATUS=MR","SCALING_FORMAT=MLN","Sort=A","Dates=H","DateFormat=P","Fill=—","Direction=H","UseDPDF=Y")</f>
        <v>-582</v>
      </c>
      <c r="W15" s="13">
        <f>_xll.BDH("AMGN US Equity","ARD_CHG_IN_ACCOUNTS_RECEIVABLE","FQ4 2023","FQ4 2023","Currency=USD","Period=FQ","BEST_FPERIOD_OVERRIDE=FQ","FILING_STATUS=MR","SCALING_FORMAT=MLN","Sort=A","Dates=H","DateFormat=P","Fill=—","Direction=H","UseDPDF=Y")</f>
        <v>-1015</v>
      </c>
      <c r="X15" s="13">
        <f>_xll.BDH("AMGN US Equity","ARD_CHG_IN_ACCOUNTS_RECEIVABLE","FQ1 2024","FQ1 2024","Currency=USD","Period=FQ","BEST_FPERIOD_OVERRIDE=FQ","FILING_STATUS=MR","SCALING_FORMAT=MLN","Sort=A","Dates=H","DateFormat=P","Fill=—","Direction=H","UseDPDF=Y")</f>
        <v>486</v>
      </c>
      <c r="Y15" s="13">
        <f>_xll.BDH("AMGN US Equity","ARD_CHG_IN_ACCOUNTS_RECEIVABLE","FQ2 2024","FQ2 2024","Currency=USD","Period=FQ","BEST_FPERIOD_OVERRIDE=FQ","FILING_STATUS=MR","SCALING_FORMAT=MLN","Sort=A","Dates=H","DateFormat=P","Fill=—","Direction=H","UseDPDF=Y")</f>
        <v>310</v>
      </c>
      <c r="Z15" s="13">
        <f>_xll.BDH("AMGN US Equity","ARD_CHG_IN_ACCOUNTS_RECEIVABLE","FQ3 2024","FQ3 2024","Currency=USD","Period=FQ","BEST_FPERIOD_OVERRIDE=FQ","FILING_STATUS=MR","SCALING_FORMAT=MLN","Sort=A","Dates=H","DateFormat=P","Fill=—","Direction=H","UseDPDF=Y")</f>
        <v>-32</v>
      </c>
      <c r="AA15" s="13">
        <f>_xll.BDH("AMGN US Equity","ARD_CHG_IN_ACCOUNTS_RECEIVABLE","FQ4 2024","FQ4 2024","Currency=USD","Period=FQ","BEST_FPERIOD_OVERRIDE=FQ","FILING_STATUS=MR","SCALING_FORMAT=MLN","Sort=A","Dates=H","DateFormat=P","Fill=—","Direction=H","UseDPDF=Y")</f>
        <v>441</v>
      </c>
    </row>
    <row r="16" spans="1:27" x14ac:dyDescent="0.25">
      <c r="A16" s="10" t="s">
        <v>1372</v>
      </c>
      <c r="B16" s="10" t="s">
        <v>1373</v>
      </c>
      <c r="C16" s="13" t="str">
        <f>_xll.BDH("AMGN US Equity","ARD_CHANGE_IN_ACCRUED_EXP","FQ4 2018","FQ4 2018","Currency=USD","Period=FQ","BEST_FPERIOD_OVERRIDE=FQ","FILING_STATUS=MR","SCALING_FORMAT=MLN","Sort=A","Dates=H","DateFormat=P","Fill=—","Direction=H","UseDPDF=Y")</f>
        <v>—</v>
      </c>
      <c r="D16" s="13" t="str">
        <f>_xll.BDH("AMGN US Equity","ARD_CHANGE_IN_ACCRUED_EXP","FQ1 2019","FQ1 2019","Currency=USD","Period=FQ","BEST_FPERIOD_OVERRIDE=FQ","FILING_STATUS=MR","SCALING_FORMAT=MLN","Sort=A","Dates=H","DateFormat=P","Fill=—","Direction=H","UseDPDF=Y")</f>
        <v>—</v>
      </c>
      <c r="E16" s="13" t="str">
        <f>_xll.BDH("AMGN US Equity","ARD_CHANGE_IN_ACCRUED_EXP","FQ2 2019","FQ2 2019","Currency=USD","Period=FQ","BEST_FPERIOD_OVERRIDE=FQ","FILING_STATUS=MR","SCALING_FORMAT=MLN","Sort=A","Dates=H","DateFormat=P","Fill=—","Direction=H","UseDPDF=Y")</f>
        <v>—</v>
      </c>
      <c r="F16" s="13" t="str">
        <f>_xll.BDH("AMGN US Equity","ARD_CHANGE_IN_ACCRUED_EXP","FQ3 2019","FQ3 2019","Currency=USD","Period=FQ","BEST_FPERIOD_OVERRIDE=FQ","FILING_STATUS=MR","SCALING_FORMAT=MLN","Sort=A","Dates=H","DateFormat=P","Fill=—","Direction=H","UseDPDF=Y")</f>
        <v>—</v>
      </c>
      <c r="G16" s="13" t="str">
        <f>_xll.BDH("AMGN US Equity","ARD_CHANGE_IN_ACCRUED_EXP","FQ4 2019","FQ4 2019","Currency=USD","Period=FQ","BEST_FPERIOD_OVERRIDE=FQ","FILING_STATUS=MR","SCALING_FORMAT=MLN","Sort=A","Dates=H","DateFormat=P","Fill=—","Direction=H","UseDPDF=Y")</f>
        <v>—</v>
      </c>
      <c r="H16" s="13" t="str">
        <f>_xll.BDH("AMGN US Equity","ARD_CHANGE_IN_ACCRUED_EXP","FQ1 2020","FQ1 2020","Currency=USD","Period=FQ","BEST_FPERIOD_OVERRIDE=FQ","FILING_STATUS=MR","SCALING_FORMAT=MLN","Sort=A","Dates=H","DateFormat=P","Fill=—","Direction=H","UseDPDF=Y")</f>
        <v>—</v>
      </c>
      <c r="I16" s="13" t="str">
        <f>_xll.BDH("AMGN US Equity","ARD_CHANGE_IN_ACCRUED_EXP","FQ2 2020","FQ2 2020","Currency=USD","Period=FQ","BEST_FPERIOD_OVERRIDE=FQ","FILING_STATUS=MR","SCALING_FORMAT=MLN","Sort=A","Dates=H","DateFormat=P","Fill=—","Direction=H","UseDPDF=Y")</f>
        <v>—</v>
      </c>
      <c r="J16" s="13" t="str">
        <f>_xll.BDH("AMGN US Equity","ARD_CHANGE_IN_ACCRUED_EXP","FQ3 2020","FQ3 2020","Currency=USD","Period=FQ","BEST_FPERIOD_OVERRIDE=FQ","FILING_STATUS=MR","SCALING_FORMAT=MLN","Sort=A","Dates=H","DateFormat=P","Fill=—","Direction=H","UseDPDF=Y")</f>
        <v>—</v>
      </c>
      <c r="K16" s="13" t="str">
        <f>_xll.BDH("AMGN US Equity","ARD_CHANGE_IN_ACCRUED_EXP","FQ4 2020","FQ4 2020","Currency=USD","Period=FQ","BEST_FPERIOD_OVERRIDE=FQ","FILING_STATUS=MR","SCALING_FORMAT=MLN","Sort=A","Dates=H","DateFormat=P","Fill=—","Direction=H","UseDPDF=Y")</f>
        <v>—</v>
      </c>
      <c r="L16" s="13" t="str">
        <f>_xll.BDH("AMGN US Equity","ARD_CHANGE_IN_ACCRUED_EXP","FQ1 2021","FQ1 2021","Currency=USD","Period=FQ","BEST_FPERIOD_OVERRIDE=FQ","FILING_STATUS=MR","SCALING_FORMAT=MLN","Sort=A","Dates=H","DateFormat=P","Fill=—","Direction=H","UseDPDF=Y")</f>
        <v>—</v>
      </c>
      <c r="M16" s="13" t="str">
        <f>_xll.BDH("AMGN US Equity","ARD_CHANGE_IN_ACCRUED_EXP","FQ2 2021","FQ2 2021","Currency=USD","Period=FQ","BEST_FPERIOD_OVERRIDE=FQ","FILING_STATUS=MR","SCALING_FORMAT=MLN","Sort=A","Dates=H","DateFormat=P","Fill=—","Direction=H","UseDPDF=Y")</f>
        <v>—</v>
      </c>
      <c r="N16" s="13" t="str">
        <f>_xll.BDH("AMGN US Equity","ARD_CHANGE_IN_ACCRUED_EXP","FQ3 2021","FQ3 2021","Currency=USD","Period=FQ","BEST_FPERIOD_OVERRIDE=FQ","FILING_STATUS=MR","SCALING_FORMAT=MLN","Sort=A","Dates=H","DateFormat=P","Fill=—","Direction=H","UseDPDF=Y")</f>
        <v>—</v>
      </c>
      <c r="O16" s="13" t="str">
        <f>_xll.BDH("AMGN US Equity","ARD_CHANGE_IN_ACCRUED_EXP","FQ4 2021","FQ4 2021","Currency=USD","Period=FQ","BEST_FPERIOD_OVERRIDE=FQ","FILING_STATUS=MR","SCALING_FORMAT=MLN","Sort=A","Dates=H","DateFormat=P","Fill=—","Direction=H","UseDPDF=Y")</f>
        <v>—</v>
      </c>
      <c r="P16" s="13" t="str">
        <f>_xll.BDH("AMGN US Equity","ARD_CHANGE_IN_ACCRUED_EXP","FQ1 2022","FQ1 2022","Currency=USD","Period=FQ","BEST_FPERIOD_OVERRIDE=FQ","FILING_STATUS=MR","SCALING_FORMAT=MLN","Sort=A","Dates=H","DateFormat=P","Fill=—","Direction=H","UseDPDF=Y")</f>
        <v>—</v>
      </c>
      <c r="Q16" s="13" t="str">
        <f>_xll.BDH("AMGN US Equity","ARD_CHANGE_IN_ACCRUED_EXP","FQ2 2022","FQ2 2022","Currency=USD","Period=FQ","BEST_FPERIOD_OVERRIDE=FQ","FILING_STATUS=MR","SCALING_FORMAT=MLN","Sort=A","Dates=H","DateFormat=P","Fill=—","Direction=H","UseDPDF=Y")</f>
        <v>—</v>
      </c>
      <c r="R16" s="13" t="str">
        <f>_xll.BDH("AMGN US Equity","ARD_CHANGE_IN_ACCRUED_EXP","FQ3 2022","FQ3 2022","Currency=USD","Period=FQ","BEST_FPERIOD_OVERRIDE=FQ","FILING_STATUS=MR","SCALING_FORMAT=MLN","Sort=A","Dates=H","DateFormat=P","Fill=—","Direction=H","UseDPDF=Y")</f>
        <v>—</v>
      </c>
      <c r="S16" s="13" t="str">
        <f>_xll.BDH("AMGN US Equity","ARD_CHANGE_IN_ACCRUED_EXP","FQ4 2022","FQ4 2022","Currency=USD","Period=FQ","BEST_FPERIOD_OVERRIDE=FQ","FILING_STATUS=MR","SCALING_FORMAT=MLN","Sort=A","Dates=H","DateFormat=P","Fill=—","Direction=H","UseDPDF=Y")</f>
        <v>—</v>
      </c>
      <c r="T16" s="13" t="str">
        <f>_xll.BDH("AMGN US Equity","ARD_CHANGE_IN_ACCRUED_EXP","FQ1 2023","FQ1 2023","Currency=USD","Period=FQ","BEST_FPERIOD_OVERRIDE=FQ","FILING_STATUS=MR","SCALING_FORMAT=MLN","Sort=A","Dates=H","DateFormat=P","Fill=—","Direction=H","UseDPDF=Y")</f>
        <v>—</v>
      </c>
      <c r="U16" s="13" t="str">
        <f>_xll.BDH("AMGN US Equity","ARD_CHANGE_IN_ACCRUED_EXP","FQ2 2023","FQ2 2023","Currency=USD","Period=FQ","BEST_FPERIOD_OVERRIDE=FQ","FILING_STATUS=MR","SCALING_FORMAT=MLN","Sort=A","Dates=H","DateFormat=P","Fill=—","Direction=H","UseDPDF=Y")</f>
        <v>—</v>
      </c>
      <c r="V16" s="13" t="str">
        <f>_xll.BDH("AMGN US Equity","ARD_CHANGE_IN_ACCRUED_EXP","FQ3 2023","FQ3 2023","Currency=USD","Period=FQ","BEST_FPERIOD_OVERRIDE=FQ","FILING_STATUS=MR","SCALING_FORMAT=MLN","Sort=A","Dates=H","DateFormat=P","Fill=—","Direction=H","UseDPDF=Y")</f>
        <v>—</v>
      </c>
      <c r="W16" s="13" t="str">
        <f>_xll.BDH("AMGN US Equity","ARD_CHANGE_IN_ACCRUED_EXP","FQ4 2023","FQ4 2023","Currency=USD","Period=FQ","BEST_FPERIOD_OVERRIDE=FQ","FILING_STATUS=MR","SCALING_FORMAT=MLN","Sort=A","Dates=H","DateFormat=P","Fill=—","Direction=H","UseDPDF=Y")</f>
        <v>—</v>
      </c>
      <c r="X16" s="13">
        <f>_xll.BDH("AMGN US Equity","ARD_CHANGE_IN_ACCRUED_EXP","FQ1 2024","FQ1 2024","Currency=USD","Period=FQ","BEST_FPERIOD_OVERRIDE=FQ","FILING_STATUS=MR","SCALING_FORMAT=MLN","Sort=A","Dates=H","DateFormat=P","Fill=—","Direction=H","UseDPDF=Y")</f>
        <v>-1054</v>
      </c>
      <c r="Y16" s="13">
        <f>_xll.BDH("AMGN US Equity","ARD_CHANGE_IN_ACCRUED_EXP","FQ2 2024","FQ2 2024","Currency=USD","Period=FQ","BEST_FPERIOD_OVERRIDE=FQ","FILING_STATUS=MR","SCALING_FORMAT=MLN","Sort=A","Dates=H","DateFormat=P","Fill=—","Direction=H","UseDPDF=Y")</f>
        <v>-361</v>
      </c>
      <c r="Z16" s="13">
        <f>_xll.BDH("AMGN US Equity","ARD_CHANGE_IN_ACCRUED_EXP","FQ3 2024","FQ3 2024","Currency=USD","Period=FQ","BEST_FPERIOD_OVERRIDE=FQ","FILING_STATUS=MR","SCALING_FORMAT=MLN","Sort=A","Dates=H","DateFormat=P","Fill=—","Direction=H","UseDPDF=Y")</f>
        <v>-636</v>
      </c>
      <c r="AA16" s="13">
        <f>_xll.BDH("AMGN US Equity","ARD_CHANGE_IN_ACCRUED_EXP","FQ4 2024","FQ4 2024","Currency=USD","Period=FQ","BEST_FPERIOD_OVERRIDE=FQ","FILING_STATUS=MR","SCALING_FORMAT=MLN","Sort=A","Dates=H","DateFormat=P","Fill=—","Direction=H","UseDPDF=Y")</f>
        <v>92</v>
      </c>
    </row>
    <row r="17" spans="1:27" x14ac:dyDescent="0.25">
      <c r="A17" s="10" t="s">
        <v>1374</v>
      </c>
      <c r="B17" s="10" t="s">
        <v>1375</v>
      </c>
      <c r="C17" s="13" t="str">
        <f>_xll.BDH("AMGN US Equity","ARD_CHG_IN_DEF_UNEARN_REVENUE_ST","FQ4 2018","FQ4 2018","Currency=USD","Period=FQ","BEST_FPERIOD_OVERRIDE=FQ","FILING_STATUS=MR","SCALING_FORMAT=MLN","Sort=A","Dates=H","DateFormat=P","Fill=—","Direction=H","UseDPDF=Y")</f>
        <v>—</v>
      </c>
      <c r="D17" s="13" t="str">
        <f>_xll.BDH("AMGN US Equity","ARD_CHG_IN_DEF_UNEARN_REVENUE_ST","FQ1 2019","FQ1 2019","Currency=USD","Period=FQ","BEST_FPERIOD_OVERRIDE=FQ","FILING_STATUS=MR","SCALING_FORMAT=MLN","Sort=A","Dates=H","DateFormat=P","Fill=—","Direction=H","UseDPDF=Y")</f>
        <v>—</v>
      </c>
      <c r="E17" s="13" t="str">
        <f>_xll.BDH("AMGN US Equity","ARD_CHG_IN_DEF_UNEARN_REVENUE_ST","FQ2 2019","FQ2 2019","Currency=USD","Period=FQ","BEST_FPERIOD_OVERRIDE=FQ","FILING_STATUS=MR","SCALING_FORMAT=MLN","Sort=A","Dates=H","DateFormat=P","Fill=—","Direction=H","UseDPDF=Y")</f>
        <v>—</v>
      </c>
      <c r="F17" s="13" t="str">
        <f>_xll.BDH("AMGN US Equity","ARD_CHG_IN_DEF_UNEARN_REVENUE_ST","FQ3 2019","FQ3 2019","Currency=USD","Period=FQ","BEST_FPERIOD_OVERRIDE=FQ","FILING_STATUS=MR","SCALING_FORMAT=MLN","Sort=A","Dates=H","DateFormat=P","Fill=—","Direction=H","UseDPDF=Y")</f>
        <v>—</v>
      </c>
      <c r="G17" s="13" t="str">
        <f>_xll.BDH("AMGN US Equity","ARD_CHG_IN_DEF_UNEARN_REVENUE_ST","FQ4 2019","FQ4 2019","Currency=USD","Period=FQ","BEST_FPERIOD_OVERRIDE=FQ","FILING_STATUS=MR","SCALING_FORMAT=MLN","Sort=A","Dates=H","DateFormat=P","Fill=—","Direction=H","UseDPDF=Y")</f>
        <v>—</v>
      </c>
      <c r="H17" s="13" t="str">
        <f>_xll.BDH("AMGN US Equity","ARD_CHG_IN_DEF_UNEARN_REVENUE_ST","FQ1 2020","FQ1 2020","Currency=USD","Period=FQ","BEST_FPERIOD_OVERRIDE=FQ","FILING_STATUS=MR","SCALING_FORMAT=MLN","Sort=A","Dates=H","DateFormat=P","Fill=—","Direction=H","UseDPDF=Y")</f>
        <v>—</v>
      </c>
      <c r="I17" s="13" t="str">
        <f>_xll.BDH("AMGN US Equity","ARD_CHG_IN_DEF_UNEARN_REVENUE_ST","FQ2 2020","FQ2 2020","Currency=USD","Period=FQ","BEST_FPERIOD_OVERRIDE=FQ","FILING_STATUS=MR","SCALING_FORMAT=MLN","Sort=A","Dates=H","DateFormat=P","Fill=—","Direction=H","UseDPDF=Y")</f>
        <v>—</v>
      </c>
      <c r="J17" s="13" t="str">
        <f>_xll.BDH("AMGN US Equity","ARD_CHG_IN_DEF_UNEARN_REVENUE_ST","FQ3 2020","FQ3 2020","Currency=USD","Period=FQ","BEST_FPERIOD_OVERRIDE=FQ","FILING_STATUS=MR","SCALING_FORMAT=MLN","Sort=A","Dates=H","DateFormat=P","Fill=—","Direction=H","UseDPDF=Y")</f>
        <v>—</v>
      </c>
      <c r="K17" s="13" t="str">
        <f>_xll.BDH("AMGN US Equity","ARD_CHG_IN_DEF_UNEARN_REVENUE_ST","FQ4 2020","FQ4 2020","Currency=USD","Period=FQ","BEST_FPERIOD_OVERRIDE=FQ","FILING_STATUS=MR","SCALING_FORMAT=MLN","Sort=A","Dates=H","DateFormat=P","Fill=—","Direction=H","UseDPDF=Y")</f>
        <v>—</v>
      </c>
      <c r="L17" s="13" t="str">
        <f>_xll.BDH("AMGN US Equity","ARD_CHG_IN_DEF_UNEARN_REVENUE_ST","FQ1 2021","FQ1 2021","Currency=USD","Period=FQ","BEST_FPERIOD_OVERRIDE=FQ","FILING_STATUS=MR","SCALING_FORMAT=MLN","Sort=A","Dates=H","DateFormat=P","Fill=—","Direction=H","UseDPDF=Y")</f>
        <v>—</v>
      </c>
      <c r="M17" s="13" t="str">
        <f>_xll.BDH("AMGN US Equity","ARD_CHG_IN_DEF_UNEARN_REVENUE_ST","FQ2 2021","FQ2 2021","Currency=USD","Period=FQ","BEST_FPERIOD_OVERRIDE=FQ","FILING_STATUS=MR","SCALING_FORMAT=MLN","Sort=A","Dates=H","DateFormat=P","Fill=—","Direction=H","UseDPDF=Y")</f>
        <v>—</v>
      </c>
      <c r="N17" s="13" t="str">
        <f>_xll.BDH("AMGN US Equity","ARD_CHG_IN_DEF_UNEARN_REVENUE_ST","FQ3 2021","FQ3 2021","Currency=USD","Period=FQ","BEST_FPERIOD_OVERRIDE=FQ","FILING_STATUS=MR","SCALING_FORMAT=MLN","Sort=A","Dates=H","DateFormat=P","Fill=—","Direction=H","UseDPDF=Y")</f>
        <v>—</v>
      </c>
      <c r="O17" s="13" t="str">
        <f>_xll.BDH("AMGN US Equity","ARD_CHG_IN_DEF_UNEARN_REVENUE_ST","FQ4 2021","FQ4 2021","Currency=USD","Period=FQ","BEST_FPERIOD_OVERRIDE=FQ","FILING_STATUS=MR","SCALING_FORMAT=MLN","Sort=A","Dates=H","DateFormat=P","Fill=—","Direction=H","UseDPDF=Y")</f>
        <v>—</v>
      </c>
      <c r="P17" s="13" t="str">
        <f>_xll.BDH("AMGN US Equity","ARD_CHG_IN_DEF_UNEARN_REVENUE_ST","FQ1 2022","FQ1 2022","Currency=USD","Period=FQ","BEST_FPERIOD_OVERRIDE=FQ","FILING_STATUS=MR","SCALING_FORMAT=MLN","Sort=A","Dates=H","DateFormat=P","Fill=—","Direction=H","UseDPDF=Y")</f>
        <v>—</v>
      </c>
      <c r="Q17" s="13" t="str">
        <f>_xll.BDH("AMGN US Equity","ARD_CHG_IN_DEF_UNEARN_REVENUE_ST","FQ2 2022","FQ2 2022","Currency=USD","Period=FQ","BEST_FPERIOD_OVERRIDE=FQ","FILING_STATUS=MR","SCALING_FORMAT=MLN","Sort=A","Dates=H","DateFormat=P","Fill=—","Direction=H","UseDPDF=Y")</f>
        <v>—</v>
      </c>
      <c r="R17" s="13" t="str">
        <f>_xll.BDH("AMGN US Equity","ARD_CHG_IN_DEF_UNEARN_REVENUE_ST","FQ3 2022","FQ3 2022","Currency=USD","Period=FQ","BEST_FPERIOD_OVERRIDE=FQ","FILING_STATUS=MR","SCALING_FORMAT=MLN","Sort=A","Dates=H","DateFormat=P","Fill=—","Direction=H","UseDPDF=Y")</f>
        <v>—</v>
      </c>
      <c r="S17" s="13" t="str">
        <f>_xll.BDH("AMGN US Equity","ARD_CHG_IN_DEF_UNEARN_REVENUE_ST","FQ4 2022","FQ4 2022","Currency=USD","Period=FQ","BEST_FPERIOD_OVERRIDE=FQ","FILING_STATUS=MR","SCALING_FORMAT=MLN","Sort=A","Dates=H","DateFormat=P","Fill=—","Direction=H","UseDPDF=Y")</f>
        <v>—</v>
      </c>
      <c r="T17" s="13" t="str">
        <f>_xll.BDH("AMGN US Equity","ARD_CHG_IN_DEF_UNEARN_REVENUE_ST","FQ1 2023","FQ1 2023","Currency=USD","Period=FQ","BEST_FPERIOD_OVERRIDE=FQ","FILING_STATUS=MR","SCALING_FORMAT=MLN","Sort=A","Dates=H","DateFormat=P","Fill=—","Direction=H","UseDPDF=Y")</f>
        <v>—</v>
      </c>
      <c r="U17" s="13" t="str">
        <f>_xll.BDH("AMGN US Equity","ARD_CHG_IN_DEF_UNEARN_REVENUE_ST","FQ2 2023","FQ2 2023","Currency=USD","Period=FQ","BEST_FPERIOD_OVERRIDE=FQ","FILING_STATUS=MR","SCALING_FORMAT=MLN","Sort=A","Dates=H","DateFormat=P","Fill=—","Direction=H","UseDPDF=Y")</f>
        <v>—</v>
      </c>
      <c r="V17" s="13" t="str">
        <f>_xll.BDH("AMGN US Equity","ARD_CHG_IN_DEF_UNEARN_REVENUE_ST","FQ3 2023","FQ3 2023","Currency=USD","Period=FQ","BEST_FPERIOD_OVERRIDE=FQ","FILING_STATUS=MR","SCALING_FORMAT=MLN","Sort=A","Dates=H","DateFormat=P","Fill=—","Direction=H","UseDPDF=Y")</f>
        <v>—</v>
      </c>
      <c r="W17" s="13" t="str">
        <f>_xll.BDH("AMGN US Equity","ARD_CHG_IN_DEF_UNEARN_REVENUE_ST","FQ4 2023","FQ4 2023","Currency=USD","Period=FQ","BEST_FPERIOD_OVERRIDE=FQ","FILING_STATUS=MR","SCALING_FORMAT=MLN","Sort=A","Dates=H","DateFormat=P","Fill=—","Direction=H","UseDPDF=Y")</f>
        <v>—</v>
      </c>
      <c r="X17" s="13">
        <f>_xll.BDH("AMGN US Equity","ARD_CHG_IN_DEF_UNEARN_REVENUE_ST","FQ1 2024","FQ1 2024","Currency=USD","Period=FQ","BEST_FPERIOD_OVERRIDE=FQ","FILING_STATUS=MR","SCALING_FORMAT=MLN","Sort=A","Dates=H","DateFormat=P","Fill=—","Direction=H","UseDPDF=Y")</f>
        <v>-316</v>
      </c>
      <c r="Y17" s="13">
        <f>_xll.BDH("AMGN US Equity","ARD_CHG_IN_DEF_UNEARN_REVENUE_ST","FQ2 2024","FQ2 2024","Currency=USD","Period=FQ","BEST_FPERIOD_OVERRIDE=FQ","FILING_STATUS=MR","SCALING_FORMAT=MLN","Sort=A","Dates=H","DateFormat=P","Fill=—","Direction=H","UseDPDF=Y")</f>
        <v>-393</v>
      </c>
      <c r="Z17" s="13">
        <f>_xll.BDH("AMGN US Equity","ARD_CHG_IN_DEF_UNEARN_REVENUE_ST","FQ3 2024","FQ3 2024","Currency=USD","Period=FQ","BEST_FPERIOD_OVERRIDE=FQ","FILING_STATUS=MR","SCALING_FORMAT=MLN","Sort=A","Dates=H","DateFormat=P","Fill=—","Direction=H","UseDPDF=Y")</f>
        <v>536</v>
      </c>
      <c r="AA17" s="13">
        <f>_xll.BDH("AMGN US Equity","ARD_CHG_IN_DEF_UNEARN_REVENUE_ST","FQ4 2024","FQ4 2024","Currency=USD","Period=FQ","BEST_FPERIOD_OVERRIDE=FQ","FILING_STATUS=MR","SCALING_FORMAT=MLN","Sort=A","Dates=H","DateFormat=P","Fill=—","Direction=H","UseDPDF=Y")</f>
        <v>1194</v>
      </c>
    </row>
    <row r="18" spans="1:27" x14ac:dyDescent="0.25">
      <c r="A18" s="10" t="s">
        <v>1376</v>
      </c>
      <c r="B18" s="10" t="s">
        <v>1377</v>
      </c>
      <c r="C18" s="13">
        <f>_xll.BDH("AMGN US Equity","ARD_CHG_IN_INC_TAX_PAYABLE_REC","FQ4 2018","FQ4 2018","Currency=USD","Period=FQ","BEST_FPERIOD_OVERRIDE=FQ","FILING_STATUS=MR","SCALING_FORMAT=MLN","Sort=A","Dates=H","DateFormat=P","Fill=—","Direction=H","UseDPDF=Y")</f>
        <v>-361</v>
      </c>
      <c r="D18" s="13">
        <f>_xll.BDH("AMGN US Equity","ARD_CHG_IN_INC_TAX_PAYABLE_REC","FQ1 2019","FQ1 2019","Currency=USD","Period=FQ","BEST_FPERIOD_OVERRIDE=FQ","FILING_STATUS=MR","SCALING_FORMAT=MLN","Sort=A","Dates=H","DateFormat=P","Fill=—","Direction=H","UseDPDF=Y")</f>
        <v>277</v>
      </c>
      <c r="E18" s="13">
        <f>_xll.BDH("AMGN US Equity","ARD_CHG_IN_INC_TAX_PAYABLE_REC","FQ2 2019","FQ2 2019","Currency=USD","Period=FQ","BEST_FPERIOD_OVERRIDE=FQ","FILING_STATUS=MR","SCALING_FORMAT=MLN","Sort=A","Dates=H","DateFormat=P","Fill=—","Direction=H","UseDPDF=Y")</f>
        <v>-257</v>
      </c>
      <c r="F18" s="13">
        <f>_xll.BDH("AMGN US Equity","ARD_CHG_IN_INC_TAX_PAYABLE_REC","FQ3 2019","FQ3 2019","Currency=USD","Period=FQ","BEST_FPERIOD_OVERRIDE=FQ","FILING_STATUS=MR","SCALING_FORMAT=MLN","Sort=A","Dates=H","DateFormat=P","Fill=—","Direction=H","UseDPDF=Y")</f>
        <v>-128</v>
      </c>
      <c r="G18" s="13">
        <f>_xll.BDH("AMGN US Equity","ARD_CHG_IN_INC_TAX_PAYABLE_REC","FQ4 2019","FQ4 2019","Currency=USD","Period=FQ","BEST_FPERIOD_OVERRIDE=FQ","FILING_STATUS=MR","SCALING_FORMAT=MLN","Sort=A","Dates=H","DateFormat=P","Fill=—","Direction=H","UseDPDF=Y")</f>
        <v>-585</v>
      </c>
      <c r="H18" s="13">
        <f>_xll.BDH("AMGN US Equity","ARD_CHG_IN_INC_TAX_PAYABLE_REC","FQ1 2020","FQ1 2020","Currency=USD","Period=FQ","BEST_FPERIOD_OVERRIDE=FQ","FILING_STATUS=MR","SCALING_FORMAT=MLN","Sort=A","Dates=H","DateFormat=P","Fill=—","Direction=H","UseDPDF=Y")</f>
        <v>137</v>
      </c>
      <c r="I18" s="13">
        <f>_xll.BDH("AMGN US Equity","ARD_CHG_IN_INC_TAX_PAYABLE_REC","FQ2 2020","FQ2 2020","Currency=USD","Period=FQ","BEST_FPERIOD_OVERRIDE=FQ","FILING_STATUS=MR","SCALING_FORMAT=MLN","Sort=A","Dates=H","DateFormat=P","Fill=—","Direction=H","UseDPDF=Y")</f>
        <v>452</v>
      </c>
      <c r="J18" s="13">
        <f>_xll.BDH("AMGN US Equity","ARD_CHG_IN_INC_TAX_PAYABLE_REC","FQ3 2020","FQ3 2020","Currency=USD","Period=FQ","BEST_FPERIOD_OVERRIDE=FQ","FILING_STATUS=MR","SCALING_FORMAT=MLN","Sort=A","Dates=H","DateFormat=P","Fill=—","Direction=H","UseDPDF=Y")</f>
        <v>-301</v>
      </c>
      <c r="K18" s="13">
        <f>_xll.BDH("AMGN US Equity","ARD_CHG_IN_INC_TAX_PAYABLE_REC","FQ4 2020","FQ4 2020","Currency=USD","Period=FQ","BEST_FPERIOD_OVERRIDE=FQ","FILING_STATUS=MR","SCALING_FORMAT=MLN","Sort=A","Dates=H","DateFormat=P","Fill=—","Direction=H","UseDPDF=Y")</f>
        <v>-249</v>
      </c>
      <c r="L18" s="13">
        <f>_xll.BDH("AMGN US Equity","ARD_CHG_IN_INC_TAX_PAYABLE_REC","FQ1 2021","FQ1 2021","Currency=USD","Period=FQ","BEST_FPERIOD_OVERRIDE=FQ","FILING_STATUS=MR","SCALING_FORMAT=MLN","Sort=A","Dates=H","DateFormat=P","Fill=—","Direction=H","UseDPDF=Y")</f>
        <v>52</v>
      </c>
      <c r="M18" s="13">
        <f>_xll.BDH("AMGN US Equity","ARD_CHG_IN_INC_TAX_PAYABLE_REC","FQ2 2021","FQ2 2021","Currency=USD","Period=FQ","BEST_FPERIOD_OVERRIDE=FQ","FILING_STATUS=MR","SCALING_FORMAT=MLN","Sort=A","Dates=H","DateFormat=P","Fill=—","Direction=H","UseDPDF=Y")</f>
        <v>-930</v>
      </c>
      <c r="N18" s="13">
        <f>_xll.BDH("AMGN US Equity","ARD_CHG_IN_INC_TAX_PAYABLE_REC","FQ3 2021","FQ3 2021","Currency=USD","Period=FQ","BEST_FPERIOD_OVERRIDE=FQ","FILING_STATUS=MR","SCALING_FORMAT=MLN","Sort=A","Dates=H","DateFormat=P","Fill=—","Direction=H","UseDPDF=Y")</f>
        <v>-719</v>
      </c>
      <c r="O18" s="13">
        <f>_xll.BDH("AMGN US Equity","ARD_CHG_IN_INC_TAX_PAYABLE_REC","FQ4 2021","FQ4 2021","Currency=USD","Period=FQ","BEST_FPERIOD_OVERRIDE=FQ","FILING_STATUS=MR","SCALING_FORMAT=MLN","Sort=A","Dates=H","DateFormat=P","Fill=—","Direction=H","UseDPDF=Y")</f>
        <v>-854</v>
      </c>
      <c r="P18" s="13">
        <f>_xll.BDH("AMGN US Equity","ARD_CHG_IN_INC_TAX_PAYABLE_REC","FQ1 2022","FQ1 2022","Currency=USD","Period=FQ","BEST_FPERIOD_OVERRIDE=FQ","FILING_STATUS=MR","SCALING_FORMAT=MLN","Sort=A","Dates=H","DateFormat=P","Fill=—","Direction=H","UseDPDF=Y")</f>
        <v>318</v>
      </c>
      <c r="Q18" s="13">
        <f>_xll.BDH("AMGN US Equity","ARD_CHG_IN_INC_TAX_PAYABLE_REC","FQ2 2022","FQ2 2022","Currency=USD","Period=FQ","BEST_FPERIOD_OVERRIDE=FQ","FILING_STATUS=MR","SCALING_FORMAT=MLN","Sort=A","Dates=H","DateFormat=P","Fill=—","Direction=H","UseDPDF=Y")</f>
        <v>-685</v>
      </c>
      <c r="R18" s="13">
        <f>_xll.BDH("AMGN US Equity","ARD_CHG_IN_INC_TAX_PAYABLE_REC","FQ3 2022","FQ3 2022","Currency=USD","Period=FQ","BEST_FPERIOD_OVERRIDE=FQ","FILING_STATUS=MR","SCALING_FORMAT=MLN","Sort=A","Dates=H","DateFormat=P","Fill=—","Direction=H","UseDPDF=Y")</f>
        <v>-492</v>
      </c>
      <c r="S18" s="13">
        <f>_xll.BDH("AMGN US Equity","ARD_CHG_IN_INC_TAX_PAYABLE_REC","FQ4 2022","FQ4 2022","Currency=USD","Period=FQ","BEST_FPERIOD_OVERRIDE=FQ","FILING_STATUS=MR","SCALING_FORMAT=MLN","Sort=A","Dates=H","DateFormat=P","Fill=—","Direction=H","UseDPDF=Y")</f>
        <v>-647</v>
      </c>
      <c r="T18" s="13">
        <f>_xll.BDH("AMGN US Equity","ARD_CHG_IN_INC_TAX_PAYABLE_REC","FQ1 2023","FQ1 2023","Currency=USD","Period=FQ","BEST_FPERIOD_OVERRIDE=FQ","FILING_STATUS=MR","SCALING_FORMAT=MLN","Sort=A","Dates=H","DateFormat=P","Fill=—","Direction=H","UseDPDF=Y")</f>
        <v>443</v>
      </c>
      <c r="U18" s="13">
        <f>_xll.BDH("AMGN US Equity","ARD_CHG_IN_INC_TAX_PAYABLE_REC","FQ2 2023","FQ2 2023","Currency=USD","Period=FQ","BEST_FPERIOD_OVERRIDE=FQ","FILING_STATUS=MR","SCALING_FORMAT=MLN","Sort=A","Dates=H","DateFormat=P","Fill=—","Direction=H","UseDPDF=Y")</f>
        <v>471</v>
      </c>
      <c r="V18" s="13">
        <f>_xll.BDH("AMGN US Equity","ARD_CHG_IN_INC_TAX_PAYABLE_REC","FQ3 2023","FQ3 2023","Currency=USD","Period=FQ","BEST_FPERIOD_OVERRIDE=FQ","FILING_STATUS=MR","SCALING_FORMAT=MLN","Sort=A","Dates=H","DateFormat=P","Fill=—","Direction=H","UseDPDF=Y")</f>
        <v>998</v>
      </c>
      <c r="W18" s="13">
        <f>_xll.BDH("AMGN US Equity","ARD_CHG_IN_INC_TAX_PAYABLE_REC","FQ4 2023","FQ4 2023","Currency=USD","Period=FQ","BEST_FPERIOD_OVERRIDE=FQ","FILING_STATUS=MR","SCALING_FORMAT=MLN","Sort=A","Dates=H","DateFormat=P","Fill=—","Direction=H","UseDPDF=Y")</f>
        <v>-1031</v>
      </c>
      <c r="X18" s="13">
        <f>_xll.BDH("AMGN US Equity","ARD_CHG_IN_INC_TAX_PAYABLE_REC","FQ1 2024","FQ1 2024","Currency=USD","Period=FQ","BEST_FPERIOD_OVERRIDE=FQ","FILING_STATUS=MR","SCALING_FORMAT=MLN","Sort=A","Dates=H","DateFormat=P","Fill=—","Direction=H","UseDPDF=Y")</f>
        <v>223</v>
      </c>
      <c r="Y18" s="13">
        <f>_xll.BDH("AMGN US Equity","ARD_CHG_IN_INC_TAX_PAYABLE_REC","FQ2 2024","FQ2 2024","Currency=USD","Period=FQ","BEST_FPERIOD_OVERRIDE=FQ","FILING_STATUS=MR","SCALING_FORMAT=MLN","Sort=A","Dates=H","DateFormat=P","Fill=—","Direction=H","UseDPDF=Y")</f>
        <v>-1311</v>
      </c>
      <c r="Z18" s="13">
        <f>_xll.BDH("AMGN US Equity","ARD_CHG_IN_INC_TAX_PAYABLE_REC","FQ3 2024","FQ3 2024","Currency=USD","Period=FQ","BEST_FPERIOD_OVERRIDE=FQ","FILING_STATUS=MR","SCALING_FORMAT=MLN","Sort=A","Dates=H","DateFormat=P","Fill=—","Direction=H","UseDPDF=Y")</f>
        <v>-1064</v>
      </c>
      <c r="AA18" s="13">
        <f>_xll.BDH("AMGN US Equity","ARD_CHG_IN_INC_TAX_PAYABLE_REC","FQ4 2024","FQ4 2024","Currency=USD","Period=FQ","BEST_FPERIOD_OVERRIDE=FQ","FILING_STATUS=MR","SCALING_FORMAT=MLN","Sort=A","Dates=H","DateFormat=P","Fill=—","Direction=H","UseDPDF=Y")</f>
        <v>-1011</v>
      </c>
    </row>
    <row r="19" spans="1:27" x14ac:dyDescent="0.25">
      <c r="A19" s="10" t="s">
        <v>1378</v>
      </c>
      <c r="B19" s="10" t="s">
        <v>1379</v>
      </c>
      <c r="C19" s="13" t="str">
        <f>_xll.BDH("AMGN US Equity","ARD_CHANGE_IN_OTHER_CUR_ASSETS","FQ4 2018","FQ4 2018","Currency=USD","Period=FQ","BEST_FPERIOD_OVERRIDE=FQ","FILING_STATUS=MR","SCALING_FORMAT=MLN","Sort=A","Dates=H","DateFormat=P","Fill=—","Direction=H","UseDPDF=Y")</f>
        <v>—</v>
      </c>
      <c r="D19" s="13" t="str">
        <f>_xll.BDH("AMGN US Equity","ARD_CHANGE_IN_OTHER_CUR_ASSETS","FQ1 2019","FQ1 2019","Currency=USD","Period=FQ","BEST_FPERIOD_OVERRIDE=FQ","FILING_STATUS=MR","SCALING_FORMAT=MLN","Sort=A","Dates=H","DateFormat=P","Fill=—","Direction=H","UseDPDF=Y")</f>
        <v>—</v>
      </c>
      <c r="E19" s="13" t="str">
        <f>_xll.BDH("AMGN US Equity","ARD_CHANGE_IN_OTHER_CUR_ASSETS","FQ2 2019","FQ2 2019","Currency=USD","Period=FQ","BEST_FPERIOD_OVERRIDE=FQ","FILING_STATUS=MR","SCALING_FORMAT=MLN","Sort=A","Dates=H","DateFormat=P","Fill=—","Direction=H","UseDPDF=Y")</f>
        <v>—</v>
      </c>
      <c r="F19" s="13" t="str">
        <f>_xll.BDH("AMGN US Equity","ARD_CHANGE_IN_OTHER_CUR_ASSETS","FQ3 2019","FQ3 2019","Currency=USD","Period=FQ","BEST_FPERIOD_OVERRIDE=FQ","FILING_STATUS=MR","SCALING_FORMAT=MLN","Sort=A","Dates=H","DateFormat=P","Fill=—","Direction=H","UseDPDF=Y")</f>
        <v>—</v>
      </c>
      <c r="G19" s="13" t="str">
        <f>_xll.BDH("AMGN US Equity","ARD_CHANGE_IN_OTHER_CUR_ASSETS","FQ4 2019","FQ4 2019","Currency=USD","Period=FQ","BEST_FPERIOD_OVERRIDE=FQ","FILING_STATUS=MR","SCALING_FORMAT=MLN","Sort=A","Dates=H","DateFormat=P","Fill=—","Direction=H","UseDPDF=Y")</f>
        <v>—</v>
      </c>
      <c r="H19" s="13" t="str">
        <f>_xll.BDH("AMGN US Equity","ARD_CHANGE_IN_OTHER_CUR_ASSETS","FQ1 2020","FQ1 2020","Currency=USD","Period=FQ","BEST_FPERIOD_OVERRIDE=FQ","FILING_STATUS=MR","SCALING_FORMAT=MLN","Sort=A","Dates=H","DateFormat=P","Fill=—","Direction=H","UseDPDF=Y")</f>
        <v>—</v>
      </c>
      <c r="I19" s="13" t="str">
        <f>_xll.BDH("AMGN US Equity","ARD_CHANGE_IN_OTHER_CUR_ASSETS","FQ2 2020","FQ2 2020","Currency=USD","Period=FQ","BEST_FPERIOD_OVERRIDE=FQ","FILING_STATUS=MR","SCALING_FORMAT=MLN","Sort=A","Dates=H","DateFormat=P","Fill=—","Direction=H","UseDPDF=Y")</f>
        <v>—</v>
      </c>
      <c r="J19" s="13" t="str">
        <f>_xll.BDH("AMGN US Equity","ARD_CHANGE_IN_OTHER_CUR_ASSETS","FQ3 2020","FQ3 2020","Currency=USD","Period=FQ","BEST_FPERIOD_OVERRIDE=FQ","FILING_STATUS=MR","SCALING_FORMAT=MLN","Sort=A","Dates=H","DateFormat=P","Fill=—","Direction=H","UseDPDF=Y")</f>
        <v>—</v>
      </c>
      <c r="K19" s="13" t="str">
        <f>_xll.BDH("AMGN US Equity","ARD_CHANGE_IN_OTHER_CUR_ASSETS","FQ4 2020","FQ4 2020","Currency=USD","Period=FQ","BEST_FPERIOD_OVERRIDE=FQ","FILING_STATUS=MR","SCALING_FORMAT=MLN","Sort=A","Dates=H","DateFormat=P","Fill=—","Direction=H","UseDPDF=Y")</f>
        <v>—</v>
      </c>
      <c r="L19" s="13" t="str">
        <f>_xll.BDH("AMGN US Equity","ARD_CHANGE_IN_OTHER_CUR_ASSETS","FQ1 2021","FQ1 2021","Currency=USD","Period=FQ","BEST_FPERIOD_OVERRIDE=FQ","FILING_STATUS=MR","SCALING_FORMAT=MLN","Sort=A","Dates=H","DateFormat=P","Fill=—","Direction=H","UseDPDF=Y")</f>
        <v>—</v>
      </c>
      <c r="M19" s="13" t="str">
        <f>_xll.BDH("AMGN US Equity","ARD_CHANGE_IN_OTHER_CUR_ASSETS","FQ2 2021","FQ2 2021","Currency=USD","Period=FQ","BEST_FPERIOD_OVERRIDE=FQ","FILING_STATUS=MR","SCALING_FORMAT=MLN","Sort=A","Dates=H","DateFormat=P","Fill=—","Direction=H","UseDPDF=Y")</f>
        <v>—</v>
      </c>
      <c r="N19" s="13" t="str">
        <f>_xll.BDH("AMGN US Equity","ARD_CHANGE_IN_OTHER_CUR_ASSETS","FQ3 2021","FQ3 2021","Currency=USD","Period=FQ","BEST_FPERIOD_OVERRIDE=FQ","FILING_STATUS=MR","SCALING_FORMAT=MLN","Sort=A","Dates=H","DateFormat=P","Fill=—","Direction=H","UseDPDF=Y")</f>
        <v>—</v>
      </c>
      <c r="O19" s="13" t="str">
        <f>_xll.BDH("AMGN US Equity","ARD_CHANGE_IN_OTHER_CUR_ASSETS","FQ4 2021","FQ4 2021","Currency=USD","Period=FQ","BEST_FPERIOD_OVERRIDE=FQ","FILING_STATUS=MR","SCALING_FORMAT=MLN","Sort=A","Dates=H","DateFormat=P","Fill=—","Direction=H","UseDPDF=Y")</f>
        <v>—</v>
      </c>
      <c r="P19" s="13" t="str">
        <f>_xll.BDH("AMGN US Equity","ARD_CHANGE_IN_OTHER_CUR_ASSETS","FQ1 2022","FQ1 2022","Currency=USD","Period=FQ","BEST_FPERIOD_OVERRIDE=FQ","FILING_STATUS=MR","SCALING_FORMAT=MLN","Sort=A","Dates=H","DateFormat=P","Fill=—","Direction=H","UseDPDF=Y")</f>
        <v>—</v>
      </c>
      <c r="Q19" s="13" t="str">
        <f>_xll.BDH("AMGN US Equity","ARD_CHANGE_IN_OTHER_CUR_ASSETS","FQ2 2022","FQ2 2022","Currency=USD","Period=FQ","BEST_FPERIOD_OVERRIDE=FQ","FILING_STATUS=MR","SCALING_FORMAT=MLN","Sort=A","Dates=H","DateFormat=P","Fill=—","Direction=H","UseDPDF=Y")</f>
        <v>—</v>
      </c>
      <c r="R19" s="13" t="str">
        <f>_xll.BDH("AMGN US Equity","ARD_CHANGE_IN_OTHER_CUR_ASSETS","FQ3 2022","FQ3 2022","Currency=USD","Period=FQ","BEST_FPERIOD_OVERRIDE=FQ","FILING_STATUS=MR","SCALING_FORMAT=MLN","Sort=A","Dates=H","DateFormat=P","Fill=—","Direction=H","UseDPDF=Y")</f>
        <v>—</v>
      </c>
      <c r="S19" s="13" t="str">
        <f>_xll.BDH("AMGN US Equity","ARD_CHANGE_IN_OTHER_CUR_ASSETS","FQ4 2022","FQ4 2022","Currency=USD","Period=FQ","BEST_FPERIOD_OVERRIDE=FQ","FILING_STATUS=MR","SCALING_FORMAT=MLN","Sort=A","Dates=H","DateFormat=P","Fill=—","Direction=H","UseDPDF=Y")</f>
        <v>—</v>
      </c>
      <c r="T19" s="13" t="str">
        <f>_xll.BDH("AMGN US Equity","ARD_CHANGE_IN_OTHER_CUR_ASSETS","FQ1 2023","FQ1 2023","Currency=USD","Period=FQ","BEST_FPERIOD_OVERRIDE=FQ","FILING_STATUS=MR","SCALING_FORMAT=MLN","Sort=A","Dates=H","DateFormat=P","Fill=—","Direction=H","UseDPDF=Y")</f>
        <v>—</v>
      </c>
      <c r="U19" s="13" t="str">
        <f>_xll.BDH("AMGN US Equity","ARD_CHANGE_IN_OTHER_CUR_ASSETS","FQ2 2023","FQ2 2023","Currency=USD","Period=FQ","BEST_FPERIOD_OVERRIDE=FQ","FILING_STATUS=MR","SCALING_FORMAT=MLN","Sort=A","Dates=H","DateFormat=P","Fill=—","Direction=H","UseDPDF=Y")</f>
        <v>—</v>
      </c>
      <c r="V19" s="13">
        <f>_xll.BDH("AMGN US Equity","ARD_CHANGE_IN_OTHER_CUR_ASSETS","FQ3 2023","FQ3 2023","Currency=USD","Period=FQ","BEST_FPERIOD_OVERRIDE=FQ","FILING_STATUS=MR","SCALING_FORMAT=MLN","Sort=A","Dates=H","DateFormat=P","Fill=—","Direction=H","UseDPDF=Y")</f>
        <v>-332</v>
      </c>
      <c r="W19" s="13" t="str">
        <f>_xll.BDH("AMGN US Equity","ARD_CHANGE_IN_OTHER_CUR_ASSETS","FQ4 2023","FQ4 2023","Currency=USD","Period=FQ","BEST_FPERIOD_OVERRIDE=FQ","FILING_STATUS=MR","SCALING_FORMAT=MLN","Sort=A","Dates=H","DateFormat=P","Fill=—","Direction=H","UseDPDF=Y")</f>
        <v>—</v>
      </c>
      <c r="X19" s="13" t="str">
        <f>_xll.BDH("AMGN US Equity","ARD_CHANGE_IN_OTHER_CUR_ASSETS","FQ1 2024","FQ1 2024","Currency=USD","Period=FQ","BEST_FPERIOD_OVERRIDE=FQ","FILING_STATUS=MR","SCALING_FORMAT=MLN","Sort=A","Dates=H","DateFormat=P","Fill=—","Direction=H","UseDPDF=Y")</f>
        <v>—</v>
      </c>
      <c r="Y19" s="13" t="str">
        <f>_xll.BDH("AMGN US Equity","ARD_CHANGE_IN_OTHER_CUR_ASSETS","FQ2 2024","FQ2 2024","Currency=USD","Period=FQ","BEST_FPERIOD_OVERRIDE=FQ","FILING_STATUS=MR","SCALING_FORMAT=MLN","Sort=A","Dates=H","DateFormat=P","Fill=—","Direction=H","UseDPDF=Y")</f>
        <v>—</v>
      </c>
      <c r="Z19" s="13" t="str">
        <f>_xll.BDH("AMGN US Equity","ARD_CHANGE_IN_OTHER_CUR_ASSETS","FQ3 2024","FQ3 2024","Currency=USD","Period=FQ","BEST_FPERIOD_OVERRIDE=FQ","FILING_STATUS=MR","SCALING_FORMAT=MLN","Sort=A","Dates=H","DateFormat=P","Fill=—","Direction=H","UseDPDF=Y")</f>
        <v>—</v>
      </c>
      <c r="AA19" s="13" t="str">
        <f>_xll.BDH("AMGN US Equity","ARD_CHANGE_IN_OTHER_CUR_ASSETS","FQ4 2024","FQ4 2024","Currency=USD","Period=FQ","BEST_FPERIOD_OVERRIDE=FQ","FILING_STATUS=MR","SCALING_FORMAT=MLN","Sort=A","Dates=H","DateFormat=P","Fill=—","Direction=H","UseDPDF=Y")</f>
        <v>—</v>
      </c>
    </row>
    <row r="20" spans="1:27" x14ac:dyDescent="0.25">
      <c r="A20" s="10" t="s">
        <v>1380</v>
      </c>
      <c r="B20" s="10" t="s">
        <v>1381</v>
      </c>
      <c r="C20" s="13" t="str">
        <f>_xll.BDH("AMGN US Equity","ARD_EQY_IN_EARN_OF_AFF_JV_CF","FQ4 2018","FQ4 2018","Currency=USD","Period=FQ","BEST_FPERIOD_OVERRIDE=FQ","FILING_STATUS=MR","SCALING_FORMAT=MLN","Sort=A","Dates=H","DateFormat=P","Fill=—","Direction=H","UseDPDF=Y")</f>
        <v>—</v>
      </c>
      <c r="D20" s="13" t="str">
        <f>_xll.BDH("AMGN US Equity","ARD_EQY_IN_EARN_OF_AFF_JV_CF","FQ1 2019","FQ1 2019","Currency=USD","Period=FQ","BEST_FPERIOD_OVERRIDE=FQ","FILING_STATUS=MR","SCALING_FORMAT=MLN","Sort=A","Dates=H","DateFormat=P","Fill=—","Direction=H","UseDPDF=Y")</f>
        <v>—</v>
      </c>
      <c r="E20" s="13" t="str">
        <f>_xll.BDH("AMGN US Equity","ARD_EQY_IN_EARN_OF_AFF_JV_CF","FQ2 2019","FQ2 2019","Currency=USD","Period=FQ","BEST_FPERIOD_OVERRIDE=FQ","FILING_STATUS=MR","SCALING_FORMAT=MLN","Sort=A","Dates=H","DateFormat=P","Fill=—","Direction=H","UseDPDF=Y")</f>
        <v>—</v>
      </c>
      <c r="F20" s="13" t="str">
        <f>_xll.BDH("AMGN US Equity","ARD_EQY_IN_EARN_OF_AFF_JV_CF","FQ3 2019","FQ3 2019","Currency=USD","Period=FQ","BEST_FPERIOD_OVERRIDE=FQ","FILING_STATUS=MR","SCALING_FORMAT=MLN","Sort=A","Dates=H","DateFormat=P","Fill=—","Direction=H","UseDPDF=Y")</f>
        <v>—</v>
      </c>
      <c r="G20" s="13" t="str">
        <f>_xll.BDH("AMGN US Equity","ARD_EQY_IN_EARN_OF_AFF_JV_CF","FQ4 2019","FQ4 2019","Currency=USD","Period=FQ","BEST_FPERIOD_OVERRIDE=FQ","FILING_STATUS=MR","SCALING_FORMAT=MLN","Sort=A","Dates=H","DateFormat=P","Fill=—","Direction=H","UseDPDF=Y")</f>
        <v>—</v>
      </c>
      <c r="H20" s="13" t="str">
        <f>_xll.BDH("AMGN US Equity","ARD_EQY_IN_EARN_OF_AFF_JV_CF","FQ1 2020","FQ1 2020","Currency=USD","Period=FQ","BEST_FPERIOD_OVERRIDE=FQ","FILING_STATUS=MR","SCALING_FORMAT=MLN","Sort=A","Dates=H","DateFormat=P","Fill=—","Direction=H","UseDPDF=Y")</f>
        <v>—</v>
      </c>
      <c r="I20" s="13" t="str">
        <f>_xll.BDH("AMGN US Equity","ARD_EQY_IN_EARN_OF_AFF_JV_CF","FQ2 2020","FQ2 2020","Currency=USD","Period=FQ","BEST_FPERIOD_OVERRIDE=FQ","FILING_STATUS=MR","SCALING_FORMAT=MLN","Sort=A","Dates=H","DateFormat=P","Fill=—","Direction=H","UseDPDF=Y")</f>
        <v>—</v>
      </c>
      <c r="J20" s="13" t="str">
        <f>_xll.BDH("AMGN US Equity","ARD_EQY_IN_EARN_OF_AFF_JV_CF","FQ3 2020","FQ3 2020","Currency=USD","Period=FQ","BEST_FPERIOD_OVERRIDE=FQ","FILING_STATUS=MR","SCALING_FORMAT=MLN","Sort=A","Dates=H","DateFormat=P","Fill=—","Direction=H","UseDPDF=Y")</f>
        <v>—</v>
      </c>
      <c r="K20" s="13" t="str">
        <f>_xll.BDH("AMGN US Equity","ARD_EQY_IN_EARN_OF_AFF_JV_CF","FQ4 2020","FQ4 2020","Currency=USD","Period=FQ","BEST_FPERIOD_OVERRIDE=FQ","FILING_STATUS=MR","SCALING_FORMAT=MLN","Sort=A","Dates=H","DateFormat=P","Fill=—","Direction=H","UseDPDF=Y")</f>
        <v>—</v>
      </c>
      <c r="L20" s="13">
        <f>_xll.BDH("AMGN US Equity","ARD_EQY_IN_EARN_OF_AFF_JV_CF","FQ1 2021","FQ1 2021","Currency=USD","Period=FQ","BEST_FPERIOD_OVERRIDE=FQ","FILING_STATUS=MR","SCALING_FORMAT=MLN","Sort=A","Dates=H","DateFormat=P","Fill=—","Direction=H","UseDPDF=Y")</f>
        <v>-85</v>
      </c>
      <c r="M20" s="13">
        <f>_xll.BDH("AMGN US Equity","ARD_EQY_IN_EARN_OF_AFF_JV_CF","FQ2 2021","FQ2 2021","Currency=USD","Period=FQ","BEST_FPERIOD_OVERRIDE=FQ","FILING_STATUS=MR","SCALING_FORMAT=MLN","Sort=A","Dates=H","DateFormat=P","Fill=—","Direction=H","UseDPDF=Y")</f>
        <v>-36</v>
      </c>
      <c r="N20" s="13">
        <f>_xll.BDH("AMGN US Equity","ARD_EQY_IN_EARN_OF_AFF_JV_CF","FQ3 2021","FQ3 2021","Currency=USD","Period=FQ","BEST_FPERIOD_OVERRIDE=FQ","FILING_STATUS=MR","SCALING_FORMAT=MLN","Sort=A","Dates=H","DateFormat=P","Fill=—","Direction=H","UseDPDF=Y")</f>
        <v>130</v>
      </c>
      <c r="O20" s="13">
        <f>_xll.BDH("AMGN US Equity","ARD_EQY_IN_EARN_OF_AFF_JV_CF","FQ4 2021","FQ4 2021","Currency=USD","Period=FQ","BEST_FPERIOD_OVERRIDE=FQ","FILING_STATUS=MR","SCALING_FORMAT=MLN","Sort=A","Dates=H","DateFormat=P","Fill=—","Direction=H","UseDPDF=Y")</f>
        <v>33</v>
      </c>
      <c r="P20" s="13">
        <f>_xll.BDH("AMGN US Equity","ARD_EQY_IN_EARN_OF_AFF_JV_CF","FQ1 2022","FQ1 2022","Currency=USD","Period=FQ","BEST_FPERIOD_OVERRIDE=FQ","FILING_STATUS=MR","SCALING_FORMAT=MLN","Sort=A","Dates=H","DateFormat=P","Fill=—","Direction=H","UseDPDF=Y")</f>
        <v>305</v>
      </c>
      <c r="Q20" s="13">
        <f>_xll.BDH("AMGN US Equity","ARD_EQY_IN_EARN_OF_AFF_JV_CF","FQ2 2022","FQ2 2022","Currency=USD","Period=FQ","BEST_FPERIOD_OVERRIDE=FQ","FILING_STATUS=MR","SCALING_FORMAT=MLN","Sort=A","Dates=H","DateFormat=P","Fill=—","Direction=H","UseDPDF=Y")</f>
        <v>497</v>
      </c>
      <c r="R20" s="13">
        <f>_xll.BDH("AMGN US Equity","ARD_EQY_IN_EARN_OF_AFF_JV_CF","FQ3 2022","FQ3 2022","Currency=USD","Period=FQ","BEST_FPERIOD_OVERRIDE=FQ","FILING_STATUS=MR","SCALING_FORMAT=MLN","Sort=A","Dates=H","DateFormat=P","Fill=—","Direction=H","UseDPDF=Y")</f>
        <v>713</v>
      </c>
      <c r="S20" s="13">
        <f>_xll.BDH("AMGN US Equity","ARD_EQY_IN_EARN_OF_AFF_JV_CF","FQ4 2022","FQ4 2022","Currency=USD","Period=FQ","BEST_FPERIOD_OVERRIDE=FQ","FILING_STATUS=MR","SCALING_FORMAT=MLN","Sort=A","Dates=H","DateFormat=P","Fill=—","Direction=H","UseDPDF=Y")</f>
        <v>891</v>
      </c>
      <c r="T20" s="13">
        <f>_xll.BDH("AMGN US Equity","ARD_EQY_IN_EARN_OF_AFF_JV_CF","FQ1 2023","FQ1 2023","Currency=USD","Period=FQ","BEST_FPERIOD_OVERRIDE=FQ","FILING_STATUS=MR","SCALING_FORMAT=MLN","Sort=A","Dates=H","DateFormat=P","Fill=—","Direction=H","UseDPDF=Y")</f>
        <v>-31</v>
      </c>
      <c r="U20" s="13">
        <f>_xll.BDH("AMGN US Equity","ARD_EQY_IN_EARN_OF_AFF_JV_CF","FQ2 2023","FQ2 2023","Currency=USD","Period=FQ","BEST_FPERIOD_OVERRIDE=FQ","FILING_STATUS=MR","SCALING_FORMAT=MLN","Sort=A","Dates=H","DateFormat=P","Fill=—","Direction=H","UseDPDF=Y")</f>
        <v>-3</v>
      </c>
      <c r="V20" s="13">
        <f>_xll.BDH("AMGN US Equity","ARD_EQY_IN_EARN_OF_AFF_JV_CF","FQ3 2023","FQ3 2023","Currency=USD","Period=FQ","BEST_FPERIOD_OVERRIDE=FQ","FILING_STATUS=MR","SCALING_FORMAT=MLN","Sort=A","Dates=H","DateFormat=P","Fill=—","Direction=H","UseDPDF=Y")</f>
        <v>-17</v>
      </c>
      <c r="W20" s="13">
        <f>_xll.BDH("AMGN US Equity","ARD_EQY_IN_EARN_OF_AFF_JV_CF","FQ4 2023","FQ4 2023","Currency=USD","Period=FQ","BEST_FPERIOD_OVERRIDE=FQ","FILING_STATUS=MR","SCALING_FORMAT=MLN","Sort=A","Dates=H","DateFormat=P","Fill=—","Direction=H","UseDPDF=Y")</f>
        <v>11</v>
      </c>
      <c r="X20" s="13">
        <f>_xll.BDH("AMGN US Equity","ARD_EQY_IN_EARN_OF_AFF_JV_CF","FQ1 2024","FQ1 2024","Currency=USD","Period=FQ","BEST_FPERIOD_OVERRIDE=FQ","FILING_STATUS=MR","SCALING_FORMAT=MLN","Sort=A","Dates=H","DateFormat=P","Fill=—","Direction=H","UseDPDF=Y")</f>
        <v>-27</v>
      </c>
      <c r="Y20" s="13">
        <f>_xll.BDH("AMGN US Equity","ARD_EQY_IN_EARN_OF_AFF_JV_CF","FQ2 2024","FQ2 2024","Currency=USD","Period=FQ","BEST_FPERIOD_OVERRIDE=FQ","FILING_STATUS=MR","SCALING_FORMAT=MLN","Sort=A","Dates=H","DateFormat=P","Fill=—","Direction=H","UseDPDF=Y")</f>
        <v>-39</v>
      </c>
      <c r="Z20" s="13">
        <f>_xll.BDH("AMGN US Equity","ARD_EQY_IN_EARN_OF_AFF_JV_CF","FQ3 2024","FQ3 2024","Currency=USD","Period=FQ","BEST_FPERIOD_OVERRIDE=FQ","FILING_STATUS=MR","SCALING_FORMAT=MLN","Sort=A","Dates=H","DateFormat=P","Fill=—","Direction=H","UseDPDF=Y")</f>
        <v>-11</v>
      </c>
      <c r="AA20" s="13">
        <f>_xll.BDH("AMGN US Equity","ARD_EQY_IN_EARN_OF_AFF_JV_CF","FQ4 2024","FQ4 2024","Currency=USD","Period=FQ","BEST_FPERIOD_OVERRIDE=FQ","FILING_STATUS=MR","SCALING_FORMAT=MLN","Sort=A","Dates=H","DateFormat=P","Fill=—","Direction=H","UseDPDF=Y")</f>
        <v>-10</v>
      </c>
    </row>
    <row r="21" spans="1:27" x14ac:dyDescent="0.25">
      <c r="A21" s="10" t="s">
        <v>1382</v>
      </c>
      <c r="B21" s="10" t="s">
        <v>1383</v>
      </c>
      <c r="C21" s="13" t="str">
        <f>_xll.BDH("AMGN US Equity","ARD_ACQUIRED_IN_PROCESS_RD_CF","FQ4 2018","FQ4 2018","Currency=USD","Period=FQ","BEST_FPERIOD_OVERRIDE=FQ","FILING_STATUS=MR","SCALING_FORMAT=MLN","Sort=A","Dates=H","DateFormat=P","Fill=—","Direction=H","UseDPDF=Y")</f>
        <v>—</v>
      </c>
      <c r="D21" s="13" t="str">
        <f>_xll.BDH("AMGN US Equity","ARD_ACQUIRED_IN_PROCESS_RD_CF","FQ1 2019","FQ1 2019","Currency=USD","Period=FQ","BEST_FPERIOD_OVERRIDE=FQ","FILING_STATUS=MR","SCALING_FORMAT=MLN","Sort=A","Dates=H","DateFormat=P","Fill=—","Direction=H","UseDPDF=Y")</f>
        <v>—</v>
      </c>
      <c r="E21" s="13" t="str">
        <f>_xll.BDH("AMGN US Equity","ARD_ACQUIRED_IN_PROCESS_RD_CF","FQ2 2019","FQ2 2019","Currency=USD","Period=FQ","BEST_FPERIOD_OVERRIDE=FQ","FILING_STATUS=MR","SCALING_FORMAT=MLN","Sort=A","Dates=H","DateFormat=P","Fill=—","Direction=H","UseDPDF=Y")</f>
        <v>—</v>
      </c>
      <c r="F21" s="13" t="str">
        <f>_xll.BDH("AMGN US Equity","ARD_ACQUIRED_IN_PROCESS_RD_CF","FQ3 2019","FQ3 2019","Currency=USD","Period=FQ","BEST_FPERIOD_OVERRIDE=FQ","FILING_STATUS=MR","SCALING_FORMAT=MLN","Sort=A","Dates=H","DateFormat=P","Fill=—","Direction=H","UseDPDF=Y")</f>
        <v>—</v>
      </c>
      <c r="G21" s="13" t="str">
        <f>_xll.BDH("AMGN US Equity","ARD_ACQUIRED_IN_PROCESS_RD_CF","FQ4 2019","FQ4 2019","Currency=USD","Period=FQ","BEST_FPERIOD_OVERRIDE=FQ","FILING_STATUS=MR","SCALING_FORMAT=MLN","Sort=A","Dates=H","DateFormat=P","Fill=—","Direction=H","UseDPDF=Y")</f>
        <v>—</v>
      </c>
      <c r="H21" s="13" t="str">
        <f>_xll.BDH("AMGN US Equity","ARD_ACQUIRED_IN_PROCESS_RD_CF","FQ1 2020","FQ1 2020","Currency=USD","Period=FQ","BEST_FPERIOD_OVERRIDE=FQ","FILING_STATUS=MR","SCALING_FORMAT=MLN","Sort=A","Dates=H","DateFormat=P","Fill=—","Direction=H","UseDPDF=Y")</f>
        <v>—</v>
      </c>
      <c r="I21" s="13">
        <f>_xll.BDH("AMGN US Equity","ARD_ACQUIRED_IN_PROCESS_RD_CF","FQ2 2020","FQ2 2020","Currency=USD","Period=FQ","BEST_FPERIOD_OVERRIDE=FQ","FILING_STATUS=MR","SCALING_FORMAT=MLN","Sort=A","Dates=H","DateFormat=P","Fill=—","Direction=H","UseDPDF=Y")</f>
        <v>0</v>
      </c>
      <c r="J21" s="13">
        <f>_xll.BDH("AMGN US Equity","ARD_ACQUIRED_IN_PROCESS_RD_CF","FQ3 2020","FQ3 2020","Currency=USD","Period=FQ","BEST_FPERIOD_OVERRIDE=FQ","FILING_STATUS=MR","SCALING_FORMAT=MLN","Sort=A","Dates=H","DateFormat=P","Fill=—","Direction=H","UseDPDF=Y")</f>
        <v>0</v>
      </c>
      <c r="K21" s="13" t="str">
        <f>_xll.BDH("AMGN US Equity","ARD_ACQUIRED_IN_PROCESS_RD_CF","FQ4 2020","FQ4 2020","Currency=USD","Period=FQ","BEST_FPERIOD_OVERRIDE=FQ","FILING_STATUS=MR","SCALING_FORMAT=MLN","Sort=A","Dates=H","DateFormat=P","Fill=—","Direction=H","UseDPDF=Y")</f>
        <v>—</v>
      </c>
      <c r="L21" s="13" t="str">
        <f>_xll.BDH("AMGN US Equity","ARD_ACQUIRED_IN_PROCESS_RD_CF","FQ1 2021","FQ1 2021","Currency=USD","Period=FQ","BEST_FPERIOD_OVERRIDE=FQ","FILING_STATUS=MR","SCALING_FORMAT=MLN","Sort=A","Dates=H","DateFormat=P","Fill=—","Direction=H","UseDPDF=Y")</f>
        <v>—</v>
      </c>
      <c r="M21" s="13">
        <f>_xll.BDH("AMGN US Equity","ARD_ACQUIRED_IN_PROCESS_RD_CF","FQ2 2021","FQ2 2021","Currency=USD","Period=FQ","BEST_FPERIOD_OVERRIDE=FQ","FILING_STATUS=MR","SCALING_FORMAT=MLN","Sort=A","Dates=H","DateFormat=P","Fill=—","Direction=H","UseDPDF=Y")</f>
        <v>1505</v>
      </c>
      <c r="N21" s="13">
        <f>_xll.BDH("AMGN US Equity","ARD_ACQUIRED_IN_PROCESS_RD_CF","FQ3 2021","FQ3 2021","Currency=USD","Period=FQ","BEST_FPERIOD_OVERRIDE=FQ","FILING_STATUS=MR","SCALING_FORMAT=MLN","Sort=A","Dates=H","DateFormat=P","Fill=—","Direction=H","UseDPDF=Y")</f>
        <v>1505</v>
      </c>
      <c r="O21" s="13">
        <f>_xll.BDH("AMGN US Equity","ARD_ACQUIRED_IN_PROCESS_RD_CF","FQ4 2021","FQ4 2021","Currency=USD","Period=FQ","BEST_FPERIOD_OVERRIDE=FQ","FILING_STATUS=MR","SCALING_FORMAT=MLN","Sort=A","Dates=H","DateFormat=P","Fill=—","Direction=H","UseDPDF=Y")</f>
        <v>1505</v>
      </c>
      <c r="P21" s="13" t="str">
        <f>_xll.BDH("AMGN US Equity","ARD_ACQUIRED_IN_PROCESS_RD_CF","FQ1 2022","FQ1 2022","Currency=USD","Period=FQ","BEST_FPERIOD_OVERRIDE=FQ","FILING_STATUS=MR","SCALING_FORMAT=MLN","Sort=A","Dates=H","DateFormat=P","Fill=—","Direction=H","UseDPDF=Y")</f>
        <v>—</v>
      </c>
      <c r="Q21" s="13">
        <f>_xll.BDH("AMGN US Equity","ARD_ACQUIRED_IN_PROCESS_RD_CF","FQ2 2022","FQ2 2022","Currency=USD","Period=FQ","BEST_FPERIOD_OVERRIDE=FQ","FILING_STATUS=MR","SCALING_FORMAT=MLN","Sort=A","Dates=H","DateFormat=P","Fill=—","Direction=H","UseDPDF=Y")</f>
        <v>0</v>
      </c>
      <c r="R21" s="13">
        <f>_xll.BDH("AMGN US Equity","ARD_ACQUIRED_IN_PROCESS_RD_CF","FQ3 2022","FQ3 2022","Currency=USD","Period=FQ","BEST_FPERIOD_OVERRIDE=FQ","FILING_STATUS=MR","SCALING_FORMAT=MLN","Sort=A","Dates=H","DateFormat=P","Fill=—","Direction=H","UseDPDF=Y")</f>
        <v>0</v>
      </c>
      <c r="S21" s="13">
        <f>_xll.BDH("AMGN US Equity","ARD_ACQUIRED_IN_PROCESS_RD_CF","FQ4 2022","FQ4 2022","Currency=USD","Period=FQ","BEST_FPERIOD_OVERRIDE=FQ","FILING_STATUS=MR","SCALING_FORMAT=MLN","Sort=A","Dates=H","DateFormat=P","Fill=—","Direction=H","UseDPDF=Y")</f>
        <v>0</v>
      </c>
      <c r="T21" s="13" t="str">
        <f>_xll.BDH("AMGN US Equity","ARD_ACQUIRED_IN_PROCESS_RD_CF","FQ1 2023","FQ1 2023","Currency=USD","Period=FQ","BEST_FPERIOD_OVERRIDE=FQ","FILING_STATUS=MR","SCALING_FORMAT=MLN","Sort=A","Dates=H","DateFormat=P","Fill=—","Direction=H","UseDPDF=Y")</f>
        <v>—</v>
      </c>
      <c r="U21" s="13" t="str">
        <f>_xll.BDH("AMGN US Equity","ARD_ACQUIRED_IN_PROCESS_RD_CF","FQ2 2023","FQ2 2023","Currency=USD","Period=FQ","BEST_FPERIOD_OVERRIDE=FQ","FILING_STATUS=MR","SCALING_FORMAT=MLN","Sort=A","Dates=H","DateFormat=P","Fill=—","Direction=H","UseDPDF=Y")</f>
        <v>—</v>
      </c>
      <c r="V21" s="13" t="str">
        <f>_xll.BDH("AMGN US Equity","ARD_ACQUIRED_IN_PROCESS_RD_CF","FQ3 2023","FQ3 2023","Currency=USD","Period=FQ","BEST_FPERIOD_OVERRIDE=FQ","FILING_STATUS=MR","SCALING_FORMAT=MLN","Sort=A","Dates=H","DateFormat=P","Fill=—","Direction=H","UseDPDF=Y")</f>
        <v>—</v>
      </c>
      <c r="W21" s="13">
        <f>_xll.BDH("AMGN US Equity","ARD_ACQUIRED_IN_PROCESS_RD_CF","FQ4 2023","FQ4 2023","Currency=USD","Period=FQ","BEST_FPERIOD_OVERRIDE=FQ","FILING_STATUS=MR","SCALING_FORMAT=MLN","Sort=A","Dates=H","DateFormat=P","Fill=—","Direction=H","UseDPDF=Y")</f>
        <v>0</v>
      </c>
      <c r="X21" s="13" t="str">
        <f>_xll.BDH("AMGN US Equity","ARD_ACQUIRED_IN_PROCESS_RD_CF","FQ1 2024","FQ1 2024","Currency=USD","Period=FQ","BEST_FPERIOD_OVERRIDE=FQ","FILING_STATUS=MR","SCALING_FORMAT=MLN","Sort=A","Dates=H","DateFormat=P","Fill=—","Direction=H","UseDPDF=Y")</f>
        <v>—</v>
      </c>
      <c r="Y21" s="13" t="str">
        <f>_xll.BDH("AMGN US Equity","ARD_ACQUIRED_IN_PROCESS_RD_CF","FQ2 2024","FQ2 2024","Currency=USD","Period=FQ","BEST_FPERIOD_OVERRIDE=FQ","FILING_STATUS=MR","SCALING_FORMAT=MLN","Sort=A","Dates=H","DateFormat=P","Fill=—","Direction=H","UseDPDF=Y")</f>
        <v>—</v>
      </c>
      <c r="Z21" s="13" t="str">
        <f>_xll.BDH("AMGN US Equity","ARD_ACQUIRED_IN_PROCESS_RD_CF","FQ3 2024","FQ3 2024","Currency=USD","Period=FQ","BEST_FPERIOD_OVERRIDE=FQ","FILING_STATUS=MR","SCALING_FORMAT=MLN","Sort=A","Dates=H","DateFormat=P","Fill=—","Direction=H","UseDPDF=Y")</f>
        <v>—</v>
      </c>
      <c r="AA21" s="13" t="str">
        <f>_xll.BDH("AMGN US Equity","ARD_ACQUIRED_IN_PROCESS_RD_CF","FQ4 2024","FQ4 2024","Currency=USD","Period=FQ","BEST_FPERIOD_OVERRIDE=FQ","FILING_STATUS=MR","SCALING_FORMAT=MLN","Sort=A","Dates=H","DateFormat=P","Fill=—","Direction=H","UseDPDF=Y")</f>
        <v>—</v>
      </c>
    </row>
    <row r="22" spans="1:27" x14ac:dyDescent="0.25">
      <c r="A22" s="10" t="s">
        <v>1384</v>
      </c>
      <c r="B22" s="10" t="s">
        <v>1385</v>
      </c>
      <c r="C22" s="13">
        <f>_xll.BDH("AMGN US Equity","ARD_CHANGE_IN_OTHER_ASSETS","FQ4 2018","FQ4 2018","Currency=USD","Period=FQ","BEST_FPERIOD_OVERRIDE=FQ","FILING_STATUS=MR","SCALING_FORMAT=MLN","Sort=A","Dates=H","DateFormat=P","Fill=—","Direction=H","UseDPDF=Y")</f>
        <v>35</v>
      </c>
      <c r="D22" s="13">
        <f>_xll.BDH("AMGN US Equity","ARD_CHANGE_IN_OTHER_ASSETS","FQ1 2019","FQ1 2019","Currency=USD","Period=FQ","BEST_FPERIOD_OVERRIDE=FQ","FILING_STATUS=MR","SCALING_FORMAT=MLN","Sort=A","Dates=H","DateFormat=P","Fill=—","Direction=H","UseDPDF=Y")</f>
        <v>-249</v>
      </c>
      <c r="E22" s="13">
        <f>_xll.BDH("AMGN US Equity","ARD_CHANGE_IN_OTHER_ASSETS","FQ2 2019","FQ2 2019","Currency=USD","Period=FQ","BEST_FPERIOD_OVERRIDE=FQ","FILING_STATUS=MR","SCALING_FORMAT=MLN","Sort=A","Dates=H","DateFormat=P","Fill=—","Direction=H","UseDPDF=Y")</f>
        <v>-158</v>
      </c>
      <c r="F22" s="13">
        <f>_xll.BDH("AMGN US Equity","ARD_CHANGE_IN_OTHER_ASSETS","FQ3 2019","FQ3 2019","Currency=USD","Period=FQ","BEST_FPERIOD_OVERRIDE=FQ","FILING_STATUS=MR","SCALING_FORMAT=MLN","Sort=A","Dates=H","DateFormat=P","Fill=—","Direction=H","UseDPDF=Y")</f>
        <v>-269</v>
      </c>
      <c r="G22" s="13">
        <f>_xll.BDH("AMGN US Equity","ARD_CHANGE_IN_OTHER_ASSETS","FQ4 2019","FQ4 2019","Currency=USD","Period=FQ","BEST_FPERIOD_OVERRIDE=FQ","FILING_STATUS=MR","SCALING_FORMAT=MLN","Sort=A","Dates=H","DateFormat=P","Fill=—","Direction=H","UseDPDF=Y")</f>
        <v>10</v>
      </c>
      <c r="H22" s="13">
        <f>_xll.BDH("AMGN US Equity","ARD_CHANGE_IN_OTHER_ASSETS","FQ1 2020","FQ1 2020","Currency=USD","Period=FQ","BEST_FPERIOD_OVERRIDE=FQ","FILING_STATUS=MR","SCALING_FORMAT=MLN","Sort=A","Dates=H","DateFormat=P","Fill=—","Direction=H","UseDPDF=Y")</f>
        <v>319</v>
      </c>
      <c r="I22" s="13">
        <f>_xll.BDH("AMGN US Equity","ARD_CHANGE_IN_OTHER_ASSETS","FQ2 2020","FQ2 2020","Currency=USD","Period=FQ","BEST_FPERIOD_OVERRIDE=FQ","FILING_STATUS=MR","SCALING_FORMAT=MLN","Sort=A","Dates=H","DateFormat=P","Fill=—","Direction=H","UseDPDF=Y")</f>
        <v>143</v>
      </c>
      <c r="J22" s="13">
        <f>_xll.BDH("AMGN US Equity","ARD_CHANGE_IN_OTHER_ASSETS","FQ3 2020","FQ3 2020","Currency=USD","Period=FQ","BEST_FPERIOD_OVERRIDE=FQ","FILING_STATUS=MR","SCALING_FORMAT=MLN","Sort=A","Dates=H","DateFormat=P","Fill=—","Direction=H","UseDPDF=Y")</f>
        <v>64</v>
      </c>
      <c r="K22" s="13">
        <f>_xll.BDH("AMGN US Equity","ARD_CHANGE_IN_OTHER_ASSETS","FQ4 2020","FQ4 2020","Currency=USD","Period=FQ","BEST_FPERIOD_OVERRIDE=FQ","FILING_STATUS=MR","SCALING_FORMAT=MLN","Sort=A","Dates=H","DateFormat=P","Fill=—","Direction=H","UseDPDF=Y")</f>
        <v>129</v>
      </c>
      <c r="L22" s="13">
        <f>_xll.BDH("AMGN US Equity","ARD_CHANGE_IN_OTHER_ASSETS","FQ1 2021","FQ1 2021","Currency=USD","Period=FQ","BEST_FPERIOD_OVERRIDE=FQ","FILING_STATUS=MR","SCALING_FORMAT=MLN","Sort=A","Dates=H","DateFormat=P","Fill=—","Direction=H","UseDPDF=Y")</f>
        <v>-146</v>
      </c>
      <c r="M22" s="13">
        <f>_xll.BDH("AMGN US Equity","ARD_CHANGE_IN_OTHER_ASSETS","FQ2 2021","FQ2 2021","Currency=USD","Period=FQ","BEST_FPERIOD_OVERRIDE=FQ","FILING_STATUS=MR","SCALING_FORMAT=MLN","Sort=A","Dates=H","DateFormat=P","Fill=—","Direction=H","UseDPDF=Y")</f>
        <v>-258</v>
      </c>
      <c r="N22" s="13">
        <f>_xll.BDH("AMGN US Equity","ARD_CHANGE_IN_OTHER_ASSETS","FQ3 2021","FQ3 2021","Currency=USD","Period=FQ","BEST_FPERIOD_OVERRIDE=FQ","FILING_STATUS=MR","SCALING_FORMAT=MLN","Sort=A","Dates=H","DateFormat=P","Fill=—","Direction=H","UseDPDF=Y")</f>
        <v>-373</v>
      </c>
      <c r="O22" s="13">
        <f>_xll.BDH("AMGN US Equity","ARD_CHANGE_IN_OTHER_ASSETS","FQ4 2021","FQ4 2021","Currency=USD","Period=FQ","BEST_FPERIOD_OVERRIDE=FQ","FILING_STATUS=MR","SCALING_FORMAT=MLN","Sort=A","Dates=H","DateFormat=P","Fill=—","Direction=H","UseDPDF=Y")</f>
        <v>-237</v>
      </c>
      <c r="P22" s="13">
        <f>_xll.BDH("AMGN US Equity","ARD_CHANGE_IN_OTHER_ASSETS","FQ1 2022","FQ1 2022","Currency=USD","Period=FQ","BEST_FPERIOD_OVERRIDE=FQ","FILING_STATUS=MR","SCALING_FORMAT=MLN","Sort=A","Dates=H","DateFormat=P","Fill=—","Direction=H","UseDPDF=Y")</f>
        <v>-43</v>
      </c>
      <c r="Q22" s="13">
        <f>_xll.BDH("AMGN US Equity","ARD_CHANGE_IN_OTHER_ASSETS","FQ2 2022","FQ2 2022","Currency=USD","Period=FQ","BEST_FPERIOD_OVERRIDE=FQ","FILING_STATUS=MR","SCALING_FORMAT=MLN","Sort=A","Dates=H","DateFormat=P","Fill=—","Direction=H","UseDPDF=Y")</f>
        <v>198</v>
      </c>
      <c r="R22" s="13">
        <f>_xll.BDH("AMGN US Equity","ARD_CHANGE_IN_OTHER_ASSETS","FQ3 2022","FQ3 2022","Currency=USD","Period=FQ","BEST_FPERIOD_OVERRIDE=FQ","FILING_STATUS=MR","SCALING_FORMAT=MLN","Sort=A","Dates=H","DateFormat=P","Fill=—","Direction=H","UseDPDF=Y")</f>
        <v>166</v>
      </c>
      <c r="S22" s="13">
        <f>_xll.BDH("AMGN US Equity","ARD_CHANGE_IN_OTHER_ASSETS","FQ4 2022","FQ4 2022","Currency=USD","Period=FQ","BEST_FPERIOD_OVERRIDE=FQ","FILING_STATUS=MR","SCALING_FORMAT=MLN","Sort=A","Dates=H","DateFormat=P","Fill=—","Direction=H","UseDPDF=Y")</f>
        <v>258</v>
      </c>
      <c r="T22" s="13">
        <f>_xll.BDH("AMGN US Equity","ARD_CHANGE_IN_OTHER_ASSETS","FQ1 2023","FQ1 2023","Currency=USD","Period=FQ","BEST_FPERIOD_OVERRIDE=FQ","FILING_STATUS=MR","SCALING_FORMAT=MLN","Sort=A","Dates=H","DateFormat=P","Fill=—","Direction=H","UseDPDF=Y")</f>
        <v>-139</v>
      </c>
      <c r="U22" s="13">
        <f>_xll.BDH("AMGN US Equity","ARD_CHANGE_IN_OTHER_ASSETS","FQ2 2023","FQ2 2023","Currency=USD","Period=FQ","BEST_FPERIOD_OVERRIDE=FQ","FILING_STATUS=MR","SCALING_FORMAT=MLN","Sort=A","Dates=H","DateFormat=P","Fill=—","Direction=H","UseDPDF=Y")</f>
        <v>-69</v>
      </c>
      <c r="V22" s="13" t="str">
        <f>_xll.BDH("AMGN US Equity","ARD_CHANGE_IN_OTHER_ASSETS","FQ3 2023","FQ3 2023","Currency=USD","Period=FQ","BEST_FPERIOD_OVERRIDE=FQ","FILING_STATUS=MR","SCALING_FORMAT=MLN","Sort=A","Dates=H","DateFormat=P","Fill=—","Direction=H","UseDPDF=Y")</f>
        <v>—</v>
      </c>
      <c r="W22" s="13">
        <f>_xll.BDH("AMGN US Equity","ARD_CHANGE_IN_OTHER_ASSETS","FQ4 2023","FQ4 2023","Currency=USD","Period=FQ","BEST_FPERIOD_OVERRIDE=FQ","FILING_STATUS=MR","SCALING_FORMAT=MLN","Sort=A","Dates=H","DateFormat=P","Fill=—","Direction=H","UseDPDF=Y")</f>
        <v>-564</v>
      </c>
      <c r="X22" s="13">
        <f>_xll.BDH("AMGN US Equity","ARD_CHANGE_IN_OTHER_ASSETS","FQ1 2024","FQ1 2024","Currency=USD","Period=FQ","BEST_FPERIOD_OVERRIDE=FQ","FILING_STATUS=MR","SCALING_FORMAT=MLN","Sort=A","Dates=H","DateFormat=P","Fill=—","Direction=H","UseDPDF=Y")</f>
        <v>-89</v>
      </c>
      <c r="Y22" s="13">
        <f>_xll.BDH("AMGN US Equity","ARD_CHANGE_IN_OTHER_ASSETS","FQ2 2024","FQ2 2024","Currency=USD","Period=FQ","BEST_FPERIOD_OVERRIDE=FQ","FILING_STATUS=MR","SCALING_FORMAT=MLN","Sort=A","Dates=H","DateFormat=P","Fill=—","Direction=H","UseDPDF=Y")</f>
        <v>-339</v>
      </c>
      <c r="Z22" s="13">
        <f>_xll.BDH("AMGN US Equity","ARD_CHANGE_IN_OTHER_ASSETS","FQ3 2024","FQ3 2024","Currency=USD","Period=FQ","BEST_FPERIOD_OVERRIDE=FQ","FILING_STATUS=MR","SCALING_FORMAT=MLN","Sort=A","Dates=H","DateFormat=P","Fill=—","Direction=H","UseDPDF=Y")</f>
        <v>-638</v>
      </c>
      <c r="AA22" s="13">
        <f>_xll.BDH("AMGN US Equity","ARD_CHANGE_IN_OTHER_ASSETS","FQ4 2024","FQ4 2024","Currency=USD","Period=FQ","BEST_FPERIOD_OVERRIDE=FQ","FILING_STATUS=MR","SCALING_FORMAT=MLN","Sort=A","Dates=H","DateFormat=P","Fill=—","Direction=H","UseDPDF=Y")</f>
        <v>-652</v>
      </c>
    </row>
    <row r="23" spans="1:27" x14ac:dyDescent="0.25">
      <c r="A23" s="10" t="s">
        <v>1386</v>
      </c>
      <c r="B23" s="10" t="s">
        <v>1387</v>
      </c>
      <c r="C23" s="13">
        <f>_xll.BDH("AMGN US Equity","ARD_CHG_IN_OTHER_LIABILITES","FQ4 2018","FQ4 2018","Currency=USD","Period=FQ","BEST_FPERIOD_OVERRIDE=FQ","FILING_STATUS=MR","SCALING_FORMAT=MLN","Sort=A","Dates=H","DateFormat=P","Fill=—","Direction=H","UseDPDF=Y")</f>
        <v>1472</v>
      </c>
      <c r="D23" s="13">
        <f>_xll.BDH("AMGN US Equity","ARD_CHG_IN_OTHER_LIABILITES","FQ1 2019","FQ1 2019","Currency=USD","Period=FQ","BEST_FPERIOD_OVERRIDE=FQ","FILING_STATUS=MR","SCALING_FORMAT=MLN","Sort=A","Dates=H","DateFormat=P","Fill=—","Direction=H","UseDPDF=Y")</f>
        <v>-297</v>
      </c>
      <c r="E23" s="13">
        <f>_xll.BDH("AMGN US Equity","ARD_CHG_IN_OTHER_LIABILITES","FQ2 2019","FQ2 2019","Currency=USD","Period=FQ","BEST_FPERIOD_OVERRIDE=FQ","FILING_STATUS=MR","SCALING_FORMAT=MLN","Sort=A","Dates=H","DateFormat=P","Fill=—","Direction=H","UseDPDF=Y")</f>
        <v>-904</v>
      </c>
      <c r="F23" s="13">
        <f>_xll.BDH("AMGN US Equity","ARD_CHG_IN_OTHER_LIABILITES","FQ3 2019","FQ3 2019","Currency=USD","Period=FQ","BEST_FPERIOD_OVERRIDE=FQ","FILING_STATUS=MR","SCALING_FORMAT=MLN","Sort=A","Dates=H","DateFormat=P","Fill=—","Direction=H","UseDPDF=Y")</f>
        <v>-247</v>
      </c>
      <c r="G23" s="13">
        <f>_xll.BDH("AMGN US Equity","ARD_CHG_IN_OTHER_LIABILITES","FQ4 2019","FQ4 2019","Currency=USD","Period=FQ","BEST_FPERIOD_OVERRIDE=FQ","FILING_STATUS=MR","SCALING_FORMAT=MLN","Sort=A","Dates=H","DateFormat=P","Fill=—","Direction=H","UseDPDF=Y")</f>
        <v>250</v>
      </c>
      <c r="H23" s="13">
        <f>_xll.BDH("AMGN US Equity","ARD_CHG_IN_OTHER_LIABILITES","FQ1 2020","FQ1 2020","Currency=USD","Period=FQ","BEST_FPERIOD_OVERRIDE=FQ","FILING_STATUS=MR","SCALING_FORMAT=MLN","Sort=A","Dates=H","DateFormat=P","Fill=—","Direction=H","UseDPDF=Y")</f>
        <v>26</v>
      </c>
      <c r="I23" s="13">
        <f>_xll.BDH("AMGN US Equity","ARD_CHG_IN_OTHER_LIABILITES","FQ2 2020","FQ2 2020","Currency=USD","Period=FQ","BEST_FPERIOD_OVERRIDE=FQ","FILING_STATUS=MR","SCALING_FORMAT=MLN","Sort=A","Dates=H","DateFormat=P","Fill=—","Direction=H","UseDPDF=Y")</f>
        <v>561</v>
      </c>
      <c r="J23" s="13">
        <f>_xll.BDH("AMGN US Equity","ARD_CHG_IN_OTHER_LIABILITES","FQ3 2020","FQ3 2020","Currency=USD","Period=FQ","BEST_FPERIOD_OVERRIDE=FQ","FILING_STATUS=MR","SCALING_FORMAT=MLN","Sort=A","Dates=H","DateFormat=P","Fill=—","Direction=H","UseDPDF=Y")</f>
        <v>822</v>
      </c>
      <c r="K23" s="13">
        <f>_xll.BDH("AMGN US Equity","ARD_CHG_IN_OTHER_LIABILITES","FQ4 2020","FQ4 2020","Currency=USD","Period=FQ","BEST_FPERIOD_OVERRIDE=FQ","FILING_STATUS=MR","SCALING_FORMAT=MLN","Sort=A","Dates=H","DateFormat=P","Fill=—","Direction=H","UseDPDF=Y")</f>
        <v>501</v>
      </c>
      <c r="L23" s="13">
        <f>_xll.BDH("AMGN US Equity","ARD_CHG_IN_OTHER_LIABILITES","FQ1 2021","FQ1 2021","Currency=USD","Period=FQ","BEST_FPERIOD_OVERRIDE=FQ","FILING_STATUS=MR","SCALING_FORMAT=MLN","Sort=A","Dates=H","DateFormat=P","Fill=—","Direction=H","UseDPDF=Y")</f>
        <v>-213</v>
      </c>
      <c r="M23" s="13">
        <f>_xll.BDH("AMGN US Equity","ARD_CHG_IN_OTHER_LIABILITES","FQ2 2021","FQ2 2021","Currency=USD","Period=FQ","BEST_FPERIOD_OVERRIDE=FQ","FILING_STATUS=MR","SCALING_FORMAT=MLN","Sort=A","Dates=H","DateFormat=P","Fill=—","Direction=H","UseDPDF=Y")</f>
        <v>167</v>
      </c>
      <c r="N23" s="13">
        <f>_xll.BDH("AMGN US Equity","ARD_CHG_IN_OTHER_LIABILITES","FQ3 2021","FQ3 2021","Currency=USD","Period=FQ","BEST_FPERIOD_OVERRIDE=FQ","FILING_STATUS=MR","SCALING_FORMAT=MLN","Sort=A","Dates=H","DateFormat=P","Fill=—","Direction=H","UseDPDF=Y")</f>
        <v>321</v>
      </c>
      <c r="O23" s="13">
        <f>_xll.BDH("AMGN US Equity","ARD_CHG_IN_OTHER_LIABILITES","FQ4 2021","FQ4 2021","Currency=USD","Period=FQ","BEST_FPERIOD_OVERRIDE=FQ","FILING_STATUS=MR","SCALING_FORMAT=MLN","Sort=A","Dates=H","DateFormat=P","Fill=—","Direction=H","UseDPDF=Y")</f>
        <v>560</v>
      </c>
      <c r="P23" s="13">
        <f>_xll.BDH("AMGN US Equity","ARD_CHG_IN_OTHER_LIABILITES","FQ1 2022","FQ1 2022","Currency=USD","Period=FQ","BEST_FPERIOD_OVERRIDE=FQ","FILING_STATUS=MR","SCALING_FORMAT=MLN","Sort=A","Dates=H","DateFormat=P","Fill=—","Direction=H","UseDPDF=Y")</f>
        <v>-339</v>
      </c>
      <c r="Q23" s="13">
        <f>_xll.BDH("AMGN US Equity","ARD_CHG_IN_OTHER_LIABILITES","FQ2 2022","FQ2 2022","Currency=USD","Period=FQ","BEST_FPERIOD_OVERRIDE=FQ","FILING_STATUS=MR","SCALING_FORMAT=MLN","Sort=A","Dates=H","DateFormat=P","Fill=—","Direction=H","UseDPDF=Y")</f>
        <v>152</v>
      </c>
      <c r="R23" s="13">
        <f>_xll.BDH("AMGN US Equity","ARD_CHG_IN_OTHER_LIABILITES","FQ3 2022","FQ3 2022","Currency=USD","Period=FQ","BEST_FPERIOD_OVERRIDE=FQ","FILING_STATUS=MR","SCALING_FORMAT=MLN","Sort=A","Dates=H","DateFormat=P","Fill=—","Direction=H","UseDPDF=Y")</f>
        <v>648</v>
      </c>
      <c r="S23" s="13">
        <f>_xll.BDH("AMGN US Equity","ARD_CHG_IN_OTHER_LIABILITES","FQ4 2022","FQ4 2022","Currency=USD","Period=FQ","BEST_FPERIOD_OVERRIDE=FQ","FILING_STATUS=MR","SCALING_FORMAT=MLN","Sort=A","Dates=H","DateFormat=P","Fill=—","Direction=H","UseDPDF=Y")</f>
        <v>990</v>
      </c>
      <c r="T23" s="13">
        <f>_xll.BDH("AMGN US Equity","ARD_CHG_IN_OTHER_LIABILITES","FQ1 2023","FQ1 2023","Currency=USD","Period=FQ","BEST_FPERIOD_OVERRIDE=FQ","FILING_STATUS=MR","SCALING_FORMAT=MLN","Sort=A","Dates=H","DateFormat=P","Fill=—","Direction=H","UseDPDF=Y")</f>
        <v>-603</v>
      </c>
      <c r="U23" s="13">
        <f>_xll.BDH("AMGN US Equity","ARD_CHG_IN_OTHER_LIABILITES","FQ2 2023","FQ2 2023","Currency=USD","Period=FQ","BEST_FPERIOD_OVERRIDE=FQ","FILING_STATUS=MR","SCALING_FORMAT=MLN","Sort=A","Dates=H","DateFormat=P","Fill=—","Direction=H","UseDPDF=Y")</f>
        <v>598</v>
      </c>
      <c r="V23" s="13">
        <f>_xll.BDH("AMGN US Equity","ARD_CHG_IN_OTHER_LIABILITES","FQ3 2023","FQ3 2023","Currency=USD","Period=FQ","BEST_FPERIOD_OVERRIDE=FQ","FILING_STATUS=MR","SCALING_FORMAT=MLN","Sort=A","Dates=H","DateFormat=P","Fill=—","Direction=H","UseDPDF=Y")</f>
        <v>627</v>
      </c>
      <c r="W23" s="13">
        <f>_xll.BDH("AMGN US Equity","ARD_CHG_IN_OTHER_LIABILITES","FQ4 2023","FQ4 2023","Currency=USD","Period=FQ","BEST_FPERIOD_OVERRIDE=FQ","FILING_STATUS=MR","SCALING_FORMAT=MLN","Sort=A","Dates=H","DateFormat=P","Fill=—","Direction=H","UseDPDF=Y")</f>
        <v>2037</v>
      </c>
      <c r="X23" s="13">
        <f>_xll.BDH("AMGN US Equity","ARD_CHG_IN_OTHER_LIABILITES","FQ1 2024","FQ1 2024","Currency=USD","Period=FQ","BEST_FPERIOD_OVERRIDE=FQ","FILING_STATUS=MR","SCALING_FORMAT=MLN","Sort=A","Dates=H","DateFormat=P","Fill=—","Direction=H","UseDPDF=Y")</f>
        <v>-771</v>
      </c>
      <c r="Y23" s="13">
        <f>_xll.BDH("AMGN US Equity","ARD_CHG_IN_OTHER_LIABILITES","FQ2 2024","FQ2 2024","Currency=USD","Period=FQ","BEST_FPERIOD_OVERRIDE=FQ","FILING_STATUS=MR","SCALING_FORMAT=MLN","Sort=A","Dates=H","DateFormat=P","Fill=—","Direction=H","UseDPDF=Y")</f>
        <v>-670</v>
      </c>
      <c r="Z23" s="13">
        <f>_xll.BDH("AMGN US Equity","ARD_CHG_IN_OTHER_LIABILITES","FQ3 2024","FQ3 2024","Currency=USD","Period=FQ","BEST_FPERIOD_OVERRIDE=FQ","FILING_STATUS=MR","SCALING_FORMAT=MLN","Sort=A","Dates=H","DateFormat=P","Fill=—","Direction=H","UseDPDF=Y")</f>
        <v>-633</v>
      </c>
      <c r="AA23" s="13">
        <f>_xll.BDH("AMGN US Equity","ARD_CHG_IN_OTHER_LIABILITES","FQ4 2024","FQ4 2024","Currency=USD","Period=FQ","BEST_FPERIOD_OVERRIDE=FQ","FILING_STATUS=MR","SCALING_FORMAT=MLN","Sort=A","Dates=H","DateFormat=P","Fill=—","Direction=H","UseDPDF=Y")</f>
        <v>-543</v>
      </c>
    </row>
    <row r="24" spans="1:27" x14ac:dyDescent="0.25">
      <c r="A24" s="10" t="s">
        <v>1388</v>
      </c>
      <c r="B24" s="10" t="s">
        <v>1389</v>
      </c>
      <c r="C24" s="13">
        <f>_xll.BDH("AMGN US Equity","ARD_TOT_CASH_FLOWS_FROM_OPS","FQ4 2018","FQ4 2018","Currency=USD","Period=FQ","BEST_FPERIOD_OVERRIDE=FQ","FILING_STATUS=MR","SCALING_FORMAT=MLN","Sort=A","Dates=H","DateFormat=P","Fill=—","Direction=H","UseDPDF=Y")</f>
        <v>11296</v>
      </c>
      <c r="D24" s="13">
        <f>_xll.BDH("AMGN US Equity","ARD_TOT_CASH_FLOWS_FROM_OPS","FQ1 2019","FQ1 2019","Currency=USD","Period=FQ","BEST_FPERIOD_OVERRIDE=FQ","FILING_STATUS=MR","SCALING_FORMAT=MLN","Sort=A","Dates=H","DateFormat=P","Fill=—","Direction=H","UseDPDF=Y")</f>
        <v>1845</v>
      </c>
      <c r="E24" s="13">
        <f>_xll.BDH("AMGN US Equity","ARD_TOT_CASH_FLOWS_FROM_OPS","FQ2 2019","FQ2 2019","Currency=USD","Period=FQ","BEST_FPERIOD_OVERRIDE=FQ","FILING_STATUS=MR","SCALING_FORMAT=MLN","Sort=A","Dates=H","DateFormat=P","Fill=—","Direction=H","UseDPDF=Y")</f>
        <v>3259</v>
      </c>
      <c r="F24" s="13">
        <f>_xll.BDH("AMGN US Equity","ARD_TOT_CASH_FLOWS_FROM_OPS","FQ3 2019","FQ3 2019","Currency=USD","Period=FQ","BEST_FPERIOD_OVERRIDE=FQ","FILING_STATUS=MR","SCALING_FORMAT=MLN","Sort=A","Dates=H","DateFormat=P","Fill=—","Direction=H","UseDPDF=Y")</f>
        <v>6636</v>
      </c>
      <c r="G24" s="13">
        <f>_xll.BDH("AMGN US Equity","ARD_TOT_CASH_FLOWS_FROM_OPS","FQ4 2019","FQ4 2019","Currency=USD","Period=FQ","BEST_FPERIOD_OVERRIDE=FQ","FILING_STATUS=MR","SCALING_FORMAT=MLN","Sort=A","Dates=H","DateFormat=P","Fill=—","Direction=H","UseDPDF=Y")</f>
        <v>9150</v>
      </c>
      <c r="H24" s="13">
        <f>_xll.BDH("AMGN US Equity","ARD_TOT_CASH_FLOWS_FROM_OPS","FQ1 2020","FQ1 2020","Currency=USD","Period=FQ","BEST_FPERIOD_OVERRIDE=FQ","FILING_STATUS=MR","SCALING_FORMAT=MLN","Sort=A","Dates=H","DateFormat=P","Fill=—","Direction=H","UseDPDF=Y")</f>
        <v>2134</v>
      </c>
      <c r="I24" s="13">
        <f>_xll.BDH("AMGN US Equity","ARD_TOT_CASH_FLOWS_FROM_OPS","FQ2 2020","FQ2 2020","Currency=USD","Period=FQ","BEST_FPERIOD_OVERRIDE=FQ","FILING_STATUS=MR","SCALING_FORMAT=MLN","Sort=A","Dates=H","DateFormat=P","Fill=—","Direction=H","UseDPDF=Y")</f>
        <v>4976</v>
      </c>
      <c r="J24" s="13">
        <f>_xll.BDH("AMGN US Equity","ARD_TOT_CASH_FLOWS_FROM_OPS","FQ3 2020","FQ3 2020","Currency=USD","Period=FQ","BEST_FPERIOD_OVERRIDE=FQ","FILING_STATUS=MR","SCALING_FORMAT=MLN","Sort=A","Dates=H","DateFormat=P","Fill=—","Direction=H","UseDPDF=Y")</f>
        <v>8344</v>
      </c>
      <c r="K24" s="13">
        <f>_xll.BDH("AMGN US Equity","ARD_TOT_CASH_FLOWS_FROM_OPS","FQ4 2020","FQ4 2020","Currency=USD","Period=FQ","BEST_FPERIOD_OVERRIDE=FQ","FILING_STATUS=MR","SCALING_FORMAT=MLN","Sort=A","Dates=H","DateFormat=P","Fill=—","Direction=H","UseDPDF=Y")</f>
        <v>10497</v>
      </c>
      <c r="L24" s="13">
        <f>_xll.BDH("AMGN US Equity","ARD_TOT_CASH_FLOWS_FROM_OPS","FQ1 2021","FQ1 2021","Currency=USD","Period=FQ","BEST_FPERIOD_OVERRIDE=FQ","FILING_STATUS=MR","SCALING_FORMAT=MLN","Sort=A","Dates=H","DateFormat=P","Fill=—","Direction=H","UseDPDF=Y")</f>
        <v>2104</v>
      </c>
      <c r="M24" s="13">
        <f>_xll.BDH("AMGN US Equity","ARD_TOT_CASH_FLOWS_FROM_OPS","FQ2 2021","FQ2 2021","Currency=USD","Period=FQ","BEST_FPERIOD_OVERRIDE=FQ","FILING_STATUS=MR","SCALING_FORMAT=MLN","Sort=A","Dates=H","DateFormat=P","Fill=—","Direction=H","UseDPDF=Y")</f>
        <v>4035</v>
      </c>
      <c r="N24" s="13">
        <f>_xll.BDH("AMGN US Equity","ARD_TOT_CASH_FLOWS_FROM_OPS","FQ3 2021","FQ3 2021","Currency=USD","Period=FQ","BEST_FPERIOD_OVERRIDE=FQ","FILING_STATUS=MR","SCALING_FORMAT=MLN","Sort=A","Dates=H","DateFormat=P","Fill=—","Direction=H","UseDPDF=Y")</f>
        <v>6453</v>
      </c>
      <c r="O24" s="13">
        <f>_xll.BDH("AMGN US Equity","ARD_TOT_CASH_FLOWS_FROM_OPS","FQ4 2021","FQ4 2021","Currency=USD","Period=FQ","BEST_FPERIOD_OVERRIDE=FQ","FILING_STATUS=MR","SCALING_FORMAT=MLN","Sort=A","Dates=H","DateFormat=P","Fill=—","Direction=H","UseDPDF=Y")</f>
        <v>9261</v>
      </c>
      <c r="P24" s="13">
        <f>_xll.BDH("AMGN US Equity","ARD_TOT_CASH_FLOWS_FROM_OPS","FQ1 2022","FQ1 2022","Currency=USD","Period=FQ","BEST_FPERIOD_OVERRIDE=FQ","FILING_STATUS=MR","SCALING_FORMAT=MLN","Sort=A","Dates=H","DateFormat=P","Fill=—","Direction=H","UseDPDF=Y")</f>
        <v>2164</v>
      </c>
      <c r="Q24" s="13">
        <f>_xll.BDH("AMGN US Equity","ARD_TOT_CASH_FLOWS_FROM_OPS","FQ2 2022","FQ2 2022","Currency=USD","Period=FQ","BEST_FPERIOD_OVERRIDE=FQ","FILING_STATUS=MR","SCALING_FORMAT=MLN","Sort=A","Dates=H","DateFormat=P","Fill=—","Direction=H","UseDPDF=Y")</f>
        <v>4094</v>
      </c>
      <c r="R24" s="13">
        <f>_xll.BDH("AMGN US Equity","ARD_TOT_CASH_FLOWS_FROM_OPS","FQ3 2022","FQ3 2022","Currency=USD","Period=FQ","BEST_FPERIOD_OVERRIDE=FQ","FILING_STATUS=MR","SCALING_FORMAT=MLN","Sort=A","Dates=H","DateFormat=P","Fill=—","Direction=H","UseDPDF=Y")</f>
        <v>7072</v>
      </c>
      <c r="S24" s="13">
        <f>_xll.BDH("AMGN US Equity","ARD_TOT_CASH_FLOWS_FROM_OPS","FQ4 2022","FQ4 2022","Currency=USD","Period=FQ","BEST_FPERIOD_OVERRIDE=FQ","FILING_STATUS=MR","SCALING_FORMAT=MLN","Sort=A","Dates=H","DateFormat=P","Fill=—","Direction=H","UseDPDF=Y")</f>
        <v>9721</v>
      </c>
      <c r="T24" s="13">
        <f>_xll.BDH("AMGN US Equity","ARD_TOT_CASH_FLOWS_FROM_OPS","FQ1 2023","FQ1 2023","Currency=USD","Period=FQ","BEST_FPERIOD_OVERRIDE=FQ","FILING_STATUS=MR","SCALING_FORMAT=MLN","Sort=A","Dates=H","DateFormat=P","Fill=—","Direction=H","UseDPDF=Y")</f>
        <v>1064</v>
      </c>
      <c r="U24" s="13">
        <f>_xll.BDH("AMGN US Equity","ARD_TOT_CASH_FLOWS_FROM_OPS","FQ2 2023","FQ2 2023","Currency=USD","Period=FQ","BEST_FPERIOD_OVERRIDE=FQ","FILING_STATUS=MR","SCALING_FORMAT=MLN","Sort=A","Dates=H","DateFormat=P","Fill=—","Direction=H","UseDPDF=Y")</f>
        <v>5173</v>
      </c>
      <c r="V24" s="13">
        <f>_xll.BDH("AMGN US Equity","ARD_TOT_CASH_FLOWS_FROM_OPS","FQ3 2023","FQ3 2023","Currency=USD","Period=FQ","BEST_FPERIOD_OVERRIDE=FQ","FILING_STATUS=MR","SCALING_FORMAT=MLN","Sort=A","Dates=H","DateFormat=P","Fill=—","Direction=H","UseDPDF=Y")</f>
        <v>7933</v>
      </c>
      <c r="W24" s="13">
        <f>_xll.BDH("AMGN US Equity","ARD_TOT_CASH_FLOWS_FROM_OPS","FQ4 2023","FQ4 2023","Currency=USD","Period=FQ","BEST_FPERIOD_OVERRIDE=FQ","FILING_STATUS=MR","SCALING_FORMAT=MLN","Sort=A","Dates=H","DateFormat=P","Fill=—","Direction=H","UseDPDF=Y")</f>
        <v>8471</v>
      </c>
      <c r="X24" s="13">
        <f>_xll.BDH("AMGN US Equity","ARD_TOT_CASH_FLOWS_FROM_OPS","FQ1 2024","FQ1 2024","Currency=USD","Period=FQ","BEST_FPERIOD_OVERRIDE=FQ","FILING_STATUS=MR","SCALING_FORMAT=MLN","Sort=A","Dates=H","DateFormat=P","Fill=—","Direction=H","UseDPDF=Y")</f>
        <v>689</v>
      </c>
      <c r="Y24" s="13">
        <f>_xll.BDH("AMGN US Equity","ARD_TOT_CASH_FLOWS_FROM_OPS","FQ2 2024","FQ2 2024","Currency=USD","Period=FQ","BEST_FPERIOD_OVERRIDE=FQ","FILING_STATUS=MR","SCALING_FORMAT=MLN","Sort=A","Dates=H","DateFormat=P","Fill=—","Direction=H","UseDPDF=Y")</f>
        <v>3148</v>
      </c>
      <c r="Z24" s="13">
        <f>_xll.BDH("AMGN US Equity","ARD_TOT_CASH_FLOWS_FROM_OPS","FQ3 2024","FQ3 2024","Currency=USD","Period=FQ","BEST_FPERIOD_OVERRIDE=FQ","FILING_STATUS=MR","SCALING_FORMAT=MLN","Sort=A","Dates=H","DateFormat=P","Fill=—","Direction=H","UseDPDF=Y")</f>
        <v>6719</v>
      </c>
      <c r="AA24" s="13">
        <f>_xll.BDH("AMGN US Equity","ARD_TOT_CASH_FLOWS_FROM_OPS","FQ4 2024","FQ4 2024","Currency=USD","Period=FQ","BEST_FPERIOD_OVERRIDE=FQ","FILING_STATUS=MR","SCALING_FORMAT=MLN","Sort=A","Dates=H","DateFormat=P","Fill=—","Direction=H","UseDPDF=Y")</f>
        <v>11490</v>
      </c>
    </row>
    <row r="25" spans="1:27" x14ac:dyDescent="0.25">
      <c r="A25" s="10" t="s">
        <v>1390</v>
      </c>
      <c r="B25" s="10" t="s">
        <v>1391</v>
      </c>
      <c r="C25" s="13" t="str">
        <f>_xll.BDH("AMGN US Equity","ARD_GL_ON_SALE_OF_INV_MKT_SEC","FQ4 2018","FQ4 2018","Currency=USD","Period=FQ","BEST_FPERIOD_OVERRIDE=FQ","FILING_STATUS=MR","SCALING_FORMAT=MLN","Sort=A","Dates=H","DateFormat=P","Fill=—","Direction=H","UseDPDF=Y")</f>
        <v>—</v>
      </c>
      <c r="D25" s="13" t="str">
        <f>_xll.BDH("AMGN US Equity","ARD_GL_ON_SALE_OF_INV_MKT_SEC","FQ1 2019","FQ1 2019","Currency=USD","Period=FQ","BEST_FPERIOD_OVERRIDE=FQ","FILING_STATUS=MR","SCALING_FORMAT=MLN","Sort=A","Dates=H","DateFormat=P","Fill=—","Direction=H","UseDPDF=Y")</f>
        <v>—</v>
      </c>
      <c r="E25" s="13" t="str">
        <f>_xll.BDH("AMGN US Equity","ARD_GL_ON_SALE_OF_INV_MKT_SEC","FQ2 2019","FQ2 2019","Currency=USD","Period=FQ","BEST_FPERIOD_OVERRIDE=FQ","FILING_STATUS=MR","SCALING_FORMAT=MLN","Sort=A","Dates=H","DateFormat=P","Fill=—","Direction=H","UseDPDF=Y")</f>
        <v>—</v>
      </c>
      <c r="F25" s="13" t="str">
        <f>_xll.BDH("AMGN US Equity","ARD_GL_ON_SALE_OF_INV_MKT_SEC","FQ3 2019","FQ3 2019","Currency=USD","Period=FQ","BEST_FPERIOD_OVERRIDE=FQ","FILING_STATUS=MR","SCALING_FORMAT=MLN","Sort=A","Dates=H","DateFormat=P","Fill=—","Direction=H","UseDPDF=Y")</f>
        <v>—</v>
      </c>
      <c r="G25" s="13" t="str">
        <f>_xll.BDH("AMGN US Equity","ARD_GL_ON_SALE_OF_INV_MKT_SEC","FQ4 2019","FQ4 2019","Currency=USD","Period=FQ","BEST_FPERIOD_OVERRIDE=FQ","FILING_STATUS=MR","SCALING_FORMAT=MLN","Sort=A","Dates=H","DateFormat=P","Fill=—","Direction=H","UseDPDF=Y")</f>
        <v>—</v>
      </c>
      <c r="H25" s="13" t="str">
        <f>_xll.BDH("AMGN US Equity","ARD_GL_ON_SALE_OF_INV_MKT_SEC","FQ1 2020","FQ1 2020","Currency=USD","Period=FQ","BEST_FPERIOD_OVERRIDE=FQ","FILING_STATUS=MR","SCALING_FORMAT=MLN","Sort=A","Dates=H","DateFormat=P","Fill=—","Direction=H","UseDPDF=Y")</f>
        <v>—</v>
      </c>
      <c r="I25" s="13" t="str">
        <f>_xll.BDH("AMGN US Equity","ARD_GL_ON_SALE_OF_INV_MKT_SEC","FQ2 2020","FQ2 2020","Currency=USD","Period=FQ","BEST_FPERIOD_OVERRIDE=FQ","FILING_STATUS=MR","SCALING_FORMAT=MLN","Sort=A","Dates=H","DateFormat=P","Fill=—","Direction=H","UseDPDF=Y")</f>
        <v>—</v>
      </c>
      <c r="J25" s="13" t="str">
        <f>_xll.BDH("AMGN US Equity","ARD_GL_ON_SALE_OF_INV_MKT_SEC","FQ3 2020","FQ3 2020","Currency=USD","Period=FQ","BEST_FPERIOD_OVERRIDE=FQ","FILING_STATUS=MR","SCALING_FORMAT=MLN","Sort=A","Dates=H","DateFormat=P","Fill=—","Direction=H","UseDPDF=Y")</f>
        <v>—</v>
      </c>
      <c r="K25" s="13" t="str">
        <f>_xll.BDH("AMGN US Equity","ARD_GL_ON_SALE_OF_INV_MKT_SEC","FQ4 2020","FQ4 2020","Currency=USD","Period=FQ","BEST_FPERIOD_OVERRIDE=FQ","FILING_STATUS=MR","SCALING_FORMAT=MLN","Sort=A","Dates=H","DateFormat=P","Fill=—","Direction=H","UseDPDF=Y")</f>
        <v>—</v>
      </c>
      <c r="L25" s="13" t="str">
        <f>_xll.BDH("AMGN US Equity","ARD_GL_ON_SALE_OF_INV_MKT_SEC","FQ1 2021","FQ1 2021","Currency=USD","Period=FQ","BEST_FPERIOD_OVERRIDE=FQ","FILING_STATUS=MR","SCALING_FORMAT=MLN","Sort=A","Dates=H","DateFormat=P","Fill=—","Direction=H","UseDPDF=Y")</f>
        <v>—</v>
      </c>
      <c r="M25" s="13" t="str">
        <f>_xll.BDH("AMGN US Equity","ARD_GL_ON_SALE_OF_INV_MKT_SEC","FQ2 2021","FQ2 2021","Currency=USD","Period=FQ","BEST_FPERIOD_OVERRIDE=FQ","FILING_STATUS=MR","SCALING_FORMAT=MLN","Sort=A","Dates=H","DateFormat=P","Fill=—","Direction=H","UseDPDF=Y")</f>
        <v>—</v>
      </c>
      <c r="N25" s="13" t="str">
        <f>_xll.BDH("AMGN US Equity","ARD_GL_ON_SALE_OF_INV_MKT_SEC","FQ3 2021","FQ3 2021","Currency=USD","Period=FQ","BEST_FPERIOD_OVERRIDE=FQ","FILING_STATUS=MR","SCALING_FORMAT=MLN","Sort=A","Dates=H","DateFormat=P","Fill=—","Direction=H","UseDPDF=Y")</f>
        <v>—</v>
      </c>
      <c r="O25" s="13" t="str">
        <f>_xll.BDH("AMGN US Equity","ARD_GL_ON_SALE_OF_INV_MKT_SEC","FQ4 2021","FQ4 2021","Currency=USD","Period=FQ","BEST_FPERIOD_OVERRIDE=FQ","FILING_STATUS=MR","SCALING_FORMAT=MLN","Sort=A","Dates=H","DateFormat=P","Fill=—","Direction=H","UseDPDF=Y")</f>
        <v>—</v>
      </c>
      <c r="P25" s="13" t="str">
        <f>_xll.BDH("AMGN US Equity","ARD_GL_ON_SALE_OF_INV_MKT_SEC","FQ1 2022","FQ1 2022","Currency=USD","Period=FQ","BEST_FPERIOD_OVERRIDE=FQ","FILING_STATUS=MR","SCALING_FORMAT=MLN","Sort=A","Dates=H","DateFormat=P","Fill=—","Direction=H","UseDPDF=Y")</f>
        <v>—</v>
      </c>
      <c r="Q25" s="13" t="str">
        <f>_xll.BDH("AMGN US Equity","ARD_GL_ON_SALE_OF_INV_MKT_SEC","FQ2 2022","FQ2 2022","Currency=USD","Period=FQ","BEST_FPERIOD_OVERRIDE=FQ","FILING_STATUS=MR","SCALING_FORMAT=MLN","Sort=A","Dates=H","DateFormat=P","Fill=—","Direction=H","UseDPDF=Y")</f>
        <v>—</v>
      </c>
      <c r="R25" s="13" t="str">
        <f>_xll.BDH("AMGN US Equity","ARD_GL_ON_SALE_OF_INV_MKT_SEC","FQ3 2022","FQ3 2022","Currency=USD","Period=FQ","BEST_FPERIOD_OVERRIDE=FQ","FILING_STATUS=MR","SCALING_FORMAT=MLN","Sort=A","Dates=H","DateFormat=P","Fill=—","Direction=H","UseDPDF=Y")</f>
        <v>—</v>
      </c>
      <c r="S25" s="13" t="str">
        <f>_xll.BDH("AMGN US Equity","ARD_GL_ON_SALE_OF_INV_MKT_SEC","FQ4 2022","FQ4 2022","Currency=USD","Period=FQ","BEST_FPERIOD_OVERRIDE=FQ","FILING_STATUS=MR","SCALING_FORMAT=MLN","Sort=A","Dates=H","DateFormat=P","Fill=—","Direction=H","UseDPDF=Y")</f>
        <v>—</v>
      </c>
      <c r="T25" s="13">
        <f>_xll.BDH("AMGN US Equity","ARD_GL_ON_SALE_OF_INV_MKT_SEC","FQ1 2023","FQ1 2023","Currency=USD","Period=FQ","BEST_FPERIOD_OVERRIDE=FQ","FILING_STATUS=MR","SCALING_FORMAT=MLN","Sort=A","Dates=H","DateFormat=P","Fill=—","Direction=H","UseDPDF=Y")</f>
        <v>-1830</v>
      </c>
      <c r="U25" s="13">
        <f>_xll.BDH("AMGN US Equity","ARD_GL_ON_SALE_OF_INV_MKT_SEC","FQ2 2023","FQ2 2023","Currency=USD","Period=FQ","BEST_FPERIOD_OVERRIDE=FQ","FILING_STATUS=MR","SCALING_FORMAT=MLN","Sort=A","Dates=H","DateFormat=P","Fill=—","Direction=H","UseDPDF=Y")</f>
        <v>-1169</v>
      </c>
      <c r="V25" s="13">
        <f>_xll.BDH("AMGN US Equity","ARD_GL_ON_SALE_OF_INV_MKT_SEC","FQ3 2023","FQ3 2023","Currency=USD","Period=FQ","BEST_FPERIOD_OVERRIDE=FQ","FILING_STATUS=MR","SCALING_FORMAT=MLN","Sort=A","Dates=H","DateFormat=P","Fill=—","Direction=H","UseDPDF=Y")</f>
        <v>-1304</v>
      </c>
      <c r="W25" s="13" t="str">
        <f>_xll.BDH("AMGN US Equity","ARD_GL_ON_SALE_OF_INV_MKT_SEC","FQ4 2023","FQ4 2023","Currency=USD","Period=FQ","BEST_FPERIOD_OVERRIDE=FQ","FILING_STATUS=MR","SCALING_FORMAT=MLN","Sort=A","Dates=H","DateFormat=P","Fill=—","Direction=H","UseDPDF=Y")</f>
        <v>—</v>
      </c>
      <c r="X25" s="13">
        <f>_xll.BDH("AMGN US Equity","ARD_GL_ON_SALE_OF_INV_MKT_SEC","FQ1 2024","FQ1 2024","Currency=USD","Period=FQ","BEST_FPERIOD_OVERRIDE=FQ","FILING_STATUS=MR","SCALING_FORMAT=MLN","Sort=A","Dates=H","DateFormat=P","Fill=—","Direction=H","UseDPDF=Y")</f>
        <v>515</v>
      </c>
      <c r="Y25" s="13">
        <f>_xll.BDH("AMGN US Equity","ARD_GL_ON_SALE_OF_INV_MKT_SEC","FQ2 2024","FQ2 2024","Currency=USD","Period=FQ","BEST_FPERIOD_OVERRIDE=FQ","FILING_STATUS=MR","SCALING_FORMAT=MLN","Sort=A","Dates=H","DateFormat=P","Fill=—","Direction=H","UseDPDF=Y")</f>
        <v>916</v>
      </c>
      <c r="Z25" s="13">
        <f>_xll.BDH("AMGN US Equity","ARD_GL_ON_SALE_OF_INV_MKT_SEC","FQ3 2024","FQ3 2024","Currency=USD","Period=FQ","BEST_FPERIOD_OVERRIDE=FQ","FILING_STATUS=MR","SCALING_FORMAT=MLN","Sort=A","Dates=H","DateFormat=P","Fill=—","Direction=H","UseDPDF=Y")</f>
        <v>-717</v>
      </c>
      <c r="AA25" s="13" t="str">
        <f>_xll.BDH("AMGN US Equity","ARD_GL_ON_SALE_OF_INV_MKT_SEC","FQ4 2024","FQ4 2024","Currency=USD","Period=FQ","BEST_FPERIOD_OVERRIDE=FQ","FILING_STATUS=MR","SCALING_FORMAT=MLN","Sort=A","Dates=H","DateFormat=P","Fill=—","Direction=H","UseDPDF=Y")</f>
        <v>—</v>
      </c>
    </row>
    <row r="26" spans="1:27" x14ac:dyDescent="0.25">
      <c r="A26" s="10" t="s">
        <v>1392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5">
      <c r="A27" s="10" t="s">
        <v>86</v>
      </c>
      <c r="B27" s="10" t="s">
        <v>1393</v>
      </c>
      <c r="C27" s="13">
        <f>_xll.BDH("AMGN US Equity","ARD_CAPITAL_EXPENDITURES","FQ4 2018","FQ4 2018","Currency=USD","Period=FQ","BEST_FPERIOD_OVERRIDE=FQ","FILING_STATUS=MR","SCALING_FORMAT=MLN","Sort=A","Dates=H","DateFormat=P","Fill=—","Direction=H","UseDPDF=Y")</f>
        <v>-738</v>
      </c>
      <c r="D27" s="13">
        <f>_xll.BDH("AMGN US Equity","ARD_CAPITAL_EXPENDITURES","FQ1 2019","FQ1 2019","Currency=USD","Period=FQ","BEST_FPERIOD_OVERRIDE=FQ","FILING_STATUS=MR","SCALING_FORMAT=MLN","Sort=A","Dates=H","DateFormat=P","Fill=—","Direction=H","UseDPDF=Y")</f>
        <v>-116</v>
      </c>
      <c r="E27" s="13">
        <f>_xll.BDH("AMGN US Equity","ARD_CAPITAL_EXPENDITURES","FQ2 2019","FQ2 2019","Currency=USD","Period=FQ","BEST_FPERIOD_OVERRIDE=FQ","FILING_STATUS=MR","SCALING_FORMAT=MLN","Sort=A","Dates=H","DateFormat=P","Fill=—","Direction=H","UseDPDF=Y")</f>
        <v>-260</v>
      </c>
      <c r="F27" s="13">
        <f>_xll.BDH("AMGN US Equity","ARD_CAPITAL_EXPENDITURES","FQ3 2019","FQ3 2019","Currency=USD","Period=FQ","BEST_FPERIOD_OVERRIDE=FQ","FILING_STATUS=MR","SCALING_FORMAT=MLN","Sort=A","Dates=H","DateFormat=P","Fill=—","Direction=H","UseDPDF=Y")</f>
        <v>-430</v>
      </c>
      <c r="G27" s="13">
        <f>_xll.BDH("AMGN US Equity","ARD_CAPITAL_EXPENDITURES","FQ4 2019","FQ4 2019","Currency=USD","Period=FQ","BEST_FPERIOD_OVERRIDE=FQ","FILING_STATUS=MR","SCALING_FORMAT=MLN","Sort=A","Dates=H","DateFormat=P","Fill=—","Direction=H","UseDPDF=Y")</f>
        <v>-618</v>
      </c>
      <c r="H27" s="13">
        <f>_xll.BDH("AMGN US Equity","ARD_CAPITAL_EXPENDITURES","FQ1 2020","FQ1 2020","Currency=USD","Period=FQ","BEST_FPERIOD_OVERRIDE=FQ","FILING_STATUS=MR","SCALING_FORMAT=MLN","Sort=A","Dates=H","DateFormat=P","Fill=—","Direction=H","UseDPDF=Y")</f>
        <v>-142</v>
      </c>
      <c r="I27" s="13">
        <f>_xll.BDH("AMGN US Equity","ARD_CAPITAL_EXPENDITURES","FQ2 2020","FQ2 2020","Currency=USD","Period=FQ","BEST_FPERIOD_OVERRIDE=FQ","FILING_STATUS=MR","SCALING_FORMAT=MLN","Sort=A","Dates=H","DateFormat=P","Fill=—","Direction=H","UseDPDF=Y")</f>
        <v>-300</v>
      </c>
      <c r="J27" s="13">
        <f>_xll.BDH("AMGN US Equity","ARD_CAPITAL_EXPENDITURES","FQ3 2020","FQ3 2020","Currency=USD","Period=FQ","BEST_FPERIOD_OVERRIDE=FQ","FILING_STATUS=MR","SCALING_FORMAT=MLN","Sort=A","Dates=H","DateFormat=P","Fill=—","Direction=H","UseDPDF=Y")</f>
        <v>-435</v>
      </c>
      <c r="K27" s="13">
        <f>_xll.BDH("AMGN US Equity","ARD_CAPITAL_EXPENDITURES","FQ4 2020","FQ4 2020","Currency=USD","Period=FQ","BEST_FPERIOD_OVERRIDE=FQ","FILING_STATUS=MR","SCALING_FORMAT=MLN","Sort=A","Dates=H","DateFormat=P","Fill=—","Direction=H","UseDPDF=Y")</f>
        <v>-608</v>
      </c>
      <c r="L27" s="13">
        <f>_xll.BDH("AMGN US Equity","ARD_CAPITAL_EXPENDITURES","FQ1 2021","FQ1 2021","Currency=USD","Period=FQ","BEST_FPERIOD_OVERRIDE=FQ","FILING_STATUS=MR","SCALING_FORMAT=MLN","Sort=A","Dates=H","DateFormat=P","Fill=—","Direction=H","UseDPDF=Y")</f>
        <v>-166</v>
      </c>
      <c r="M27" s="13">
        <f>_xll.BDH("AMGN US Equity","ARD_CAPITAL_EXPENDITURES","FQ2 2021","FQ2 2021","Currency=USD","Period=FQ","BEST_FPERIOD_OVERRIDE=FQ","FILING_STATUS=MR","SCALING_FORMAT=MLN","Sort=A","Dates=H","DateFormat=P","Fill=—","Direction=H","UseDPDF=Y")</f>
        <v>-351</v>
      </c>
      <c r="N27" s="13">
        <f>_xll.BDH("AMGN US Equity","ARD_CAPITAL_EXPENDITURES","FQ3 2021","FQ3 2021","Currency=USD","Period=FQ","BEST_FPERIOD_OVERRIDE=FQ","FILING_STATUS=MR","SCALING_FORMAT=MLN","Sort=A","Dates=H","DateFormat=P","Fill=—","Direction=H","UseDPDF=Y")</f>
        <v>-593</v>
      </c>
      <c r="O27" s="13">
        <f>_xll.BDH("AMGN US Equity","ARD_CAPITAL_EXPENDITURES","FQ4 2021","FQ4 2021","Currency=USD","Period=FQ","BEST_FPERIOD_OVERRIDE=FQ","FILING_STATUS=MR","SCALING_FORMAT=MLN","Sort=A","Dates=H","DateFormat=P","Fill=—","Direction=H","UseDPDF=Y")</f>
        <v>-880</v>
      </c>
      <c r="P27" s="13">
        <f>_xll.BDH("AMGN US Equity","ARD_CAPITAL_EXPENDITURES","FQ1 2022","FQ1 2022","Currency=USD","Period=FQ","BEST_FPERIOD_OVERRIDE=FQ","FILING_STATUS=MR","SCALING_FORMAT=MLN","Sort=A","Dates=H","DateFormat=P","Fill=—","Direction=H","UseDPDF=Y")</f>
        <v>-190</v>
      </c>
      <c r="Q27" s="13">
        <f>_xll.BDH("AMGN US Equity","ARD_CAPITAL_EXPENDITURES","FQ2 2022","FQ2 2022","Currency=USD","Period=FQ","BEST_FPERIOD_OVERRIDE=FQ","FILING_STATUS=MR","SCALING_FORMAT=MLN","Sort=A","Dates=H","DateFormat=P","Fill=—","Direction=H","UseDPDF=Y")</f>
        <v>-436</v>
      </c>
      <c r="R27" s="13">
        <f>_xll.BDH("AMGN US Equity","ARD_CAPITAL_EXPENDITURES","FQ3 2022","FQ3 2022","Currency=USD","Period=FQ","BEST_FPERIOD_OVERRIDE=FQ","FILING_STATUS=MR","SCALING_FORMAT=MLN","Sort=A","Dates=H","DateFormat=P","Fill=—","Direction=H","UseDPDF=Y")</f>
        <v>-596</v>
      </c>
      <c r="S27" s="13">
        <f>_xll.BDH("AMGN US Equity","ARD_CAPITAL_EXPENDITURES","FQ4 2022","FQ4 2022","Currency=USD","Period=FQ","BEST_FPERIOD_OVERRIDE=FQ","FILING_STATUS=MR","SCALING_FORMAT=MLN","Sort=A","Dates=H","DateFormat=P","Fill=—","Direction=H","UseDPDF=Y")</f>
        <v>-936</v>
      </c>
      <c r="T27" s="13">
        <f>_xll.BDH("AMGN US Equity","ARD_CAPITAL_EXPENDITURES","FQ1 2023","FQ1 2023","Currency=USD","Period=FQ","BEST_FPERIOD_OVERRIDE=FQ","FILING_STATUS=MR","SCALING_FORMAT=MLN","Sort=A","Dates=H","DateFormat=P","Fill=—","Direction=H","UseDPDF=Y")</f>
        <v>-344</v>
      </c>
      <c r="U27" s="13">
        <f>_xll.BDH("AMGN US Equity","ARD_CAPITAL_EXPENDITURES","FQ2 2023","FQ2 2023","Currency=USD","Period=FQ","BEST_FPERIOD_OVERRIDE=FQ","FILING_STATUS=MR","SCALING_FORMAT=MLN","Sort=A","Dates=H","DateFormat=P","Fill=—","Direction=H","UseDPDF=Y")</f>
        <v>-615</v>
      </c>
      <c r="V27" s="13">
        <f>_xll.BDH("AMGN US Equity","ARD_CAPITAL_EXPENDITURES","FQ3 2023","FQ3 2023","Currency=USD","Period=FQ","BEST_FPERIOD_OVERRIDE=FQ","FILING_STATUS=MR","SCALING_FORMAT=MLN","Sort=A","Dates=H","DateFormat=P","Fill=—","Direction=H","UseDPDF=Y")</f>
        <v>-863</v>
      </c>
      <c r="W27" s="13">
        <f>_xll.BDH("AMGN US Equity","ARD_CAPITAL_EXPENDITURES","FQ4 2023","FQ4 2023","Currency=USD","Period=FQ","BEST_FPERIOD_OVERRIDE=FQ","FILING_STATUS=MR","SCALING_FORMAT=MLN","Sort=A","Dates=H","DateFormat=P","Fill=—","Direction=H","UseDPDF=Y")</f>
        <v>-1112</v>
      </c>
      <c r="X27" s="13">
        <f>_xll.BDH("AMGN US Equity","ARD_CAPITAL_EXPENDITURES","FQ1 2024","FQ1 2024","Currency=USD","Period=FQ","BEST_FPERIOD_OVERRIDE=FQ","FILING_STATUS=MR","SCALING_FORMAT=MLN","Sort=A","Dates=H","DateFormat=P","Fill=—","Direction=H","UseDPDF=Y")</f>
        <v>-230</v>
      </c>
      <c r="Y27" s="13">
        <f>_xll.BDH("AMGN US Equity","ARD_CAPITAL_EXPENDITURES","FQ2 2024","FQ2 2024","Currency=USD","Period=FQ","BEST_FPERIOD_OVERRIDE=FQ","FILING_STATUS=MR","SCALING_FORMAT=MLN","Sort=A","Dates=H","DateFormat=P","Fill=—","Direction=H","UseDPDF=Y")</f>
        <v>-468</v>
      </c>
      <c r="Z27" s="13">
        <f>_xll.BDH("AMGN US Equity","ARD_CAPITAL_EXPENDITURES","FQ3 2024","FQ3 2024","Currency=USD","Period=FQ","BEST_FPERIOD_OVERRIDE=FQ","FILING_STATUS=MR","SCALING_FORMAT=MLN","Sort=A","Dates=H","DateFormat=P","Fill=—","Direction=H","UseDPDF=Y")</f>
        <v>-725</v>
      </c>
      <c r="AA27" s="13">
        <f>_xll.BDH("AMGN US Equity","ARD_CAPITAL_EXPENDITURES","FQ4 2024","FQ4 2024","Currency=USD","Period=FQ","BEST_FPERIOD_OVERRIDE=FQ","FILING_STATUS=MR","SCALING_FORMAT=MLN","Sort=A","Dates=H","DateFormat=P","Fill=—","Direction=H","UseDPDF=Y")</f>
        <v>-1096</v>
      </c>
    </row>
    <row r="28" spans="1:27" x14ac:dyDescent="0.25">
      <c r="A28" s="10" t="s">
        <v>1394</v>
      </c>
      <c r="B28" s="10" t="s">
        <v>1395</v>
      </c>
      <c r="C28" s="13">
        <f>_xll.BDH("AMGN US Equity","ARD_PURCHASES_OF_LT_INVEST","FQ4 2018","FQ4 2018","Currency=USD","Period=FQ","BEST_FPERIOD_OVERRIDE=FQ","FILING_STATUS=MR","SCALING_FORMAT=MLN","Sort=A","Dates=H","DateFormat=P","Fill=—","Direction=H","UseDPDF=Y")</f>
        <v>-40</v>
      </c>
      <c r="D28" s="13" t="str">
        <f>_xll.BDH("AMGN US Equity","ARD_PURCHASES_OF_LT_INVEST","FQ1 2019","FQ1 2019","Currency=USD","Period=FQ","BEST_FPERIOD_OVERRIDE=FQ","FILING_STATUS=MR","SCALING_FORMAT=MLN","Sort=A","Dates=H","DateFormat=P","Fill=—","Direction=H","UseDPDF=Y")</f>
        <v>—</v>
      </c>
      <c r="E28" s="13" t="str">
        <f>_xll.BDH("AMGN US Equity","ARD_PURCHASES_OF_LT_INVEST","FQ2 2019","FQ2 2019","Currency=USD","Period=FQ","BEST_FPERIOD_OVERRIDE=FQ","FILING_STATUS=MR","SCALING_FORMAT=MLN","Sort=A","Dates=H","DateFormat=P","Fill=—","Direction=H","UseDPDF=Y")</f>
        <v>—</v>
      </c>
      <c r="F28" s="13" t="str">
        <f>_xll.BDH("AMGN US Equity","ARD_PURCHASES_OF_LT_INVEST","FQ3 2019","FQ3 2019","Currency=USD","Period=FQ","BEST_FPERIOD_OVERRIDE=FQ","FILING_STATUS=MR","SCALING_FORMAT=MLN","Sort=A","Dates=H","DateFormat=P","Fill=—","Direction=H","UseDPDF=Y")</f>
        <v>—</v>
      </c>
      <c r="G28" s="13">
        <f>_xll.BDH("AMGN US Equity","ARD_PURCHASES_OF_LT_INVEST","FQ4 2019","FQ4 2019","Currency=USD","Period=FQ","BEST_FPERIOD_OVERRIDE=FQ","FILING_STATUS=MR","SCALING_FORMAT=MLN","Sort=A","Dates=H","DateFormat=P","Fill=—","Direction=H","UseDPDF=Y")</f>
        <v>-24</v>
      </c>
      <c r="H28" s="13" t="str">
        <f>_xll.BDH("AMGN US Equity","ARD_PURCHASES_OF_LT_INVEST","FQ1 2020","FQ1 2020","Currency=USD","Period=FQ","BEST_FPERIOD_OVERRIDE=FQ","FILING_STATUS=MR","SCALING_FORMAT=MLN","Sort=A","Dates=H","DateFormat=P","Fill=—","Direction=H","UseDPDF=Y")</f>
        <v>—</v>
      </c>
      <c r="I28" s="13" t="str">
        <f>_xll.BDH("AMGN US Equity","ARD_PURCHASES_OF_LT_INVEST","FQ2 2020","FQ2 2020","Currency=USD","Period=FQ","BEST_FPERIOD_OVERRIDE=FQ","FILING_STATUS=MR","SCALING_FORMAT=MLN","Sort=A","Dates=H","DateFormat=P","Fill=—","Direction=H","UseDPDF=Y")</f>
        <v>—</v>
      </c>
      <c r="J28" s="13" t="str">
        <f>_xll.BDH("AMGN US Equity","ARD_PURCHASES_OF_LT_INVEST","FQ3 2020","FQ3 2020","Currency=USD","Period=FQ","BEST_FPERIOD_OVERRIDE=FQ","FILING_STATUS=MR","SCALING_FORMAT=MLN","Sort=A","Dates=H","DateFormat=P","Fill=—","Direction=H","UseDPDF=Y")</f>
        <v>—</v>
      </c>
      <c r="K28" s="13">
        <f>_xll.BDH("AMGN US Equity","ARD_PURCHASES_OF_LT_INVEST","FQ4 2020","FQ4 2020","Currency=USD","Period=FQ","BEST_FPERIOD_OVERRIDE=FQ","FILING_STATUS=MR","SCALING_FORMAT=MLN","Sort=A","Dates=H","DateFormat=P","Fill=—","Direction=H","UseDPDF=Y")</f>
        <v>-3219</v>
      </c>
      <c r="L28" s="13" t="str">
        <f>_xll.BDH("AMGN US Equity","ARD_PURCHASES_OF_LT_INVEST","FQ1 2021","FQ1 2021","Currency=USD","Period=FQ","BEST_FPERIOD_OVERRIDE=FQ","FILING_STATUS=MR","SCALING_FORMAT=MLN","Sort=A","Dates=H","DateFormat=P","Fill=—","Direction=H","UseDPDF=Y")</f>
        <v>—</v>
      </c>
      <c r="M28" s="13" t="str">
        <f>_xll.BDH("AMGN US Equity","ARD_PURCHASES_OF_LT_INVEST","FQ2 2021","FQ2 2021","Currency=USD","Period=FQ","BEST_FPERIOD_OVERRIDE=FQ","FILING_STATUS=MR","SCALING_FORMAT=MLN","Sort=A","Dates=H","DateFormat=P","Fill=—","Direction=H","UseDPDF=Y")</f>
        <v>—</v>
      </c>
      <c r="N28" s="13" t="str">
        <f>_xll.BDH("AMGN US Equity","ARD_PURCHASES_OF_LT_INVEST","FQ3 2021","FQ3 2021","Currency=USD","Period=FQ","BEST_FPERIOD_OVERRIDE=FQ","FILING_STATUS=MR","SCALING_FORMAT=MLN","Sort=A","Dates=H","DateFormat=P","Fill=—","Direction=H","UseDPDF=Y")</f>
        <v>—</v>
      </c>
      <c r="O28" s="13">
        <f>_xll.BDH("AMGN US Equity","ARD_PURCHASES_OF_LT_INVEST","FQ4 2021","FQ4 2021","Currency=USD","Period=FQ","BEST_FPERIOD_OVERRIDE=FQ","FILING_STATUS=MR","SCALING_FORMAT=MLN","Sort=A","Dates=H","DateFormat=P","Fill=—","Direction=H","UseDPDF=Y")</f>
        <v>-157</v>
      </c>
      <c r="P28" s="13" t="str">
        <f>_xll.BDH("AMGN US Equity","ARD_PURCHASES_OF_LT_INVEST","FQ1 2022","FQ1 2022","Currency=USD","Period=FQ","BEST_FPERIOD_OVERRIDE=FQ","FILING_STATUS=MR","SCALING_FORMAT=MLN","Sort=A","Dates=H","DateFormat=P","Fill=—","Direction=H","UseDPDF=Y")</f>
        <v>—</v>
      </c>
      <c r="Q28" s="13" t="str">
        <f>_xll.BDH("AMGN US Equity","ARD_PURCHASES_OF_LT_INVEST","FQ2 2022","FQ2 2022","Currency=USD","Period=FQ","BEST_FPERIOD_OVERRIDE=FQ","FILING_STATUS=MR","SCALING_FORMAT=MLN","Sort=A","Dates=H","DateFormat=P","Fill=—","Direction=H","UseDPDF=Y")</f>
        <v>—</v>
      </c>
      <c r="R28" s="13" t="str">
        <f>_xll.BDH("AMGN US Equity","ARD_PURCHASES_OF_LT_INVEST","FQ3 2022","FQ3 2022","Currency=USD","Period=FQ","BEST_FPERIOD_OVERRIDE=FQ","FILING_STATUS=MR","SCALING_FORMAT=MLN","Sort=A","Dates=H","DateFormat=P","Fill=—","Direction=H","UseDPDF=Y")</f>
        <v>—</v>
      </c>
      <c r="S28" s="13">
        <f>_xll.BDH("AMGN US Equity","ARD_PURCHASES_OF_LT_INVEST","FQ4 2022","FQ4 2022","Currency=USD","Period=FQ","BEST_FPERIOD_OVERRIDE=FQ","FILING_STATUS=MR","SCALING_FORMAT=MLN","Sort=A","Dates=H","DateFormat=P","Fill=—","Direction=H","UseDPDF=Y")</f>
        <v>-18</v>
      </c>
      <c r="T28" s="13" t="str">
        <f>_xll.BDH("AMGN US Equity","ARD_PURCHASES_OF_LT_INVEST","FQ1 2023","FQ1 2023","Currency=USD","Period=FQ","BEST_FPERIOD_OVERRIDE=FQ","FILING_STATUS=MR","SCALING_FORMAT=MLN","Sort=A","Dates=H","DateFormat=P","Fill=—","Direction=H","UseDPDF=Y")</f>
        <v>—</v>
      </c>
      <c r="U28" s="13" t="str">
        <f>_xll.BDH("AMGN US Equity","ARD_PURCHASES_OF_LT_INVEST","FQ2 2023","FQ2 2023","Currency=USD","Period=FQ","BEST_FPERIOD_OVERRIDE=FQ","FILING_STATUS=MR","SCALING_FORMAT=MLN","Sort=A","Dates=H","DateFormat=P","Fill=—","Direction=H","UseDPDF=Y")</f>
        <v>—</v>
      </c>
      <c r="V28" s="13" t="str">
        <f>_xll.BDH("AMGN US Equity","ARD_PURCHASES_OF_LT_INVEST","FQ3 2023","FQ3 2023","Currency=USD","Period=FQ","BEST_FPERIOD_OVERRIDE=FQ","FILING_STATUS=MR","SCALING_FORMAT=MLN","Sort=A","Dates=H","DateFormat=P","Fill=—","Direction=H","UseDPDF=Y")</f>
        <v>—</v>
      </c>
      <c r="W28" s="13" t="str">
        <f>_xll.BDH("AMGN US Equity","ARD_PURCHASES_OF_LT_INVEST","FQ4 2023","FQ4 2023","Currency=USD","Period=FQ","BEST_FPERIOD_OVERRIDE=FQ","FILING_STATUS=MR","SCALING_FORMAT=MLN","Sort=A","Dates=H","DateFormat=P","Fill=—","Direction=H","UseDPDF=Y")</f>
        <v>—</v>
      </c>
      <c r="X28" s="13" t="str">
        <f>_xll.BDH("AMGN US Equity","ARD_PURCHASES_OF_LT_INVEST","FQ1 2024","FQ1 2024","Currency=USD","Period=FQ","BEST_FPERIOD_OVERRIDE=FQ","FILING_STATUS=MR","SCALING_FORMAT=MLN","Sort=A","Dates=H","DateFormat=P","Fill=—","Direction=H","UseDPDF=Y")</f>
        <v>—</v>
      </c>
      <c r="Y28" s="13" t="str">
        <f>_xll.BDH("AMGN US Equity","ARD_PURCHASES_OF_LT_INVEST","FQ2 2024","FQ2 2024","Currency=USD","Period=FQ","BEST_FPERIOD_OVERRIDE=FQ","FILING_STATUS=MR","SCALING_FORMAT=MLN","Sort=A","Dates=H","DateFormat=P","Fill=—","Direction=H","UseDPDF=Y")</f>
        <v>—</v>
      </c>
      <c r="Z28" s="13" t="str">
        <f>_xll.BDH("AMGN US Equity","ARD_PURCHASES_OF_LT_INVEST","FQ3 2024","FQ3 2024","Currency=USD","Period=FQ","BEST_FPERIOD_OVERRIDE=FQ","FILING_STATUS=MR","SCALING_FORMAT=MLN","Sort=A","Dates=H","DateFormat=P","Fill=—","Direction=H","UseDPDF=Y")</f>
        <v>—</v>
      </c>
      <c r="AA28" s="13" t="str">
        <f>_xll.BDH("AMGN US Equity","ARD_PURCHASES_OF_LT_INVEST","FQ4 2024","FQ4 2024","Currency=USD","Period=FQ","BEST_FPERIOD_OVERRIDE=FQ","FILING_STATUS=MR","SCALING_FORMAT=MLN","Sort=A","Dates=H","DateFormat=P","Fill=—","Direction=H","UseDPDF=Y")</f>
        <v>—</v>
      </c>
    </row>
    <row r="29" spans="1:27" x14ac:dyDescent="0.25">
      <c r="A29" s="10" t="s">
        <v>1396</v>
      </c>
      <c r="B29" s="10" t="s">
        <v>1397</v>
      </c>
      <c r="C29" s="13">
        <f>_xll.BDH("AMGN US Equity","ARD_ACQUISITION_OF_BUSINESS","FQ4 2018","FQ4 2018","Currency=USD","Period=FQ","BEST_FPERIOD_OVERRIDE=FQ","FILING_STATUS=MR","SCALING_FORMAT=MLN","Sort=A","Dates=H","DateFormat=P","Fill=—","Direction=H","UseDPDF=Y")</f>
        <v>195</v>
      </c>
      <c r="D29" s="13" t="str">
        <f>_xll.BDH("AMGN US Equity","ARD_ACQUISITION_OF_BUSINESS","FQ1 2019","FQ1 2019","Currency=USD","Period=FQ","BEST_FPERIOD_OVERRIDE=FQ","FILING_STATUS=MR","SCALING_FORMAT=MLN","Sort=A","Dates=H","DateFormat=P","Fill=—","Direction=H","UseDPDF=Y")</f>
        <v>—</v>
      </c>
      <c r="E29" s="13" t="str">
        <f>_xll.BDH("AMGN US Equity","ARD_ACQUISITION_OF_BUSINESS","FQ2 2019","FQ2 2019","Currency=USD","Period=FQ","BEST_FPERIOD_OVERRIDE=FQ","FILING_STATUS=MR","SCALING_FORMAT=MLN","Sort=A","Dates=H","DateFormat=P","Fill=—","Direction=H","UseDPDF=Y")</f>
        <v>—</v>
      </c>
      <c r="F29" s="13" t="str">
        <f>_xll.BDH("AMGN US Equity","ARD_ACQUISITION_OF_BUSINESS","FQ3 2019","FQ3 2019","Currency=USD","Period=FQ","BEST_FPERIOD_OVERRIDE=FQ","FILING_STATUS=MR","SCALING_FORMAT=MLN","Sort=A","Dates=H","DateFormat=P","Fill=—","Direction=H","UseDPDF=Y")</f>
        <v>—</v>
      </c>
      <c r="G29" s="13">
        <f>_xll.BDH("AMGN US Equity","ARD_ACQUISITION_OF_BUSINESS","FQ4 2019","FQ4 2019","Currency=USD","Period=FQ","BEST_FPERIOD_OVERRIDE=FQ","FILING_STATUS=MR","SCALING_FORMAT=MLN","Sort=A","Dates=H","DateFormat=P","Fill=—","Direction=H","UseDPDF=Y")</f>
        <v>-13617</v>
      </c>
      <c r="H29" s="13" t="str">
        <f>_xll.BDH("AMGN US Equity","ARD_ACQUISITION_OF_BUSINESS","FQ1 2020","FQ1 2020","Currency=USD","Period=FQ","BEST_FPERIOD_OVERRIDE=FQ","FILING_STATUS=MR","SCALING_FORMAT=MLN","Sort=A","Dates=H","DateFormat=P","Fill=—","Direction=H","UseDPDF=Y")</f>
        <v>—</v>
      </c>
      <c r="I29" s="13">
        <f>_xll.BDH("AMGN US Equity","ARD_ACQUISITION_OF_BUSINESS","FQ2 2020","FQ2 2020","Currency=USD","Period=FQ","BEST_FPERIOD_OVERRIDE=FQ","FILING_STATUS=MR","SCALING_FORMAT=MLN","Sort=A","Dates=H","DateFormat=P","Fill=—","Direction=H","UseDPDF=Y")</f>
        <v>0</v>
      </c>
      <c r="J29" s="13">
        <f>_xll.BDH("AMGN US Equity","ARD_ACQUISITION_OF_BUSINESS","FQ3 2020","FQ3 2020","Currency=USD","Period=FQ","BEST_FPERIOD_OVERRIDE=FQ","FILING_STATUS=MR","SCALING_FORMAT=MLN","Sort=A","Dates=H","DateFormat=P","Fill=—","Direction=H","UseDPDF=Y")</f>
        <v>0</v>
      </c>
      <c r="K29" s="13">
        <f>_xll.BDH("AMGN US Equity","ARD_ACQUISITION_OF_BUSINESS","FQ4 2020","FQ4 2020","Currency=USD","Period=FQ","BEST_FPERIOD_OVERRIDE=FQ","FILING_STATUS=MR","SCALING_FORMAT=MLN","Sort=A","Dates=H","DateFormat=P","Fill=—","Direction=H","UseDPDF=Y")</f>
        <v>0</v>
      </c>
      <c r="L29" s="13" t="str">
        <f>_xll.BDH("AMGN US Equity","ARD_ACQUISITION_OF_BUSINESS","FQ1 2021","FQ1 2021","Currency=USD","Period=FQ","BEST_FPERIOD_OVERRIDE=FQ","FILING_STATUS=MR","SCALING_FORMAT=MLN","Sort=A","Dates=H","DateFormat=P","Fill=—","Direction=H","UseDPDF=Y")</f>
        <v>—</v>
      </c>
      <c r="M29" s="13">
        <f>_xll.BDH("AMGN US Equity","ARD_ACQUISITION_OF_BUSINESS","FQ2 2021","FQ2 2021","Currency=USD","Period=FQ","BEST_FPERIOD_OVERRIDE=FQ","FILING_STATUS=MR","SCALING_FORMAT=MLN","Sort=A","Dates=H","DateFormat=P","Fill=—","Direction=H","UseDPDF=Y")</f>
        <v>-1626</v>
      </c>
      <c r="N29" s="13">
        <f>_xll.BDH("AMGN US Equity","ARD_ACQUISITION_OF_BUSINESS","FQ3 2021","FQ3 2021","Currency=USD","Period=FQ","BEST_FPERIOD_OVERRIDE=FQ","FILING_STATUS=MR","SCALING_FORMAT=MLN","Sort=A","Dates=H","DateFormat=P","Fill=—","Direction=H","UseDPDF=Y")</f>
        <v>-1639</v>
      </c>
      <c r="O29" s="13">
        <f>_xll.BDH("AMGN US Equity","ARD_ACQUISITION_OF_BUSINESS","FQ4 2021","FQ4 2021","Currency=USD","Period=FQ","BEST_FPERIOD_OVERRIDE=FQ","FILING_STATUS=MR","SCALING_FORMAT=MLN","Sort=A","Dates=H","DateFormat=P","Fill=—","Direction=H","UseDPDF=Y")</f>
        <v>-2529</v>
      </c>
      <c r="P29" s="13" t="str">
        <f>_xll.BDH("AMGN US Equity","ARD_ACQUISITION_OF_BUSINESS","FQ1 2022","FQ1 2022","Currency=USD","Period=FQ","BEST_FPERIOD_OVERRIDE=FQ","FILING_STATUS=MR","SCALING_FORMAT=MLN","Sort=A","Dates=H","DateFormat=P","Fill=—","Direction=H","UseDPDF=Y")</f>
        <v>—</v>
      </c>
      <c r="Q29" s="13">
        <f>_xll.BDH("AMGN US Equity","ARD_ACQUISITION_OF_BUSINESS","FQ2 2022","FQ2 2022","Currency=USD","Period=FQ","BEST_FPERIOD_OVERRIDE=FQ","FILING_STATUS=MR","SCALING_FORMAT=MLN","Sort=A","Dates=H","DateFormat=P","Fill=—","Direction=H","UseDPDF=Y")</f>
        <v>0</v>
      </c>
      <c r="R29" s="13">
        <f>_xll.BDH("AMGN US Equity","ARD_ACQUISITION_OF_BUSINESS","FQ3 2022","FQ3 2022","Currency=USD","Period=FQ","BEST_FPERIOD_OVERRIDE=FQ","FILING_STATUS=MR","SCALING_FORMAT=MLN","Sort=A","Dates=H","DateFormat=P","Fill=—","Direction=H","UseDPDF=Y")</f>
        <v>0</v>
      </c>
      <c r="S29" s="13">
        <f>_xll.BDH("AMGN US Equity","ARD_ACQUISITION_OF_BUSINESS","FQ4 2022","FQ4 2022","Currency=USD","Period=FQ","BEST_FPERIOD_OVERRIDE=FQ","FILING_STATUS=MR","SCALING_FORMAT=MLN","Sort=A","Dates=H","DateFormat=P","Fill=—","Direction=H","UseDPDF=Y")</f>
        <v>-3839</v>
      </c>
      <c r="T29" s="13" t="str">
        <f>_xll.BDH("AMGN US Equity","ARD_ACQUISITION_OF_BUSINESS","FQ1 2023","FQ1 2023","Currency=USD","Period=FQ","BEST_FPERIOD_OVERRIDE=FQ","FILING_STATUS=MR","SCALING_FORMAT=MLN","Sort=A","Dates=H","DateFormat=P","Fill=—","Direction=H","UseDPDF=Y")</f>
        <v>—</v>
      </c>
      <c r="U29" s="13" t="str">
        <f>_xll.BDH("AMGN US Equity","ARD_ACQUISITION_OF_BUSINESS","FQ2 2023","FQ2 2023","Currency=USD","Period=FQ","BEST_FPERIOD_OVERRIDE=FQ","FILING_STATUS=MR","SCALING_FORMAT=MLN","Sort=A","Dates=H","DateFormat=P","Fill=—","Direction=H","UseDPDF=Y")</f>
        <v>—</v>
      </c>
      <c r="V29" s="13" t="str">
        <f>_xll.BDH("AMGN US Equity","ARD_ACQUISITION_OF_BUSINESS","FQ3 2023","FQ3 2023","Currency=USD","Period=FQ","BEST_FPERIOD_OVERRIDE=FQ","FILING_STATUS=MR","SCALING_FORMAT=MLN","Sort=A","Dates=H","DateFormat=P","Fill=—","Direction=H","UseDPDF=Y")</f>
        <v>—</v>
      </c>
      <c r="W29" s="13">
        <f>_xll.BDH("AMGN US Equity","ARD_ACQUISITION_OF_BUSINESS","FQ4 2023","FQ4 2023","Currency=USD","Period=FQ","BEST_FPERIOD_OVERRIDE=FQ","FILING_STATUS=MR","SCALING_FORMAT=MLN","Sort=A","Dates=H","DateFormat=P","Fill=—","Direction=H","UseDPDF=Y")</f>
        <v>-26989</v>
      </c>
      <c r="X29" s="13" t="str">
        <f>_xll.BDH("AMGN US Equity","ARD_ACQUISITION_OF_BUSINESS","FQ1 2024","FQ1 2024","Currency=USD","Period=FQ","BEST_FPERIOD_OVERRIDE=FQ","FILING_STATUS=MR","SCALING_FORMAT=MLN","Sort=A","Dates=H","DateFormat=P","Fill=—","Direction=H","UseDPDF=Y")</f>
        <v>—</v>
      </c>
      <c r="Y29" s="13" t="str">
        <f>_xll.BDH("AMGN US Equity","ARD_ACQUISITION_OF_BUSINESS","FQ2 2024","FQ2 2024","Currency=USD","Period=FQ","BEST_FPERIOD_OVERRIDE=FQ","FILING_STATUS=MR","SCALING_FORMAT=MLN","Sort=A","Dates=H","DateFormat=P","Fill=—","Direction=H","UseDPDF=Y")</f>
        <v>—</v>
      </c>
      <c r="Z29" s="13" t="str">
        <f>_xll.BDH("AMGN US Equity","ARD_ACQUISITION_OF_BUSINESS","FQ3 2024","FQ3 2024","Currency=USD","Period=FQ","BEST_FPERIOD_OVERRIDE=FQ","FILING_STATUS=MR","SCALING_FORMAT=MLN","Sort=A","Dates=H","DateFormat=P","Fill=—","Direction=H","UseDPDF=Y")</f>
        <v>—</v>
      </c>
      <c r="AA29" s="13">
        <f>_xll.BDH("AMGN US Equity","ARD_ACQUISITION_OF_BUSINESS","FQ4 2024","FQ4 2024","Currency=USD","Period=FQ","BEST_FPERIOD_OVERRIDE=FQ","FILING_STATUS=MR","SCALING_FORMAT=MLN","Sort=A","Dates=H","DateFormat=P","Fill=—","Direction=H","UseDPDF=Y")</f>
        <v>0</v>
      </c>
    </row>
    <row r="30" spans="1:27" x14ac:dyDescent="0.25">
      <c r="A30" s="10" t="s">
        <v>1398</v>
      </c>
      <c r="B30" s="10" t="s">
        <v>1399</v>
      </c>
      <c r="C30" s="13">
        <f>_xll.BDH("AMGN US Equity","ARD_OTHER_INVESTING_ACTIVITIES","FQ4 2018","FQ4 2018","Currency=USD","Period=FQ","BEST_FPERIOD_OVERRIDE=FQ","FILING_STATUS=MR","SCALING_FORMAT=MLN","Sort=A","Dates=H","DateFormat=P","Fill=—","Direction=H","UseDPDF=Y")</f>
        <v>-105</v>
      </c>
      <c r="D30" s="13">
        <f>_xll.BDH("AMGN US Equity","ARD_OTHER_INVESTING_ACTIVITIES","FQ1 2019","FQ1 2019","Currency=USD","Period=FQ","BEST_FPERIOD_OVERRIDE=FQ","FILING_STATUS=MR","SCALING_FORMAT=MLN","Sort=A","Dates=H","DateFormat=P","Fill=—","Direction=H","UseDPDF=Y")</f>
        <v>-11</v>
      </c>
      <c r="E30" s="13">
        <f>_xll.BDH("AMGN US Equity","ARD_OTHER_INVESTING_ACTIVITIES","FQ2 2019","FQ2 2019","Currency=USD","Period=FQ","BEST_FPERIOD_OVERRIDE=FQ","FILING_STATUS=MR","SCALING_FORMAT=MLN","Sort=A","Dates=H","DateFormat=P","Fill=—","Direction=H","UseDPDF=Y")</f>
        <v>-12</v>
      </c>
      <c r="F30" s="13">
        <f>_xll.BDH("AMGN US Equity","ARD_OTHER_INVESTING_ACTIVITIES","FQ3 2019","FQ3 2019","Currency=USD","Period=FQ","BEST_FPERIOD_OVERRIDE=FQ","FILING_STATUS=MR","SCALING_FORMAT=MLN","Sort=A","Dates=H","DateFormat=P","Fill=—","Direction=H","UseDPDF=Y")</f>
        <v>-282</v>
      </c>
      <c r="G30" s="13">
        <f>_xll.BDH("AMGN US Equity","ARD_OTHER_INVESTING_ACTIVITIES","FQ4 2019","FQ4 2019","Currency=USD","Period=FQ","BEST_FPERIOD_OVERRIDE=FQ","FILING_STATUS=MR","SCALING_FORMAT=MLN","Sort=A","Dates=H","DateFormat=P","Fill=—","Direction=H","UseDPDF=Y")</f>
        <v>-28</v>
      </c>
      <c r="H30" s="13">
        <f>_xll.BDH("AMGN US Equity","ARD_OTHER_INVESTING_ACTIVITIES","FQ1 2020","FQ1 2020","Currency=USD","Period=FQ","BEST_FPERIOD_OVERRIDE=FQ","FILING_STATUS=MR","SCALING_FORMAT=MLN","Sort=A","Dates=H","DateFormat=P","Fill=—","Direction=H","UseDPDF=Y")</f>
        <v>-2646</v>
      </c>
      <c r="I30" s="13">
        <f>_xll.BDH("AMGN US Equity","ARD_OTHER_INVESTING_ACTIVITIES","FQ2 2020","FQ2 2020","Currency=USD","Period=FQ","BEST_FPERIOD_OVERRIDE=FQ","FILING_STATUS=MR","SCALING_FORMAT=MLN","Sort=A","Dates=H","DateFormat=P","Fill=—","Direction=H","UseDPDF=Y")</f>
        <v>-48</v>
      </c>
      <c r="J30" s="13">
        <f>_xll.BDH("AMGN US Equity","ARD_OTHER_INVESTING_ACTIVITIES","FQ3 2020","FQ3 2020","Currency=USD","Period=FQ","BEST_FPERIOD_OVERRIDE=FQ","FILING_STATUS=MR","SCALING_FORMAT=MLN","Sort=A","Dates=H","DateFormat=P","Fill=—","Direction=H","UseDPDF=Y")</f>
        <v>-34</v>
      </c>
      <c r="K30" s="13">
        <f>_xll.BDH("AMGN US Equity","ARD_OTHER_INVESTING_ACTIVITIES","FQ4 2020","FQ4 2020","Currency=USD","Period=FQ","BEST_FPERIOD_OVERRIDE=FQ","FILING_STATUS=MR","SCALING_FORMAT=MLN","Sort=A","Dates=H","DateFormat=P","Fill=—","Direction=H","UseDPDF=Y")</f>
        <v>-75</v>
      </c>
      <c r="L30" s="13">
        <f>_xll.BDH("AMGN US Equity","ARD_OTHER_INVESTING_ACTIVITIES","FQ1 2021","FQ1 2021","Currency=USD","Period=FQ","BEST_FPERIOD_OVERRIDE=FQ","FILING_STATUS=MR","SCALING_FORMAT=MLN","Sort=A","Dates=H","DateFormat=P","Fill=—","Direction=H","UseDPDF=Y")</f>
        <v>-79</v>
      </c>
      <c r="M30" s="13">
        <f>_xll.BDH("AMGN US Equity","ARD_OTHER_INVESTING_ACTIVITIES","FQ2 2021","FQ2 2021","Currency=USD","Period=FQ","BEST_FPERIOD_OVERRIDE=FQ","FILING_STATUS=MR","SCALING_FORMAT=MLN","Sort=A","Dates=H","DateFormat=P","Fill=—","Direction=H","UseDPDF=Y")</f>
        <v>-65</v>
      </c>
      <c r="N30" s="13">
        <f>_xll.BDH("AMGN US Equity","ARD_OTHER_INVESTING_ACTIVITIES","FQ3 2021","FQ3 2021","Currency=USD","Period=FQ","BEST_FPERIOD_OVERRIDE=FQ","FILING_STATUS=MR","SCALING_FORMAT=MLN","Sort=A","Dates=H","DateFormat=P","Fill=—","Direction=H","UseDPDF=Y")</f>
        <v>-234</v>
      </c>
      <c r="O30" s="13">
        <f>_xll.BDH("AMGN US Equity","ARD_OTHER_INVESTING_ACTIVITIES","FQ4 2021","FQ4 2021","Currency=USD","Period=FQ","BEST_FPERIOD_OVERRIDE=FQ","FILING_STATUS=MR","SCALING_FORMAT=MLN","Sort=A","Dates=H","DateFormat=P","Fill=—","Direction=H","UseDPDF=Y")</f>
        <v>-35</v>
      </c>
      <c r="P30" s="13">
        <f>_xll.BDH("AMGN US Equity","ARD_OTHER_INVESTING_ACTIVITIES","FQ1 2022","FQ1 2022","Currency=USD","Period=FQ","BEST_FPERIOD_OVERRIDE=FQ","FILING_STATUS=MR","SCALING_FORMAT=MLN","Sort=A","Dates=H","DateFormat=P","Fill=—","Direction=H","UseDPDF=Y")</f>
        <v>47</v>
      </c>
      <c r="Q30" s="13">
        <f>_xll.BDH("AMGN US Equity","ARD_OTHER_INVESTING_ACTIVITIES","FQ2 2022","FQ2 2022","Currency=USD","Period=FQ","BEST_FPERIOD_OVERRIDE=FQ","FILING_STATUS=MR","SCALING_FORMAT=MLN","Sort=A","Dates=H","DateFormat=P","Fill=—","Direction=H","UseDPDF=Y")</f>
        <v>61</v>
      </c>
      <c r="R30" s="13">
        <f>_xll.BDH("AMGN US Equity","ARD_OTHER_INVESTING_ACTIVITIES","FQ3 2022","FQ3 2022","Currency=USD","Period=FQ","BEST_FPERIOD_OVERRIDE=FQ","FILING_STATUS=MR","SCALING_FORMAT=MLN","Sort=A","Dates=H","DateFormat=P","Fill=—","Direction=H","UseDPDF=Y")</f>
        <v>-59</v>
      </c>
      <c r="S30" s="13">
        <f>_xll.BDH("AMGN US Equity","ARD_OTHER_INVESTING_ACTIVITIES","FQ4 2022","FQ4 2022","Currency=USD","Period=FQ","BEST_FPERIOD_OVERRIDE=FQ","FILING_STATUS=MR","SCALING_FORMAT=MLN","Sort=A","Dates=H","DateFormat=P","Fill=—","Direction=H","UseDPDF=Y")</f>
        <v>-12</v>
      </c>
      <c r="T30" s="13">
        <f>_xll.BDH("AMGN US Equity","ARD_OTHER_INVESTING_ACTIVITIES","FQ1 2023","FQ1 2023","Currency=USD","Period=FQ","BEST_FPERIOD_OVERRIDE=FQ","FILING_STATUS=MR","SCALING_FORMAT=MLN","Sort=A","Dates=H","DateFormat=P","Fill=—","Direction=H","UseDPDF=Y")</f>
        <v>28</v>
      </c>
      <c r="U30" s="13">
        <f>_xll.BDH("AMGN US Equity","ARD_OTHER_INVESTING_ACTIVITIES","FQ2 2023","FQ2 2023","Currency=USD","Period=FQ","BEST_FPERIOD_OVERRIDE=FQ","FILING_STATUS=MR","SCALING_FORMAT=MLN","Sort=A","Dates=H","DateFormat=P","Fill=—","Direction=H","UseDPDF=Y")</f>
        <v>87</v>
      </c>
      <c r="V30" s="13">
        <f>_xll.BDH("AMGN US Equity","ARD_OTHER_INVESTING_ACTIVITIES","FQ3 2023","FQ3 2023","Currency=USD","Period=FQ","BEST_FPERIOD_OVERRIDE=FQ","FILING_STATUS=MR","SCALING_FORMAT=MLN","Sort=A","Dates=H","DateFormat=P","Fill=—","Direction=H","UseDPDF=Y")</f>
        <v>74</v>
      </c>
      <c r="W30" s="13" t="str">
        <f>_xll.BDH("AMGN US Equity","ARD_OTHER_INVESTING_ACTIVITIES","FQ4 2023","FQ4 2023","Currency=USD","Period=FQ","BEST_FPERIOD_OVERRIDE=FQ","FILING_STATUS=MR","SCALING_FORMAT=MLN","Sort=A","Dates=H","DateFormat=P","Fill=—","Direction=H","UseDPDF=Y")</f>
        <v>—</v>
      </c>
      <c r="X30" s="13">
        <f>_xll.BDH("AMGN US Equity","ARD_OTHER_INVESTING_ACTIVITIES","FQ1 2024","FQ1 2024","Currency=USD","Period=FQ","BEST_FPERIOD_OVERRIDE=FQ","FILING_STATUS=MR","SCALING_FORMAT=MLN","Sort=A","Dates=H","DateFormat=P","Fill=—","Direction=H","UseDPDF=Y")</f>
        <v>13</v>
      </c>
      <c r="Y30" s="13">
        <f>_xll.BDH("AMGN US Equity","ARD_OTHER_INVESTING_ACTIVITIES","FQ2 2024","FQ2 2024","Currency=USD","Period=FQ","BEST_FPERIOD_OVERRIDE=FQ","FILING_STATUS=MR","SCALING_FORMAT=MLN","Sort=A","Dates=H","DateFormat=P","Fill=—","Direction=H","UseDPDF=Y")</f>
        <v>34</v>
      </c>
      <c r="Z30" s="13">
        <f>_xll.BDH("AMGN US Equity","ARD_OTHER_INVESTING_ACTIVITIES","FQ3 2024","FQ3 2024","Currency=USD","Period=FQ","BEST_FPERIOD_OVERRIDE=FQ","FILING_STATUS=MR","SCALING_FORMAT=MLN","Sort=A","Dates=H","DateFormat=P","Fill=—","Direction=H","UseDPDF=Y")</f>
        <v>81</v>
      </c>
      <c r="AA30" s="13">
        <f>_xll.BDH("AMGN US Equity","ARD_OTHER_INVESTING_ACTIVITIES","FQ4 2024","FQ4 2024","Currency=USD","Period=FQ","BEST_FPERIOD_OVERRIDE=FQ","FILING_STATUS=MR","SCALING_FORMAT=MLN","Sort=A","Dates=H","DateFormat=P","Fill=—","Direction=H","UseDPDF=Y")</f>
        <v>50</v>
      </c>
    </row>
    <row r="31" spans="1:27" x14ac:dyDescent="0.25">
      <c r="A31" s="10" t="s">
        <v>1400</v>
      </c>
      <c r="B31" s="10" t="s">
        <v>1401</v>
      </c>
      <c r="C31" s="13" t="str">
        <f>_xll.BDH("AMGN US Equity","ARD_DIVESTITURE_OF_BUSINESS","FQ4 2018","FQ4 2018","Currency=USD","Period=FQ","BEST_FPERIOD_OVERRIDE=FQ","FILING_STATUS=MR","SCALING_FORMAT=MLN","Sort=A","Dates=H","DateFormat=P","Fill=—","Direction=H","UseDPDF=Y")</f>
        <v>—</v>
      </c>
      <c r="D31" s="13" t="str">
        <f>_xll.BDH("AMGN US Equity","ARD_DIVESTITURE_OF_BUSINESS","FQ1 2019","FQ1 2019","Currency=USD","Period=FQ","BEST_FPERIOD_OVERRIDE=FQ","FILING_STATUS=MR","SCALING_FORMAT=MLN","Sort=A","Dates=H","DateFormat=P","Fill=—","Direction=H","UseDPDF=Y")</f>
        <v>—</v>
      </c>
      <c r="E31" s="13" t="str">
        <f>_xll.BDH("AMGN US Equity","ARD_DIVESTITURE_OF_BUSINESS","FQ2 2019","FQ2 2019","Currency=USD","Period=FQ","BEST_FPERIOD_OVERRIDE=FQ","FILING_STATUS=MR","SCALING_FORMAT=MLN","Sort=A","Dates=H","DateFormat=P","Fill=—","Direction=H","UseDPDF=Y")</f>
        <v>—</v>
      </c>
      <c r="F31" s="13" t="str">
        <f>_xll.BDH("AMGN US Equity","ARD_DIVESTITURE_OF_BUSINESS","FQ3 2019","FQ3 2019","Currency=USD","Period=FQ","BEST_FPERIOD_OVERRIDE=FQ","FILING_STATUS=MR","SCALING_FORMAT=MLN","Sort=A","Dates=H","DateFormat=P","Fill=—","Direction=H","UseDPDF=Y")</f>
        <v>—</v>
      </c>
      <c r="G31" s="13" t="str">
        <f>_xll.BDH("AMGN US Equity","ARD_DIVESTITURE_OF_BUSINESS","FQ4 2019","FQ4 2019","Currency=USD","Period=FQ","BEST_FPERIOD_OVERRIDE=FQ","FILING_STATUS=MR","SCALING_FORMAT=MLN","Sort=A","Dates=H","DateFormat=P","Fill=—","Direction=H","UseDPDF=Y")</f>
        <v>—</v>
      </c>
      <c r="H31" s="13" t="str">
        <f>_xll.BDH("AMGN US Equity","ARD_DIVESTITURE_OF_BUSINESS","FQ1 2020","FQ1 2020","Currency=USD","Period=FQ","BEST_FPERIOD_OVERRIDE=FQ","FILING_STATUS=MR","SCALING_FORMAT=MLN","Sort=A","Dates=H","DateFormat=P","Fill=—","Direction=H","UseDPDF=Y")</f>
        <v>—</v>
      </c>
      <c r="I31" s="13" t="str">
        <f>_xll.BDH("AMGN US Equity","ARD_DIVESTITURE_OF_BUSINESS","FQ2 2020","FQ2 2020","Currency=USD","Period=FQ","BEST_FPERIOD_OVERRIDE=FQ","FILING_STATUS=MR","SCALING_FORMAT=MLN","Sort=A","Dates=H","DateFormat=P","Fill=—","Direction=H","UseDPDF=Y")</f>
        <v>—</v>
      </c>
      <c r="J31" s="13" t="str">
        <f>_xll.BDH("AMGN US Equity","ARD_DIVESTITURE_OF_BUSINESS","FQ3 2020","FQ3 2020","Currency=USD","Period=FQ","BEST_FPERIOD_OVERRIDE=FQ","FILING_STATUS=MR","SCALING_FORMAT=MLN","Sort=A","Dates=H","DateFormat=P","Fill=—","Direction=H","UseDPDF=Y")</f>
        <v>—</v>
      </c>
      <c r="K31" s="13" t="str">
        <f>_xll.BDH("AMGN US Equity","ARD_DIVESTITURE_OF_BUSINESS","FQ4 2020","FQ4 2020","Currency=USD","Period=FQ","BEST_FPERIOD_OVERRIDE=FQ","FILING_STATUS=MR","SCALING_FORMAT=MLN","Sort=A","Dates=H","DateFormat=P","Fill=—","Direction=H","UseDPDF=Y")</f>
        <v>—</v>
      </c>
      <c r="L31" s="13" t="str">
        <f>_xll.BDH("AMGN US Equity","ARD_DIVESTITURE_OF_BUSINESS","FQ1 2021","FQ1 2021","Currency=USD","Period=FQ","BEST_FPERIOD_OVERRIDE=FQ","FILING_STATUS=MR","SCALING_FORMAT=MLN","Sort=A","Dates=H","DateFormat=P","Fill=—","Direction=H","UseDPDF=Y")</f>
        <v>—</v>
      </c>
      <c r="M31" s="13" t="str">
        <f>_xll.BDH("AMGN US Equity","ARD_DIVESTITURE_OF_BUSINESS","FQ2 2021","FQ2 2021","Currency=USD","Period=FQ","BEST_FPERIOD_OVERRIDE=FQ","FILING_STATUS=MR","SCALING_FORMAT=MLN","Sort=A","Dates=H","DateFormat=P","Fill=—","Direction=H","UseDPDF=Y")</f>
        <v>—</v>
      </c>
      <c r="N31" s="13" t="str">
        <f>_xll.BDH("AMGN US Equity","ARD_DIVESTITURE_OF_BUSINESS","FQ3 2021","FQ3 2021","Currency=USD","Period=FQ","BEST_FPERIOD_OVERRIDE=FQ","FILING_STATUS=MR","SCALING_FORMAT=MLN","Sort=A","Dates=H","DateFormat=P","Fill=—","Direction=H","UseDPDF=Y")</f>
        <v>—</v>
      </c>
      <c r="O31" s="13" t="str">
        <f>_xll.BDH("AMGN US Equity","ARD_DIVESTITURE_OF_BUSINESS","FQ4 2021","FQ4 2021","Currency=USD","Period=FQ","BEST_FPERIOD_OVERRIDE=FQ","FILING_STATUS=MR","SCALING_FORMAT=MLN","Sort=A","Dates=H","DateFormat=P","Fill=—","Direction=H","UseDPDF=Y")</f>
        <v>—</v>
      </c>
      <c r="P31" s="13" t="str">
        <f>_xll.BDH("AMGN US Equity","ARD_DIVESTITURE_OF_BUSINESS","FQ1 2022","FQ1 2022","Currency=USD","Period=FQ","BEST_FPERIOD_OVERRIDE=FQ","FILING_STATUS=MR","SCALING_FORMAT=MLN","Sort=A","Dates=H","DateFormat=P","Fill=—","Direction=H","UseDPDF=Y")</f>
        <v>—</v>
      </c>
      <c r="Q31" s="13" t="str">
        <f>_xll.BDH("AMGN US Equity","ARD_DIVESTITURE_OF_BUSINESS","FQ2 2022","FQ2 2022","Currency=USD","Period=FQ","BEST_FPERIOD_OVERRIDE=FQ","FILING_STATUS=MR","SCALING_FORMAT=MLN","Sort=A","Dates=H","DateFormat=P","Fill=—","Direction=H","UseDPDF=Y")</f>
        <v>—</v>
      </c>
      <c r="R31" s="13" t="str">
        <f>_xll.BDH("AMGN US Equity","ARD_DIVESTITURE_OF_BUSINESS","FQ3 2022","FQ3 2022","Currency=USD","Period=FQ","BEST_FPERIOD_OVERRIDE=FQ","FILING_STATUS=MR","SCALING_FORMAT=MLN","Sort=A","Dates=H","DateFormat=P","Fill=—","Direction=H","UseDPDF=Y")</f>
        <v>—</v>
      </c>
      <c r="S31" s="13">
        <f>_xll.BDH("AMGN US Equity","ARD_DIVESTITURE_OF_BUSINESS","FQ4 2022","FQ4 2022","Currency=USD","Period=FQ","BEST_FPERIOD_OVERRIDE=FQ","FILING_STATUS=MR","SCALING_FORMAT=MLN","Sort=A","Dates=H","DateFormat=P","Fill=—","Direction=H","UseDPDF=Y")</f>
        <v>130</v>
      </c>
      <c r="T31" s="13" t="str">
        <f>_xll.BDH("AMGN US Equity","ARD_DIVESTITURE_OF_BUSINESS","FQ1 2023","FQ1 2023","Currency=USD","Period=FQ","BEST_FPERIOD_OVERRIDE=FQ","FILING_STATUS=MR","SCALING_FORMAT=MLN","Sort=A","Dates=H","DateFormat=P","Fill=—","Direction=H","UseDPDF=Y")</f>
        <v>—</v>
      </c>
      <c r="U31" s="13" t="str">
        <f>_xll.BDH("AMGN US Equity","ARD_DIVESTITURE_OF_BUSINESS","FQ2 2023","FQ2 2023","Currency=USD","Period=FQ","BEST_FPERIOD_OVERRIDE=FQ","FILING_STATUS=MR","SCALING_FORMAT=MLN","Sort=A","Dates=H","DateFormat=P","Fill=—","Direction=H","UseDPDF=Y")</f>
        <v>—</v>
      </c>
      <c r="V31" s="13" t="str">
        <f>_xll.BDH("AMGN US Equity","ARD_DIVESTITURE_OF_BUSINESS","FQ3 2023","FQ3 2023","Currency=USD","Period=FQ","BEST_FPERIOD_OVERRIDE=FQ","FILING_STATUS=MR","SCALING_FORMAT=MLN","Sort=A","Dates=H","DateFormat=P","Fill=—","Direction=H","UseDPDF=Y")</f>
        <v>—</v>
      </c>
      <c r="W31" s="13">
        <f>_xll.BDH("AMGN US Equity","ARD_DIVESTITURE_OF_BUSINESS","FQ4 2023","FQ4 2023","Currency=USD","Period=FQ","BEST_FPERIOD_OVERRIDE=FQ","FILING_STATUS=MR","SCALING_FORMAT=MLN","Sort=A","Dates=H","DateFormat=P","Fill=—","Direction=H","UseDPDF=Y")</f>
        <v>225</v>
      </c>
      <c r="X31" s="13" t="str">
        <f>_xll.BDH("AMGN US Equity","ARD_DIVESTITURE_OF_BUSINESS","FQ1 2024","FQ1 2024","Currency=USD","Period=FQ","BEST_FPERIOD_OVERRIDE=FQ","FILING_STATUS=MR","SCALING_FORMAT=MLN","Sort=A","Dates=H","DateFormat=P","Fill=—","Direction=H","UseDPDF=Y")</f>
        <v>—</v>
      </c>
      <c r="Y31" s="13" t="str">
        <f>_xll.BDH("AMGN US Equity","ARD_DIVESTITURE_OF_BUSINESS","FQ2 2024","FQ2 2024","Currency=USD","Period=FQ","BEST_FPERIOD_OVERRIDE=FQ","FILING_STATUS=MR","SCALING_FORMAT=MLN","Sort=A","Dates=H","DateFormat=P","Fill=—","Direction=H","UseDPDF=Y")</f>
        <v>—</v>
      </c>
      <c r="Z31" s="13" t="str">
        <f>_xll.BDH("AMGN US Equity","ARD_DIVESTITURE_OF_BUSINESS","FQ3 2024","FQ3 2024","Currency=USD","Period=FQ","BEST_FPERIOD_OVERRIDE=FQ","FILING_STATUS=MR","SCALING_FORMAT=MLN","Sort=A","Dates=H","DateFormat=P","Fill=—","Direction=H","UseDPDF=Y")</f>
        <v>—</v>
      </c>
      <c r="AA31" s="13" t="str">
        <f>_xll.BDH("AMGN US Equity","ARD_DIVESTITURE_OF_BUSINESS","FQ4 2024","FQ4 2024","Currency=USD","Period=FQ","BEST_FPERIOD_OVERRIDE=FQ","FILING_STATUS=MR","SCALING_FORMAT=MLN","Sort=A","Dates=H","DateFormat=P","Fill=—","Direction=H","UseDPDF=Y")</f>
        <v>—</v>
      </c>
    </row>
    <row r="32" spans="1:27" x14ac:dyDescent="0.25">
      <c r="A32" s="10" t="s">
        <v>1402</v>
      </c>
      <c r="B32" s="10" t="s">
        <v>1403</v>
      </c>
      <c r="C32" s="13" t="str">
        <f>_xll.BDH("AMGN US Equity","ARD_PROCEEDS_FROM_LT_MKT_SEC","FQ4 2018","FQ4 2018","Currency=USD","Period=FQ","BEST_FPERIOD_OVERRIDE=FQ","FILING_STATUS=MR","SCALING_FORMAT=MLN","Sort=A","Dates=H","DateFormat=P","Fill=—","Direction=H","UseDPDF=Y")</f>
        <v>—</v>
      </c>
      <c r="D32" s="13" t="str">
        <f>_xll.BDH("AMGN US Equity","ARD_PROCEEDS_FROM_LT_MKT_SEC","FQ1 2019","FQ1 2019","Currency=USD","Period=FQ","BEST_FPERIOD_OVERRIDE=FQ","FILING_STATUS=MR","SCALING_FORMAT=MLN","Sort=A","Dates=H","DateFormat=P","Fill=—","Direction=H","UseDPDF=Y")</f>
        <v>—</v>
      </c>
      <c r="E32" s="13" t="str">
        <f>_xll.BDH("AMGN US Equity","ARD_PROCEEDS_FROM_LT_MKT_SEC","FQ2 2019","FQ2 2019","Currency=USD","Period=FQ","BEST_FPERIOD_OVERRIDE=FQ","FILING_STATUS=MR","SCALING_FORMAT=MLN","Sort=A","Dates=H","DateFormat=P","Fill=—","Direction=H","UseDPDF=Y")</f>
        <v>—</v>
      </c>
      <c r="F32" s="13" t="str">
        <f>_xll.BDH("AMGN US Equity","ARD_PROCEEDS_FROM_LT_MKT_SEC","FQ3 2019","FQ3 2019","Currency=USD","Period=FQ","BEST_FPERIOD_OVERRIDE=FQ","FILING_STATUS=MR","SCALING_FORMAT=MLN","Sort=A","Dates=H","DateFormat=P","Fill=—","Direction=H","UseDPDF=Y")</f>
        <v>—</v>
      </c>
      <c r="G32" s="13" t="str">
        <f>_xll.BDH("AMGN US Equity","ARD_PROCEEDS_FROM_LT_MKT_SEC","FQ4 2019","FQ4 2019","Currency=USD","Period=FQ","BEST_FPERIOD_OVERRIDE=FQ","FILING_STATUS=MR","SCALING_FORMAT=MLN","Sort=A","Dates=H","DateFormat=P","Fill=—","Direction=H","UseDPDF=Y")</f>
        <v>—</v>
      </c>
      <c r="H32" s="13" t="str">
        <f>_xll.BDH("AMGN US Equity","ARD_PROCEEDS_FROM_LT_MKT_SEC","FQ1 2020","FQ1 2020","Currency=USD","Period=FQ","BEST_FPERIOD_OVERRIDE=FQ","FILING_STATUS=MR","SCALING_FORMAT=MLN","Sort=A","Dates=H","DateFormat=P","Fill=—","Direction=H","UseDPDF=Y")</f>
        <v>—</v>
      </c>
      <c r="I32" s="13" t="str">
        <f>_xll.BDH("AMGN US Equity","ARD_PROCEEDS_FROM_LT_MKT_SEC","FQ2 2020","FQ2 2020","Currency=USD","Period=FQ","BEST_FPERIOD_OVERRIDE=FQ","FILING_STATUS=MR","SCALING_FORMAT=MLN","Sort=A","Dates=H","DateFormat=P","Fill=—","Direction=H","UseDPDF=Y")</f>
        <v>—</v>
      </c>
      <c r="J32" s="13" t="str">
        <f>_xll.BDH("AMGN US Equity","ARD_PROCEEDS_FROM_LT_MKT_SEC","FQ3 2020","FQ3 2020","Currency=USD","Period=FQ","BEST_FPERIOD_OVERRIDE=FQ","FILING_STATUS=MR","SCALING_FORMAT=MLN","Sort=A","Dates=H","DateFormat=P","Fill=—","Direction=H","UseDPDF=Y")</f>
        <v>—</v>
      </c>
      <c r="K32" s="13" t="str">
        <f>_xll.BDH("AMGN US Equity","ARD_PROCEEDS_FROM_LT_MKT_SEC","FQ4 2020","FQ4 2020","Currency=USD","Period=FQ","BEST_FPERIOD_OVERRIDE=FQ","FILING_STATUS=MR","SCALING_FORMAT=MLN","Sort=A","Dates=H","DateFormat=P","Fill=—","Direction=H","UseDPDF=Y")</f>
        <v>—</v>
      </c>
      <c r="L32" s="13" t="str">
        <f>_xll.BDH("AMGN US Equity","ARD_PROCEEDS_FROM_LT_MKT_SEC","FQ1 2021","FQ1 2021","Currency=USD","Period=FQ","BEST_FPERIOD_OVERRIDE=FQ","FILING_STATUS=MR","SCALING_FORMAT=MLN","Sort=A","Dates=H","DateFormat=P","Fill=—","Direction=H","UseDPDF=Y")</f>
        <v>—</v>
      </c>
      <c r="M32" s="13" t="str">
        <f>_xll.BDH("AMGN US Equity","ARD_PROCEEDS_FROM_LT_MKT_SEC","FQ2 2021","FQ2 2021","Currency=USD","Period=FQ","BEST_FPERIOD_OVERRIDE=FQ","FILING_STATUS=MR","SCALING_FORMAT=MLN","Sort=A","Dates=H","DateFormat=P","Fill=—","Direction=H","UseDPDF=Y")</f>
        <v>—</v>
      </c>
      <c r="N32" s="13" t="str">
        <f>_xll.BDH("AMGN US Equity","ARD_PROCEEDS_FROM_LT_MKT_SEC","FQ3 2021","FQ3 2021","Currency=USD","Period=FQ","BEST_FPERIOD_OVERRIDE=FQ","FILING_STATUS=MR","SCALING_FORMAT=MLN","Sort=A","Dates=H","DateFormat=P","Fill=—","Direction=H","UseDPDF=Y")</f>
        <v>—</v>
      </c>
      <c r="O32" s="13" t="str">
        <f>_xll.BDH("AMGN US Equity","ARD_PROCEEDS_FROM_LT_MKT_SEC","FQ4 2021","FQ4 2021","Currency=USD","Period=FQ","BEST_FPERIOD_OVERRIDE=FQ","FILING_STATUS=MR","SCALING_FORMAT=MLN","Sort=A","Dates=H","DateFormat=P","Fill=—","Direction=H","UseDPDF=Y")</f>
        <v>—</v>
      </c>
      <c r="P32" s="13" t="str">
        <f>_xll.BDH("AMGN US Equity","ARD_PROCEEDS_FROM_LT_MKT_SEC","FQ1 2022","FQ1 2022","Currency=USD","Period=FQ","BEST_FPERIOD_OVERRIDE=FQ","FILING_STATUS=MR","SCALING_FORMAT=MLN","Sort=A","Dates=H","DateFormat=P","Fill=—","Direction=H","UseDPDF=Y")</f>
        <v>—</v>
      </c>
      <c r="Q32" s="13" t="str">
        <f>_xll.BDH("AMGN US Equity","ARD_PROCEEDS_FROM_LT_MKT_SEC","FQ2 2022","FQ2 2022","Currency=USD","Period=FQ","BEST_FPERIOD_OVERRIDE=FQ","FILING_STATUS=MR","SCALING_FORMAT=MLN","Sort=A","Dates=H","DateFormat=P","Fill=—","Direction=H","UseDPDF=Y")</f>
        <v>—</v>
      </c>
      <c r="R32" s="13" t="str">
        <f>_xll.BDH("AMGN US Equity","ARD_PROCEEDS_FROM_LT_MKT_SEC","FQ3 2022","FQ3 2022","Currency=USD","Period=FQ","BEST_FPERIOD_OVERRIDE=FQ","FILING_STATUS=MR","SCALING_FORMAT=MLN","Sort=A","Dates=H","DateFormat=P","Fill=—","Direction=H","UseDPDF=Y")</f>
        <v>—</v>
      </c>
      <c r="S32" s="13" t="str">
        <f>_xll.BDH("AMGN US Equity","ARD_PROCEEDS_FROM_LT_MKT_SEC","FQ4 2022","FQ4 2022","Currency=USD","Period=FQ","BEST_FPERIOD_OVERRIDE=FQ","FILING_STATUS=MR","SCALING_FORMAT=MLN","Sort=A","Dates=H","DateFormat=P","Fill=—","Direction=H","UseDPDF=Y")</f>
        <v>—</v>
      </c>
      <c r="T32" s="13" t="str">
        <f>_xll.BDH("AMGN US Equity","ARD_PROCEEDS_FROM_LT_MKT_SEC","FQ1 2023","FQ1 2023","Currency=USD","Period=FQ","BEST_FPERIOD_OVERRIDE=FQ","FILING_STATUS=MR","SCALING_FORMAT=MLN","Sort=A","Dates=H","DateFormat=P","Fill=—","Direction=H","UseDPDF=Y")</f>
        <v>—</v>
      </c>
      <c r="U32" s="13" t="str">
        <f>_xll.BDH("AMGN US Equity","ARD_PROCEEDS_FROM_LT_MKT_SEC","FQ2 2023","FQ2 2023","Currency=USD","Period=FQ","BEST_FPERIOD_OVERRIDE=FQ","FILING_STATUS=MR","SCALING_FORMAT=MLN","Sort=A","Dates=H","DateFormat=P","Fill=—","Direction=H","UseDPDF=Y")</f>
        <v>—</v>
      </c>
      <c r="V32" s="13">
        <f>_xll.BDH("AMGN US Equity","ARD_PROCEEDS_FROM_LT_MKT_SEC","FQ3 2023","FQ3 2023","Currency=USD","Period=FQ","BEST_FPERIOD_OVERRIDE=FQ","FILING_STATUS=MR","SCALING_FORMAT=MLN","Sort=A","Dates=H","DateFormat=P","Fill=—","Direction=H","UseDPDF=Y")</f>
        <v>1125</v>
      </c>
      <c r="W32" s="13">
        <f>_xll.BDH("AMGN US Equity","ARD_PROCEEDS_FROM_LT_MKT_SEC","FQ4 2023","FQ4 2023","Currency=USD","Period=FQ","BEST_FPERIOD_OVERRIDE=FQ","FILING_STATUS=MR","SCALING_FORMAT=MLN","Sort=A","Dates=H","DateFormat=P","Fill=—","Direction=H","UseDPDF=Y")</f>
        <v>1673</v>
      </c>
      <c r="X32" s="13">
        <f>_xll.BDH("AMGN US Equity","ARD_PROCEEDS_FROM_LT_MKT_SEC","FQ1 2024","FQ1 2024","Currency=USD","Period=FQ","BEST_FPERIOD_OVERRIDE=FQ","FILING_STATUS=MR","SCALING_FORMAT=MLN","Sort=A","Dates=H","DateFormat=P","Fill=—","Direction=H","UseDPDF=Y")</f>
        <v>0</v>
      </c>
      <c r="Y32" s="13">
        <f>_xll.BDH("AMGN US Equity","ARD_PROCEEDS_FROM_LT_MKT_SEC","FQ2 2024","FQ2 2024","Currency=USD","Period=FQ","BEST_FPERIOD_OVERRIDE=FQ","FILING_STATUS=MR","SCALING_FORMAT=MLN","Sort=A","Dates=H","DateFormat=P","Fill=—","Direction=H","UseDPDF=Y")</f>
        <v>0</v>
      </c>
      <c r="Z32" s="13" t="str">
        <f>_xll.BDH("AMGN US Equity","ARD_PROCEEDS_FROM_LT_MKT_SEC","FQ3 2024","FQ3 2024","Currency=USD","Period=FQ","BEST_FPERIOD_OVERRIDE=FQ","FILING_STATUS=MR","SCALING_FORMAT=MLN","Sort=A","Dates=H","DateFormat=P","Fill=—","Direction=H","UseDPDF=Y")</f>
        <v>—</v>
      </c>
      <c r="AA32" s="13" t="str">
        <f>_xll.BDH("AMGN US Equity","ARD_PROCEEDS_FROM_LT_MKT_SEC","FQ4 2024","FQ4 2024","Currency=USD","Period=FQ","BEST_FPERIOD_OVERRIDE=FQ","FILING_STATUS=MR","SCALING_FORMAT=MLN","Sort=A","Dates=H","DateFormat=P","Fill=—","Direction=H","UseDPDF=Y")</f>
        <v>—</v>
      </c>
    </row>
    <row r="33" spans="1:27" x14ac:dyDescent="0.25">
      <c r="A33" s="10" t="s">
        <v>1404</v>
      </c>
      <c r="B33" s="10" t="s">
        <v>1405</v>
      </c>
      <c r="C33" s="13" t="str">
        <f>_xll.BDH("AMGN US Equity","ARD_PURCHASES_OF_LT_MKT_SEC","FQ4 2018","FQ4 2018","Currency=USD","Period=FQ","BEST_FPERIOD_OVERRIDE=FQ","FILING_STATUS=MR","SCALING_FORMAT=MLN","Sort=A","Dates=H","DateFormat=P","Fill=—","Direction=H","UseDPDF=Y")</f>
        <v>—</v>
      </c>
      <c r="D33" s="13" t="str">
        <f>_xll.BDH("AMGN US Equity","ARD_PURCHASES_OF_LT_MKT_SEC","FQ1 2019","FQ1 2019","Currency=USD","Period=FQ","BEST_FPERIOD_OVERRIDE=FQ","FILING_STATUS=MR","SCALING_FORMAT=MLN","Sort=A","Dates=H","DateFormat=P","Fill=—","Direction=H","UseDPDF=Y")</f>
        <v>—</v>
      </c>
      <c r="E33" s="13">
        <f>_xll.BDH("AMGN US Equity","ARD_PURCHASES_OF_LT_MKT_SEC","FQ2 2019","FQ2 2019","Currency=USD","Period=FQ","BEST_FPERIOD_OVERRIDE=FQ","FILING_STATUS=MR","SCALING_FORMAT=MLN","Sort=A","Dates=H","DateFormat=P","Fill=—","Direction=H","UseDPDF=Y")</f>
        <v>-12</v>
      </c>
      <c r="F33" s="13">
        <f>_xll.BDH("AMGN US Equity","ARD_PURCHASES_OF_LT_MKT_SEC","FQ3 2019","FQ3 2019","Currency=USD","Period=FQ","BEST_FPERIOD_OVERRIDE=FQ","FILING_STATUS=MR","SCALING_FORMAT=MLN","Sort=A","Dates=H","DateFormat=P","Fill=—","Direction=H","UseDPDF=Y")</f>
        <v>-14</v>
      </c>
      <c r="G33" s="13" t="str">
        <f>_xll.BDH("AMGN US Equity","ARD_PURCHASES_OF_LT_MKT_SEC","FQ4 2019","FQ4 2019","Currency=USD","Period=FQ","BEST_FPERIOD_OVERRIDE=FQ","FILING_STATUS=MR","SCALING_FORMAT=MLN","Sort=A","Dates=H","DateFormat=P","Fill=—","Direction=H","UseDPDF=Y")</f>
        <v>—</v>
      </c>
      <c r="H33" s="13" t="str">
        <f>_xll.BDH("AMGN US Equity","ARD_PURCHASES_OF_LT_MKT_SEC","FQ1 2020","FQ1 2020","Currency=USD","Period=FQ","BEST_FPERIOD_OVERRIDE=FQ","FILING_STATUS=MR","SCALING_FORMAT=MLN","Sort=A","Dates=H","DateFormat=P","Fill=—","Direction=H","UseDPDF=Y")</f>
        <v>—</v>
      </c>
      <c r="I33" s="13">
        <f>_xll.BDH("AMGN US Equity","ARD_PURCHASES_OF_LT_MKT_SEC","FQ2 2020","FQ2 2020","Currency=USD","Period=FQ","BEST_FPERIOD_OVERRIDE=FQ","FILING_STATUS=MR","SCALING_FORMAT=MLN","Sort=A","Dates=H","DateFormat=P","Fill=—","Direction=H","UseDPDF=Y")</f>
        <v>-2648</v>
      </c>
      <c r="J33" s="13">
        <f>_xll.BDH("AMGN US Equity","ARD_PURCHASES_OF_LT_MKT_SEC","FQ3 2020","FQ3 2020","Currency=USD","Period=FQ","BEST_FPERIOD_OVERRIDE=FQ","FILING_STATUS=MR","SCALING_FORMAT=MLN","Sort=A","Dates=H","DateFormat=P","Fill=—","Direction=H","UseDPDF=Y")</f>
        <v>-3154</v>
      </c>
      <c r="K33" s="13" t="str">
        <f>_xll.BDH("AMGN US Equity","ARD_PURCHASES_OF_LT_MKT_SEC","FQ4 2020","FQ4 2020","Currency=USD","Period=FQ","BEST_FPERIOD_OVERRIDE=FQ","FILING_STATUS=MR","SCALING_FORMAT=MLN","Sort=A","Dates=H","DateFormat=P","Fill=—","Direction=H","UseDPDF=Y")</f>
        <v>—</v>
      </c>
      <c r="L33" s="13" t="str">
        <f>_xll.BDH("AMGN US Equity","ARD_PURCHASES_OF_LT_MKT_SEC","FQ1 2021","FQ1 2021","Currency=USD","Period=FQ","BEST_FPERIOD_OVERRIDE=FQ","FILING_STATUS=MR","SCALING_FORMAT=MLN","Sort=A","Dates=H","DateFormat=P","Fill=—","Direction=H","UseDPDF=Y")</f>
        <v>—</v>
      </c>
      <c r="M33" s="13" t="str">
        <f>_xll.BDH("AMGN US Equity","ARD_PURCHASES_OF_LT_MKT_SEC","FQ2 2021","FQ2 2021","Currency=USD","Period=FQ","BEST_FPERIOD_OVERRIDE=FQ","FILING_STATUS=MR","SCALING_FORMAT=MLN","Sort=A","Dates=H","DateFormat=P","Fill=—","Direction=H","UseDPDF=Y")</f>
        <v>—</v>
      </c>
      <c r="N33" s="13" t="str">
        <f>_xll.BDH("AMGN US Equity","ARD_PURCHASES_OF_LT_MKT_SEC","FQ3 2021","FQ3 2021","Currency=USD","Period=FQ","BEST_FPERIOD_OVERRIDE=FQ","FILING_STATUS=MR","SCALING_FORMAT=MLN","Sort=A","Dates=H","DateFormat=P","Fill=—","Direction=H","UseDPDF=Y")</f>
        <v>—</v>
      </c>
      <c r="O33" s="13" t="str">
        <f>_xll.BDH("AMGN US Equity","ARD_PURCHASES_OF_LT_MKT_SEC","FQ4 2021","FQ4 2021","Currency=USD","Period=FQ","BEST_FPERIOD_OVERRIDE=FQ","FILING_STATUS=MR","SCALING_FORMAT=MLN","Sort=A","Dates=H","DateFormat=P","Fill=—","Direction=H","UseDPDF=Y")</f>
        <v>—</v>
      </c>
      <c r="P33" s="13" t="str">
        <f>_xll.BDH("AMGN US Equity","ARD_PURCHASES_OF_LT_MKT_SEC","FQ1 2022","FQ1 2022","Currency=USD","Period=FQ","BEST_FPERIOD_OVERRIDE=FQ","FILING_STATUS=MR","SCALING_FORMAT=MLN","Sort=A","Dates=H","DateFormat=P","Fill=—","Direction=H","UseDPDF=Y")</f>
        <v>—</v>
      </c>
      <c r="Q33" s="13" t="str">
        <f>_xll.BDH("AMGN US Equity","ARD_PURCHASES_OF_LT_MKT_SEC","FQ2 2022","FQ2 2022","Currency=USD","Period=FQ","BEST_FPERIOD_OVERRIDE=FQ","FILING_STATUS=MR","SCALING_FORMAT=MLN","Sort=A","Dates=H","DateFormat=P","Fill=—","Direction=H","UseDPDF=Y")</f>
        <v>—</v>
      </c>
      <c r="R33" s="13" t="str">
        <f>_xll.BDH("AMGN US Equity","ARD_PURCHASES_OF_LT_MKT_SEC","FQ3 2022","FQ3 2022","Currency=USD","Period=FQ","BEST_FPERIOD_OVERRIDE=FQ","FILING_STATUS=MR","SCALING_FORMAT=MLN","Sort=A","Dates=H","DateFormat=P","Fill=—","Direction=H","UseDPDF=Y")</f>
        <v>—</v>
      </c>
      <c r="S33" s="13" t="str">
        <f>_xll.BDH("AMGN US Equity","ARD_PURCHASES_OF_LT_MKT_SEC","FQ4 2022","FQ4 2022","Currency=USD","Period=FQ","BEST_FPERIOD_OVERRIDE=FQ","FILING_STATUS=MR","SCALING_FORMAT=MLN","Sort=A","Dates=H","DateFormat=P","Fill=—","Direction=H","UseDPDF=Y")</f>
        <v>—</v>
      </c>
      <c r="T33" s="13" t="str">
        <f>_xll.BDH("AMGN US Equity","ARD_PURCHASES_OF_LT_MKT_SEC","FQ1 2023","FQ1 2023","Currency=USD","Period=FQ","BEST_FPERIOD_OVERRIDE=FQ","FILING_STATUS=MR","SCALING_FORMAT=MLN","Sort=A","Dates=H","DateFormat=P","Fill=—","Direction=H","UseDPDF=Y")</f>
        <v>—</v>
      </c>
      <c r="U33" s="13" t="str">
        <f>_xll.BDH("AMGN US Equity","ARD_PURCHASES_OF_LT_MKT_SEC","FQ2 2023","FQ2 2023","Currency=USD","Period=FQ","BEST_FPERIOD_OVERRIDE=FQ","FILING_STATUS=MR","SCALING_FORMAT=MLN","Sort=A","Dates=H","DateFormat=P","Fill=—","Direction=H","UseDPDF=Y")</f>
        <v>—</v>
      </c>
      <c r="V33" s="13" t="str">
        <f>_xll.BDH("AMGN US Equity","ARD_PURCHASES_OF_LT_MKT_SEC","FQ3 2023","FQ3 2023","Currency=USD","Period=FQ","BEST_FPERIOD_OVERRIDE=FQ","FILING_STATUS=MR","SCALING_FORMAT=MLN","Sort=A","Dates=H","DateFormat=P","Fill=—","Direction=H","UseDPDF=Y")</f>
        <v>—</v>
      </c>
      <c r="W33" s="13" t="str">
        <f>_xll.BDH("AMGN US Equity","ARD_PURCHASES_OF_LT_MKT_SEC","FQ4 2023","FQ4 2023","Currency=USD","Period=FQ","BEST_FPERIOD_OVERRIDE=FQ","FILING_STATUS=MR","SCALING_FORMAT=MLN","Sort=A","Dates=H","DateFormat=P","Fill=—","Direction=H","UseDPDF=Y")</f>
        <v>—</v>
      </c>
      <c r="X33" s="13" t="str">
        <f>_xll.BDH("AMGN US Equity","ARD_PURCHASES_OF_LT_MKT_SEC","FQ1 2024","FQ1 2024","Currency=USD","Period=FQ","BEST_FPERIOD_OVERRIDE=FQ","FILING_STATUS=MR","SCALING_FORMAT=MLN","Sort=A","Dates=H","DateFormat=P","Fill=—","Direction=H","UseDPDF=Y")</f>
        <v>—</v>
      </c>
      <c r="Y33" s="13" t="str">
        <f>_xll.BDH("AMGN US Equity","ARD_PURCHASES_OF_LT_MKT_SEC","FQ2 2024","FQ2 2024","Currency=USD","Period=FQ","BEST_FPERIOD_OVERRIDE=FQ","FILING_STATUS=MR","SCALING_FORMAT=MLN","Sort=A","Dates=H","DateFormat=P","Fill=—","Direction=H","UseDPDF=Y")</f>
        <v>—</v>
      </c>
      <c r="Z33" s="13" t="str">
        <f>_xll.BDH("AMGN US Equity","ARD_PURCHASES_OF_LT_MKT_SEC","FQ3 2024","FQ3 2024","Currency=USD","Period=FQ","BEST_FPERIOD_OVERRIDE=FQ","FILING_STATUS=MR","SCALING_FORMAT=MLN","Sort=A","Dates=H","DateFormat=P","Fill=—","Direction=H","UseDPDF=Y")</f>
        <v>—</v>
      </c>
      <c r="AA33" s="13" t="str">
        <f>_xll.BDH("AMGN US Equity","ARD_PURCHASES_OF_LT_MKT_SEC","FQ4 2024","FQ4 2024","Currency=USD","Period=FQ","BEST_FPERIOD_OVERRIDE=FQ","FILING_STATUS=MR","SCALING_FORMAT=MLN","Sort=A","Dates=H","DateFormat=P","Fill=—","Direction=H","UseDPDF=Y")</f>
        <v>—</v>
      </c>
    </row>
    <row r="34" spans="1:27" x14ac:dyDescent="0.25">
      <c r="A34" s="10" t="s">
        <v>1406</v>
      </c>
      <c r="B34" s="10" t="s">
        <v>1407</v>
      </c>
      <c r="C34" s="13">
        <f>_xll.BDH("AMGN US Equity","ARD_PURCHASES_OF_ST_MKT_SEC","FQ4 2018","FQ4 2018","Currency=USD","Period=FQ","BEST_FPERIOD_OVERRIDE=FQ","FILING_STATUS=MR","SCALING_FORMAT=MLN","Sort=A","Dates=H","DateFormat=P","Fill=—","Direction=H","UseDPDF=Y")</f>
        <v>-18741</v>
      </c>
      <c r="D34" s="13">
        <f>_xll.BDH("AMGN US Equity","ARD_PURCHASES_OF_ST_MKT_SEC","FQ1 2019","FQ1 2019","Currency=USD","Period=FQ","BEST_FPERIOD_OVERRIDE=FQ","FILING_STATUS=MR","SCALING_FORMAT=MLN","Sort=A","Dates=H","DateFormat=P","Fill=—","Direction=H","UseDPDF=Y")</f>
        <v>-6898</v>
      </c>
      <c r="E34" s="13">
        <f>_xll.BDH("AMGN US Equity","ARD_PURCHASES_OF_ST_MKT_SEC","FQ2 2019","FQ2 2019","Currency=USD","Period=FQ","BEST_FPERIOD_OVERRIDE=FQ","FILING_STATUS=MR","SCALING_FORMAT=MLN","Sort=A","Dates=H","DateFormat=P","Fill=—","Direction=H","UseDPDF=Y")</f>
        <v>-7250</v>
      </c>
      <c r="F34" s="13">
        <f>_xll.BDH("AMGN US Equity","ARD_PURCHASES_OF_ST_MKT_SEC","FQ3 2019","FQ3 2019","Currency=USD","Period=FQ","BEST_FPERIOD_OVERRIDE=FQ","FILING_STATUS=MR","SCALING_FORMAT=MLN","Sort=A","Dates=H","DateFormat=P","Fill=—","Direction=H","UseDPDF=Y")</f>
        <v>-9062</v>
      </c>
      <c r="G34" s="13">
        <f>_xll.BDH("AMGN US Equity","ARD_PURCHASES_OF_ST_MKT_SEC","FQ4 2019","FQ4 2019","Currency=USD","Period=FQ","BEST_FPERIOD_OVERRIDE=FQ","FILING_STATUS=MR","SCALING_FORMAT=MLN","Sort=A","Dates=H","DateFormat=P","Fill=—","Direction=H","UseDPDF=Y")</f>
        <v>-9394</v>
      </c>
      <c r="H34" s="13">
        <f>_xll.BDH("AMGN US Equity","ARD_PURCHASES_OF_ST_MKT_SEC","FQ1 2020","FQ1 2020","Currency=USD","Period=FQ","BEST_FPERIOD_OVERRIDE=FQ","FILING_STATUS=MR","SCALING_FORMAT=MLN","Sort=A","Dates=H","DateFormat=P","Fill=—","Direction=H","UseDPDF=Y")</f>
        <v>-129</v>
      </c>
      <c r="I34" s="13">
        <f>_xll.BDH("AMGN US Equity","ARD_PURCHASES_OF_ST_MKT_SEC","FQ2 2020","FQ2 2020","Currency=USD","Period=FQ","BEST_FPERIOD_OVERRIDE=FQ","FILING_STATUS=MR","SCALING_FORMAT=MLN","Sort=A","Dates=H","DateFormat=P","Fill=—","Direction=H","UseDPDF=Y")</f>
        <v>-2229</v>
      </c>
      <c r="J34" s="13">
        <f>_xll.BDH("AMGN US Equity","ARD_PURCHASES_OF_ST_MKT_SEC","FQ3 2020","FQ3 2020","Currency=USD","Period=FQ","BEST_FPERIOD_OVERRIDE=FQ","FILING_STATUS=MR","SCALING_FORMAT=MLN","Sort=A","Dates=H","DateFormat=P","Fill=—","Direction=H","UseDPDF=Y")</f>
        <v>-5329</v>
      </c>
      <c r="K34" s="13">
        <f>_xll.BDH("AMGN US Equity","ARD_PURCHASES_OF_ST_MKT_SEC","FQ4 2020","FQ4 2020","Currency=USD","Period=FQ","BEST_FPERIOD_OVERRIDE=FQ","FILING_STATUS=MR","SCALING_FORMAT=MLN","Sort=A","Dates=H","DateFormat=P","Fill=—","Direction=H","UseDPDF=Y")</f>
        <v>-8477</v>
      </c>
      <c r="L34" s="13">
        <f>_xll.BDH("AMGN US Equity","ARD_PURCHASES_OF_ST_MKT_SEC","FQ1 2021","FQ1 2021","Currency=USD","Period=FQ","BEST_FPERIOD_OVERRIDE=FQ","FILING_STATUS=MR","SCALING_FORMAT=MLN","Sort=A","Dates=H","DateFormat=P","Fill=—","Direction=H","UseDPDF=Y")</f>
        <v>-7597</v>
      </c>
      <c r="M34" s="13">
        <f>_xll.BDH("AMGN US Equity","ARD_PURCHASES_OF_ST_MKT_SEC","FQ2 2021","FQ2 2021","Currency=USD","Period=FQ","BEST_FPERIOD_OVERRIDE=FQ","FILING_STATUS=MR","SCALING_FORMAT=MLN","Sort=A","Dates=H","DateFormat=P","Fill=—","Direction=H","UseDPDF=Y")</f>
        <v>-8000</v>
      </c>
      <c r="N34" s="13">
        <f>_xll.BDH("AMGN US Equity","ARD_PURCHASES_OF_ST_MKT_SEC","FQ3 2021","FQ3 2021","Currency=USD","Period=FQ","BEST_FPERIOD_OVERRIDE=FQ","FILING_STATUS=MR","SCALING_FORMAT=MLN","Sort=A","Dates=H","DateFormat=P","Fill=—","Direction=H","UseDPDF=Y")</f>
        <v>-8901</v>
      </c>
      <c r="O34" s="13">
        <f>_xll.BDH("AMGN US Equity","ARD_PURCHASES_OF_ST_MKT_SEC","FQ4 2021","FQ4 2021","Currency=USD","Period=FQ","BEST_FPERIOD_OVERRIDE=FQ","FILING_STATUS=MR","SCALING_FORMAT=MLN","Sort=A","Dates=H","DateFormat=P","Fill=—","Direction=H","UseDPDF=Y")</f>
        <v>-8900</v>
      </c>
      <c r="P34" s="13">
        <f>_xll.BDH("AMGN US Equity","ARD_PURCHASES_OF_ST_MKT_SEC","FQ1 2022","FQ1 2022","Currency=USD","Period=FQ","BEST_FPERIOD_OVERRIDE=FQ","FILING_STATUS=MR","SCALING_FORMAT=MLN","Sort=A","Dates=H","DateFormat=P","Fill=—","Direction=H","UseDPDF=Y")</f>
        <v>0</v>
      </c>
      <c r="Q34" s="13">
        <f>_xll.BDH("AMGN US Equity","ARD_PURCHASES_OF_ST_MKT_SEC","FQ2 2022","FQ2 2022","Currency=USD","Period=FQ","BEST_FPERIOD_OVERRIDE=FQ","FILING_STATUS=MR","SCALING_FORMAT=MLN","Sort=A","Dates=H","DateFormat=P","Fill=—","Direction=H","UseDPDF=Y")</f>
        <v>-1976</v>
      </c>
      <c r="R34" s="13">
        <f>_xll.BDH("AMGN US Equity","ARD_PURCHASES_OF_ST_MKT_SEC","FQ3 2022","FQ3 2022","Currency=USD","Period=FQ","BEST_FPERIOD_OVERRIDE=FQ","FILING_STATUS=MR","SCALING_FORMAT=MLN","Sort=A","Dates=H","DateFormat=P","Fill=—","Direction=H","UseDPDF=Y")</f>
        <v>-2363</v>
      </c>
      <c r="S34" s="13">
        <f>_xll.BDH("AMGN US Equity","ARD_PURCHASES_OF_ST_MKT_SEC","FQ4 2022","FQ4 2022","Currency=USD","Period=FQ","BEST_FPERIOD_OVERRIDE=FQ","FILING_STATUS=MR","SCALING_FORMAT=MLN","Sort=A","Dates=H","DateFormat=P","Fill=—","Direction=H","UseDPDF=Y")</f>
        <v>-2587</v>
      </c>
      <c r="T34" s="13" t="str">
        <f>_xll.BDH("AMGN US Equity","ARD_PURCHASES_OF_ST_MKT_SEC","FQ1 2023","FQ1 2023","Currency=USD","Period=FQ","BEST_FPERIOD_OVERRIDE=FQ","FILING_STATUS=MR","SCALING_FORMAT=MLN","Sort=A","Dates=H","DateFormat=P","Fill=—","Direction=H","UseDPDF=Y")</f>
        <v>—</v>
      </c>
      <c r="U34" s="13">
        <f>_xll.BDH("AMGN US Equity","ARD_PURCHASES_OF_ST_MKT_SEC","FQ2 2023","FQ2 2023","Currency=USD","Period=FQ","BEST_FPERIOD_OVERRIDE=FQ","FILING_STATUS=MR","SCALING_FORMAT=MLN","Sort=A","Dates=H","DateFormat=P","Fill=—","Direction=H","UseDPDF=Y")</f>
        <v>0</v>
      </c>
      <c r="V34" s="13">
        <f>_xll.BDH("AMGN US Equity","ARD_PURCHASES_OF_ST_MKT_SEC","FQ3 2023","FQ3 2023","Currency=USD","Period=FQ","BEST_FPERIOD_OVERRIDE=FQ","FILING_STATUS=MR","SCALING_FORMAT=MLN","Sort=A","Dates=H","DateFormat=P","Fill=—","Direction=H","UseDPDF=Y")</f>
        <v>-1</v>
      </c>
      <c r="W34" s="13">
        <f>_xll.BDH("AMGN US Equity","ARD_PURCHASES_OF_ST_MKT_SEC","FQ4 2023","FQ4 2023","Currency=USD","Period=FQ","BEST_FPERIOD_OVERRIDE=FQ","FILING_STATUS=MR","SCALING_FORMAT=MLN","Sort=A","Dates=H","DateFormat=P","Fill=—","Direction=H","UseDPDF=Y")</f>
        <v>-1</v>
      </c>
      <c r="X34" s="13" t="str">
        <f>_xll.BDH("AMGN US Equity","ARD_PURCHASES_OF_ST_MKT_SEC","FQ1 2024","FQ1 2024","Currency=USD","Period=FQ","BEST_FPERIOD_OVERRIDE=FQ","FILING_STATUS=MR","SCALING_FORMAT=MLN","Sort=A","Dates=H","DateFormat=P","Fill=—","Direction=H","UseDPDF=Y")</f>
        <v>—</v>
      </c>
      <c r="Y34" s="13" t="str">
        <f>_xll.BDH("AMGN US Equity","ARD_PURCHASES_OF_ST_MKT_SEC","FQ2 2024","FQ2 2024","Currency=USD","Period=FQ","BEST_FPERIOD_OVERRIDE=FQ","FILING_STATUS=MR","SCALING_FORMAT=MLN","Sort=A","Dates=H","DateFormat=P","Fill=—","Direction=H","UseDPDF=Y")</f>
        <v>—</v>
      </c>
      <c r="Z34" s="13" t="str">
        <f>_xll.BDH("AMGN US Equity","ARD_PURCHASES_OF_ST_MKT_SEC","FQ3 2024","FQ3 2024","Currency=USD","Period=FQ","BEST_FPERIOD_OVERRIDE=FQ","FILING_STATUS=MR","SCALING_FORMAT=MLN","Sort=A","Dates=H","DateFormat=P","Fill=—","Direction=H","UseDPDF=Y")</f>
        <v>—</v>
      </c>
      <c r="AA34" s="13">
        <f>_xll.BDH("AMGN US Equity","ARD_PURCHASES_OF_ST_MKT_SEC","FQ4 2024","FQ4 2024","Currency=USD","Period=FQ","BEST_FPERIOD_OVERRIDE=FQ","FILING_STATUS=MR","SCALING_FORMAT=MLN","Sort=A","Dates=H","DateFormat=P","Fill=—","Direction=H","UseDPDF=Y")</f>
        <v>0</v>
      </c>
    </row>
    <row r="35" spans="1:27" x14ac:dyDescent="0.25">
      <c r="A35" s="6" t="s">
        <v>1408</v>
      </c>
      <c r="B35" s="6" t="s">
        <v>1409</v>
      </c>
      <c r="C35" s="19">
        <f>_xll.BDH("AMGN US Equity","ARD_TOT_CASHFLOWS_FROM_INVESTING","FQ4 2018","FQ4 2018","Currency=USD","Period=FQ","BEST_FPERIOD_OVERRIDE=FQ","FILING_STATUS=MR","SCALING_FORMAT=MLN","Sort=A","Dates=H","DateFormat=P","Fill=—","Direction=H","UseDPDF=Y")</f>
        <v>14339</v>
      </c>
      <c r="D35" s="19">
        <f>_xll.BDH("AMGN US Equity","ARD_TOT_CASHFLOWS_FROM_INVESTING","FQ1 2019","FQ1 2019","Currency=USD","Period=FQ","BEST_FPERIOD_OVERRIDE=FQ","FILING_STATUS=MR","SCALING_FORMAT=MLN","Sort=A","Dates=H","DateFormat=P","Fill=—","Direction=H","UseDPDF=Y")</f>
        <v>3555</v>
      </c>
      <c r="E35" s="19">
        <f>_xll.BDH("AMGN US Equity","ARD_TOT_CASHFLOWS_FROM_INVESTING","FQ2 2019","FQ2 2019","Currency=USD","Period=FQ","BEST_FPERIOD_OVERRIDE=FQ","FILING_STATUS=MR","SCALING_FORMAT=MLN","Sort=A","Dates=H","DateFormat=P","Fill=—","Direction=H","UseDPDF=Y")</f>
        <v>6300</v>
      </c>
      <c r="F35" s="19">
        <f>_xll.BDH("AMGN US Equity","ARD_TOT_CASHFLOWS_FROM_INVESTING","FQ3 2019","FQ3 2019","Currency=USD","Period=FQ","BEST_FPERIOD_OVERRIDE=FQ","FILING_STATUS=MR","SCALING_FORMAT=MLN","Sort=A","Dates=H","DateFormat=P","Fill=—","Direction=H","UseDPDF=Y")</f>
        <v>11672</v>
      </c>
      <c r="G35" s="19">
        <f>_xll.BDH("AMGN US Equity","ARD_TOT_CASHFLOWS_FROM_INVESTING","FQ4 2019","FQ4 2019","Currency=USD","Period=FQ","BEST_FPERIOD_OVERRIDE=FQ","FILING_STATUS=MR","SCALING_FORMAT=MLN","Sort=A","Dates=H","DateFormat=P","Fill=—","Direction=H","UseDPDF=Y")</f>
        <v>5709</v>
      </c>
      <c r="H35" s="19">
        <f>_xll.BDH("AMGN US Equity","ARD_TOT_CASHFLOWS_FROM_INVESTING","FQ1 2020","FQ1 2020","Currency=USD","Period=FQ","BEST_FPERIOD_OVERRIDE=FQ","FILING_STATUS=MR","SCALING_FORMAT=MLN","Sort=A","Dates=H","DateFormat=P","Fill=—","Direction=H","UseDPDF=Y")</f>
        <v>-230</v>
      </c>
      <c r="I35" s="19">
        <f>_xll.BDH("AMGN US Equity","ARD_TOT_CASHFLOWS_FROM_INVESTING","FQ2 2020","FQ2 2020","Currency=USD","Period=FQ","BEST_FPERIOD_OVERRIDE=FQ","FILING_STATUS=MR","SCALING_FORMAT=MLN","Sort=A","Dates=H","DateFormat=P","Fill=—","Direction=H","UseDPDF=Y")</f>
        <v>-2389</v>
      </c>
      <c r="J35" s="19">
        <f>_xll.BDH("AMGN US Equity","ARD_TOT_CASHFLOWS_FROM_INVESTING","FQ3 2020","FQ3 2020","Currency=USD","Period=FQ","BEST_FPERIOD_OVERRIDE=FQ","FILING_STATUS=MR","SCALING_FORMAT=MLN","Sort=A","Dates=H","DateFormat=P","Fill=—","Direction=H","UseDPDF=Y")</f>
        <v>-4017</v>
      </c>
      <c r="K35" s="19">
        <f>_xll.BDH("AMGN US Equity","ARD_TOT_CASHFLOWS_FROM_INVESTING","FQ4 2020","FQ4 2020","Currency=USD","Period=FQ","BEST_FPERIOD_OVERRIDE=FQ","FILING_STATUS=MR","SCALING_FORMAT=MLN","Sort=A","Dates=H","DateFormat=P","Fill=—","Direction=H","UseDPDF=Y")</f>
        <v>-5401</v>
      </c>
      <c r="L35" s="19">
        <f>_xll.BDH("AMGN US Equity","ARD_TOT_CASHFLOWS_FROM_INVESTING","FQ1 2021","FQ1 2021","Currency=USD","Period=FQ","BEST_FPERIOD_OVERRIDE=FQ","FILING_STATUS=MR","SCALING_FORMAT=MLN","Sort=A","Dates=H","DateFormat=P","Fill=—","Direction=H","UseDPDF=Y")</f>
        <v>-319</v>
      </c>
      <c r="M35" s="19">
        <f>_xll.BDH("AMGN US Equity","ARD_TOT_CASHFLOWS_FROM_INVESTING","FQ2 2021","FQ2 2021","Currency=USD","Period=FQ","BEST_FPERIOD_OVERRIDE=FQ","FILING_STATUS=MR","SCALING_FORMAT=MLN","Sort=A","Dates=H","DateFormat=P","Fill=—","Direction=H","UseDPDF=Y")</f>
        <v>890</v>
      </c>
      <c r="N35" s="19">
        <f>_xll.BDH("AMGN US Equity","ARD_TOT_CASHFLOWS_FROM_INVESTING","FQ3 2021","FQ3 2021","Currency=USD","Period=FQ","BEST_FPERIOD_OVERRIDE=FQ","FILING_STATUS=MR","SCALING_FORMAT=MLN","Sort=A","Dates=H","DateFormat=P","Fill=—","Direction=H","UseDPDF=Y")</f>
        <v>963</v>
      </c>
      <c r="O35" s="19">
        <f>_xll.BDH("AMGN US Equity","ARD_TOT_CASHFLOWS_FROM_INVESTING","FQ4 2021","FQ4 2021","Currency=USD","Period=FQ","BEST_FPERIOD_OVERRIDE=FQ","FILING_STATUS=MR","SCALING_FORMAT=MLN","Sort=A","Dates=H","DateFormat=P","Fill=—","Direction=H","UseDPDF=Y")</f>
        <v>733</v>
      </c>
      <c r="P35" s="19">
        <f>_xll.BDH("AMGN US Equity","ARD_TOT_CASHFLOWS_FROM_INVESTING","FQ1 2022","FQ1 2022","Currency=USD","Period=FQ","BEST_FPERIOD_OVERRIDE=FQ","FILING_STATUS=MR","SCALING_FORMAT=MLN","Sort=A","Dates=H","DateFormat=P","Fill=—","Direction=H","UseDPDF=Y")</f>
        <v>-111</v>
      </c>
      <c r="Q35" s="19">
        <f>_xll.BDH("AMGN US Equity","ARD_TOT_CASHFLOWS_FROM_INVESTING","FQ2 2022","FQ2 2022","Currency=USD","Period=FQ","BEST_FPERIOD_OVERRIDE=FQ","FILING_STATUS=MR","SCALING_FORMAT=MLN","Sort=A","Dates=H","DateFormat=P","Fill=—","Direction=H","UseDPDF=Y")</f>
        <v>-2304</v>
      </c>
      <c r="R35" s="19">
        <f>_xll.BDH("AMGN US Equity","ARD_TOT_CASHFLOWS_FROM_INVESTING","FQ3 2022","FQ3 2022","Currency=USD","Period=FQ","BEST_FPERIOD_OVERRIDE=FQ","FILING_STATUS=MR","SCALING_FORMAT=MLN","Sort=A","Dates=H","DateFormat=P","Fill=—","Direction=H","UseDPDF=Y")</f>
        <v>-2571</v>
      </c>
      <c r="S35" s="19">
        <f>_xll.BDH("AMGN US Equity","ARD_TOT_CASHFLOWS_FROM_INVESTING","FQ4 2022","FQ4 2022","Currency=USD","Period=FQ","BEST_FPERIOD_OVERRIDE=FQ","FILING_STATUS=MR","SCALING_FORMAT=MLN","Sort=A","Dates=H","DateFormat=P","Fill=—","Direction=H","UseDPDF=Y")</f>
        <v>-6044</v>
      </c>
      <c r="T35" s="19">
        <f>_xll.BDH("AMGN US Equity","ARD_TOT_CASHFLOWS_FROM_INVESTING","FQ1 2023","FQ1 2023","Currency=USD","Period=FQ","BEST_FPERIOD_OVERRIDE=FQ","FILING_STATUS=MR","SCALING_FORMAT=MLN","Sort=A","Dates=H","DateFormat=P","Fill=—","Direction=H","UseDPDF=Y")</f>
        <v>1358</v>
      </c>
      <c r="U35" s="19">
        <f>_xll.BDH("AMGN US Equity","ARD_TOT_CASHFLOWS_FROM_INVESTING","FQ2 2023","FQ2 2023","Currency=USD","Period=FQ","BEST_FPERIOD_OVERRIDE=FQ","FILING_STATUS=MR","SCALING_FORMAT=MLN","Sort=A","Dates=H","DateFormat=P","Fill=—","Direction=H","UseDPDF=Y")</f>
        <v>1147</v>
      </c>
      <c r="V35" s="19">
        <f>_xll.BDH("AMGN US Equity","ARD_TOT_CASHFLOWS_FROM_INVESTING","FQ3 2023","FQ3 2023","Currency=USD","Period=FQ","BEST_FPERIOD_OVERRIDE=FQ","FILING_STATUS=MR","SCALING_FORMAT=MLN","Sort=A","Dates=H","DateFormat=P","Fill=—","Direction=H","UseDPDF=Y")</f>
        <v>885</v>
      </c>
      <c r="W35" s="19">
        <f>_xll.BDH("AMGN US Equity","ARD_TOT_CASHFLOWS_FROM_INVESTING","FQ4 2023","FQ4 2023","Currency=USD","Period=FQ","BEST_FPERIOD_OVERRIDE=FQ","FILING_STATUS=MR","SCALING_FORMAT=MLN","Sort=A","Dates=H","DateFormat=P","Fill=—","Direction=H","UseDPDF=Y")</f>
        <v>-26204</v>
      </c>
      <c r="X35" s="19">
        <f>_xll.BDH("AMGN US Equity","ARD_TOT_CASHFLOWS_FROM_INVESTING","FQ1 2024","FQ1 2024","Currency=USD","Period=FQ","BEST_FPERIOD_OVERRIDE=FQ","FILING_STATUS=MR","SCALING_FORMAT=MLN","Sort=A","Dates=H","DateFormat=P","Fill=—","Direction=H","UseDPDF=Y")</f>
        <v>-217</v>
      </c>
      <c r="Y35" s="19">
        <f>_xll.BDH("AMGN US Equity","ARD_TOT_CASHFLOWS_FROM_INVESTING","FQ2 2024","FQ2 2024","Currency=USD","Period=FQ","BEST_FPERIOD_OVERRIDE=FQ","FILING_STATUS=MR","SCALING_FORMAT=MLN","Sort=A","Dates=H","DateFormat=P","Fill=—","Direction=H","UseDPDF=Y")</f>
        <v>-434</v>
      </c>
      <c r="Z35" s="19">
        <f>_xll.BDH("AMGN US Equity","ARD_TOT_CASHFLOWS_FROM_INVESTING","FQ3 2024","FQ3 2024","Currency=USD","Period=FQ","BEST_FPERIOD_OVERRIDE=FQ","FILING_STATUS=MR","SCALING_FORMAT=MLN","Sort=A","Dates=H","DateFormat=P","Fill=—","Direction=H","UseDPDF=Y")</f>
        <v>-644</v>
      </c>
      <c r="AA35" s="19">
        <f>_xll.BDH("AMGN US Equity","ARD_TOT_CASHFLOWS_FROM_INVESTING","FQ4 2024","FQ4 2024","Currency=USD","Period=FQ","BEST_FPERIOD_OVERRIDE=FQ","FILING_STATUS=MR","SCALING_FORMAT=MLN","Sort=A","Dates=H","DateFormat=P","Fill=—","Direction=H","UseDPDF=Y")</f>
        <v>-1046</v>
      </c>
    </row>
    <row r="36" spans="1:27" x14ac:dyDescent="0.25">
      <c r="A36" s="10" t="s">
        <v>1410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5">
      <c r="A37" s="10" t="s">
        <v>1411</v>
      </c>
      <c r="B37" s="10" t="s">
        <v>1412</v>
      </c>
      <c r="C37" s="13">
        <f>_xll.BDH("AMGN US Equity","ARD_DIVIDEND_PD","FQ4 2018","FQ4 2018","Currency=USD","Period=FQ","BEST_FPERIOD_OVERRIDE=FQ","FILING_STATUS=MR","SCALING_FORMAT=MLN","Sort=A","Dates=H","DateFormat=P","Fill=—","Direction=H","UseDPDF=Y")</f>
        <v>-3507</v>
      </c>
      <c r="D37" s="13">
        <f>_xll.BDH("AMGN US Equity","ARD_DIVIDEND_PD","FQ1 2019","FQ1 2019","Currency=USD","Period=FQ","BEST_FPERIOD_OVERRIDE=FQ","FILING_STATUS=MR","SCALING_FORMAT=MLN","Sort=A","Dates=H","DateFormat=P","Fill=—","Direction=H","UseDPDF=Y")</f>
        <v>-901</v>
      </c>
      <c r="E37" s="13">
        <f>_xll.BDH("AMGN US Equity","ARD_DIVIDEND_PD","FQ2 2019","FQ2 2019","Currency=USD","Period=FQ","BEST_FPERIOD_OVERRIDE=FQ","FILING_STATUS=MR","SCALING_FORMAT=MLN","Sort=A","Dates=H","DateFormat=P","Fill=—","Direction=H","UseDPDF=Y")</f>
        <v>-1781</v>
      </c>
      <c r="F37" s="13">
        <f>_xll.BDH("AMGN US Equity","ARD_DIVIDEND_PD","FQ3 2019","FQ3 2019","Currency=USD","Period=FQ","BEST_FPERIOD_OVERRIDE=FQ","FILING_STATUS=MR","SCALING_FORMAT=MLN","Sort=A","Dates=H","DateFormat=P","Fill=—","Direction=H","UseDPDF=Y")</f>
        <v>-2649</v>
      </c>
      <c r="G37" s="13">
        <f>_xll.BDH("AMGN US Equity","ARD_DIVIDEND_PD","FQ4 2019","FQ4 2019","Currency=USD","Period=FQ","BEST_FPERIOD_OVERRIDE=FQ","FILING_STATUS=MR","SCALING_FORMAT=MLN","Sort=A","Dates=H","DateFormat=P","Fill=—","Direction=H","UseDPDF=Y")</f>
        <v>-3509</v>
      </c>
      <c r="H37" s="13">
        <f>_xll.BDH("AMGN US Equity","ARD_DIVIDEND_PD","FQ1 2020","FQ1 2020","Currency=USD","Period=FQ","BEST_FPERIOD_OVERRIDE=FQ","FILING_STATUS=MR","SCALING_FORMAT=MLN","Sort=A","Dates=H","DateFormat=P","Fill=—","Direction=H","UseDPDF=Y")</f>
        <v>-945</v>
      </c>
      <c r="I37" s="13">
        <f>_xll.BDH("AMGN US Equity","ARD_DIVIDEND_PD","FQ2 2020","FQ2 2020","Currency=USD","Period=FQ","BEST_FPERIOD_OVERRIDE=FQ","FILING_STATUS=MR","SCALING_FORMAT=MLN","Sort=A","Dates=H","DateFormat=P","Fill=—","Direction=H","UseDPDF=Y")</f>
        <v>-1887</v>
      </c>
      <c r="J37" s="13">
        <f>_xll.BDH("AMGN US Equity","ARD_DIVIDEND_PD","FQ3 2020","FQ3 2020","Currency=USD","Period=FQ","BEST_FPERIOD_OVERRIDE=FQ","FILING_STATUS=MR","SCALING_FORMAT=MLN","Sort=A","Dates=H","DateFormat=P","Fill=—","Direction=H","UseDPDF=Y")</f>
        <v>-2823</v>
      </c>
      <c r="K37" s="13">
        <f>_xll.BDH("AMGN US Equity","ARD_DIVIDEND_PD","FQ4 2020","FQ4 2020","Currency=USD","Period=FQ","BEST_FPERIOD_OVERRIDE=FQ","FILING_STATUS=MR","SCALING_FORMAT=MLN","Sort=A","Dates=H","DateFormat=P","Fill=—","Direction=H","UseDPDF=Y")</f>
        <v>-3755</v>
      </c>
      <c r="L37" s="13">
        <f>_xll.BDH("AMGN US Equity","ARD_DIVIDEND_PD","FQ1 2021","FQ1 2021","Currency=USD","Period=FQ","BEST_FPERIOD_OVERRIDE=FQ","FILING_STATUS=MR","SCALING_FORMAT=MLN","Sort=A","Dates=H","DateFormat=P","Fill=—","Direction=H","UseDPDF=Y")</f>
        <v>-1016</v>
      </c>
      <c r="M37" s="13">
        <f>_xll.BDH("AMGN US Equity","ARD_DIVIDEND_PD","FQ2 2021","FQ2 2021","Currency=USD","Period=FQ","BEST_FPERIOD_OVERRIDE=FQ","FILING_STATUS=MR","SCALING_FORMAT=MLN","Sort=A","Dates=H","DateFormat=P","Fill=—","Direction=H","UseDPDF=Y")</f>
        <v>-2024</v>
      </c>
      <c r="N37" s="13">
        <f>_xll.BDH("AMGN US Equity","ARD_DIVIDEND_PD","FQ3 2021","FQ3 2021","Currency=USD","Period=FQ","BEST_FPERIOD_OVERRIDE=FQ","FILING_STATUS=MR","SCALING_FORMAT=MLN","Sort=A","Dates=H","DateFormat=P","Fill=—","Direction=H","UseDPDF=Y")</f>
        <v>-3023</v>
      </c>
      <c r="O37" s="13">
        <f>_xll.BDH("AMGN US Equity","ARD_DIVIDEND_PD","FQ4 2021","FQ4 2021","Currency=USD","Period=FQ","BEST_FPERIOD_OVERRIDE=FQ","FILING_STATUS=MR","SCALING_FORMAT=MLN","Sort=A","Dates=H","DateFormat=P","Fill=—","Direction=H","UseDPDF=Y")</f>
        <v>-4013</v>
      </c>
      <c r="P37" s="13">
        <f>_xll.BDH("AMGN US Equity","ARD_DIVIDEND_PD","FQ1 2022","FQ1 2022","Currency=USD","Period=FQ","BEST_FPERIOD_OVERRIDE=FQ","FILING_STATUS=MR","SCALING_FORMAT=MLN","Sort=A","Dates=H","DateFormat=P","Fill=—","Direction=H","UseDPDF=Y")</f>
        <v>-1080</v>
      </c>
      <c r="Q37" s="13">
        <f>_xll.BDH("AMGN US Equity","ARD_DIVIDEND_PD","FQ2 2022","FQ2 2022","Currency=USD","Period=FQ","BEST_FPERIOD_OVERRIDE=FQ","FILING_STATUS=MR","SCALING_FORMAT=MLN","Sort=A","Dates=H","DateFormat=P","Fill=—","Direction=H","UseDPDF=Y")</f>
        <v>-2118</v>
      </c>
      <c r="R37" s="13">
        <f>_xll.BDH("AMGN US Equity","ARD_DIVIDEND_PD","FQ3 2022","FQ3 2022","Currency=USD","Period=FQ","BEST_FPERIOD_OVERRIDE=FQ","FILING_STATUS=MR","SCALING_FORMAT=MLN","Sort=A","Dates=H","DateFormat=P","Fill=—","Direction=H","UseDPDF=Y")</f>
        <v>-3156</v>
      </c>
      <c r="S37" s="13">
        <f>_xll.BDH("AMGN US Equity","ARD_DIVIDEND_PD","FQ4 2022","FQ4 2022","Currency=USD","Period=FQ","BEST_FPERIOD_OVERRIDE=FQ","FILING_STATUS=MR","SCALING_FORMAT=MLN","Sort=A","Dates=H","DateFormat=P","Fill=—","Direction=H","UseDPDF=Y")</f>
        <v>-4196</v>
      </c>
      <c r="T37" s="13">
        <f>_xll.BDH("AMGN US Equity","ARD_DIVIDEND_PD","FQ1 2023","FQ1 2023","Currency=USD","Period=FQ","BEST_FPERIOD_OVERRIDE=FQ","FILING_STATUS=MR","SCALING_FORMAT=MLN","Sort=A","Dates=H","DateFormat=P","Fill=—","Direction=H","UseDPDF=Y")</f>
        <v>-1137</v>
      </c>
      <c r="U37" s="13">
        <f>_xll.BDH("AMGN US Equity","ARD_DIVIDEND_PD","FQ2 2023","FQ2 2023","Currency=USD","Period=FQ","BEST_FPERIOD_OVERRIDE=FQ","FILING_STATUS=MR","SCALING_FORMAT=MLN","Sort=A","Dates=H","DateFormat=P","Fill=—","Direction=H","UseDPDF=Y")</f>
        <v>-2276</v>
      </c>
      <c r="V37" s="13">
        <f>_xll.BDH("AMGN US Equity","ARD_DIVIDEND_PD","FQ3 2023","FQ3 2023","Currency=USD","Period=FQ","BEST_FPERIOD_OVERRIDE=FQ","FILING_STATUS=MR","SCALING_FORMAT=MLN","Sort=A","Dates=H","DateFormat=P","Fill=—","Direction=H","UseDPDF=Y")</f>
        <v>-3416</v>
      </c>
      <c r="W37" s="13">
        <f>_xll.BDH("AMGN US Equity","ARD_DIVIDEND_PD","FQ4 2023","FQ4 2023","Currency=USD","Period=FQ","BEST_FPERIOD_OVERRIDE=FQ","FILING_STATUS=MR","SCALING_FORMAT=MLN","Sort=A","Dates=H","DateFormat=P","Fill=—","Direction=H","UseDPDF=Y")</f>
        <v>-4556</v>
      </c>
      <c r="X37" s="13">
        <f>_xll.BDH("AMGN US Equity","ARD_DIVIDEND_PD","FQ1 2024","FQ1 2024","Currency=USD","Period=FQ","BEST_FPERIOD_OVERRIDE=FQ","FILING_STATUS=MR","SCALING_FORMAT=MLN","Sort=A","Dates=H","DateFormat=P","Fill=—","Direction=H","UseDPDF=Y")</f>
        <v>-1208</v>
      </c>
      <c r="Y37" s="13">
        <f>_xll.BDH("AMGN US Equity","ARD_DIVIDEND_PD","FQ2 2024","FQ2 2024","Currency=USD","Period=FQ","BEST_FPERIOD_OVERRIDE=FQ","FILING_STATUS=MR","SCALING_FORMAT=MLN","Sort=A","Dates=H","DateFormat=P","Fill=—","Direction=H","UseDPDF=Y")</f>
        <v>-2417</v>
      </c>
      <c r="Z37" s="13">
        <f>_xll.BDH("AMGN US Equity","ARD_DIVIDEND_PD","FQ3 2024","FQ3 2024","Currency=USD","Period=FQ","BEST_FPERIOD_OVERRIDE=FQ","FILING_STATUS=MR","SCALING_FORMAT=MLN","Sort=A","Dates=H","DateFormat=P","Fill=—","Direction=H","UseDPDF=Y")</f>
        <v>-3627</v>
      </c>
      <c r="AA37" s="13">
        <f>_xll.BDH("AMGN US Equity","ARD_DIVIDEND_PD","FQ4 2024","FQ4 2024","Currency=USD","Period=FQ","BEST_FPERIOD_OVERRIDE=FQ","FILING_STATUS=MR","SCALING_FORMAT=MLN","Sort=A","Dates=H","DateFormat=P","Fill=—","Direction=H","UseDPDF=Y")</f>
        <v>-4832</v>
      </c>
    </row>
    <row r="38" spans="1:27" x14ac:dyDescent="0.25">
      <c r="A38" s="10" t="s">
        <v>1413</v>
      </c>
      <c r="B38" s="10" t="s">
        <v>1414</v>
      </c>
      <c r="C38" s="13">
        <f>_xll.BDH("AMGN US Equity","ARD_INCR_IN_LT_BORROW","FQ4 2018","FQ4 2018","Currency=USD","Period=FQ","BEST_FPERIOD_OVERRIDE=FQ","FILING_STATUS=MR","SCALING_FORMAT=MLN","Sort=A","Dates=H","DateFormat=P","Fill=—","Direction=H","UseDPDF=Y")</f>
        <v>0</v>
      </c>
      <c r="D38" s="13">
        <f>_xll.BDH("AMGN US Equity","ARD_INCR_IN_LT_BORROW","FQ1 2019","FQ1 2019","Currency=USD","Period=FQ","BEST_FPERIOD_OVERRIDE=FQ","FILING_STATUS=MR","SCALING_FORMAT=MLN","Sort=A","Dates=H","DateFormat=P","Fill=—","Direction=H","UseDPDF=Y")</f>
        <v>0</v>
      </c>
      <c r="E38" s="13">
        <f>_xll.BDH("AMGN US Equity","ARD_INCR_IN_LT_BORROW","FQ2 2019","FQ2 2019","Currency=USD","Period=FQ","BEST_FPERIOD_OVERRIDE=FQ","FILING_STATUS=MR","SCALING_FORMAT=MLN","Sort=A","Dates=H","DateFormat=P","Fill=—","Direction=H","UseDPDF=Y")</f>
        <v>0</v>
      </c>
      <c r="F38" s="13">
        <f>_xll.BDH("AMGN US Equity","ARD_INCR_IN_LT_BORROW","FQ3 2019","FQ3 2019","Currency=USD","Period=FQ","BEST_FPERIOD_OVERRIDE=FQ","FILING_STATUS=MR","SCALING_FORMAT=MLN","Sort=A","Dates=H","DateFormat=P","Fill=—","Direction=H","UseDPDF=Y")</f>
        <v>0</v>
      </c>
      <c r="G38" s="13">
        <f>_xll.BDH("AMGN US Equity","ARD_INCR_IN_LT_BORROW","FQ4 2019","FQ4 2019","Currency=USD","Period=FQ","BEST_FPERIOD_OVERRIDE=FQ","FILING_STATUS=MR","SCALING_FORMAT=MLN","Sort=A","Dates=H","DateFormat=P","Fill=—","Direction=H","UseDPDF=Y")</f>
        <v>0</v>
      </c>
      <c r="H38" s="13">
        <f>_xll.BDH("AMGN US Equity","ARD_INCR_IN_LT_BORROW","FQ1 2020","FQ1 2020","Currency=USD","Period=FQ","BEST_FPERIOD_OVERRIDE=FQ","FILING_STATUS=MR","SCALING_FORMAT=MLN","Sort=A","Dates=H","DateFormat=P","Fill=—","Direction=H","UseDPDF=Y")</f>
        <v>4963</v>
      </c>
      <c r="I38" s="13">
        <f>_xll.BDH("AMGN US Equity","ARD_INCR_IN_LT_BORROW","FQ2 2020","FQ2 2020","Currency=USD","Period=FQ","BEST_FPERIOD_OVERRIDE=FQ","FILING_STATUS=MR","SCALING_FORMAT=MLN","Sort=A","Dates=H","DateFormat=P","Fill=—","Direction=H","UseDPDF=Y")</f>
        <v>9002</v>
      </c>
      <c r="J38" s="13">
        <f>_xll.BDH("AMGN US Equity","ARD_INCR_IN_LT_BORROW","FQ3 2020","FQ3 2020","Currency=USD","Period=FQ","BEST_FPERIOD_OVERRIDE=FQ","FILING_STATUS=MR","SCALING_FORMAT=MLN","Sort=A","Dates=H","DateFormat=P","Fill=—","Direction=H","UseDPDF=Y")</f>
        <v>8914</v>
      </c>
      <c r="K38" s="13">
        <f>_xll.BDH("AMGN US Equity","ARD_INCR_IN_LT_BORROW","FQ4 2020","FQ4 2020","Currency=USD","Period=FQ","BEST_FPERIOD_OVERRIDE=FQ","FILING_STATUS=MR","SCALING_FORMAT=MLN","Sort=A","Dates=H","DateFormat=P","Fill=—","Direction=H","UseDPDF=Y")</f>
        <v>8914</v>
      </c>
      <c r="L38" s="13">
        <f>_xll.BDH("AMGN US Equity","ARD_INCR_IN_LT_BORROW","FQ1 2021","FQ1 2021","Currency=USD","Period=FQ","BEST_FPERIOD_OVERRIDE=FQ","FILING_STATUS=MR","SCALING_FORMAT=MLN","Sort=A","Dates=H","DateFormat=P","Fill=—","Direction=H","UseDPDF=Y")</f>
        <v>0</v>
      </c>
      <c r="M38" s="13">
        <f>_xll.BDH("AMGN US Equity","ARD_INCR_IN_LT_BORROW","FQ2 2021","FQ2 2021","Currency=USD","Period=FQ","BEST_FPERIOD_OVERRIDE=FQ","FILING_STATUS=MR","SCALING_FORMAT=MLN","Sort=A","Dates=H","DateFormat=P","Fill=—","Direction=H","UseDPDF=Y")</f>
        <v>0</v>
      </c>
      <c r="N38" s="13">
        <f>_xll.BDH("AMGN US Equity","ARD_INCR_IN_LT_BORROW","FQ3 2021","FQ3 2021","Currency=USD","Period=FQ","BEST_FPERIOD_OVERRIDE=FQ","FILING_STATUS=MR","SCALING_FORMAT=MLN","Sort=A","Dates=H","DateFormat=P","Fill=—","Direction=H","UseDPDF=Y")</f>
        <v>4946</v>
      </c>
      <c r="O38" s="13">
        <f>_xll.BDH("AMGN US Equity","ARD_INCR_IN_LT_BORROW","FQ4 2021","FQ4 2021","Currency=USD","Period=FQ","BEST_FPERIOD_OVERRIDE=FQ","FILING_STATUS=MR","SCALING_FORMAT=MLN","Sort=A","Dates=H","DateFormat=P","Fill=—","Direction=H","UseDPDF=Y")</f>
        <v>4945</v>
      </c>
      <c r="P38" s="13">
        <f>_xll.BDH("AMGN US Equity","ARD_INCR_IN_LT_BORROW","FQ1 2022","FQ1 2022","Currency=USD","Period=FQ","BEST_FPERIOD_OVERRIDE=FQ","FILING_STATUS=MR","SCALING_FORMAT=MLN","Sort=A","Dates=H","DateFormat=P","Fill=—","Direction=H","UseDPDF=Y")</f>
        <v>3952</v>
      </c>
      <c r="Q38" s="13">
        <f>_xll.BDH("AMGN US Equity","ARD_INCR_IN_LT_BORROW","FQ2 2022","FQ2 2022","Currency=USD","Period=FQ","BEST_FPERIOD_OVERRIDE=FQ","FILING_STATUS=MR","SCALING_FORMAT=MLN","Sort=A","Dates=H","DateFormat=P","Fill=—","Direction=H","UseDPDF=Y")</f>
        <v>3954</v>
      </c>
      <c r="R38" s="13">
        <f>_xll.BDH("AMGN US Equity","ARD_INCR_IN_LT_BORROW","FQ3 2022","FQ3 2022","Currency=USD","Period=FQ","BEST_FPERIOD_OVERRIDE=FQ","FILING_STATUS=MR","SCALING_FORMAT=MLN","Sort=A","Dates=H","DateFormat=P","Fill=—","Direction=H","UseDPDF=Y")</f>
        <v>6938</v>
      </c>
      <c r="S38" s="13">
        <f>_xll.BDH("AMGN US Equity","ARD_INCR_IN_LT_BORROW","FQ4 2022","FQ4 2022","Currency=USD","Period=FQ","BEST_FPERIOD_OVERRIDE=FQ","FILING_STATUS=MR","SCALING_FORMAT=MLN","Sort=A","Dates=H","DateFormat=P","Fill=—","Direction=H","UseDPDF=Y")</f>
        <v>6919</v>
      </c>
      <c r="T38" s="13">
        <f>_xll.BDH("AMGN US Equity","ARD_INCR_IN_LT_BORROW","FQ1 2023","FQ1 2023","Currency=USD","Period=FQ","BEST_FPERIOD_OVERRIDE=FQ","FILING_STATUS=MR","SCALING_FORMAT=MLN","Sort=A","Dates=H","DateFormat=P","Fill=—","Direction=H","UseDPDF=Y")</f>
        <v>23798</v>
      </c>
      <c r="U38" s="13">
        <f>_xll.BDH("AMGN US Equity","ARD_INCR_IN_LT_BORROW","FQ2 2023","FQ2 2023","Currency=USD","Period=FQ","BEST_FPERIOD_OVERRIDE=FQ","FILING_STATUS=MR","SCALING_FORMAT=MLN","Sort=A","Dates=H","DateFormat=P","Fill=—","Direction=H","UseDPDF=Y")</f>
        <v>23780</v>
      </c>
      <c r="V38" s="13">
        <f>_xll.BDH("AMGN US Equity","ARD_INCR_IN_LT_BORROW","FQ3 2023","FQ3 2023","Currency=USD","Period=FQ","BEST_FPERIOD_OVERRIDE=FQ","FILING_STATUS=MR","SCALING_FORMAT=MLN","Sort=A","Dates=H","DateFormat=P","Fill=—","Direction=H","UseDPDF=Y")</f>
        <v>23781</v>
      </c>
      <c r="W38" s="13">
        <f>_xll.BDH("AMGN US Equity","ARD_INCR_IN_LT_BORROW","FQ4 2023","FQ4 2023","Currency=USD","Period=FQ","BEST_FPERIOD_OVERRIDE=FQ","FILING_STATUS=MR","SCALING_FORMAT=MLN","Sort=A","Dates=H","DateFormat=P","Fill=—","Direction=H","UseDPDF=Y")</f>
        <v>27777</v>
      </c>
      <c r="X38" s="13">
        <f>_xll.BDH("AMGN US Equity","ARD_INCR_IN_LT_BORROW","FQ1 2024","FQ1 2024","Currency=USD","Period=FQ","BEST_FPERIOD_OVERRIDE=FQ","FILING_STATUS=MR","SCALING_FORMAT=MLN","Sort=A","Dates=H","DateFormat=P","Fill=—","Direction=H","UseDPDF=Y")</f>
        <v>0</v>
      </c>
      <c r="Y38" s="13">
        <f>_xll.BDH("AMGN US Equity","ARD_INCR_IN_LT_BORROW","FQ2 2024","FQ2 2024","Currency=USD","Period=FQ","BEST_FPERIOD_OVERRIDE=FQ","FILING_STATUS=MR","SCALING_FORMAT=MLN","Sort=A","Dates=H","DateFormat=P","Fill=—","Direction=H","UseDPDF=Y")</f>
        <v>0</v>
      </c>
      <c r="Z38" s="13">
        <f>_xll.BDH("AMGN US Equity","ARD_INCR_IN_LT_BORROW","FQ3 2024","FQ3 2024","Currency=USD","Period=FQ","BEST_FPERIOD_OVERRIDE=FQ","FILING_STATUS=MR","SCALING_FORMAT=MLN","Sort=A","Dates=H","DateFormat=P","Fill=—","Direction=H","UseDPDF=Y")</f>
        <v>0</v>
      </c>
      <c r="AA38" s="13">
        <f>_xll.BDH("AMGN US Equity","ARD_INCR_IN_LT_BORROW","FQ4 2024","FQ4 2024","Currency=USD","Period=FQ","BEST_FPERIOD_OVERRIDE=FQ","FILING_STATUS=MR","SCALING_FORMAT=MLN","Sort=A","Dates=H","DateFormat=P","Fill=—","Direction=H","UseDPDF=Y")</f>
        <v>0</v>
      </c>
    </row>
    <row r="39" spans="1:27" x14ac:dyDescent="0.25">
      <c r="A39" s="10" t="s">
        <v>1415</v>
      </c>
      <c r="B39" s="10" t="s">
        <v>1416</v>
      </c>
      <c r="C39" s="13">
        <f>_xll.BDH("AMGN US Equity","ARD_DECR_IN_LT_BORROW","FQ4 2018","FQ4 2018","Currency=USD","Period=FQ","BEST_FPERIOD_OVERRIDE=FQ","FILING_STATUS=MR","SCALING_FORMAT=MLN","Sort=A","Dates=H","DateFormat=P","Fill=—","Direction=H","UseDPDF=Y")</f>
        <v>-1121</v>
      </c>
      <c r="D39" s="13">
        <f>_xll.BDH("AMGN US Equity","ARD_DECR_IN_LT_BORROW","FQ1 2019","FQ1 2019","Currency=USD","Period=FQ","BEST_FPERIOD_OVERRIDE=FQ","FILING_STATUS=MR","SCALING_FORMAT=MLN","Sort=A","Dates=H","DateFormat=P","Fill=—","Direction=H","UseDPDF=Y")</f>
        <v>-1000</v>
      </c>
      <c r="E39" s="13">
        <f>_xll.BDH("AMGN US Equity","ARD_DECR_IN_LT_BORROW","FQ2 2019","FQ2 2019","Currency=USD","Period=FQ","BEST_FPERIOD_OVERRIDE=FQ","FILING_STATUS=MR","SCALING_FORMAT=MLN","Sort=A","Dates=H","DateFormat=P","Fill=—","Direction=H","UseDPDF=Y")</f>
        <v>-3650</v>
      </c>
      <c r="F39" s="13">
        <f>_xll.BDH("AMGN US Equity","ARD_DECR_IN_LT_BORROW","FQ3 2019","FQ3 2019","Currency=USD","Period=FQ","BEST_FPERIOD_OVERRIDE=FQ","FILING_STATUS=MR","SCALING_FORMAT=MLN","Sort=A","Dates=H","DateFormat=P","Fill=—","Direction=H","UseDPDF=Y")</f>
        <v>-4514</v>
      </c>
      <c r="G39" s="13">
        <f>_xll.BDH("AMGN US Equity","ARD_DECR_IN_LT_BORROW","FQ4 2019","FQ4 2019","Currency=USD","Period=FQ","BEST_FPERIOD_OVERRIDE=FQ","FILING_STATUS=MR","SCALING_FORMAT=MLN","Sort=A","Dates=H","DateFormat=P","Fill=—","Direction=H","UseDPDF=Y")</f>
        <v>-4514</v>
      </c>
      <c r="H39" s="13">
        <f>_xll.BDH("AMGN US Equity","ARD_DECR_IN_LT_BORROW","FQ1 2020","FQ1 2020","Currency=USD","Period=FQ","BEST_FPERIOD_OVERRIDE=FQ","FILING_STATUS=MR","SCALING_FORMAT=MLN","Sort=A","Dates=H","DateFormat=P","Fill=—","Direction=H","UseDPDF=Y")</f>
        <v>-3250</v>
      </c>
      <c r="I39" s="13">
        <f>_xll.BDH("AMGN US Equity","ARD_DECR_IN_LT_BORROW","FQ2 2020","FQ2 2020","Currency=USD","Period=FQ","BEST_FPERIOD_OVERRIDE=FQ","FILING_STATUS=MR","SCALING_FORMAT=MLN","Sort=A","Dates=H","DateFormat=P","Fill=—","Direction=H","UseDPDF=Y")</f>
        <v>-5000</v>
      </c>
      <c r="J39" s="13">
        <f>_xll.BDH("AMGN US Equity","ARD_DECR_IN_LT_BORROW","FQ3 2020","FQ3 2020","Currency=USD","Period=FQ","BEST_FPERIOD_OVERRIDE=FQ","FILING_STATUS=MR","SCALING_FORMAT=MLN","Sort=A","Dates=H","DateFormat=P","Fill=—","Direction=H","UseDPDF=Y")</f>
        <v>-5000</v>
      </c>
      <c r="K39" s="13">
        <f>_xll.BDH("AMGN US Equity","ARD_DECR_IN_LT_BORROW","FQ4 2020","FQ4 2020","Currency=USD","Period=FQ","BEST_FPERIOD_OVERRIDE=FQ","FILING_STATUS=MR","SCALING_FORMAT=MLN","Sort=A","Dates=H","DateFormat=P","Fill=—","Direction=H","UseDPDF=Y")</f>
        <v>-6450</v>
      </c>
      <c r="L39" s="13">
        <f>_xll.BDH("AMGN US Equity","ARD_DECR_IN_LT_BORROW","FQ1 2021","FQ1 2021","Currency=USD","Period=FQ","BEST_FPERIOD_OVERRIDE=FQ","FILING_STATUS=MR","SCALING_FORMAT=MLN","Sort=A","Dates=H","DateFormat=P","Fill=—","Direction=H","UseDPDF=Y")</f>
        <v>0</v>
      </c>
      <c r="M39" s="13">
        <f>_xll.BDH("AMGN US Equity","ARD_DECR_IN_LT_BORROW","FQ2 2021","FQ2 2021","Currency=USD","Period=FQ","BEST_FPERIOD_OVERRIDE=FQ","FILING_STATUS=MR","SCALING_FORMAT=MLN","Sort=A","Dates=H","DateFormat=P","Fill=—","Direction=H","UseDPDF=Y")</f>
        <v>0</v>
      </c>
      <c r="N39" s="13" t="str">
        <f>_xll.BDH("AMGN US Equity","ARD_DECR_IN_LT_BORROW","FQ3 2021","FQ3 2021","Currency=USD","Period=FQ","BEST_FPERIOD_OVERRIDE=FQ","FILING_STATUS=MR","SCALING_FORMAT=MLN","Sort=A","Dates=H","DateFormat=P","Fill=—","Direction=H","UseDPDF=Y")</f>
        <v>—</v>
      </c>
      <c r="O39" s="13">
        <f>_xll.BDH("AMGN US Equity","ARD_DECR_IN_LT_BORROW","FQ4 2021","FQ4 2021","Currency=USD","Period=FQ","BEST_FPERIOD_OVERRIDE=FQ","FILING_STATUS=MR","SCALING_FORMAT=MLN","Sort=A","Dates=H","DateFormat=P","Fill=—","Direction=H","UseDPDF=Y")</f>
        <v>-4150</v>
      </c>
      <c r="P39" s="13" t="str">
        <f>_xll.BDH("AMGN US Equity","ARD_DECR_IN_LT_BORROW","FQ1 2022","FQ1 2022","Currency=USD","Period=FQ","BEST_FPERIOD_OVERRIDE=FQ","FILING_STATUS=MR","SCALING_FORMAT=MLN","Sort=A","Dates=H","DateFormat=P","Fill=—","Direction=H","UseDPDF=Y")</f>
        <v>—</v>
      </c>
      <c r="Q39" s="13" t="str">
        <f>_xll.BDH("AMGN US Equity","ARD_DECR_IN_LT_BORROW","FQ2 2022","FQ2 2022","Currency=USD","Period=FQ","BEST_FPERIOD_OVERRIDE=FQ","FILING_STATUS=MR","SCALING_FORMAT=MLN","Sort=A","Dates=H","DateFormat=P","Fill=—","Direction=H","UseDPDF=Y")</f>
        <v>—</v>
      </c>
      <c r="R39" s="13" t="str">
        <f>_xll.BDH("AMGN US Equity","ARD_DECR_IN_LT_BORROW","FQ3 2022","FQ3 2022","Currency=USD","Period=FQ","BEST_FPERIOD_OVERRIDE=FQ","FILING_STATUS=MR","SCALING_FORMAT=MLN","Sort=A","Dates=H","DateFormat=P","Fill=—","Direction=H","UseDPDF=Y")</f>
        <v>—</v>
      </c>
      <c r="S39" s="13">
        <f>_xll.BDH("AMGN US Equity","ARD_DECR_IN_LT_BORROW","FQ4 2022","FQ4 2022","Currency=USD","Period=FQ","BEST_FPERIOD_OVERRIDE=FQ","FILING_STATUS=MR","SCALING_FORMAT=MLN","Sort=A","Dates=H","DateFormat=P","Fill=—","Direction=H","UseDPDF=Y")</f>
        <v>0</v>
      </c>
      <c r="T39" s="13">
        <f>_xll.BDH("AMGN US Equity","ARD_DECR_IN_LT_BORROW","FQ1 2023","FQ1 2023","Currency=USD","Period=FQ","BEST_FPERIOD_OVERRIDE=FQ","FILING_STATUS=MR","SCALING_FORMAT=MLN","Sort=A","Dates=H","DateFormat=P","Fill=—","Direction=H","UseDPDF=Y")</f>
        <v>-1124</v>
      </c>
      <c r="U39" s="13">
        <f>_xll.BDH("AMGN US Equity","ARD_DECR_IN_LT_BORROW","FQ2 2023","FQ2 2023","Currency=USD","Period=FQ","BEST_FPERIOD_OVERRIDE=FQ","FILING_STATUS=MR","SCALING_FORMAT=MLN","Sort=A","Dates=H","DateFormat=P","Fill=—","Direction=H","UseDPDF=Y")</f>
        <v>-1124</v>
      </c>
      <c r="V39" s="13">
        <f>_xll.BDH("AMGN US Equity","ARD_DECR_IN_LT_BORROW","FQ3 2023","FQ3 2023","Currency=USD","Period=FQ","BEST_FPERIOD_OVERRIDE=FQ","FILING_STATUS=MR","SCALING_FORMAT=MLN","Sort=A","Dates=H","DateFormat=P","Fill=—","Direction=H","UseDPDF=Y")</f>
        <v>-1454</v>
      </c>
      <c r="W39" s="13">
        <f>_xll.BDH("AMGN US Equity","ARD_DECR_IN_LT_BORROW","FQ4 2023","FQ4 2023","Currency=USD","Period=FQ","BEST_FPERIOD_OVERRIDE=FQ","FILING_STATUS=MR","SCALING_FORMAT=MLN","Sort=A","Dates=H","DateFormat=P","Fill=—","Direction=H","UseDPDF=Y")</f>
        <v>-2101</v>
      </c>
      <c r="X39" s="13">
        <f>_xll.BDH("AMGN US Equity","ARD_DECR_IN_LT_BORROW","FQ1 2024","FQ1 2024","Currency=USD","Period=FQ","BEST_FPERIOD_OVERRIDE=FQ","FILING_STATUS=MR","SCALING_FORMAT=MLN","Sort=A","Dates=H","DateFormat=P","Fill=—","Direction=H","UseDPDF=Y")</f>
        <v>-410</v>
      </c>
      <c r="Y39" s="13">
        <f>_xll.BDH("AMGN US Equity","ARD_DECR_IN_LT_BORROW","FQ2 2024","FQ2 2024","Currency=USD","Period=FQ","BEST_FPERIOD_OVERRIDE=FQ","FILING_STATUS=MR","SCALING_FORMAT=MLN","Sort=A","Dates=H","DateFormat=P","Fill=—","Direction=H","UseDPDF=Y")</f>
        <v>-1810</v>
      </c>
      <c r="Z39" s="13">
        <f>_xll.BDH("AMGN US Equity","ARD_DECR_IN_LT_BORROW","FQ3 2024","FQ3 2024","Currency=USD","Period=FQ","BEST_FPERIOD_OVERRIDE=FQ","FILING_STATUS=MR","SCALING_FORMAT=MLN","Sort=A","Dates=H","DateFormat=P","Fill=—","Direction=H","UseDPDF=Y")</f>
        <v>-3600</v>
      </c>
      <c r="AA39" s="13">
        <f>_xll.BDH("AMGN US Equity","ARD_DECR_IN_LT_BORROW","FQ4 2024","FQ4 2024","Currency=USD","Period=FQ","BEST_FPERIOD_OVERRIDE=FQ","FILING_STATUS=MR","SCALING_FORMAT=MLN","Sort=A","Dates=H","DateFormat=P","Fill=—","Direction=H","UseDPDF=Y")</f>
        <v>-4259</v>
      </c>
    </row>
    <row r="40" spans="1:27" x14ac:dyDescent="0.25">
      <c r="A40" s="10" t="s">
        <v>1417</v>
      </c>
      <c r="B40" s="10" t="s">
        <v>1418</v>
      </c>
      <c r="C40" s="13">
        <f>_xll.BDH("AMGN US Equity","ARD_REPURCHASE_OF_COMMON_STOCK","FQ4 2018","FQ4 2018","Currency=USD","Period=FQ","BEST_FPERIOD_OVERRIDE=FQ","FILING_STATUS=MR","SCALING_FORMAT=MLN","Sort=A","Dates=H","DateFormat=P","Fill=—","Direction=H","UseDPDF=Y")</f>
        <v>-17794</v>
      </c>
      <c r="D40" s="13">
        <f>_xll.BDH("AMGN US Equity","ARD_REPURCHASE_OF_COMMON_STOCK","FQ1 2019","FQ1 2019","Currency=USD","Period=FQ","BEST_FPERIOD_OVERRIDE=FQ","FILING_STATUS=MR","SCALING_FORMAT=MLN","Sort=A","Dates=H","DateFormat=P","Fill=—","Direction=H","UseDPDF=Y")</f>
        <v>-3032</v>
      </c>
      <c r="E40" s="13">
        <f>_xll.BDH("AMGN US Equity","ARD_REPURCHASE_OF_COMMON_STOCK","FQ2 2019","FQ2 2019","Currency=USD","Period=FQ","BEST_FPERIOD_OVERRIDE=FQ","FILING_STATUS=MR","SCALING_FORMAT=MLN","Sort=A","Dates=H","DateFormat=P","Fill=—","Direction=H","UseDPDF=Y")</f>
        <v>-5447</v>
      </c>
      <c r="F40" s="13">
        <f>_xll.BDH("AMGN US Equity","ARD_REPURCHASE_OF_COMMON_STOCK","FQ3 2019","FQ3 2019","Currency=USD","Period=FQ","BEST_FPERIOD_OVERRIDE=FQ","FILING_STATUS=MR","SCALING_FORMAT=MLN","Sort=A","Dates=H","DateFormat=P","Fill=—","Direction=H","UseDPDF=Y")</f>
        <v>-6608</v>
      </c>
      <c r="G40" s="13">
        <f>_xll.BDH("AMGN US Equity","ARD_REPURCHASE_OF_COMMON_STOCK","FQ4 2019","FQ4 2019","Currency=USD","Period=FQ","BEST_FPERIOD_OVERRIDE=FQ","FILING_STATUS=MR","SCALING_FORMAT=MLN","Sort=A","Dates=H","DateFormat=P","Fill=—","Direction=H","UseDPDF=Y")</f>
        <v>-7702</v>
      </c>
      <c r="H40" s="13">
        <f>_xll.BDH("AMGN US Equity","ARD_REPURCHASE_OF_COMMON_STOCK","FQ1 2020","FQ1 2020","Currency=USD","Period=FQ","BEST_FPERIOD_OVERRIDE=FQ","FILING_STATUS=MR","SCALING_FORMAT=MLN","Sort=A","Dates=H","DateFormat=P","Fill=—","Direction=H","UseDPDF=Y")</f>
        <v>-961</v>
      </c>
      <c r="I40" s="13">
        <f>_xll.BDH("AMGN US Equity","ARD_REPURCHASE_OF_COMMON_STOCK","FQ2 2020","FQ2 2020","Currency=USD","Period=FQ","BEST_FPERIOD_OVERRIDE=FQ","FILING_STATUS=MR","SCALING_FORMAT=MLN","Sort=A","Dates=H","DateFormat=P","Fill=—","Direction=H","UseDPDF=Y")</f>
        <v>-1516</v>
      </c>
      <c r="J40" s="13">
        <f>_xll.BDH("AMGN US Equity","ARD_REPURCHASE_OF_COMMON_STOCK","FQ3 2020","FQ3 2020","Currency=USD","Period=FQ","BEST_FPERIOD_OVERRIDE=FQ","FILING_STATUS=MR","SCALING_FORMAT=MLN","Sort=A","Dates=H","DateFormat=P","Fill=—","Direction=H","UseDPDF=Y")</f>
        <v>-2281</v>
      </c>
      <c r="K40" s="13">
        <f>_xll.BDH("AMGN US Equity","ARD_REPURCHASE_OF_COMMON_STOCK","FQ4 2020","FQ4 2020","Currency=USD","Period=FQ","BEST_FPERIOD_OVERRIDE=FQ","FILING_STATUS=MR","SCALING_FORMAT=MLN","Sort=A","Dates=H","DateFormat=P","Fill=—","Direction=H","UseDPDF=Y")</f>
        <v>-3486</v>
      </c>
      <c r="L40" s="13">
        <f>_xll.BDH("AMGN US Equity","ARD_REPURCHASE_OF_COMMON_STOCK","FQ1 2021","FQ1 2021","Currency=USD","Period=FQ","BEST_FPERIOD_OVERRIDE=FQ","FILING_STATUS=MR","SCALING_FORMAT=MLN","Sort=A","Dates=H","DateFormat=P","Fill=—","Direction=H","UseDPDF=Y")</f>
        <v>-871</v>
      </c>
      <c r="M40" s="13">
        <f>_xll.BDH("AMGN US Equity","ARD_REPURCHASE_OF_COMMON_STOCK","FQ2 2021","FQ2 2021","Currency=USD","Period=FQ","BEST_FPERIOD_OVERRIDE=FQ","FILING_STATUS=MR","SCALING_FORMAT=MLN","Sort=A","Dates=H","DateFormat=P","Fill=—","Direction=H","UseDPDF=Y")</f>
        <v>-2452</v>
      </c>
      <c r="N40" s="13">
        <f>_xll.BDH("AMGN US Equity","ARD_REPURCHASE_OF_COMMON_STOCK","FQ3 2021","FQ3 2021","Currency=USD","Period=FQ","BEST_FPERIOD_OVERRIDE=FQ","FILING_STATUS=MR","SCALING_FORMAT=MLN","Sort=A","Dates=H","DateFormat=P","Fill=—","Direction=H","UseDPDF=Y")</f>
        <v>-3532</v>
      </c>
      <c r="O40" s="13">
        <f>_xll.BDH("AMGN US Equity","ARD_REPURCHASE_OF_COMMON_STOCK","FQ4 2021","FQ4 2021","Currency=USD","Period=FQ","BEST_FPERIOD_OVERRIDE=FQ","FILING_STATUS=MR","SCALING_FORMAT=MLN","Sort=A","Dates=H","DateFormat=P","Fill=—","Direction=H","UseDPDF=Y")</f>
        <v>-4975</v>
      </c>
      <c r="P40" s="13">
        <f>_xll.BDH("AMGN US Equity","ARD_REPURCHASE_OF_COMMON_STOCK","FQ1 2022","FQ1 2022","Currency=USD","Period=FQ","BEST_FPERIOD_OVERRIDE=FQ","FILING_STATUS=MR","SCALING_FORMAT=MLN","Sort=A","Dates=H","DateFormat=P","Fill=—","Direction=H","UseDPDF=Y")</f>
        <v>-6360</v>
      </c>
      <c r="Q40" s="13">
        <f>_xll.BDH("AMGN US Equity","ARD_REPURCHASE_OF_COMMON_STOCK","FQ2 2022","FQ2 2022","Currency=USD","Period=FQ","BEST_FPERIOD_OVERRIDE=FQ","FILING_STATUS=MR","SCALING_FORMAT=MLN","Sort=A","Dates=H","DateFormat=P","Fill=—","Direction=H","UseDPDF=Y")</f>
        <v>-6360</v>
      </c>
      <c r="R40" s="13">
        <f>_xll.BDH("AMGN US Equity","ARD_REPURCHASE_OF_COMMON_STOCK","FQ3 2022","FQ3 2022","Currency=USD","Period=FQ","BEST_FPERIOD_OVERRIDE=FQ","FILING_STATUS=MR","SCALING_FORMAT=MLN","Sort=A","Dates=H","DateFormat=P","Fill=—","Direction=H","UseDPDF=Y")</f>
        <v>-6360</v>
      </c>
      <c r="S40" s="13">
        <f>_xll.BDH("AMGN US Equity","ARD_REPURCHASE_OF_COMMON_STOCK","FQ4 2022","FQ4 2022","Currency=USD","Period=FQ","BEST_FPERIOD_OVERRIDE=FQ","FILING_STATUS=MR","SCALING_FORMAT=MLN","Sort=A","Dates=H","DateFormat=P","Fill=—","Direction=H","UseDPDF=Y")</f>
        <v>-6360</v>
      </c>
      <c r="T40" s="13">
        <f>_xll.BDH("AMGN US Equity","ARD_REPURCHASE_OF_COMMON_STOCK","FQ1 2023","FQ1 2023","Currency=USD","Period=FQ","BEST_FPERIOD_OVERRIDE=FQ","FILING_STATUS=MR","SCALING_FORMAT=MLN","Sort=A","Dates=H","DateFormat=P","Fill=—","Direction=H","UseDPDF=Y")</f>
        <v>0</v>
      </c>
      <c r="U40" s="13">
        <f>_xll.BDH("AMGN US Equity","ARD_REPURCHASE_OF_COMMON_STOCK","FQ2 2023","FQ2 2023","Currency=USD","Period=FQ","BEST_FPERIOD_OVERRIDE=FQ","FILING_STATUS=MR","SCALING_FORMAT=MLN","Sort=A","Dates=H","DateFormat=P","Fill=—","Direction=H","UseDPDF=Y")</f>
        <v>0</v>
      </c>
      <c r="V40" s="13">
        <f>_xll.BDH("AMGN US Equity","ARD_REPURCHASE_OF_COMMON_STOCK","FQ3 2023","FQ3 2023","Currency=USD","Period=FQ","BEST_FPERIOD_OVERRIDE=FQ","FILING_STATUS=MR","SCALING_FORMAT=MLN","Sort=A","Dates=H","DateFormat=P","Fill=—","Direction=H","UseDPDF=Y")</f>
        <v>0</v>
      </c>
      <c r="W40" s="13">
        <f>_xll.BDH("AMGN US Equity","ARD_REPURCHASE_OF_COMMON_STOCK","FQ4 2023","FQ4 2023","Currency=USD","Period=FQ","BEST_FPERIOD_OVERRIDE=FQ","FILING_STATUS=MR","SCALING_FORMAT=MLN","Sort=A","Dates=H","DateFormat=P","Fill=—","Direction=H","UseDPDF=Y")</f>
        <v>0</v>
      </c>
      <c r="X40" s="13">
        <f>_xll.BDH("AMGN US Equity","ARD_REPURCHASE_OF_COMMON_STOCK","FQ1 2024","FQ1 2024","Currency=USD","Period=FQ","BEST_FPERIOD_OVERRIDE=FQ","FILING_STATUS=MR","SCALING_FORMAT=MLN","Sort=A","Dates=H","DateFormat=P","Fill=—","Direction=H","UseDPDF=Y")</f>
        <v>0</v>
      </c>
      <c r="Y40" s="13" t="str">
        <f>_xll.BDH("AMGN US Equity","ARD_REPURCHASE_OF_COMMON_STOCK","FQ2 2024","FQ2 2024","Currency=USD","Period=FQ","BEST_FPERIOD_OVERRIDE=FQ","FILING_STATUS=MR","SCALING_FORMAT=MLN","Sort=A","Dates=H","DateFormat=P","Fill=—","Direction=H","UseDPDF=Y")</f>
        <v>—</v>
      </c>
      <c r="Z40" s="13" t="str">
        <f>_xll.BDH("AMGN US Equity","ARD_REPURCHASE_OF_COMMON_STOCK","FQ3 2024","FQ3 2024","Currency=USD","Period=FQ","BEST_FPERIOD_OVERRIDE=FQ","FILING_STATUS=MR","SCALING_FORMAT=MLN","Sort=A","Dates=H","DateFormat=P","Fill=—","Direction=H","UseDPDF=Y")</f>
        <v>—</v>
      </c>
      <c r="AA40" s="13">
        <f>_xll.BDH("AMGN US Equity","ARD_REPURCHASE_OF_COMMON_STOCK","FQ4 2024","FQ4 2024","Currency=USD","Period=FQ","BEST_FPERIOD_OVERRIDE=FQ","FILING_STATUS=MR","SCALING_FORMAT=MLN","Sort=A","Dates=H","DateFormat=P","Fill=—","Direction=H","UseDPDF=Y")</f>
        <v>-200</v>
      </c>
    </row>
    <row r="41" spans="1:27" x14ac:dyDescent="0.25">
      <c r="A41" s="10" t="s">
        <v>1419</v>
      </c>
      <c r="B41" s="10" t="s">
        <v>1420</v>
      </c>
      <c r="C41" s="13">
        <f>_xll.BDH("AMGN US Equity","ARD_OTHER_FINANCING_ACTIVITIES","FQ4 2018","FQ4 2018","Currency=USD","Period=FQ","BEST_FPERIOD_OVERRIDE=FQ","FILING_STATUS=MR","SCALING_FORMAT=MLN","Sort=A","Dates=H","DateFormat=P","Fill=—","Direction=H","UseDPDF=Y")</f>
        <v>-68</v>
      </c>
      <c r="D41" s="13">
        <f>_xll.BDH("AMGN US Equity","ARD_OTHER_FINANCING_ACTIVITIES","FQ1 2019","FQ1 2019","Currency=USD","Period=FQ","BEST_FPERIOD_OVERRIDE=FQ","FILING_STATUS=MR","SCALING_FORMAT=MLN","Sort=A","Dates=H","DateFormat=P","Fill=—","Direction=H","UseDPDF=Y")</f>
        <v>-54</v>
      </c>
      <c r="E41" s="13">
        <f>_xll.BDH("AMGN US Equity","ARD_OTHER_FINANCING_ACTIVITIES","FQ2 2019","FQ2 2019","Currency=USD","Period=FQ","BEST_FPERIOD_OVERRIDE=FQ","FILING_STATUS=MR","SCALING_FORMAT=MLN","Sort=A","Dates=H","DateFormat=P","Fill=—","Direction=H","UseDPDF=Y")</f>
        <v>-101</v>
      </c>
      <c r="F41" s="13">
        <f>_xll.BDH("AMGN US Equity","ARD_OTHER_FINANCING_ACTIVITIES","FQ3 2019","FQ3 2019","Currency=USD","Period=FQ","BEST_FPERIOD_OVERRIDE=FQ","FILING_STATUS=MR","SCALING_FORMAT=MLN","Sort=A","Dates=H","DateFormat=P","Fill=—","Direction=H","UseDPDF=Y")</f>
        <v>-67</v>
      </c>
      <c r="G41" s="13">
        <f>_xll.BDH("AMGN US Equity","ARD_OTHER_FINANCING_ACTIVITIES","FQ4 2019","FQ4 2019","Currency=USD","Period=FQ","BEST_FPERIOD_OVERRIDE=FQ","FILING_STATUS=MR","SCALING_FORMAT=MLN","Sort=A","Dates=H","DateFormat=P","Fill=—","Direction=H","UseDPDF=Y")</f>
        <v>-42</v>
      </c>
      <c r="H41" s="13">
        <f>_xll.BDH("AMGN US Equity","ARD_OTHER_FINANCING_ACTIVITIES","FQ1 2020","FQ1 2020","Currency=USD","Period=FQ","BEST_FPERIOD_OVERRIDE=FQ","FILING_STATUS=MR","SCALING_FORMAT=MLN","Sort=A","Dates=H","DateFormat=P","Fill=—","Direction=H","UseDPDF=Y")</f>
        <v>-61</v>
      </c>
      <c r="I41" s="13">
        <f>_xll.BDH("AMGN US Equity","ARD_OTHER_FINANCING_ACTIVITIES","FQ2 2020","FQ2 2020","Currency=USD","Period=FQ","BEST_FPERIOD_OVERRIDE=FQ","FILING_STATUS=MR","SCALING_FORMAT=MLN","Sort=A","Dates=H","DateFormat=P","Fill=—","Direction=H","UseDPDF=Y")</f>
        <v>-78</v>
      </c>
      <c r="J41" s="13">
        <f>_xll.BDH("AMGN US Equity","ARD_OTHER_FINANCING_ACTIVITIES","FQ3 2020","FQ3 2020","Currency=USD","Period=FQ","BEST_FPERIOD_OVERRIDE=FQ","FILING_STATUS=MR","SCALING_FORMAT=MLN","Sort=A","Dates=H","DateFormat=P","Fill=—","Direction=H","UseDPDF=Y")</f>
        <v>-87</v>
      </c>
      <c r="K41" s="13">
        <f>_xll.BDH("AMGN US Equity","ARD_OTHER_FINANCING_ACTIVITIES","FQ4 2020","FQ4 2020","Currency=USD","Period=FQ","BEST_FPERIOD_OVERRIDE=FQ","FILING_STATUS=MR","SCALING_FORMAT=MLN","Sort=A","Dates=H","DateFormat=P","Fill=—","Direction=H","UseDPDF=Y")</f>
        <v>-90</v>
      </c>
      <c r="L41" s="13">
        <f>_xll.BDH("AMGN US Equity","ARD_OTHER_FINANCING_ACTIVITIES","FQ1 2021","FQ1 2021","Currency=USD","Period=FQ","BEST_FPERIOD_OVERRIDE=FQ","FILING_STATUS=MR","SCALING_FORMAT=MLN","Sort=A","Dates=H","DateFormat=P","Fill=—","Direction=H","UseDPDF=Y")</f>
        <v>-52</v>
      </c>
      <c r="M41" s="13">
        <f>_xll.BDH("AMGN US Equity","ARD_OTHER_FINANCING_ACTIVITIES","FQ2 2021","FQ2 2021","Currency=USD","Period=FQ","BEST_FPERIOD_OVERRIDE=FQ","FILING_STATUS=MR","SCALING_FORMAT=MLN","Sort=A","Dates=H","DateFormat=P","Fill=—","Direction=H","UseDPDF=Y")</f>
        <v>-85</v>
      </c>
      <c r="N41" s="13">
        <f>_xll.BDH("AMGN US Equity","ARD_OTHER_FINANCING_ACTIVITIES","FQ3 2021","FQ3 2021","Currency=USD","Period=FQ","BEST_FPERIOD_OVERRIDE=FQ","FILING_STATUS=MR","SCALING_FORMAT=MLN","Sort=A","Dates=H","DateFormat=P","Fill=—","Direction=H","UseDPDF=Y")</f>
        <v>-104</v>
      </c>
      <c r="O41" s="13">
        <f>_xll.BDH("AMGN US Equity","ARD_OTHER_FINANCING_ACTIVITIES","FQ4 2021","FQ4 2021","Currency=USD","Period=FQ","BEST_FPERIOD_OVERRIDE=FQ","FILING_STATUS=MR","SCALING_FORMAT=MLN","Sort=A","Dates=H","DateFormat=P","Fill=—","Direction=H","UseDPDF=Y")</f>
        <v>-78</v>
      </c>
      <c r="P41" s="13">
        <f>_xll.BDH("AMGN US Equity","ARD_OTHER_FINANCING_ACTIVITIES","FQ1 2022","FQ1 2022","Currency=USD","Period=FQ","BEST_FPERIOD_OVERRIDE=FQ","FILING_STATUS=MR","SCALING_FORMAT=MLN","Sort=A","Dates=H","DateFormat=P","Fill=—","Direction=H","UseDPDF=Y")</f>
        <v>-26</v>
      </c>
      <c r="Q41" s="13">
        <f>_xll.BDH("AMGN US Equity","ARD_OTHER_FINANCING_ACTIVITIES","FQ2 2022","FQ2 2022","Currency=USD","Period=FQ","BEST_FPERIOD_OVERRIDE=FQ","FILING_STATUS=MR","SCALING_FORMAT=MLN","Sort=A","Dates=H","DateFormat=P","Fill=—","Direction=H","UseDPDF=Y")</f>
        <v>-52</v>
      </c>
      <c r="R41" s="13">
        <f>_xll.BDH("AMGN US Equity","ARD_OTHER_FINANCING_ACTIVITIES","FQ3 2022","FQ3 2022","Currency=USD","Period=FQ","BEST_FPERIOD_OVERRIDE=FQ","FILING_STATUS=MR","SCALING_FORMAT=MLN","Sort=A","Dates=H","DateFormat=P","Fill=—","Direction=H","UseDPDF=Y")</f>
        <v>-410</v>
      </c>
      <c r="S41" s="13">
        <f>_xll.BDH("AMGN US Equity","ARD_OTHER_FINANCING_ACTIVITIES","FQ4 2022","FQ4 2022","Currency=USD","Period=FQ","BEST_FPERIOD_OVERRIDE=FQ","FILING_STATUS=MR","SCALING_FORMAT=MLN","Sort=A","Dates=H","DateFormat=P","Fill=—","Direction=H","UseDPDF=Y")</f>
        <v>-400</v>
      </c>
      <c r="T41" s="13">
        <f>_xll.BDH("AMGN US Equity","ARD_OTHER_FINANCING_ACTIVITIES","FQ1 2023","FQ1 2023","Currency=USD","Period=FQ","BEST_FPERIOD_OVERRIDE=FQ","FILING_STATUS=MR","SCALING_FORMAT=MLN","Sort=A","Dates=H","DateFormat=P","Fill=—","Direction=H","UseDPDF=Y")</f>
        <v>-28</v>
      </c>
      <c r="U41" s="13">
        <f>_xll.BDH("AMGN US Equity","ARD_OTHER_FINANCING_ACTIVITIES","FQ2 2023","FQ2 2023","Currency=USD","Period=FQ","BEST_FPERIOD_OVERRIDE=FQ","FILING_STATUS=MR","SCALING_FORMAT=MLN","Sort=A","Dates=H","DateFormat=P","Fill=—","Direction=H","UseDPDF=Y")</f>
        <v>-81</v>
      </c>
      <c r="V41" s="13">
        <f>_xll.BDH("AMGN US Equity","ARD_OTHER_FINANCING_ACTIVITIES","FQ3 2023","FQ3 2023","Currency=USD","Period=FQ","BEST_FPERIOD_OVERRIDE=FQ","FILING_STATUS=MR","SCALING_FORMAT=MLN","Sort=A","Dates=H","DateFormat=P","Fill=—","Direction=H","UseDPDF=Y")</f>
        <v>-617</v>
      </c>
      <c r="W41" s="13">
        <f>_xll.BDH("AMGN US Equity","ARD_OTHER_FINANCING_ACTIVITIES","FQ4 2023","FQ4 2023","Currency=USD","Period=FQ","BEST_FPERIOD_OVERRIDE=FQ","FILING_STATUS=MR","SCALING_FORMAT=MLN","Sort=A","Dates=H","DateFormat=P","Fill=—","Direction=H","UseDPDF=Y")</f>
        <v>-72</v>
      </c>
      <c r="X41" s="13">
        <f>_xll.BDH("AMGN US Equity","ARD_OTHER_FINANCING_ACTIVITIES","FQ1 2024","FQ1 2024","Currency=USD","Period=FQ","BEST_FPERIOD_OVERRIDE=FQ","FILING_STATUS=MR","SCALING_FORMAT=MLN","Sort=A","Dates=H","DateFormat=P","Fill=—","Direction=H","UseDPDF=Y")</f>
        <v>-90</v>
      </c>
      <c r="Y41" s="13">
        <f>_xll.BDH("AMGN US Equity","ARD_OTHER_FINANCING_ACTIVITIES","FQ2 2024","FQ2 2024","Currency=USD","Period=FQ","BEST_FPERIOD_OVERRIDE=FQ","FILING_STATUS=MR","SCALING_FORMAT=MLN","Sort=A","Dates=H","DateFormat=P","Fill=—","Direction=H","UseDPDF=Y")</f>
        <v>-130</v>
      </c>
      <c r="Z41" s="13">
        <f>_xll.BDH("AMGN US Equity","ARD_OTHER_FINANCING_ACTIVITIES","FQ3 2024","FQ3 2024","Currency=USD","Period=FQ","BEST_FPERIOD_OVERRIDE=FQ","FILING_STATUS=MR","SCALING_FORMAT=MLN","Sort=A","Dates=H","DateFormat=P","Fill=—","Direction=H","UseDPDF=Y")</f>
        <v>-781</v>
      </c>
      <c r="AA41" s="13">
        <f>_xll.BDH("AMGN US Equity","ARD_OTHER_FINANCING_ACTIVITIES","FQ4 2024","FQ4 2024","Currency=USD","Period=FQ","BEST_FPERIOD_OVERRIDE=FQ","FILING_STATUS=MR","SCALING_FORMAT=MLN","Sort=A","Dates=H","DateFormat=P","Fill=—","Direction=H","UseDPDF=Y")</f>
        <v>-124</v>
      </c>
    </row>
    <row r="42" spans="1:27" x14ac:dyDescent="0.25">
      <c r="A42" s="10" t="s">
        <v>1421</v>
      </c>
      <c r="B42" s="10" t="s">
        <v>1422</v>
      </c>
      <c r="C42" s="13">
        <f>_xll.BDH("AMGN US Equity","ARD_NET_CHANGE_IN_CASH","FQ4 2018","FQ4 2018","Currency=USD","Period=FQ","BEST_FPERIOD_OVERRIDE=FQ","FILING_STATUS=MR","SCALING_FORMAT=MLN","Sort=A","Dates=H","DateFormat=P","Fill=—","Direction=H","UseDPDF=Y")</f>
        <v>3145</v>
      </c>
      <c r="D42" s="13">
        <f>_xll.BDH("AMGN US Equity","ARD_NET_CHANGE_IN_CASH","FQ1 2019","FQ1 2019","Currency=USD","Period=FQ","BEST_FPERIOD_OVERRIDE=FQ","FILING_STATUS=MR","SCALING_FORMAT=MLN","Sort=A","Dates=H","DateFormat=P","Fill=—","Direction=H","UseDPDF=Y")</f>
        <v>413</v>
      </c>
      <c r="E42" s="13">
        <f>_xll.BDH("AMGN US Equity","ARD_NET_CHANGE_IN_CASH","FQ2 2019","FQ2 2019","Currency=USD","Period=FQ","BEST_FPERIOD_OVERRIDE=FQ","FILING_STATUS=MR","SCALING_FORMAT=MLN","Sort=A","Dates=H","DateFormat=P","Fill=—","Direction=H","UseDPDF=Y")</f>
        <v>-1420</v>
      </c>
      <c r="F42" s="13">
        <f>_xll.BDH("AMGN US Equity","ARD_NET_CHANGE_IN_CASH","FQ3 2019","FQ3 2019","Currency=USD","Period=FQ","BEST_FPERIOD_OVERRIDE=FQ","FILING_STATUS=MR","SCALING_FORMAT=MLN","Sort=A","Dates=H","DateFormat=P","Fill=—","Direction=H","UseDPDF=Y")</f>
        <v>4470</v>
      </c>
      <c r="G42" s="13">
        <f>_xll.BDH("AMGN US Equity","ARD_NET_CHANGE_IN_CASH","FQ4 2019","FQ4 2019","Currency=USD","Period=FQ","BEST_FPERIOD_OVERRIDE=FQ","FILING_STATUS=MR","SCALING_FORMAT=MLN","Sort=A","Dates=H","DateFormat=P","Fill=—","Direction=H","UseDPDF=Y")</f>
        <v>-908</v>
      </c>
      <c r="H42" s="13">
        <f>_xll.BDH("AMGN US Equity","ARD_NET_CHANGE_IN_CASH","FQ1 2020","FQ1 2020","Currency=USD","Period=FQ","BEST_FPERIOD_OVERRIDE=FQ","FILING_STATUS=MR","SCALING_FORMAT=MLN","Sort=A","Dates=H","DateFormat=P","Fill=—","Direction=H","UseDPDF=Y")</f>
        <v>1650</v>
      </c>
      <c r="I42" s="13">
        <f>_xll.BDH("AMGN US Equity","ARD_NET_CHANGE_IN_CASH","FQ2 2020","FQ2 2020","Currency=USD","Period=FQ","BEST_FPERIOD_OVERRIDE=FQ","FILING_STATUS=MR","SCALING_FORMAT=MLN","Sort=A","Dates=H","DateFormat=P","Fill=—","Direction=H","UseDPDF=Y")</f>
        <v>3108</v>
      </c>
      <c r="J42" s="13">
        <f>_xll.BDH("AMGN US Equity","ARD_NET_CHANGE_IN_CASH","FQ3 2020","FQ3 2020","Currency=USD","Period=FQ","BEST_FPERIOD_OVERRIDE=FQ","FILING_STATUS=MR","SCALING_FORMAT=MLN","Sort=A","Dates=H","DateFormat=P","Fill=—","Direction=H","UseDPDF=Y")</f>
        <v>3050</v>
      </c>
      <c r="K42" s="13">
        <f>_xll.BDH("AMGN US Equity","ARD_NET_CHANGE_IN_CASH","FQ4 2020","FQ4 2020","Currency=USD","Period=FQ","BEST_FPERIOD_OVERRIDE=FQ","FILING_STATUS=MR","SCALING_FORMAT=MLN","Sort=A","Dates=H","DateFormat=P","Fill=—","Direction=H","UseDPDF=Y")</f>
        <v>229</v>
      </c>
      <c r="L42" s="13">
        <f>_xll.BDH("AMGN US Equity","ARD_NET_CHANGE_IN_CASH","FQ1 2021","FQ1 2021","Currency=USD","Period=FQ","BEST_FPERIOD_OVERRIDE=FQ","FILING_STATUS=MR","SCALING_FORMAT=MLN","Sort=A","Dates=H","DateFormat=P","Fill=—","Direction=H","UseDPDF=Y")</f>
        <v>-154</v>
      </c>
      <c r="M42" s="13">
        <f>_xll.BDH("AMGN US Equity","ARD_NET_CHANGE_IN_CASH","FQ2 2021","FQ2 2021","Currency=USD","Period=FQ","BEST_FPERIOD_OVERRIDE=FQ","FILING_STATUS=MR","SCALING_FORMAT=MLN","Sort=A","Dates=H","DateFormat=P","Fill=—","Direction=H","UseDPDF=Y")</f>
        <v>364</v>
      </c>
      <c r="N42" s="13">
        <f>_xll.BDH("AMGN US Equity","ARD_NET_CHANGE_IN_CASH","FQ3 2021","FQ3 2021","Currency=USD","Period=FQ","BEST_FPERIOD_OVERRIDE=FQ","FILING_STATUS=MR","SCALING_FORMAT=MLN","Sort=A","Dates=H","DateFormat=P","Fill=—","Direction=H","UseDPDF=Y")</f>
        <v>5703</v>
      </c>
      <c r="O42" s="13">
        <f>_xll.BDH("AMGN US Equity","ARD_NET_CHANGE_IN_CASH","FQ4 2021","FQ4 2021","Currency=USD","Period=FQ","BEST_FPERIOD_OVERRIDE=FQ","FILING_STATUS=MR","SCALING_FORMAT=MLN","Sort=A","Dates=H","DateFormat=P","Fill=—","Direction=H","UseDPDF=Y")</f>
        <v>1723</v>
      </c>
      <c r="P42" s="13">
        <f>_xll.BDH("AMGN US Equity","ARD_NET_CHANGE_IN_CASH","FQ1 2022","FQ1 2022","Currency=USD","Period=FQ","BEST_FPERIOD_OVERRIDE=FQ","FILING_STATUS=MR","SCALING_FORMAT=MLN","Sort=A","Dates=H","DateFormat=P","Fill=—","Direction=H","UseDPDF=Y")</f>
        <v>-1461</v>
      </c>
      <c r="Q42" s="13">
        <f>_xll.BDH("AMGN US Equity","ARD_NET_CHANGE_IN_CASH","FQ2 2022","FQ2 2022","Currency=USD","Period=FQ","BEST_FPERIOD_OVERRIDE=FQ","FILING_STATUS=MR","SCALING_FORMAT=MLN","Sort=A","Dates=H","DateFormat=P","Fill=—","Direction=H","UseDPDF=Y")</f>
        <v>-2786</v>
      </c>
      <c r="R42" s="13">
        <f>_xll.BDH("AMGN US Equity","ARD_NET_CHANGE_IN_CASH","FQ3 2022","FQ3 2022","Currency=USD","Period=FQ","BEST_FPERIOD_OVERRIDE=FQ","FILING_STATUS=MR","SCALING_FORMAT=MLN","Sort=A","Dates=H","DateFormat=P","Fill=—","Direction=H","UseDPDF=Y")</f>
        <v>1513</v>
      </c>
      <c r="S42" s="13">
        <f>_xll.BDH("AMGN US Equity","ARD_NET_CHANGE_IN_CASH","FQ4 2022","FQ4 2022","Currency=USD","Period=FQ","BEST_FPERIOD_OVERRIDE=FQ","FILING_STATUS=MR","SCALING_FORMAT=MLN","Sort=A","Dates=H","DateFormat=P","Fill=—","Direction=H","UseDPDF=Y")</f>
        <v>-360</v>
      </c>
      <c r="T42" s="13">
        <f>_xll.BDH("AMGN US Equity","ARD_NET_CHANGE_IN_CASH","FQ1 2023","FQ1 2023","Currency=USD","Period=FQ","BEST_FPERIOD_OVERRIDE=FQ","FILING_STATUS=MR","SCALING_FORMAT=MLN","Sort=A","Dates=H","DateFormat=P","Fill=—","Direction=H","UseDPDF=Y")</f>
        <v>23931</v>
      </c>
      <c r="U42" s="13">
        <f>_xll.BDH("AMGN US Equity","ARD_NET_CHANGE_IN_CASH","FQ2 2023","FQ2 2023","Currency=USD","Period=FQ","BEST_FPERIOD_OVERRIDE=FQ","FILING_STATUS=MR","SCALING_FORMAT=MLN","Sort=A","Dates=H","DateFormat=P","Fill=—","Direction=H","UseDPDF=Y")</f>
        <v>26619</v>
      </c>
      <c r="V42" s="13">
        <f>_xll.BDH("AMGN US Equity","ARD_NET_CHANGE_IN_CASH","FQ3 2023","FQ3 2023","Currency=USD","Period=FQ","BEST_FPERIOD_OVERRIDE=FQ","FILING_STATUS=MR","SCALING_FORMAT=MLN","Sort=A","Dates=H","DateFormat=P","Fill=—","Direction=H","UseDPDF=Y")</f>
        <v>27112</v>
      </c>
      <c r="W42" s="13">
        <f>_xll.BDH("AMGN US Equity","ARD_NET_CHANGE_IN_CASH","FQ4 2023","FQ4 2023","Currency=USD","Period=FQ","BEST_FPERIOD_OVERRIDE=FQ","FILING_STATUS=MR","SCALING_FORMAT=MLN","Sort=A","Dates=H","DateFormat=P","Fill=—","Direction=H","UseDPDF=Y")</f>
        <v>3315</v>
      </c>
      <c r="X42" s="13">
        <f>_xll.BDH("AMGN US Equity","ARD_NET_CHANGE_IN_CASH","FQ1 2024","FQ1 2024","Currency=USD","Period=FQ","BEST_FPERIOD_OVERRIDE=FQ","FILING_STATUS=MR","SCALING_FORMAT=MLN","Sort=A","Dates=H","DateFormat=P","Fill=—","Direction=H","UseDPDF=Y")</f>
        <v>-1236</v>
      </c>
      <c r="Y42" s="13">
        <f>_xll.BDH("AMGN US Equity","ARD_NET_CHANGE_IN_CASH","FQ2 2024","FQ2 2024","Currency=USD","Period=FQ","BEST_FPERIOD_OVERRIDE=FQ","FILING_STATUS=MR","SCALING_FORMAT=MLN","Sort=A","Dates=H","DateFormat=P","Fill=—","Direction=H","UseDPDF=Y")</f>
        <v>-1643</v>
      </c>
      <c r="Z42" s="13">
        <f>_xll.BDH("AMGN US Equity","ARD_NET_CHANGE_IN_CASH","FQ3 2024","FQ3 2024","Currency=USD","Period=FQ","BEST_FPERIOD_OVERRIDE=FQ","FILING_STATUS=MR","SCALING_FORMAT=MLN","Sort=A","Dates=H","DateFormat=P","Fill=—","Direction=H","UseDPDF=Y")</f>
        <v>-1933</v>
      </c>
      <c r="AA42" s="13">
        <f>_xll.BDH("AMGN US Equity","ARD_NET_CHANGE_IN_CASH","FQ4 2024","FQ4 2024","Currency=USD","Period=FQ","BEST_FPERIOD_OVERRIDE=FQ","FILING_STATUS=MR","SCALING_FORMAT=MLN","Sort=A","Dates=H","DateFormat=P","Fill=—","Direction=H","UseDPDF=Y")</f>
        <v>1029</v>
      </c>
    </row>
    <row r="43" spans="1:27" x14ac:dyDescent="0.25">
      <c r="A43" s="10" t="s">
        <v>1423</v>
      </c>
      <c r="B43" s="10" t="s">
        <v>1424</v>
      </c>
      <c r="C43" s="13">
        <f>_xll.BDH("AMGN US Equity","ARD_CASH_CASH_EQUIV_END_OF_PER","FQ4 2018","FQ4 2018","Currency=USD","Period=FQ","BEST_FPERIOD_OVERRIDE=FQ","FILING_STATUS=MR","SCALING_FORMAT=MLN","Sort=A","Dates=H","DateFormat=P","Fill=—","Direction=H","UseDPDF=Y")</f>
        <v>6945</v>
      </c>
      <c r="D43" s="13">
        <f>_xll.BDH("AMGN US Equity","ARD_CASH_CASH_EQUIV_END_OF_PER","FQ1 2019","FQ1 2019","Currency=USD","Period=FQ","BEST_FPERIOD_OVERRIDE=FQ","FILING_STATUS=MR","SCALING_FORMAT=MLN","Sort=A","Dates=H","DateFormat=P","Fill=—","Direction=H","UseDPDF=Y")</f>
        <v>7358</v>
      </c>
      <c r="E43" s="13">
        <f>_xll.BDH("AMGN US Equity","ARD_CASH_CASH_EQUIV_END_OF_PER","FQ2 2019","FQ2 2019","Currency=USD","Period=FQ","BEST_FPERIOD_OVERRIDE=FQ","FILING_STATUS=MR","SCALING_FORMAT=MLN","Sort=A","Dates=H","DateFormat=P","Fill=—","Direction=H","UseDPDF=Y")</f>
        <v>5525</v>
      </c>
      <c r="F43" s="13">
        <f>_xll.BDH("AMGN US Equity","ARD_CASH_CASH_EQUIV_END_OF_PER","FQ3 2019","FQ3 2019","Currency=USD","Period=FQ","BEST_FPERIOD_OVERRIDE=FQ","FILING_STATUS=MR","SCALING_FORMAT=MLN","Sort=A","Dates=H","DateFormat=P","Fill=—","Direction=H","UseDPDF=Y")</f>
        <v>11415</v>
      </c>
      <c r="G43" s="13">
        <f>_xll.BDH("AMGN US Equity","ARD_CASH_CASH_EQUIV_END_OF_PER","FQ4 2019","FQ4 2019","Currency=USD","Period=FQ","BEST_FPERIOD_OVERRIDE=FQ","FILING_STATUS=MR","SCALING_FORMAT=MLN","Sort=A","Dates=H","DateFormat=P","Fill=—","Direction=H","UseDPDF=Y")</f>
        <v>6037</v>
      </c>
      <c r="H43" s="13">
        <f>_xll.BDH("AMGN US Equity","ARD_CASH_CASH_EQUIV_END_OF_PER","FQ1 2020","FQ1 2020","Currency=USD","Period=FQ","BEST_FPERIOD_OVERRIDE=FQ","FILING_STATUS=MR","SCALING_FORMAT=MLN","Sort=A","Dates=H","DateFormat=P","Fill=—","Direction=H","UseDPDF=Y")</f>
        <v>7687</v>
      </c>
      <c r="I43" s="13">
        <f>_xll.BDH("AMGN US Equity","ARD_CASH_CASH_EQUIV_END_OF_PER","FQ2 2020","FQ2 2020","Currency=USD","Period=FQ","BEST_FPERIOD_OVERRIDE=FQ","FILING_STATUS=MR","SCALING_FORMAT=MLN","Sort=A","Dates=H","DateFormat=P","Fill=—","Direction=H","UseDPDF=Y")</f>
        <v>9145</v>
      </c>
      <c r="J43" s="13">
        <f>_xll.BDH("AMGN US Equity","ARD_CASH_CASH_EQUIV_END_OF_PER","FQ3 2020","FQ3 2020","Currency=USD","Period=FQ","BEST_FPERIOD_OVERRIDE=FQ","FILING_STATUS=MR","SCALING_FORMAT=MLN","Sort=A","Dates=H","DateFormat=P","Fill=—","Direction=H","UseDPDF=Y")</f>
        <v>9087</v>
      </c>
      <c r="K43" s="13">
        <f>_xll.BDH("AMGN US Equity","ARD_CASH_CASH_EQUIV_END_OF_PER","FQ4 2020","FQ4 2020","Currency=USD","Period=FQ","BEST_FPERIOD_OVERRIDE=FQ","FILING_STATUS=MR","SCALING_FORMAT=MLN","Sort=A","Dates=H","DateFormat=P","Fill=—","Direction=H","UseDPDF=Y")</f>
        <v>6266</v>
      </c>
      <c r="L43" s="13">
        <f>_xll.BDH("AMGN US Equity","ARD_CASH_CASH_EQUIV_END_OF_PER","FQ1 2021","FQ1 2021","Currency=USD","Period=FQ","BEST_FPERIOD_OVERRIDE=FQ","FILING_STATUS=MR","SCALING_FORMAT=MLN","Sort=A","Dates=H","DateFormat=P","Fill=—","Direction=H","UseDPDF=Y")</f>
        <v>6112</v>
      </c>
      <c r="M43" s="13">
        <f>_xll.BDH("AMGN US Equity","ARD_CASH_CASH_EQUIV_END_OF_PER","FQ2 2021","FQ2 2021","Currency=USD","Period=FQ","BEST_FPERIOD_OVERRIDE=FQ","FILING_STATUS=MR","SCALING_FORMAT=MLN","Sort=A","Dates=H","DateFormat=P","Fill=—","Direction=H","UseDPDF=Y")</f>
        <v>6630</v>
      </c>
      <c r="N43" s="13">
        <f>_xll.BDH("AMGN US Equity","ARD_CASH_CASH_EQUIV_END_OF_PER","FQ3 2021","FQ3 2021","Currency=USD","Period=FQ","BEST_FPERIOD_OVERRIDE=FQ","FILING_STATUS=MR","SCALING_FORMAT=MLN","Sort=A","Dates=H","DateFormat=P","Fill=—","Direction=H","UseDPDF=Y")</f>
        <v>11969</v>
      </c>
      <c r="O43" s="13">
        <f>_xll.BDH("AMGN US Equity","ARD_CASH_CASH_EQUIV_END_OF_PER","FQ4 2021","FQ4 2021","Currency=USD","Period=FQ","BEST_FPERIOD_OVERRIDE=FQ","FILING_STATUS=MR","SCALING_FORMAT=MLN","Sort=A","Dates=H","DateFormat=P","Fill=—","Direction=H","UseDPDF=Y")</f>
        <v>7989</v>
      </c>
      <c r="P43" s="13">
        <f>_xll.BDH("AMGN US Equity","ARD_CASH_CASH_EQUIV_END_OF_PER","FQ1 2022","FQ1 2022","Currency=USD","Period=FQ","BEST_FPERIOD_OVERRIDE=FQ","FILING_STATUS=MR","SCALING_FORMAT=MLN","Sort=A","Dates=H","DateFormat=P","Fill=—","Direction=H","UseDPDF=Y")</f>
        <v>6528</v>
      </c>
      <c r="Q43" s="13">
        <f>_xll.BDH("AMGN US Equity","ARD_CASH_CASH_EQUIV_END_OF_PER","FQ2 2022","FQ2 2022","Currency=USD","Period=FQ","BEST_FPERIOD_OVERRIDE=FQ","FILING_STATUS=MR","SCALING_FORMAT=MLN","Sort=A","Dates=H","DateFormat=P","Fill=—","Direction=H","UseDPDF=Y")</f>
        <v>5203</v>
      </c>
      <c r="R43" s="13">
        <f>_xll.BDH("AMGN US Equity","ARD_CASH_CASH_EQUIV_END_OF_PER","FQ3 2022","FQ3 2022","Currency=USD","Period=FQ","BEST_FPERIOD_OVERRIDE=FQ","FILING_STATUS=MR","SCALING_FORMAT=MLN","Sort=A","Dates=H","DateFormat=P","Fill=—","Direction=H","UseDPDF=Y")</f>
        <v>9502</v>
      </c>
      <c r="S43" s="13">
        <f>_xll.BDH("AMGN US Equity","ARD_CASH_CASH_EQUIV_END_OF_PER","FQ4 2022","FQ4 2022","Currency=USD","Period=FQ","BEST_FPERIOD_OVERRIDE=FQ","FILING_STATUS=MR","SCALING_FORMAT=MLN","Sort=A","Dates=H","DateFormat=P","Fill=—","Direction=H","UseDPDF=Y")</f>
        <v>7629</v>
      </c>
      <c r="T43" s="13">
        <f>_xll.BDH("AMGN US Equity","ARD_CASH_CASH_EQUIV_END_OF_PER","FQ1 2023","FQ1 2023","Currency=USD","Period=FQ","BEST_FPERIOD_OVERRIDE=FQ","FILING_STATUS=MR","SCALING_FORMAT=MLN","Sort=A","Dates=H","DateFormat=P","Fill=—","Direction=H","UseDPDF=Y")</f>
        <v>31560</v>
      </c>
      <c r="U43" s="13">
        <f>_xll.BDH("AMGN US Equity","ARD_CASH_CASH_EQUIV_END_OF_PER","FQ2 2023","FQ2 2023","Currency=USD","Period=FQ","BEST_FPERIOD_OVERRIDE=FQ","FILING_STATUS=MR","SCALING_FORMAT=MLN","Sort=A","Dates=H","DateFormat=P","Fill=—","Direction=H","UseDPDF=Y")</f>
        <v>34248</v>
      </c>
      <c r="V43" s="13">
        <f>_xll.BDH("AMGN US Equity","ARD_CASH_CASH_EQUIV_END_OF_PER","FQ3 2023","FQ3 2023","Currency=USD","Period=FQ","BEST_FPERIOD_OVERRIDE=FQ","FILING_STATUS=MR","SCALING_FORMAT=MLN","Sort=A","Dates=H","DateFormat=P","Fill=—","Direction=H","UseDPDF=Y")</f>
        <v>34741</v>
      </c>
      <c r="W43" s="13">
        <f>_xll.BDH("AMGN US Equity","ARD_CASH_CASH_EQUIV_END_OF_PER","FQ4 2023","FQ4 2023","Currency=USD","Period=FQ","BEST_FPERIOD_OVERRIDE=FQ","FILING_STATUS=MR","SCALING_FORMAT=MLN","Sort=A","Dates=H","DateFormat=P","Fill=—","Direction=H","UseDPDF=Y")</f>
        <v>10944</v>
      </c>
      <c r="X43" s="13">
        <f>_xll.BDH("AMGN US Equity","ARD_CASH_CASH_EQUIV_END_OF_PER","FQ1 2024","FQ1 2024","Currency=USD","Period=FQ","BEST_FPERIOD_OVERRIDE=FQ","FILING_STATUS=MR","SCALING_FORMAT=MLN","Sort=A","Dates=H","DateFormat=P","Fill=—","Direction=H","UseDPDF=Y")</f>
        <v>9708</v>
      </c>
      <c r="Y43" s="13">
        <f>_xll.BDH("AMGN US Equity","ARD_CASH_CASH_EQUIV_END_OF_PER","FQ2 2024","FQ2 2024","Currency=USD","Period=FQ","BEST_FPERIOD_OVERRIDE=FQ","FILING_STATUS=MR","SCALING_FORMAT=MLN","Sort=A","Dates=H","DateFormat=P","Fill=—","Direction=H","UseDPDF=Y")</f>
        <v>9301</v>
      </c>
      <c r="Z43" s="13">
        <f>_xll.BDH("AMGN US Equity","ARD_CASH_CASH_EQUIV_END_OF_PER","FQ3 2024","FQ3 2024","Currency=USD","Period=FQ","BEST_FPERIOD_OVERRIDE=FQ","FILING_STATUS=MR","SCALING_FORMAT=MLN","Sort=A","Dates=H","DateFormat=P","Fill=—","Direction=H","UseDPDF=Y")</f>
        <v>9011</v>
      </c>
      <c r="AA43" s="13">
        <f>_xll.BDH("AMGN US Equity","ARD_CASH_CASH_EQUIV_END_OF_PER","FQ4 2024","FQ4 2024","Currency=USD","Period=FQ","BEST_FPERIOD_OVERRIDE=FQ","FILING_STATUS=MR","SCALING_FORMAT=MLN","Sort=A","Dates=H","DateFormat=P","Fill=—","Direction=H","UseDPDF=Y")</f>
        <v>11973</v>
      </c>
    </row>
    <row r="44" spans="1:27" x14ac:dyDescent="0.25">
      <c r="A44" s="10" t="s">
        <v>1425</v>
      </c>
      <c r="B44" s="10" t="s">
        <v>1426</v>
      </c>
      <c r="C44" s="13">
        <f>_xll.BDH("AMGN US Equity","ARD_CASH_CASH_EQUIV_BEG_OF_PER","FQ4 2018","FQ4 2018","Currency=USD","Period=FQ","BEST_FPERIOD_OVERRIDE=FQ","FILING_STATUS=MR","SCALING_FORMAT=MLN","Sort=A","Dates=H","DateFormat=P","Fill=—","Direction=H","UseDPDF=Y")</f>
        <v>3800</v>
      </c>
      <c r="D44" s="13">
        <f>_xll.BDH("AMGN US Equity","ARD_CASH_CASH_EQUIV_BEG_OF_PER","FQ1 2019","FQ1 2019","Currency=USD","Period=FQ","BEST_FPERIOD_OVERRIDE=FQ","FILING_STATUS=MR","SCALING_FORMAT=MLN","Sort=A","Dates=H","DateFormat=P","Fill=—","Direction=H","UseDPDF=Y")</f>
        <v>6945</v>
      </c>
      <c r="E44" s="13">
        <f>_xll.BDH("AMGN US Equity","ARD_CASH_CASH_EQUIV_BEG_OF_PER","FQ2 2019","FQ2 2019","Currency=USD","Period=FQ","BEST_FPERIOD_OVERRIDE=FQ","FILING_STATUS=MR","SCALING_FORMAT=MLN","Sort=A","Dates=H","DateFormat=P","Fill=—","Direction=H","UseDPDF=Y")</f>
        <v>6945</v>
      </c>
      <c r="F44" s="13">
        <f>_xll.BDH("AMGN US Equity","ARD_CASH_CASH_EQUIV_BEG_OF_PER","FQ3 2019","FQ3 2019","Currency=USD","Period=FQ","BEST_FPERIOD_OVERRIDE=FQ","FILING_STATUS=MR","SCALING_FORMAT=MLN","Sort=A","Dates=H","DateFormat=P","Fill=—","Direction=H","UseDPDF=Y")</f>
        <v>6945</v>
      </c>
      <c r="G44" s="13">
        <f>_xll.BDH("AMGN US Equity","ARD_CASH_CASH_EQUIV_BEG_OF_PER","FQ4 2019","FQ4 2019","Currency=USD","Period=FQ","BEST_FPERIOD_OVERRIDE=FQ","FILING_STATUS=MR","SCALING_FORMAT=MLN","Sort=A","Dates=H","DateFormat=P","Fill=—","Direction=H","UseDPDF=Y")</f>
        <v>6945</v>
      </c>
      <c r="H44" s="13">
        <f>_xll.BDH("AMGN US Equity","ARD_CASH_CASH_EQUIV_BEG_OF_PER","FQ1 2020","FQ1 2020","Currency=USD","Period=FQ","BEST_FPERIOD_OVERRIDE=FQ","FILING_STATUS=MR","SCALING_FORMAT=MLN","Sort=A","Dates=H","DateFormat=P","Fill=—","Direction=H","UseDPDF=Y")</f>
        <v>6037</v>
      </c>
      <c r="I44" s="13">
        <f>_xll.BDH("AMGN US Equity","ARD_CASH_CASH_EQUIV_BEG_OF_PER","FQ2 2020","FQ2 2020","Currency=USD","Period=FQ","BEST_FPERIOD_OVERRIDE=FQ","FILING_STATUS=MR","SCALING_FORMAT=MLN","Sort=A","Dates=H","DateFormat=P","Fill=—","Direction=H","UseDPDF=Y")</f>
        <v>6037</v>
      </c>
      <c r="J44" s="13">
        <f>_xll.BDH("AMGN US Equity","ARD_CASH_CASH_EQUIV_BEG_OF_PER","FQ3 2020","FQ3 2020","Currency=USD","Period=FQ","BEST_FPERIOD_OVERRIDE=FQ","FILING_STATUS=MR","SCALING_FORMAT=MLN","Sort=A","Dates=H","DateFormat=P","Fill=—","Direction=H","UseDPDF=Y")</f>
        <v>6037</v>
      </c>
      <c r="K44" s="13">
        <f>_xll.BDH("AMGN US Equity","ARD_CASH_CASH_EQUIV_BEG_OF_PER","FQ4 2020","FQ4 2020","Currency=USD","Period=FQ","BEST_FPERIOD_OVERRIDE=FQ","FILING_STATUS=MR","SCALING_FORMAT=MLN","Sort=A","Dates=H","DateFormat=P","Fill=—","Direction=H","UseDPDF=Y")</f>
        <v>6037</v>
      </c>
      <c r="L44" s="13">
        <f>_xll.BDH("AMGN US Equity","ARD_CASH_CASH_EQUIV_BEG_OF_PER","FQ1 2021","FQ1 2021","Currency=USD","Period=FQ","BEST_FPERIOD_OVERRIDE=FQ","FILING_STATUS=MR","SCALING_FORMAT=MLN","Sort=A","Dates=H","DateFormat=P","Fill=—","Direction=H","UseDPDF=Y")</f>
        <v>6266</v>
      </c>
      <c r="M44" s="13">
        <f>_xll.BDH("AMGN US Equity","ARD_CASH_CASH_EQUIV_BEG_OF_PER","FQ2 2021","FQ2 2021","Currency=USD","Period=FQ","BEST_FPERIOD_OVERRIDE=FQ","FILING_STATUS=MR","SCALING_FORMAT=MLN","Sort=A","Dates=H","DateFormat=P","Fill=—","Direction=H","UseDPDF=Y")</f>
        <v>6266</v>
      </c>
      <c r="N44" s="13">
        <f>_xll.BDH("AMGN US Equity","ARD_CASH_CASH_EQUIV_BEG_OF_PER","FQ3 2021","FQ3 2021","Currency=USD","Period=FQ","BEST_FPERIOD_OVERRIDE=FQ","FILING_STATUS=MR","SCALING_FORMAT=MLN","Sort=A","Dates=H","DateFormat=P","Fill=—","Direction=H","UseDPDF=Y")</f>
        <v>6266</v>
      </c>
      <c r="O44" s="13">
        <f>_xll.BDH("AMGN US Equity","ARD_CASH_CASH_EQUIV_BEG_OF_PER","FQ4 2021","FQ4 2021","Currency=USD","Period=FQ","BEST_FPERIOD_OVERRIDE=FQ","FILING_STATUS=MR","SCALING_FORMAT=MLN","Sort=A","Dates=H","DateFormat=P","Fill=—","Direction=H","UseDPDF=Y")</f>
        <v>6266</v>
      </c>
      <c r="P44" s="13">
        <f>_xll.BDH("AMGN US Equity","ARD_CASH_CASH_EQUIV_BEG_OF_PER","FQ1 2022","FQ1 2022","Currency=USD","Period=FQ","BEST_FPERIOD_OVERRIDE=FQ","FILING_STATUS=MR","SCALING_FORMAT=MLN","Sort=A","Dates=H","DateFormat=P","Fill=—","Direction=H","UseDPDF=Y")</f>
        <v>7989</v>
      </c>
      <c r="Q44" s="13">
        <f>_xll.BDH("AMGN US Equity","ARD_CASH_CASH_EQUIV_BEG_OF_PER","FQ2 2022","FQ2 2022","Currency=USD","Period=FQ","BEST_FPERIOD_OVERRIDE=FQ","FILING_STATUS=MR","SCALING_FORMAT=MLN","Sort=A","Dates=H","DateFormat=P","Fill=—","Direction=H","UseDPDF=Y")</f>
        <v>7989</v>
      </c>
      <c r="R44" s="13">
        <f>_xll.BDH("AMGN US Equity","ARD_CASH_CASH_EQUIV_BEG_OF_PER","FQ3 2022","FQ3 2022","Currency=USD","Period=FQ","BEST_FPERIOD_OVERRIDE=FQ","FILING_STATUS=MR","SCALING_FORMAT=MLN","Sort=A","Dates=H","DateFormat=P","Fill=—","Direction=H","UseDPDF=Y")</f>
        <v>7989</v>
      </c>
      <c r="S44" s="13">
        <f>_xll.BDH("AMGN US Equity","ARD_CASH_CASH_EQUIV_BEG_OF_PER","FQ4 2022","FQ4 2022","Currency=USD","Period=FQ","BEST_FPERIOD_OVERRIDE=FQ","FILING_STATUS=MR","SCALING_FORMAT=MLN","Sort=A","Dates=H","DateFormat=P","Fill=—","Direction=H","UseDPDF=Y")</f>
        <v>7989</v>
      </c>
      <c r="T44" s="13">
        <f>_xll.BDH("AMGN US Equity","ARD_CASH_CASH_EQUIV_BEG_OF_PER","FQ1 2023","FQ1 2023","Currency=USD","Period=FQ","BEST_FPERIOD_OVERRIDE=FQ","FILING_STATUS=MR","SCALING_FORMAT=MLN","Sort=A","Dates=H","DateFormat=P","Fill=—","Direction=H","UseDPDF=Y")</f>
        <v>7629</v>
      </c>
      <c r="U44" s="13">
        <f>_xll.BDH("AMGN US Equity","ARD_CASH_CASH_EQUIV_BEG_OF_PER","FQ2 2023","FQ2 2023","Currency=USD","Period=FQ","BEST_FPERIOD_OVERRIDE=FQ","FILING_STATUS=MR","SCALING_FORMAT=MLN","Sort=A","Dates=H","DateFormat=P","Fill=—","Direction=H","UseDPDF=Y")</f>
        <v>7629</v>
      </c>
      <c r="V44" s="13">
        <f>_xll.BDH("AMGN US Equity","ARD_CASH_CASH_EQUIV_BEG_OF_PER","FQ3 2023","FQ3 2023","Currency=USD","Period=FQ","BEST_FPERIOD_OVERRIDE=FQ","FILING_STATUS=MR","SCALING_FORMAT=MLN","Sort=A","Dates=H","DateFormat=P","Fill=—","Direction=H","UseDPDF=Y")</f>
        <v>7629</v>
      </c>
      <c r="W44" s="13">
        <f>_xll.BDH("AMGN US Equity","ARD_CASH_CASH_EQUIV_BEG_OF_PER","FQ4 2023","FQ4 2023","Currency=USD","Period=FQ","BEST_FPERIOD_OVERRIDE=FQ","FILING_STATUS=MR","SCALING_FORMAT=MLN","Sort=A","Dates=H","DateFormat=P","Fill=—","Direction=H","UseDPDF=Y")</f>
        <v>7629</v>
      </c>
      <c r="X44" s="13">
        <f>_xll.BDH("AMGN US Equity","ARD_CASH_CASH_EQUIV_BEG_OF_PER","FQ1 2024","FQ1 2024","Currency=USD","Period=FQ","BEST_FPERIOD_OVERRIDE=FQ","FILING_STATUS=MR","SCALING_FORMAT=MLN","Sort=A","Dates=H","DateFormat=P","Fill=—","Direction=H","UseDPDF=Y")</f>
        <v>10944</v>
      </c>
      <c r="Y44" s="13">
        <f>_xll.BDH("AMGN US Equity","ARD_CASH_CASH_EQUIV_BEG_OF_PER","FQ2 2024","FQ2 2024","Currency=USD","Period=FQ","BEST_FPERIOD_OVERRIDE=FQ","FILING_STATUS=MR","SCALING_FORMAT=MLN","Sort=A","Dates=H","DateFormat=P","Fill=—","Direction=H","UseDPDF=Y")</f>
        <v>10944</v>
      </c>
      <c r="Z44" s="13">
        <f>_xll.BDH("AMGN US Equity","ARD_CASH_CASH_EQUIV_BEG_OF_PER","FQ3 2024","FQ3 2024","Currency=USD","Period=FQ","BEST_FPERIOD_OVERRIDE=FQ","FILING_STATUS=MR","SCALING_FORMAT=MLN","Sort=A","Dates=H","DateFormat=P","Fill=—","Direction=H","UseDPDF=Y")</f>
        <v>10944</v>
      </c>
      <c r="AA44" s="13">
        <f>_xll.BDH("AMGN US Equity","ARD_CASH_CASH_EQUIV_BEG_OF_PER","FQ4 2024","FQ4 2024","Currency=USD","Period=FQ","BEST_FPERIOD_OVERRIDE=FQ","FILING_STATUS=MR","SCALING_FORMAT=MLN","Sort=A","Dates=H","DateFormat=P","Fill=—","Direction=H","UseDPDF=Y")</f>
        <v>10944</v>
      </c>
    </row>
    <row r="45" spans="1:27" x14ac:dyDescent="0.25">
      <c r="A45" s="6" t="s">
        <v>1427</v>
      </c>
      <c r="B45" s="6" t="s">
        <v>1428</v>
      </c>
      <c r="C45" s="19">
        <f>_xll.BDH("AMGN US Equity","ARD_TOT_CASHFLOWS_FROM_FINANCING","FQ4 2018","FQ4 2018","Currency=USD","Period=FQ","BEST_FPERIOD_OVERRIDE=FQ","FILING_STATUS=MR","SCALING_FORMAT=MLN","Sort=A","Dates=H","DateFormat=P","Fill=—","Direction=H","UseDPDF=Y")</f>
        <v>-22490</v>
      </c>
      <c r="D45" s="19">
        <f>_xll.BDH("AMGN US Equity","ARD_TOT_CASHFLOWS_FROM_FINANCING","FQ1 2019","FQ1 2019","Currency=USD","Period=FQ","BEST_FPERIOD_OVERRIDE=FQ","FILING_STATUS=MR","SCALING_FORMAT=MLN","Sort=A","Dates=H","DateFormat=P","Fill=—","Direction=H","UseDPDF=Y")</f>
        <v>-4987</v>
      </c>
      <c r="E45" s="19">
        <f>_xll.BDH("AMGN US Equity","ARD_TOT_CASHFLOWS_FROM_FINANCING","FQ2 2019","FQ2 2019","Currency=USD","Period=FQ","BEST_FPERIOD_OVERRIDE=FQ","FILING_STATUS=MR","SCALING_FORMAT=MLN","Sort=A","Dates=H","DateFormat=P","Fill=—","Direction=H","UseDPDF=Y")</f>
        <v>-10979</v>
      </c>
      <c r="F45" s="19">
        <f>_xll.BDH("AMGN US Equity","ARD_TOT_CASHFLOWS_FROM_FINANCING","FQ3 2019","FQ3 2019","Currency=USD","Period=FQ","BEST_FPERIOD_OVERRIDE=FQ","FILING_STATUS=MR","SCALING_FORMAT=MLN","Sort=A","Dates=H","DateFormat=P","Fill=—","Direction=H","UseDPDF=Y")</f>
        <v>-13838</v>
      </c>
      <c r="G45" s="19">
        <f>_xll.BDH("AMGN US Equity","ARD_TOT_CASHFLOWS_FROM_FINANCING","FQ4 2019","FQ4 2019","Currency=USD","Period=FQ","BEST_FPERIOD_OVERRIDE=FQ","FILING_STATUS=MR","SCALING_FORMAT=MLN","Sort=A","Dates=H","DateFormat=P","Fill=—","Direction=H","UseDPDF=Y")</f>
        <v>-15767</v>
      </c>
      <c r="H45" s="19">
        <f>_xll.BDH("AMGN US Equity","ARD_TOT_CASHFLOWS_FROM_FINANCING","FQ1 2020","FQ1 2020","Currency=USD","Period=FQ","BEST_FPERIOD_OVERRIDE=FQ","FILING_STATUS=MR","SCALING_FORMAT=MLN","Sort=A","Dates=H","DateFormat=P","Fill=—","Direction=H","UseDPDF=Y")</f>
        <v>-254</v>
      </c>
      <c r="I45" s="19">
        <f>_xll.BDH("AMGN US Equity","ARD_TOT_CASHFLOWS_FROM_FINANCING","FQ2 2020","FQ2 2020","Currency=USD","Period=FQ","BEST_FPERIOD_OVERRIDE=FQ","FILING_STATUS=MR","SCALING_FORMAT=MLN","Sort=A","Dates=H","DateFormat=P","Fill=—","Direction=H","UseDPDF=Y")</f>
        <v>521</v>
      </c>
      <c r="J45" s="19">
        <f>_xll.BDH("AMGN US Equity","ARD_TOT_CASHFLOWS_FROM_FINANCING","FQ3 2020","FQ3 2020","Currency=USD","Period=FQ","BEST_FPERIOD_OVERRIDE=FQ","FILING_STATUS=MR","SCALING_FORMAT=MLN","Sort=A","Dates=H","DateFormat=P","Fill=—","Direction=H","UseDPDF=Y")</f>
        <v>-1277</v>
      </c>
      <c r="K45" s="19">
        <f>_xll.BDH("AMGN US Equity","ARD_TOT_CASHFLOWS_FROM_FINANCING","FQ4 2020","FQ4 2020","Currency=USD","Period=FQ","BEST_FPERIOD_OVERRIDE=FQ","FILING_STATUS=MR","SCALING_FORMAT=MLN","Sort=A","Dates=H","DateFormat=P","Fill=—","Direction=H","UseDPDF=Y")</f>
        <v>-4867</v>
      </c>
      <c r="L45" s="19">
        <f>_xll.BDH("AMGN US Equity","ARD_TOT_CASHFLOWS_FROM_FINANCING","FQ1 2021","FQ1 2021","Currency=USD","Period=FQ","BEST_FPERIOD_OVERRIDE=FQ","FILING_STATUS=MR","SCALING_FORMAT=MLN","Sort=A","Dates=H","DateFormat=P","Fill=—","Direction=H","UseDPDF=Y")</f>
        <v>-1939</v>
      </c>
      <c r="M45" s="19">
        <f>_xll.BDH("AMGN US Equity","ARD_TOT_CASHFLOWS_FROM_FINANCING","FQ2 2021","FQ2 2021","Currency=USD","Period=FQ","BEST_FPERIOD_OVERRIDE=FQ","FILING_STATUS=MR","SCALING_FORMAT=MLN","Sort=A","Dates=H","DateFormat=P","Fill=—","Direction=H","UseDPDF=Y")</f>
        <v>-4561</v>
      </c>
      <c r="N45" s="19">
        <f>_xll.BDH("AMGN US Equity","ARD_TOT_CASHFLOWS_FROM_FINANCING","FQ3 2021","FQ3 2021","Currency=USD","Period=FQ","BEST_FPERIOD_OVERRIDE=FQ","FILING_STATUS=MR","SCALING_FORMAT=MLN","Sort=A","Dates=H","DateFormat=P","Fill=—","Direction=H","UseDPDF=Y")</f>
        <v>-1713</v>
      </c>
      <c r="O45" s="19">
        <f>_xll.BDH("AMGN US Equity","ARD_TOT_CASHFLOWS_FROM_FINANCING","FQ4 2021","FQ4 2021","Currency=USD","Period=FQ","BEST_FPERIOD_OVERRIDE=FQ","FILING_STATUS=MR","SCALING_FORMAT=MLN","Sort=A","Dates=H","DateFormat=P","Fill=—","Direction=H","UseDPDF=Y")</f>
        <v>-8271</v>
      </c>
      <c r="P45" s="19">
        <f>_xll.BDH("AMGN US Equity","ARD_TOT_CASHFLOWS_FROM_FINANCING","FQ1 2022","FQ1 2022","Currency=USD","Period=FQ","BEST_FPERIOD_OVERRIDE=FQ","FILING_STATUS=MR","SCALING_FORMAT=MLN","Sort=A","Dates=H","DateFormat=P","Fill=—","Direction=H","UseDPDF=Y")</f>
        <v>-3514</v>
      </c>
      <c r="Q45" s="19">
        <f>_xll.BDH("AMGN US Equity","ARD_TOT_CASHFLOWS_FROM_FINANCING","FQ2 2022","FQ2 2022","Currency=USD","Period=FQ","BEST_FPERIOD_OVERRIDE=FQ","FILING_STATUS=MR","SCALING_FORMAT=MLN","Sort=A","Dates=H","DateFormat=P","Fill=—","Direction=H","UseDPDF=Y")</f>
        <v>-4576</v>
      </c>
      <c r="R45" s="19">
        <f>_xll.BDH("AMGN US Equity","ARD_TOT_CASHFLOWS_FROM_FINANCING","FQ3 2022","FQ3 2022","Currency=USD","Period=FQ","BEST_FPERIOD_OVERRIDE=FQ","FILING_STATUS=MR","SCALING_FORMAT=MLN","Sort=A","Dates=H","DateFormat=P","Fill=—","Direction=H","UseDPDF=Y")</f>
        <v>-2988</v>
      </c>
      <c r="S45" s="19">
        <f>_xll.BDH("AMGN US Equity","ARD_TOT_CASHFLOWS_FROM_FINANCING","FQ4 2022","FQ4 2022","Currency=USD","Period=FQ","BEST_FPERIOD_OVERRIDE=FQ","FILING_STATUS=MR","SCALING_FORMAT=MLN","Sort=A","Dates=H","DateFormat=P","Fill=—","Direction=H","UseDPDF=Y")</f>
        <v>-4037</v>
      </c>
      <c r="T45" s="19">
        <f>_xll.BDH("AMGN US Equity","ARD_TOT_CASHFLOWS_FROM_FINANCING","FQ1 2023","FQ1 2023","Currency=USD","Period=FQ","BEST_FPERIOD_OVERRIDE=FQ","FILING_STATUS=MR","SCALING_FORMAT=MLN","Sort=A","Dates=H","DateFormat=P","Fill=—","Direction=H","UseDPDF=Y")</f>
        <v>21509</v>
      </c>
      <c r="U45" s="19">
        <f>_xll.BDH("AMGN US Equity","ARD_TOT_CASHFLOWS_FROM_FINANCING","FQ2 2023","FQ2 2023","Currency=USD","Period=FQ","BEST_FPERIOD_OVERRIDE=FQ","FILING_STATUS=MR","SCALING_FORMAT=MLN","Sort=A","Dates=H","DateFormat=P","Fill=—","Direction=H","UseDPDF=Y")</f>
        <v>20299</v>
      </c>
      <c r="V45" s="19">
        <f>_xll.BDH("AMGN US Equity","ARD_TOT_CASHFLOWS_FROM_FINANCING","FQ3 2023","FQ3 2023","Currency=USD","Period=FQ","BEST_FPERIOD_OVERRIDE=FQ","FILING_STATUS=MR","SCALING_FORMAT=MLN","Sort=A","Dates=H","DateFormat=P","Fill=—","Direction=H","UseDPDF=Y")</f>
        <v>18294</v>
      </c>
      <c r="W45" s="19">
        <f>_xll.BDH("AMGN US Equity","ARD_TOT_CASHFLOWS_FROM_FINANCING","FQ4 2023","FQ4 2023","Currency=USD","Period=FQ","BEST_FPERIOD_OVERRIDE=FQ","FILING_STATUS=MR","SCALING_FORMAT=MLN","Sort=A","Dates=H","DateFormat=P","Fill=—","Direction=H","UseDPDF=Y")</f>
        <v>21048</v>
      </c>
      <c r="X45" s="19">
        <f>_xll.BDH("AMGN US Equity","ARD_TOT_CASHFLOWS_FROM_FINANCING","FQ1 2024","FQ1 2024","Currency=USD","Period=FQ","BEST_FPERIOD_OVERRIDE=FQ","FILING_STATUS=MR","SCALING_FORMAT=MLN","Sort=A","Dates=H","DateFormat=P","Fill=—","Direction=H","UseDPDF=Y")</f>
        <v>-1708</v>
      </c>
      <c r="Y45" s="19">
        <f>_xll.BDH("AMGN US Equity","ARD_TOT_CASHFLOWS_FROM_FINANCING","FQ2 2024","FQ2 2024","Currency=USD","Period=FQ","BEST_FPERIOD_OVERRIDE=FQ","FILING_STATUS=MR","SCALING_FORMAT=MLN","Sort=A","Dates=H","DateFormat=P","Fill=—","Direction=H","UseDPDF=Y")</f>
        <v>-4357</v>
      </c>
      <c r="Z45" s="19">
        <f>_xll.BDH("AMGN US Equity","ARD_TOT_CASHFLOWS_FROM_FINANCING","FQ3 2024","FQ3 2024","Currency=USD","Period=FQ","BEST_FPERIOD_OVERRIDE=FQ","FILING_STATUS=MR","SCALING_FORMAT=MLN","Sort=A","Dates=H","DateFormat=P","Fill=—","Direction=H","UseDPDF=Y")</f>
        <v>-8008</v>
      </c>
      <c r="AA45" s="19">
        <f>_xll.BDH("AMGN US Equity","ARD_TOT_CASHFLOWS_FROM_FINANCING","FQ4 2024","FQ4 2024","Currency=USD","Period=FQ","BEST_FPERIOD_OVERRIDE=FQ","FILING_STATUS=MR","SCALING_FORMAT=MLN","Sort=A","Dates=H","DateFormat=P","Fill=—","Direction=H","UseDPDF=Y")</f>
        <v>-9415</v>
      </c>
    </row>
    <row r="46" spans="1:27" x14ac:dyDescent="0.25">
      <c r="A46" s="10" t="s">
        <v>469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x14ac:dyDescent="0.25">
      <c r="A47" s="10" t="s">
        <v>1429</v>
      </c>
      <c r="B47" s="10" t="s">
        <v>1430</v>
      </c>
      <c r="C47" s="13">
        <f>_xll.BDH("AMGN US Equity","ARDR_CASH_PAID_FOR_TAXES","FQ4 2018","FQ4 2018","Currency=USD","Period=FQ","BEST_FPERIOD_OVERRIDE=FQ","FILING_STATUS=MR","SCALING_FORMAT=MLN","Sort=A","Dates=H","DateFormat=P","Fill=—","Direction=H","UseDPDF=Y")</f>
        <v>1900</v>
      </c>
      <c r="D47" s="13" t="str">
        <f>_xll.BDH("AMGN US Equity","ARDR_CASH_PAID_FOR_TAXES","FQ1 2019","FQ1 2019","Currency=USD","Period=FQ","BEST_FPERIOD_OVERRIDE=FQ","FILING_STATUS=MR","SCALING_FORMAT=MLN","Sort=A","Dates=H","DateFormat=P","Fill=—","Direction=H","UseDPDF=Y")</f>
        <v>—</v>
      </c>
      <c r="E47" s="13" t="str">
        <f>_xll.BDH("AMGN US Equity","ARDR_CASH_PAID_FOR_TAXES","FQ2 2019","FQ2 2019","Currency=USD","Period=FQ","BEST_FPERIOD_OVERRIDE=FQ","FILING_STATUS=MR","SCALING_FORMAT=MLN","Sort=A","Dates=H","DateFormat=P","Fill=—","Direction=H","UseDPDF=Y")</f>
        <v>—</v>
      </c>
      <c r="F47" s="13" t="str">
        <f>_xll.BDH("AMGN US Equity","ARDR_CASH_PAID_FOR_TAXES","FQ3 2019","FQ3 2019","Currency=USD","Period=FQ","BEST_FPERIOD_OVERRIDE=FQ","FILING_STATUS=MR","SCALING_FORMAT=MLN","Sort=A","Dates=H","DateFormat=P","Fill=—","Direction=H","UseDPDF=Y")</f>
        <v>—</v>
      </c>
      <c r="G47" s="13">
        <f>_xll.BDH("AMGN US Equity","ARDR_CASH_PAID_FOR_TAXES","FQ4 2019","FQ4 2019","Currency=USD","Period=FQ","BEST_FPERIOD_OVERRIDE=FQ","FILING_STATUS=MR","SCALING_FORMAT=MLN","Sort=A","Dates=H","DateFormat=P","Fill=—","Direction=H","UseDPDF=Y")</f>
        <v>1900</v>
      </c>
      <c r="H47" s="13" t="str">
        <f>_xll.BDH("AMGN US Equity","ARDR_CASH_PAID_FOR_TAXES","FQ1 2020","FQ1 2020","Currency=USD","Period=FQ","BEST_FPERIOD_OVERRIDE=FQ","FILING_STATUS=MR","SCALING_FORMAT=MLN","Sort=A","Dates=H","DateFormat=P","Fill=—","Direction=H","UseDPDF=Y")</f>
        <v>—</v>
      </c>
      <c r="I47" s="13" t="str">
        <f>_xll.BDH("AMGN US Equity","ARDR_CASH_PAID_FOR_TAXES","FQ2 2020","FQ2 2020","Currency=USD","Period=FQ","BEST_FPERIOD_OVERRIDE=FQ","FILING_STATUS=MR","SCALING_FORMAT=MLN","Sort=A","Dates=H","DateFormat=P","Fill=—","Direction=H","UseDPDF=Y")</f>
        <v>—</v>
      </c>
      <c r="J47" s="13" t="str">
        <f>_xll.BDH("AMGN US Equity","ARDR_CASH_PAID_FOR_TAXES","FQ3 2020","FQ3 2020","Currency=USD","Period=FQ","BEST_FPERIOD_OVERRIDE=FQ","FILING_STATUS=MR","SCALING_FORMAT=MLN","Sort=A","Dates=H","DateFormat=P","Fill=—","Direction=H","UseDPDF=Y")</f>
        <v>—</v>
      </c>
      <c r="K47" s="13">
        <f>_xll.BDH("AMGN US Equity","ARDR_CASH_PAID_FOR_TAXES","FQ4 2020","FQ4 2020","Currency=USD","Period=FQ","BEST_FPERIOD_OVERRIDE=FQ","FILING_STATUS=MR","SCALING_FORMAT=MLN","Sort=A","Dates=H","DateFormat=P","Fill=—","Direction=H","UseDPDF=Y")</f>
        <v>1400</v>
      </c>
      <c r="L47" s="13" t="str">
        <f>_xll.BDH("AMGN US Equity","ARDR_CASH_PAID_FOR_TAXES","FQ1 2021","FQ1 2021","Currency=USD","Period=FQ","BEST_FPERIOD_OVERRIDE=FQ","FILING_STATUS=MR","SCALING_FORMAT=MLN","Sort=A","Dates=H","DateFormat=P","Fill=—","Direction=H","UseDPDF=Y")</f>
        <v>—</v>
      </c>
      <c r="M47" s="13" t="str">
        <f>_xll.BDH("AMGN US Equity","ARDR_CASH_PAID_FOR_TAXES","FQ2 2021","FQ2 2021","Currency=USD","Period=FQ","BEST_FPERIOD_OVERRIDE=FQ","FILING_STATUS=MR","SCALING_FORMAT=MLN","Sort=A","Dates=H","DateFormat=P","Fill=—","Direction=H","UseDPDF=Y")</f>
        <v>—</v>
      </c>
      <c r="N47" s="13" t="str">
        <f>_xll.BDH("AMGN US Equity","ARDR_CASH_PAID_FOR_TAXES","FQ3 2021","FQ3 2021","Currency=USD","Period=FQ","BEST_FPERIOD_OVERRIDE=FQ","FILING_STATUS=MR","SCALING_FORMAT=MLN","Sort=A","Dates=H","DateFormat=P","Fill=—","Direction=H","UseDPDF=Y")</f>
        <v>—</v>
      </c>
      <c r="O47" s="13">
        <f>_xll.BDH("AMGN US Equity","ARDR_CASH_PAID_FOR_TAXES","FQ4 2021","FQ4 2021","Currency=USD","Period=FQ","BEST_FPERIOD_OVERRIDE=FQ","FILING_STATUS=MR","SCALING_FORMAT=MLN","Sort=A","Dates=H","DateFormat=P","Fill=—","Direction=H","UseDPDF=Y")</f>
        <v>1900</v>
      </c>
      <c r="P47" s="13" t="str">
        <f>_xll.BDH("AMGN US Equity","ARDR_CASH_PAID_FOR_TAXES","FQ1 2022","FQ1 2022","Currency=USD","Period=FQ","BEST_FPERIOD_OVERRIDE=FQ","FILING_STATUS=MR","SCALING_FORMAT=MLN","Sort=A","Dates=H","DateFormat=P","Fill=—","Direction=H","UseDPDF=Y")</f>
        <v>—</v>
      </c>
      <c r="Q47" s="13" t="str">
        <f>_xll.BDH("AMGN US Equity","ARDR_CASH_PAID_FOR_TAXES","FQ2 2022","FQ2 2022","Currency=USD","Period=FQ","BEST_FPERIOD_OVERRIDE=FQ","FILING_STATUS=MR","SCALING_FORMAT=MLN","Sort=A","Dates=H","DateFormat=P","Fill=—","Direction=H","UseDPDF=Y")</f>
        <v>—</v>
      </c>
      <c r="R47" s="13" t="str">
        <f>_xll.BDH("AMGN US Equity","ARDR_CASH_PAID_FOR_TAXES","FQ3 2022","FQ3 2022","Currency=USD","Period=FQ","BEST_FPERIOD_OVERRIDE=FQ","FILING_STATUS=MR","SCALING_FORMAT=MLN","Sort=A","Dates=H","DateFormat=P","Fill=—","Direction=H","UseDPDF=Y")</f>
        <v>—</v>
      </c>
      <c r="S47" s="13">
        <f>_xll.BDH("AMGN US Equity","ARDR_CASH_PAID_FOR_TAXES","FQ4 2022","FQ4 2022","Currency=USD","Period=FQ","BEST_FPERIOD_OVERRIDE=FQ","FILING_STATUS=MR","SCALING_FORMAT=MLN","Sort=A","Dates=H","DateFormat=P","Fill=—","Direction=H","UseDPDF=Y")</f>
        <v>2400</v>
      </c>
      <c r="T47" s="13" t="str">
        <f>_xll.BDH("AMGN US Equity","ARDR_CASH_PAID_FOR_TAXES","FQ1 2023","FQ1 2023","Currency=USD","Period=FQ","BEST_FPERIOD_OVERRIDE=FQ","FILING_STATUS=MR","SCALING_FORMAT=MLN","Sort=A","Dates=H","DateFormat=P","Fill=—","Direction=H","UseDPDF=Y")</f>
        <v>—</v>
      </c>
      <c r="U47" s="13" t="str">
        <f>_xll.BDH("AMGN US Equity","ARDR_CASH_PAID_FOR_TAXES","FQ2 2023","FQ2 2023","Currency=USD","Period=FQ","BEST_FPERIOD_OVERRIDE=FQ","FILING_STATUS=MR","SCALING_FORMAT=MLN","Sort=A","Dates=H","DateFormat=P","Fill=—","Direction=H","UseDPDF=Y")</f>
        <v>—</v>
      </c>
      <c r="V47" s="13" t="str">
        <f>_xll.BDH("AMGN US Equity","ARDR_CASH_PAID_FOR_TAXES","FQ3 2023","FQ3 2023","Currency=USD","Period=FQ","BEST_FPERIOD_OVERRIDE=FQ","FILING_STATUS=MR","SCALING_FORMAT=MLN","Sort=A","Dates=H","DateFormat=P","Fill=—","Direction=H","UseDPDF=Y")</f>
        <v>—</v>
      </c>
      <c r="W47" s="13">
        <f>_xll.BDH("AMGN US Equity","ARDR_CASH_PAID_FOR_TAXES","FQ4 2023","FQ4 2023","Currency=USD","Period=FQ","BEST_FPERIOD_OVERRIDE=FQ","FILING_STATUS=MR","SCALING_FORMAT=MLN","Sort=A","Dates=H","DateFormat=P","Fill=—","Direction=H","UseDPDF=Y")</f>
        <v>3400</v>
      </c>
      <c r="X47" s="13" t="str">
        <f>_xll.BDH("AMGN US Equity","ARDR_CASH_PAID_FOR_TAXES","FQ1 2024","FQ1 2024","Currency=USD","Period=FQ","BEST_FPERIOD_OVERRIDE=FQ","FILING_STATUS=MR","SCALING_FORMAT=MLN","Sort=A","Dates=H","DateFormat=P","Fill=—","Direction=H","UseDPDF=Y")</f>
        <v>—</v>
      </c>
      <c r="Y47" s="13" t="str">
        <f>_xll.BDH("AMGN US Equity","ARDR_CASH_PAID_FOR_TAXES","FQ2 2024","FQ2 2024","Currency=USD","Period=FQ","BEST_FPERIOD_OVERRIDE=FQ","FILING_STATUS=MR","SCALING_FORMAT=MLN","Sort=A","Dates=H","DateFormat=P","Fill=—","Direction=H","UseDPDF=Y")</f>
        <v>—</v>
      </c>
      <c r="Z47" s="13" t="str">
        <f>_xll.BDH("AMGN US Equity","ARDR_CASH_PAID_FOR_TAXES","FQ3 2024","FQ3 2024","Currency=USD","Period=FQ","BEST_FPERIOD_OVERRIDE=FQ","FILING_STATUS=MR","SCALING_FORMAT=MLN","Sort=A","Dates=H","DateFormat=P","Fill=—","Direction=H","UseDPDF=Y")</f>
        <v>—</v>
      </c>
      <c r="AA47" s="13">
        <f>_xll.BDH("AMGN US Equity","ARDR_CASH_PAID_FOR_TAXES","FQ4 2024","FQ4 2024","Currency=USD","Period=FQ","BEST_FPERIOD_OVERRIDE=FQ","FILING_STATUS=MR","SCALING_FORMAT=MLN","Sort=A","Dates=H","DateFormat=P","Fill=—","Direction=H","UseDPDF=Y")</f>
        <v>2900</v>
      </c>
    </row>
    <row r="48" spans="1:27" x14ac:dyDescent="0.25">
      <c r="A48" s="10" t="s">
        <v>1431</v>
      </c>
      <c r="B48" s="10" t="s">
        <v>1432</v>
      </c>
      <c r="C48" s="13">
        <f>_xll.BDH("AMGN US Equity","ARDR_CASH_PAID_FOR_INTEREST","FQ4 2018","FQ4 2018","Currency=USD","Period=FQ","BEST_FPERIOD_OVERRIDE=FQ","FILING_STATUS=MR","SCALING_FORMAT=MLN","Sort=A","Dates=H","DateFormat=P","Fill=—","Direction=H","UseDPDF=Y")</f>
        <v>1500</v>
      </c>
      <c r="D48" s="13" t="str">
        <f>_xll.BDH("AMGN US Equity","ARDR_CASH_PAID_FOR_INTEREST","FQ1 2019","FQ1 2019","Currency=USD","Period=FQ","BEST_FPERIOD_OVERRIDE=FQ","FILING_STATUS=MR","SCALING_FORMAT=MLN","Sort=A","Dates=H","DateFormat=P","Fill=—","Direction=H","UseDPDF=Y")</f>
        <v>—</v>
      </c>
      <c r="E48" s="13" t="str">
        <f>_xll.BDH("AMGN US Equity","ARDR_CASH_PAID_FOR_INTEREST","FQ2 2019","FQ2 2019","Currency=USD","Period=FQ","BEST_FPERIOD_OVERRIDE=FQ","FILING_STATUS=MR","SCALING_FORMAT=MLN","Sort=A","Dates=H","DateFormat=P","Fill=—","Direction=H","UseDPDF=Y")</f>
        <v>—</v>
      </c>
      <c r="F48" s="13" t="str">
        <f>_xll.BDH("AMGN US Equity","ARDR_CASH_PAID_FOR_INTEREST","FQ3 2019","FQ3 2019","Currency=USD","Period=FQ","BEST_FPERIOD_OVERRIDE=FQ","FILING_STATUS=MR","SCALING_FORMAT=MLN","Sort=A","Dates=H","DateFormat=P","Fill=—","Direction=H","UseDPDF=Y")</f>
        <v>—</v>
      </c>
      <c r="G48" s="13">
        <f>_xll.BDH("AMGN US Equity","ARDR_CASH_PAID_FOR_INTEREST","FQ4 2019","FQ4 2019","Currency=USD","Period=FQ","BEST_FPERIOD_OVERRIDE=FQ","FILING_STATUS=MR","SCALING_FORMAT=MLN","Sort=A","Dates=H","DateFormat=P","Fill=—","Direction=H","UseDPDF=Y")</f>
        <v>1300</v>
      </c>
      <c r="H48" s="13" t="str">
        <f>_xll.BDH("AMGN US Equity","ARDR_CASH_PAID_FOR_INTEREST","FQ1 2020","FQ1 2020","Currency=USD","Period=FQ","BEST_FPERIOD_OVERRIDE=FQ","FILING_STATUS=MR","SCALING_FORMAT=MLN","Sort=A","Dates=H","DateFormat=P","Fill=—","Direction=H","UseDPDF=Y")</f>
        <v>—</v>
      </c>
      <c r="I48" s="13" t="str">
        <f>_xll.BDH("AMGN US Equity","ARDR_CASH_PAID_FOR_INTEREST","FQ2 2020","FQ2 2020","Currency=USD","Period=FQ","BEST_FPERIOD_OVERRIDE=FQ","FILING_STATUS=MR","SCALING_FORMAT=MLN","Sort=A","Dates=H","DateFormat=P","Fill=—","Direction=H","UseDPDF=Y")</f>
        <v>—</v>
      </c>
      <c r="J48" s="13" t="str">
        <f>_xll.BDH("AMGN US Equity","ARDR_CASH_PAID_FOR_INTEREST","FQ3 2020","FQ3 2020","Currency=USD","Period=FQ","BEST_FPERIOD_OVERRIDE=FQ","FILING_STATUS=MR","SCALING_FORMAT=MLN","Sort=A","Dates=H","DateFormat=P","Fill=—","Direction=H","UseDPDF=Y")</f>
        <v>—</v>
      </c>
      <c r="K48" s="13">
        <f>_xll.BDH("AMGN US Equity","ARDR_CASH_PAID_FOR_INTEREST","FQ4 2020","FQ4 2020","Currency=USD","Period=FQ","BEST_FPERIOD_OVERRIDE=FQ","FILING_STATUS=MR","SCALING_FORMAT=MLN","Sort=A","Dates=H","DateFormat=P","Fill=—","Direction=H","UseDPDF=Y")</f>
        <v>1200</v>
      </c>
      <c r="L48" s="13" t="str">
        <f>_xll.BDH("AMGN US Equity","ARDR_CASH_PAID_FOR_INTEREST","FQ1 2021","FQ1 2021","Currency=USD","Period=FQ","BEST_FPERIOD_OVERRIDE=FQ","FILING_STATUS=MR","SCALING_FORMAT=MLN","Sort=A","Dates=H","DateFormat=P","Fill=—","Direction=H","UseDPDF=Y")</f>
        <v>—</v>
      </c>
      <c r="M48" s="13" t="str">
        <f>_xll.BDH("AMGN US Equity","ARDR_CASH_PAID_FOR_INTEREST","FQ2 2021","FQ2 2021","Currency=USD","Period=FQ","BEST_FPERIOD_OVERRIDE=FQ","FILING_STATUS=MR","SCALING_FORMAT=MLN","Sort=A","Dates=H","DateFormat=P","Fill=—","Direction=H","UseDPDF=Y")</f>
        <v>—</v>
      </c>
      <c r="N48" s="13" t="str">
        <f>_xll.BDH("AMGN US Equity","ARDR_CASH_PAID_FOR_INTEREST","FQ3 2021","FQ3 2021","Currency=USD","Period=FQ","BEST_FPERIOD_OVERRIDE=FQ","FILING_STATUS=MR","SCALING_FORMAT=MLN","Sort=A","Dates=H","DateFormat=P","Fill=—","Direction=H","UseDPDF=Y")</f>
        <v>—</v>
      </c>
      <c r="O48" s="13">
        <f>_xll.BDH("AMGN US Equity","ARDR_CASH_PAID_FOR_INTEREST","FQ4 2021","FQ4 2021","Currency=USD","Period=FQ","BEST_FPERIOD_OVERRIDE=FQ","FILING_STATUS=MR","SCALING_FORMAT=MLN","Sort=A","Dates=H","DateFormat=P","Fill=—","Direction=H","UseDPDF=Y")</f>
        <v>1200</v>
      </c>
      <c r="P48" s="13" t="str">
        <f>_xll.BDH("AMGN US Equity","ARDR_CASH_PAID_FOR_INTEREST","FQ1 2022","FQ1 2022","Currency=USD","Period=FQ","BEST_FPERIOD_OVERRIDE=FQ","FILING_STATUS=MR","SCALING_FORMAT=MLN","Sort=A","Dates=H","DateFormat=P","Fill=—","Direction=H","UseDPDF=Y")</f>
        <v>—</v>
      </c>
      <c r="Q48" s="13" t="str">
        <f>_xll.BDH("AMGN US Equity","ARDR_CASH_PAID_FOR_INTEREST","FQ2 2022","FQ2 2022","Currency=USD","Period=FQ","BEST_FPERIOD_OVERRIDE=FQ","FILING_STATUS=MR","SCALING_FORMAT=MLN","Sort=A","Dates=H","DateFormat=P","Fill=—","Direction=H","UseDPDF=Y")</f>
        <v>—</v>
      </c>
      <c r="R48" s="13" t="str">
        <f>_xll.BDH("AMGN US Equity","ARDR_CASH_PAID_FOR_INTEREST","FQ3 2022","FQ3 2022","Currency=USD","Period=FQ","BEST_FPERIOD_OVERRIDE=FQ","FILING_STATUS=MR","SCALING_FORMAT=MLN","Sort=A","Dates=H","DateFormat=P","Fill=—","Direction=H","UseDPDF=Y")</f>
        <v>—</v>
      </c>
      <c r="S48" s="13">
        <f>_xll.BDH("AMGN US Equity","ARDR_CASH_PAID_FOR_INTEREST","FQ4 2022","FQ4 2022","Currency=USD","Period=FQ","BEST_FPERIOD_OVERRIDE=FQ","FILING_STATUS=MR","SCALING_FORMAT=MLN","Sort=A","Dates=H","DateFormat=P","Fill=—","Direction=H","UseDPDF=Y")</f>
        <v>1200</v>
      </c>
      <c r="T48" s="13" t="str">
        <f>_xll.BDH("AMGN US Equity","ARDR_CASH_PAID_FOR_INTEREST","FQ1 2023","FQ1 2023","Currency=USD","Period=FQ","BEST_FPERIOD_OVERRIDE=FQ","FILING_STATUS=MR","SCALING_FORMAT=MLN","Sort=A","Dates=H","DateFormat=P","Fill=—","Direction=H","UseDPDF=Y")</f>
        <v>—</v>
      </c>
      <c r="U48" s="13" t="str">
        <f>_xll.BDH("AMGN US Equity","ARDR_CASH_PAID_FOR_INTEREST","FQ2 2023","FQ2 2023","Currency=USD","Period=FQ","BEST_FPERIOD_OVERRIDE=FQ","FILING_STATUS=MR","SCALING_FORMAT=MLN","Sort=A","Dates=H","DateFormat=P","Fill=—","Direction=H","UseDPDF=Y")</f>
        <v>—</v>
      </c>
      <c r="V48" s="13" t="str">
        <f>_xll.BDH("AMGN US Equity","ARDR_CASH_PAID_FOR_INTEREST","FQ3 2023","FQ3 2023","Currency=USD","Period=FQ","BEST_FPERIOD_OVERRIDE=FQ","FILING_STATUS=MR","SCALING_FORMAT=MLN","Sort=A","Dates=H","DateFormat=P","Fill=—","Direction=H","UseDPDF=Y")</f>
        <v>—</v>
      </c>
      <c r="W48" s="13">
        <f>_xll.BDH("AMGN US Equity","ARDR_CASH_PAID_FOR_INTEREST","FQ4 2023","FQ4 2023","Currency=USD","Period=FQ","BEST_FPERIOD_OVERRIDE=FQ","FILING_STATUS=MR","SCALING_FORMAT=MLN","Sort=A","Dates=H","DateFormat=P","Fill=—","Direction=H","UseDPDF=Y")</f>
        <v>2400</v>
      </c>
      <c r="X48" s="13" t="str">
        <f>_xll.BDH("AMGN US Equity","ARDR_CASH_PAID_FOR_INTEREST","FQ1 2024","FQ1 2024","Currency=USD","Period=FQ","BEST_FPERIOD_OVERRIDE=FQ","FILING_STATUS=MR","SCALING_FORMAT=MLN","Sort=A","Dates=H","DateFormat=P","Fill=—","Direction=H","UseDPDF=Y")</f>
        <v>—</v>
      </c>
      <c r="Y48" s="13" t="str">
        <f>_xll.BDH("AMGN US Equity","ARDR_CASH_PAID_FOR_INTEREST","FQ2 2024","FQ2 2024","Currency=USD","Period=FQ","BEST_FPERIOD_OVERRIDE=FQ","FILING_STATUS=MR","SCALING_FORMAT=MLN","Sort=A","Dates=H","DateFormat=P","Fill=—","Direction=H","UseDPDF=Y")</f>
        <v>—</v>
      </c>
      <c r="Z48" s="13" t="str">
        <f>_xll.BDH("AMGN US Equity","ARDR_CASH_PAID_FOR_INTEREST","FQ3 2024","FQ3 2024","Currency=USD","Period=FQ","BEST_FPERIOD_OVERRIDE=FQ","FILING_STATUS=MR","SCALING_FORMAT=MLN","Sort=A","Dates=H","DateFormat=P","Fill=—","Direction=H","UseDPDF=Y")</f>
        <v>—</v>
      </c>
      <c r="AA48" s="13">
        <f>_xll.BDH("AMGN US Equity","ARDR_CASH_PAID_FOR_INTEREST","FQ4 2024","FQ4 2024","Currency=USD","Period=FQ","BEST_FPERIOD_OVERRIDE=FQ","FILING_STATUS=MR","SCALING_FORMAT=MLN","Sort=A","Dates=H","DateFormat=P","Fill=—","Direction=H","UseDPDF=Y")</f>
        <v>3300</v>
      </c>
    </row>
    <row r="49" spans="1:27" x14ac:dyDescent="0.25">
      <c r="A49" s="10" t="s">
        <v>1433</v>
      </c>
      <c r="B49" s="10" t="s">
        <v>1434</v>
      </c>
      <c r="C49" s="13">
        <f>_xll.BDH("AMGN US Equity","ARDR_FCF","FQ4 2018","FQ4 2018","Currency=USD","Period=FQ","BEST_FPERIOD_OVERRIDE=FQ","FILING_STATUS=MR","SCALING_FORMAT=MLN","Sort=A","Dates=H","DateFormat=P","Fill=—","Direction=H","UseDPDF=Y")</f>
        <v>10558</v>
      </c>
      <c r="D49" s="13">
        <f>_xll.BDH("AMGN US Equity","ARDR_FCF","FQ1 2019","FQ1 2019","Currency=USD","Period=FQ","BEST_FPERIOD_OVERRIDE=FQ","FILING_STATUS=MR","SCALING_FORMAT=MLN","Sort=A","Dates=H","DateFormat=P","Fill=—","Direction=H","UseDPDF=Y")</f>
        <v>1729</v>
      </c>
      <c r="E49" s="13">
        <f>_xll.BDH("AMGN US Equity","ARDR_FCF","FQ2 2019","FQ2 2019","Currency=USD","Period=FQ","BEST_FPERIOD_OVERRIDE=FQ","FILING_STATUS=MR","SCALING_FORMAT=MLN","Sort=A","Dates=H","DateFormat=P","Fill=—","Direction=H","UseDPDF=Y")</f>
        <v>2999</v>
      </c>
      <c r="F49" s="13">
        <f>_xll.BDH("AMGN US Equity","ARDR_FCF","FQ3 2019","FQ3 2019","Currency=USD","Period=FQ","BEST_FPERIOD_OVERRIDE=FQ","FILING_STATUS=MR","SCALING_FORMAT=MLN","Sort=A","Dates=H","DateFormat=P","Fill=—","Direction=H","UseDPDF=Y")</f>
        <v>6206</v>
      </c>
      <c r="G49" s="13">
        <f>_xll.BDH("AMGN US Equity","ARDR_FCF","FQ4 2019","FQ4 2019","Currency=USD","Period=FQ","BEST_FPERIOD_OVERRIDE=FQ","FILING_STATUS=MR","SCALING_FORMAT=MLN","Sort=A","Dates=H","DateFormat=P","Fill=—","Direction=H","UseDPDF=Y")</f>
        <v>8532</v>
      </c>
      <c r="H49" s="13">
        <f>_xll.BDH("AMGN US Equity","ARDR_FCF","FQ1 2020","FQ1 2020","Currency=USD","Period=FQ","BEST_FPERIOD_OVERRIDE=FQ","FILING_STATUS=MR","SCALING_FORMAT=MLN","Sort=A","Dates=H","DateFormat=P","Fill=—","Direction=H","UseDPDF=Y")</f>
        <v>1992</v>
      </c>
      <c r="I49" s="13">
        <f>_xll.BDH("AMGN US Equity","ARDR_FCF","FQ2 2020","FQ2 2020","Currency=USD","Period=FQ","BEST_FPERIOD_OVERRIDE=FQ","FILING_STATUS=MR","SCALING_FORMAT=MLN","Sort=A","Dates=H","DateFormat=P","Fill=—","Direction=H","UseDPDF=Y")</f>
        <v>4676</v>
      </c>
      <c r="J49" s="13">
        <f>_xll.BDH("AMGN US Equity","ARDR_FCF","FQ3 2020","FQ3 2020","Currency=USD","Period=FQ","BEST_FPERIOD_OVERRIDE=FQ","FILING_STATUS=MR","SCALING_FORMAT=MLN","Sort=A","Dates=H","DateFormat=P","Fill=—","Direction=H","UseDPDF=Y")</f>
        <v>7909</v>
      </c>
      <c r="K49" s="13">
        <f>_xll.BDH("AMGN US Equity","ARDR_FCF","FQ4 2020","FQ4 2020","Currency=USD","Period=FQ","BEST_FPERIOD_OVERRIDE=FQ","FILING_STATUS=MR","SCALING_FORMAT=MLN","Sort=A","Dates=H","DateFormat=P","Fill=—","Direction=H","UseDPDF=Y")</f>
        <v>9889</v>
      </c>
      <c r="L49" s="13">
        <f>_xll.BDH("AMGN US Equity","ARDR_FCF","FQ1 2021","FQ1 2021","Currency=USD","Period=FQ","BEST_FPERIOD_OVERRIDE=FQ","FILING_STATUS=MR","SCALING_FORMAT=MLN","Sort=A","Dates=H","DateFormat=P","Fill=—","Direction=H","UseDPDF=Y")</f>
        <v>1938</v>
      </c>
      <c r="M49" s="13">
        <f>_xll.BDH("AMGN US Equity","ARDR_FCF","FQ2 2021","FQ2 2021","Currency=USD","Period=FQ","BEST_FPERIOD_OVERRIDE=FQ","FILING_STATUS=MR","SCALING_FORMAT=MLN","Sort=A","Dates=H","DateFormat=P","Fill=—","Direction=H","UseDPDF=Y")</f>
        <v>3684</v>
      </c>
      <c r="N49" s="13">
        <f>_xll.BDH("AMGN US Equity","ARDR_FCF","FQ3 2021","FQ3 2021","Currency=USD","Period=FQ","BEST_FPERIOD_OVERRIDE=FQ","FILING_STATUS=MR","SCALING_FORMAT=MLN","Sort=A","Dates=H","DateFormat=P","Fill=—","Direction=H","UseDPDF=Y")</f>
        <v>5860</v>
      </c>
      <c r="O49" s="13">
        <f>_xll.BDH("AMGN US Equity","ARDR_FCF","FQ4 2021","FQ4 2021","Currency=USD","Period=FQ","BEST_FPERIOD_OVERRIDE=FQ","FILING_STATUS=MR","SCALING_FORMAT=MLN","Sort=A","Dates=H","DateFormat=P","Fill=—","Direction=H","UseDPDF=Y")</f>
        <v>8381</v>
      </c>
      <c r="P49" s="13">
        <f>_xll.BDH("AMGN US Equity","ARDR_FCF","FQ1 2022","FQ1 2022","Currency=USD","Period=FQ","BEST_FPERIOD_OVERRIDE=FQ","FILING_STATUS=MR","SCALING_FORMAT=MLN","Sort=A","Dates=H","DateFormat=P","Fill=—","Direction=H","UseDPDF=Y")</f>
        <v>1974</v>
      </c>
      <c r="Q49" s="13">
        <f>_xll.BDH("AMGN US Equity","ARDR_FCF","FQ2 2022","FQ2 2022","Currency=USD","Period=FQ","BEST_FPERIOD_OVERRIDE=FQ","FILING_STATUS=MR","SCALING_FORMAT=MLN","Sort=A","Dates=H","DateFormat=P","Fill=—","Direction=H","UseDPDF=Y")</f>
        <v>1684</v>
      </c>
      <c r="R49" s="13">
        <f>_xll.BDH("AMGN US Equity","ARDR_FCF","FQ3 2022","FQ3 2022","Currency=USD","Period=FQ","BEST_FPERIOD_OVERRIDE=FQ","FILING_STATUS=MR","SCALING_FORMAT=MLN","Sort=A","Dates=H","DateFormat=P","Fill=—","Direction=H","UseDPDF=Y")</f>
        <v>2818</v>
      </c>
      <c r="S49" s="13">
        <f>_xll.BDH("AMGN US Equity","ARDR_FCF","FQ4 2022","FQ4 2022","Currency=USD","Period=FQ","BEST_FPERIOD_OVERRIDE=FQ","FILING_STATUS=MR","SCALING_FORMAT=MLN","Sort=A","Dates=H","DateFormat=P","Fill=—","Direction=H","UseDPDF=Y")</f>
        <v>8785</v>
      </c>
      <c r="T49" s="13">
        <f>_xll.BDH("AMGN US Equity","ARDR_FCF","FQ1 2023","FQ1 2023","Currency=USD","Period=FQ","BEST_FPERIOD_OVERRIDE=FQ","FILING_STATUS=MR","SCALING_FORMAT=MLN","Sort=A","Dates=H","DateFormat=P","Fill=—","Direction=H","UseDPDF=Y")</f>
        <v>720</v>
      </c>
      <c r="U49" s="13">
        <f>_xll.BDH("AMGN US Equity","ARDR_FCF","FQ2 2023","FQ2 2023","Currency=USD","Period=FQ","BEST_FPERIOD_OVERRIDE=FQ","FILING_STATUS=MR","SCALING_FORMAT=MLN","Sort=A","Dates=H","DateFormat=P","Fill=—","Direction=H","UseDPDF=Y")</f>
        <v>4558</v>
      </c>
      <c r="V49" s="13">
        <f>_xll.BDH("AMGN US Equity","ARDR_FCF","FQ3 2023","FQ3 2023","Currency=USD","Period=FQ","BEST_FPERIOD_OVERRIDE=FQ","FILING_STATUS=MR","SCALING_FORMAT=MLN","Sort=A","Dates=H","DateFormat=P","Fill=—","Direction=H","UseDPDF=Y")</f>
        <v>7070</v>
      </c>
      <c r="W49" s="13">
        <f>_xll.BDH("AMGN US Equity","ARDR_FCF","FQ4 2023","FQ4 2023","Currency=USD","Period=FQ","BEST_FPERIOD_OVERRIDE=FQ","FILING_STATUS=MR","SCALING_FORMAT=MLN","Sort=A","Dates=H","DateFormat=P","Fill=—","Direction=H","UseDPDF=Y")</f>
        <v>7359</v>
      </c>
      <c r="X49" s="13">
        <f>_xll.BDH("AMGN US Equity","ARDR_FCF","FQ1 2024","FQ1 2024","Currency=USD","Period=FQ","BEST_FPERIOD_OVERRIDE=FQ","FILING_STATUS=MR","SCALING_FORMAT=MLN","Sort=A","Dates=H","DateFormat=P","Fill=—","Direction=H","UseDPDF=Y")</f>
        <v>459</v>
      </c>
      <c r="Y49" s="13">
        <f>_xll.BDH("AMGN US Equity","ARDR_FCF","FQ2 2024","FQ2 2024","Currency=USD","Period=FQ","BEST_FPERIOD_OVERRIDE=FQ","FILING_STATUS=MR","SCALING_FORMAT=MLN","Sort=A","Dates=H","DateFormat=P","Fill=—","Direction=H","UseDPDF=Y")</f>
        <v>2221</v>
      </c>
      <c r="Z49" s="13">
        <f>_xll.BDH("AMGN US Equity","ARDR_FCF","FQ3 2024","FQ3 2024","Currency=USD","Period=FQ","BEST_FPERIOD_OVERRIDE=FQ","FILING_STATUS=MR","SCALING_FORMAT=MLN","Sort=A","Dates=H","DateFormat=P","Fill=—","Direction=H","UseDPDF=Y")</f>
        <v>5994</v>
      </c>
      <c r="AA49" s="13">
        <f>_xll.BDH("AMGN US Equity","ARDR_FCF","FQ4 2024","FQ4 2024","Currency=USD","Period=FQ","BEST_FPERIOD_OVERRIDE=FQ","FILING_STATUS=MR","SCALING_FORMAT=MLN","Sort=A","Dates=H","DateFormat=P","Fill=—","Direction=H","UseDPDF=Y")</f>
        <v>10394</v>
      </c>
    </row>
    <row r="50" spans="1:27" x14ac:dyDescent="0.25">
      <c r="A50" s="7" t="s">
        <v>90</v>
      </c>
      <c r="B50" s="7"/>
      <c r="C50" s="7" t="s">
        <v>5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26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1435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1436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1437</v>
      </c>
      <c r="B7" s="10" t="s">
        <v>1438</v>
      </c>
      <c r="C7" s="14">
        <f>_xll.BDH("AMGN US Equity","RETURN_COM_EQY","FQ4 2018","FQ4 2018","Currency=USD","Period=FQ","BEST_FPERIOD_OVERRIDE=FQ","FILING_STATUS=MR","FA_ADJUSTED=GAAP","Sort=A","Dates=H","DateFormat=P","Fill=—","Direction=H","UseDPDF=Y")</f>
        <v>44.482100000000003</v>
      </c>
      <c r="D7" s="14">
        <f>_xll.BDH("AMGN US Equity","RETURN_COM_EQY","FQ1 2019","FQ1 2019","Currency=USD","Period=FQ","BEST_FPERIOD_OVERRIDE=FQ","FILING_STATUS=MR","FA_ADJUSTED=GAAP","Sort=A","Dates=H","DateFormat=P","Fill=—","Direction=H","UseDPDF=Y")</f>
        <v>61.054000000000002</v>
      </c>
      <c r="E7" s="14">
        <f>_xll.BDH("AMGN US Equity","RETURN_COM_EQY","FQ2 2019","FQ2 2019","Currency=USD","Period=FQ","BEST_FPERIOD_OVERRIDE=FQ","FILING_STATUS=MR","FA_ADJUSTED=GAAP","Sort=A","Dates=H","DateFormat=P","Fill=—","Direction=H","UseDPDF=Y")</f>
        <v>61.922699999999999</v>
      </c>
      <c r="F7" s="14">
        <f>_xll.BDH("AMGN US Equity","RETURN_COM_EQY","FQ3 2019","FQ3 2019","Currency=USD","Period=FQ","BEST_FPERIOD_OVERRIDE=FQ","FILING_STATUS=MR","FA_ADJUSTED=GAAP","Sort=A","Dates=H","DateFormat=P","Fill=—","Direction=H","UseDPDF=Y")</f>
        <v>63.831299999999999</v>
      </c>
      <c r="G7" s="14">
        <f>_xll.BDH("AMGN US Equity","RETURN_COM_EQY","FQ4 2019","FQ4 2019","Currency=USD","Period=FQ","BEST_FPERIOD_OVERRIDE=FQ","FILING_STATUS=MR","FA_ADJUSTED=GAAP","Sort=A","Dates=H","DateFormat=P","Fill=—","Direction=H","UseDPDF=Y")</f>
        <v>70.734700000000004</v>
      </c>
      <c r="H7" s="14">
        <f>_xll.BDH("AMGN US Equity","RETURN_COM_EQY","FQ1 2020","FQ1 2020","Currency=USD","Period=FQ","BEST_FPERIOD_OVERRIDE=FQ","FILING_STATUS=MR","FA_ADJUSTED=GAAP","Sort=A","Dates=H","DateFormat=P","Fill=—","Direction=H","UseDPDF=Y")</f>
        <v>75.552499999999995</v>
      </c>
      <c r="I7" s="14">
        <f>_xll.BDH("AMGN US Equity","RETURN_COM_EQY","FQ2 2020","FQ2 2020","Currency=USD","Period=FQ","BEST_FPERIOD_OVERRIDE=FQ","FILING_STATUS=MR","FA_ADJUSTED=GAAP","Sort=A","Dates=H","DateFormat=P","Fill=—","Direction=H","UseDPDF=Y")</f>
        <v>68.046400000000006</v>
      </c>
      <c r="J7" s="14">
        <f>_xll.BDH("AMGN US Equity","RETURN_COM_EQY","FQ3 2020","FQ3 2020","Currency=USD","Period=FQ","BEST_FPERIOD_OVERRIDE=FQ","FILING_STATUS=MR","FA_ADJUSTED=GAAP","Sort=A","Dates=H","DateFormat=P","Fill=—","Direction=H","UseDPDF=Y")</f>
        <v>67.1845</v>
      </c>
      <c r="K7" s="14">
        <f>_xll.BDH("AMGN US Equity","RETURN_COM_EQY","FQ4 2020","FQ4 2020","Currency=USD","Period=FQ","BEST_FPERIOD_OVERRIDE=FQ","FILING_STATUS=MR","FA_ADJUSTED=GAAP","Sort=A","Dates=H","DateFormat=P","Fill=—","Direction=H","UseDPDF=Y")</f>
        <v>76.134600000000006</v>
      </c>
      <c r="L7" s="14">
        <f>_xll.BDH("AMGN US Equity","RETURN_COM_EQY","FQ1 2021","FQ1 2021","Currency=USD","Period=FQ","BEST_FPERIOD_OVERRIDE=FQ","FILING_STATUS=MR","FA_ADJUSTED=GAAP","Sort=A","Dates=H","DateFormat=P","Fill=—","Direction=H","UseDPDF=Y")</f>
        <v>75.296199999999999</v>
      </c>
      <c r="M7" s="14">
        <f>_xll.BDH("AMGN US Equity","RETURN_COM_EQY","FQ2 2021","FQ2 2021","Currency=USD","Period=FQ","BEST_FPERIOD_OVERRIDE=FQ","FILING_STATUS=MR","FA_ADJUSTED=GAAP","Sort=A","Dates=H","DateFormat=P","Fill=—","Direction=H","UseDPDF=Y")</f>
        <v>60.7849</v>
      </c>
      <c r="N7" s="14">
        <f>_xll.BDH("AMGN US Equity","RETURN_COM_EQY","FQ3 2021","FQ3 2021","Currency=USD","Period=FQ","BEST_FPERIOD_OVERRIDE=FQ","FILING_STATUS=MR","FA_ADJUSTED=GAAP","Sort=A","Dates=H","DateFormat=P","Fill=—","Direction=H","UseDPDF=Y")</f>
        <v>58.5002</v>
      </c>
      <c r="O7" s="14">
        <f>_xll.BDH("AMGN US Equity","RETURN_COM_EQY","FQ4 2021","FQ4 2021","Currency=USD","Period=FQ","BEST_FPERIOD_OVERRIDE=FQ","FILING_STATUS=MR","FA_ADJUSTED=GAAP","Sort=A","Dates=H","DateFormat=P","Fill=—","Direction=H","UseDPDF=Y")</f>
        <v>73.164100000000005</v>
      </c>
      <c r="P7" s="14">
        <f>_xll.BDH("AMGN US Equity","RETURN_COM_EQY","FQ1 2022","FQ1 2022","Currency=USD","Period=FQ","BEST_FPERIOD_OVERRIDE=FQ","FILING_STATUS=MR","FA_ADJUSTED=GAAP","Sort=A","Dates=H","DateFormat=P","Fill=—","Direction=H","UseDPDF=Y")</f>
        <v>111.6683</v>
      </c>
      <c r="Q7" s="14">
        <f>_xll.BDH("AMGN US Equity","RETURN_COM_EQY","FQ2 2022","FQ2 2022","Currency=USD","Period=FQ","BEST_FPERIOD_OVERRIDE=FQ","FILING_STATUS=MR","FA_ADJUSTED=GAAP","Sort=A","Dates=H","DateFormat=P","Fill=—","Direction=H","UseDPDF=Y")</f>
        <v>123.3077</v>
      </c>
      <c r="R7" s="14">
        <f>_xll.BDH("AMGN US Equity","RETURN_COM_EQY","FQ3 2022","FQ3 2022","Currency=USD","Period=FQ","BEST_FPERIOD_OVERRIDE=FQ","FILING_STATUS=MR","FA_ADJUSTED=GAAP","Sort=A","Dates=H","DateFormat=P","Fill=—","Direction=H","UseDPDF=Y")</f>
        <v>115.1643</v>
      </c>
      <c r="S7" s="14">
        <f>_xll.BDH("AMGN US Equity","RETURN_COM_EQY","FQ4 2022","FQ4 2022","Currency=USD","Period=FQ","BEST_FPERIOD_OVERRIDE=FQ","FILING_STATUS=MR","FA_ADJUSTED=GAAP","Sort=A","Dates=H","DateFormat=P","Fill=—","Direction=H","UseDPDF=Y")</f>
        <v>126.4743</v>
      </c>
      <c r="T7" s="14">
        <f>_xll.BDH("AMGN US Equity","RETURN_COM_EQY","FQ1 2023","FQ1 2023","Currency=USD","Period=FQ","BEST_FPERIOD_OVERRIDE=FQ","FILING_STATUS=MR","FA_ADJUSTED=GAAP","Sort=A","Dates=H","DateFormat=P","Fill=—","Direction=H","UseDPDF=Y")</f>
        <v>252.77780000000001</v>
      </c>
      <c r="U7" s="14">
        <f>_xll.BDH("AMGN US Equity","RETURN_COM_EQY","FQ2 2023","FQ2 2023","Currency=USD","Period=FQ","BEST_FPERIOD_OVERRIDE=FQ","FILING_STATUS=MR","FA_ADJUSTED=GAAP","Sort=A","Dates=H","DateFormat=P","Fill=—","Direction=H","UseDPDF=Y")</f>
        <v>173.45650000000001</v>
      </c>
      <c r="V7" s="14">
        <f>_xll.BDH("AMGN US Equity","RETURN_COM_EQY","FQ3 2023","FQ3 2023","Currency=USD","Period=FQ","BEST_FPERIOD_OVERRIDE=FQ","FILING_STATUS=MR","FA_ADJUSTED=GAAP","Sort=A","Dates=H","DateFormat=P","Fill=—","Direction=H","UseDPDF=Y")</f>
        <v>133.8049</v>
      </c>
      <c r="W7" s="14">
        <f>_xll.BDH("AMGN US Equity","RETURN_COM_EQY","FQ4 2023","FQ4 2023","Currency=USD","Period=FQ","BEST_FPERIOD_OVERRIDE=FQ","FILING_STATUS=MR","FA_ADJUSTED=GAAP","Sort=A","Dates=H","DateFormat=P","Fill=—","Direction=H","UseDPDF=Y")</f>
        <v>135.79300000000001</v>
      </c>
      <c r="X7" s="14">
        <f>_xll.BDH("AMGN US Equity","RETURN_COM_EQY","FQ1 2024","FQ1 2024","Currency=USD","Period=FQ","BEST_FPERIOD_OVERRIDE=FQ","FILING_STATUS=MR","FA_ADJUSTED=GAAP","Sort=A","Dates=H","DateFormat=P","Fill=—","Direction=H","UseDPDF=Y")</f>
        <v>72.574700000000007</v>
      </c>
      <c r="Y7" s="14">
        <f>_xll.BDH("AMGN US Equity","RETURN_COM_EQY","FQ2 2024","FQ2 2024","Currency=USD","Period=FQ","BEST_FPERIOD_OVERRIDE=FQ","FILING_STATUS=MR","FA_ADJUSTED=GAAP","Sort=A","Dates=H","DateFormat=P","Fill=—","Direction=H","UseDPDF=Y")</f>
        <v>49.268099999999997</v>
      </c>
      <c r="Z7" s="14">
        <f>_xll.BDH("AMGN US Equity","RETURN_COM_EQY","FQ3 2024","FQ3 2024","Currency=USD","Period=FQ","BEST_FPERIOD_OVERRIDE=FQ","FILING_STATUS=MR","FA_ADJUSTED=GAAP","Sort=A","Dates=H","DateFormat=P","Fill=—","Direction=H","UseDPDF=Y")</f>
        <v>55.720199999999998</v>
      </c>
      <c r="AA7" s="14">
        <f>_xll.BDH("AMGN US Equity","RETURN_COM_EQY","FQ4 2024","FQ4 2024","Currency=USD","Period=FQ","BEST_FPERIOD_OVERRIDE=FQ","FILING_STATUS=MR","FA_ADJUSTED=GAAP","Sort=A","Dates=H","DateFormat=P","Fill=—","Direction=H","UseDPDF=Y")</f>
        <v>67.553100000000001</v>
      </c>
    </row>
    <row r="8" spans="1:27" x14ac:dyDescent="0.25">
      <c r="A8" s="10" t="s">
        <v>1439</v>
      </c>
      <c r="B8" s="10" t="s">
        <v>1440</v>
      </c>
      <c r="C8" s="14">
        <f>_xll.BDH("AMGN US Equity","RETURN_ON_ASSET","FQ4 2018","FQ4 2018","Currency=USD","Period=FQ","BEST_FPERIOD_OVERRIDE=FQ","FILING_STATUS=MR","FA_ADJUSTED=GAAP","Sort=A","Dates=H","DateFormat=P","Fill=—","Direction=H","UseDPDF=Y")</f>
        <v>11.4696</v>
      </c>
      <c r="D8" s="14">
        <f>_xll.BDH("AMGN US Equity","RETURN_ON_ASSET","FQ1 2019","FQ1 2019","Currency=USD","Period=FQ","BEST_FPERIOD_OVERRIDE=FQ","FILING_STATUS=MR","FA_ADJUSTED=GAAP","Sort=A","Dates=H","DateFormat=P","Fill=—","Direction=H","UseDPDF=Y")</f>
        <v>11.948700000000001</v>
      </c>
      <c r="E8" s="14">
        <f>_xll.BDH("AMGN US Equity","RETURN_ON_ASSET","FQ2 2019","FQ2 2019","Currency=USD","Period=FQ","BEST_FPERIOD_OVERRIDE=FQ","FILING_STATUS=MR","FA_ADJUSTED=GAAP","Sort=A","Dates=H","DateFormat=P","Fill=—","Direction=H","UseDPDF=Y")</f>
        <v>12.5267</v>
      </c>
      <c r="F8" s="14">
        <f>_xll.BDH("AMGN US Equity","RETURN_ON_ASSET","FQ3 2019","FQ3 2019","Currency=USD","Period=FQ","BEST_FPERIOD_OVERRIDE=FQ","FILING_STATUS=MR","FA_ADJUSTED=GAAP","Sort=A","Dates=H","DateFormat=P","Fill=—","Direction=H","UseDPDF=Y")</f>
        <v>12.7172</v>
      </c>
      <c r="G8" s="14">
        <f>_xll.BDH("AMGN US Equity","RETURN_ON_ASSET","FQ4 2019","FQ4 2019","Currency=USD","Period=FQ","BEST_FPERIOD_OVERRIDE=FQ","FILING_STATUS=MR","FA_ADJUSTED=GAAP","Sort=A","Dates=H","DateFormat=P","Fill=—","Direction=H","UseDPDF=Y")</f>
        <v>12.435499999999999</v>
      </c>
      <c r="H8" s="14">
        <f>_xll.BDH("AMGN US Equity","RETURN_ON_ASSET","FQ1 2020","FQ1 2020","Currency=USD","Period=FQ","BEST_FPERIOD_OVERRIDE=FQ","FILING_STATUS=MR","FA_ADJUSTED=GAAP","Sort=A","Dates=H","DateFormat=P","Fill=—","Direction=H","UseDPDF=Y")</f>
        <v>12.2149</v>
      </c>
      <c r="I8" s="14">
        <f>_xll.BDH("AMGN US Equity","RETURN_ON_ASSET","FQ2 2020","FQ2 2020","Currency=USD","Period=FQ","BEST_FPERIOD_OVERRIDE=FQ","FILING_STATUS=MR","FA_ADJUSTED=GAAP","Sort=A","Dates=H","DateFormat=P","Fill=—","Direction=H","UseDPDF=Y")</f>
        <v>11.7362</v>
      </c>
      <c r="J8" s="14">
        <f>_xll.BDH("AMGN US Equity","RETURN_ON_ASSET","FQ3 2020","FQ3 2020","Currency=USD","Period=FQ","BEST_FPERIOD_OVERRIDE=FQ","FILING_STATUS=MR","FA_ADJUSTED=GAAP","Sort=A","Dates=H","DateFormat=P","Fill=—","Direction=H","UseDPDF=Y")</f>
        <v>11.8416</v>
      </c>
      <c r="K8" s="14">
        <f>_xll.BDH("AMGN US Equity","RETURN_ON_ASSET","FQ4 2020","FQ4 2020","Currency=USD","Period=FQ","BEST_FPERIOD_OVERRIDE=FQ","FILING_STATUS=MR","FA_ADJUSTED=GAAP","Sort=A","Dates=H","DateFormat=P","Fill=—","Direction=H","UseDPDF=Y")</f>
        <v>11.8446</v>
      </c>
      <c r="L8" s="14">
        <f>_xll.BDH("AMGN US Equity","RETURN_ON_ASSET","FQ1 2021","FQ1 2021","Currency=USD","Period=FQ","BEST_FPERIOD_OVERRIDE=FQ","FILING_STATUS=MR","FA_ADJUSTED=GAAP","Sort=A","Dates=H","DateFormat=P","Fill=—","Direction=H","UseDPDF=Y")</f>
        <v>11.408300000000001</v>
      </c>
      <c r="M8" s="14">
        <f>_xll.BDH("AMGN US Equity","RETURN_ON_ASSET","FQ2 2021","FQ2 2021","Currency=USD","Period=FQ","BEST_FPERIOD_OVERRIDE=FQ","FILING_STATUS=MR","FA_ADJUSTED=GAAP","Sort=A","Dates=H","DateFormat=P","Fill=—","Direction=H","UseDPDF=Y")</f>
        <v>9.2095000000000002</v>
      </c>
      <c r="N8" s="14">
        <f>_xll.BDH("AMGN US Equity","RETURN_ON_ASSET","FQ3 2021","FQ3 2021","Currency=USD","Period=FQ","BEST_FPERIOD_OVERRIDE=FQ","FILING_STATUS=MR","FA_ADJUSTED=GAAP","Sort=A","Dates=H","DateFormat=P","Fill=—","Direction=H","UseDPDF=Y")</f>
        <v>8.6539000000000001</v>
      </c>
      <c r="O8" s="14">
        <f>_xll.BDH("AMGN US Equity","RETURN_ON_ASSET","FQ4 2021","FQ4 2021","Currency=USD","Period=FQ","BEST_FPERIOD_OVERRIDE=FQ","FILING_STATUS=MR","FA_ADJUSTED=GAAP","Sort=A","Dates=H","DateFormat=P","Fill=—","Direction=H","UseDPDF=Y")</f>
        <v>9.4962</v>
      </c>
      <c r="P8" s="14">
        <f>_xll.BDH("AMGN US Equity","RETURN_ON_ASSET","FQ1 2022","FQ1 2022","Currency=USD","Period=FQ","BEST_FPERIOD_OVERRIDE=FQ","FILING_STATUS=MR","FA_ADJUSTED=GAAP","Sort=A","Dates=H","DateFormat=P","Fill=—","Direction=H","UseDPDF=Y")</f>
        <v>9.4024000000000001</v>
      </c>
      <c r="Q8" s="14">
        <f>_xll.BDH("AMGN US Equity","RETURN_ON_ASSET","FQ2 2022","FQ2 2022","Currency=USD","Period=FQ","BEST_FPERIOD_OVERRIDE=FQ","FILING_STATUS=MR","FA_ADJUSTED=GAAP","Sort=A","Dates=H","DateFormat=P","Fill=—","Direction=H","UseDPDF=Y")</f>
        <v>11.0459</v>
      </c>
      <c r="R8" s="14">
        <f>_xll.BDH("AMGN US Equity","RETURN_ON_ASSET","FQ3 2022","FQ3 2022","Currency=USD","Period=FQ","BEST_FPERIOD_OVERRIDE=FQ","FILING_STATUS=MR","FA_ADJUSTED=GAAP","Sort=A","Dates=H","DateFormat=P","Fill=—","Direction=H","UseDPDF=Y")</f>
        <v>10.622199999999999</v>
      </c>
      <c r="S8" s="14">
        <f>_xll.BDH("AMGN US Equity","RETURN_ON_ASSET","FQ4 2022","FQ4 2022","Currency=USD","Period=FQ","BEST_FPERIOD_OVERRIDE=FQ","FILING_STATUS=MR","FA_ADJUSTED=GAAP","Sort=A","Dates=H","DateFormat=P","Fill=—","Direction=H","UseDPDF=Y")</f>
        <v>10.3764</v>
      </c>
      <c r="T8" s="14">
        <f>_xll.BDH("AMGN US Equity","RETURN_ON_ASSET","FQ1 2023","FQ1 2023","Currency=USD","Period=FQ","BEST_FPERIOD_OVERRIDE=FQ","FILING_STATUS=MR","FA_ADJUSTED=GAAP","Sort=A","Dates=H","DateFormat=P","Fill=—","Direction=H","UseDPDF=Y")</f>
        <v>10.704700000000001</v>
      </c>
      <c r="U8" s="14">
        <f>_xll.BDH("AMGN US Equity","RETURN_ON_ASSET","FQ2 2023","FQ2 2023","Currency=USD","Period=FQ","BEST_FPERIOD_OVERRIDE=FQ","FILING_STATUS=MR","FA_ADJUSTED=GAAP","Sort=A","Dates=H","DateFormat=P","Fill=—","Direction=H","UseDPDF=Y")</f>
        <v>10.6698</v>
      </c>
      <c r="V8" s="14">
        <f>_xll.BDH("AMGN US Equity","RETURN_ON_ASSET","FQ3 2023","FQ3 2023","Currency=USD","Period=FQ","BEST_FPERIOD_OVERRIDE=FQ","FILING_STATUS=MR","FA_ADJUSTED=GAAP","Sort=A","Dates=H","DateFormat=P","Fill=—","Direction=H","UseDPDF=Y")</f>
        <v>9.8110999999999997</v>
      </c>
      <c r="W8" s="14">
        <f>_xll.BDH("AMGN US Equity","RETURN_ON_ASSET","FQ4 2023","FQ4 2023","Currency=USD","Period=FQ","BEST_FPERIOD_OVERRIDE=FQ","FILING_STATUS=MR","FA_ADJUSTED=GAAP","Sort=A","Dates=H","DateFormat=P","Fill=—","Direction=H","UseDPDF=Y")</f>
        <v>8.2784999999999993</v>
      </c>
      <c r="X8" s="14">
        <f>_xll.BDH("AMGN US Equity","RETURN_ON_ASSET","FQ1 2024","FQ1 2024","Currency=USD","Period=FQ","BEST_FPERIOD_OVERRIDE=FQ","FILING_STATUS=MR","FA_ADJUSTED=GAAP","Sort=A","Dates=H","DateFormat=P","Fill=—","Direction=H","UseDPDF=Y")</f>
        <v>4.1420000000000003</v>
      </c>
      <c r="Y8" s="14">
        <f>_xll.BDH("AMGN US Equity","RETURN_ON_ASSET","FQ2 2024","FQ2 2024","Currency=USD","Period=FQ","BEST_FPERIOD_OVERRIDE=FQ","FILING_STATUS=MR","FA_ADJUSTED=GAAP","Sort=A","Dates=H","DateFormat=P","Fill=—","Direction=H","UseDPDF=Y")</f>
        <v>3.4552</v>
      </c>
      <c r="Z8" s="14">
        <f>_xll.BDH("AMGN US Equity","RETURN_ON_ASSET","FQ3 2024","FQ3 2024","Currency=USD","Period=FQ","BEST_FPERIOD_OVERRIDE=FQ","FILING_STATUS=MR","FA_ADJUSTED=GAAP","Sort=A","Dates=H","DateFormat=P","Fill=—","Direction=H","UseDPDF=Y")</f>
        <v>4.6632999999999996</v>
      </c>
      <c r="AA8" s="14">
        <f>_xll.BDH("AMGN US Equity","RETURN_ON_ASSET","FQ4 2024","FQ4 2024","Currency=USD","Period=FQ","BEST_FPERIOD_OVERRIDE=FQ","FILING_STATUS=MR","FA_ADJUSTED=GAAP","Sort=A","Dates=H","DateFormat=P","Fill=—","Direction=H","UseDPDF=Y")</f>
        <v>4.3281999999999998</v>
      </c>
    </row>
    <row r="9" spans="1:27" x14ac:dyDescent="0.25">
      <c r="A9" s="10" t="s">
        <v>1441</v>
      </c>
      <c r="B9" s="10" t="s">
        <v>1442</v>
      </c>
      <c r="C9" s="14">
        <f>_xll.BDH("AMGN US Equity","RETURN_ON_CAP","FQ4 2018","FQ4 2018","Currency=USD","Period=FQ","BEST_FPERIOD_OVERRIDE=FQ","FILING_STATUS=MR","FA_ADJUSTED=GAAP","Sort=A","Dates=H","DateFormat=P","Fill=—","Direction=H","UseDPDF=Y")</f>
        <v>17.9758</v>
      </c>
      <c r="D9" s="14">
        <f>_xll.BDH("AMGN US Equity","RETURN_ON_CAP","FQ1 2019","FQ1 2019","Currency=USD","Period=FQ","BEST_FPERIOD_OVERRIDE=FQ","FILING_STATUS=MR","FA_ADJUSTED=GAAP","Sort=A","Dates=H","DateFormat=P","Fill=—","Direction=H","UseDPDF=Y")</f>
        <v>19.466799999999999</v>
      </c>
      <c r="E9" s="14">
        <f>_xll.BDH("AMGN US Equity","RETURN_ON_CAP","FQ2 2019","FQ2 2019","Currency=USD","Period=FQ","BEST_FPERIOD_OVERRIDE=FQ","FILING_STATUS=MR","FA_ADJUSTED=GAAP","Sort=A","Dates=H","DateFormat=P","Fill=—","Direction=H","UseDPDF=Y")</f>
        <v>20.061199999999999</v>
      </c>
      <c r="F9" s="14">
        <f>_xll.BDH("AMGN US Equity","RETURN_ON_CAP","FQ3 2019","FQ3 2019","Currency=USD","Period=FQ","BEST_FPERIOD_OVERRIDE=FQ","FILING_STATUS=MR","FA_ADJUSTED=GAAP","Sort=A","Dates=H","DateFormat=P","Fill=—","Direction=H","UseDPDF=Y")</f>
        <v>20.5031</v>
      </c>
      <c r="G9" s="14">
        <f>_xll.BDH("AMGN US Equity","RETURN_ON_CAP","FQ4 2019","FQ4 2019","Currency=USD","Period=FQ","BEST_FPERIOD_OVERRIDE=FQ","FILING_STATUS=MR","FA_ADJUSTED=GAAP","Sort=A","Dates=H","DateFormat=P","Fill=—","Direction=H","UseDPDF=Y")</f>
        <v>20.6816</v>
      </c>
      <c r="H9" s="14">
        <f>_xll.BDH("AMGN US Equity","RETURN_ON_CAP","FQ1 2020","FQ1 2020","Currency=USD","Period=FQ","BEST_FPERIOD_OVERRIDE=FQ","FILING_STATUS=MR","FA_ADJUSTED=GAAP","Sort=A","Dates=H","DateFormat=P","Fill=—","Direction=H","UseDPDF=Y")</f>
        <v>20.5335</v>
      </c>
      <c r="I9" s="14">
        <f>_xll.BDH("AMGN US Equity","RETURN_ON_CAP","FQ2 2020","FQ2 2020","Currency=USD","Period=FQ","BEST_FPERIOD_OVERRIDE=FQ","FILING_STATUS=MR","FA_ADJUSTED=GAAP","Sort=A","Dates=H","DateFormat=P","Fill=—","Direction=H","UseDPDF=Y")</f>
        <v>19.3626</v>
      </c>
      <c r="J9" s="14">
        <f>_xll.BDH("AMGN US Equity","RETURN_ON_CAP","FQ3 2020","FQ3 2020","Currency=USD","Period=FQ","BEST_FPERIOD_OVERRIDE=FQ","FILING_STATUS=MR","FA_ADJUSTED=GAAP","Sort=A","Dates=H","DateFormat=P","Fill=—","Direction=H","UseDPDF=Y")</f>
        <v>19.578900000000001</v>
      </c>
      <c r="K9" s="14">
        <f>_xll.BDH("AMGN US Equity","RETURN_ON_CAP","FQ4 2020","FQ4 2020","Currency=USD","Period=FQ","BEST_FPERIOD_OVERRIDE=FQ","FILING_STATUS=MR","FA_ADJUSTED=GAAP","Sort=A","Dates=H","DateFormat=P","Fill=—","Direction=H","UseDPDF=Y")</f>
        <v>20.229900000000001</v>
      </c>
      <c r="L9" s="14">
        <f>_xll.BDH("AMGN US Equity","RETURN_ON_CAP","FQ1 2021","FQ1 2021","Currency=USD","Period=FQ","BEST_FPERIOD_OVERRIDE=FQ","FILING_STATUS=MR","FA_ADJUSTED=GAAP","Sort=A","Dates=H","DateFormat=P","Fill=—","Direction=H","UseDPDF=Y")</f>
        <v>19.562000000000001</v>
      </c>
      <c r="M9" s="14">
        <f>_xll.BDH("AMGN US Equity","RETURN_ON_CAP","FQ2 2021","FQ2 2021","Currency=USD","Period=FQ","BEST_FPERIOD_OVERRIDE=FQ","FILING_STATUS=MR","FA_ADJUSTED=GAAP","Sort=A","Dates=H","DateFormat=P","Fill=—","Direction=H","UseDPDF=Y")</f>
        <v>15.8179</v>
      </c>
      <c r="N9" s="14">
        <f>_xll.BDH("AMGN US Equity","RETURN_ON_CAP","FQ3 2021","FQ3 2021","Currency=USD","Period=FQ","BEST_FPERIOD_OVERRIDE=FQ","FILING_STATUS=MR","FA_ADJUSTED=GAAP","Sort=A","Dates=H","DateFormat=P","Fill=—","Direction=H","UseDPDF=Y")</f>
        <v>14.5771</v>
      </c>
      <c r="O9" s="14">
        <f>_xll.BDH("AMGN US Equity","RETURN_ON_CAP","FQ4 2021","FQ4 2021","Currency=USD","Period=FQ","BEST_FPERIOD_OVERRIDE=FQ","FILING_STATUS=MR","FA_ADJUSTED=GAAP","Sort=A","Dates=H","DateFormat=P","Fill=—","Direction=H","UseDPDF=Y")</f>
        <v>16.629799999999999</v>
      </c>
      <c r="P9" s="14">
        <f>_xll.BDH("AMGN US Equity","RETURN_ON_CAP","FQ1 2022","FQ1 2022","Currency=USD","Period=FQ","BEST_FPERIOD_OVERRIDE=FQ","FILING_STATUS=MR","FA_ADJUSTED=GAAP","Sort=A","Dates=H","DateFormat=P","Fill=—","Direction=H","UseDPDF=Y")</f>
        <v>17.0014</v>
      </c>
      <c r="Q9" s="14">
        <f>_xll.BDH("AMGN US Equity","RETURN_ON_CAP","FQ2 2022","FQ2 2022","Currency=USD","Period=FQ","BEST_FPERIOD_OVERRIDE=FQ","FILING_STATUS=MR","FA_ADJUSTED=GAAP","Sort=A","Dates=H","DateFormat=P","Fill=—","Direction=H","UseDPDF=Y")</f>
        <v>19.198899999999998</v>
      </c>
      <c r="R9" s="14">
        <f>_xll.BDH("AMGN US Equity","RETURN_ON_CAP","FQ3 2022","FQ3 2022","Currency=USD","Period=FQ","BEST_FPERIOD_OVERRIDE=FQ","FILING_STATUS=MR","FA_ADJUSTED=GAAP","Sort=A","Dates=H","DateFormat=P","Fill=—","Direction=H","UseDPDF=Y")</f>
        <v>18.1676</v>
      </c>
      <c r="S9" s="14">
        <f>_xll.BDH("AMGN US Equity","RETURN_ON_CAP","FQ4 2022","FQ4 2022","Currency=USD","Period=FQ","BEST_FPERIOD_OVERRIDE=FQ","FILING_STATUS=MR","FA_ADJUSTED=GAAP","Sort=A","Dates=H","DateFormat=P","Fill=—","Direction=H","UseDPDF=Y")</f>
        <v>18.590199999999999</v>
      </c>
      <c r="T9" s="14">
        <f>_xll.BDH("AMGN US Equity","RETURN_ON_CAP","FQ1 2023","FQ1 2023","Currency=USD","Period=FQ","BEST_FPERIOD_OVERRIDE=FQ","FILING_STATUS=MR","FA_ADJUSTED=GAAP","Sort=A","Dates=H","DateFormat=P","Fill=—","Direction=H","UseDPDF=Y")</f>
        <v>17.8658</v>
      </c>
      <c r="U9" s="14">
        <f>_xll.BDH("AMGN US Equity","RETURN_ON_CAP","FQ2 2023","FQ2 2023","Currency=USD","Period=FQ","BEST_FPERIOD_OVERRIDE=FQ","FILING_STATUS=MR","FA_ADJUSTED=GAAP","Sort=A","Dates=H","DateFormat=P","Fill=—","Direction=H","UseDPDF=Y")</f>
        <v>18.238800000000001</v>
      </c>
      <c r="V9" s="14">
        <f>_xll.BDH("AMGN US Equity","RETURN_ON_CAP","FQ3 2023","FQ3 2023","Currency=USD","Period=FQ","BEST_FPERIOD_OVERRIDE=FQ","FILING_STATUS=MR","FA_ADJUSTED=GAAP","Sort=A","Dates=H","DateFormat=P","Fill=—","Direction=H","UseDPDF=Y")</f>
        <v>17.5608</v>
      </c>
      <c r="W9" s="14">
        <f>_xll.BDH("AMGN US Equity","RETURN_ON_CAP","FQ4 2023","FQ4 2023","Currency=USD","Period=FQ","BEST_FPERIOD_OVERRIDE=FQ","FILING_STATUS=MR","FA_ADJUSTED=GAAP","Sort=A","Dates=H","DateFormat=P","Fill=—","Direction=H","UseDPDF=Y")</f>
        <v>15.9635</v>
      </c>
      <c r="X9" s="14">
        <f>_xll.BDH("AMGN US Equity","RETURN_ON_CAP","FQ1 2024","FQ1 2024","Currency=USD","Period=FQ","BEST_FPERIOD_OVERRIDE=FQ","FILING_STATUS=MR","FA_ADJUSTED=GAAP","Sort=A","Dates=H","DateFormat=P","Fill=—","Direction=H","UseDPDF=Y")</f>
        <v>9.5543999999999993</v>
      </c>
      <c r="Y9" s="14">
        <f>_xll.BDH("AMGN US Equity","RETURN_ON_CAP","FQ2 2024","FQ2 2024","Currency=USD","Period=FQ","BEST_FPERIOD_OVERRIDE=FQ","FILING_STATUS=MR","FA_ADJUSTED=GAAP","Sort=A","Dates=H","DateFormat=P","Fill=—","Direction=H","UseDPDF=Y")</f>
        <v>8.7396999999999991</v>
      </c>
      <c r="Z9" s="14">
        <f>_xll.BDH("AMGN US Equity","RETURN_ON_CAP","FQ3 2024","FQ3 2024","Currency=USD","Period=FQ","BEST_FPERIOD_OVERRIDE=FQ","FILING_STATUS=MR","FA_ADJUSTED=GAAP","Sort=A","Dates=H","DateFormat=P","Fill=—","Direction=H","UseDPDF=Y")</f>
        <v>10.5097</v>
      </c>
      <c r="AA9" s="14">
        <f>_xll.BDH("AMGN US Equity","RETURN_ON_CAP","FQ4 2024","FQ4 2024","Currency=USD","Period=FQ","BEST_FPERIOD_OVERRIDE=FQ","FILING_STATUS=MR","FA_ADJUSTED=GAAP","Sort=A","Dates=H","DateFormat=P","Fill=—","Direction=H","UseDPDF=Y")</f>
        <v>9.9555000000000007</v>
      </c>
    </row>
    <row r="10" spans="1:27" x14ac:dyDescent="0.25">
      <c r="A10" s="10" t="s">
        <v>1443</v>
      </c>
      <c r="B10" s="10" t="s">
        <v>1444</v>
      </c>
      <c r="C10" s="14">
        <f>_xll.BDH("AMGN US Equity","RETURN_ON_INV_CAPITAL","FQ4 2018","FQ4 2018","Currency=USD","Period=FQ","BEST_FPERIOD_OVERRIDE=FQ","FILING_STATUS=MR","FA_ADJUSTED=GAAP","Sort=A","Dates=H","DateFormat=P","Fill=—","Direction=H","UseDPDF=Y")</f>
        <v>16.8536</v>
      </c>
      <c r="D10" s="14">
        <f>_xll.BDH("AMGN US Equity","RETURN_ON_INV_CAPITAL","FQ1 2019","FQ1 2019","Currency=USD","Period=FQ","BEST_FPERIOD_OVERRIDE=FQ","FILING_STATUS=MR","FA_ADJUSTED=GAAP","Sort=A","Dates=H","DateFormat=P","Fill=—","Direction=H","UseDPDF=Y")</f>
        <v>18.320699999999999</v>
      </c>
      <c r="E10" s="14">
        <f>_xll.BDH("AMGN US Equity","RETURN_ON_INV_CAPITAL","FQ2 2019","FQ2 2019","Currency=USD","Period=FQ","BEST_FPERIOD_OVERRIDE=FQ","FILING_STATUS=MR","FA_ADJUSTED=GAAP","Sort=A","Dates=H","DateFormat=P","Fill=—","Direction=H","UseDPDF=Y")</f>
        <v>18.7667</v>
      </c>
      <c r="F10" s="14">
        <f>_xll.BDH("AMGN US Equity","RETURN_ON_INV_CAPITAL","FQ3 2019","FQ3 2019","Currency=USD","Period=FQ","BEST_FPERIOD_OVERRIDE=FQ","FILING_STATUS=MR","FA_ADJUSTED=GAAP","Sort=A","Dates=H","DateFormat=P","Fill=—","Direction=H","UseDPDF=Y")</f>
        <v>19.216999999999999</v>
      </c>
      <c r="G10" s="14">
        <f>_xll.BDH("AMGN US Equity","RETURN_ON_INV_CAPITAL","FQ4 2019","FQ4 2019","Currency=USD","Period=FQ","BEST_FPERIOD_OVERRIDE=FQ","FILING_STATUS=MR","FA_ADJUSTED=GAAP","Sort=A","Dates=H","DateFormat=P","Fill=—","Direction=H","UseDPDF=Y")</f>
        <v>19.173300000000001</v>
      </c>
      <c r="H10" s="14">
        <f>_xll.BDH("AMGN US Equity","RETURN_ON_INV_CAPITAL","FQ1 2020","FQ1 2020","Currency=USD","Period=FQ","BEST_FPERIOD_OVERRIDE=FQ","FILING_STATUS=MR","FA_ADJUSTED=GAAP","Sort=A","Dates=H","DateFormat=P","Fill=—","Direction=H","UseDPDF=Y")</f>
        <v>19.380600000000001</v>
      </c>
      <c r="I10" s="14">
        <f>_xll.BDH("AMGN US Equity","RETURN_ON_INV_CAPITAL","FQ2 2020","FQ2 2020","Currency=USD","Period=FQ","BEST_FPERIOD_OVERRIDE=FQ","FILING_STATUS=MR","FA_ADJUSTED=GAAP","Sort=A","Dates=H","DateFormat=P","Fill=—","Direction=H","UseDPDF=Y")</f>
        <v>18.642499999999998</v>
      </c>
      <c r="J10" s="14">
        <f>_xll.BDH("AMGN US Equity","RETURN_ON_INV_CAPITAL","FQ3 2020","FQ3 2020","Currency=USD","Period=FQ","BEST_FPERIOD_OVERRIDE=FQ","FILING_STATUS=MR","FA_ADJUSTED=GAAP","Sort=A","Dates=H","DateFormat=P","Fill=—","Direction=H","UseDPDF=Y")</f>
        <v>18.9636</v>
      </c>
      <c r="K10" s="14">
        <f>_xll.BDH("AMGN US Equity","RETURN_ON_INV_CAPITAL","FQ4 2020","FQ4 2020","Currency=USD","Period=FQ","BEST_FPERIOD_OVERRIDE=FQ","FILING_STATUS=MR","FA_ADJUSTED=GAAP","Sort=A","Dates=H","DateFormat=P","Fill=—","Direction=H","UseDPDF=Y")</f>
        <v>19.673100000000002</v>
      </c>
      <c r="L10" s="14">
        <f>_xll.BDH("AMGN US Equity","RETURN_ON_INV_CAPITAL","FQ1 2021","FQ1 2021","Currency=USD","Period=FQ","BEST_FPERIOD_OVERRIDE=FQ","FILING_STATUS=MR","FA_ADJUSTED=GAAP","Sort=A","Dates=H","DateFormat=P","Fill=—","Direction=H","UseDPDF=Y")</f>
        <v>19.016500000000001</v>
      </c>
      <c r="M10" s="14">
        <f>_xll.BDH("AMGN US Equity","RETURN_ON_INV_CAPITAL","FQ2 2021","FQ2 2021","Currency=USD","Period=FQ","BEST_FPERIOD_OVERRIDE=FQ","FILING_STATUS=MR","FA_ADJUSTED=GAAP","Sort=A","Dates=H","DateFormat=P","Fill=—","Direction=H","UseDPDF=Y")</f>
        <v>15.249599999999999</v>
      </c>
      <c r="N10" s="14">
        <f>_xll.BDH("AMGN US Equity","RETURN_ON_INV_CAPITAL","FQ3 2021","FQ3 2021","Currency=USD","Period=FQ","BEST_FPERIOD_OVERRIDE=FQ","FILING_STATUS=MR","FA_ADJUSTED=GAAP","Sort=A","Dates=H","DateFormat=P","Fill=—","Direction=H","UseDPDF=Y")</f>
        <v>14.0205</v>
      </c>
      <c r="O10" s="14">
        <f>_xll.BDH("AMGN US Equity","RETURN_ON_INV_CAPITAL","FQ4 2021","FQ4 2021","Currency=USD","Period=FQ","BEST_FPERIOD_OVERRIDE=FQ","FILING_STATUS=MR","FA_ADJUSTED=GAAP","Sort=A","Dates=H","DateFormat=P","Fill=—","Direction=H","UseDPDF=Y")</f>
        <v>16.0489</v>
      </c>
      <c r="P10" s="14">
        <f>_xll.BDH("AMGN US Equity","RETURN_ON_INV_CAPITAL","FQ1 2022","FQ1 2022","Currency=USD","Period=FQ","BEST_FPERIOD_OVERRIDE=FQ","FILING_STATUS=MR","FA_ADJUSTED=GAAP","Sort=A","Dates=H","DateFormat=P","Fill=—","Direction=H","UseDPDF=Y")</f>
        <v>17.605499999999999</v>
      </c>
      <c r="Q10" s="14">
        <f>_xll.BDH("AMGN US Equity","RETURN_ON_INV_CAPITAL","FQ2 2022","FQ2 2022","Currency=USD","Period=FQ","BEST_FPERIOD_OVERRIDE=FQ","FILING_STATUS=MR","FA_ADJUSTED=GAAP","Sort=A","Dates=H","DateFormat=P","Fill=—","Direction=H","UseDPDF=Y")</f>
        <v>20.525099999999998</v>
      </c>
      <c r="R10" s="14">
        <f>_xll.BDH("AMGN US Equity","RETURN_ON_INV_CAPITAL","FQ3 2022","FQ3 2022","Currency=USD","Period=FQ","BEST_FPERIOD_OVERRIDE=FQ","FILING_STATUS=MR","FA_ADJUSTED=GAAP","Sort=A","Dates=H","DateFormat=P","Fill=—","Direction=H","UseDPDF=Y")</f>
        <v>19.309799999999999</v>
      </c>
      <c r="S10" s="14">
        <f>_xll.BDH("AMGN US Equity","RETURN_ON_INV_CAPITAL","FQ4 2022","FQ4 2022","Currency=USD","Period=FQ","BEST_FPERIOD_OVERRIDE=FQ","FILING_STATUS=MR","FA_ADJUSTED=GAAP","Sort=A","Dates=H","DateFormat=P","Fill=—","Direction=H","UseDPDF=Y")</f>
        <v>20.277799999999999</v>
      </c>
      <c r="T10" s="14">
        <f>_xll.BDH("AMGN US Equity","RETURN_ON_INV_CAPITAL","FQ1 2023","FQ1 2023","Currency=USD","Period=FQ","BEST_FPERIOD_OVERRIDE=FQ","FILING_STATUS=MR","FA_ADJUSTED=GAAP","Sort=A","Dates=H","DateFormat=P","Fill=—","Direction=H","UseDPDF=Y")</f>
        <v>15.0929</v>
      </c>
      <c r="U10" s="14">
        <f>_xll.BDH("AMGN US Equity","RETURN_ON_INV_CAPITAL","FQ2 2023","FQ2 2023","Currency=USD","Period=FQ","BEST_FPERIOD_OVERRIDE=FQ","FILING_STATUS=MR","FA_ADJUSTED=GAAP","Sort=A","Dates=H","DateFormat=P","Fill=—","Direction=H","UseDPDF=Y")</f>
        <v>15.519299999999999</v>
      </c>
      <c r="V10" s="14">
        <f>_xll.BDH("AMGN US Equity","RETURN_ON_INV_CAPITAL","FQ3 2023","FQ3 2023","Currency=USD","Period=FQ","BEST_FPERIOD_OVERRIDE=FQ","FILING_STATUS=MR","FA_ADJUSTED=GAAP","Sort=A","Dates=H","DateFormat=P","Fill=—","Direction=H","UseDPDF=Y")</f>
        <v>14.0045</v>
      </c>
      <c r="W10" s="14">
        <f>_xll.BDH("AMGN US Equity","RETURN_ON_INV_CAPITAL","FQ4 2023","FQ4 2023","Currency=USD","Period=FQ","BEST_FPERIOD_OVERRIDE=FQ","FILING_STATUS=MR","FA_ADJUSTED=GAAP","Sort=A","Dates=H","DateFormat=P","Fill=—","Direction=H","UseDPDF=Y")</f>
        <v>11.8581</v>
      </c>
      <c r="X10" s="14">
        <f>_xll.BDH("AMGN US Equity","RETURN_ON_INV_CAPITAL","FQ1 2024","FQ1 2024","Currency=USD","Period=FQ","BEST_FPERIOD_OVERRIDE=FQ","FILING_STATUS=MR","FA_ADJUSTED=GAAP","Sort=A","Dates=H","DateFormat=P","Fill=—","Direction=H","UseDPDF=Y")</f>
        <v>8.8794000000000004</v>
      </c>
      <c r="Y10" s="14">
        <f>_xll.BDH("AMGN US Equity","RETURN_ON_INV_CAPITAL","FQ2 2024","FQ2 2024","Currency=USD","Period=FQ","BEST_FPERIOD_OVERRIDE=FQ","FILING_STATUS=MR","FA_ADJUSTED=GAAP","Sort=A","Dates=H","DateFormat=P","Fill=—","Direction=H","UseDPDF=Y")</f>
        <v>8.0904000000000007</v>
      </c>
      <c r="Z10" s="14">
        <f>_xll.BDH("AMGN US Equity","RETURN_ON_INV_CAPITAL","FQ3 2024","FQ3 2024","Currency=USD","Period=FQ","BEST_FPERIOD_OVERRIDE=FQ","FILING_STATUS=MR","FA_ADJUSTED=GAAP","Sort=A","Dates=H","DateFormat=P","Fill=—","Direction=H","UseDPDF=Y")</f>
        <v>8.2470999999999997</v>
      </c>
      <c r="AA10" s="14">
        <f>_xll.BDH("AMGN US Equity","RETURN_ON_INV_CAPITAL","FQ4 2024","FQ4 2024","Currency=USD","Period=FQ","BEST_FPERIOD_OVERRIDE=FQ","FILING_STATUS=MR","FA_ADJUSTED=GAAP","Sort=A","Dates=H","DateFormat=P","Fill=—","Direction=H","UseDPDF=Y")</f>
        <v>9.1260999999999992</v>
      </c>
    </row>
    <row r="11" spans="1:27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6" t="s">
        <v>1445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x14ac:dyDescent="0.25">
      <c r="A13" s="10" t="s">
        <v>392</v>
      </c>
      <c r="B13" s="10" t="s">
        <v>153</v>
      </c>
      <c r="C13" s="14">
        <f>_xll.BDH("AMGN US Equity","GROSS_MARGIN","FQ4 2018","FQ4 2018","Currency=USD","Period=FQ","BEST_FPERIOD_OVERRIDE=FQ","FILING_STATUS=MR","FA_ADJUSTED=GAAP","Sort=A","Dates=H","DateFormat=P","Fill=—","Direction=H","UseDPDF=Y")</f>
        <v>82.407700000000006</v>
      </c>
      <c r="D13" s="14">
        <f>_xll.BDH("AMGN US Equity","GROSS_MARGIN","FQ1 2019","FQ1 2019","Currency=USD","Period=FQ","BEST_FPERIOD_OVERRIDE=FQ","FILING_STATUS=MR","FA_ADJUSTED=GAAP","Sort=A","Dates=H","DateFormat=P","Fill=—","Direction=H","UseDPDF=Y")</f>
        <v>81.014899999999997</v>
      </c>
      <c r="E13" s="14">
        <f>_xll.BDH("AMGN US Equity","GROSS_MARGIN","FQ2 2019","FQ2 2019","Currency=USD","Period=FQ","BEST_FPERIOD_OVERRIDE=FQ","FILING_STATUS=MR","FA_ADJUSTED=GAAP","Sort=A","Dates=H","DateFormat=P","Fill=—","Direction=H","UseDPDF=Y")</f>
        <v>82.762699999999995</v>
      </c>
      <c r="F13" s="14">
        <f>_xll.BDH("AMGN US Equity","GROSS_MARGIN","FQ3 2019","FQ3 2019","Currency=USD","Period=FQ","BEST_FPERIOD_OVERRIDE=FQ","FILING_STATUS=MR","FA_ADJUSTED=GAAP","Sort=A","Dates=H","DateFormat=P","Fill=—","Direction=H","UseDPDF=Y")</f>
        <v>81.941800000000001</v>
      </c>
      <c r="G13" s="14">
        <f>_xll.BDH("AMGN US Equity","GROSS_MARGIN","FQ4 2019","FQ4 2019","Currency=USD","Period=FQ","BEST_FPERIOD_OVERRIDE=FQ","FILING_STATUS=MR","FA_ADJUSTED=GAAP","Sort=A","Dates=H","DateFormat=P","Fill=—","Direction=H","UseDPDF=Y")</f>
        <v>79.780500000000004</v>
      </c>
      <c r="H13" s="14">
        <f>_xll.BDH("AMGN US Equity","GROSS_MARGIN","FQ1 2020","FQ1 2020","Currency=USD","Period=FQ","BEST_FPERIOD_OVERRIDE=FQ","FILING_STATUS=MR","FA_ADJUSTED=GAAP","Sort=A","Dates=H","DateFormat=P","Fill=—","Direction=H","UseDPDF=Y")</f>
        <v>75.442300000000003</v>
      </c>
      <c r="I13" s="14">
        <f>_xll.BDH("AMGN US Equity","GROSS_MARGIN","FQ2 2020","FQ2 2020","Currency=USD","Period=FQ","BEST_FPERIOD_OVERRIDE=FQ","FILING_STATUS=MR","FA_ADJUSTED=GAAP","Sort=A","Dates=H","DateFormat=P","Fill=—","Direction=H","UseDPDF=Y")</f>
        <v>76.023200000000003</v>
      </c>
      <c r="J13" s="14">
        <f>_xll.BDH("AMGN US Equity","GROSS_MARGIN","FQ3 2020","FQ3 2020","Currency=USD","Period=FQ","BEST_FPERIOD_OVERRIDE=FQ","FILING_STATUS=MR","FA_ADJUSTED=GAAP","Sort=A","Dates=H","DateFormat=P","Fill=—","Direction=H","UseDPDF=Y")</f>
        <v>75.696700000000007</v>
      </c>
      <c r="K13" s="14">
        <f>_xll.BDH("AMGN US Equity","GROSS_MARGIN","FQ4 2020","FQ4 2020","Currency=USD","Period=FQ","BEST_FPERIOD_OVERRIDE=FQ","FILING_STATUS=MR","FA_ADJUSTED=GAAP","Sort=A","Dates=H","DateFormat=P","Fill=—","Direction=H","UseDPDF=Y")</f>
        <v>75.927000000000007</v>
      </c>
      <c r="L13" s="14">
        <f>_xll.BDH("AMGN US Equity","GROSS_MARGIN","FQ1 2021","FQ1 2021","Currency=USD","Period=FQ","BEST_FPERIOD_OVERRIDE=FQ","FILING_STATUS=MR","FA_ADJUSTED=GAAP","Sort=A","Dates=H","DateFormat=P","Fill=—","Direction=H","UseDPDF=Y")</f>
        <v>74.75</v>
      </c>
      <c r="M13" s="14">
        <f>_xll.BDH("AMGN US Equity","GROSS_MARGIN","FQ2 2021","FQ2 2021","Currency=USD","Period=FQ","BEST_FPERIOD_OVERRIDE=FQ","FILING_STATUS=MR","FA_ADJUSTED=GAAP","Sort=A","Dates=H","DateFormat=P","Fill=—","Direction=H","UseDPDF=Y")</f>
        <v>74.915700000000001</v>
      </c>
      <c r="N13" s="14">
        <f>_xll.BDH("AMGN US Equity","GROSS_MARGIN","FQ3 2021","FQ3 2021","Currency=USD","Period=FQ","BEST_FPERIOD_OVERRIDE=FQ","FILING_STATUS=MR","FA_ADJUSTED=GAAP","Sort=A","Dates=H","DateFormat=P","Fill=—","Direction=H","UseDPDF=Y")</f>
        <v>76.006600000000006</v>
      </c>
      <c r="O13" s="14">
        <f>_xll.BDH("AMGN US Equity","GROSS_MARGIN","FQ4 2021","FQ4 2021","Currency=USD","Period=FQ","BEST_FPERIOD_OVERRIDE=FQ","FILING_STATUS=MR","FA_ADJUSTED=GAAP","Sort=A","Dates=H","DateFormat=P","Fill=—","Direction=H","UseDPDF=Y")</f>
        <v>74.905100000000004</v>
      </c>
      <c r="P13" s="14">
        <f>_xll.BDH("AMGN US Equity","GROSS_MARGIN","FQ1 2022","FQ1 2022","Currency=USD","Period=FQ","BEST_FPERIOD_OVERRIDE=FQ","FILING_STATUS=MR","FA_ADJUSTED=GAAP","Sort=A","Dates=H","DateFormat=P","Fill=—","Direction=H","UseDPDF=Y")</f>
        <v>74.975999999999999</v>
      </c>
      <c r="Q13" s="14">
        <f>_xll.BDH("AMGN US Equity","GROSS_MARGIN","FQ2 2022","FQ2 2022","Currency=USD","Period=FQ","BEST_FPERIOD_OVERRIDE=FQ","FILING_STATUS=MR","FA_ADJUSTED=GAAP","Sort=A","Dates=H","DateFormat=P","Fill=—","Direction=H","UseDPDF=Y")</f>
        <v>77.100399999999993</v>
      </c>
      <c r="R13" s="14">
        <f>_xll.BDH("AMGN US Equity","GROSS_MARGIN","FQ3 2022","FQ3 2022","Currency=USD","Period=FQ","BEST_FPERIOD_OVERRIDE=FQ","FILING_STATUS=MR","FA_ADJUSTED=GAAP","Sort=A","Dates=H","DateFormat=P","Fill=—","Direction=H","UseDPDF=Y")</f>
        <v>76.127499999999998</v>
      </c>
      <c r="S13" s="14">
        <f>_xll.BDH("AMGN US Equity","GROSS_MARGIN","FQ4 2022","FQ4 2022","Currency=USD","Period=FQ","BEST_FPERIOD_OVERRIDE=FQ","FILING_STATUS=MR","FA_ADJUSTED=GAAP","Sort=A","Dates=H","DateFormat=P","Fill=—","Direction=H","UseDPDF=Y")</f>
        <v>74.455299999999994</v>
      </c>
      <c r="T13" s="14">
        <f>_xll.BDH("AMGN US Equity","GROSS_MARGIN","FQ1 2023","FQ1 2023","Currency=USD","Period=FQ","BEST_FPERIOD_OVERRIDE=FQ","FILING_STATUS=MR","FA_ADJUSTED=GAAP","Sort=A","Dates=H","DateFormat=P","Fill=—","Direction=H","UseDPDF=Y")</f>
        <v>71.826400000000007</v>
      </c>
      <c r="U13" s="14">
        <f>_xll.BDH("AMGN US Equity","GROSS_MARGIN","FQ2 2023","FQ2 2023","Currency=USD","Period=FQ","BEST_FPERIOD_OVERRIDE=FQ","FILING_STATUS=MR","FA_ADJUSTED=GAAP","Sort=A","Dates=H","DateFormat=P","Fill=—","Direction=H","UseDPDF=Y")</f>
        <v>74.048100000000005</v>
      </c>
      <c r="V13" s="14">
        <f>_xll.BDH("AMGN US Equity","GROSS_MARGIN","FQ3 2023","FQ3 2023","Currency=USD","Period=FQ","BEST_FPERIOD_OVERRIDE=FQ","FILING_STATUS=MR","FA_ADJUSTED=GAAP","Sort=A","Dates=H","DateFormat=P","Fill=—","Direction=H","UseDPDF=Y")</f>
        <v>73.837500000000006</v>
      </c>
      <c r="W13" s="14">
        <f>_xll.BDH("AMGN US Equity","GROSS_MARGIN","FQ4 2023","FQ4 2023","Currency=USD","Period=FQ","BEST_FPERIOD_OVERRIDE=FQ","FILING_STATUS=MR","FA_ADJUSTED=GAAP","Sort=A","Dates=H","DateFormat=P","Fill=—","Direction=H","UseDPDF=Y")</f>
        <v>62.030299999999997</v>
      </c>
      <c r="X13" s="14">
        <f>_xll.BDH("AMGN US Equity","GROSS_MARGIN","FQ1 2024","FQ1 2024","Currency=USD","Period=FQ","BEST_FPERIOD_OVERRIDE=FQ","FILING_STATUS=MR","FA_ADJUSTED=GAAP","Sort=A","Dates=H","DateFormat=P","Fill=—","Direction=H","UseDPDF=Y")</f>
        <v>57.029699999999998</v>
      </c>
      <c r="Y13" s="14">
        <f>_xll.BDH("AMGN US Equity","GROSS_MARGIN","FQ2 2024","FQ2 2024","Currency=USD","Period=FQ","BEST_FPERIOD_OVERRIDE=FQ","FILING_STATUS=MR","FA_ADJUSTED=GAAP","Sort=A","Dates=H","DateFormat=P","Fill=—","Direction=H","UseDPDF=Y")</f>
        <v>61.421100000000003</v>
      </c>
      <c r="Z13" s="14">
        <f>_xll.BDH("AMGN US Equity","GROSS_MARGIN","FQ3 2024","FQ3 2024","Currency=USD","Period=FQ","BEST_FPERIOD_OVERRIDE=FQ","FILING_STATUS=MR","FA_ADJUSTED=GAAP","Sort=A","Dates=H","DateFormat=P","Fill=—","Direction=H","UseDPDF=Y")</f>
        <v>61.072600000000001</v>
      </c>
      <c r="AA13" s="14">
        <f>_xll.BDH("AMGN US Equity","GROSS_MARGIN","FQ4 2024","FQ4 2024","Currency=USD","Period=FQ","BEST_FPERIOD_OVERRIDE=FQ","FILING_STATUS=MR","FA_ADJUSTED=GAAP","Sort=A","Dates=H","DateFormat=P","Fill=—","Direction=H","UseDPDF=Y")</f>
        <v>65.749499999999998</v>
      </c>
    </row>
    <row r="14" spans="1:27" x14ac:dyDescent="0.25">
      <c r="A14" s="10" t="s">
        <v>1446</v>
      </c>
      <c r="B14" s="10" t="s">
        <v>1447</v>
      </c>
      <c r="C14" s="14">
        <f>_xll.BDH("AMGN US Equity","EBITDA_TO_REVENUE","FQ4 2018","FQ4 2018","Currency=USD","Period=FQ","BEST_FPERIOD_OVERRIDE=FQ","FILING_STATUS=MR","FA_ADJUSTED=GAAP","Sort=A","Dates=H","DateFormat=P","Fill=—","Direction=H","UseDPDF=Y")</f>
        <v>46.099499999999999</v>
      </c>
      <c r="D14" s="14">
        <f>_xll.BDH("AMGN US Equity","EBITDA_TO_REVENUE","FQ1 2019","FQ1 2019","Currency=USD","Period=FQ","BEST_FPERIOD_OVERRIDE=FQ","FILING_STATUS=MR","FA_ADJUSTED=GAAP","Sort=A","Dates=H","DateFormat=P","Fill=—","Direction=H","UseDPDF=Y")</f>
        <v>54.111899999999999</v>
      </c>
      <c r="E14" s="14">
        <f>_xll.BDH("AMGN US Equity","EBITDA_TO_REVENUE","FQ2 2019","FQ2 2019","Currency=USD","Period=FQ","BEST_FPERIOD_OVERRIDE=FQ","FILING_STATUS=MR","FA_ADJUSTED=GAAP","Sort=A","Dates=H","DateFormat=P","Fill=—","Direction=H","UseDPDF=Y")</f>
        <v>54.862900000000003</v>
      </c>
      <c r="F14" s="14">
        <f>_xll.BDH("AMGN US Equity","EBITDA_TO_REVENUE","FQ3 2019","FQ3 2019","Currency=USD","Period=FQ","BEST_FPERIOD_OVERRIDE=FQ","FILING_STATUS=MR","FA_ADJUSTED=GAAP","Sort=A","Dates=H","DateFormat=P","Fill=—","Direction=H","UseDPDF=Y")</f>
        <v>52.7453</v>
      </c>
      <c r="G14" s="14">
        <f>_xll.BDH("AMGN US Equity","EBITDA_TO_REVENUE","FQ4 2019","FQ4 2019","Currency=USD","Period=FQ","BEST_FPERIOD_OVERRIDE=FQ","FILING_STATUS=MR","FA_ADJUSTED=GAAP","Sort=A","Dates=H","DateFormat=P","Fill=—","Direction=H","UseDPDF=Y")</f>
        <v>45.134700000000002</v>
      </c>
      <c r="H14" s="14">
        <f>_xll.BDH("AMGN US Equity","EBITDA_TO_REVENUE","FQ1 2020","FQ1 2020","Currency=USD","Period=FQ","BEST_FPERIOD_OVERRIDE=FQ","FILING_STATUS=MR","FA_ADJUSTED=GAAP","Sort=A","Dates=H","DateFormat=P","Fill=—","Direction=H","UseDPDF=Y")</f>
        <v>52.7836</v>
      </c>
      <c r="I14" s="14">
        <f>_xll.BDH("AMGN US Equity","EBITDA_TO_REVENUE","FQ2 2020","FQ2 2020","Currency=USD","Period=FQ","BEST_FPERIOD_OVERRIDE=FQ","FILING_STATUS=MR","FA_ADJUSTED=GAAP","Sort=A","Dates=H","DateFormat=P","Fill=—","Direction=H","UseDPDF=Y")</f>
        <v>52.417000000000002</v>
      </c>
      <c r="J14" s="14">
        <f>_xll.BDH("AMGN US Equity","EBITDA_TO_REVENUE","FQ3 2020","FQ3 2020","Currency=USD","Period=FQ","BEST_FPERIOD_OVERRIDE=FQ","FILING_STATUS=MR","FA_ADJUSTED=GAAP","Sort=A","Dates=H","DateFormat=P","Fill=—","Direction=H","UseDPDF=Y")</f>
        <v>52.218600000000002</v>
      </c>
      <c r="K14" s="14">
        <f>_xll.BDH("AMGN US Equity","EBITDA_TO_REVENUE","FQ4 2020","FQ4 2020","Currency=USD","Period=FQ","BEST_FPERIOD_OVERRIDE=FQ","FILING_STATUS=MR","FA_ADJUSTED=GAAP","Sort=A","Dates=H","DateFormat=P","Fill=—","Direction=H","UseDPDF=Y")</f>
        <v>43.427799999999998</v>
      </c>
      <c r="L14" s="14">
        <f>_xll.BDH("AMGN US Equity","EBITDA_TO_REVENUE","FQ1 2021","FQ1 2021","Currency=USD","Period=FQ","BEST_FPERIOD_OVERRIDE=FQ","FILING_STATUS=MR","FA_ADJUSTED=GAAP","Sort=A","Dates=H","DateFormat=P","Fill=—","Direction=H","UseDPDF=Y")</f>
        <v>50.330500000000001</v>
      </c>
      <c r="M14" s="14">
        <f>_xll.BDH("AMGN US Equity","EBITDA_TO_REVENUE","FQ2 2021","FQ2 2021","Currency=USD","Period=FQ","BEST_FPERIOD_OVERRIDE=FQ","FILING_STATUS=MR","FA_ADJUSTED=GAAP","Sort=A","Dates=H","DateFormat=P","Fill=—","Direction=H","UseDPDF=Y")</f>
        <v>25.789200000000001</v>
      </c>
      <c r="N14" s="14">
        <f>_xll.BDH("AMGN US Equity","EBITDA_TO_REVENUE","FQ3 2021","FQ3 2021","Currency=USD","Period=FQ","BEST_FPERIOD_OVERRIDE=FQ","FILING_STATUS=MR","FA_ADJUSTED=GAAP","Sort=A","Dates=H","DateFormat=P","Fill=—","Direction=H","UseDPDF=Y")</f>
        <v>48.136000000000003</v>
      </c>
      <c r="O14" s="14">
        <f>_xll.BDH("AMGN US Equity","EBITDA_TO_REVENUE","FQ4 2021","FQ4 2021","Currency=USD","Period=FQ","BEST_FPERIOD_OVERRIDE=FQ","FILING_STATUS=MR","FA_ADJUSTED=GAAP","Sort=A","Dates=H","DateFormat=P","Fill=—","Direction=H","UseDPDF=Y")</f>
        <v>46.099899999999998</v>
      </c>
      <c r="P14" s="14">
        <f>_xll.BDH("AMGN US Equity","EBITDA_TO_REVENUE","FQ1 2022","FQ1 2022","Currency=USD","Period=FQ","BEST_FPERIOD_OVERRIDE=FQ","FILING_STATUS=MR","FA_ADJUSTED=GAAP","Sort=A","Dates=H","DateFormat=P","Fill=—","Direction=H","UseDPDF=Y")</f>
        <v>53.558799999999998</v>
      </c>
      <c r="Q14" s="14">
        <f>_xll.BDH("AMGN US Equity","EBITDA_TO_REVENUE","FQ2 2022","FQ2 2022","Currency=USD","Period=FQ","BEST_FPERIOD_OVERRIDE=FQ","FILING_STATUS=MR","FA_ADJUSTED=GAAP","Sort=A","Dates=H","DateFormat=P","Fill=—","Direction=H","UseDPDF=Y")</f>
        <v>45.556600000000003</v>
      </c>
      <c r="R14" s="14">
        <f>_xll.BDH("AMGN US Equity","EBITDA_TO_REVENUE","FQ3 2022","FQ3 2022","Currency=USD","Period=FQ","BEST_FPERIOD_OVERRIDE=FQ","FILING_STATUS=MR","FA_ADJUSTED=GAAP","Sort=A","Dates=H","DateFormat=P","Fill=—","Direction=H","UseDPDF=Y")</f>
        <v>52.570700000000002</v>
      </c>
      <c r="S14" s="14">
        <f>_xll.BDH("AMGN US Equity","EBITDA_TO_REVENUE","FQ4 2022","FQ4 2022","Currency=USD","Period=FQ","BEST_FPERIOD_OVERRIDE=FQ","FILING_STATUS=MR","FA_ADJUSTED=GAAP","Sort=A","Dates=H","DateFormat=P","Fill=—","Direction=H","UseDPDF=Y")</f>
        <v>45.927799999999998</v>
      </c>
      <c r="T14" s="14">
        <f>_xll.BDH("AMGN US Equity","EBITDA_TO_REVENUE","FQ1 2023","FQ1 2023","Currency=USD","Period=FQ","BEST_FPERIOD_OVERRIDE=FQ","FILING_STATUS=MR","FA_ADJUSTED=GAAP","Sort=A","Dates=H","DateFormat=P","Fill=—","Direction=H","UseDPDF=Y")</f>
        <v>46.207999999999998</v>
      </c>
      <c r="U14" s="14">
        <f>_xll.BDH("AMGN US Equity","EBITDA_TO_REVENUE","FQ2 2023","FQ2 2023","Currency=USD","Period=FQ","BEST_FPERIOD_OVERRIDE=FQ","FILING_STATUS=MR","FA_ADJUSTED=GAAP","Sort=A","Dates=H","DateFormat=P","Fill=—","Direction=H","UseDPDF=Y")</f>
        <v>51.2453</v>
      </c>
      <c r="V14" s="14">
        <f>_xll.BDH("AMGN US Equity","EBITDA_TO_REVENUE","FQ3 2023","FQ3 2023","Currency=USD","Period=FQ","BEST_FPERIOD_OVERRIDE=FQ","FILING_STATUS=MR","FA_ADJUSTED=GAAP","Sort=A","Dates=H","DateFormat=P","Fill=—","Direction=H","UseDPDF=Y")</f>
        <v>42.2425</v>
      </c>
      <c r="W14" s="14">
        <f>_xll.BDH("AMGN US Equity","EBITDA_TO_REVENUE","FQ4 2023","FQ4 2023","Currency=USD","Period=FQ","BEST_FPERIOD_OVERRIDE=FQ","FILING_STATUS=MR","FA_ADJUSTED=GAAP","Sort=A","Dates=H","DateFormat=P","Fill=—","Direction=H","UseDPDF=Y")</f>
        <v>32.344999999999999</v>
      </c>
      <c r="X14" s="14">
        <f>_xll.BDH("AMGN US Equity","EBITDA_TO_REVENUE","FQ1 2024","FQ1 2024","Currency=USD","Period=FQ","BEST_FPERIOD_OVERRIDE=FQ","FILING_STATUS=MR","FA_ADJUSTED=GAAP","Sort=A","Dates=H","DateFormat=P","Fill=—","Direction=H","UseDPDF=Y")</f>
        <v>32.093499999999999</v>
      </c>
      <c r="Y14" s="14">
        <f>_xll.BDH("AMGN US Equity","EBITDA_TO_REVENUE","FQ2 2024","FQ2 2024","Currency=USD","Period=FQ","BEST_FPERIOD_OVERRIDE=FQ","FILING_STATUS=MR","FA_ADJUSTED=GAAP","Sort=A","Dates=H","DateFormat=P","Fill=—","Direction=H","UseDPDF=Y")</f>
        <v>39.449199999999998</v>
      </c>
      <c r="Z14" s="14">
        <f>_xll.BDH("AMGN US Equity","EBITDA_TO_REVENUE","FQ3 2024","FQ3 2024","Currency=USD","Period=FQ","BEST_FPERIOD_OVERRIDE=FQ","FILING_STATUS=MR","FA_ADJUSTED=GAAP","Sort=A","Dates=H","DateFormat=P","Fill=—","Direction=H","UseDPDF=Y")</f>
        <v>40.491599999999998</v>
      </c>
      <c r="AA14" s="14">
        <f>_xll.BDH("AMGN US Equity","EBITDA_TO_REVENUE","FQ4 2024","FQ4 2024","Currency=USD","Period=FQ","BEST_FPERIOD_OVERRIDE=FQ","FILING_STATUS=MR","FA_ADJUSTED=GAAP","Sort=A","Dates=H","DateFormat=P","Fill=—","Direction=H","UseDPDF=Y")</f>
        <v>40.81</v>
      </c>
    </row>
    <row r="15" spans="1:27" x14ac:dyDescent="0.25">
      <c r="A15" s="10" t="s">
        <v>393</v>
      </c>
      <c r="B15" s="10" t="s">
        <v>394</v>
      </c>
      <c r="C15" s="14">
        <f>_xll.BDH("AMGN US Equity","OPER_MARGIN","FQ4 2018","FQ4 2018","Currency=USD","Period=FQ","BEST_FPERIOD_OVERRIDE=FQ","FILING_STATUS=MR","FA_ADJUSTED=GAAP","Sort=A","Dates=H","DateFormat=P","Fill=—","Direction=H","UseDPDF=Y")</f>
        <v>38.234299999999998</v>
      </c>
      <c r="D15" s="14">
        <f>_xll.BDH("AMGN US Equity","OPER_MARGIN","FQ1 2019","FQ1 2019","Currency=USD","Period=FQ","BEST_FPERIOD_OVERRIDE=FQ","FILING_STATUS=MR","FA_ADJUSTED=GAAP","Sort=A","Dates=H","DateFormat=P","Fill=—","Direction=H","UseDPDF=Y")</f>
        <v>44.484400000000001</v>
      </c>
      <c r="E15" s="14">
        <f>_xll.BDH("AMGN US Equity","OPER_MARGIN","FQ2 2019","FQ2 2019","Currency=USD","Period=FQ","BEST_FPERIOD_OVERRIDE=FQ","FILING_STATUS=MR","FA_ADJUSTED=GAAP","Sort=A","Dates=H","DateFormat=P","Fill=—","Direction=H","UseDPDF=Y")</f>
        <v>45.613999999999997</v>
      </c>
      <c r="F15" s="14">
        <f>_xll.BDH("AMGN US Equity","OPER_MARGIN","FQ3 2019","FQ3 2019","Currency=USD","Period=FQ","BEST_FPERIOD_OVERRIDE=FQ","FILING_STATUS=MR","FA_ADJUSTED=GAAP","Sort=A","Dates=H","DateFormat=P","Fill=—","Direction=H","UseDPDF=Y")</f>
        <v>43.1584</v>
      </c>
      <c r="G15" s="14">
        <f>_xll.BDH("AMGN US Equity","OPER_MARGIN","FQ4 2019","FQ4 2019","Currency=USD","Period=FQ","BEST_FPERIOD_OVERRIDE=FQ","FILING_STATUS=MR","FA_ADJUSTED=GAAP","Sort=A","Dates=H","DateFormat=P","Fill=—","Direction=H","UseDPDF=Y")</f>
        <v>33.048200000000001</v>
      </c>
      <c r="H15" s="14">
        <f>_xll.BDH("AMGN US Equity","OPER_MARGIN","FQ1 2020","FQ1 2020","Currency=USD","Period=FQ","BEST_FPERIOD_OVERRIDE=FQ","FILING_STATUS=MR","FA_ADJUSTED=GAAP","Sort=A","Dates=H","DateFormat=P","Fill=—","Direction=H","UseDPDF=Y")</f>
        <v>38.224299999999999</v>
      </c>
      <c r="I15" s="14">
        <f>_xll.BDH("AMGN US Equity","OPER_MARGIN","FQ2 2020","FQ2 2020","Currency=USD","Period=FQ","BEST_FPERIOD_OVERRIDE=FQ","FILING_STATUS=MR","FA_ADJUSTED=GAAP","Sort=A","Dates=H","DateFormat=P","Fill=—","Direction=H","UseDPDF=Y")</f>
        <v>37.4315</v>
      </c>
      <c r="J15" s="14">
        <f>_xll.BDH("AMGN US Equity","OPER_MARGIN","FQ3 2020","FQ3 2020","Currency=USD","Period=FQ","BEST_FPERIOD_OVERRIDE=FQ","FILING_STATUS=MR","FA_ADJUSTED=GAAP","Sort=A","Dates=H","DateFormat=P","Fill=—","Direction=H","UseDPDF=Y")</f>
        <v>38.190899999999999</v>
      </c>
      <c r="K15" s="14">
        <f>_xll.BDH("AMGN US Equity","OPER_MARGIN","FQ4 2020","FQ4 2020","Currency=USD","Period=FQ","BEST_FPERIOD_OVERRIDE=FQ","FILING_STATUS=MR","FA_ADJUSTED=GAAP","Sort=A","Dates=H","DateFormat=P","Fill=—","Direction=H","UseDPDF=Y")</f>
        <v>30.2683</v>
      </c>
      <c r="L15" s="14">
        <f>_xll.BDH("AMGN US Equity","OPER_MARGIN","FQ1 2021","FQ1 2021","Currency=USD","Period=FQ","BEST_FPERIOD_OVERRIDE=FQ","FILING_STATUS=MR","FA_ADJUSTED=GAAP","Sort=A","Dates=H","DateFormat=P","Fill=—","Direction=H","UseDPDF=Y")</f>
        <v>36.078600000000002</v>
      </c>
      <c r="M15" s="14">
        <f>_xll.BDH("AMGN US Equity","OPER_MARGIN","FQ2 2021","FQ2 2021","Currency=USD","Period=FQ","BEST_FPERIOD_OVERRIDE=FQ","FILING_STATUS=MR","FA_ADJUSTED=GAAP","Sort=A","Dates=H","DateFormat=P","Fill=—","Direction=H","UseDPDF=Y")</f>
        <v>12.6877</v>
      </c>
      <c r="N15" s="14">
        <f>_xll.BDH("AMGN US Equity","OPER_MARGIN","FQ3 2021","FQ3 2021","Currency=USD","Period=FQ","BEST_FPERIOD_OVERRIDE=FQ","FILING_STATUS=MR","FA_ADJUSTED=GAAP","Sort=A","Dates=H","DateFormat=P","Fill=—","Direction=H","UseDPDF=Y")</f>
        <v>35.460799999999999</v>
      </c>
      <c r="O15" s="14">
        <f>_xll.BDH("AMGN US Equity","OPER_MARGIN","FQ4 2021","FQ4 2021","Currency=USD","Period=FQ","BEST_FPERIOD_OVERRIDE=FQ","FILING_STATUS=MR","FA_ADJUSTED=GAAP","Sort=A","Dates=H","DateFormat=P","Fill=—","Direction=H","UseDPDF=Y")</f>
        <v>33.654699999999998</v>
      </c>
      <c r="P15" s="14">
        <f>_xll.BDH("AMGN US Equity","OPER_MARGIN","FQ1 2022","FQ1 2022","Currency=USD","Period=FQ","BEST_FPERIOD_OVERRIDE=FQ","FILING_STATUS=MR","FA_ADJUSTED=GAAP","Sort=A","Dates=H","DateFormat=P","Fill=—","Direction=H","UseDPDF=Y")</f>
        <v>40.076900000000002</v>
      </c>
      <c r="Q15" s="14">
        <f>_xll.BDH("AMGN US Equity","OPER_MARGIN","FQ2 2022","FQ2 2022","Currency=USD","Period=FQ","BEST_FPERIOD_OVERRIDE=FQ","FILING_STATUS=MR","FA_ADJUSTED=GAAP","Sort=A","Dates=H","DateFormat=P","Fill=—","Direction=H","UseDPDF=Y")</f>
        <v>32.999699999999997</v>
      </c>
      <c r="R15" s="14">
        <f>_xll.BDH("AMGN US Equity","OPER_MARGIN","FQ3 2022","FQ3 2022","Currency=USD","Period=FQ","BEST_FPERIOD_OVERRIDE=FQ","FILING_STATUS=MR","FA_ADJUSTED=GAAP","Sort=A","Dates=H","DateFormat=P","Fill=—","Direction=H","UseDPDF=Y")</f>
        <v>39.988</v>
      </c>
      <c r="S15" s="14">
        <f>_xll.BDH("AMGN US Equity","OPER_MARGIN","FQ4 2022","FQ4 2022","Currency=USD","Period=FQ","BEST_FPERIOD_OVERRIDE=FQ","FILING_STATUS=MR","FA_ADJUSTED=GAAP","Sort=A","Dates=H","DateFormat=P","Fill=—","Direction=H","UseDPDF=Y")</f>
        <v>32.607100000000003</v>
      </c>
      <c r="T15" s="14">
        <f>_xll.BDH("AMGN US Equity","OPER_MARGIN","FQ1 2023","FQ1 2023","Currency=USD","Period=FQ","BEST_FPERIOD_OVERRIDE=FQ","FILING_STATUS=MR","FA_ADJUSTED=GAAP","Sort=A","Dates=H","DateFormat=P","Fill=—","Direction=H","UseDPDF=Y")</f>
        <v>31.466000000000001</v>
      </c>
      <c r="U15" s="14">
        <f>_xll.BDH("AMGN US Equity","OPER_MARGIN","FQ2 2023","FQ2 2023","Currency=USD","Period=FQ","BEST_FPERIOD_OVERRIDE=FQ","FILING_STATUS=MR","FA_ADJUSTED=GAAP","Sort=A","Dates=H","DateFormat=P","Fill=—","Direction=H","UseDPDF=Y")</f>
        <v>38.419699999999999</v>
      </c>
      <c r="V15" s="14">
        <f>_xll.BDH("AMGN US Equity","OPER_MARGIN","FQ3 2023","FQ3 2023","Currency=USD","Period=FQ","BEST_FPERIOD_OVERRIDE=FQ","FILING_STATUS=MR","FA_ADJUSTED=GAAP","Sort=A","Dates=H","DateFormat=P","Fill=—","Direction=H","UseDPDF=Y")</f>
        <v>29.277100000000001</v>
      </c>
      <c r="W15" s="14">
        <f>_xll.BDH("AMGN US Equity","OPER_MARGIN","FQ4 2023","FQ4 2023","Currency=USD","Period=FQ","BEST_FPERIOD_OVERRIDE=FQ","FILING_STATUS=MR","FA_ADJUSTED=GAAP","Sort=A","Dates=H","DateFormat=P","Fill=—","Direction=H","UseDPDF=Y")</f>
        <v>15.5076</v>
      </c>
      <c r="X15" s="14">
        <f>_xll.BDH("AMGN US Equity","OPER_MARGIN","FQ1 2024","FQ1 2024","Currency=USD","Period=FQ","BEST_FPERIOD_OVERRIDE=FQ","FILING_STATUS=MR","FA_ADJUSTED=GAAP","Sort=A","Dates=H","DateFormat=P","Fill=—","Direction=H","UseDPDF=Y")</f>
        <v>13.307399999999999</v>
      </c>
      <c r="Y15" s="14">
        <f>_xll.BDH("AMGN US Equity","OPER_MARGIN","FQ2 2024","FQ2 2024","Currency=USD","Period=FQ","BEST_FPERIOD_OVERRIDE=FQ","FILING_STATUS=MR","FA_ADJUSTED=GAAP","Sort=A","Dates=H","DateFormat=P","Fill=—","Direction=H","UseDPDF=Y")</f>
        <v>22.758700000000001</v>
      </c>
      <c r="Z15" s="14">
        <f>_xll.BDH("AMGN US Equity","OPER_MARGIN","FQ3 2024","FQ3 2024","Currency=USD","Period=FQ","BEST_FPERIOD_OVERRIDE=FQ","FILING_STATUS=MR","FA_ADJUSTED=GAAP","Sort=A","Dates=H","DateFormat=P","Fill=—","Direction=H","UseDPDF=Y")</f>
        <v>24.073899999999998</v>
      </c>
      <c r="AA15" s="14">
        <f>_xll.BDH("AMGN US Equity","OPER_MARGIN","FQ4 2024","FQ4 2024","Currency=USD","Period=FQ","BEST_FPERIOD_OVERRIDE=FQ","FILING_STATUS=MR","FA_ADJUSTED=GAAP","Sort=A","Dates=H","DateFormat=P","Fill=—","Direction=H","UseDPDF=Y")</f>
        <v>25.434699999999999</v>
      </c>
    </row>
    <row r="16" spans="1:27" x14ac:dyDescent="0.25">
      <c r="A16" s="10" t="s">
        <v>1448</v>
      </c>
      <c r="B16" s="10" t="s">
        <v>1449</v>
      </c>
      <c r="C16" s="14">
        <f>_xll.BDH("AMGN US Equity","INCREMENTAL_OPERATING_MARGIN","FQ4 2018","FQ4 2018","Currency=USD","Period=FQ","BEST_FPERIOD_OVERRIDE=FQ","FILING_STATUS=MR","FA_ADJUSTED=GAAP","Sort=A","Dates=H","DateFormat=P","Fill=—","Direction=H","UseDPDF=Y")</f>
        <v>32.009300000000003</v>
      </c>
      <c r="D16" s="14" t="str">
        <f>_xll.BDH("AMGN US Equity","INCREMENTAL_OPERATING_MARGIN","FQ1 2019","FQ1 2019","Currency=USD","Period=FQ","BEST_FPERIOD_OVERRIDE=FQ","FILING_STATUS=MR","FA_ADJUSTED=GAAP","Sort=A","Dates=H","DateFormat=P","Fill=—","Direction=H","UseDPDF=Y")</f>
        <v>—</v>
      </c>
      <c r="E16" s="14">
        <f>_xll.BDH("AMGN US Equity","INCREMENTAL_OPERATING_MARGIN","FQ2 2019","FQ2 2019","Currency=USD","Period=FQ","BEST_FPERIOD_OVERRIDE=FQ","FILING_STATUS=MR","FA_ADJUSTED=GAAP","Sort=A","Dates=H","DateFormat=P","Fill=—","Direction=H","UseDPDF=Y")</f>
        <v>-81.914900000000003</v>
      </c>
      <c r="F16" s="14" t="str">
        <f>_xll.BDH("AMGN US Equity","INCREMENTAL_OPERATING_MARGIN","FQ3 2019","FQ3 2019","Currency=USD","Period=FQ","BEST_FPERIOD_OVERRIDE=FQ","FILING_STATUS=MR","FA_ADJUSTED=GAAP","Sort=A","Dates=H","DateFormat=P","Fill=—","Direction=H","UseDPDF=Y")</f>
        <v>—</v>
      </c>
      <c r="G16" s="14">
        <f>_xll.BDH("AMGN US Equity","INCREMENTAL_OPERATING_MARGIN","FQ4 2019","FQ4 2019","Currency=USD","Period=FQ","BEST_FPERIOD_OVERRIDE=FQ","FILING_STATUS=MR","FA_ADJUSTED=GAAP","Sort=A","Dates=H","DateFormat=P","Fill=—","Direction=H","UseDPDF=Y")</f>
        <v>-1012.1212</v>
      </c>
      <c r="H16" s="14" t="str">
        <f>_xll.BDH("AMGN US Equity","INCREMENTAL_OPERATING_MARGIN","FQ1 2020","FQ1 2020","Currency=USD","Period=FQ","BEST_FPERIOD_OVERRIDE=FQ","FILING_STATUS=MR","FA_ADJUSTED=GAAP","Sort=A","Dates=H","DateFormat=P","Fill=—","Direction=H","UseDPDF=Y")</f>
        <v>—</v>
      </c>
      <c r="I16" s="14" t="str">
        <f>_xll.BDH("AMGN US Equity","INCREMENTAL_OPERATING_MARGIN","FQ2 2020","FQ2 2020","Currency=USD","Period=FQ","BEST_FPERIOD_OVERRIDE=FQ","FILING_STATUS=MR","FA_ADJUSTED=GAAP","Sort=A","Dates=H","DateFormat=P","Fill=—","Direction=H","UseDPDF=Y")</f>
        <v>—</v>
      </c>
      <c r="J16" s="14" t="str">
        <f>_xll.BDH("AMGN US Equity","INCREMENTAL_OPERATING_MARGIN","FQ3 2020","FQ3 2020","Currency=USD","Period=FQ","BEST_FPERIOD_OVERRIDE=FQ","FILING_STATUS=MR","FA_ADJUSTED=GAAP","Sort=A","Dates=H","DateFormat=P","Fill=—","Direction=H","UseDPDF=Y")</f>
        <v>—</v>
      </c>
      <c r="K16" s="14" t="str">
        <f>_xll.BDH("AMGN US Equity","INCREMENTAL_OPERATING_MARGIN","FQ4 2020","FQ4 2020","Currency=USD","Period=FQ","BEST_FPERIOD_OVERRIDE=FQ","FILING_STATUS=MR","FA_ADJUSTED=GAAP","Sort=A","Dates=H","DateFormat=P","Fill=—","Direction=H","UseDPDF=Y")</f>
        <v>—</v>
      </c>
      <c r="L16" s="14">
        <f>_xll.BDH("AMGN US Equity","INCREMENTAL_OPERATING_MARGIN","FQ1 2021","FQ1 2021","Currency=USD","Period=FQ","BEST_FPERIOD_OVERRIDE=FQ","FILING_STATUS=MR","FA_ADJUSTED=GAAP","Sort=A","Dates=H","DateFormat=P","Fill=—","Direction=H","UseDPDF=Y")</f>
        <v>-86.923100000000005</v>
      </c>
      <c r="M16" s="14" t="str">
        <f>_xll.BDH("AMGN US Equity","INCREMENTAL_OPERATING_MARGIN","FQ2 2021","FQ2 2021","Currency=USD","Period=FQ","BEST_FPERIOD_OVERRIDE=FQ","FILING_STATUS=MR","FA_ADJUSTED=GAAP","Sort=A","Dates=H","DateFormat=P","Fill=—","Direction=H","UseDPDF=Y")</f>
        <v>—</v>
      </c>
      <c r="N16" s="14" t="str">
        <f>_xll.BDH("AMGN US Equity","INCREMENTAL_OPERATING_MARGIN","FQ3 2021","FQ3 2021","Currency=USD","Period=FQ","BEST_FPERIOD_OVERRIDE=FQ","FILING_STATUS=MR","FA_ADJUSTED=GAAP","Sort=A","Dates=H","DateFormat=P","Fill=—","Direction=H","UseDPDF=Y")</f>
        <v>—</v>
      </c>
      <c r="O16" s="14">
        <f>_xll.BDH("AMGN US Equity","INCREMENTAL_OPERATING_MARGIN","FQ4 2021","FQ4 2021","Currency=USD","Period=FQ","BEST_FPERIOD_OVERRIDE=FQ","FILING_STATUS=MR","FA_ADJUSTED=GAAP","Sort=A","Dates=H","DateFormat=P","Fill=—","Direction=H","UseDPDF=Y")</f>
        <v>139.62260000000001</v>
      </c>
      <c r="P16" s="14">
        <f>_xll.BDH("AMGN US Equity","INCREMENTAL_OPERATING_MARGIN","FQ1 2022","FQ1 2022","Currency=USD","Period=FQ","BEST_FPERIOD_OVERRIDE=FQ","FILING_STATUS=MR","FA_ADJUSTED=GAAP","Sort=A","Dates=H","DateFormat=P","Fill=—","Direction=H","UseDPDF=Y")</f>
        <v>110.089</v>
      </c>
      <c r="Q16" s="14">
        <f>_xll.BDH("AMGN US Equity","INCREMENTAL_OPERATING_MARGIN","FQ2 2022","FQ2 2022","Currency=USD","Period=FQ","BEST_FPERIOD_OVERRIDE=FQ","FILING_STATUS=MR","FA_ADJUSTED=GAAP","Sort=A","Dates=H","DateFormat=P","Fill=—","Direction=H","UseDPDF=Y")</f>
        <v>1982.3529000000001</v>
      </c>
      <c r="R16" s="14" t="str">
        <f>_xll.BDH("AMGN US Equity","INCREMENTAL_OPERATING_MARGIN","FQ3 2022","FQ3 2022","Currency=USD","Period=FQ","BEST_FPERIOD_OVERRIDE=FQ","FILING_STATUS=MR","FA_ADJUSTED=GAAP","Sort=A","Dates=H","DateFormat=P","Fill=—","Direction=H","UseDPDF=Y")</f>
        <v>—</v>
      </c>
      <c r="S16" s="14">
        <f>_xll.BDH("AMGN US Equity","INCREMENTAL_OPERATING_MARGIN","FQ4 2022","FQ4 2022","Currency=USD","Period=FQ","BEST_FPERIOD_OVERRIDE=FQ","FILING_STATUS=MR","FA_ADJUSTED=GAAP","Sort=A","Dates=H","DateFormat=P","Fill=—","Direction=H","UseDPDF=Y")</f>
        <v>-1057.1429000000001</v>
      </c>
      <c r="T16" s="14">
        <f>_xll.BDH("AMGN US Equity","INCREMENTAL_OPERATING_MARGIN","FQ1 2023","FQ1 2023","Currency=USD","Period=FQ","BEST_FPERIOD_OVERRIDE=FQ","FILING_STATUS=MR","FA_ADJUSTED=GAAP","Sort=A","Dates=H","DateFormat=P","Fill=—","Direction=H","UseDPDF=Y")</f>
        <v>-435.3383</v>
      </c>
      <c r="U16" s="14">
        <f>_xll.BDH("AMGN US Equity","INCREMENTAL_OPERATING_MARGIN","FQ2 2023","FQ2 2023","Currency=USD","Period=FQ","BEST_FPERIOD_OVERRIDE=FQ","FILING_STATUS=MR","FA_ADJUSTED=GAAP","Sort=A","Dates=H","DateFormat=P","Fill=—","Direction=H","UseDPDF=Y")</f>
        <v>129.59180000000001</v>
      </c>
      <c r="V16" s="14" t="str">
        <f>_xll.BDH("AMGN US Equity","INCREMENTAL_OPERATING_MARGIN","FQ3 2023","FQ3 2023","Currency=USD","Period=FQ","BEST_FPERIOD_OVERRIDE=FQ","FILING_STATUS=MR","FA_ADJUSTED=GAAP","Sort=A","Dates=H","DateFormat=P","Fill=—","Direction=H","UseDPDF=Y")</f>
        <v>—</v>
      </c>
      <c r="W16" s="14" t="str">
        <f>_xll.BDH("AMGN US Equity","INCREMENTAL_OPERATING_MARGIN","FQ4 2023","FQ4 2023","Currency=USD","Period=FQ","BEST_FPERIOD_OVERRIDE=FQ","FILING_STATUS=MR","FA_ADJUSTED=GAAP","Sort=A","Dates=H","DateFormat=P","Fill=—","Direction=H","UseDPDF=Y")</f>
        <v>—</v>
      </c>
      <c r="X16" s="14" t="str">
        <f>_xll.BDH("AMGN US Equity","INCREMENTAL_OPERATING_MARGIN","FQ1 2024","FQ1 2024","Currency=USD","Period=FQ","BEST_FPERIOD_OVERRIDE=FQ","FILING_STATUS=MR","FA_ADJUSTED=GAAP","Sort=A","Dates=H","DateFormat=P","Fill=—","Direction=H","UseDPDF=Y")</f>
        <v>—</v>
      </c>
      <c r="Y16" s="14" t="str">
        <f>_xll.BDH("AMGN US Equity","INCREMENTAL_OPERATING_MARGIN","FQ2 2024","FQ2 2024","Currency=USD","Period=FQ","BEST_FPERIOD_OVERRIDE=FQ","FILING_STATUS=MR","FA_ADJUSTED=GAAP","Sort=A","Dates=H","DateFormat=P","Fill=—","Direction=H","UseDPDF=Y")</f>
        <v>—</v>
      </c>
      <c r="Z16" s="14">
        <f>_xll.BDH("AMGN US Equity","INCREMENTAL_OPERATING_MARGIN","FQ3 2024","FQ3 2024","Currency=USD","Period=FQ","BEST_FPERIOD_OVERRIDE=FQ","FILING_STATUS=MR","FA_ADJUSTED=GAAP","Sort=A","Dates=H","DateFormat=P","Fill=—","Direction=H","UseDPDF=Y")</f>
        <v>1.625</v>
      </c>
      <c r="AA16" s="14">
        <f>_xll.BDH("AMGN US Equity","INCREMENTAL_OPERATING_MARGIN","FQ4 2024","FQ4 2024","Currency=USD","Period=FQ","BEST_FPERIOD_OVERRIDE=FQ","FILING_STATUS=MR","FA_ADJUSTED=GAAP","Sort=A","Dates=H","DateFormat=P","Fill=—","Direction=H","UseDPDF=Y")</f>
        <v>116.8539</v>
      </c>
    </row>
    <row r="17" spans="1:27" x14ac:dyDescent="0.25">
      <c r="A17" s="10" t="s">
        <v>1450</v>
      </c>
      <c r="B17" s="10" t="s">
        <v>1451</v>
      </c>
      <c r="C17" s="14">
        <f>_xll.BDH("AMGN US Equity","PRETAX_INC_TO_NET_SALES","FQ4 2018","FQ4 2018","Currency=USD","Period=FQ","BEST_FPERIOD_OVERRIDE=FQ","FILING_STATUS=MR","FA_ADJUSTED=GAAP","Sort=A","Dates=H","DateFormat=P","Fill=—","Direction=H","UseDPDF=Y")</f>
        <v>35.072200000000002</v>
      </c>
      <c r="D17" s="14">
        <f>_xll.BDH("AMGN US Equity","PRETAX_INC_TO_NET_SALES","FQ1 2019","FQ1 2019","Currency=USD","Period=FQ","BEST_FPERIOD_OVERRIDE=FQ","FILING_STATUS=MR","FA_ADJUSTED=GAAP","Sort=A","Dates=H","DateFormat=P","Fill=—","Direction=H","UseDPDF=Y")</f>
        <v>41.641199999999998</v>
      </c>
      <c r="E17" s="14">
        <f>_xll.BDH("AMGN US Equity","PRETAX_INC_TO_NET_SALES","FQ2 2019","FQ2 2019","Currency=USD","Period=FQ","BEST_FPERIOD_OVERRIDE=FQ","FILING_STATUS=MR","FA_ADJUSTED=GAAP","Sort=A","Dates=H","DateFormat=P","Fill=—","Direction=H","UseDPDF=Y")</f>
        <v>43.6723</v>
      </c>
      <c r="F17" s="14">
        <f>_xll.BDH("AMGN US Equity","PRETAX_INC_TO_NET_SALES","FQ3 2019","FQ3 2019","Currency=USD","Period=FQ","BEST_FPERIOD_OVERRIDE=FQ","FILING_STATUS=MR","FA_ADJUSTED=GAAP","Sort=A","Dates=H","DateFormat=P","Fill=—","Direction=H","UseDPDF=Y")</f>
        <v>39.689700000000002</v>
      </c>
      <c r="G17" s="14">
        <f>_xll.BDH("AMGN US Equity","PRETAX_INC_TO_NET_SALES","FQ4 2019","FQ4 2019","Currency=USD","Period=FQ","BEST_FPERIOD_OVERRIDE=FQ","FILING_STATUS=MR","FA_ADJUSTED=GAAP","Sort=A","Dates=H","DateFormat=P","Fill=—","Direction=H","UseDPDF=Y")</f>
        <v>31.999400000000001</v>
      </c>
      <c r="H17" s="14">
        <f>_xll.BDH("AMGN US Equity","PRETAX_INC_TO_NET_SALES","FQ1 2020","FQ1 2020","Currency=USD","Period=FQ","BEST_FPERIOD_OVERRIDE=FQ","FILING_STATUS=MR","FA_ADJUSTED=GAAP","Sort=A","Dates=H","DateFormat=P","Fill=—","Direction=H","UseDPDF=Y")</f>
        <v>32.786900000000003</v>
      </c>
      <c r="I17" s="14">
        <f>_xll.BDH("AMGN US Equity","PRETAX_INC_TO_NET_SALES","FQ2 2020","FQ2 2020","Currency=USD","Period=FQ","BEST_FPERIOD_OVERRIDE=FQ","FILING_STATUS=MR","FA_ADJUSTED=GAAP","Sort=A","Dates=H","DateFormat=P","Fill=—","Direction=H","UseDPDF=Y")</f>
        <v>32.710299999999997</v>
      </c>
      <c r="J17" s="14">
        <f>_xll.BDH("AMGN US Equity","PRETAX_INC_TO_NET_SALES","FQ3 2020","FQ3 2020","Currency=USD","Period=FQ","BEST_FPERIOD_OVERRIDE=FQ","FILING_STATUS=MR","FA_ADJUSTED=GAAP","Sort=A","Dates=H","DateFormat=P","Fill=—","Direction=H","UseDPDF=Y")</f>
        <v>34.345300000000002</v>
      </c>
      <c r="K17" s="14">
        <f>_xll.BDH("AMGN US Equity","PRETAX_INC_TO_NET_SALES","FQ4 2020","FQ4 2020","Currency=USD","Period=FQ","BEST_FPERIOD_OVERRIDE=FQ","FILING_STATUS=MR","FA_ADJUSTED=GAAP","Sort=A","Dates=H","DateFormat=P","Fill=—","Direction=H","UseDPDF=Y")</f>
        <v>28.293600000000001</v>
      </c>
      <c r="L17" s="14">
        <f>_xll.BDH("AMGN US Equity","PRETAX_INC_TO_NET_SALES","FQ1 2021","FQ1 2021","Currency=USD","Period=FQ","BEST_FPERIOD_OVERRIDE=FQ","FILING_STATUS=MR","FA_ADJUSTED=GAAP","Sort=A","Dates=H","DateFormat=P","Fill=—","Direction=H","UseDPDF=Y")</f>
        <v>31.469200000000001</v>
      </c>
      <c r="M17" s="14">
        <f>_xll.BDH("AMGN US Equity","PRETAX_INC_TO_NET_SALES","FQ2 2021","FQ2 2021","Currency=USD","Period=FQ","BEST_FPERIOD_OVERRIDE=FQ","FILING_STATUS=MR","FA_ADJUSTED=GAAP","Sort=A","Dates=H","DateFormat=P","Fill=—","Direction=H","UseDPDF=Y")</f>
        <v>8.5503999999999998</v>
      </c>
      <c r="N17" s="14">
        <f>_xll.BDH("AMGN US Equity","PRETAX_INC_TO_NET_SALES","FQ3 2021","FQ3 2021","Currency=USD","Period=FQ","BEST_FPERIOD_OVERRIDE=FQ","FILING_STATUS=MR","FA_ADJUSTED=GAAP","Sort=A","Dates=H","DateFormat=P","Fill=—","Direction=H","UseDPDF=Y")</f>
        <v>32.135399999999997</v>
      </c>
      <c r="O17" s="14">
        <f>_xll.BDH("AMGN US Equity","PRETAX_INC_TO_NET_SALES","FQ4 2021","FQ4 2021","Currency=USD","Period=FQ","BEST_FPERIOD_OVERRIDE=FQ","FILING_STATUS=MR","FA_ADJUSTED=GAAP","Sort=A","Dates=H","DateFormat=P","Fill=—","Direction=H","UseDPDF=Y")</f>
        <v>31.127700000000001</v>
      </c>
      <c r="P17" s="14">
        <f>_xll.BDH("AMGN US Equity","PRETAX_INC_TO_NET_SALES","FQ1 2022","FQ1 2022","Currency=USD","Period=FQ","BEST_FPERIOD_OVERRIDE=FQ","FILING_STATUS=MR","FA_ADJUSTED=GAAP","Sort=A","Dates=H","DateFormat=P","Fill=—","Direction=H","UseDPDF=Y")</f>
        <v>26.851600000000001</v>
      </c>
      <c r="Q17" s="14">
        <f>_xll.BDH("AMGN US Equity","PRETAX_INC_TO_NET_SALES","FQ2 2022","FQ2 2022","Currency=USD","Period=FQ","BEST_FPERIOD_OVERRIDE=FQ","FILING_STATUS=MR","FA_ADJUSTED=GAAP","Sort=A","Dates=H","DateFormat=P","Fill=—","Direction=H","UseDPDF=Y")</f>
        <v>23.2181</v>
      </c>
      <c r="R17" s="14">
        <f>_xll.BDH("AMGN US Equity","PRETAX_INC_TO_NET_SALES","FQ3 2022","FQ3 2022","Currency=USD","Period=FQ","BEST_FPERIOD_OVERRIDE=FQ","FILING_STATUS=MR","FA_ADJUSTED=GAAP","Sort=A","Dates=H","DateFormat=P","Fill=—","Direction=H","UseDPDF=Y")</f>
        <v>35.959099999999999</v>
      </c>
      <c r="S17" s="14">
        <f>_xll.BDH("AMGN US Equity","PRETAX_INC_TO_NET_SALES","FQ4 2022","FQ4 2022","Currency=USD","Period=FQ","BEST_FPERIOD_OVERRIDE=FQ","FILING_STATUS=MR","FA_ADJUSTED=GAAP","Sort=A","Dates=H","DateFormat=P","Fill=—","Direction=H","UseDPDF=Y")</f>
        <v>25.5593</v>
      </c>
      <c r="T17" s="14">
        <f>_xll.BDH("AMGN US Equity","PRETAX_INC_TO_NET_SALES","FQ1 2023","FQ1 2023","Currency=USD","Period=FQ","BEST_FPERIOD_OVERRIDE=FQ","FILING_STATUS=MR","FA_ADJUSTED=GAAP","Sort=A","Dates=H","DateFormat=P","Fill=—","Direction=H","UseDPDF=Y")</f>
        <v>56.38</v>
      </c>
      <c r="U17" s="14">
        <f>_xll.BDH("AMGN US Equity","PRETAX_INC_TO_NET_SALES","FQ2 2023","FQ2 2023","Currency=USD","Period=FQ","BEST_FPERIOD_OVERRIDE=FQ","FILING_STATUS=MR","FA_ADJUSTED=GAAP","Sort=A","Dates=H","DateFormat=P","Fill=—","Direction=H","UseDPDF=Y")</f>
        <v>23.103300000000001</v>
      </c>
      <c r="V17" s="14">
        <f>_xll.BDH("AMGN US Equity","PRETAX_INC_TO_NET_SALES","FQ3 2023","FQ3 2023","Currency=USD","Period=FQ","BEST_FPERIOD_OVERRIDE=FQ","FILING_STATUS=MR","FA_ADJUSTED=GAAP","Sort=A","Dates=H","DateFormat=P","Fill=—","Direction=H","UseDPDF=Y")</f>
        <v>28.205100000000002</v>
      </c>
      <c r="W17" s="14">
        <f>_xll.BDH("AMGN US Equity","PRETAX_INC_TO_NET_SALES","FQ4 2023","FQ4 2023","Currency=USD","Period=FQ","BEST_FPERIOD_OVERRIDE=FQ","FILING_STATUS=MR","FA_ADJUSTED=GAAP","Sort=A","Dates=H","DateFormat=P","Fill=—","Direction=H","UseDPDF=Y")</f>
        <v>10.395300000000001</v>
      </c>
      <c r="X17" s="14">
        <f>_xll.BDH("AMGN US Equity","PRETAX_INC_TO_NET_SALES","FQ1 2024","FQ1 2024","Currency=USD","Period=FQ","BEST_FPERIOD_OVERRIDE=FQ","FILING_STATUS=MR","FA_ADJUSTED=GAAP","Sort=A","Dates=H","DateFormat=P","Fill=—","Direction=H","UseDPDF=Y")</f>
        <v>-0.91310000000000002</v>
      </c>
      <c r="Y17" s="14">
        <f>_xll.BDH("AMGN US Equity","PRETAX_INC_TO_NET_SALES","FQ2 2024","FQ2 2024","Currency=USD","Period=FQ","BEST_FPERIOD_OVERRIDE=FQ","FILING_STATUS=MR","FA_ADJUSTED=GAAP","Sort=A","Dates=H","DateFormat=P","Fill=—","Direction=H","UseDPDF=Y")</f>
        <v>9.4658999999999995</v>
      </c>
      <c r="Z17" s="14">
        <f>_xll.BDH("AMGN US Equity","PRETAX_INC_TO_NET_SALES","FQ3 2024","FQ3 2024","Currency=USD","Period=FQ","BEST_FPERIOD_OVERRIDE=FQ","FILING_STATUS=MR","FA_ADJUSTED=GAAP","Sort=A","Dates=H","DateFormat=P","Fill=—","Direction=H","UseDPDF=Y")</f>
        <v>36.469499999999996</v>
      </c>
      <c r="AA17" s="14">
        <f>_xll.BDH("AMGN US Equity","PRETAX_INC_TO_NET_SALES","FQ4 2024","FQ4 2024","Currency=USD","Period=FQ","BEST_FPERIOD_OVERRIDE=FQ","FILING_STATUS=MR","FA_ADJUSTED=GAAP","Sort=A","Dates=H","DateFormat=P","Fill=—","Direction=H","UseDPDF=Y")</f>
        <v>8.6066000000000003</v>
      </c>
    </row>
    <row r="18" spans="1:27" x14ac:dyDescent="0.25">
      <c r="A18" s="10" t="s">
        <v>1452</v>
      </c>
      <c r="B18" s="10" t="s">
        <v>1453</v>
      </c>
      <c r="C18" s="14">
        <f>_xll.BDH("AMGN US Equity","INC_BEF_XO_ITEMS_TO_NET_SALES","FQ4 2018","FQ4 2018","Currency=USD","Period=FQ","BEST_FPERIOD_OVERRIDE=FQ","FILING_STATUS=MR","FA_ADJUSTED=GAAP","Sort=A","Dates=H","DateFormat=P","Fill=—","Direction=H","UseDPDF=Y")</f>
        <v>30.946999999999999</v>
      </c>
      <c r="D18" s="14">
        <f>_xll.BDH("AMGN US Equity","INC_BEF_XO_ITEMS_TO_NET_SALES","FQ1 2019","FQ1 2019","Currency=USD","Period=FQ","BEST_FPERIOD_OVERRIDE=FQ","FILING_STATUS=MR","FA_ADJUSTED=GAAP","Sort=A","Dates=H","DateFormat=P","Fill=—","Direction=H","UseDPDF=Y")</f>
        <v>35.846699999999998</v>
      </c>
      <c r="E18" s="14">
        <f>_xll.BDH("AMGN US Equity","INC_BEF_XO_ITEMS_TO_NET_SALES","FQ2 2019","FQ2 2019","Currency=USD","Period=FQ","BEST_FPERIOD_OVERRIDE=FQ","FILING_STATUS=MR","FA_ADJUSTED=GAAP","Sort=A","Dates=H","DateFormat=P","Fill=—","Direction=H","UseDPDF=Y")</f>
        <v>37.114600000000003</v>
      </c>
      <c r="F18" s="14">
        <f>_xll.BDH("AMGN US Equity","INC_BEF_XO_ITEMS_TO_NET_SALES","FQ3 2019","FQ3 2019","Currency=USD","Period=FQ","BEST_FPERIOD_OVERRIDE=FQ","FILING_STATUS=MR","FA_ADJUSTED=GAAP","Sort=A","Dates=H","DateFormat=P","Fill=—","Direction=H","UseDPDF=Y")</f>
        <v>34.303600000000003</v>
      </c>
      <c r="G18" s="14">
        <f>_xll.BDH("AMGN US Equity","INC_BEF_XO_ITEMS_TO_NET_SALES","FQ4 2019","FQ4 2019","Currency=USD","Period=FQ","BEST_FPERIOD_OVERRIDE=FQ","FILING_STATUS=MR","FA_ADJUSTED=GAAP","Sort=A","Dates=H","DateFormat=P","Fill=—","Direction=H","UseDPDF=Y")</f>
        <v>27.481000000000002</v>
      </c>
      <c r="H18" s="14">
        <f>_xll.BDH("AMGN US Equity","INC_BEF_XO_ITEMS_TO_NET_SALES","FQ1 2020","FQ1 2020","Currency=USD","Period=FQ","BEST_FPERIOD_OVERRIDE=FQ","FILING_STATUS=MR","FA_ADJUSTED=GAAP","Sort=A","Dates=H","DateFormat=P","Fill=—","Direction=H","UseDPDF=Y")</f>
        <v>29.6218</v>
      </c>
      <c r="I18" s="14">
        <f>_xll.BDH("AMGN US Equity","INC_BEF_XO_ITEMS_TO_NET_SALES","FQ2 2020","FQ2 2020","Currency=USD","Period=FQ","BEST_FPERIOD_OVERRIDE=FQ","FILING_STATUS=MR","FA_ADJUSTED=GAAP","Sort=A","Dates=H","DateFormat=P","Fill=—","Direction=H","UseDPDF=Y")</f>
        <v>29.052499999999998</v>
      </c>
      <c r="J18" s="14">
        <f>_xll.BDH("AMGN US Equity","INC_BEF_XO_ITEMS_TO_NET_SALES","FQ3 2020","FQ3 2020","Currency=USD","Period=FQ","BEST_FPERIOD_OVERRIDE=FQ","FILING_STATUS=MR","FA_ADJUSTED=GAAP","Sort=A","Dates=H","DateFormat=P","Fill=—","Direction=H","UseDPDF=Y")</f>
        <v>31.465</v>
      </c>
      <c r="K18" s="14">
        <f>_xll.BDH("AMGN US Equity","INC_BEF_XO_ITEMS_TO_NET_SALES","FQ4 2020","FQ4 2020","Currency=USD","Period=FQ","BEST_FPERIOD_OVERRIDE=FQ","FILING_STATUS=MR","FA_ADJUSTED=GAAP","Sort=A","Dates=H","DateFormat=P","Fill=—","Direction=H","UseDPDF=Y")</f>
        <v>24.3443</v>
      </c>
      <c r="L18" s="14">
        <f>_xll.BDH("AMGN US Equity","INC_BEF_XO_ITEMS_TO_NET_SALES","FQ1 2021","FQ1 2021","Currency=USD","Period=FQ","BEST_FPERIOD_OVERRIDE=FQ","FILING_STATUS=MR","FA_ADJUSTED=GAAP","Sort=A","Dates=H","DateFormat=P","Fill=—","Direction=H","UseDPDF=Y")</f>
        <v>27.893599999999999</v>
      </c>
      <c r="M18" s="14">
        <f>_xll.BDH("AMGN US Equity","INC_BEF_XO_ITEMS_TO_NET_SALES","FQ2 2021","FQ2 2021","Currency=USD","Period=FQ","BEST_FPERIOD_OVERRIDE=FQ","FILING_STATUS=MR","FA_ADJUSTED=GAAP","Sort=A","Dates=H","DateFormat=P","Fill=—","Direction=H","UseDPDF=Y")</f>
        <v>7.11</v>
      </c>
      <c r="N18" s="14">
        <f>_xll.BDH("AMGN US Equity","INC_BEF_XO_ITEMS_TO_NET_SALES","FQ3 2021","FQ3 2021","Currency=USD","Period=FQ","BEST_FPERIOD_OVERRIDE=FQ","FILING_STATUS=MR","FA_ADJUSTED=GAAP","Sort=A","Dates=H","DateFormat=P","Fill=—","Direction=H","UseDPDF=Y")</f>
        <v>28.094200000000001</v>
      </c>
      <c r="O18" s="14">
        <f>_xll.BDH("AMGN US Equity","INC_BEF_XO_ITEMS_TO_NET_SALES","FQ4 2021","FQ4 2021","Currency=USD","Period=FQ","BEST_FPERIOD_OVERRIDE=FQ","FILING_STATUS=MR","FA_ADJUSTED=GAAP","Sort=A","Dates=H","DateFormat=P","Fill=—","Direction=H","UseDPDF=Y")</f>
        <v>27.738800000000001</v>
      </c>
      <c r="P18" s="14">
        <f>_xll.BDH("AMGN US Equity","INC_BEF_XO_ITEMS_TO_NET_SALES","FQ1 2022","FQ1 2022","Currency=USD","Period=FQ","BEST_FPERIOD_OVERRIDE=FQ","FILING_STATUS=MR","FA_ADJUSTED=GAAP","Sort=A","Dates=H","DateFormat=P","Fill=—","Direction=H","UseDPDF=Y")</f>
        <v>23.6614</v>
      </c>
      <c r="Q18" s="14">
        <f>_xll.BDH("AMGN US Equity","INC_BEF_XO_ITEMS_TO_NET_SALES","FQ2 2022","FQ2 2022","Currency=USD","Period=FQ","BEST_FPERIOD_OVERRIDE=FQ","FILING_STATUS=MR","FA_ADJUSTED=GAAP","Sort=A","Dates=H","DateFormat=P","Fill=—","Direction=H","UseDPDF=Y")</f>
        <v>19.9727</v>
      </c>
      <c r="R18" s="14">
        <f>_xll.BDH("AMGN US Equity","INC_BEF_XO_ITEMS_TO_NET_SALES","FQ3 2022","FQ3 2022","Currency=USD","Period=FQ","BEST_FPERIOD_OVERRIDE=FQ","FILING_STATUS=MR","FA_ADJUSTED=GAAP","Sort=A","Dates=H","DateFormat=P","Fill=—","Direction=H","UseDPDF=Y")</f>
        <v>32.215899999999998</v>
      </c>
      <c r="S18" s="14">
        <f>_xll.BDH("AMGN US Equity","INC_BEF_XO_ITEMS_TO_NET_SALES","FQ4 2022","FQ4 2022","Currency=USD","Period=FQ","BEST_FPERIOD_OVERRIDE=FQ","FILING_STATUS=MR","FA_ADJUSTED=GAAP","Sort=A","Dates=H","DateFormat=P","Fill=—","Direction=H","UseDPDF=Y")</f>
        <v>23.629200000000001</v>
      </c>
      <c r="T18" s="14">
        <f>_xll.BDH("AMGN US Equity","INC_BEF_XO_ITEMS_TO_NET_SALES","FQ1 2023","FQ1 2023","Currency=USD","Period=FQ","BEST_FPERIOD_OVERRIDE=FQ","FILING_STATUS=MR","FA_ADJUSTED=GAAP","Sort=A","Dates=H","DateFormat=P","Fill=—","Direction=H","UseDPDF=Y")</f>
        <v>46.535600000000002</v>
      </c>
      <c r="U18" s="14">
        <f>_xll.BDH("AMGN US Equity","INC_BEF_XO_ITEMS_TO_NET_SALES","FQ2 2023","FQ2 2023","Currency=USD","Period=FQ","BEST_FPERIOD_OVERRIDE=FQ","FILING_STATUS=MR","FA_ADJUSTED=GAAP","Sort=A","Dates=H","DateFormat=P","Fill=—","Direction=H","UseDPDF=Y")</f>
        <v>19.7395</v>
      </c>
      <c r="V18" s="14">
        <f>_xll.BDH("AMGN US Equity","INC_BEF_XO_ITEMS_TO_NET_SALES","FQ3 2023","FQ3 2023","Currency=USD","Period=FQ","BEST_FPERIOD_OVERRIDE=FQ","FILING_STATUS=MR","FA_ADJUSTED=GAAP","Sort=A","Dates=H","DateFormat=P","Fill=—","Direction=H","UseDPDF=Y")</f>
        <v>25.061599999999999</v>
      </c>
      <c r="W18" s="14">
        <f>_xll.BDH("AMGN US Equity","INC_BEF_XO_ITEMS_TO_NET_SALES","FQ4 2023","FQ4 2023","Currency=USD","Period=FQ","BEST_FPERIOD_OVERRIDE=FQ","FILING_STATUS=MR","FA_ADJUSTED=GAAP","Sort=A","Dates=H","DateFormat=P","Fill=—","Direction=H","UseDPDF=Y")</f>
        <v>9.3582000000000001</v>
      </c>
      <c r="X18" s="14">
        <f>_xll.BDH("AMGN US Equity","INC_BEF_XO_ITEMS_TO_NET_SALES","FQ1 2024","FQ1 2024","Currency=USD","Period=FQ","BEST_FPERIOD_OVERRIDE=FQ","FILING_STATUS=MR","FA_ADJUSTED=GAAP","Sort=A","Dates=H","DateFormat=P","Fill=—","Direction=H","UseDPDF=Y")</f>
        <v>-1.5174000000000001</v>
      </c>
      <c r="Y18" s="14">
        <f>_xll.BDH("AMGN US Equity","INC_BEF_XO_ITEMS_TO_NET_SALES","FQ2 2024","FQ2 2024","Currency=USD","Period=FQ","BEST_FPERIOD_OVERRIDE=FQ","FILING_STATUS=MR","FA_ADJUSTED=GAAP","Sort=A","Dates=H","DateFormat=P","Fill=—","Direction=H","UseDPDF=Y")</f>
        <v>8.8937000000000008</v>
      </c>
      <c r="Z18" s="14">
        <f>_xll.BDH("AMGN US Equity","INC_BEF_XO_ITEMS_TO_NET_SALES","FQ3 2024","FQ3 2024","Currency=USD","Period=FQ","BEST_FPERIOD_OVERRIDE=FQ","FILING_STATUS=MR","FA_ADJUSTED=GAAP","Sort=A","Dates=H","DateFormat=P","Fill=—","Direction=H","UseDPDF=Y")</f>
        <v>33.282400000000003</v>
      </c>
      <c r="AA18" s="14">
        <f>_xll.BDH("AMGN US Equity","INC_BEF_XO_ITEMS_TO_NET_SALES","FQ4 2024","FQ4 2024","Currency=USD","Period=FQ","BEST_FPERIOD_OVERRIDE=FQ","FILING_STATUS=MR","FA_ADJUSTED=GAAP","Sort=A","Dates=H","DateFormat=P","Fill=—","Direction=H","UseDPDF=Y")</f>
        <v>6.9006999999999996</v>
      </c>
    </row>
    <row r="19" spans="1:27" x14ac:dyDescent="0.25">
      <c r="A19" s="10" t="s">
        <v>1454</v>
      </c>
      <c r="B19" s="10" t="s">
        <v>396</v>
      </c>
      <c r="C19" s="14">
        <f>_xll.BDH("AMGN US Equity","PROF_MARGIN","FQ4 2018","FQ4 2018","Currency=USD","Period=FQ","BEST_FPERIOD_OVERRIDE=FQ","FILING_STATUS=MR","FA_ADJUSTED=GAAP","Sort=A","Dates=H","DateFormat=P","Fill=—","Direction=H","UseDPDF=Y")</f>
        <v>30.946999999999999</v>
      </c>
      <c r="D19" s="14">
        <f>_xll.BDH("AMGN US Equity","PROF_MARGIN","FQ1 2019","FQ1 2019","Currency=USD","Period=FQ","BEST_FPERIOD_OVERRIDE=FQ","FILING_STATUS=MR","FA_ADJUSTED=GAAP","Sort=A","Dates=H","DateFormat=P","Fill=—","Direction=H","UseDPDF=Y")</f>
        <v>35.846699999999998</v>
      </c>
      <c r="E19" s="14">
        <f>_xll.BDH("AMGN US Equity","PROF_MARGIN","FQ2 2019","FQ2 2019","Currency=USD","Period=FQ","BEST_FPERIOD_OVERRIDE=FQ","FILING_STATUS=MR","FA_ADJUSTED=GAAP","Sort=A","Dates=H","DateFormat=P","Fill=—","Direction=H","UseDPDF=Y")</f>
        <v>37.114600000000003</v>
      </c>
      <c r="F19" s="14">
        <f>_xll.BDH("AMGN US Equity","PROF_MARGIN","FQ3 2019","FQ3 2019","Currency=USD","Period=FQ","BEST_FPERIOD_OVERRIDE=FQ","FILING_STATUS=MR","FA_ADJUSTED=GAAP","Sort=A","Dates=H","DateFormat=P","Fill=—","Direction=H","UseDPDF=Y")</f>
        <v>34.303600000000003</v>
      </c>
      <c r="G19" s="14">
        <f>_xll.BDH("AMGN US Equity","PROF_MARGIN","FQ4 2019","FQ4 2019","Currency=USD","Period=FQ","BEST_FPERIOD_OVERRIDE=FQ","FILING_STATUS=MR","FA_ADJUSTED=GAAP","Sort=A","Dates=H","DateFormat=P","Fill=—","Direction=H","UseDPDF=Y")</f>
        <v>27.481000000000002</v>
      </c>
      <c r="H19" s="14">
        <f>_xll.BDH("AMGN US Equity","PROF_MARGIN","FQ1 2020","FQ1 2020","Currency=USD","Period=FQ","BEST_FPERIOD_OVERRIDE=FQ","FILING_STATUS=MR","FA_ADJUSTED=GAAP","Sort=A","Dates=H","DateFormat=P","Fill=—","Direction=H","UseDPDF=Y")</f>
        <v>29.6218</v>
      </c>
      <c r="I19" s="14">
        <f>_xll.BDH("AMGN US Equity","PROF_MARGIN","FQ2 2020","FQ2 2020","Currency=USD","Period=FQ","BEST_FPERIOD_OVERRIDE=FQ","FILING_STATUS=MR","FA_ADJUSTED=GAAP","Sort=A","Dates=H","DateFormat=P","Fill=—","Direction=H","UseDPDF=Y")</f>
        <v>29.052499999999998</v>
      </c>
      <c r="J19" s="14">
        <f>_xll.BDH("AMGN US Equity","PROF_MARGIN","FQ3 2020","FQ3 2020","Currency=USD","Period=FQ","BEST_FPERIOD_OVERRIDE=FQ","FILING_STATUS=MR","FA_ADJUSTED=GAAP","Sort=A","Dates=H","DateFormat=P","Fill=—","Direction=H","UseDPDF=Y")</f>
        <v>31.465</v>
      </c>
      <c r="K19" s="14">
        <f>_xll.BDH("AMGN US Equity","PROF_MARGIN","FQ4 2020","FQ4 2020","Currency=USD","Period=FQ","BEST_FPERIOD_OVERRIDE=FQ","FILING_STATUS=MR","FA_ADJUSTED=GAAP","Sort=A","Dates=H","DateFormat=P","Fill=—","Direction=H","UseDPDF=Y")</f>
        <v>24.3443</v>
      </c>
      <c r="L19" s="14">
        <f>_xll.BDH("AMGN US Equity","PROF_MARGIN","FQ1 2021","FQ1 2021","Currency=USD","Period=FQ","BEST_FPERIOD_OVERRIDE=FQ","FILING_STATUS=MR","FA_ADJUSTED=GAAP","Sort=A","Dates=H","DateFormat=P","Fill=—","Direction=H","UseDPDF=Y")</f>
        <v>27.893599999999999</v>
      </c>
      <c r="M19" s="14">
        <f>_xll.BDH("AMGN US Equity","PROF_MARGIN","FQ2 2021","FQ2 2021","Currency=USD","Period=FQ","BEST_FPERIOD_OVERRIDE=FQ","FILING_STATUS=MR","FA_ADJUSTED=GAAP","Sort=A","Dates=H","DateFormat=P","Fill=—","Direction=H","UseDPDF=Y")</f>
        <v>7.11</v>
      </c>
      <c r="N19" s="14">
        <f>_xll.BDH("AMGN US Equity","PROF_MARGIN","FQ3 2021","FQ3 2021","Currency=USD","Period=FQ","BEST_FPERIOD_OVERRIDE=FQ","FILING_STATUS=MR","FA_ADJUSTED=GAAP","Sort=A","Dates=H","DateFormat=P","Fill=—","Direction=H","UseDPDF=Y")</f>
        <v>28.094200000000001</v>
      </c>
      <c r="O19" s="14">
        <f>_xll.BDH("AMGN US Equity","PROF_MARGIN","FQ4 2021","FQ4 2021","Currency=USD","Period=FQ","BEST_FPERIOD_OVERRIDE=FQ","FILING_STATUS=MR","FA_ADJUSTED=GAAP","Sort=A","Dates=H","DateFormat=P","Fill=—","Direction=H","UseDPDF=Y")</f>
        <v>27.738800000000001</v>
      </c>
      <c r="P19" s="14">
        <f>_xll.BDH("AMGN US Equity","PROF_MARGIN","FQ1 2022","FQ1 2022","Currency=USD","Period=FQ","BEST_FPERIOD_OVERRIDE=FQ","FILING_STATUS=MR","FA_ADJUSTED=GAAP","Sort=A","Dates=H","DateFormat=P","Fill=—","Direction=H","UseDPDF=Y")</f>
        <v>23.6614</v>
      </c>
      <c r="Q19" s="14">
        <f>_xll.BDH("AMGN US Equity","PROF_MARGIN","FQ2 2022","FQ2 2022","Currency=USD","Period=FQ","BEST_FPERIOD_OVERRIDE=FQ","FILING_STATUS=MR","FA_ADJUSTED=GAAP","Sort=A","Dates=H","DateFormat=P","Fill=—","Direction=H","UseDPDF=Y")</f>
        <v>19.9727</v>
      </c>
      <c r="R19" s="14">
        <f>_xll.BDH("AMGN US Equity","PROF_MARGIN","FQ3 2022","FQ3 2022","Currency=USD","Period=FQ","BEST_FPERIOD_OVERRIDE=FQ","FILING_STATUS=MR","FA_ADJUSTED=GAAP","Sort=A","Dates=H","DateFormat=P","Fill=—","Direction=H","UseDPDF=Y")</f>
        <v>32.215899999999998</v>
      </c>
      <c r="S19" s="14">
        <f>_xll.BDH("AMGN US Equity","PROF_MARGIN","FQ4 2022","FQ4 2022","Currency=USD","Period=FQ","BEST_FPERIOD_OVERRIDE=FQ","FILING_STATUS=MR","FA_ADJUSTED=GAAP","Sort=A","Dates=H","DateFormat=P","Fill=—","Direction=H","UseDPDF=Y")</f>
        <v>23.629200000000001</v>
      </c>
      <c r="T19" s="14">
        <f>_xll.BDH("AMGN US Equity","PROF_MARGIN","FQ1 2023","FQ1 2023","Currency=USD","Period=FQ","BEST_FPERIOD_OVERRIDE=FQ","FILING_STATUS=MR","FA_ADJUSTED=GAAP","Sort=A","Dates=H","DateFormat=P","Fill=—","Direction=H","UseDPDF=Y")</f>
        <v>46.535600000000002</v>
      </c>
      <c r="U19" s="14">
        <f>_xll.BDH("AMGN US Equity","PROF_MARGIN","FQ2 2023","FQ2 2023","Currency=USD","Period=FQ","BEST_FPERIOD_OVERRIDE=FQ","FILING_STATUS=MR","FA_ADJUSTED=GAAP","Sort=A","Dates=H","DateFormat=P","Fill=—","Direction=H","UseDPDF=Y")</f>
        <v>19.7395</v>
      </c>
      <c r="V19" s="14">
        <f>_xll.BDH("AMGN US Equity","PROF_MARGIN","FQ3 2023","FQ3 2023","Currency=USD","Period=FQ","BEST_FPERIOD_OVERRIDE=FQ","FILING_STATUS=MR","FA_ADJUSTED=GAAP","Sort=A","Dates=H","DateFormat=P","Fill=—","Direction=H","UseDPDF=Y")</f>
        <v>25.061599999999999</v>
      </c>
      <c r="W19" s="14">
        <f>_xll.BDH("AMGN US Equity","PROF_MARGIN","FQ4 2023","FQ4 2023","Currency=USD","Period=FQ","BEST_FPERIOD_OVERRIDE=FQ","FILING_STATUS=MR","FA_ADJUSTED=GAAP","Sort=A","Dates=H","DateFormat=P","Fill=—","Direction=H","UseDPDF=Y")</f>
        <v>9.3582000000000001</v>
      </c>
      <c r="X19" s="14">
        <f>_xll.BDH("AMGN US Equity","PROF_MARGIN","FQ1 2024","FQ1 2024","Currency=USD","Period=FQ","BEST_FPERIOD_OVERRIDE=FQ","FILING_STATUS=MR","FA_ADJUSTED=GAAP","Sort=A","Dates=H","DateFormat=P","Fill=—","Direction=H","UseDPDF=Y")</f>
        <v>-1.5174000000000001</v>
      </c>
      <c r="Y19" s="14">
        <f>_xll.BDH("AMGN US Equity","PROF_MARGIN","FQ2 2024","FQ2 2024","Currency=USD","Period=FQ","BEST_FPERIOD_OVERRIDE=FQ","FILING_STATUS=MR","FA_ADJUSTED=GAAP","Sort=A","Dates=H","DateFormat=P","Fill=—","Direction=H","UseDPDF=Y")</f>
        <v>8.8937000000000008</v>
      </c>
      <c r="Z19" s="14">
        <f>_xll.BDH("AMGN US Equity","PROF_MARGIN","FQ3 2024","FQ3 2024","Currency=USD","Period=FQ","BEST_FPERIOD_OVERRIDE=FQ","FILING_STATUS=MR","FA_ADJUSTED=GAAP","Sort=A","Dates=H","DateFormat=P","Fill=—","Direction=H","UseDPDF=Y")</f>
        <v>33.282400000000003</v>
      </c>
      <c r="AA19" s="14">
        <f>_xll.BDH("AMGN US Equity","PROF_MARGIN","FQ4 2024","FQ4 2024","Currency=USD","Period=FQ","BEST_FPERIOD_OVERRIDE=FQ","FILING_STATUS=MR","FA_ADJUSTED=GAAP","Sort=A","Dates=H","DateFormat=P","Fill=—","Direction=H","UseDPDF=Y")</f>
        <v>6.9006999999999996</v>
      </c>
    </row>
    <row r="20" spans="1:27" x14ac:dyDescent="0.25">
      <c r="A20" s="10" t="s">
        <v>1455</v>
      </c>
      <c r="B20" s="10" t="s">
        <v>1456</v>
      </c>
      <c r="C20" s="14">
        <f>_xll.BDH("AMGN US Equity","NET_INCOME_TO_COMMON_MARGIN","FQ4 2018","FQ4 2018","Currency=USD","Period=FQ","BEST_FPERIOD_OVERRIDE=FQ","FILING_STATUS=MR","FA_ADJUSTED=GAAP","Sort=A","Dates=H","DateFormat=P","Fill=—","Direction=H","UseDPDF=Y")</f>
        <v>30.946999999999999</v>
      </c>
      <c r="D20" s="14">
        <f>_xll.BDH("AMGN US Equity","NET_INCOME_TO_COMMON_MARGIN","FQ1 2019","FQ1 2019","Currency=USD","Period=FQ","BEST_FPERIOD_OVERRIDE=FQ","FILING_STATUS=MR","FA_ADJUSTED=GAAP","Sort=A","Dates=H","DateFormat=P","Fill=—","Direction=H","UseDPDF=Y")</f>
        <v>35.846699999999998</v>
      </c>
      <c r="E20" s="14">
        <f>_xll.BDH("AMGN US Equity","NET_INCOME_TO_COMMON_MARGIN","FQ2 2019","FQ2 2019","Currency=USD","Period=FQ","BEST_FPERIOD_OVERRIDE=FQ","FILING_STATUS=MR","FA_ADJUSTED=GAAP","Sort=A","Dates=H","DateFormat=P","Fill=—","Direction=H","UseDPDF=Y")</f>
        <v>37.114600000000003</v>
      </c>
      <c r="F20" s="14">
        <f>_xll.BDH("AMGN US Equity","NET_INCOME_TO_COMMON_MARGIN","FQ3 2019","FQ3 2019","Currency=USD","Period=FQ","BEST_FPERIOD_OVERRIDE=FQ","FILING_STATUS=MR","FA_ADJUSTED=GAAP","Sort=A","Dates=H","DateFormat=P","Fill=—","Direction=H","UseDPDF=Y")</f>
        <v>34.303600000000003</v>
      </c>
      <c r="G20" s="14">
        <f>_xll.BDH("AMGN US Equity","NET_INCOME_TO_COMMON_MARGIN","FQ4 2019","FQ4 2019","Currency=USD","Period=FQ","BEST_FPERIOD_OVERRIDE=FQ","FILING_STATUS=MR","FA_ADJUSTED=GAAP","Sort=A","Dates=H","DateFormat=P","Fill=—","Direction=H","UseDPDF=Y")</f>
        <v>27.481000000000002</v>
      </c>
      <c r="H20" s="14">
        <f>_xll.BDH("AMGN US Equity","NET_INCOME_TO_COMMON_MARGIN","FQ1 2020","FQ1 2020","Currency=USD","Period=FQ","BEST_FPERIOD_OVERRIDE=FQ","FILING_STATUS=MR","FA_ADJUSTED=GAAP","Sort=A","Dates=H","DateFormat=P","Fill=—","Direction=H","UseDPDF=Y")</f>
        <v>29.6218</v>
      </c>
      <c r="I20" s="14">
        <f>_xll.BDH("AMGN US Equity","NET_INCOME_TO_COMMON_MARGIN","FQ2 2020","FQ2 2020","Currency=USD","Period=FQ","BEST_FPERIOD_OVERRIDE=FQ","FILING_STATUS=MR","FA_ADJUSTED=GAAP","Sort=A","Dates=H","DateFormat=P","Fill=—","Direction=H","UseDPDF=Y")</f>
        <v>29.052499999999998</v>
      </c>
      <c r="J20" s="14">
        <f>_xll.BDH("AMGN US Equity","NET_INCOME_TO_COMMON_MARGIN","FQ3 2020","FQ3 2020","Currency=USD","Period=FQ","BEST_FPERIOD_OVERRIDE=FQ","FILING_STATUS=MR","FA_ADJUSTED=GAAP","Sort=A","Dates=H","DateFormat=P","Fill=—","Direction=H","UseDPDF=Y")</f>
        <v>31.465</v>
      </c>
      <c r="K20" s="14">
        <f>_xll.BDH("AMGN US Equity","NET_INCOME_TO_COMMON_MARGIN","FQ4 2020","FQ4 2020","Currency=USD","Period=FQ","BEST_FPERIOD_OVERRIDE=FQ","FILING_STATUS=MR","FA_ADJUSTED=GAAP","Sort=A","Dates=H","DateFormat=P","Fill=—","Direction=H","UseDPDF=Y")</f>
        <v>24.3443</v>
      </c>
      <c r="L20" s="14">
        <f>_xll.BDH("AMGN US Equity","NET_INCOME_TO_COMMON_MARGIN","FQ1 2021","FQ1 2021","Currency=USD","Period=FQ","BEST_FPERIOD_OVERRIDE=FQ","FILING_STATUS=MR","FA_ADJUSTED=GAAP","Sort=A","Dates=H","DateFormat=P","Fill=—","Direction=H","UseDPDF=Y")</f>
        <v>27.893599999999999</v>
      </c>
      <c r="M20" s="14">
        <f>_xll.BDH("AMGN US Equity","NET_INCOME_TO_COMMON_MARGIN","FQ2 2021","FQ2 2021","Currency=USD","Period=FQ","BEST_FPERIOD_OVERRIDE=FQ","FILING_STATUS=MR","FA_ADJUSTED=GAAP","Sort=A","Dates=H","DateFormat=P","Fill=—","Direction=H","UseDPDF=Y")</f>
        <v>7.11</v>
      </c>
      <c r="N20" s="14">
        <f>_xll.BDH("AMGN US Equity","NET_INCOME_TO_COMMON_MARGIN","FQ3 2021","FQ3 2021","Currency=USD","Period=FQ","BEST_FPERIOD_OVERRIDE=FQ","FILING_STATUS=MR","FA_ADJUSTED=GAAP","Sort=A","Dates=H","DateFormat=P","Fill=—","Direction=H","UseDPDF=Y")</f>
        <v>28.094200000000001</v>
      </c>
      <c r="O20" s="14">
        <f>_xll.BDH("AMGN US Equity","NET_INCOME_TO_COMMON_MARGIN","FQ4 2021","FQ4 2021","Currency=USD","Period=FQ","BEST_FPERIOD_OVERRIDE=FQ","FILING_STATUS=MR","FA_ADJUSTED=GAAP","Sort=A","Dates=H","DateFormat=P","Fill=—","Direction=H","UseDPDF=Y")</f>
        <v>27.738800000000001</v>
      </c>
      <c r="P20" s="14">
        <f>_xll.BDH("AMGN US Equity","NET_INCOME_TO_COMMON_MARGIN","FQ1 2022","FQ1 2022","Currency=USD","Period=FQ","BEST_FPERIOD_OVERRIDE=FQ","FILING_STATUS=MR","FA_ADJUSTED=GAAP","Sort=A","Dates=H","DateFormat=P","Fill=—","Direction=H","UseDPDF=Y")</f>
        <v>23.6614</v>
      </c>
      <c r="Q20" s="14">
        <f>_xll.BDH("AMGN US Equity","NET_INCOME_TO_COMMON_MARGIN","FQ2 2022","FQ2 2022","Currency=USD","Period=FQ","BEST_FPERIOD_OVERRIDE=FQ","FILING_STATUS=MR","FA_ADJUSTED=GAAP","Sort=A","Dates=H","DateFormat=P","Fill=—","Direction=H","UseDPDF=Y")</f>
        <v>19.9727</v>
      </c>
      <c r="R20" s="14">
        <f>_xll.BDH("AMGN US Equity","NET_INCOME_TO_COMMON_MARGIN","FQ3 2022","FQ3 2022","Currency=USD","Period=FQ","BEST_FPERIOD_OVERRIDE=FQ","FILING_STATUS=MR","FA_ADJUSTED=GAAP","Sort=A","Dates=H","DateFormat=P","Fill=—","Direction=H","UseDPDF=Y")</f>
        <v>32.215899999999998</v>
      </c>
      <c r="S20" s="14">
        <f>_xll.BDH("AMGN US Equity","NET_INCOME_TO_COMMON_MARGIN","FQ4 2022","FQ4 2022","Currency=USD","Period=FQ","BEST_FPERIOD_OVERRIDE=FQ","FILING_STATUS=MR","FA_ADJUSTED=GAAP","Sort=A","Dates=H","DateFormat=P","Fill=—","Direction=H","UseDPDF=Y")</f>
        <v>23.629200000000001</v>
      </c>
      <c r="T20" s="14">
        <f>_xll.BDH("AMGN US Equity","NET_INCOME_TO_COMMON_MARGIN","FQ1 2023","FQ1 2023","Currency=USD","Period=FQ","BEST_FPERIOD_OVERRIDE=FQ","FILING_STATUS=MR","FA_ADJUSTED=GAAP","Sort=A","Dates=H","DateFormat=P","Fill=—","Direction=H","UseDPDF=Y")</f>
        <v>46.535600000000002</v>
      </c>
      <c r="U20" s="14">
        <f>_xll.BDH("AMGN US Equity","NET_INCOME_TO_COMMON_MARGIN","FQ2 2023","FQ2 2023","Currency=USD","Period=FQ","BEST_FPERIOD_OVERRIDE=FQ","FILING_STATUS=MR","FA_ADJUSTED=GAAP","Sort=A","Dates=H","DateFormat=P","Fill=—","Direction=H","UseDPDF=Y")</f>
        <v>19.7395</v>
      </c>
      <c r="V20" s="14">
        <f>_xll.BDH("AMGN US Equity","NET_INCOME_TO_COMMON_MARGIN","FQ3 2023","FQ3 2023","Currency=USD","Period=FQ","BEST_FPERIOD_OVERRIDE=FQ","FILING_STATUS=MR","FA_ADJUSTED=GAAP","Sort=A","Dates=H","DateFormat=P","Fill=—","Direction=H","UseDPDF=Y")</f>
        <v>25.061599999999999</v>
      </c>
      <c r="W20" s="14">
        <f>_xll.BDH("AMGN US Equity","NET_INCOME_TO_COMMON_MARGIN","FQ4 2023","FQ4 2023","Currency=USD","Period=FQ","BEST_FPERIOD_OVERRIDE=FQ","FILING_STATUS=MR","FA_ADJUSTED=GAAP","Sort=A","Dates=H","DateFormat=P","Fill=—","Direction=H","UseDPDF=Y")</f>
        <v>9.3582000000000001</v>
      </c>
      <c r="X20" s="14">
        <f>_xll.BDH("AMGN US Equity","NET_INCOME_TO_COMMON_MARGIN","FQ1 2024","FQ1 2024","Currency=USD","Period=FQ","BEST_FPERIOD_OVERRIDE=FQ","FILING_STATUS=MR","FA_ADJUSTED=GAAP","Sort=A","Dates=H","DateFormat=P","Fill=—","Direction=H","UseDPDF=Y")</f>
        <v>-1.5174000000000001</v>
      </c>
      <c r="Y20" s="14">
        <f>_xll.BDH("AMGN US Equity","NET_INCOME_TO_COMMON_MARGIN","FQ2 2024","FQ2 2024","Currency=USD","Period=FQ","BEST_FPERIOD_OVERRIDE=FQ","FILING_STATUS=MR","FA_ADJUSTED=GAAP","Sort=A","Dates=H","DateFormat=P","Fill=—","Direction=H","UseDPDF=Y")</f>
        <v>8.8937000000000008</v>
      </c>
      <c r="Z20" s="14">
        <f>_xll.BDH("AMGN US Equity","NET_INCOME_TO_COMMON_MARGIN","FQ3 2024","FQ3 2024","Currency=USD","Period=FQ","BEST_FPERIOD_OVERRIDE=FQ","FILING_STATUS=MR","FA_ADJUSTED=GAAP","Sort=A","Dates=H","DateFormat=P","Fill=—","Direction=H","UseDPDF=Y")</f>
        <v>33.282400000000003</v>
      </c>
      <c r="AA20" s="14">
        <f>_xll.BDH("AMGN US Equity","NET_INCOME_TO_COMMON_MARGIN","FQ4 2024","FQ4 2024","Currency=USD","Period=FQ","BEST_FPERIOD_OVERRIDE=FQ","FILING_STATUS=MR","FA_ADJUSTED=GAAP","Sort=A","Dates=H","DateFormat=P","Fill=—","Direction=H","UseDPDF=Y")</f>
        <v>6.9006999999999996</v>
      </c>
    </row>
    <row r="21" spans="1:27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6" t="s">
        <v>1457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x14ac:dyDescent="0.25">
      <c r="A23" s="10" t="s">
        <v>1458</v>
      </c>
      <c r="B23" s="10" t="s">
        <v>1459</v>
      </c>
      <c r="C23" s="14">
        <f>_xll.BDH("AMGN US Equity","EFF_TAX_RATE","FQ4 2018","FQ4 2018","Currency=USD","Period=FQ","BEST_FPERIOD_OVERRIDE=FQ","FILING_STATUS=MR","FA_ADJUSTED=GAAP","Sort=A","Dates=H","DateFormat=P","Fill=—","Direction=H","UseDPDF=Y")</f>
        <v>11.762</v>
      </c>
      <c r="D23" s="14">
        <f>_xll.BDH("AMGN US Equity","EFF_TAX_RATE","FQ1 2019","FQ1 2019","Currency=USD","Period=FQ","BEST_FPERIOD_OVERRIDE=FQ","FILING_STATUS=MR","FA_ADJUSTED=GAAP","Sort=A","Dates=H","DateFormat=P","Fill=—","Direction=H","UseDPDF=Y")</f>
        <v>13.9153</v>
      </c>
      <c r="E23" s="14">
        <f>_xll.BDH("AMGN US Equity","EFF_TAX_RATE","FQ2 2019","FQ2 2019","Currency=USD","Period=FQ","BEST_FPERIOD_OVERRIDE=FQ","FILING_STATUS=MR","FA_ADJUSTED=GAAP","Sort=A","Dates=H","DateFormat=P","Fill=—","Direction=H","UseDPDF=Y")</f>
        <v>15.015599999999999</v>
      </c>
      <c r="F23" s="14">
        <f>_xll.BDH("AMGN US Equity","EFF_TAX_RATE","FQ3 2019","FQ3 2019","Currency=USD","Period=FQ","BEST_FPERIOD_OVERRIDE=FQ","FILING_STATUS=MR","FA_ADJUSTED=GAAP","Sort=A","Dates=H","DateFormat=P","Fill=—","Direction=H","UseDPDF=Y")</f>
        <v>13.570499999999999</v>
      </c>
      <c r="G23" s="14">
        <f>_xll.BDH("AMGN US Equity","EFF_TAX_RATE","FQ4 2019","FQ4 2019","Currency=USD","Period=FQ","BEST_FPERIOD_OVERRIDE=FQ","FILING_STATUS=MR","FA_ADJUSTED=GAAP","Sort=A","Dates=H","DateFormat=P","Fill=—","Direction=H","UseDPDF=Y")</f>
        <v>14.12</v>
      </c>
      <c r="H23" s="14">
        <f>_xll.BDH("AMGN US Equity","EFF_TAX_RATE","FQ1 2020","FQ1 2020","Currency=USD","Period=FQ","BEST_FPERIOD_OVERRIDE=FQ","FILING_STATUS=MR","FA_ADJUSTED=GAAP","Sort=A","Dates=H","DateFormat=P","Fill=—","Direction=H","UseDPDF=Y")</f>
        <v>9.6534999999999993</v>
      </c>
      <c r="I23" s="14">
        <f>_xll.BDH("AMGN US Equity","EFF_TAX_RATE","FQ2 2020","FQ2 2020","Currency=USD","Period=FQ","BEST_FPERIOD_OVERRIDE=FQ","FILING_STATUS=MR","FA_ADJUSTED=GAAP","Sort=A","Dates=H","DateFormat=P","Fill=—","Direction=H","UseDPDF=Y")</f>
        <v>11.1823</v>
      </c>
      <c r="J23" s="14">
        <f>_xll.BDH("AMGN US Equity","EFF_TAX_RATE","FQ3 2020","FQ3 2020","Currency=USD","Period=FQ","BEST_FPERIOD_OVERRIDE=FQ","FILING_STATUS=MR","FA_ADJUSTED=GAAP","Sort=A","Dates=H","DateFormat=P","Fill=—","Direction=H","UseDPDF=Y")</f>
        <v>8.3862000000000005</v>
      </c>
      <c r="K23" s="14">
        <f>_xll.BDH("AMGN US Equity","EFF_TAX_RATE","FQ4 2020","FQ4 2020","Currency=USD","Period=FQ","BEST_FPERIOD_OVERRIDE=FQ","FILING_STATUS=MR","FA_ADJUSTED=GAAP","Sort=A","Dates=H","DateFormat=P","Fill=—","Direction=H","UseDPDF=Y")</f>
        <v>13.958399999999999</v>
      </c>
      <c r="L23" s="14">
        <f>_xll.BDH("AMGN US Equity","EFF_TAX_RATE","FQ1 2021","FQ1 2021","Currency=USD","Period=FQ","BEST_FPERIOD_OVERRIDE=FQ","FILING_STATUS=MR","FA_ADJUSTED=GAAP","Sort=A","Dates=H","DateFormat=P","Fill=—","Direction=H","UseDPDF=Y")</f>
        <v>11.362399999999999</v>
      </c>
      <c r="M23" s="14">
        <f>_xll.BDH("AMGN US Equity","EFF_TAX_RATE","FQ2 2021","FQ2 2021","Currency=USD","Period=FQ","BEST_FPERIOD_OVERRIDE=FQ","FILING_STATUS=MR","FA_ADJUSTED=GAAP","Sort=A","Dates=H","DateFormat=P","Fill=—","Direction=H","UseDPDF=Y")</f>
        <v>16.8459</v>
      </c>
      <c r="N23" s="14">
        <f>_xll.BDH("AMGN US Equity","EFF_TAX_RATE","FQ3 2021","FQ3 2021","Currency=USD","Period=FQ","BEST_FPERIOD_OVERRIDE=FQ","FILING_STATUS=MR","FA_ADJUSTED=GAAP","Sort=A","Dates=H","DateFormat=P","Fill=—","Direction=H","UseDPDF=Y")</f>
        <v>12.5754</v>
      </c>
      <c r="O23" s="14">
        <f>_xll.BDH("AMGN US Equity","EFF_TAX_RATE","FQ4 2021","FQ4 2021","Currency=USD","Period=FQ","BEST_FPERIOD_OVERRIDE=FQ","FILING_STATUS=MR","FA_ADJUSTED=GAAP","Sort=A","Dates=H","DateFormat=P","Fill=—","Direction=H","UseDPDF=Y")</f>
        <v>10.886900000000001</v>
      </c>
      <c r="P23" s="14">
        <f>_xll.BDH("AMGN US Equity","EFF_TAX_RATE","FQ1 2022","FQ1 2022","Currency=USD","Period=FQ","BEST_FPERIOD_OVERRIDE=FQ","FILING_STATUS=MR","FA_ADJUSTED=GAAP","Sort=A","Dates=H","DateFormat=P","Fill=—","Direction=H","UseDPDF=Y")</f>
        <v>11.880599999999999</v>
      </c>
      <c r="Q23" s="14">
        <f>_xll.BDH("AMGN US Equity","EFF_TAX_RATE","FQ2 2022","FQ2 2022","Currency=USD","Period=FQ","BEST_FPERIOD_OVERRIDE=FQ","FILING_STATUS=MR","FA_ADJUSTED=GAAP","Sort=A","Dates=H","DateFormat=P","Fill=—","Direction=H","UseDPDF=Y")</f>
        <v>13.9778</v>
      </c>
      <c r="R23" s="14">
        <f>_xll.BDH("AMGN US Equity","EFF_TAX_RATE","FQ3 2022","FQ3 2022","Currency=USD","Period=FQ","BEST_FPERIOD_OVERRIDE=FQ","FILING_STATUS=MR","FA_ADJUSTED=GAAP","Sort=A","Dates=H","DateFormat=P","Fill=—","Direction=H","UseDPDF=Y")</f>
        <v>10.409700000000001</v>
      </c>
      <c r="S23" s="14">
        <f>_xll.BDH("AMGN US Equity","EFF_TAX_RATE","FQ4 2022","FQ4 2022","Currency=USD","Period=FQ","BEST_FPERIOD_OVERRIDE=FQ","FILING_STATUS=MR","FA_ADJUSTED=GAAP","Sort=A","Dates=H","DateFormat=P","Fill=—","Direction=H","UseDPDF=Y")</f>
        <v>7.5514999999999999</v>
      </c>
      <c r="T23" s="14">
        <f>_xll.BDH("AMGN US Equity","EFF_TAX_RATE","FQ1 2023","FQ1 2023","Currency=USD","Period=FQ","BEST_FPERIOD_OVERRIDE=FQ","FILING_STATUS=MR","FA_ADJUSTED=GAAP","Sort=A","Dates=H","DateFormat=P","Fill=—","Direction=H","UseDPDF=Y")</f>
        <v>17.460799999999999</v>
      </c>
      <c r="U23" s="14">
        <f>_xll.BDH("AMGN US Equity","EFF_TAX_RATE","FQ2 2023","FQ2 2023","Currency=USD","Period=FQ","BEST_FPERIOD_OVERRIDE=FQ","FILING_STATUS=MR","FA_ADJUSTED=GAAP","Sort=A","Dates=H","DateFormat=P","Fill=—","Direction=H","UseDPDF=Y")</f>
        <v>14.5601</v>
      </c>
      <c r="V23" s="14">
        <f>_xll.BDH("AMGN US Equity","EFF_TAX_RATE","FQ3 2023","FQ3 2023","Currency=USD","Period=FQ","BEST_FPERIOD_OVERRIDE=FQ","FILING_STATUS=MR","FA_ADJUSTED=GAAP","Sort=A","Dates=H","DateFormat=P","Fill=—","Direction=H","UseDPDF=Y")</f>
        <v>11.1454</v>
      </c>
      <c r="W23" s="14">
        <f>_xll.BDH("AMGN US Equity","EFF_TAX_RATE","FQ4 2023","FQ4 2023","Currency=USD","Period=FQ","BEST_FPERIOD_OVERRIDE=FQ","FILING_STATUS=MR","FA_ADJUSTED=GAAP","Sort=A","Dates=H","DateFormat=P","Fill=—","Direction=H","UseDPDF=Y")</f>
        <v>9.9764999999999997</v>
      </c>
      <c r="X23" s="14" t="str">
        <f>_xll.BDH("AMGN US Equity","EFF_TAX_RATE","FQ1 2024","FQ1 2024","Currency=USD","Period=FQ","BEST_FPERIOD_OVERRIDE=FQ","FILING_STATUS=MR","FA_ADJUSTED=GAAP","Sort=A","Dates=H","DateFormat=P","Fill=—","Direction=H","UseDPDF=Y")</f>
        <v>—</v>
      </c>
      <c r="Y23" s="14">
        <f>_xll.BDH("AMGN US Equity","EFF_TAX_RATE","FQ2 2024","FQ2 2024","Currency=USD","Period=FQ","BEST_FPERIOD_OVERRIDE=FQ","FILING_STATUS=MR","FA_ADJUSTED=GAAP","Sort=A","Dates=H","DateFormat=P","Fill=—","Direction=H","UseDPDF=Y")</f>
        <v>6.0453000000000001</v>
      </c>
      <c r="Z23" s="14">
        <f>_xll.BDH("AMGN US Equity","EFF_TAX_RATE","FQ3 2024","FQ3 2024","Currency=USD","Period=FQ","BEST_FPERIOD_OVERRIDE=FQ","FILING_STATUS=MR","FA_ADJUSTED=GAAP","Sort=A","Dates=H","DateFormat=P","Fill=—","Direction=H","UseDPDF=Y")</f>
        <v>8.7391000000000005</v>
      </c>
      <c r="AA23" s="14">
        <f>_xll.BDH("AMGN US Equity","EFF_TAX_RATE","FQ4 2024","FQ4 2024","Currency=USD","Period=FQ","BEST_FPERIOD_OVERRIDE=FQ","FILING_STATUS=MR","FA_ADJUSTED=GAAP","Sort=A","Dates=H","DateFormat=P","Fill=—","Direction=H","UseDPDF=Y")</f>
        <v>19.821000000000002</v>
      </c>
    </row>
    <row r="24" spans="1:27" x14ac:dyDescent="0.25">
      <c r="A24" s="10" t="s">
        <v>1460</v>
      </c>
      <c r="B24" s="10" t="s">
        <v>1461</v>
      </c>
      <c r="C24" s="14">
        <f>_xll.BDH("AMGN US Equity","DVD_PAYOUT_RATIO","FQ4 2018","FQ4 2018","Currency=USD","Period=FQ","BEST_FPERIOD_OVERRIDE=FQ","FILING_STATUS=MR","FA_ADJUSTED=GAAP","Sort=A","Dates=H","DateFormat=P","Fill=—","Direction=H","UseDPDF=Y")</f>
        <v>41.4938</v>
      </c>
      <c r="D24" s="14">
        <f>_xll.BDH("AMGN US Equity","DVD_PAYOUT_RATIO","FQ1 2019","FQ1 2019","Currency=USD","Period=FQ","BEST_FPERIOD_OVERRIDE=FQ","FILING_STATUS=MR","FA_ADJUSTED=GAAP","Sort=A","Dates=H","DateFormat=P","Fill=—","Direction=H","UseDPDF=Y")</f>
        <v>45.2761</v>
      </c>
      <c r="E24" s="14">
        <f>_xll.BDH("AMGN US Equity","DVD_PAYOUT_RATIO","FQ2 2019","FQ2 2019","Currency=USD","Period=FQ","BEST_FPERIOD_OVERRIDE=FQ","FILING_STATUS=MR","FA_ADJUSTED=GAAP","Sort=A","Dates=H","DateFormat=P","Fill=—","Direction=H","UseDPDF=Y")</f>
        <v>41.303400000000003</v>
      </c>
      <c r="F24" s="14">
        <f>_xll.BDH("AMGN US Equity","DVD_PAYOUT_RATIO","FQ3 2019","FQ3 2019","Currency=USD","Period=FQ","BEST_FPERIOD_OVERRIDE=FQ","FILING_STATUS=MR","FA_ADJUSTED=GAAP","Sort=A","Dates=H","DateFormat=P","Fill=—","Direction=H","UseDPDF=Y")</f>
        <v>45.731699999999996</v>
      </c>
      <c r="G24" s="14">
        <f>_xll.BDH("AMGN US Equity","DVD_PAYOUT_RATIO","FQ4 2019","FQ4 2019","Currency=USD","Period=FQ","BEST_FPERIOD_OVERRIDE=FQ","FILING_STATUS=MR","FA_ADJUSTED=GAAP","Sort=A","Dates=H","DateFormat=P","Fill=—","Direction=H","UseDPDF=Y")</f>
        <v>52.847900000000003</v>
      </c>
      <c r="H24" s="14">
        <f>_xll.BDH("AMGN US Equity","DVD_PAYOUT_RATIO","FQ1 2020","FQ1 2020","Currency=USD","Period=FQ","BEST_FPERIOD_OVERRIDE=FQ","FILING_STATUS=MR","FA_ADJUSTED=GAAP","Sort=A","Dates=H","DateFormat=P","Fill=—","Direction=H","UseDPDF=Y")</f>
        <v>51.780799999999999</v>
      </c>
      <c r="I24" s="14">
        <f>_xll.BDH("AMGN US Equity","DVD_PAYOUT_RATIO","FQ2 2020","FQ2 2020","Currency=USD","Period=FQ","BEST_FPERIOD_OVERRIDE=FQ","FILING_STATUS=MR","FA_ADJUSTED=GAAP","Sort=A","Dates=H","DateFormat=P","Fill=—","Direction=H","UseDPDF=Y")</f>
        <v>49.916800000000002</v>
      </c>
      <c r="J24" s="14">
        <f>_xll.BDH("AMGN US Equity","DVD_PAYOUT_RATIO","FQ3 2020","FQ3 2020","Currency=USD","Period=FQ","BEST_FPERIOD_OVERRIDE=FQ","FILING_STATUS=MR","FA_ADJUSTED=GAAP","Sort=A","Dates=H","DateFormat=P","Fill=—","Direction=H","UseDPDF=Y")</f>
        <v>46.313699999999997</v>
      </c>
      <c r="K24" s="14">
        <f>_xll.BDH("AMGN US Equity","DVD_PAYOUT_RATIO","FQ4 2020","FQ4 2020","Currency=USD","Period=FQ","BEST_FPERIOD_OVERRIDE=FQ","FILING_STATUS=MR","FA_ADJUSTED=GAAP","Sort=A","Dates=H","DateFormat=P","Fill=—","Direction=H","UseDPDF=Y")</f>
        <v>55.727600000000002</v>
      </c>
      <c r="L24" s="14">
        <f>_xll.BDH("AMGN US Equity","DVD_PAYOUT_RATIO","FQ1 2021","FQ1 2021","Currency=USD","Period=FQ","BEST_FPERIOD_OVERRIDE=FQ","FILING_STATUS=MR","FA_ADJUSTED=GAAP","Sort=A","Dates=H","DateFormat=P","Fill=—","Direction=H","UseDPDF=Y")</f>
        <v>60.753300000000003</v>
      </c>
      <c r="M24" s="14">
        <f>_xll.BDH("AMGN US Equity","DVD_PAYOUT_RATIO","FQ2 2021","FQ2 2021","Currency=USD","Period=FQ","BEST_FPERIOD_OVERRIDE=FQ","FILING_STATUS=MR","FA_ADJUSTED=GAAP","Sort=A","Dates=H","DateFormat=P","Fill=—","Direction=H","UseDPDF=Y")</f>
        <v>215.5172</v>
      </c>
      <c r="N24" s="14">
        <f>_xll.BDH("AMGN US Equity","DVD_PAYOUT_RATIO","FQ3 2021","FQ3 2021","Currency=USD","Period=FQ","BEST_FPERIOD_OVERRIDE=FQ","FILING_STATUS=MR","FA_ADJUSTED=GAAP","Sort=A","Dates=H","DateFormat=P","Fill=—","Direction=H","UseDPDF=Y")</f>
        <v>52.968200000000003</v>
      </c>
      <c r="O24" s="14">
        <f>_xll.BDH("AMGN US Equity","DVD_PAYOUT_RATIO","FQ4 2021","FQ4 2021","Currency=USD","Period=FQ","BEST_FPERIOD_OVERRIDE=FQ","FILING_STATUS=MR","FA_ADJUSTED=GAAP","Sort=A","Dates=H","DateFormat=P","Fill=—","Direction=H","UseDPDF=Y")</f>
        <v>52.659300000000002</v>
      </c>
      <c r="P24" s="14">
        <f>_xll.BDH("AMGN US Equity","DVD_PAYOUT_RATIO","FQ1 2022","FQ1 2022","Currency=USD","Period=FQ","BEST_FPERIOD_OVERRIDE=FQ","FILING_STATUS=MR","FA_ADJUSTED=GAAP","Sort=A","Dates=H","DateFormat=P","Fill=—","Direction=H","UseDPDF=Y")</f>
        <v>74.525700000000001</v>
      </c>
      <c r="Q24" s="14">
        <f>_xll.BDH("AMGN US Equity","DVD_PAYOUT_RATIO","FQ2 2022","FQ2 2022","Currency=USD","Period=FQ","BEST_FPERIOD_OVERRIDE=FQ","FILING_STATUS=MR","FA_ADJUSTED=GAAP","Sort=A","Dates=H","DateFormat=P","Fill=—","Direction=H","UseDPDF=Y")</f>
        <v>78.8155</v>
      </c>
      <c r="R24" s="14">
        <f>_xll.BDH("AMGN US Equity","DVD_PAYOUT_RATIO","FQ3 2022","FQ3 2022","Currency=USD","Period=FQ","BEST_FPERIOD_OVERRIDE=FQ","FILING_STATUS=MR","FA_ADJUSTED=GAAP","Sort=A","Dates=H","DateFormat=P","Fill=—","Direction=H","UseDPDF=Y")</f>
        <v>48.432099999999998</v>
      </c>
      <c r="S24" s="14">
        <f>_xll.BDH("AMGN US Equity","DVD_PAYOUT_RATIO","FQ4 2022","FQ4 2022","Currency=USD","Period=FQ","BEST_FPERIOD_OVERRIDE=FQ","FILING_STATUS=MR","FA_ADJUSTED=GAAP","Sort=A","Dates=H","DateFormat=P","Fill=—","Direction=H","UseDPDF=Y")</f>
        <v>61.8812</v>
      </c>
      <c r="T24" s="14">
        <f>_xll.BDH("AMGN US Equity","DVD_PAYOUT_RATIO","FQ1 2023","FQ1 2023","Currency=USD","Period=FQ","BEST_FPERIOD_OVERRIDE=FQ","FILING_STATUS=MR","FA_ADJUSTED=GAAP","Sort=A","Dates=H","DateFormat=P","Fill=—","Direction=H","UseDPDF=Y")</f>
        <v>38.718800000000002</v>
      </c>
      <c r="U24" s="14">
        <f>_xll.BDH("AMGN US Equity","DVD_PAYOUT_RATIO","FQ2 2023","FQ2 2023","Currency=USD","Period=FQ","BEST_FPERIOD_OVERRIDE=FQ","FILING_STATUS=MR","FA_ADJUSTED=GAAP","Sort=A","Dates=H","DateFormat=P","Fill=—","Direction=H","UseDPDF=Y")</f>
        <v>79.767899999999997</v>
      </c>
      <c r="V24" s="14">
        <f>_xll.BDH("AMGN US Equity","DVD_PAYOUT_RATIO","FQ3 2023","FQ3 2023","Currency=USD","Period=FQ","BEST_FPERIOD_OVERRIDE=FQ","FILING_STATUS=MR","FA_ADJUSTED=GAAP","Sort=A","Dates=H","DateFormat=P","Fill=—","Direction=H","UseDPDF=Y")</f>
        <v>65.869900000000001</v>
      </c>
      <c r="W24" s="14">
        <f>_xll.BDH("AMGN US Equity","DVD_PAYOUT_RATIO","FQ4 2023","FQ4 2023","Currency=USD","Period=FQ","BEST_FPERIOD_OVERRIDE=FQ","FILING_STATUS=MR","FA_ADJUSTED=GAAP","Sort=A","Dates=H","DateFormat=P","Fill=—","Direction=H","UseDPDF=Y")</f>
        <v>143.41589999999999</v>
      </c>
      <c r="X24" s="14" t="str">
        <f>_xll.BDH("AMGN US Equity","DVD_PAYOUT_RATIO","FQ1 2024","FQ1 2024","Currency=USD","Period=FQ","BEST_FPERIOD_OVERRIDE=FQ","FILING_STATUS=MR","FA_ADJUSTED=GAAP","Sort=A","Dates=H","DateFormat=P","Fill=—","Direction=H","UseDPDF=Y")</f>
        <v>—</v>
      </c>
      <c r="Y24" s="14">
        <f>_xll.BDH("AMGN US Equity","DVD_PAYOUT_RATIO","FQ2 2024","FQ2 2024","Currency=USD","Period=FQ","BEST_FPERIOD_OVERRIDE=FQ","FILING_STATUS=MR","FA_ADJUSTED=GAAP","Sort=A","Dates=H","DateFormat=P","Fill=—","Direction=H","UseDPDF=Y")</f>
        <v>160.8579</v>
      </c>
      <c r="Z24" s="14">
        <f>_xll.BDH("AMGN US Equity","DVD_PAYOUT_RATIO","FQ3 2024","FQ3 2024","Currency=USD","Period=FQ","BEST_FPERIOD_OVERRIDE=FQ","FILING_STATUS=MR","FA_ADJUSTED=GAAP","Sort=A","Dates=H","DateFormat=P","Fill=—","Direction=H","UseDPDF=Y")</f>
        <v>42.402799999999999</v>
      </c>
      <c r="AA24" s="14">
        <f>_xll.BDH("AMGN US Equity","DVD_PAYOUT_RATIO","FQ4 2024","FQ4 2024","Currency=USD","Period=FQ","BEST_FPERIOD_OVERRIDE=FQ","FILING_STATUS=MR","FA_ADJUSTED=GAAP","Sort=A","Dates=H","DateFormat=P","Fill=—","Direction=H","UseDPDF=Y")</f>
        <v>191.38759999999999</v>
      </c>
    </row>
    <row r="25" spans="1:27" x14ac:dyDescent="0.25">
      <c r="A25" s="10" t="s">
        <v>1462</v>
      </c>
      <c r="B25" s="10" t="s">
        <v>1463</v>
      </c>
      <c r="C25" s="14">
        <f>_xll.BDH("AMGN US Equity","SUSTAIN_GROWTH_RT","FQ4 2018","FQ4 2018","Currency=USD","Period=FQ","BEST_FPERIOD_OVERRIDE=FQ","FILING_STATUS=MR","FA_ADJUSTED=GAAP","Sort=A","Dates=H","DateFormat=P","Fill=—","Direction=H","UseDPDF=Y")</f>
        <v>26.024799999999999</v>
      </c>
      <c r="D25" s="14">
        <f>_xll.BDH("AMGN US Equity","SUSTAIN_GROWTH_RT","FQ1 2019","FQ1 2019","Currency=USD","Period=FQ","BEST_FPERIOD_OVERRIDE=FQ","FILING_STATUS=MR","FA_ADJUSTED=GAAP","Sort=A","Dates=H","DateFormat=P","Fill=—","Direction=H","UseDPDF=Y")</f>
        <v>33.411099999999998</v>
      </c>
      <c r="E25" s="14">
        <f>_xll.BDH("AMGN US Equity","SUSTAIN_GROWTH_RT","FQ2 2019","FQ2 2019","Currency=USD","Period=FQ","BEST_FPERIOD_OVERRIDE=FQ","FILING_STATUS=MR","FA_ADJUSTED=GAAP","Sort=A","Dates=H","DateFormat=P","Fill=—","Direction=H","UseDPDF=Y")</f>
        <v>36.346600000000002</v>
      </c>
      <c r="F25" s="14">
        <f>_xll.BDH("AMGN US Equity","SUSTAIN_GROWTH_RT","FQ3 2019","FQ3 2019","Currency=USD","Period=FQ","BEST_FPERIOD_OVERRIDE=FQ","FILING_STATUS=MR","FA_ADJUSTED=GAAP","Sort=A","Dates=H","DateFormat=P","Fill=—","Direction=H","UseDPDF=Y")</f>
        <v>34.6402</v>
      </c>
      <c r="G25" s="14">
        <f>_xll.BDH("AMGN US Equity","SUSTAIN_GROWTH_RT","FQ4 2019","FQ4 2019","Currency=USD","Period=FQ","BEST_FPERIOD_OVERRIDE=FQ","FILING_STATUS=MR","FA_ADJUSTED=GAAP","Sort=A","Dates=H","DateFormat=P","Fill=—","Direction=H","UseDPDF=Y")</f>
        <v>33.352899999999998</v>
      </c>
      <c r="H25" s="14">
        <f>_xll.BDH("AMGN US Equity","SUSTAIN_GROWTH_RT","FQ1 2020","FQ1 2020","Currency=USD","Period=FQ","BEST_FPERIOD_OVERRIDE=FQ","FILING_STATUS=MR","FA_ADJUSTED=GAAP","Sort=A","Dates=H","DateFormat=P","Fill=—","Direction=H","UseDPDF=Y")</f>
        <v>36.430799999999998</v>
      </c>
      <c r="I25" s="14">
        <f>_xll.BDH("AMGN US Equity","SUSTAIN_GROWTH_RT","FQ2 2020","FQ2 2020","Currency=USD","Period=FQ","BEST_FPERIOD_OVERRIDE=FQ","FILING_STATUS=MR","FA_ADJUSTED=GAAP","Sort=A","Dates=H","DateFormat=P","Fill=—","Direction=H","UseDPDF=Y")</f>
        <v>34.079799999999999</v>
      </c>
      <c r="J25" s="14">
        <f>_xll.BDH("AMGN US Equity","SUSTAIN_GROWTH_RT","FQ3 2020","FQ3 2020","Currency=USD","Period=FQ","BEST_FPERIOD_OVERRIDE=FQ","FILING_STATUS=MR","FA_ADJUSTED=GAAP","Sort=A","Dates=H","DateFormat=P","Fill=—","Direction=H","UseDPDF=Y")</f>
        <v>36.068899999999999</v>
      </c>
      <c r="K25" s="14">
        <f>_xll.BDH("AMGN US Equity","SUSTAIN_GROWTH_RT","FQ4 2020","FQ4 2020","Currency=USD","Period=FQ","BEST_FPERIOD_OVERRIDE=FQ","FILING_STATUS=MR","FA_ADJUSTED=GAAP","Sort=A","Dates=H","DateFormat=P","Fill=—","Direction=H","UseDPDF=Y")</f>
        <v>33.706600000000002</v>
      </c>
      <c r="L25" s="14">
        <f>_xll.BDH("AMGN US Equity","SUSTAIN_GROWTH_RT","FQ1 2021","FQ1 2021","Currency=USD","Period=FQ","BEST_FPERIOD_OVERRIDE=FQ","FILING_STATUS=MR","FA_ADJUSTED=GAAP","Sort=A","Dates=H","DateFormat=P","Fill=—","Direction=H","UseDPDF=Y")</f>
        <v>29.551300000000001</v>
      </c>
      <c r="M25" s="14">
        <f>_xll.BDH("AMGN US Equity","SUSTAIN_GROWTH_RT","FQ2 2021","FQ2 2021","Currency=USD","Period=FQ","BEST_FPERIOD_OVERRIDE=FQ","FILING_STATUS=MR","FA_ADJUSTED=GAAP","Sort=A","Dates=H","DateFormat=P","Fill=—","Direction=H","UseDPDF=Y")</f>
        <v>-70.217100000000002</v>
      </c>
      <c r="N25" s="14">
        <f>_xll.BDH("AMGN US Equity","SUSTAIN_GROWTH_RT","FQ3 2021","FQ3 2021","Currency=USD","Period=FQ","BEST_FPERIOD_OVERRIDE=FQ","FILING_STATUS=MR","FA_ADJUSTED=GAAP","Sort=A","Dates=H","DateFormat=P","Fill=—","Direction=H","UseDPDF=Y")</f>
        <v>27.5137</v>
      </c>
      <c r="O25" s="14">
        <f>_xll.BDH("AMGN US Equity","SUSTAIN_GROWTH_RT","FQ4 2021","FQ4 2021","Currency=USD","Period=FQ","BEST_FPERIOD_OVERRIDE=FQ","FILING_STATUS=MR","FA_ADJUSTED=GAAP","Sort=A","Dates=H","DateFormat=P","Fill=—","Direction=H","UseDPDF=Y")</f>
        <v>34.636400000000002</v>
      </c>
      <c r="P25" s="14">
        <f>_xll.BDH("AMGN US Equity","SUSTAIN_GROWTH_RT","FQ1 2022","FQ1 2022","Currency=USD","Period=FQ","BEST_FPERIOD_OVERRIDE=FQ","FILING_STATUS=MR","FA_ADJUSTED=GAAP","Sort=A","Dates=H","DateFormat=P","Fill=—","Direction=H","UseDPDF=Y")</f>
        <v>28.4467</v>
      </c>
      <c r="Q25" s="14">
        <f>_xll.BDH("AMGN US Equity","SUSTAIN_GROWTH_RT","FQ2 2022","FQ2 2022","Currency=USD","Period=FQ","BEST_FPERIOD_OVERRIDE=FQ","FILING_STATUS=MR","FA_ADJUSTED=GAAP","Sort=A","Dates=H","DateFormat=P","Fill=—","Direction=H","UseDPDF=Y")</f>
        <v>26.1221</v>
      </c>
      <c r="R25" s="14">
        <f>_xll.BDH("AMGN US Equity","SUSTAIN_GROWTH_RT","FQ3 2022","FQ3 2022","Currency=USD","Period=FQ","BEST_FPERIOD_OVERRIDE=FQ","FILING_STATUS=MR","FA_ADJUSTED=GAAP","Sort=A","Dates=H","DateFormat=P","Fill=—","Direction=H","UseDPDF=Y")</f>
        <v>59.387799999999999</v>
      </c>
      <c r="S25" s="14">
        <f>_xll.BDH("AMGN US Equity","SUSTAIN_GROWTH_RT","FQ4 2022","FQ4 2022","Currency=USD","Period=FQ","BEST_FPERIOD_OVERRIDE=FQ","FILING_STATUS=MR","FA_ADJUSTED=GAAP","Sort=A","Dates=H","DateFormat=P","Fill=—","Direction=H","UseDPDF=Y")</f>
        <v>48.210500000000003</v>
      </c>
      <c r="T25" s="14">
        <f>_xll.BDH("AMGN US Equity","SUSTAIN_GROWTH_RT","FQ1 2023","FQ1 2023","Currency=USD","Period=FQ","BEST_FPERIOD_OVERRIDE=FQ","FILING_STATUS=MR","FA_ADJUSTED=GAAP","Sort=A","Dates=H","DateFormat=P","Fill=—","Direction=H","UseDPDF=Y")</f>
        <v>154.90539999999999</v>
      </c>
      <c r="U25" s="14">
        <f>_xll.BDH("AMGN US Equity","SUSTAIN_GROWTH_RT","FQ2 2023","FQ2 2023","Currency=USD","Period=FQ","BEST_FPERIOD_OVERRIDE=FQ","FILING_STATUS=MR","FA_ADJUSTED=GAAP","Sort=A","Dates=H","DateFormat=P","Fill=—","Direction=H","UseDPDF=Y")</f>
        <v>35.093800000000002</v>
      </c>
      <c r="V25" s="14">
        <f>_xll.BDH("AMGN US Equity","SUSTAIN_GROWTH_RT","FQ3 2023","FQ3 2023","Currency=USD","Period=FQ","BEST_FPERIOD_OVERRIDE=FQ","FILING_STATUS=MR","FA_ADJUSTED=GAAP","Sort=A","Dates=H","DateFormat=P","Fill=—","Direction=H","UseDPDF=Y")</f>
        <v>45.667700000000004</v>
      </c>
      <c r="W25" s="14">
        <f>_xll.BDH("AMGN US Equity","SUSTAIN_GROWTH_RT","FQ4 2023","FQ4 2023","Currency=USD","Period=FQ","BEST_FPERIOD_OVERRIDE=FQ","FILING_STATUS=MR","FA_ADJUSTED=GAAP","Sort=A","Dates=H","DateFormat=P","Fill=—","Direction=H","UseDPDF=Y")</f>
        <v>-58.955800000000004</v>
      </c>
      <c r="X25" s="14" t="str">
        <f>_xll.BDH("AMGN US Equity","SUSTAIN_GROWTH_RT","FQ1 2024","FQ1 2024","Currency=USD","Period=FQ","BEST_FPERIOD_OVERRIDE=FQ","FILING_STATUS=MR","FA_ADJUSTED=GAAP","Sort=A","Dates=H","DateFormat=P","Fill=—","Direction=H","UseDPDF=Y")</f>
        <v>—</v>
      </c>
      <c r="Y25" s="14">
        <f>_xll.BDH("AMGN US Equity","SUSTAIN_GROWTH_RT","FQ2 2024","FQ2 2024","Currency=USD","Period=FQ","BEST_FPERIOD_OVERRIDE=FQ","FILING_STATUS=MR","FA_ADJUSTED=GAAP","Sort=A","Dates=H","DateFormat=P","Fill=—","Direction=H","UseDPDF=Y")</f>
        <v>-29.983499999999999</v>
      </c>
      <c r="Z25" s="14">
        <f>_xll.BDH("AMGN US Equity","SUSTAIN_GROWTH_RT","FQ3 2024","FQ3 2024","Currency=USD","Period=FQ","BEST_FPERIOD_OVERRIDE=FQ","FILING_STATUS=MR","FA_ADJUSTED=GAAP","Sort=A","Dates=H","DateFormat=P","Fill=—","Direction=H","UseDPDF=Y")</f>
        <v>32.093299999999999</v>
      </c>
      <c r="AA25" s="14">
        <f>_xll.BDH("AMGN US Equity","SUSTAIN_GROWTH_RT","FQ4 2024","FQ4 2024","Currency=USD","Period=FQ","BEST_FPERIOD_OVERRIDE=FQ","FILING_STATUS=MR","FA_ADJUSTED=GAAP","Sort=A","Dates=H","DateFormat=P","Fill=—","Direction=H","UseDPDF=Y")</f>
        <v>-61.735100000000003</v>
      </c>
    </row>
    <row r="26" spans="1:27" x14ac:dyDescent="0.25">
      <c r="A26" s="7" t="s">
        <v>90</v>
      </c>
      <c r="B26" s="7"/>
      <c r="C26" s="7" t="s">
        <v>5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96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1464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1465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0</v>
      </c>
      <c r="B7" s="10" t="s">
        <v>73</v>
      </c>
      <c r="C7" s="14">
        <f>_xll.BDH("AMGN US Equity","SALES_GROWTH","FQ4 2018","FQ4 2018","Currency=USD","Period=FQ","BEST_FPERIOD_OVERRIDE=FQ","FILING_STATUS=MR","FA_ADJUSTED=GAAP","Sort=A","Dates=H","DateFormat=P","Fill=—","Direction=H","UseDPDF=Y")</f>
        <v>7.3768000000000002</v>
      </c>
      <c r="D7" s="14">
        <f>_xll.BDH("AMGN US Equity","SALES_GROWTH","FQ1 2019","FQ1 2019","Currency=USD","Period=FQ","BEST_FPERIOD_OVERRIDE=FQ","FILING_STATUS=MR","FA_ADJUSTED=GAAP","Sort=A","Dates=H","DateFormat=P","Fill=—","Direction=H","UseDPDF=Y")</f>
        <v>5.3999999999999999E-2</v>
      </c>
      <c r="E7" s="14">
        <f>_xll.BDH("AMGN US Equity","SALES_GROWTH","FQ2 2019","FQ2 2019","Currency=USD","Period=FQ","BEST_FPERIOD_OVERRIDE=FQ","FILING_STATUS=MR","FA_ADJUSTED=GAAP","Sort=A","Dates=H","DateFormat=P","Fill=—","Direction=H","UseDPDF=Y")</f>
        <v>-3.1027999999999998</v>
      </c>
      <c r="F7" s="14">
        <f>_xll.BDH("AMGN US Equity","SALES_GROWTH","FQ3 2019","FQ3 2019","Currency=USD","Period=FQ","BEST_FPERIOD_OVERRIDE=FQ","FILING_STATUS=MR","FA_ADJUSTED=GAAP","Sort=A","Dates=H","DateFormat=P","Fill=—","Direction=H","UseDPDF=Y")</f>
        <v>-2.8285999999999998</v>
      </c>
      <c r="G7" s="14">
        <f>_xll.BDH("AMGN US Equity","SALES_GROWTH","FQ4 2019","FQ4 2019","Currency=USD","Period=FQ","BEST_FPERIOD_OVERRIDE=FQ","FILING_STATUS=MR","FA_ADJUSTED=GAAP","Sort=A","Dates=H","DateFormat=P","Fill=—","Direction=H","UseDPDF=Y")</f>
        <v>-0.52969999999999995</v>
      </c>
      <c r="H7" s="14">
        <f>_xll.BDH("AMGN US Equity","SALES_GROWTH","FQ1 2020","FQ1 2020","Currency=USD","Period=FQ","BEST_FPERIOD_OVERRIDE=FQ","FILING_STATUS=MR","FA_ADJUSTED=GAAP","Sort=A","Dates=H","DateFormat=P","Fill=—","Direction=H","UseDPDF=Y")</f>
        <v>10.869199999999999</v>
      </c>
      <c r="I7" s="14">
        <f>_xll.BDH("AMGN US Equity","SALES_GROWTH","FQ2 2020","FQ2 2020","Currency=USD","Period=FQ","BEST_FPERIOD_OVERRIDE=FQ","FILING_STATUS=MR","FA_ADJUSTED=GAAP","Sort=A","Dates=H","DateFormat=P","Fill=—","Direction=H","UseDPDF=Y")</f>
        <v>5.7060000000000004</v>
      </c>
      <c r="J7" s="14">
        <f>_xll.BDH("AMGN US Equity","SALES_GROWTH","FQ3 2020","FQ3 2020","Currency=USD","Period=FQ","BEST_FPERIOD_OVERRIDE=FQ","FILING_STATUS=MR","FA_ADJUSTED=GAAP","Sort=A","Dates=H","DateFormat=P","Fill=—","Direction=H","UseDPDF=Y")</f>
        <v>11.9575</v>
      </c>
      <c r="K7" s="14">
        <f>_xll.BDH("AMGN US Equity","SALES_GROWTH","FQ4 2020","FQ4 2020","Currency=USD","Period=FQ","BEST_FPERIOD_OVERRIDE=FQ","FILING_STATUS=MR","FA_ADJUSTED=GAAP","Sort=A","Dates=H","DateFormat=P","Fill=—","Direction=H","UseDPDF=Y")</f>
        <v>7.0518000000000001</v>
      </c>
      <c r="L7" s="14">
        <f>_xll.BDH("AMGN US Equity","SALES_GROWTH","FQ1 2021","FQ1 2021","Currency=USD","Period=FQ","BEST_FPERIOD_OVERRIDE=FQ","FILING_STATUS=MR","FA_ADJUSTED=GAAP","Sort=A","Dates=H","DateFormat=P","Fill=—","Direction=H","UseDPDF=Y")</f>
        <v>-4.2201000000000004</v>
      </c>
      <c r="M7" s="14">
        <f>_xll.BDH("AMGN US Equity","SALES_GROWTH","FQ2 2021","FQ2 2021","Currency=USD","Period=FQ","BEST_FPERIOD_OVERRIDE=FQ","FILING_STATUS=MR","FA_ADJUSTED=GAAP","Sort=A","Dates=H","DateFormat=P","Fill=—","Direction=H","UseDPDF=Y")</f>
        <v>5.1562999999999999</v>
      </c>
      <c r="N7" s="14">
        <f>_xll.BDH("AMGN US Equity","SALES_GROWTH","FQ3 2021","FQ3 2021","Currency=USD","Period=FQ","BEST_FPERIOD_OVERRIDE=FQ","FILING_STATUS=MR","FA_ADJUSTED=GAAP","Sort=A","Dates=H","DateFormat=P","Fill=—","Direction=H","UseDPDF=Y")</f>
        <v>4.4059999999999997</v>
      </c>
      <c r="O7" s="14">
        <f>_xll.BDH("AMGN US Equity","SALES_GROWTH","FQ4 2021","FQ4 2021","Currency=USD","Period=FQ","BEST_FPERIOD_OVERRIDE=FQ","FILING_STATUS=MR","FA_ADJUSTED=GAAP","Sort=A","Dates=H","DateFormat=P","Fill=—","Direction=H","UseDPDF=Y")</f>
        <v>3.1957</v>
      </c>
      <c r="P7" s="14">
        <f>_xll.BDH("AMGN US Equity","SALES_GROWTH","FQ1 2022","FQ1 2022","Currency=USD","Period=FQ","BEST_FPERIOD_OVERRIDE=FQ","FILING_STATUS=MR","FA_ADJUSTED=GAAP","Sort=A","Dates=H","DateFormat=P","Fill=—","Direction=H","UseDPDF=Y")</f>
        <v>5.7108999999999996</v>
      </c>
      <c r="Q7" s="14">
        <f>_xll.BDH("AMGN US Equity","SALES_GROWTH","FQ2 2022","FQ2 2022","Currency=USD","Period=FQ","BEST_FPERIOD_OVERRIDE=FQ","FILING_STATUS=MR","FA_ADJUSTED=GAAP","Sort=A","Dates=H","DateFormat=P","Fill=—","Direction=H","UseDPDF=Y")</f>
        <v>1.042</v>
      </c>
      <c r="R7" s="14">
        <f>_xll.BDH("AMGN US Equity","SALES_GROWTH","FQ3 2022","FQ3 2022","Currency=USD","Period=FQ","BEST_FPERIOD_OVERRIDE=FQ","FILING_STATUS=MR","FA_ADJUSTED=GAAP","Sort=A","Dates=H","DateFormat=P","Fill=—","Direction=H","UseDPDF=Y")</f>
        <v>-0.80520000000000003</v>
      </c>
      <c r="S7" s="14">
        <f>_xll.BDH("AMGN US Equity","SALES_GROWTH","FQ4 2022","FQ4 2022","Currency=USD","Period=FQ","BEST_FPERIOD_OVERRIDE=FQ","FILING_STATUS=MR","FA_ADJUSTED=GAAP","Sort=A","Dates=H","DateFormat=P","Fill=—","Direction=H","UseDPDF=Y")</f>
        <v>-0.1022</v>
      </c>
      <c r="T7" s="14">
        <f>_xll.BDH("AMGN US Equity","SALES_GROWTH","FQ1 2023","FQ1 2023","Currency=USD","Period=FQ","BEST_FPERIOD_OVERRIDE=FQ","FILING_STATUS=MR","FA_ADJUSTED=GAAP","Sort=A","Dates=H","DateFormat=P","Fill=—","Direction=H","UseDPDF=Y")</f>
        <v>-2.1320999999999999</v>
      </c>
      <c r="U7" s="14">
        <f>_xll.BDH("AMGN US Equity","SALES_GROWTH","FQ2 2023","FQ2 2023","Currency=USD","Period=FQ","BEST_FPERIOD_OVERRIDE=FQ","FILING_STATUS=MR","FA_ADJUSTED=GAAP","Sort=A","Dates=H","DateFormat=P","Fill=—","Direction=H","UseDPDF=Y")</f>
        <v>5.9447999999999999</v>
      </c>
      <c r="V7" s="14">
        <f>_xll.BDH("AMGN US Equity","SALES_GROWTH","FQ3 2023","FQ3 2023","Currency=USD","Period=FQ","BEST_FPERIOD_OVERRIDE=FQ","FILING_STATUS=MR","FA_ADJUSTED=GAAP","Sort=A","Dates=H","DateFormat=P","Fill=—","Direction=H","UseDPDF=Y")</f>
        <v>3.7732999999999999</v>
      </c>
      <c r="W7" s="14">
        <f>_xll.BDH("AMGN US Equity","SALES_GROWTH","FQ4 2023","FQ4 2023","Currency=USD","Period=FQ","BEST_FPERIOD_OVERRIDE=FQ","FILING_STATUS=MR","FA_ADJUSTED=GAAP","Sort=A","Dates=H","DateFormat=P","Fill=—","Direction=H","UseDPDF=Y")</f>
        <v>19.842099999999999</v>
      </c>
      <c r="X7" s="14">
        <f>_xll.BDH("AMGN US Equity","SALES_GROWTH","FQ1 2024","FQ1 2024","Currency=USD","Period=FQ","BEST_FPERIOD_OVERRIDE=FQ","FILING_STATUS=MR","FA_ADJUSTED=GAAP","Sort=A","Dates=H","DateFormat=P","Fill=—","Direction=H","UseDPDF=Y")</f>
        <v>21.981999999999999</v>
      </c>
      <c r="Y7" s="14">
        <f>_xll.BDH("AMGN US Equity","SALES_GROWTH","FQ2 2024","FQ2 2024","Currency=USD","Period=FQ","BEST_FPERIOD_OVERRIDE=FQ","FILING_STATUS=MR","FA_ADJUSTED=GAAP","Sort=A","Dates=H","DateFormat=P","Fill=—","Direction=H","UseDPDF=Y")</f>
        <v>20.0687</v>
      </c>
      <c r="Z7" s="14">
        <f>_xll.BDH("AMGN US Equity","SALES_GROWTH","FQ3 2024","FQ3 2024","Currency=USD","Period=FQ","BEST_FPERIOD_OVERRIDE=FQ","FILING_STATUS=MR","FA_ADJUSTED=GAAP","Sort=A","Dates=H","DateFormat=P","Fill=—","Direction=H","UseDPDF=Y")</f>
        <v>23.1783</v>
      </c>
      <c r="AA7" s="14">
        <f>_xll.BDH("AMGN US Equity","SALES_GROWTH","FQ4 2024","FQ4 2024","Currency=USD","Period=FQ","BEST_FPERIOD_OVERRIDE=FQ","FILING_STATUS=MR","FA_ADJUSTED=GAAP","Sort=A","Dates=H","DateFormat=P","Fill=—","Direction=H","UseDPDF=Y")</f>
        <v>10.859</v>
      </c>
    </row>
    <row r="8" spans="1:27" x14ac:dyDescent="0.25">
      <c r="A8" s="10" t="s">
        <v>78</v>
      </c>
      <c r="B8" s="10" t="s">
        <v>1466</v>
      </c>
      <c r="C8" s="14">
        <f>_xll.BDH("AMGN US Equity","EBITDA_GROWTH","FQ4 2018","FQ4 2018","Currency=USD","Period=FQ","BEST_FPERIOD_OVERRIDE=FQ","FILING_STATUS=MR","FA_ADJUSTED=GAAP","Sort=A","Dates=H","DateFormat=P","Fill=—","Direction=H","UseDPDF=Y")</f>
        <v>6.6073000000000004</v>
      </c>
      <c r="D8" s="14">
        <f>_xll.BDH("AMGN US Equity","EBITDA_GROWTH","FQ1 2019","FQ1 2019","Currency=USD","Period=FQ","BEST_FPERIOD_OVERRIDE=FQ","FILING_STATUS=MR","FA_ADJUSTED=GAAP","Sort=A","Dates=H","DateFormat=P","Fill=—","Direction=H","UseDPDF=Y")</f>
        <v>-5.9431000000000003</v>
      </c>
      <c r="E8" s="14">
        <f>_xll.BDH("AMGN US Equity","EBITDA_GROWTH","FQ2 2019","FQ2 2019","Currency=USD","Period=FQ","BEST_FPERIOD_OVERRIDE=FQ","FILING_STATUS=MR","FA_ADJUSTED=GAAP","Sort=A","Dates=H","DateFormat=P","Fill=—","Direction=H","UseDPDF=Y")</f>
        <v>-2.8649</v>
      </c>
      <c r="F8" s="14">
        <f>_xll.BDH("AMGN US Equity","EBITDA_GROWTH","FQ3 2019","FQ3 2019","Currency=USD","Period=FQ","BEST_FPERIOD_OVERRIDE=FQ","FILING_STATUS=MR","FA_ADJUSTED=GAAP","Sort=A","Dates=H","DateFormat=P","Fill=—","Direction=H","UseDPDF=Y")</f>
        <v>7.1529999999999996</v>
      </c>
      <c r="G8" s="14">
        <f>_xll.BDH("AMGN US Equity","EBITDA_GROWTH","FQ4 2019","FQ4 2019","Currency=USD","Period=FQ","BEST_FPERIOD_OVERRIDE=FQ","FILING_STATUS=MR","FA_ADJUSTED=GAAP","Sort=A","Dates=H","DateFormat=P","Fill=—","Direction=H","UseDPDF=Y")</f>
        <v>-2.6114000000000002</v>
      </c>
      <c r="H8" s="14">
        <f>_xll.BDH("AMGN US Equity","EBITDA_GROWTH","FQ1 2020","FQ1 2020","Currency=USD","Period=FQ","BEST_FPERIOD_OVERRIDE=FQ","FILING_STATUS=MR","FA_ADJUSTED=GAAP","Sort=A","Dates=H","DateFormat=P","Fill=—","Direction=H","UseDPDF=Y")</f>
        <v>8.1477000000000004</v>
      </c>
      <c r="I8" s="14">
        <f>_xll.BDH("AMGN US Equity","EBITDA_GROWTH","FQ2 2020","FQ2 2020","Currency=USD","Period=FQ","BEST_FPERIOD_OVERRIDE=FQ","FILING_STATUS=MR","FA_ADJUSTED=GAAP","Sort=A","Dates=H","DateFormat=P","Fill=—","Direction=H","UseDPDF=Y")</f>
        <v>0.99350000000000005</v>
      </c>
      <c r="J8" s="14">
        <f>_xll.BDH("AMGN US Equity","EBITDA_GROWTH","FQ3 2020","FQ3 2020","Currency=USD","Period=FQ","BEST_FPERIOD_OVERRIDE=FQ","FILING_STATUS=MR","FA_ADJUSTED=GAAP","Sort=A","Dates=H","DateFormat=P","Fill=—","Direction=H","UseDPDF=Y")</f>
        <v>10.839399999999999</v>
      </c>
      <c r="K8" s="14">
        <f>_xll.BDH("AMGN US Equity","EBITDA_GROWTH","FQ4 2020","FQ4 2020","Currency=USD","Period=FQ","BEST_FPERIOD_OVERRIDE=FQ","FILING_STATUS=MR","FA_ADJUSTED=GAAP","Sort=A","Dates=H","DateFormat=P","Fill=—","Direction=H","UseDPDF=Y")</f>
        <v>3.0032000000000001</v>
      </c>
      <c r="L8" s="14">
        <f>_xll.BDH("AMGN US Equity","EBITDA_GROWTH","FQ1 2021","FQ1 2021","Currency=USD","Period=FQ","BEST_FPERIOD_OVERRIDE=FQ","FILING_STATUS=MR","FA_ADJUSTED=GAAP","Sort=A","Dates=H","DateFormat=P","Fill=—","Direction=H","UseDPDF=Y")</f>
        <v>-8.6715999999999998</v>
      </c>
      <c r="M8" s="14">
        <f>_xll.BDH("AMGN US Equity","EBITDA_GROWTH","FQ2 2021","FQ2 2021","Currency=USD","Period=FQ","BEST_FPERIOD_OVERRIDE=FQ","FILING_STATUS=MR","FA_ADJUSTED=GAAP","Sort=A","Dates=H","DateFormat=P","Fill=—","Direction=H","UseDPDF=Y")</f>
        <v>-48.263100000000001</v>
      </c>
      <c r="N8" s="14">
        <f>_xll.BDH("AMGN US Equity","EBITDA_GROWTH","FQ3 2021","FQ3 2021","Currency=USD","Period=FQ","BEST_FPERIOD_OVERRIDE=FQ","FILING_STATUS=MR","FA_ADJUSTED=GAAP","Sort=A","Dates=H","DateFormat=P","Fill=—","Direction=H","UseDPDF=Y")</f>
        <v>-3.7566999999999999</v>
      </c>
      <c r="O8" s="14">
        <f>_xll.BDH("AMGN US Equity","EBITDA_GROWTH","FQ4 2021","FQ4 2021","Currency=USD","Period=FQ","BEST_FPERIOD_OVERRIDE=FQ","FILING_STATUS=MR","FA_ADJUSTED=GAAP","Sort=A","Dates=H","DateFormat=P","Fill=—","Direction=H","UseDPDF=Y")</f>
        <v>9.5452999999999992</v>
      </c>
      <c r="P8" s="14">
        <f>_xll.BDH("AMGN US Equity","EBITDA_GROWTH","FQ1 2022","FQ1 2022","Currency=USD","Period=FQ","BEST_FPERIOD_OVERRIDE=FQ","FILING_STATUS=MR","FA_ADJUSTED=GAAP","Sort=A","Dates=H","DateFormat=P","Fill=—","Direction=H","UseDPDF=Y")</f>
        <v>12.4916</v>
      </c>
      <c r="Q8" s="14">
        <f>_xll.BDH("AMGN US Equity","EBITDA_GROWTH","FQ2 2022","FQ2 2022","Currency=USD","Period=FQ","BEST_FPERIOD_OVERRIDE=FQ","FILING_STATUS=MR","FA_ADJUSTED=GAAP","Sort=A","Dates=H","DateFormat=P","Fill=—","Direction=H","UseDPDF=Y")</f>
        <v>78.490799999999993</v>
      </c>
      <c r="R8" s="14">
        <f>_xll.BDH("AMGN US Equity","EBITDA_GROWTH","FQ3 2022","FQ3 2022","Currency=USD","Period=FQ","BEST_FPERIOD_OVERRIDE=FQ","FILING_STATUS=MR","FA_ADJUSTED=GAAP","Sort=A","Dates=H","DateFormat=P","Fill=—","Direction=H","UseDPDF=Y")</f>
        <v>8.3332999999999995</v>
      </c>
      <c r="S8" s="14">
        <f>_xll.BDH("AMGN US Equity","EBITDA_GROWTH","FQ4 2022","FQ4 2022","Currency=USD","Period=FQ","BEST_FPERIOD_OVERRIDE=FQ","FILING_STATUS=MR","FA_ADJUSTED=GAAP","Sort=A","Dates=H","DateFormat=P","Fill=—","Direction=H","UseDPDF=Y")</f>
        <v>-0.4753</v>
      </c>
      <c r="T8" s="14">
        <f>_xll.BDH("AMGN US Equity","EBITDA_GROWTH","FQ1 2023","FQ1 2023","Currency=USD","Period=FQ","BEST_FPERIOD_OVERRIDE=FQ","FILING_STATUS=MR","FA_ADJUSTED=GAAP","Sort=A","Dates=H","DateFormat=P","Fill=—","Direction=H","UseDPDF=Y")</f>
        <v>-15.5642</v>
      </c>
      <c r="U8" s="14">
        <f>_xll.BDH("AMGN US Equity","EBITDA_GROWTH","FQ2 2023","FQ2 2023","Currency=USD","Period=FQ","BEST_FPERIOD_OVERRIDE=FQ","FILING_STATUS=MR","FA_ADJUSTED=GAAP","Sort=A","Dates=H","DateFormat=P","Fill=—","Direction=H","UseDPDF=Y")</f>
        <v>19.174399999999999</v>
      </c>
      <c r="V8" s="14">
        <f>_xll.BDH("AMGN US Equity","EBITDA_GROWTH","FQ3 2023","FQ3 2023","Currency=USD","Period=FQ","BEST_FPERIOD_OVERRIDE=FQ","FILING_STATUS=MR","FA_ADJUSTED=GAAP","Sort=A","Dates=H","DateFormat=P","Fill=—","Direction=H","UseDPDF=Y")</f>
        <v>-16.6142</v>
      </c>
      <c r="W8" s="14">
        <f>_xll.BDH("AMGN US Equity","EBITDA_GROWTH","FQ4 2023","FQ4 2023","Currency=USD","Period=FQ","BEST_FPERIOD_OVERRIDE=FQ","FILING_STATUS=MR","FA_ADJUSTED=GAAP","Sort=A","Dates=H","DateFormat=P","Fill=—","Direction=H","UseDPDF=Y")</f>
        <v>-15.600099999999999</v>
      </c>
      <c r="X8" s="14">
        <f>_xll.BDH("AMGN US Equity","EBITDA_GROWTH","FQ1 2024","FQ1 2024","Currency=USD","Period=FQ","BEST_FPERIOD_OVERRIDE=FQ","FILING_STATUS=MR","FA_ADJUSTED=GAAP","Sort=A","Dates=H","DateFormat=P","Fill=—","Direction=H","UseDPDF=Y")</f>
        <v>-15.2783</v>
      </c>
      <c r="Y8" s="14">
        <f>_xll.BDH("AMGN US Equity","EBITDA_GROWTH","FQ2 2024","FQ2 2024","Currency=USD","Period=FQ","BEST_FPERIOD_OVERRIDE=FQ","FILING_STATUS=MR","FA_ADJUSTED=GAAP","Sort=A","Dates=H","DateFormat=P","Fill=—","Direction=H","UseDPDF=Y")</f>
        <v>-7.5697999999999999</v>
      </c>
      <c r="Z8" s="14">
        <f>_xll.BDH("AMGN US Equity","EBITDA_GROWTH","FQ3 2024","FQ3 2024","Currency=USD","Period=FQ","BEST_FPERIOD_OVERRIDE=FQ","FILING_STATUS=MR","FA_ADJUSTED=GAAP","Sort=A","Dates=H","DateFormat=P","Fill=—","Direction=H","UseDPDF=Y")</f>
        <v>18.072700000000001</v>
      </c>
      <c r="AA8" s="14">
        <f>_xll.BDH("AMGN US Equity","EBITDA_GROWTH","FQ4 2024","FQ4 2024","Currency=USD","Period=FQ","BEST_FPERIOD_OVERRIDE=FQ","FILING_STATUS=MR","FA_ADJUSTED=GAAP","Sort=A","Dates=H","DateFormat=P","Fill=—","Direction=H","UseDPDF=Y")</f>
        <v>39.871699999999997</v>
      </c>
    </row>
    <row r="9" spans="1:27" x14ac:dyDescent="0.25">
      <c r="A9" s="10" t="s">
        <v>98</v>
      </c>
      <c r="B9" s="10" t="s">
        <v>1467</v>
      </c>
      <c r="C9" s="14">
        <f>_xll.BDH("AMGN US Equity","OPER_INC_GROWTH","FQ4 2018","FQ4 2018","Currency=USD","Period=FQ","BEST_FPERIOD_OVERRIDE=FQ","FILING_STATUS=MR","FA_ADJUSTED=GAAP","Sort=A","Dates=H","DateFormat=P","Fill=—","Direction=H","UseDPDF=Y")</f>
        <v>6.1024000000000003</v>
      </c>
      <c r="D9" s="14">
        <f>_xll.BDH("AMGN US Equity","OPER_INC_GROWTH","FQ1 2019","FQ1 2019","Currency=USD","Period=FQ","BEST_FPERIOD_OVERRIDE=FQ","FILING_STATUS=MR","FA_ADJUSTED=GAAP","Sort=A","Dates=H","DateFormat=P","Fill=—","Direction=H","UseDPDF=Y")</f>
        <v>-9.3177000000000003</v>
      </c>
      <c r="E9" s="14">
        <f>_xll.BDH("AMGN US Equity","OPER_INC_GROWTH","FQ2 2019","FQ2 2019","Currency=USD","Period=FQ","BEST_FPERIOD_OVERRIDE=FQ","FILING_STATUS=MR","FA_ADJUSTED=GAAP","Sort=A","Dates=H","DateFormat=P","Fill=—","Direction=H","UseDPDF=Y")</f>
        <v>-5.4379</v>
      </c>
      <c r="F9" s="14">
        <f>_xll.BDH("AMGN US Equity","OPER_INC_GROWTH","FQ3 2019","FQ3 2019","Currency=USD","Period=FQ","BEST_FPERIOD_OVERRIDE=FQ","FILING_STATUS=MR","FA_ADJUSTED=GAAP","Sort=A","Dates=H","DateFormat=P","Fill=—","Direction=H","UseDPDF=Y")</f>
        <v>6.5862999999999996</v>
      </c>
      <c r="G9" s="14">
        <f>_xll.BDH("AMGN US Equity","OPER_INC_GROWTH","FQ4 2019","FQ4 2019","Currency=USD","Period=FQ","BEST_FPERIOD_OVERRIDE=FQ","FILING_STATUS=MR","FA_ADJUSTED=GAAP","Sort=A","Dates=H","DateFormat=P","Fill=—","Direction=H","UseDPDF=Y")</f>
        <v>-14.021800000000001</v>
      </c>
      <c r="H9" s="14">
        <f>_xll.BDH("AMGN US Equity","OPER_INC_GROWTH","FQ1 2020","FQ1 2020","Currency=USD","Period=FQ","BEST_FPERIOD_OVERRIDE=FQ","FILING_STATUS=MR","FA_ADJUSTED=GAAP","Sort=A","Dates=H","DateFormat=P","Fill=—","Direction=H","UseDPDF=Y")</f>
        <v>-4.7329999999999997</v>
      </c>
      <c r="I9" s="14">
        <f>_xll.BDH("AMGN US Equity","OPER_INC_GROWTH","FQ2 2020","FQ2 2020","Currency=USD","Period=FQ","BEST_FPERIOD_OVERRIDE=FQ","FILING_STATUS=MR","FA_ADJUSTED=GAAP","Sort=A","Dates=H","DateFormat=P","Fill=—","Direction=H","UseDPDF=Y")</f>
        <v>-13.2562</v>
      </c>
      <c r="J9" s="14">
        <f>_xll.BDH("AMGN US Equity","OPER_INC_GROWTH","FQ3 2020","FQ3 2020","Currency=USD","Period=FQ","BEST_FPERIOD_OVERRIDE=FQ","FILING_STATUS=MR","FA_ADJUSTED=GAAP","Sort=A","Dates=H","DateFormat=P","Fill=—","Direction=H","UseDPDF=Y")</f>
        <v>-0.92889999999999995</v>
      </c>
      <c r="K9" s="14">
        <f>_xll.BDH("AMGN US Equity","OPER_INC_GROWTH","FQ4 2020","FQ4 2020","Currency=USD","Period=FQ","BEST_FPERIOD_OVERRIDE=FQ","FILING_STATUS=MR","FA_ADJUSTED=GAAP","Sort=A","Dates=H","DateFormat=P","Fill=—","Direction=H","UseDPDF=Y")</f>
        <v>-1.9531000000000001</v>
      </c>
      <c r="L9" s="14">
        <f>_xll.BDH("AMGN US Equity","OPER_INC_GROWTH","FQ1 2021","FQ1 2021","Currency=USD","Period=FQ","BEST_FPERIOD_OVERRIDE=FQ","FILING_STATUS=MR","FA_ADJUSTED=GAAP","Sort=A","Dates=H","DateFormat=P","Fill=—","Direction=H","UseDPDF=Y")</f>
        <v>-9.5966000000000005</v>
      </c>
      <c r="M9" s="14">
        <f>_xll.BDH("AMGN US Equity","OPER_INC_GROWTH","FQ2 2021","FQ2 2021","Currency=USD","Period=FQ","BEST_FPERIOD_OVERRIDE=FQ","FILING_STATUS=MR","FA_ADJUSTED=GAAP","Sort=A","Dates=H","DateFormat=P","Fill=—","Direction=H","UseDPDF=Y")</f>
        <v>-64.356399999999994</v>
      </c>
      <c r="N9" s="14">
        <f>_xll.BDH("AMGN US Equity","OPER_INC_GROWTH","FQ3 2021","FQ3 2021","Currency=USD","Period=FQ","BEST_FPERIOD_OVERRIDE=FQ","FILING_STATUS=MR","FA_ADJUSTED=GAAP","Sort=A","Dates=H","DateFormat=P","Fill=—","Direction=H","UseDPDF=Y")</f>
        <v>-3.0575000000000001</v>
      </c>
      <c r="O9" s="14">
        <f>_xll.BDH("AMGN US Equity","OPER_INC_GROWTH","FQ4 2021","FQ4 2021","Currency=USD","Period=FQ","BEST_FPERIOD_OVERRIDE=FQ","FILING_STATUS=MR","FA_ADJUSTED=GAAP","Sort=A","Dates=H","DateFormat=P","Fill=—","Direction=H","UseDPDF=Y")</f>
        <v>14.741</v>
      </c>
      <c r="P9" s="14">
        <f>_xll.BDH("AMGN US Equity","OPER_INC_GROWTH","FQ1 2022","FQ1 2022","Currency=USD","Period=FQ","BEST_FPERIOD_OVERRIDE=FQ","FILING_STATUS=MR","FA_ADJUSTED=GAAP","Sort=A","Dates=H","DateFormat=P","Fill=—","Direction=H","UseDPDF=Y")</f>
        <v>17.425999999999998</v>
      </c>
      <c r="Q9" s="14">
        <f>_xll.BDH("AMGN US Equity","OPER_INC_GROWTH","FQ2 2022","FQ2 2022","Currency=USD","Period=FQ","BEST_FPERIOD_OVERRIDE=FQ","FILING_STATUS=MR","FA_ADJUSTED=GAAP","Sort=A","Dates=H","DateFormat=P","Fill=—","Direction=H","UseDPDF=Y")</f>
        <v>162.80189999999999</v>
      </c>
      <c r="R9" s="14">
        <f>_xll.BDH("AMGN US Equity","OPER_INC_GROWTH","FQ3 2022","FQ3 2022","Currency=USD","Period=FQ","BEST_FPERIOD_OVERRIDE=FQ","FILING_STATUS=MR","FA_ADJUSTED=GAAP","Sort=A","Dates=H","DateFormat=P","Fill=—","Direction=H","UseDPDF=Y")</f>
        <v>11.858700000000001</v>
      </c>
      <c r="S9" s="14">
        <f>_xll.BDH("AMGN US Equity","OPER_INC_GROWTH","FQ4 2022","FQ4 2022","Currency=USD","Period=FQ","BEST_FPERIOD_OVERRIDE=FQ","FILING_STATUS=MR","FA_ADJUSTED=GAAP","Sort=A","Dates=H","DateFormat=P","Fill=—","Direction=H","UseDPDF=Y")</f>
        <v>-3.2118000000000002</v>
      </c>
      <c r="T9" s="14">
        <f>_xll.BDH("AMGN US Equity","OPER_INC_GROWTH","FQ1 2023","FQ1 2023","Currency=USD","Period=FQ","BEST_FPERIOD_OVERRIDE=FQ","FILING_STATUS=MR","FA_ADJUSTED=GAAP","Sort=A","Dates=H","DateFormat=P","Fill=—","Direction=H","UseDPDF=Y")</f>
        <v>-23.16</v>
      </c>
      <c r="U9" s="14">
        <f>_xll.BDH("AMGN US Equity","OPER_INC_GROWTH","FQ2 2023","FQ2 2023","Currency=USD","Period=FQ","BEST_FPERIOD_OVERRIDE=FQ","FILING_STATUS=MR","FA_ADJUSTED=GAAP","Sort=A","Dates=H","DateFormat=P","Fill=—","Direction=H","UseDPDF=Y")</f>
        <v>23.345600000000001</v>
      </c>
      <c r="V9" s="14">
        <f>_xll.BDH("AMGN US Equity","OPER_INC_GROWTH","FQ3 2023","FQ3 2023","Currency=USD","Period=FQ","BEST_FPERIOD_OVERRIDE=FQ","FILING_STATUS=MR","FA_ADJUSTED=GAAP","Sort=A","Dates=H","DateFormat=P","Fill=—","Direction=H","UseDPDF=Y")</f>
        <v>-24.022600000000001</v>
      </c>
      <c r="W9" s="14">
        <f>_xll.BDH("AMGN US Equity","OPER_INC_GROWTH","FQ4 2023","FQ4 2023","Currency=USD","Period=FQ","BEST_FPERIOD_OVERRIDE=FQ","FILING_STATUS=MR","FA_ADJUSTED=GAAP","Sort=A","Dates=H","DateFormat=P","Fill=—","Direction=H","UseDPDF=Y")</f>
        <v>-43.0045</v>
      </c>
      <c r="X9" s="14">
        <f>_xll.BDH("AMGN US Equity","OPER_INC_GROWTH","FQ1 2024","FQ1 2024","Currency=USD","Period=FQ","BEST_FPERIOD_OVERRIDE=FQ","FILING_STATUS=MR","FA_ADJUSTED=GAAP","Sort=A","Dates=H","DateFormat=P","Fill=—","Direction=H","UseDPDF=Y")</f>
        <v>-48.412300000000002</v>
      </c>
      <c r="Y9" s="14">
        <f>_xll.BDH("AMGN US Equity","OPER_INC_GROWTH","FQ2 2024","FQ2 2024","Currency=USD","Period=FQ","BEST_FPERIOD_OVERRIDE=FQ","FILING_STATUS=MR","FA_ADJUSTED=GAAP","Sort=A","Dates=H","DateFormat=P","Fill=—","Direction=H","UseDPDF=Y")</f>
        <v>-28.8748</v>
      </c>
      <c r="Z9" s="14">
        <f>_xll.BDH("AMGN US Equity","OPER_INC_GROWTH","FQ3 2024","FQ3 2024","Currency=USD","Period=FQ","BEST_FPERIOD_OVERRIDE=FQ","FILING_STATUS=MR","FA_ADJUSTED=GAAP","Sort=A","Dates=H","DateFormat=P","Fill=—","Direction=H","UseDPDF=Y")</f>
        <v>1.2865</v>
      </c>
      <c r="AA9" s="14">
        <f>_xll.BDH("AMGN US Equity","OPER_INC_GROWTH","FQ4 2024","FQ4 2024","Currency=USD","Period=FQ","BEST_FPERIOD_OVERRIDE=FQ","FILING_STATUS=MR","FA_ADJUSTED=GAAP","Sort=A","Dates=H","DateFormat=P","Fill=—","Direction=H","UseDPDF=Y")</f>
        <v>81.825299999999999</v>
      </c>
    </row>
    <row r="10" spans="1:27" x14ac:dyDescent="0.25">
      <c r="A10" s="10" t="s">
        <v>100</v>
      </c>
      <c r="B10" s="10" t="s">
        <v>1468</v>
      </c>
      <c r="C10" s="14" t="str">
        <f>_xll.BDH("AMGN US Equity","EARN_FOR_COM_GROWTH","FQ4 2018","FQ4 2018","Currency=USD","Period=FQ","BEST_FPERIOD_OVERRIDE=FQ","FILING_STATUS=MR","FA_ADJUSTED=GAAP","Sort=A","Dates=H","DateFormat=P","Fill=—","Direction=H","UseDPDF=Y")</f>
        <v>—</v>
      </c>
      <c r="D10" s="14">
        <f>_xll.BDH("AMGN US Equity","EARN_FOR_COM_GROWTH","FQ1 2019","FQ1 2019","Currency=USD","Period=FQ","BEST_FPERIOD_OVERRIDE=FQ","FILING_STATUS=MR","FA_ADJUSTED=GAAP","Sort=A","Dates=H","DateFormat=P","Fill=—","Direction=H","UseDPDF=Y")</f>
        <v>-13.8035</v>
      </c>
      <c r="E10" s="14">
        <f>_xll.BDH("AMGN US Equity","EARN_FOR_COM_GROWTH","FQ2 2019","FQ2 2019","Currency=USD","Period=FQ","BEST_FPERIOD_OVERRIDE=FQ","FILING_STATUS=MR","FA_ADJUSTED=GAAP","Sort=A","Dates=H","DateFormat=P","Fill=—","Direction=H","UseDPDF=Y")</f>
        <v>-5.0957999999999997</v>
      </c>
      <c r="F10" s="14">
        <f>_xll.BDH("AMGN US Equity","EARN_FOR_COM_GROWTH","FQ3 2019","FQ3 2019","Currency=USD","Period=FQ","BEST_FPERIOD_OVERRIDE=FQ","FILING_STATUS=MR","FA_ADJUSTED=GAAP","Sort=A","Dates=H","DateFormat=P","Fill=—","Direction=H","UseDPDF=Y")</f>
        <v>5.8634000000000004</v>
      </c>
      <c r="G10" s="14">
        <f>_xll.BDH("AMGN US Equity","EARN_FOR_COM_GROWTH","FQ4 2019","FQ4 2019","Currency=USD","Period=FQ","BEST_FPERIOD_OVERRIDE=FQ","FILING_STATUS=MR","FA_ADJUSTED=GAAP","Sort=A","Dates=H","DateFormat=P","Fill=—","Direction=H","UseDPDF=Y")</f>
        <v>-11.6701</v>
      </c>
      <c r="H10" s="14">
        <f>_xll.BDH("AMGN US Equity","EARN_FOR_COM_GROWTH","FQ1 2020","FQ1 2020","Currency=USD","Period=FQ","BEST_FPERIOD_OVERRIDE=FQ","FILING_STATUS=MR","FA_ADJUSTED=GAAP","Sort=A","Dates=H","DateFormat=P","Fill=—","Direction=H","UseDPDF=Y")</f>
        <v>-8.3834999999999997</v>
      </c>
      <c r="I10" s="14">
        <f>_xll.BDH("AMGN US Equity","EARN_FOR_COM_GROWTH","FQ2 2020","FQ2 2020","Currency=USD","Period=FQ","BEST_FPERIOD_OVERRIDE=FQ","FILING_STATUS=MR","FA_ADJUSTED=GAAP","Sort=A","Dates=H","DateFormat=P","Fill=—","Direction=H","UseDPDF=Y")</f>
        <v>-17.255600000000001</v>
      </c>
      <c r="J10" s="14">
        <f>_xll.BDH("AMGN US Equity","EARN_FOR_COM_GROWTH","FQ3 2020","FQ3 2020","Currency=USD","Period=FQ","BEST_FPERIOD_OVERRIDE=FQ","FILING_STATUS=MR","FA_ADJUSTED=GAAP","Sort=A","Dates=H","DateFormat=P","Fill=—","Direction=H","UseDPDF=Y")</f>
        <v>2.6930999999999998</v>
      </c>
      <c r="K10" s="14">
        <f>_xll.BDH("AMGN US Equity","EARN_FOR_COM_GROWTH","FQ4 2020","FQ4 2020","Currency=USD","Period=FQ","BEST_FPERIOD_OVERRIDE=FQ","FILING_STATUS=MR","FA_ADJUSTED=GAAP","Sort=A","Dates=H","DateFormat=P","Fill=—","Direction=H","UseDPDF=Y")</f>
        <v>-5.1673999999999998</v>
      </c>
      <c r="L10" s="14">
        <f>_xll.BDH("AMGN US Equity","EARN_FOR_COM_GROWTH","FQ1 2021","FQ1 2021","Currency=USD","Period=FQ","BEST_FPERIOD_OVERRIDE=FQ","FILING_STATUS=MR","FA_ADJUSTED=GAAP","Sort=A","Dates=H","DateFormat=P","Fill=—","Direction=H","UseDPDF=Y")</f>
        <v>-9.8081999999999994</v>
      </c>
      <c r="M10" s="14">
        <f>_xll.BDH("AMGN US Equity","EARN_FOR_COM_GROWTH","FQ2 2021","FQ2 2021","Currency=USD","Period=FQ","BEST_FPERIOD_OVERRIDE=FQ","FILING_STATUS=MR","FA_ADJUSTED=GAAP","Sort=A","Dates=H","DateFormat=P","Fill=—","Direction=H","UseDPDF=Y")</f>
        <v>-74.265100000000004</v>
      </c>
      <c r="N10" s="14">
        <f>_xll.BDH("AMGN US Equity","EARN_FOR_COM_GROWTH","FQ3 2021","FQ3 2021","Currency=USD","Period=FQ","BEST_FPERIOD_OVERRIDE=FQ","FILING_STATUS=MR","FA_ADJUSTED=GAAP","Sort=A","Dates=H","DateFormat=P","Fill=—","Direction=H","UseDPDF=Y")</f>
        <v>-6.7788000000000004</v>
      </c>
      <c r="O10" s="14">
        <f>_xll.BDH("AMGN US Equity","EARN_FOR_COM_GROWTH","FQ4 2021","FQ4 2021","Currency=USD","Period=FQ","BEST_FPERIOD_OVERRIDE=FQ","FILING_STATUS=MR","FA_ADJUSTED=GAAP","Sort=A","Dates=H","DateFormat=P","Fill=—","Direction=H","UseDPDF=Y")</f>
        <v>17.585100000000001</v>
      </c>
      <c r="P10" s="14">
        <f>_xll.BDH("AMGN US Equity","EARN_FOR_COM_GROWTH","FQ1 2022","FQ1 2022","Currency=USD","Period=FQ","BEST_FPERIOD_OVERRIDE=FQ","FILING_STATUS=MR","FA_ADJUSTED=GAAP","Sort=A","Dates=H","DateFormat=P","Fill=—","Direction=H","UseDPDF=Y")</f>
        <v>-10.328099999999999</v>
      </c>
      <c r="Q10" s="14">
        <f>_xll.BDH("AMGN US Equity","EARN_FOR_COM_GROWTH","FQ2 2022","FQ2 2022","Currency=USD","Period=FQ","BEST_FPERIOD_OVERRIDE=FQ","FILING_STATUS=MR","FA_ADJUSTED=GAAP","Sort=A","Dates=H","DateFormat=P","Fill=—","Direction=H","UseDPDF=Y")</f>
        <v>183.83619999999999</v>
      </c>
      <c r="R10" s="14">
        <f>_xll.BDH("AMGN US Equity","EARN_FOR_COM_GROWTH","FQ3 2022","FQ3 2022","Currency=USD","Period=FQ","BEST_FPERIOD_OVERRIDE=FQ","FILING_STATUS=MR","FA_ADJUSTED=GAAP","Sort=A","Dates=H","DateFormat=P","Fill=—","Direction=H","UseDPDF=Y")</f>
        <v>13.747299999999999</v>
      </c>
      <c r="S10" s="14">
        <f>_xll.BDH("AMGN US Equity","EARN_FOR_COM_GROWTH","FQ4 2022","FQ4 2022","Currency=USD","Period=FQ","BEST_FPERIOD_OVERRIDE=FQ","FILING_STATUS=MR","FA_ADJUSTED=GAAP","Sort=A","Dates=H","DateFormat=P","Fill=—","Direction=H","UseDPDF=Y")</f>
        <v>-14.9026</v>
      </c>
      <c r="T10" s="14">
        <f>_xll.BDH("AMGN US Equity","EARN_FOR_COM_GROWTH","FQ1 2023","FQ1 2023","Currency=USD","Period=FQ","BEST_FPERIOD_OVERRIDE=FQ","FILING_STATUS=MR","FA_ADJUSTED=GAAP","Sort=A","Dates=H","DateFormat=P","Fill=—","Direction=H","UseDPDF=Y")</f>
        <v>92.479699999999994</v>
      </c>
      <c r="U10" s="14">
        <f>_xll.BDH("AMGN US Equity","EARN_FOR_COM_GROWTH","FQ2 2023","FQ2 2023","Currency=USD","Period=FQ","BEST_FPERIOD_OVERRIDE=FQ","FILING_STATUS=MR","FA_ADJUSTED=GAAP","Sort=A","Dates=H","DateFormat=P","Fill=—","Direction=H","UseDPDF=Y")</f>
        <v>4.7077</v>
      </c>
      <c r="V10" s="14">
        <f>_xll.BDH("AMGN US Equity","EARN_FOR_COM_GROWTH","FQ3 2023","FQ3 2023","Currency=USD","Period=FQ","BEST_FPERIOD_OVERRIDE=FQ","FILING_STATUS=MR","FA_ADJUSTED=GAAP","Sort=A","Dates=H","DateFormat=P","Fill=—","Direction=H","UseDPDF=Y")</f>
        <v>-19.271999999999998</v>
      </c>
      <c r="W10" s="14">
        <f>_xll.BDH("AMGN US Equity","EARN_FOR_COM_GROWTH","FQ4 2023","FQ4 2023","Currency=USD","Period=FQ","BEST_FPERIOD_OVERRIDE=FQ","FILING_STATUS=MR","FA_ADJUSTED=GAAP","Sort=A","Dates=H","DateFormat=P","Fill=—","Direction=H","UseDPDF=Y")</f>
        <v>-52.537100000000002</v>
      </c>
      <c r="X10" s="14" t="str">
        <f>_xll.BDH("AMGN US Equity","EARN_FOR_COM_GROWTH","FQ1 2024","FQ1 2024","Currency=USD","Period=FQ","BEST_FPERIOD_OVERRIDE=FQ","FILING_STATUS=MR","FA_ADJUSTED=GAAP","Sort=A","Dates=H","DateFormat=P","Fill=—","Direction=H","UseDPDF=Y")</f>
        <v>—</v>
      </c>
      <c r="Y10" s="14">
        <f>_xll.BDH("AMGN US Equity","EARN_FOR_COM_GROWTH","FQ2 2024","FQ2 2024","Currency=USD","Period=FQ","BEST_FPERIOD_OVERRIDE=FQ","FILING_STATUS=MR","FA_ADJUSTED=GAAP","Sort=A","Dates=H","DateFormat=P","Fill=—","Direction=H","UseDPDF=Y")</f>
        <v>-45.902799999999999</v>
      </c>
      <c r="Z10" s="14">
        <f>_xll.BDH("AMGN US Equity","EARN_FOR_COM_GROWTH","FQ3 2024","FQ3 2024","Currency=USD","Period=FQ","BEST_FPERIOD_OVERRIDE=FQ","FILING_STATUS=MR","FA_ADJUSTED=GAAP","Sort=A","Dates=H","DateFormat=P","Fill=—","Direction=H","UseDPDF=Y")</f>
        <v>63.583799999999997</v>
      </c>
      <c r="AA10" s="14">
        <f>_xll.BDH("AMGN US Equity","EARN_FOR_COM_GROWTH","FQ4 2024","FQ4 2024","Currency=USD","Period=FQ","BEST_FPERIOD_OVERRIDE=FQ","FILING_STATUS=MR","FA_ADJUSTED=GAAP","Sort=A","Dates=H","DateFormat=P","Fill=—","Direction=H","UseDPDF=Y")</f>
        <v>-18.2529</v>
      </c>
    </row>
    <row r="11" spans="1:27" x14ac:dyDescent="0.25">
      <c r="A11" s="10" t="s">
        <v>1469</v>
      </c>
      <c r="B11" s="10" t="s">
        <v>83</v>
      </c>
      <c r="C11" s="14" t="str">
        <f>_xll.BDH("AMGN US Equity","DILUTED_EPS_AFT_XO_ITEMS_GROWTH","FQ4 2018","FQ4 2018","Currency=USD","Period=FQ","BEST_FPERIOD_OVERRIDE=FQ","FILING_STATUS=MR","FA_ADJUSTED=GAAP","Sort=A","Dates=H","DateFormat=P","Fill=—","Direction=H","UseDPDF=Y")</f>
        <v>—</v>
      </c>
      <c r="D11" s="14">
        <f>_xll.BDH("AMGN US Equity","DILUTED_EPS_AFT_XO_ITEMS_GROWTH","FQ1 2019","FQ1 2019","Currency=USD","Period=FQ","BEST_FPERIOD_OVERRIDE=FQ","FILING_STATUS=MR","FA_ADJUSTED=GAAP","Sort=A","Dates=H","DateFormat=P","Fill=—","Direction=H","UseDPDF=Y")</f>
        <v>-2.1537999999999999</v>
      </c>
      <c r="E11" s="14">
        <f>_xll.BDH("AMGN US Equity","DILUTED_EPS_AFT_XO_ITEMS_GROWTH","FQ2 2019","FQ2 2019","Currency=USD","Period=FQ","BEST_FPERIOD_OVERRIDE=FQ","FILING_STATUS=MR","FA_ADJUSTED=GAAP","Sort=A","Dates=H","DateFormat=P","Fill=—","Direction=H","UseDPDF=Y")</f>
        <v>2.5861999999999998</v>
      </c>
      <c r="F11" s="14">
        <f>_xll.BDH("AMGN US Equity","DILUTED_EPS_AFT_XO_ITEMS_GROWTH","FQ3 2019","FQ3 2019","Currency=USD","Period=FQ","BEST_FPERIOD_OVERRIDE=FQ","FILING_STATUS=MR","FA_ADJUSTED=GAAP","Sort=A","Dates=H","DateFormat=P","Fill=—","Direction=H","UseDPDF=Y")</f>
        <v>14.335699999999999</v>
      </c>
      <c r="G11" s="14">
        <f>_xll.BDH("AMGN US Equity","DILUTED_EPS_AFT_XO_ITEMS_GROWTH","FQ4 2019","FQ4 2019","Currency=USD","Period=FQ","BEST_FPERIOD_OVERRIDE=FQ","FILING_STATUS=MR","FA_ADJUSTED=GAAP","Sort=A","Dates=H","DateFormat=P","Fill=—","Direction=H","UseDPDF=Y")</f>
        <v>-5.3155999999999999</v>
      </c>
      <c r="H11" s="14">
        <f>_xll.BDH("AMGN US Equity","DILUTED_EPS_AFT_XO_ITEMS_GROWTH","FQ1 2020","FQ1 2020","Currency=USD","Period=FQ","BEST_FPERIOD_OVERRIDE=FQ","FILING_STATUS=MR","FA_ADJUSTED=GAAP","Sort=A","Dates=H","DateFormat=P","Fill=—","Direction=H","UseDPDF=Y")</f>
        <v>-3.4590999999999998</v>
      </c>
      <c r="I11" s="14">
        <f>_xll.BDH("AMGN US Equity","DILUTED_EPS_AFT_XO_ITEMS_GROWTH","FQ2 2020","FQ2 2020","Currency=USD","Period=FQ","BEST_FPERIOD_OVERRIDE=FQ","FILING_STATUS=MR","FA_ADJUSTED=GAAP","Sort=A","Dates=H","DateFormat=P","Fill=—","Direction=H","UseDPDF=Y")</f>
        <v>-14.565799999999999</v>
      </c>
      <c r="J11" s="14">
        <f>_xll.BDH("AMGN US Equity","DILUTED_EPS_AFT_XO_ITEMS_GROWTH","FQ3 2020","FQ3 2020","Currency=USD","Period=FQ","BEST_FPERIOD_OVERRIDE=FQ","FILING_STATUS=MR","FA_ADJUSTED=GAAP","Sort=A","Dates=H","DateFormat=P","Fill=—","Direction=H","UseDPDF=Y")</f>
        <v>4.8929999999999998</v>
      </c>
      <c r="K11" s="14">
        <f>_xll.BDH("AMGN US Equity","DILUTED_EPS_AFT_XO_ITEMS_GROWTH","FQ4 2020","FQ4 2020","Currency=USD","Period=FQ","BEST_FPERIOD_OVERRIDE=FQ","FILING_STATUS=MR","FA_ADJUSTED=GAAP","Sort=A","Dates=H","DateFormat=P","Fill=—","Direction=H","UseDPDF=Y")</f>
        <v>-3.1579000000000002</v>
      </c>
      <c r="L11" s="14">
        <f>_xll.BDH("AMGN US Equity","DILUTED_EPS_AFT_XO_ITEMS_GROWTH","FQ1 2021","FQ1 2021","Currency=USD","Period=FQ","BEST_FPERIOD_OVERRIDE=FQ","FILING_STATUS=MR","FA_ADJUSTED=GAAP","Sort=A","Dates=H","DateFormat=P","Fill=—","Direction=H","UseDPDF=Y")</f>
        <v>-7.8175999999999997</v>
      </c>
      <c r="M11" s="14">
        <f>_xll.BDH("AMGN US Equity","DILUTED_EPS_AFT_XO_ITEMS_GROWTH","FQ2 2021","FQ2 2021","Currency=USD","Period=FQ","BEST_FPERIOD_OVERRIDE=FQ","FILING_STATUS=MR","FA_ADJUSTED=GAAP","Sort=A","Dates=H","DateFormat=P","Fill=—","Direction=H","UseDPDF=Y")</f>
        <v>-73.442599999999999</v>
      </c>
      <c r="N11" s="14">
        <f>_xll.BDH("AMGN US Equity","DILUTED_EPS_AFT_XO_ITEMS_GROWTH","FQ3 2021","FQ3 2021","Currency=USD","Period=FQ","BEST_FPERIOD_OVERRIDE=FQ","FILING_STATUS=MR","FA_ADJUSTED=GAAP","Sort=A","Dates=H","DateFormat=P","Fill=—","Direction=H","UseDPDF=Y")</f>
        <v>-3.4984999999999999</v>
      </c>
      <c r="O11" s="14">
        <f>_xll.BDH("AMGN US Equity","DILUTED_EPS_AFT_XO_ITEMS_GROWTH","FQ4 2021","FQ4 2021","Currency=USD","Period=FQ","BEST_FPERIOD_OVERRIDE=FQ","FILING_STATUS=MR","FA_ADJUSTED=GAAP","Sort=A","Dates=H","DateFormat=P","Fill=—","Direction=H","UseDPDF=Y")</f>
        <v>21.739100000000001</v>
      </c>
      <c r="P11" s="14">
        <f>_xll.BDH("AMGN US Equity","DILUTED_EPS_AFT_XO_ITEMS_GROWTH","FQ1 2022","FQ1 2022","Currency=USD","Period=FQ","BEST_FPERIOD_OVERRIDE=FQ","FILING_STATUS=MR","FA_ADJUSTED=GAAP","Sort=A","Dates=H","DateFormat=P","Fill=—","Direction=H","UseDPDF=Y")</f>
        <v>-5.3003999999999998</v>
      </c>
      <c r="Q11" s="14">
        <f>_xll.BDH("AMGN US Equity","DILUTED_EPS_AFT_XO_ITEMS_GROWTH","FQ2 2022","FQ2 2022","Currency=USD","Period=FQ","BEST_FPERIOD_OVERRIDE=FQ","FILING_STATUS=MR","FA_ADJUSTED=GAAP","Sort=A","Dates=H","DateFormat=P","Fill=—","Direction=H","UseDPDF=Y")</f>
        <v>202.4691</v>
      </c>
      <c r="R11" s="14">
        <f>_xll.BDH("AMGN US Equity","DILUTED_EPS_AFT_XO_ITEMS_GROWTH","FQ3 2022","FQ3 2022","Currency=USD","Period=FQ","BEST_FPERIOD_OVERRIDE=FQ","FILING_STATUS=MR","FA_ADJUSTED=GAAP","Sort=A","Dates=H","DateFormat=P","Fill=—","Direction=H","UseDPDF=Y")</f>
        <v>20.241700000000002</v>
      </c>
      <c r="S11" s="14">
        <f>_xll.BDH("AMGN US Equity","DILUTED_EPS_AFT_XO_ITEMS_GROWTH","FQ4 2022","FQ4 2022","Currency=USD","Period=FQ","BEST_FPERIOD_OVERRIDE=FQ","FILING_STATUS=MR","FA_ADJUSTED=GAAP","Sort=A","Dates=H","DateFormat=P","Fill=—","Direction=H","UseDPDF=Y")</f>
        <v>-10.7143</v>
      </c>
      <c r="T11" s="14">
        <f>_xll.BDH("AMGN US Equity","DILUTED_EPS_AFT_XO_ITEMS_GROWTH","FQ1 2023","FQ1 2023","Currency=USD","Period=FQ","BEST_FPERIOD_OVERRIDE=FQ","FILING_STATUS=MR","FA_ADJUSTED=GAAP","Sort=A","Dates=H","DateFormat=P","Fill=—","Direction=H","UseDPDF=Y")</f>
        <v>97.014899999999997</v>
      </c>
      <c r="U11" s="14">
        <f>_xll.BDH("AMGN US Equity","DILUTED_EPS_AFT_XO_ITEMS_GROWTH","FQ2 2023","FQ2 2023","Currency=USD","Period=FQ","BEST_FPERIOD_OVERRIDE=FQ","FILING_STATUS=MR","FA_ADJUSTED=GAAP","Sort=A","Dates=H","DateFormat=P","Fill=—","Direction=H","UseDPDF=Y")</f>
        <v>4.8979999999999997</v>
      </c>
      <c r="V11" s="14">
        <f>_xll.BDH("AMGN US Equity","DILUTED_EPS_AFT_XO_ITEMS_GROWTH","FQ3 2023","FQ3 2023","Currency=USD","Period=FQ","BEST_FPERIOD_OVERRIDE=FQ","FILING_STATUS=MR","FA_ADJUSTED=GAAP","Sort=A","Dates=H","DateFormat=P","Fill=—","Direction=H","UseDPDF=Y")</f>
        <v>-19.095500000000001</v>
      </c>
      <c r="W11" s="14">
        <f>_xll.BDH("AMGN US Equity","DILUTED_EPS_AFT_XO_ITEMS_GROWTH","FQ4 2023","FQ4 2023","Currency=USD","Period=FQ","BEST_FPERIOD_OVERRIDE=FQ","FILING_STATUS=MR","FA_ADJUSTED=GAAP","Sort=A","Dates=H","DateFormat=P","Fill=—","Direction=H","UseDPDF=Y")</f>
        <v>-52.666699999999999</v>
      </c>
      <c r="X11" s="14" t="str">
        <f>_xll.BDH("AMGN US Equity","DILUTED_EPS_AFT_XO_ITEMS_GROWTH","FQ1 2024","FQ1 2024","Currency=USD","Period=FQ","BEST_FPERIOD_OVERRIDE=FQ","FILING_STATUS=MR","FA_ADJUSTED=GAAP","Sort=A","Dates=H","DateFormat=P","Fill=—","Direction=H","UseDPDF=Y")</f>
        <v>—</v>
      </c>
      <c r="Y11" s="14">
        <f>_xll.BDH("AMGN US Equity","DILUTED_EPS_AFT_XO_ITEMS_GROWTH","FQ2 2024","FQ2 2024","Currency=USD","Period=FQ","BEST_FPERIOD_OVERRIDE=FQ","FILING_STATUS=MR","FA_ADJUSTED=GAAP","Sort=A","Dates=H","DateFormat=P","Fill=—","Direction=H","UseDPDF=Y")</f>
        <v>-46.3035</v>
      </c>
      <c r="Z11" s="14">
        <f>_xll.BDH("AMGN US Equity","DILUTED_EPS_AFT_XO_ITEMS_GROWTH","FQ3 2024","FQ3 2024","Currency=USD","Period=FQ","BEST_FPERIOD_OVERRIDE=FQ","FILING_STATUS=MR","FA_ADJUSTED=GAAP","Sort=A","Dates=H","DateFormat=P","Fill=—","Direction=H","UseDPDF=Y")</f>
        <v>62.111800000000002</v>
      </c>
      <c r="AA11" s="14">
        <f>_xll.BDH("AMGN US Equity","DILUTED_EPS_AFT_XO_ITEMS_GROWTH","FQ4 2024","FQ4 2024","Currency=USD","Period=FQ","BEST_FPERIOD_OVERRIDE=FQ","FILING_STATUS=MR","FA_ADJUSTED=GAAP","Sort=A","Dates=H","DateFormat=P","Fill=—","Direction=H","UseDPDF=Y")</f>
        <v>-18.309899999999999</v>
      </c>
    </row>
    <row r="12" spans="1:27" x14ac:dyDescent="0.25">
      <c r="A12" s="10" t="s">
        <v>1470</v>
      </c>
      <c r="B12" s="10" t="s">
        <v>1471</v>
      </c>
      <c r="C12" s="14" t="str">
        <f>_xll.BDH("AMGN US Equity","DILUTED_EPS_BEF_XO_ITEMS_GROWTH","FQ4 2018","FQ4 2018","Currency=USD","Period=FQ","BEST_FPERIOD_OVERRIDE=FQ","FILING_STATUS=MR","Sort=A","Dates=H","DateFormat=P","Fill=—","Direction=H","UseDPDF=Y")</f>
        <v>—</v>
      </c>
      <c r="D12" s="14">
        <f>_xll.BDH("AMGN US Equity","DILUTED_EPS_BEF_XO_ITEMS_GROWTH","FQ1 2019","FQ1 2019","Currency=USD","Period=FQ","BEST_FPERIOD_OVERRIDE=FQ","FILING_STATUS=MR","Sort=A","Dates=H","DateFormat=P","Fill=—","Direction=H","UseDPDF=Y")</f>
        <v>-2.1537999999999999</v>
      </c>
      <c r="E12" s="14">
        <f>_xll.BDH("AMGN US Equity","DILUTED_EPS_BEF_XO_ITEMS_GROWTH","FQ2 2019","FQ2 2019","Currency=USD","Period=FQ","BEST_FPERIOD_OVERRIDE=FQ","FILING_STATUS=MR","Sort=A","Dates=H","DateFormat=P","Fill=—","Direction=H","UseDPDF=Y")</f>
        <v>2.5861999999999998</v>
      </c>
      <c r="F12" s="14">
        <f>_xll.BDH("AMGN US Equity","DILUTED_EPS_BEF_XO_ITEMS_GROWTH","FQ3 2019","FQ3 2019","Currency=USD","Period=FQ","BEST_FPERIOD_OVERRIDE=FQ","FILING_STATUS=MR","Sort=A","Dates=H","DateFormat=P","Fill=—","Direction=H","UseDPDF=Y")</f>
        <v>14.335699999999999</v>
      </c>
      <c r="G12" s="14">
        <f>_xll.BDH("AMGN US Equity","DILUTED_EPS_BEF_XO_ITEMS_GROWTH","FQ4 2019","FQ4 2019","Currency=USD","Period=FQ","BEST_FPERIOD_OVERRIDE=FQ","FILING_STATUS=MR","Sort=A","Dates=H","DateFormat=P","Fill=—","Direction=H","UseDPDF=Y")</f>
        <v>-5.3155999999999999</v>
      </c>
      <c r="H12" s="14">
        <f>_xll.BDH("AMGN US Equity","DILUTED_EPS_BEF_XO_ITEMS_GROWTH","FQ1 2020","FQ1 2020","Currency=USD","Period=FQ","BEST_FPERIOD_OVERRIDE=FQ","FILING_STATUS=MR","Sort=A","Dates=H","DateFormat=P","Fill=—","Direction=H","UseDPDF=Y")</f>
        <v>-3.4590999999999998</v>
      </c>
      <c r="I12" s="14">
        <f>_xll.BDH("AMGN US Equity","DILUTED_EPS_BEF_XO_ITEMS_GROWTH","FQ2 2020","FQ2 2020","Currency=USD","Period=FQ","BEST_FPERIOD_OVERRIDE=FQ","FILING_STATUS=MR","Sort=A","Dates=H","DateFormat=P","Fill=—","Direction=H","UseDPDF=Y")</f>
        <v>-14.565799999999999</v>
      </c>
      <c r="J12" s="14">
        <f>_xll.BDH("AMGN US Equity","DILUTED_EPS_BEF_XO_ITEMS_GROWTH","FQ3 2020","FQ3 2020","Currency=USD","Period=FQ","BEST_FPERIOD_OVERRIDE=FQ","FILING_STATUS=MR","Sort=A","Dates=H","DateFormat=P","Fill=—","Direction=H","UseDPDF=Y")</f>
        <v>4.8929999999999998</v>
      </c>
      <c r="K12" s="14">
        <f>_xll.BDH("AMGN US Equity","DILUTED_EPS_BEF_XO_ITEMS_GROWTH","FQ4 2020","FQ4 2020","Currency=USD","Period=FQ","BEST_FPERIOD_OVERRIDE=FQ","FILING_STATUS=MR","Sort=A","Dates=H","DateFormat=P","Fill=—","Direction=H","UseDPDF=Y")</f>
        <v>-3.1579000000000002</v>
      </c>
      <c r="L12" s="14">
        <f>_xll.BDH("AMGN US Equity","DILUTED_EPS_BEF_XO_ITEMS_GROWTH","FQ1 2021","FQ1 2021","Currency=USD","Period=FQ","BEST_FPERIOD_OVERRIDE=FQ","FILING_STATUS=MR","Sort=A","Dates=H","DateFormat=P","Fill=—","Direction=H","UseDPDF=Y")</f>
        <v>-7.8175999999999997</v>
      </c>
      <c r="M12" s="14">
        <f>_xll.BDH("AMGN US Equity","DILUTED_EPS_BEF_XO_ITEMS_GROWTH","FQ2 2021","FQ2 2021","Currency=USD","Period=FQ","BEST_FPERIOD_OVERRIDE=FQ","FILING_STATUS=MR","Sort=A","Dates=H","DateFormat=P","Fill=—","Direction=H","UseDPDF=Y")</f>
        <v>-73.442599999999999</v>
      </c>
      <c r="N12" s="14">
        <f>_xll.BDH("AMGN US Equity","DILUTED_EPS_BEF_XO_ITEMS_GROWTH","FQ3 2021","FQ3 2021","Currency=USD","Period=FQ","BEST_FPERIOD_OVERRIDE=FQ","FILING_STATUS=MR","Sort=A","Dates=H","DateFormat=P","Fill=—","Direction=H","UseDPDF=Y")</f>
        <v>-3.4984999999999999</v>
      </c>
      <c r="O12" s="14">
        <f>_xll.BDH("AMGN US Equity","DILUTED_EPS_BEF_XO_ITEMS_GROWTH","FQ4 2021","FQ4 2021","Currency=USD","Period=FQ","BEST_FPERIOD_OVERRIDE=FQ","FILING_STATUS=MR","Sort=A","Dates=H","DateFormat=P","Fill=—","Direction=H","UseDPDF=Y")</f>
        <v>21.739100000000001</v>
      </c>
      <c r="P12" s="14">
        <f>_xll.BDH("AMGN US Equity","DILUTED_EPS_BEF_XO_ITEMS_GROWTH","FQ1 2022","FQ1 2022","Currency=USD","Period=FQ","BEST_FPERIOD_OVERRIDE=FQ","FILING_STATUS=MR","Sort=A","Dates=H","DateFormat=P","Fill=—","Direction=H","UseDPDF=Y")</f>
        <v>-5.3003999999999998</v>
      </c>
      <c r="Q12" s="14">
        <f>_xll.BDH("AMGN US Equity","DILUTED_EPS_BEF_XO_ITEMS_GROWTH","FQ2 2022","FQ2 2022","Currency=USD","Period=FQ","BEST_FPERIOD_OVERRIDE=FQ","FILING_STATUS=MR","Sort=A","Dates=H","DateFormat=P","Fill=—","Direction=H","UseDPDF=Y")</f>
        <v>202.4691</v>
      </c>
      <c r="R12" s="14">
        <f>_xll.BDH("AMGN US Equity","DILUTED_EPS_BEF_XO_ITEMS_GROWTH","FQ3 2022","FQ3 2022","Currency=USD","Period=FQ","BEST_FPERIOD_OVERRIDE=FQ","FILING_STATUS=MR","Sort=A","Dates=H","DateFormat=P","Fill=—","Direction=H","UseDPDF=Y")</f>
        <v>20.241700000000002</v>
      </c>
      <c r="S12" s="14">
        <f>_xll.BDH("AMGN US Equity","DILUTED_EPS_BEF_XO_ITEMS_GROWTH","FQ4 2022","FQ4 2022","Currency=USD","Period=FQ","BEST_FPERIOD_OVERRIDE=FQ","FILING_STATUS=MR","Sort=A","Dates=H","DateFormat=P","Fill=—","Direction=H","UseDPDF=Y")</f>
        <v>-10.7143</v>
      </c>
      <c r="T12" s="14">
        <f>_xll.BDH("AMGN US Equity","DILUTED_EPS_BEF_XO_ITEMS_GROWTH","FQ1 2023","FQ1 2023","Currency=USD","Period=FQ","BEST_FPERIOD_OVERRIDE=FQ","FILING_STATUS=MR","Sort=A","Dates=H","DateFormat=P","Fill=—","Direction=H","UseDPDF=Y")</f>
        <v>97.014899999999997</v>
      </c>
      <c r="U12" s="14">
        <f>_xll.BDH("AMGN US Equity","DILUTED_EPS_BEF_XO_ITEMS_GROWTH","FQ2 2023","FQ2 2023","Currency=USD","Period=FQ","BEST_FPERIOD_OVERRIDE=FQ","FILING_STATUS=MR","Sort=A","Dates=H","DateFormat=P","Fill=—","Direction=H","UseDPDF=Y")</f>
        <v>4.8979999999999997</v>
      </c>
      <c r="V12" s="14">
        <f>_xll.BDH("AMGN US Equity","DILUTED_EPS_BEF_XO_ITEMS_GROWTH","FQ3 2023","FQ3 2023","Currency=USD","Period=FQ","BEST_FPERIOD_OVERRIDE=FQ","FILING_STATUS=MR","Sort=A","Dates=H","DateFormat=P","Fill=—","Direction=H","UseDPDF=Y")</f>
        <v>-19.095500000000001</v>
      </c>
      <c r="W12" s="14">
        <f>_xll.BDH("AMGN US Equity","DILUTED_EPS_BEF_XO_ITEMS_GROWTH","FQ4 2023","FQ4 2023","Currency=USD","Period=FQ","BEST_FPERIOD_OVERRIDE=FQ","FILING_STATUS=MR","Sort=A","Dates=H","DateFormat=P","Fill=—","Direction=H","UseDPDF=Y")</f>
        <v>-52.666699999999999</v>
      </c>
      <c r="X12" s="14" t="str">
        <f>_xll.BDH("AMGN US Equity","DILUTED_EPS_BEF_XO_ITEMS_GROWTH","FQ1 2024","FQ1 2024","Currency=USD","Period=FQ","BEST_FPERIOD_OVERRIDE=FQ","FILING_STATUS=MR","Sort=A","Dates=H","DateFormat=P","Fill=—","Direction=H","UseDPDF=Y")</f>
        <v>—</v>
      </c>
      <c r="Y12" s="14">
        <f>_xll.BDH("AMGN US Equity","DILUTED_EPS_BEF_XO_ITEMS_GROWTH","FQ2 2024","FQ2 2024","Currency=USD","Period=FQ","BEST_FPERIOD_OVERRIDE=FQ","FILING_STATUS=MR","Sort=A","Dates=H","DateFormat=P","Fill=—","Direction=H","UseDPDF=Y")</f>
        <v>-46.3035</v>
      </c>
      <c r="Z12" s="14">
        <f>_xll.BDH("AMGN US Equity","DILUTED_EPS_BEF_XO_ITEMS_GROWTH","FQ3 2024","FQ3 2024","Currency=USD","Period=FQ","BEST_FPERIOD_OVERRIDE=FQ","FILING_STATUS=MR","Sort=A","Dates=H","DateFormat=P","Fill=—","Direction=H","UseDPDF=Y")</f>
        <v>62.111800000000002</v>
      </c>
      <c r="AA12" s="14">
        <f>_xll.BDH("AMGN US Equity","DILUTED_EPS_BEF_XO_ITEMS_GROWTH","FQ4 2024","FQ4 2024","Currency=USD","Period=FQ","BEST_FPERIOD_OVERRIDE=FQ","FILING_STATUS=MR","Sort=A","Dates=H","DateFormat=P","Fill=—","Direction=H","UseDPDF=Y")</f>
        <v>-18.309899999999999</v>
      </c>
    </row>
    <row r="13" spans="1:27" x14ac:dyDescent="0.25">
      <c r="A13" s="10" t="s">
        <v>1472</v>
      </c>
      <c r="B13" s="10" t="s">
        <v>1473</v>
      </c>
      <c r="C13" s="14">
        <f>_xll.BDH("AMGN US Equity","RR_DIL_EPS_CONT_OPS_GROWTH","FQ4 2018","FQ4 2018","Currency=USD","Period=FQ","BEST_FPERIOD_OVERRIDE=FQ","FILING_STATUS=MR","Sort=A","Dates=H","DateFormat=P","Fill=—","Direction=H","UseDPDF=Y")</f>
        <v>15.048</v>
      </c>
      <c r="D13" s="14">
        <f>_xll.BDH("AMGN US Equity","RR_DIL_EPS_CONT_OPS_GROWTH","FQ1 2019","FQ1 2019","Currency=USD","Period=FQ","BEST_FPERIOD_OVERRIDE=FQ","FILING_STATUS=MR","Sort=A","Dates=H","DateFormat=P","Fill=—","Direction=H","UseDPDF=Y")</f>
        <v>-3.6951000000000001</v>
      </c>
      <c r="E13" s="14">
        <f>_xll.BDH("AMGN US Equity","RR_DIL_EPS_CONT_OPS_GROWTH","FQ2 2019","FQ2 2019","Currency=USD","Period=FQ","BEST_FPERIOD_OVERRIDE=FQ","FILING_STATUS=MR","Sort=A","Dates=H","DateFormat=P","Fill=—","Direction=H","UseDPDF=Y")</f>
        <v>3.6576</v>
      </c>
      <c r="F13" s="14">
        <f>_xll.BDH("AMGN US Equity","RR_DIL_EPS_CONT_OPS_GROWTH","FQ3 2019","FQ3 2019","Currency=USD","Period=FQ","BEST_FPERIOD_OVERRIDE=FQ","FILING_STATUS=MR","Sort=A","Dates=H","DateFormat=P","Fill=—","Direction=H","UseDPDF=Y")</f>
        <v>-0.57989999999999997</v>
      </c>
      <c r="G13" s="14">
        <f>_xll.BDH("AMGN US Equity","RR_DIL_EPS_CONT_OPS_GROWTH","FQ4 2019","FQ4 2019","Currency=USD","Period=FQ","BEST_FPERIOD_OVERRIDE=FQ","FILING_STATUS=MR","Sort=A","Dates=H","DateFormat=P","Fill=—","Direction=H","UseDPDF=Y")</f>
        <v>-2.9422000000000001</v>
      </c>
      <c r="H13" s="14">
        <f>_xll.BDH("AMGN US Equity","RR_DIL_EPS_CONT_OPS_GROWTH","FQ1 2020","FQ1 2020","Currency=USD","Period=FQ","BEST_FPERIOD_OVERRIDE=FQ","FILING_STATUS=MR","Sort=A","Dates=H","DateFormat=P","Fill=—","Direction=H","UseDPDF=Y")</f>
        <v>-2.6738</v>
      </c>
      <c r="I13" s="14">
        <f>_xll.BDH("AMGN US Equity","RR_DIL_EPS_CONT_OPS_GROWTH","FQ2 2020","FQ2 2020","Currency=USD","Period=FQ","BEST_FPERIOD_OVERRIDE=FQ","FILING_STATUS=MR","Sort=A","Dates=H","DateFormat=P","Fill=—","Direction=H","UseDPDF=Y")</f>
        <v>-11.810600000000001</v>
      </c>
      <c r="J13" s="14">
        <f>_xll.BDH("AMGN US Equity","RR_DIL_EPS_CONT_OPS_GROWTH","FQ3 2020","FQ3 2020","Currency=USD","Period=FQ","BEST_FPERIOD_OVERRIDE=FQ","FILING_STATUS=MR","Sort=A","Dates=H","DateFormat=P","Fill=—","Direction=H","UseDPDF=Y")</f>
        <v>32.8553</v>
      </c>
      <c r="K13" s="14">
        <f>_xll.BDH("AMGN US Equity","RR_DIL_EPS_CONT_OPS_GROWTH","FQ4 2020","FQ4 2020","Currency=USD","Period=FQ","BEST_FPERIOD_OVERRIDE=FQ","FILING_STATUS=MR","Sort=A","Dates=H","DateFormat=P","Fill=—","Direction=H","UseDPDF=Y")</f>
        <v>-3.4655999999999998</v>
      </c>
      <c r="L13" s="14">
        <f>_xll.BDH("AMGN US Equity","RR_DIL_EPS_CONT_OPS_GROWTH","FQ1 2021","FQ1 2021","Currency=USD","Period=FQ","BEST_FPERIOD_OVERRIDE=FQ","FILING_STATUS=MR","Sort=A","Dates=H","DateFormat=P","Fill=—","Direction=H","UseDPDF=Y")</f>
        <v>16.9026</v>
      </c>
      <c r="M13" s="14">
        <f>_xll.BDH("AMGN US Equity","RR_DIL_EPS_CONT_OPS_GROWTH","FQ2 2021","FQ2 2021","Currency=USD","Period=FQ","BEST_FPERIOD_OVERRIDE=FQ","FILING_STATUS=MR","Sort=A","Dates=H","DateFormat=P","Fill=—","Direction=H","UseDPDF=Y")</f>
        <v>36.127899999999997</v>
      </c>
      <c r="N13" s="14">
        <f>_xll.BDH("AMGN US Equity","RR_DIL_EPS_CONT_OPS_GROWTH","FQ3 2021","FQ3 2021","Currency=USD","Period=FQ","BEST_FPERIOD_OVERRIDE=FQ","FILING_STATUS=MR","Sort=A","Dates=H","DateFormat=P","Fill=—","Direction=H","UseDPDF=Y")</f>
        <v>-31.154199999999999</v>
      </c>
      <c r="O13" s="14">
        <f>_xll.BDH("AMGN US Equity","RR_DIL_EPS_CONT_OPS_GROWTH","FQ4 2021","FQ4 2021","Currency=USD","Period=FQ","BEST_FPERIOD_OVERRIDE=FQ","FILING_STATUS=MR","Sort=A","Dates=H","DateFormat=P","Fill=—","Direction=H","UseDPDF=Y")</f>
        <v>15.9862</v>
      </c>
      <c r="P13" s="14">
        <f>_xll.BDH("AMGN US Equity","RR_DIL_EPS_CONT_OPS_GROWTH","FQ1 2022","FQ1 2022","Currency=USD","Period=FQ","BEST_FPERIOD_OVERRIDE=FQ","FILING_STATUS=MR","Sort=A","Dates=H","DateFormat=P","Fill=—","Direction=H","UseDPDF=Y")</f>
        <v>15.2538</v>
      </c>
      <c r="Q13" s="14">
        <f>_xll.BDH("AMGN US Equity","RR_DIL_EPS_CONT_OPS_GROWTH","FQ2 2022","FQ2 2022","Currency=USD","Period=FQ","BEST_FPERIOD_OVERRIDE=FQ","FILING_STATUS=MR","Sort=A","Dates=H","DateFormat=P","Fill=—","Direction=H","UseDPDF=Y")</f>
        <v>5.7396000000000003</v>
      </c>
      <c r="R13" s="14">
        <f>_xll.BDH("AMGN US Equity","RR_DIL_EPS_CONT_OPS_GROWTH","FQ3 2022","FQ3 2022","Currency=USD","Period=FQ","BEST_FPERIOD_OVERRIDE=FQ","FILING_STATUS=MR","Sort=A","Dates=H","DateFormat=P","Fill=—","Direction=H","UseDPDF=Y")</f>
        <v>25.377099999999999</v>
      </c>
      <c r="S13" s="14">
        <f>_xll.BDH("AMGN US Equity","RR_DIL_EPS_CONT_OPS_GROWTH","FQ4 2022","FQ4 2022","Currency=USD","Period=FQ","BEST_FPERIOD_OVERRIDE=FQ","FILING_STATUS=MR","Sort=A","Dates=H","DateFormat=P","Fill=—","Direction=H","UseDPDF=Y")</f>
        <v>-14.8383</v>
      </c>
      <c r="T13" s="14">
        <f>_xll.BDH("AMGN US Equity","RR_DIL_EPS_CONT_OPS_GROWTH","FQ1 2023","FQ1 2023","Currency=USD","Period=FQ","BEST_FPERIOD_OVERRIDE=FQ","FILING_STATUS=MR","Sort=A","Dates=H","DateFormat=P","Fill=—","Direction=H","UseDPDF=Y")</f>
        <v>-10.0899</v>
      </c>
      <c r="U13" s="14">
        <f>_xll.BDH("AMGN US Equity","RR_DIL_EPS_CONT_OPS_GROWTH","FQ2 2023","FQ2 2023","Currency=USD","Period=FQ","BEST_FPERIOD_OVERRIDE=FQ","FILING_STATUS=MR","Sort=A","Dates=H","DateFormat=P","Fill=—","Direction=H","UseDPDF=Y")</f>
        <v>-24.435300000000002</v>
      </c>
      <c r="V13" s="14">
        <f>_xll.BDH("AMGN US Equity","RR_DIL_EPS_CONT_OPS_GROWTH","FQ3 2023","FQ3 2023","Currency=USD","Period=FQ","BEST_FPERIOD_OVERRIDE=FQ","FILING_STATUS=MR","Sort=A","Dates=H","DateFormat=P","Fill=—","Direction=H","UseDPDF=Y")</f>
        <v>2.7456</v>
      </c>
      <c r="W13" s="14">
        <f>_xll.BDH("AMGN US Equity","RR_DIL_EPS_CONT_OPS_GROWTH","FQ4 2023","FQ4 2023","Currency=USD","Period=FQ","BEST_FPERIOD_OVERRIDE=FQ","FILING_STATUS=MR","Sort=A","Dates=H","DateFormat=P","Fill=—","Direction=H","UseDPDF=Y")</f>
        <v>-33.339500000000001</v>
      </c>
      <c r="X13" s="14">
        <f>_xll.BDH("AMGN US Equity","RR_DIL_EPS_CONT_OPS_GROWTH","FQ1 2024","FQ1 2024","Currency=USD","Period=FQ","BEST_FPERIOD_OVERRIDE=FQ","FILING_STATUS=MR","Sort=A","Dates=H","DateFormat=P","Fill=—","Direction=H","UseDPDF=Y")</f>
        <v>-78.573499999999996</v>
      </c>
      <c r="Y13" s="14">
        <f>_xll.BDH("AMGN US Equity","RR_DIL_EPS_CONT_OPS_GROWTH","FQ2 2024","FQ2 2024","Currency=USD","Period=FQ","BEST_FPERIOD_OVERRIDE=FQ","FILING_STATUS=MR","Sort=A","Dates=H","DateFormat=P","Fill=—","Direction=H","UseDPDF=Y")</f>
        <v>-35.282499999999999</v>
      </c>
      <c r="Z13" s="14">
        <f>_xll.BDH("AMGN US Equity","RR_DIL_EPS_CONT_OPS_GROWTH","FQ3 2024","FQ3 2024","Currency=USD","Period=FQ","BEST_FPERIOD_OVERRIDE=FQ","FILING_STATUS=MR","Sort=A","Dates=H","DateFormat=P","Fill=—","Direction=H","UseDPDF=Y")</f>
        <v>-2.5706000000000002</v>
      </c>
      <c r="AA13" s="14">
        <f>_xll.BDH("AMGN US Equity","RR_DIL_EPS_CONT_OPS_GROWTH","FQ4 2024","FQ4 2024","Currency=USD","Period=FQ","BEST_FPERIOD_OVERRIDE=FQ","FILING_STATUS=MR","Sort=A","Dates=H","DateFormat=P","Fill=—","Direction=H","UseDPDF=Y")</f>
        <v>28.9697</v>
      </c>
    </row>
    <row r="14" spans="1:27" x14ac:dyDescent="0.25">
      <c r="A14" s="10" t="s">
        <v>1474</v>
      </c>
      <c r="B14" s="10" t="s">
        <v>1475</v>
      </c>
      <c r="C14" s="14">
        <f>_xll.BDH("AMGN US Equity","DIVIDEND_PER_SHARE_1_YEAR_GROWTH","FQ4 2018","FQ4 2018","Currency=USD","Period=FQ","BEST_FPERIOD_OVERRIDE=FQ","FILING_STATUS=MR","Sort=A","Dates=H","DateFormat=P","Fill=—","Direction=H","UseDPDF=Y")</f>
        <v>14.7826</v>
      </c>
      <c r="D14" s="14">
        <f>_xll.BDH("AMGN US Equity","DIVIDEND_PER_SHARE_1_YEAR_GROWTH","FQ1 2019","FQ1 2019","Currency=USD","Period=FQ","BEST_FPERIOD_OVERRIDE=FQ","FILING_STATUS=MR","Sort=A","Dates=H","DateFormat=P","Fill=—","Direction=H","UseDPDF=Y")</f>
        <v>9.8484999999999996</v>
      </c>
      <c r="E14" s="14">
        <f>_xll.BDH("AMGN US Equity","DIVIDEND_PER_SHARE_1_YEAR_GROWTH","FQ2 2019","FQ2 2019","Currency=USD","Period=FQ","BEST_FPERIOD_OVERRIDE=FQ","FILING_STATUS=MR","Sort=A","Dates=H","DateFormat=P","Fill=—","Direction=H","UseDPDF=Y")</f>
        <v>9.8484999999999996</v>
      </c>
      <c r="F14" s="14">
        <f>_xll.BDH("AMGN US Equity","DIVIDEND_PER_SHARE_1_YEAR_GROWTH","FQ3 2019","FQ3 2019","Currency=USD","Period=FQ","BEST_FPERIOD_OVERRIDE=FQ","FILING_STATUS=MR","Sort=A","Dates=H","DateFormat=P","Fill=—","Direction=H","UseDPDF=Y")</f>
        <v>9.8484999999999996</v>
      </c>
      <c r="G14" s="14">
        <f>_xll.BDH("AMGN US Equity","DIVIDEND_PER_SHARE_1_YEAR_GROWTH","FQ4 2019","FQ4 2019","Currency=USD","Period=FQ","BEST_FPERIOD_OVERRIDE=FQ","FILING_STATUS=MR","Sort=A","Dates=H","DateFormat=P","Fill=—","Direction=H","UseDPDF=Y")</f>
        <v>9.8484999999999996</v>
      </c>
      <c r="H14" s="14">
        <f>_xll.BDH("AMGN US Equity","DIVIDEND_PER_SHARE_1_YEAR_GROWTH","FQ1 2020","FQ1 2020","Currency=USD","Period=FQ","BEST_FPERIOD_OVERRIDE=FQ","FILING_STATUS=MR","Sort=A","Dates=H","DateFormat=P","Fill=—","Direction=H","UseDPDF=Y")</f>
        <v>10.344799999999999</v>
      </c>
      <c r="I14" s="14">
        <f>_xll.BDH("AMGN US Equity","DIVIDEND_PER_SHARE_1_YEAR_GROWTH","FQ2 2020","FQ2 2020","Currency=USD","Period=FQ","BEST_FPERIOD_OVERRIDE=FQ","FILING_STATUS=MR","Sort=A","Dates=H","DateFormat=P","Fill=—","Direction=H","UseDPDF=Y")</f>
        <v>10.344799999999999</v>
      </c>
      <c r="J14" s="14">
        <f>_xll.BDH("AMGN US Equity","DIVIDEND_PER_SHARE_1_YEAR_GROWTH","FQ3 2020","FQ3 2020","Currency=USD","Period=FQ","BEST_FPERIOD_OVERRIDE=FQ","FILING_STATUS=MR","Sort=A","Dates=H","DateFormat=P","Fill=—","Direction=H","UseDPDF=Y")</f>
        <v>10.344799999999999</v>
      </c>
      <c r="K14" s="14">
        <f>_xll.BDH("AMGN US Equity","DIVIDEND_PER_SHARE_1_YEAR_GROWTH","FQ4 2020","FQ4 2020","Currency=USD","Period=FQ","BEST_FPERIOD_OVERRIDE=FQ","FILING_STATUS=MR","Sort=A","Dates=H","DateFormat=P","Fill=—","Direction=H","UseDPDF=Y")</f>
        <v>10.344799999999999</v>
      </c>
      <c r="L14" s="14">
        <f>_xll.BDH("AMGN US Equity","DIVIDEND_PER_SHARE_1_YEAR_GROWTH","FQ1 2021","FQ1 2021","Currency=USD","Period=FQ","BEST_FPERIOD_OVERRIDE=FQ","FILING_STATUS=MR","Sort=A","Dates=H","DateFormat=P","Fill=—","Direction=H","UseDPDF=Y")</f>
        <v>10</v>
      </c>
      <c r="M14" s="14">
        <f>_xll.BDH("AMGN US Equity","DIVIDEND_PER_SHARE_1_YEAR_GROWTH","FQ2 2021","FQ2 2021","Currency=USD","Period=FQ","BEST_FPERIOD_OVERRIDE=FQ","FILING_STATUS=MR","Sort=A","Dates=H","DateFormat=P","Fill=—","Direction=H","UseDPDF=Y")</f>
        <v>10</v>
      </c>
      <c r="N14" s="14">
        <f>_xll.BDH("AMGN US Equity","DIVIDEND_PER_SHARE_1_YEAR_GROWTH","FQ3 2021","FQ3 2021","Currency=USD","Period=FQ","BEST_FPERIOD_OVERRIDE=FQ","FILING_STATUS=MR","Sort=A","Dates=H","DateFormat=P","Fill=—","Direction=H","UseDPDF=Y")</f>
        <v>10</v>
      </c>
      <c r="O14" s="14">
        <f>_xll.BDH("AMGN US Equity","DIVIDEND_PER_SHARE_1_YEAR_GROWTH","FQ4 2021","FQ4 2021","Currency=USD","Period=FQ","BEST_FPERIOD_OVERRIDE=FQ","FILING_STATUS=MR","Sort=A","Dates=H","DateFormat=P","Fill=—","Direction=H","UseDPDF=Y")</f>
        <v>10</v>
      </c>
      <c r="P14" s="14">
        <f>_xll.BDH("AMGN US Equity","DIVIDEND_PER_SHARE_1_YEAR_GROWTH","FQ1 2022","FQ1 2022","Currency=USD","Period=FQ","BEST_FPERIOD_OVERRIDE=FQ","FILING_STATUS=MR","Sort=A","Dates=H","DateFormat=P","Fill=—","Direction=H","UseDPDF=Y")</f>
        <v>10.2273</v>
      </c>
      <c r="Q14" s="14">
        <f>_xll.BDH("AMGN US Equity","DIVIDEND_PER_SHARE_1_YEAR_GROWTH","FQ2 2022","FQ2 2022","Currency=USD","Period=FQ","BEST_FPERIOD_OVERRIDE=FQ","FILING_STATUS=MR","Sort=A","Dates=H","DateFormat=P","Fill=—","Direction=H","UseDPDF=Y")</f>
        <v>10.2273</v>
      </c>
      <c r="R14" s="14">
        <f>_xll.BDH("AMGN US Equity","DIVIDEND_PER_SHARE_1_YEAR_GROWTH","FQ3 2022","FQ3 2022","Currency=USD","Period=FQ","BEST_FPERIOD_OVERRIDE=FQ","FILING_STATUS=MR","Sort=A","Dates=H","DateFormat=P","Fill=—","Direction=H","UseDPDF=Y")</f>
        <v>10.2273</v>
      </c>
      <c r="S14" s="14">
        <f>_xll.BDH("AMGN US Equity","DIVIDEND_PER_SHARE_1_YEAR_GROWTH","FQ4 2022","FQ4 2022","Currency=USD","Period=FQ","BEST_FPERIOD_OVERRIDE=FQ","FILING_STATUS=MR","Sort=A","Dates=H","DateFormat=P","Fill=—","Direction=H","UseDPDF=Y")</f>
        <v>10.2273</v>
      </c>
      <c r="T14" s="14">
        <f>_xll.BDH("AMGN US Equity","DIVIDEND_PER_SHARE_1_YEAR_GROWTH","FQ1 2023","FQ1 2023","Currency=USD","Period=FQ","BEST_FPERIOD_OVERRIDE=FQ","FILING_STATUS=MR","Sort=A","Dates=H","DateFormat=P","Fill=—","Direction=H","UseDPDF=Y")</f>
        <v>9.7937999999999992</v>
      </c>
      <c r="U14" s="14">
        <f>_xll.BDH("AMGN US Equity","DIVIDEND_PER_SHARE_1_YEAR_GROWTH","FQ2 2023","FQ2 2023","Currency=USD","Period=FQ","BEST_FPERIOD_OVERRIDE=FQ","FILING_STATUS=MR","Sort=A","Dates=H","DateFormat=P","Fill=—","Direction=H","UseDPDF=Y")</f>
        <v>9.7937999999999992</v>
      </c>
      <c r="V14" s="14">
        <f>_xll.BDH("AMGN US Equity","DIVIDEND_PER_SHARE_1_YEAR_GROWTH","FQ3 2023","FQ3 2023","Currency=USD","Period=FQ","BEST_FPERIOD_OVERRIDE=FQ","FILING_STATUS=MR","Sort=A","Dates=H","DateFormat=P","Fill=—","Direction=H","UseDPDF=Y")</f>
        <v>9.7937999999999992</v>
      </c>
      <c r="W14" s="14">
        <f>_xll.BDH("AMGN US Equity","DIVIDEND_PER_SHARE_1_YEAR_GROWTH","FQ4 2023","FQ4 2023","Currency=USD","Period=FQ","BEST_FPERIOD_OVERRIDE=FQ","FILING_STATUS=MR","Sort=A","Dates=H","DateFormat=P","Fill=—","Direction=H","UseDPDF=Y")</f>
        <v>9.7937999999999992</v>
      </c>
      <c r="X14" s="14">
        <f>_xll.BDH("AMGN US Equity","DIVIDEND_PER_SHARE_1_YEAR_GROWTH","FQ1 2024","FQ1 2024","Currency=USD","Period=FQ","BEST_FPERIOD_OVERRIDE=FQ","FILING_STATUS=MR","Sort=A","Dates=H","DateFormat=P","Fill=—","Direction=H","UseDPDF=Y")</f>
        <v>5.6337999999999999</v>
      </c>
      <c r="Y14" s="14">
        <f>_xll.BDH("AMGN US Equity","DIVIDEND_PER_SHARE_1_YEAR_GROWTH","FQ2 2024","FQ2 2024","Currency=USD","Period=FQ","BEST_FPERIOD_OVERRIDE=FQ","FILING_STATUS=MR","Sort=A","Dates=H","DateFormat=P","Fill=—","Direction=H","UseDPDF=Y")</f>
        <v>5.6337999999999999</v>
      </c>
      <c r="Z14" s="14">
        <f>_xll.BDH("AMGN US Equity","DIVIDEND_PER_SHARE_1_YEAR_GROWTH","FQ3 2024","FQ3 2024","Currency=USD","Period=FQ","BEST_FPERIOD_OVERRIDE=FQ","FILING_STATUS=MR","Sort=A","Dates=H","DateFormat=P","Fill=—","Direction=H","UseDPDF=Y")</f>
        <v>5.6337999999999999</v>
      </c>
      <c r="AA14" s="14">
        <f>_xll.BDH("AMGN US Equity","DIVIDEND_PER_SHARE_1_YEAR_GROWTH","FQ4 2024","FQ4 2024","Currency=USD","Period=FQ","BEST_FPERIOD_OVERRIDE=FQ","FILING_STATUS=MR","Sort=A","Dates=H","DateFormat=P","Fill=—","Direction=H","UseDPDF=Y")</f>
        <v>5.6337999999999999</v>
      </c>
    </row>
    <row r="15" spans="1:27" x14ac:dyDescent="0.25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5">
      <c r="A16" s="10" t="s">
        <v>1476</v>
      </c>
      <c r="B16" s="10" t="s">
        <v>1477</v>
      </c>
      <c r="C16" s="14">
        <f>_xll.BDH("AMGN US Equity","ACCOUNTS_RECEIVABLE_GROWTH","FQ4 2018","FQ4 2018","Currency=USD","Period=FQ","BEST_FPERIOD_OVERRIDE=FQ","FILING_STATUS=MR","Sort=A","Dates=H","DateFormat=P","Fill=—","Direction=H","UseDPDF=Y")</f>
        <v>10.5962</v>
      </c>
      <c r="D16" s="14">
        <f>_xll.BDH("AMGN US Equity","ACCOUNTS_RECEIVABLE_GROWTH","FQ1 2019","FQ1 2019","Currency=USD","Period=FQ","BEST_FPERIOD_OVERRIDE=FQ","FILING_STATUS=MR","Sort=A","Dates=H","DateFormat=P","Fill=—","Direction=H","UseDPDF=Y")</f>
        <v>3.7985000000000002</v>
      </c>
      <c r="E16" s="14">
        <f>_xll.BDH("AMGN US Equity","ACCOUNTS_RECEIVABLE_GROWTH","FQ2 2019","FQ2 2019","Currency=USD","Period=FQ","BEST_FPERIOD_OVERRIDE=FQ","FILING_STATUS=MR","Sort=A","Dates=H","DateFormat=P","Fill=—","Direction=H","UseDPDF=Y")</f>
        <v>8.4760000000000009</v>
      </c>
      <c r="F16" s="14">
        <f>_xll.BDH("AMGN US Equity","ACCOUNTS_RECEIVABLE_GROWTH","FQ3 2019","FQ3 2019","Currency=USD","Period=FQ","BEST_FPERIOD_OVERRIDE=FQ","FILING_STATUS=MR","Sort=A","Dates=H","DateFormat=P","Fill=—","Direction=H","UseDPDF=Y")</f>
        <v>4.7950999999999997</v>
      </c>
      <c r="G16" s="14">
        <f>_xll.BDH("AMGN US Equity","ACCOUNTS_RECEIVABLE_GROWTH","FQ4 2019","FQ4 2019","Currency=USD","Period=FQ","BEST_FPERIOD_OVERRIDE=FQ","FILING_STATUS=MR","Sort=A","Dates=H","DateFormat=P","Fill=—","Direction=H","UseDPDF=Y")</f>
        <v>13.324</v>
      </c>
      <c r="H16" s="14">
        <f>_xll.BDH("AMGN US Equity","ACCOUNTS_RECEIVABLE_GROWTH","FQ1 2020","FQ1 2020","Currency=USD","Period=FQ","BEST_FPERIOD_OVERRIDE=FQ","FILING_STATUS=MR","Sort=A","Dates=H","DateFormat=P","Fill=—","Direction=H","UseDPDF=Y")</f>
        <v>32.829500000000003</v>
      </c>
      <c r="I16" s="14">
        <f>_xll.BDH("AMGN US Equity","ACCOUNTS_RECEIVABLE_GROWTH","FQ2 2020","FQ2 2020","Currency=USD","Period=FQ","BEST_FPERIOD_OVERRIDE=FQ","FILING_STATUS=MR","Sort=A","Dates=H","DateFormat=P","Fill=—","Direction=H","UseDPDF=Y")</f>
        <v>41.173400000000001</v>
      </c>
      <c r="J16" s="14">
        <f>_xll.BDH("AMGN US Equity","ACCOUNTS_RECEIVABLE_GROWTH","FQ3 2020","FQ3 2020","Currency=USD","Period=FQ","BEST_FPERIOD_OVERRIDE=FQ","FILING_STATUS=MR","Sort=A","Dates=H","DateFormat=P","Fill=—","Direction=H","UseDPDF=Y")</f>
        <v>13.532999999999999</v>
      </c>
      <c r="K16" s="14">
        <f>_xll.BDH("AMGN US Equity","ACCOUNTS_RECEIVABLE_GROWTH","FQ4 2020","FQ4 2020","Currency=USD","Period=FQ","BEST_FPERIOD_OVERRIDE=FQ","FILING_STATUS=MR","Sort=A","Dates=H","DateFormat=P","Fill=—","Direction=H","UseDPDF=Y")</f>
        <v>11.535600000000001</v>
      </c>
      <c r="L16" s="14">
        <f>_xll.BDH("AMGN US Equity","ACCOUNTS_RECEIVABLE_GROWTH","FQ1 2021","FQ1 2021","Currency=USD","Period=FQ","BEST_FPERIOD_OVERRIDE=FQ","FILING_STATUS=MR","Sort=A","Dates=H","DateFormat=P","Fill=—","Direction=H","UseDPDF=Y")</f>
        <v>-11.6989</v>
      </c>
      <c r="M16" s="14">
        <f>_xll.BDH("AMGN US Equity","ACCOUNTS_RECEIVABLE_GROWTH","FQ2 2021","FQ2 2021","Currency=USD","Period=FQ","BEST_FPERIOD_OVERRIDE=FQ","FILING_STATUS=MR","Sort=A","Dates=H","DateFormat=P","Fill=—","Direction=H","UseDPDF=Y")</f>
        <v>-16.53</v>
      </c>
      <c r="N16" s="14">
        <f>_xll.BDH("AMGN US Equity","ACCOUNTS_RECEIVABLE_GROWTH","FQ3 2021","FQ3 2021","Currency=USD","Period=FQ","BEST_FPERIOD_OVERRIDE=FQ","FILING_STATUS=MR","Sort=A","Dates=H","DateFormat=P","Fill=—","Direction=H","UseDPDF=Y")</f>
        <v>16.389800000000001</v>
      </c>
      <c r="O16" s="14">
        <f>_xll.BDH("AMGN US Equity","ACCOUNTS_RECEIVABLE_GROWTH","FQ4 2021","FQ4 2021","Currency=USD","Period=FQ","BEST_FPERIOD_OVERRIDE=FQ","FILING_STATUS=MR","Sort=A","Dates=H","DateFormat=P","Fill=—","Direction=H","UseDPDF=Y")</f>
        <v>8.1768000000000001</v>
      </c>
      <c r="P16" s="14">
        <f>_xll.BDH("AMGN US Equity","ACCOUNTS_RECEIVABLE_GROWTH","FQ1 2022","FQ1 2022","Currency=USD","Period=FQ","BEST_FPERIOD_OVERRIDE=FQ","FILING_STATUS=MR","Sort=A","Dates=H","DateFormat=P","Fill=—","Direction=H","UseDPDF=Y")</f>
        <v>14.786300000000001</v>
      </c>
      <c r="Q16" s="14">
        <f>_xll.BDH("AMGN US Equity","ACCOUNTS_RECEIVABLE_GROWTH","FQ2 2022","FQ2 2022","Currency=USD","Period=FQ","BEST_FPERIOD_OVERRIDE=FQ","FILING_STATUS=MR","Sort=A","Dates=H","DateFormat=P","Fill=—","Direction=H","UseDPDF=Y")</f>
        <v>18.9328</v>
      </c>
      <c r="R16" s="14">
        <f>_xll.BDH("AMGN US Equity","ACCOUNTS_RECEIVABLE_GROWTH","FQ3 2022","FQ3 2022","Currency=USD","Period=FQ","BEST_FPERIOD_OVERRIDE=FQ","FILING_STATUS=MR","Sort=A","Dates=H","DateFormat=P","Fill=—","Direction=H","UseDPDF=Y")</f>
        <v>11.773300000000001</v>
      </c>
      <c r="S16" s="14">
        <f>_xll.BDH("AMGN US Equity","ACCOUNTS_RECEIVABLE_GROWTH","FQ4 2022","FQ4 2022","Currency=USD","Period=FQ","BEST_FPERIOD_OVERRIDE=FQ","FILING_STATUS=MR","Sort=A","Dates=H","DateFormat=P","Fill=—","Direction=H","UseDPDF=Y")</f>
        <v>13.646599999999999</v>
      </c>
      <c r="T16" s="14">
        <f>_xll.BDH("AMGN US Equity","ACCOUNTS_RECEIVABLE_GROWTH","FQ1 2023","FQ1 2023","Currency=USD","Period=FQ","BEST_FPERIOD_OVERRIDE=FQ","FILING_STATUS=MR","Sort=A","Dates=H","DateFormat=P","Fill=—","Direction=H","UseDPDF=Y")</f>
        <v>12.9801</v>
      </c>
      <c r="U16" s="14">
        <f>_xll.BDH("AMGN US Equity","ACCOUNTS_RECEIVABLE_GROWTH","FQ2 2023","FQ2 2023","Currency=USD","Period=FQ","BEST_FPERIOD_OVERRIDE=FQ","FILING_STATUS=MR","Sort=A","Dates=H","DateFormat=P","Fill=—","Direction=H","UseDPDF=Y")</f>
        <v>9.4425000000000008</v>
      </c>
      <c r="V16" s="14">
        <f>_xll.BDH("AMGN US Equity","ACCOUNTS_RECEIVABLE_GROWTH","FQ3 2023","FQ3 2023","Currency=USD","Period=FQ","BEST_FPERIOD_OVERRIDE=FQ","FILING_STATUS=MR","Sort=A","Dates=H","DateFormat=P","Fill=—","Direction=H","UseDPDF=Y")</f>
        <v>15.3774</v>
      </c>
      <c r="W16" s="14">
        <f>_xll.BDH("AMGN US Equity","ACCOUNTS_RECEIVABLE_GROWTH","FQ4 2023","FQ4 2023","Currency=USD","Period=FQ","BEST_FPERIOD_OVERRIDE=FQ","FILING_STATUS=MR","Sort=A","Dates=H","DateFormat=P","Fill=—","Direction=H","UseDPDF=Y")</f>
        <v>30.648900000000001</v>
      </c>
      <c r="X16" s="14">
        <f>_xll.BDH("AMGN US Equity","ACCOUNTS_RECEIVABLE_GROWTH","FQ1 2024","FQ1 2024","Currency=USD","Period=FQ","BEST_FPERIOD_OVERRIDE=FQ","FILING_STATUS=MR","Sort=A","Dates=H","DateFormat=P","Fill=—","Direction=H","UseDPDF=Y")</f>
        <v>18.1311</v>
      </c>
      <c r="Y16" s="14">
        <f>_xll.BDH("AMGN US Equity","ACCOUNTS_RECEIVABLE_GROWTH","FQ2 2024","FQ2 2024","Currency=USD","Period=FQ","BEST_FPERIOD_OVERRIDE=FQ","FILING_STATUS=MR","Sort=A","Dates=H","DateFormat=P","Fill=—","Direction=H","UseDPDF=Y")</f>
        <v>18.936499999999999</v>
      </c>
      <c r="Z16" s="14">
        <f>_xll.BDH("AMGN US Equity","ACCOUNTS_RECEIVABLE_GROWTH","FQ3 2024","FQ3 2024","Currency=USD","Period=FQ","BEST_FPERIOD_OVERRIDE=FQ","FILING_STATUS=MR","Sort=A","Dates=H","DateFormat=P","Fill=—","Direction=H","UseDPDF=Y")</f>
        <v>19.072399999999998</v>
      </c>
      <c r="AA16" s="14">
        <f>_xll.BDH("AMGN US Equity","ACCOUNTS_RECEIVABLE_GROWTH","FQ4 2024","FQ4 2024","Currency=USD","Period=FQ","BEST_FPERIOD_OVERRIDE=FQ","FILING_STATUS=MR","Sort=A","Dates=H","DateFormat=P","Fill=—","Direction=H","UseDPDF=Y")</f>
        <v>-6.6867999999999999</v>
      </c>
    </row>
    <row r="17" spans="1:27" x14ac:dyDescent="0.25">
      <c r="A17" s="10" t="s">
        <v>1478</v>
      </c>
      <c r="B17" s="10" t="s">
        <v>1479</v>
      </c>
      <c r="C17" s="14">
        <f>_xll.BDH("AMGN US Equity","INVENTORY_GROWTH","FQ4 2018","FQ4 2018","Currency=USD","Period=FQ","BEST_FPERIOD_OVERRIDE=FQ","FILING_STATUS=MR","Sort=A","Dates=H","DateFormat=P","Fill=—","Direction=H","UseDPDF=Y")</f>
        <v>3.7403</v>
      </c>
      <c r="D17" s="14">
        <f>_xll.BDH("AMGN US Equity","INVENTORY_GROWTH","FQ1 2019","FQ1 2019","Currency=USD","Period=FQ","BEST_FPERIOD_OVERRIDE=FQ","FILING_STATUS=MR","Sort=A","Dates=H","DateFormat=P","Fill=—","Direction=H","UseDPDF=Y")</f>
        <v>2.1680000000000001</v>
      </c>
      <c r="E17" s="14">
        <f>_xll.BDH("AMGN US Equity","INVENTORY_GROWTH","FQ2 2019","FQ2 2019","Currency=USD","Period=FQ","BEST_FPERIOD_OVERRIDE=FQ","FILING_STATUS=MR","Sort=A","Dates=H","DateFormat=P","Fill=—","Direction=H","UseDPDF=Y")</f>
        <v>3.6892</v>
      </c>
      <c r="F17" s="14">
        <f>_xll.BDH("AMGN US Equity","INVENTORY_GROWTH","FQ3 2019","FQ3 2019","Currency=USD","Period=FQ","BEST_FPERIOD_OVERRIDE=FQ","FILING_STATUS=MR","Sort=A","Dates=H","DateFormat=P","Fill=—","Direction=H","UseDPDF=Y")</f>
        <v>7.4908999999999999</v>
      </c>
      <c r="G17" s="14">
        <f>_xll.BDH("AMGN US Equity","INVENTORY_GROWTH","FQ4 2019","FQ4 2019","Currency=USD","Period=FQ","BEST_FPERIOD_OVERRIDE=FQ","FILING_STATUS=MR","Sort=A","Dates=H","DateFormat=P","Fill=—","Direction=H","UseDPDF=Y")</f>
        <v>21.904800000000002</v>
      </c>
      <c r="H17" s="14">
        <f>_xll.BDH("AMGN US Equity","INVENTORY_GROWTH","FQ1 2020","FQ1 2020","Currency=USD","Period=FQ","BEST_FPERIOD_OVERRIDE=FQ","FILING_STATUS=MR","Sort=A","Dates=H","DateFormat=P","Fill=—","Direction=H","UseDPDF=Y")</f>
        <v>22.0822</v>
      </c>
      <c r="I17" s="14">
        <f>_xll.BDH("AMGN US Equity","INVENTORY_GROWTH","FQ2 2020","FQ2 2020","Currency=USD","Period=FQ","BEST_FPERIOD_OVERRIDE=FQ","FILING_STATUS=MR","Sort=A","Dates=H","DateFormat=P","Fill=—","Direction=H","UseDPDF=Y")</f>
        <v>20.9068</v>
      </c>
      <c r="J17" s="14">
        <f>_xll.BDH("AMGN US Equity","INVENTORY_GROWTH","FQ3 2020","FQ3 2020","Currency=USD","Period=FQ","BEST_FPERIOD_OVERRIDE=FQ","FILING_STATUS=MR","Sort=A","Dates=H","DateFormat=P","Fill=—","Direction=H","UseDPDF=Y")</f>
        <v>21.554099999999998</v>
      </c>
      <c r="K17" s="14">
        <f>_xll.BDH("AMGN US Equity","INVENTORY_GROWTH","FQ4 2020","FQ4 2020","Currency=USD","Period=FQ","BEST_FPERIOD_OVERRIDE=FQ","FILING_STATUS=MR","Sort=A","Dates=H","DateFormat=P","Fill=—","Direction=H","UseDPDF=Y")</f>
        <v>8.6217000000000006</v>
      </c>
      <c r="L17" s="14">
        <f>_xll.BDH("AMGN US Equity","INVENTORY_GROWTH","FQ1 2021","FQ1 2021","Currency=USD","Period=FQ","BEST_FPERIOD_OVERRIDE=FQ","FILING_STATUS=MR","Sort=A","Dates=H","DateFormat=P","Fill=—","Direction=H","UseDPDF=Y")</f>
        <v>9.0983000000000001</v>
      </c>
      <c r="M17" s="14">
        <f>_xll.BDH("AMGN US Equity","INVENTORY_GROWTH","FQ2 2021","FQ2 2021","Currency=USD","Period=FQ","BEST_FPERIOD_OVERRIDE=FQ","FILING_STATUS=MR","Sort=A","Dates=H","DateFormat=P","Fill=—","Direction=H","UseDPDF=Y")</f>
        <v>7.1615000000000002</v>
      </c>
      <c r="N17" s="14">
        <f>_xll.BDH("AMGN US Equity","INVENTORY_GROWTH","FQ3 2021","FQ3 2021","Currency=USD","Period=FQ","BEST_FPERIOD_OVERRIDE=FQ","FILING_STATUS=MR","Sort=A","Dates=H","DateFormat=P","Fill=—","Direction=H","UseDPDF=Y")</f>
        <v>5.3272000000000004</v>
      </c>
      <c r="O17" s="14">
        <f>_xll.BDH("AMGN US Equity","INVENTORY_GROWTH","FQ4 2021","FQ4 2021","Currency=USD","Period=FQ","BEST_FPERIOD_OVERRIDE=FQ","FILING_STATUS=MR","Sort=A","Dates=H","DateFormat=P","Fill=—","Direction=H","UseDPDF=Y")</f>
        <v>4.9576000000000002</v>
      </c>
      <c r="P17" s="14">
        <f>_xll.BDH("AMGN US Equity","INVENTORY_GROWTH","FQ1 2022","FQ1 2022","Currency=USD","Period=FQ","BEST_FPERIOD_OVERRIDE=FQ","FILING_STATUS=MR","Sort=A","Dates=H","DateFormat=P","Fill=—","Direction=H","UseDPDF=Y")</f>
        <v>9.8082999999999991</v>
      </c>
      <c r="Q17" s="14">
        <f>_xll.BDH("AMGN US Equity","INVENTORY_GROWTH","FQ2 2022","FQ2 2022","Currency=USD","Period=FQ","BEST_FPERIOD_OVERRIDE=FQ","FILING_STATUS=MR","Sort=A","Dates=H","DateFormat=P","Fill=—","Direction=H","UseDPDF=Y")</f>
        <v>10.6683</v>
      </c>
      <c r="R17" s="14">
        <f>_xll.BDH("AMGN US Equity","INVENTORY_GROWTH","FQ3 2022","FQ3 2022","Currency=USD","Period=FQ","BEST_FPERIOD_OVERRIDE=FQ","FILING_STATUS=MR","Sort=A","Dates=H","DateFormat=P","Fill=—","Direction=H","UseDPDF=Y")</f>
        <v>14.571300000000001</v>
      </c>
      <c r="S17" s="14">
        <f>_xll.BDH("AMGN US Equity","INVENTORY_GROWTH","FQ4 2022","FQ4 2022","Currency=USD","Period=FQ","BEST_FPERIOD_OVERRIDE=FQ","FILING_STATUS=MR","Sort=A","Dates=H","DateFormat=P","Fill=—","Direction=H","UseDPDF=Y")</f>
        <v>20.655899999999999</v>
      </c>
      <c r="T17" s="14">
        <f>_xll.BDH("AMGN US Equity","INVENTORY_GROWTH","FQ1 2023","FQ1 2023","Currency=USD","Period=FQ","BEST_FPERIOD_OVERRIDE=FQ","FILING_STATUS=MR","Sort=A","Dates=H","DateFormat=P","Fill=—","Direction=H","UseDPDF=Y")</f>
        <v>13.602399999999999</v>
      </c>
      <c r="U17" s="14">
        <f>_xll.BDH("AMGN US Equity","INVENTORY_GROWTH","FQ2 2023","FQ2 2023","Currency=USD","Period=FQ","BEST_FPERIOD_OVERRIDE=FQ","FILING_STATUS=MR","Sort=A","Dates=H","DateFormat=P","Fill=—","Direction=H","UseDPDF=Y")</f>
        <v>9.3104999999999993</v>
      </c>
      <c r="V17" s="14">
        <f>_xll.BDH("AMGN US Equity","INVENTORY_GROWTH","FQ3 2023","FQ3 2023","Currency=USD","Period=FQ","BEST_FPERIOD_OVERRIDE=FQ","FILING_STATUS=MR","Sort=A","Dates=H","DateFormat=P","Fill=—","Direction=H","UseDPDF=Y")</f>
        <v>5.6547999999999998</v>
      </c>
      <c r="W17" s="14">
        <f>_xll.BDH("AMGN US Equity","INVENTORY_GROWTH","FQ4 2023","FQ4 2023","Currency=USD","Period=FQ","BEST_FPERIOD_OVERRIDE=FQ","FILING_STATUS=MR","Sort=A","Dates=H","DateFormat=P","Fill=—","Direction=H","UseDPDF=Y")</f>
        <v>93.062899999999999</v>
      </c>
      <c r="X17" s="14">
        <f>_xll.BDH("AMGN US Equity","INVENTORY_GROWTH","FQ1 2024","FQ1 2024","Currency=USD","Period=FQ","BEST_FPERIOD_OVERRIDE=FQ","FILING_STATUS=MR","Sort=A","Dates=H","DateFormat=P","Fill=—","Direction=H","UseDPDF=Y")</f>
        <v>74.096999999999994</v>
      </c>
      <c r="Y17" s="14">
        <f>_xll.BDH("AMGN US Equity","INVENTORY_GROWTH","FQ2 2024","FQ2 2024","Currency=USD","Period=FQ","BEST_FPERIOD_OVERRIDE=FQ","FILING_STATUS=MR","Sort=A","Dates=H","DateFormat=P","Fill=—","Direction=H","UseDPDF=Y")</f>
        <v>60.606699999999996</v>
      </c>
      <c r="Z17" s="14">
        <f>_xll.BDH("AMGN US Equity","INVENTORY_GROWTH","FQ3 2024","FQ3 2024","Currency=USD","Period=FQ","BEST_FPERIOD_OVERRIDE=FQ","FILING_STATUS=MR","Sort=A","Dates=H","DateFormat=P","Fill=—","Direction=H","UseDPDF=Y")</f>
        <v>46.478299999999997</v>
      </c>
      <c r="AA17" s="14">
        <f>_xll.BDH("AMGN US Equity","INVENTORY_GROWTH","FQ4 2024","FQ4 2024","Currency=USD","Period=FQ","BEST_FPERIOD_OVERRIDE=FQ","FILING_STATUS=MR","Sort=A","Dates=H","DateFormat=P","Fill=—","Direction=H","UseDPDF=Y")</f>
        <v>-26.476199999999999</v>
      </c>
    </row>
    <row r="18" spans="1:27" x14ac:dyDescent="0.25">
      <c r="A18" s="10" t="s">
        <v>1480</v>
      </c>
      <c r="B18" s="10" t="s">
        <v>1481</v>
      </c>
      <c r="C18" s="14">
        <f>_xll.BDH("AMGN US Equity","NET_FIXED_ASSETS_1_YEAR_GROWTH","FQ4 2018","FQ4 2018","Currency=USD","Period=FQ","BEST_FPERIOD_OVERRIDE=FQ","FILING_STATUS=MR","Sort=A","Dates=H","DateFormat=P","Fill=—","Direction=H","UseDPDF=Y")</f>
        <v>-0.62139999999999995</v>
      </c>
      <c r="D18" s="14">
        <f>_xll.BDH("AMGN US Equity","NET_FIXED_ASSETS_1_YEAR_GROWTH","FQ1 2019","FQ1 2019","Currency=USD","Period=FQ","BEST_FPERIOD_OVERRIDE=FQ","FILING_STATUS=MR","Sort=A","Dates=H","DateFormat=P","Fill=—","Direction=H","UseDPDF=Y")</f>
        <v>7.4043999999999999</v>
      </c>
      <c r="E18" s="14">
        <f>_xll.BDH("AMGN US Equity","NET_FIXED_ASSETS_1_YEAR_GROWTH","FQ2 2019","FQ2 2019","Currency=USD","Period=FQ","BEST_FPERIOD_OVERRIDE=FQ","FILING_STATUS=MR","Sort=A","Dates=H","DateFormat=P","Fill=—","Direction=H","UseDPDF=Y")</f>
        <v>7.9236000000000004</v>
      </c>
      <c r="F18" s="14">
        <f>_xll.BDH("AMGN US Equity","NET_FIXED_ASSETS_1_YEAR_GROWTH","FQ3 2019","FQ3 2019","Currency=USD","Period=FQ","BEST_FPERIOD_OVERRIDE=FQ","FILING_STATUS=MR","Sort=A","Dates=H","DateFormat=P","Fill=—","Direction=H","UseDPDF=Y")</f>
        <v>8.6547999999999998</v>
      </c>
      <c r="G18" s="14">
        <f>_xll.BDH("AMGN US Equity","NET_FIXED_ASSETS_1_YEAR_GROWTH","FQ4 2019","FQ4 2019","Currency=USD","Period=FQ","BEST_FPERIOD_OVERRIDE=FQ","FILING_STATUS=MR","Sort=A","Dates=H","DateFormat=P","Fill=—","Direction=H","UseDPDF=Y")</f>
        <v>8.8544</v>
      </c>
      <c r="H18" s="14">
        <f>_xll.BDH("AMGN US Equity","NET_FIXED_ASSETS_1_YEAR_GROWTH","FQ1 2020","FQ1 2020","Currency=USD","Period=FQ","BEST_FPERIOD_OVERRIDE=FQ","FILING_STATUS=MR","Sort=A","Dates=H","DateFormat=P","Fill=—","Direction=H","UseDPDF=Y")</f>
        <v>-8.0995000000000008</v>
      </c>
      <c r="I18" s="14">
        <f>_xll.BDH("AMGN US Equity","NET_FIXED_ASSETS_1_YEAR_GROWTH","FQ2 2020","FQ2 2020","Currency=USD","Period=FQ","BEST_FPERIOD_OVERRIDE=FQ","FILING_STATUS=MR","Sort=A","Dates=H","DateFormat=P","Fill=—","Direction=H","UseDPDF=Y")</f>
        <v>-8.8291000000000004</v>
      </c>
      <c r="J18" s="14">
        <f>_xll.BDH("AMGN US Equity","NET_FIXED_ASSETS_1_YEAR_GROWTH","FQ3 2020","FQ3 2020","Currency=USD","Period=FQ","BEST_FPERIOD_OVERRIDE=FQ","FILING_STATUS=MR","Sort=A","Dates=H","DateFormat=P","Fill=—","Direction=H","UseDPDF=Y")</f>
        <v>-9.5246999999999993</v>
      </c>
      <c r="K18" s="14">
        <f>_xll.BDH("AMGN US Equity","NET_FIXED_ASSETS_1_YEAR_GROWTH","FQ4 2020","FQ4 2020","Currency=USD","Period=FQ","BEST_FPERIOD_OVERRIDE=FQ","FILING_STATUS=MR","Sort=A","Dates=H","DateFormat=P","Fill=—","Direction=H","UseDPDF=Y")</f>
        <v>-1.8529</v>
      </c>
      <c r="L18" s="14">
        <f>_xll.BDH("AMGN US Equity","NET_FIXED_ASSETS_1_YEAR_GROWTH","FQ1 2021","FQ1 2021","Currency=USD","Period=FQ","BEST_FPERIOD_OVERRIDE=FQ","FILING_STATUS=MR","Sort=A","Dates=H","DateFormat=P","Fill=—","Direction=H","UseDPDF=Y")</f>
        <v>-0.4919</v>
      </c>
      <c r="M18" s="14">
        <f>_xll.BDH("AMGN US Equity","NET_FIXED_ASSETS_1_YEAR_GROWTH","FQ2 2021","FQ2 2021","Currency=USD","Period=FQ","BEST_FPERIOD_OVERRIDE=FQ","FILING_STATUS=MR","Sort=A","Dates=H","DateFormat=P","Fill=—","Direction=H","UseDPDF=Y")</f>
        <v>1.3008</v>
      </c>
      <c r="N18" s="14">
        <f>_xll.BDH("AMGN US Equity","NET_FIXED_ASSETS_1_YEAR_GROWTH","FQ3 2021","FQ3 2021","Currency=USD","Period=FQ","BEST_FPERIOD_OVERRIDE=FQ","FILING_STATUS=MR","Sort=A","Dates=H","DateFormat=P","Fill=—","Direction=H","UseDPDF=Y")</f>
        <v>3.4468000000000001</v>
      </c>
      <c r="O18" s="14">
        <f>_xll.BDH("AMGN US Equity","NET_FIXED_ASSETS_1_YEAR_GROWTH","FQ4 2021","FQ4 2021","Currency=USD","Period=FQ","BEST_FPERIOD_OVERRIDE=FQ","FILING_STATUS=MR","Sort=A","Dates=H","DateFormat=P","Fill=—","Direction=H","UseDPDF=Y")</f>
        <v>8.5519999999999996</v>
      </c>
      <c r="P18" s="14">
        <f>_xll.BDH("AMGN US Equity","NET_FIXED_ASSETS_1_YEAR_GROWTH","FQ1 2022","FQ1 2022","Currency=USD","Period=FQ","BEST_FPERIOD_OVERRIDE=FQ","FILING_STATUS=MR","Sort=A","Dates=H","DateFormat=P","Fill=—","Direction=H","UseDPDF=Y")</f>
        <v>5.9114000000000004</v>
      </c>
      <c r="Q18" s="14">
        <f>_xll.BDH("AMGN US Equity","NET_FIXED_ASSETS_1_YEAR_GROWTH","FQ2 2022","FQ2 2022","Currency=USD","Period=FQ","BEST_FPERIOD_OVERRIDE=FQ","FILING_STATUS=MR","Sort=A","Dates=H","DateFormat=P","Fill=—","Direction=H","UseDPDF=Y")</f>
        <v>5.1365999999999996</v>
      </c>
      <c r="R18" s="14">
        <f>_xll.BDH("AMGN US Equity","NET_FIXED_ASSETS_1_YEAR_GROWTH","FQ3 2022","FQ3 2022","Currency=USD","Period=FQ","BEST_FPERIOD_OVERRIDE=FQ","FILING_STATUS=MR","Sort=A","Dates=H","DateFormat=P","Fill=—","Direction=H","UseDPDF=Y")</f>
        <v>4.1349</v>
      </c>
      <c r="S18" s="14">
        <f>_xll.BDH("AMGN US Equity","NET_FIXED_ASSETS_1_YEAR_GROWTH","FQ4 2022","FQ4 2022","Currency=USD","Period=FQ","BEST_FPERIOD_OVERRIDE=FQ","FILING_STATUS=MR","Sort=A","Dates=H","DateFormat=P","Fill=—","Direction=H","UseDPDF=Y")</f>
        <v>4.4522000000000004</v>
      </c>
      <c r="T18" s="14">
        <f>_xll.BDH("AMGN US Equity","NET_FIXED_ASSETS_1_YEAR_GROWTH","FQ1 2023","FQ1 2023","Currency=USD","Period=FQ","BEST_FPERIOD_OVERRIDE=FQ","FILING_STATUS=MR","Sort=A","Dates=H","DateFormat=P","Fill=—","Direction=H","UseDPDF=Y")</f>
        <v>6.1844000000000001</v>
      </c>
      <c r="U18" s="14">
        <f>_xll.BDH("AMGN US Equity","NET_FIXED_ASSETS_1_YEAR_GROWTH","FQ2 2023","FQ2 2023","Currency=USD","Period=FQ","BEST_FPERIOD_OVERRIDE=FQ","FILING_STATUS=MR","Sort=A","Dates=H","DateFormat=P","Fill=—","Direction=H","UseDPDF=Y")</f>
        <v>7.2508999999999997</v>
      </c>
      <c r="V18" s="14">
        <f>_xll.BDH("AMGN US Equity","NET_FIXED_ASSETS_1_YEAR_GROWTH","FQ3 2023","FQ3 2023","Currency=USD","Period=FQ","BEST_FPERIOD_OVERRIDE=FQ","FILING_STATUS=MR","Sort=A","Dates=H","DateFormat=P","Fill=—","Direction=H","UseDPDF=Y")</f>
        <v>7.2282000000000002</v>
      </c>
      <c r="W18" s="14">
        <f>_xll.BDH("AMGN US Equity","NET_FIXED_ASSETS_1_YEAR_GROWTH","FQ4 2023","FQ4 2023","Currency=USD","Period=FQ","BEST_FPERIOD_OVERRIDE=FQ","FILING_STATUS=MR","Sort=A","Dates=H","DateFormat=P","Fill=—","Direction=H","UseDPDF=Y")</f>
        <v>9.7568999999999999</v>
      </c>
      <c r="X18" s="14">
        <f>_xll.BDH("AMGN US Equity","NET_FIXED_ASSETS_1_YEAR_GROWTH","FQ1 2024","FQ1 2024","Currency=USD","Period=FQ","BEST_FPERIOD_OVERRIDE=FQ","FILING_STATUS=MR","Sort=A","Dates=H","DateFormat=P","Fill=—","Direction=H","UseDPDF=Y")</f>
        <v>9.9267000000000003</v>
      </c>
      <c r="Y18" s="14">
        <f>_xll.BDH("AMGN US Equity","NET_FIXED_ASSETS_1_YEAR_GROWTH","FQ2 2024","FQ2 2024","Currency=USD","Period=FQ","BEST_FPERIOD_OVERRIDE=FQ","FILING_STATUS=MR","Sort=A","Dates=H","DateFormat=P","Fill=—","Direction=H","UseDPDF=Y")</f>
        <v>10.2133</v>
      </c>
      <c r="Z18" s="14">
        <f>_xll.BDH("AMGN US Equity","NET_FIXED_ASSETS_1_YEAR_GROWTH","FQ3 2024","FQ3 2024","Currency=USD","Period=FQ","BEST_FPERIOD_OVERRIDE=FQ","FILING_STATUS=MR","Sort=A","Dates=H","DateFormat=P","Fill=—","Direction=H","UseDPDF=Y")</f>
        <v>10.659700000000001</v>
      </c>
      <c r="AA18" s="14">
        <f>_xll.BDH("AMGN US Equity","NET_FIXED_ASSETS_1_YEAR_GROWTH","FQ4 2024","FQ4 2024","Currency=USD","Period=FQ","BEST_FPERIOD_OVERRIDE=FQ","FILING_STATUS=MR","Sort=A","Dates=H","DateFormat=P","Fill=—","Direction=H","UseDPDF=Y")</f>
        <v>7.7062999999999997</v>
      </c>
    </row>
    <row r="19" spans="1:27" x14ac:dyDescent="0.25">
      <c r="A19" s="10" t="s">
        <v>112</v>
      </c>
      <c r="B19" s="10" t="s">
        <v>1482</v>
      </c>
      <c r="C19" s="14">
        <f>_xll.BDH("AMGN US Equity","ASSET_GROWTH","FQ4 2018","FQ4 2018","Currency=USD","Period=FQ","BEST_FPERIOD_OVERRIDE=FQ","FILING_STATUS=MR","Sort=A","Dates=H","DateFormat=P","Fill=—","Direction=H","UseDPDF=Y")</f>
        <v>-16.932200000000002</v>
      </c>
      <c r="D19" s="14">
        <f>_xll.BDH("AMGN US Equity","ASSET_GROWTH","FQ1 2019","FQ1 2019","Currency=USD","Period=FQ","BEST_FPERIOD_OVERRIDE=FQ","FILING_STATUS=MR","Sort=A","Dates=H","DateFormat=P","Fill=—","Direction=H","UseDPDF=Y")</f>
        <v>-10.071099999999999</v>
      </c>
      <c r="E19" s="14">
        <f>_xll.BDH("AMGN US Equity","ASSET_GROWTH","FQ2 2019","FQ2 2019","Currency=USD","Period=FQ","BEST_FPERIOD_OVERRIDE=FQ","FILING_STATUS=MR","Sort=A","Dates=H","DateFormat=P","Fill=—","Direction=H","UseDPDF=Y")</f>
        <v>-12.2791</v>
      </c>
      <c r="F19" s="14">
        <f>_xll.BDH("AMGN US Equity","ASSET_GROWTH","FQ3 2019","FQ3 2019","Currency=USD","Period=FQ","BEST_FPERIOD_OVERRIDE=FQ","FILING_STATUS=MR","Sort=A","Dates=H","DateFormat=P","Fill=—","Direction=H","UseDPDF=Y")</f>
        <v>-11.581200000000001</v>
      </c>
      <c r="G19" s="14">
        <f>_xll.BDH("AMGN US Equity","ASSET_GROWTH","FQ4 2019","FQ4 2019","Currency=USD","Period=FQ","BEST_FPERIOD_OVERRIDE=FQ","FILING_STATUS=MR","Sort=A","Dates=H","DateFormat=P","Fill=—","Direction=H","UseDPDF=Y")</f>
        <v>-10.1015</v>
      </c>
      <c r="H19" s="14">
        <f>_xll.BDH("AMGN US Equity","ASSET_GROWTH","FQ1 2020","FQ1 2020","Currency=USD","Period=FQ","BEST_FPERIOD_OVERRIDE=FQ","FILING_STATUS=MR","Sort=A","Dates=H","DateFormat=P","Fill=—","Direction=H","UseDPDF=Y")</f>
        <v>-3.6377000000000002</v>
      </c>
      <c r="I19" s="14">
        <f>_xll.BDH("AMGN US Equity","ASSET_GROWTH","FQ2 2020","FQ2 2020","Currency=USD","Period=FQ","BEST_FPERIOD_OVERRIDE=FQ","FILING_STATUS=MR","Sort=A","Dates=H","DateFormat=P","Fill=—","Direction=H","UseDPDF=Y")</f>
        <v>9.4959000000000007</v>
      </c>
      <c r="J19" s="14">
        <f>_xll.BDH("AMGN US Equity","ASSET_GROWTH","FQ3 2020","FQ3 2020","Currency=USD","Period=FQ","BEST_FPERIOD_OVERRIDE=FQ","FILING_STATUS=MR","Sort=A","Dates=H","DateFormat=P","Fill=—","Direction=H","UseDPDF=Y")</f>
        <v>8.5696999999999992</v>
      </c>
      <c r="K19" s="14">
        <f>_xll.BDH("AMGN US Equity","ASSET_GROWTH","FQ4 2020","FQ4 2020","Currency=USD","Period=FQ","BEST_FPERIOD_OVERRIDE=FQ","FILING_STATUS=MR","Sort=A","Dates=H","DateFormat=P","Fill=—","Direction=H","UseDPDF=Y")</f>
        <v>5.4282000000000004</v>
      </c>
      <c r="L19" s="14">
        <f>_xll.BDH("AMGN US Equity","ASSET_GROWTH","FQ1 2021","FQ1 2021","Currency=USD","Period=FQ","BEST_FPERIOD_OVERRIDE=FQ","FILING_STATUS=MR","Sort=A","Dates=H","DateFormat=P","Fill=—","Direction=H","UseDPDF=Y")</f>
        <v>1.4108000000000001</v>
      </c>
      <c r="M19" s="14">
        <f>_xll.BDH("AMGN US Equity","ASSET_GROWTH","FQ2 2021","FQ2 2021","Currency=USD","Period=FQ","BEST_FPERIOD_OVERRIDE=FQ","FILING_STATUS=MR","Sort=A","Dates=H","DateFormat=P","Fill=—","Direction=H","UseDPDF=Y")</f>
        <v>-8.0571000000000002</v>
      </c>
      <c r="N19" s="14">
        <f>_xll.BDH("AMGN US Equity","ASSET_GROWTH","FQ3 2021","FQ3 2021","Currency=USD","Period=FQ","BEST_FPERIOD_OVERRIDE=FQ","FILING_STATUS=MR","Sort=A","Dates=H","DateFormat=P","Fill=—","Direction=H","UseDPDF=Y")</f>
        <v>0.55079999999999996</v>
      </c>
      <c r="O19" s="14">
        <f>_xll.BDH("AMGN US Equity","ASSET_GROWTH","FQ4 2021","FQ4 2021","Currency=USD","Period=FQ","BEST_FPERIOD_OVERRIDE=FQ","FILING_STATUS=MR","Sort=A","Dates=H","DateFormat=P","Fill=—","Direction=H","UseDPDF=Y")</f>
        <v>-2.8325</v>
      </c>
      <c r="P19" s="14">
        <f>_xll.BDH("AMGN US Equity","ASSET_GROWTH","FQ1 2022","FQ1 2022","Currency=USD","Period=FQ","BEST_FPERIOD_OVERRIDE=FQ","FILING_STATUS=MR","Sort=A","Dates=H","DateFormat=P","Fill=—","Direction=H","UseDPDF=Y")</f>
        <v>-5.3455000000000004</v>
      </c>
      <c r="Q19" s="14">
        <f>_xll.BDH("AMGN US Equity","ASSET_GROWTH","FQ2 2022","FQ2 2022","Currency=USD","Period=FQ","BEST_FPERIOD_OVERRIDE=FQ","FILING_STATUS=MR","Sort=A","Dates=H","DateFormat=P","Fill=—","Direction=H","UseDPDF=Y")</f>
        <v>-0.8014</v>
      </c>
      <c r="R19" s="14">
        <f>_xll.BDH("AMGN US Equity","ASSET_GROWTH","FQ3 2022","FQ3 2022","Currency=USD","Period=FQ","BEST_FPERIOD_OVERRIDE=FQ","FILING_STATUS=MR","Sort=A","Dates=H","DateFormat=P","Fill=—","Direction=H","UseDPDF=Y")</f>
        <v>-1.9894000000000001</v>
      </c>
      <c r="S19" s="14">
        <f>_xll.BDH("AMGN US Equity","ASSET_GROWTH","FQ4 2022","FQ4 2022","Currency=USD","Period=FQ","BEST_FPERIOD_OVERRIDE=FQ","FILING_STATUS=MR","Sort=A","Dates=H","DateFormat=P","Fill=—","Direction=H","UseDPDF=Y")</f>
        <v>6.4678000000000004</v>
      </c>
      <c r="T19" s="14">
        <f>_xll.BDH("AMGN US Equity","ASSET_GROWTH","FQ1 2023","FQ1 2023","Currency=USD","Period=FQ","BEST_FPERIOD_OVERRIDE=FQ","FILING_STATUS=MR","Sort=A","Dates=H","DateFormat=P","Fill=—","Direction=H","UseDPDF=Y")</f>
        <v>49.875</v>
      </c>
      <c r="U19" s="14">
        <f>_xll.BDH("AMGN US Equity","ASSET_GROWTH","FQ2 2023","FQ2 2023","Currency=USD","Period=FQ","BEST_FPERIOD_OVERRIDE=FQ","FILING_STATUS=MR","Sort=A","Dates=H","DateFormat=P","Fill=—","Direction=H","UseDPDF=Y")</f>
        <v>52.239699999999999</v>
      </c>
      <c r="V19" s="14">
        <f>_xll.BDH("AMGN US Equity","ASSET_GROWTH","FQ3 2023","FQ3 2023","Currency=USD","Period=FQ","BEST_FPERIOD_OVERRIDE=FQ","FILING_STATUS=MR","Sort=A","Dates=H","DateFormat=P","Fill=—","Direction=H","UseDPDF=Y")</f>
        <v>42.125599999999999</v>
      </c>
      <c r="W19" s="14">
        <f>_xll.BDH("AMGN US Equity","ASSET_GROWTH","FQ4 2023","FQ4 2023","Currency=USD","Period=FQ","BEST_FPERIOD_OVERRIDE=FQ","FILING_STATUS=MR","Sort=A","Dates=H","DateFormat=P","Fill=—","Direction=H","UseDPDF=Y")</f>
        <v>49.19</v>
      </c>
      <c r="X19" s="14">
        <f>_xll.BDH("AMGN US Equity","ASSET_GROWTH","FQ1 2024","FQ1 2024","Currency=USD","Period=FQ","BEST_FPERIOD_OVERRIDE=FQ","FILING_STATUS=MR","Sort=A","Dates=H","DateFormat=P","Fill=—","Direction=H","UseDPDF=Y")</f>
        <v>4.8015999999999996</v>
      </c>
      <c r="Y19" s="14">
        <f>_xll.BDH("AMGN US Equity","ASSET_GROWTH","FQ2 2024","FQ2 2024","Currency=USD","Period=FQ","BEST_FPERIOD_OVERRIDE=FQ","FILING_STATUS=MR","Sort=A","Dates=H","DateFormat=P","Fill=—","Direction=H","UseDPDF=Y")</f>
        <v>0.70679999999999998</v>
      </c>
      <c r="Z19" s="14">
        <f>_xll.BDH("AMGN US Equity","ASSET_GROWTH","FQ3 2024","FQ3 2024","Currency=USD","Period=FQ","BEST_FPERIOD_OVERRIDE=FQ","FILING_STATUS=MR","Sort=A","Dates=H","DateFormat=P","Fill=—","Direction=H","UseDPDF=Y")</f>
        <v>0.38550000000000001</v>
      </c>
      <c r="AA19" s="14">
        <f>_xll.BDH("AMGN US Equity","ASSET_GROWTH","FQ4 2024","FQ4 2024","Currency=USD","Period=FQ","BEST_FPERIOD_OVERRIDE=FQ","FILING_STATUS=MR","Sort=A","Dates=H","DateFormat=P","Fill=—","Direction=H","UseDPDF=Y")</f>
        <v>-5.4706999999999999</v>
      </c>
    </row>
    <row r="20" spans="1:27" x14ac:dyDescent="0.25">
      <c r="A20" s="10" t="s">
        <v>1483</v>
      </c>
      <c r="B20" s="10" t="s">
        <v>1484</v>
      </c>
      <c r="C20" s="14">
        <f>_xll.BDH("AMGN US Equity","MODIFIED_WORK_CAP_GROWTH","FQ4 2018","FQ4 2018","Currency=USD","Period=FQ","BEST_FPERIOD_OVERRIDE=FQ","FILING_STATUS=MR","Sort=A","Dates=H","DateFormat=P","Fill=—","Direction=H","UseDPDF=Y")</f>
        <v>12.587400000000001</v>
      </c>
      <c r="D20" s="14">
        <f>_xll.BDH("AMGN US Equity","MODIFIED_WORK_CAP_GROWTH","FQ1 2019","FQ1 2019","Currency=USD","Period=FQ","BEST_FPERIOD_OVERRIDE=FQ","FILING_STATUS=MR","Sort=A","Dates=H","DateFormat=P","Fill=—","Direction=H","UseDPDF=Y")</f>
        <v>3.6389999999999998</v>
      </c>
      <c r="E20" s="14">
        <f>_xll.BDH("AMGN US Equity","MODIFIED_WORK_CAP_GROWTH","FQ2 2019","FQ2 2019","Currency=USD","Period=FQ","BEST_FPERIOD_OVERRIDE=FQ","FILING_STATUS=MR","Sort=A","Dates=H","DateFormat=P","Fill=—","Direction=H","UseDPDF=Y")</f>
        <v>7.8506</v>
      </c>
      <c r="F20" s="14">
        <f>_xll.BDH("AMGN US Equity","MODIFIED_WORK_CAP_GROWTH","FQ3 2019","FQ3 2019","Currency=USD","Period=FQ","BEST_FPERIOD_OVERRIDE=FQ","FILING_STATUS=MR","Sort=A","Dates=H","DateFormat=P","Fill=—","Direction=H","UseDPDF=Y")</f>
        <v>7.9024999999999999</v>
      </c>
      <c r="G20" s="14">
        <f>_xll.BDH("AMGN US Equity","MODIFIED_WORK_CAP_GROWTH","FQ4 2019","FQ4 2019","Currency=USD","Period=FQ","BEST_FPERIOD_OVERRIDE=FQ","FILING_STATUS=MR","Sort=A","Dates=H","DateFormat=P","Fill=—","Direction=H","UseDPDF=Y")</f>
        <v>18.0124</v>
      </c>
      <c r="H20" s="14">
        <f>_xll.BDH("AMGN US Equity","MODIFIED_WORK_CAP_GROWTH","FQ1 2020","FQ1 2020","Currency=USD","Period=FQ","BEST_FPERIOD_OVERRIDE=FQ","FILING_STATUS=MR","Sort=A","Dates=H","DateFormat=P","Fill=—","Direction=H","UseDPDF=Y")</f>
        <v>29.090599999999998</v>
      </c>
      <c r="I20" s="14">
        <f>_xll.BDH("AMGN US Equity","MODIFIED_WORK_CAP_GROWTH","FQ2 2020","FQ2 2020","Currency=USD","Period=FQ","BEST_FPERIOD_OVERRIDE=FQ","FILING_STATUS=MR","Sort=A","Dates=H","DateFormat=P","Fill=—","Direction=H","UseDPDF=Y")</f>
        <v>34.805900000000001</v>
      </c>
      <c r="J20" s="14">
        <f>_xll.BDH("AMGN US Equity","MODIFIED_WORK_CAP_GROWTH","FQ3 2020","FQ3 2020","Currency=USD","Period=FQ","BEST_FPERIOD_OVERRIDE=FQ","FILING_STATUS=MR","Sort=A","Dates=H","DateFormat=P","Fill=—","Direction=H","UseDPDF=Y")</f>
        <v>17.641999999999999</v>
      </c>
      <c r="K20" s="14">
        <f>_xll.BDH("AMGN US Equity","MODIFIED_WORK_CAP_GROWTH","FQ4 2020","FQ4 2020","Currency=USD","Period=FQ","BEST_FPERIOD_OVERRIDE=FQ","FILING_STATUS=MR","Sort=A","Dates=H","DateFormat=P","Fill=—","Direction=H","UseDPDF=Y")</f>
        <v>11.594900000000001</v>
      </c>
      <c r="L20" s="14">
        <f>_xll.BDH("AMGN US Equity","MODIFIED_WORK_CAP_GROWTH","FQ1 2021","FQ1 2021","Currency=USD","Period=FQ","BEST_FPERIOD_OVERRIDE=FQ","FILING_STATUS=MR","Sort=A","Dates=H","DateFormat=P","Fill=—","Direction=H","UseDPDF=Y")</f>
        <v>-4.2023999999999999</v>
      </c>
      <c r="M20" s="14">
        <f>_xll.BDH("AMGN US Equity","MODIFIED_WORK_CAP_GROWTH","FQ2 2021","FQ2 2021","Currency=USD","Period=FQ","BEST_FPERIOD_OVERRIDE=FQ","FILING_STATUS=MR","Sort=A","Dates=H","DateFormat=P","Fill=—","Direction=H","UseDPDF=Y")</f>
        <v>-9.1732999999999993</v>
      </c>
      <c r="N20" s="14">
        <f>_xll.BDH("AMGN US Equity","MODIFIED_WORK_CAP_GROWTH","FQ3 2021","FQ3 2021","Currency=USD","Period=FQ","BEST_FPERIOD_OVERRIDE=FQ","FILING_STATUS=MR","Sort=A","Dates=H","DateFormat=P","Fill=—","Direction=H","UseDPDF=Y")</f>
        <v>12.6691</v>
      </c>
      <c r="O20" s="14">
        <f>_xll.BDH("AMGN US Equity","MODIFIED_WORK_CAP_GROWTH","FQ4 2021","FQ4 2021","Currency=USD","Period=FQ","BEST_FPERIOD_OVERRIDE=FQ","FILING_STATUS=MR","Sort=A","Dates=H","DateFormat=P","Fill=—","Direction=H","UseDPDF=Y")</f>
        <v>8.8323999999999998</v>
      </c>
      <c r="P20" s="14">
        <f>_xll.BDH("AMGN US Equity","MODIFIED_WORK_CAP_GROWTH","FQ1 2022","FQ1 2022","Currency=USD","Period=FQ","BEST_FPERIOD_OVERRIDE=FQ","FILING_STATUS=MR","Sort=A","Dates=H","DateFormat=P","Fill=—","Direction=H","UseDPDF=Y")</f>
        <v>14.778499999999999</v>
      </c>
      <c r="Q20" s="14">
        <f>_xll.BDH("AMGN US Equity","MODIFIED_WORK_CAP_GROWTH","FQ2 2022","FQ2 2022","Currency=USD","Period=FQ","BEST_FPERIOD_OVERRIDE=FQ","FILING_STATUS=MR","Sort=A","Dates=H","DateFormat=P","Fill=—","Direction=H","UseDPDF=Y")</f>
        <v>17.876200000000001</v>
      </c>
      <c r="R20" s="14">
        <f>_xll.BDH("AMGN US Equity","MODIFIED_WORK_CAP_GROWTH","FQ3 2022","FQ3 2022","Currency=USD","Period=FQ","BEST_FPERIOD_OVERRIDE=FQ","FILING_STATUS=MR","Sort=A","Dates=H","DateFormat=P","Fill=—","Direction=H","UseDPDF=Y")</f>
        <v>14.626899999999999</v>
      </c>
      <c r="S20" s="14">
        <f>_xll.BDH("AMGN US Equity","MODIFIED_WORK_CAP_GROWTH","FQ4 2022","FQ4 2022","Currency=USD","Period=FQ","BEST_FPERIOD_OVERRIDE=FQ","FILING_STATUS=MR","Sort=A","Dates=H","DateFormat=P","Fill=—","Direction=H","UseDPDF=Y")</f>
        <v>17.150400000000001</v>
      </c>
      <c r="T20" s="14">
        <f>_xll.BDH("AMGN US Equity","MODIFIED_WORK_CAP_GROWTH","FQ1 2023","FQ1 2023","Currency=USD","Period=FQ","BEST_FPERIOD_OVERRIDE=FQ","FILING_STATUS=MR","Sort=A","Dates=H","DateFormat=P","Fill=—","Direction=H","UseDPDF=Y")</f>
        <v>16.598600000000001</v>
      </c>
      <c r="U20" s="14">
        <f>_xll.BDH("AMGN US Equity","MODIFIED_WORK_CAP_GROWTH","FQ2 2023","FQ2 2023","Currency=USD","Period=FQ","BEST_FPERIOD_OVERRIDE=FQ","FILING_STATUS=MR","Sort=A","Dates=H","DateFormat=P","Fill=—","Direction=H","UseDPDF=Y")</f>
        <v>11.257999999999999</v>
      </c>
      <c r="V20" s="14">
        <f>_xll.BDH("AMGN US Equity","MODIFIED_WORK_CAP_GROWTH","FQ3 2023","FQ3 2023","Currency=USD","Period=FQ","BEST_FPERIOD_OVERRIDE=FQ","FILING_STATUS=MR","Sort=A","Dates=H","DateFormat=P","Fill=—","Direction=H","UseDPDF=Y")</f>
        <v>10.5192</v>
      </c>
      <c r="W20" s="14">
        <f>_xll.BDH("AMGN US Equity","MODIFIED_WORK_CAP_GROWTH","FQ4 2023","FQ4 2023","Currency=USD","Period=FQ","BEST_FPERIOD_OVERRIDE=FQ","FILING_STATUS=MR","Sort=A","Dates=H","DateFormat=P","Fill=—","Direction=H","UseDPDF=Y")</f>
        <v>70.339600000000004</v>
      </c>
      <c r="X20" s="14">
        <f>_xll.BDH("AMGN US Equity","MODIFIED_WORK_CAP_GROWTH","FQ1 2024","FQ1 2024","Currency=USD","Period=FQ","BEST_FPERIOD_OVERRIDE=FQ","FILING_STATUS=MR","Sort=A","Dates=H","DateFormat=P","Fill=—","Direction=H","UseDPDF=Y")</f>
        <v>47.151800000000001</v>
      </c>
      <c r="Y20" s="14">
        <f>_xll.BDH("AMGN US Equity","MODIFIED_WORK_CAP_GROWTH","FQ2 2024","FQ2 2024","Currency=USD","Period=FQ","BEST_FPERIOD_OVERRIDE=FQ","FILING_STATUS=MR","Sort=A","Dates=H","DateFormat=P","Fill=—","Direction=H","UseDPDF=Y")</f>
        <v>31.950800000000001</v>
      </c>
      <c r="Z20" s="14">
        <f>_xll.BDH("AMGN US Equity","MODIFIED_WORK_CAP_GROWTH","FQ3 2024","FQ3 2024","Currency=USD","Period=FQ","BEST_FPERIOD_OVERRIDE=FQ","FILING_STATUS=MR","Sort=A","Dates=H","DateFormat=P","Fill=—","Direction=H","UseDPDF=Y")</f>
        <v>27.708100000000002</v>
      </c>
      <c r="AA20" s="14">
        <f>_xll.BDH("AMGN US Equity","MODIFIED_WORK_CAP_GROWTH","FQ4 2024","FQ4 2024","Currency=USD","Period=FQ","BEST_FPERIOD_OVERRIDE=FQ","FILING_STATUS=MR","Sort=A","Dates=H","DateFormat=P","Fill=—","Direction=H","UseDPDF=Y")</f>
        <v>-21.874199999999998</v>
      </c>
    </row>
    <row r="21" spans="1:27" x14ac:dyDescent="0.25">
      <c r="A21" s="10" t="s">
        <v>1485</v>
      </c>
      <c r="B21" s="10" t="s">
        <v>1486</v>
      </c>
      <c r="C21" s="14">
        <f>_xll.BDH("AMGN US Equity","WORK_CAP_GROWTH","FQ4 2018","FQ4 2018","Currency=USD","Period=FQ","BEST_FPERIOD_OVERRIDE=FQ","FILING_STATUS=MR","Sort=A","Dates=H","DateFormat=P","Fill=—","Direction=H","UseDPDF=Y")</f>
        <v>-40.354999999999997</v>
      </c>
      <c r="D21" s="14">
        <f>_xll.BDH("AMGN US Equity","WORK_CAP_GROWTH","FQ1 2019","FQ1 2019","Currency=USD","Period=FQ","BEST_FPERIOD_OVERRIDE=FQ","FILING_STATUS=MR","Sort=A","Dates=H","DateFormat=P","Fill=—","Direction=H","UseDPDF=Y")</f>
        <v>-25.703399999999998</v>
      </c>
      <c r="E21" s="14">
        <f>_xll.BDH("AMGN US Equity","WORK_CAP_GROWTH","FQ2 2019","FQ2 2019","Currency=USD","Period=FQ","BEST_FPERIOD_OVERRIDE=FQ","FILING_STATUS=MR","Sort=A","Dates=H","DateFormat=P","Fill=—","Direction=H","UseDPDF=Y")</f>
        <v>-24.8123</v>
      </c>
      <c r="F21" s="14">
        <f>_xll.BDH("AMGN US Equity","WORK_CAP_GROWTH","FQ3 2019","FQ3 2019","Currency=USD","Period=FQ","BEST_FPERIOD_OVERRIDE=FQ","FILING_STATUS=MR","Sort=A","Dates=H","DateFormat=P","Fill=—","Direction=H","UseDPDF=Y")</f>
        <v>-21.531199999999998</v>
      </c>
      <c r="G21" s="14">
        <f>_xll.BDH("AMGN US Equity","WORK_CAP_GROWTH","FQ4 2019","FQ4 2019","Currency=USD","Period=FQ","BEST_FPERIOD_OVERRIDE=FQ","FILING_STATUS=MR","Sort=A","Dates=H","DateFormat=P","Fill=—","Direction=H","UseDPDF=Y")</f>
        <v>-76.771699999999996</v>
      </c>
      <c r="H21" s="14">
        <f>_xll.BDH("AMGN US Equity","WORK_CAP_GROWTH","FQ1 2020","FQ1 2020","Currency=USD","Period=FQ","BEST_FPERIOD_OVERRIDE=FQ","FILING_STATUS=MR","Sort=A","Dates=H","DateFormat=P","Fill=—","Direction=H","UseDPDF=Y")</f>
        <v>-68.875</v>
      </c>
      <c r="I21" s="14">
        <f>_xll.BDH("AMGN US Equity","WORK_CAP_GROWTH","FQ2 2020","FQ2 2020","Currency=USD","Period=FQ","BEST_FPERIOD_OVERRIDE=FQ","FILING_STATUS=MR","Sort=A","Dates=H","DateFormat=P","Fill=—","Direction=H","UseDPDF=Y")</f>
        <v>-38.5212</v>
      </c>
      <c r="J21" s="14">
        <f>_xll.BDH("AMGN US Equity","WORK_CAP_GROWTH","FQ3 2020","FQ3 2020","Currency=USD","Period=FQ","BEST_FPERIOD_OVERRIDE=FQ","FILING_STATUS=MR","Sort=A","Dates=H","DateFormat=P","Fill=—","Direction=H","UseDPDF=Y")</f>
        <v>-37.4422</v>
      </c>
      <c r="K21" s="14">
        <f>_xll.BDH("AMGN US Equity","WORK_CAP_GROWTH","FQ4 2020","FQ4 2020","Currency=USD","Period=FQ","BEST_FPERIOD_OVERRIDE=FQ","FILING_STATUS=MR","Sort=A","Dates=H","DateFormat=P","Fill=—","Direction=H","UseDPDF=Y")</f>
        <v>69.331000000000003</v>
      </c>
      <c r="L21" s="14">
        <f>_xll.BDH("AMGN US Equity","WORK_CAP_GROWTH","FQ1 2021","FQ1 2021","Currency=USD","Period=FQ","BEST_FPERIOD_OVERRIDE=FQ","FILING_STATUS=MR","Sort=A","Dates=H","DateFormat=P","Fill=—","Direction=H","UseDPDF=Y")</f>
        <v>20.669899999999998</v>
      </c>
      <c r="M21" s="14">
        <f>_xll.BDH("AMGN US Equity","WORK_CAP_GROWTH","FQ2 2021","FQ2 2021","Currency=USD","Period=FQ","BEST_FPERIOD_OVERRIDE=FQ","FILING_STATUS=MR","Sort=A","Dates=H","DateFormat=P","Fill=—","Direction=H","UseDPDF=Y")</f>
        <v>-63.514400000000002</v>
      </c>
      <c r="N21" s="14">
        <f>_xll.BDH("AMGN US Equity","WORK_CAP_GROWTH","FQ3 2021","FQ3 2021","Currency=USD","Period=FQ","BEST_FPERIOD_OVERRIDE=FQ","FILING_STATUS=MR","Sort=A","Dates=H","DateFormat=P","Fill=—","Direction=H","UseDPDF=Y")</f>
        <v>-24.944900000000001</v>
      </c>
      <c r="O21" s="14">
        <f>_xll.BDH("AMGN US Equity","WORK_CAP_GROWTH","FQ4 2021","FQ4 2021","Currency=USD","Period=FQ","BEST_FPERIOD_OVERRIDE=FQ","FILING_STATUS=MR","Sort=A","Dates=H","DateFormat=P","Fill=—","Direction=H","UseDPDF=Y")</f>
        <v>-24.1281</v>
      </c>
      <c r="P21" s="14">
        <f>_xll.BDH("AMGN US Equity","WORK_CAP_GROWTH","FQ1 2022","FQ1 2022","Currency=USD","Period=FQ","BEST_FPERIOD_OVERRIDE=FQ","FILING_STATUS=MR","Sort=A","Dates=H","DateFormat=P","Fill=—","Direction=H","UseDPDF=Y")</f>
        <v>-33.167299999999997</v>
      </c>
      <c r="Q21" s="14">
        <f>_xll.BDH("AMGN US Equity","WORK_CAP_GROWTH","FQ2 2022","FQ2 2022","Currency=USD","Period=FQ","BEST_FPERIOD_OVERRIDE=FQ","FILING_STATUS=MR","Sort=A","Dates=H","DateFormat=P","Fill=—","Direction=H","UseDPDF=Y")</f>
        <v>48.515700000000002</v>
      </c>
      <c r="R21" s="14">
        <f>_xll.BDH("AMGN US Equity","WORK_CAP_GROWTH","FQ3 2022","FQ3 2022","Currency=USD","Period=FQ","BEST_FPERIOD_OVERRIDE=FQ","FILING_STATUS=MR","Sort=A","Dates=H","DateFormat=P","Fill=—","Direction=H","UseDPDF=Y")</f>
        <v>2.0234999999999999</v>
      </c>
      <c r="S21" s="14">
        <f>_xll.BDH("AMGN US Equity","WORK_CAP_GROWTH","FQ4 2022","FQ4 2022","Currency=USD","Period=FQ","BEST_FPERIOD_OVERRIDE=FQ","FILING_STATUS=MR","Sort=A","Dates=H","DateFormat=P","Fill=—","Direction=H","UseDPDF=Y")</f>
        <v>-9.7485999999999997</v>
      </c>
      <c r="T21" s="14">
        <f>_xll.BDH("AMGN US Equity","WORK_CAP_GROWTH","FQ1 2023","FQ1 2023","Currency=USD","Period=FQ","BEST_FPERIOD_OVERRIDE=FQ","FILING_STATUS=MR","Sort=A","Dates=H","DateFormat=P","Fill=—","Direction=H","UseDPDF=Y")</f>
        <v>441.1431</v>
      </c>
      <c r="U21" s="14">
        <f>_xll.BDH("AMGN US Equity","WORK_CAP_GROWTH","FQ2 2023","FQ2 2023","Currency=USD","Period=FQ","BEST_FPERIOD_OVERRIDE=FQ","FILING_STATUS=MR","Sort=A","Dates=H","DateFormat=P","Fill=—","Direction=H","UseDPDF=Y")</f>
        <v>351.71539999999999</v>
      </c>
      <c r="V21" s="14">
        <f>_xll.BDH("AMGN US Equity","WORK_CAP_GROWTH","FQ3 2023","FQ3 2023","Currency=USD","Period=FQ","BEST_FPERIOD_OVERRIDE=FQ","FILING_STATUS=MR","Sort=A","Dates=H","DateFormat=P","Fill=—","Direction=H","UseDPDF=Y")</f>
        <v>223.94409999999999</v>
      </c>
      <c r="W21" s="14">
        <f>_xll.BDH("AMGN US Equity","WORK_CAP_GROWTH","FQ4 2023","FQ4 2023","Currency=USD","Period=FQ","BEST_FPERIOD_OVERRIDE=FQ","FILING_STATUS=MR","Sort=A","Dates=H","DateFormat=P","Fill=—","Direction=H","UseDPDF=Y")</f>
        <v>83.720600000000005</v>
      </c>
      <c r="X21" s="14">
        <f>_xll.BDH("AMGN US Equity","WORK_CAP_GROWTH","FQ1 2024","FQ1 2024","Currency=USD","Period=FQ","BEST_FPERIOD_OVERRIDE=FQ","FILING_STATUS=MR","Sort=A","Dates=H","DateFormat=P","Fill=—","Direction=H","UseDPDF=Y")</f>
        <v>-72.727000000000004</v>
      </c>
      <c r="Y21" s="14">
        <f>_xll.BDH("AMGN US Equity","WORK_CAP_GROWTH","FQ2 2024","FQ2 2024","Currency=USD","Period=FQ","BEST_FPERIOD_OVERRIDE=FQ","FILING_STATUS=MR","Sort=A","Dates=H","DateFormat=P","Fill=—","Direction=H","UseDPDF=Y")</f>
        <v>-81.213899999999995</v>
      </c>
      <c r="Z21" s="14">
        <f>_xll.BDH("AMGN US Equity","WORK_CAP_GROWTH","FQ3 2024","FQ3 2024","Currency=USD","Period=FQ","BEST_FPERIOD_OVERRIDE=FQ","FILING_STATUS=MR","Sort=A","Dates=H","DateFormat=P","Fill=—","Direction=H","UseDPDF=Y")</f>
        <v>-79.5261</v>
      </c>
      <c r="AA21" s="14">
        <f>_xll.BDH("AMGN US Equity","WORK_CAP_GROWTH","FQ4 2024","FQ4 2024","Currency=USD","Period=FQ","BEST_FPERIOD_OVERRIDE=FQ","FILING_STATUS=MR","Sort=A","Dates=H","DateFormat=P","Fill=—","Direction=H","UseDPDF=Y")</f>
        <v>-50.326599999999999</v>
      </c>
    </row>
    <row r="22" spans="1:27" x14ac:dyDescent="0.25">
      <c r="A22" s="10" t="s">
        <v>1487</v>
      </c>
      <c r="B22" s="10" t="s">
        <v>1488</v>
      </c>
      <c r="C22" s="14">
        <f>_xll.BDH("AMGN US Equity","EMPL_GROWTH","FQ4 2018","FQ4 2018","Currency=USD","Period=FQ","BEST_FPERIOD_OVERRIDE=FQ","FILING_STATUS=MR","Sort=A","Dates=H","DateFormat=P","Fill=—","Direction=H","UseDPDF=Y")</f>
        <v>3.3654000000000002</v>
      </c>
      <c r="D22" s="14" t="str">
        <f>_xll.BDH("AMGN US Equity","EMPL_GROWTH","FQ1 2019","FQ1 2019","Currency=USD","Period=FQ","BEST_FPERIOD_OVERRIDE=FQ","FILING_STATUS=MR","Sort=A","Dates=H","DateFormat=P","Fill=—","Direction=H","UseDPDF=Y")</f>
        <v>—</v>
      </c>
      <c r="E22" s="14" t="str">
        <f>_xll.BDH("AMGN US Equity","EMPL_GROWTH","FQ2 2019","FQ2 2019","Currency=USD","Period=FQ","BEST_FPERIOD_OVERRIDE=FQ","FILING_STATUS=MR","Sort=A","Dates=H","DateFormat=P","Fill=—","Direction=H","UseDPDF=Y")</f>
        <v>—</v>
      </c>
      <c r="F22" s="14" t="str">
        <f>_xll.BDH("AMGN US Equity","EMPL_GROWTH","FQ3 2019","FQ3 2019","Currency=USD","Period=FQ","BEST_FPERIOD_OVERRIDE=FQ","FILING_STATUS=MR","Sort=A","Dates=H","DateFormat=P","Fill=—","Direction=H","UseDPDF=Y")</f>
        <v>—</v>
      </c>
      <c r="G22" s="14">
        <f>_xll.BDH("AMGN US Equity","EMPL_GROWTH","FQ4 2019","FQ4 2019","Currency=USD","Period=FQ","BEST_FPERIOD_OVERRIDE=FQ","FILING_STATUS=MR","Sort=A","Dates=H","DateFormat=P","Fill=—","Direction=H","UseDPDF=Y")</f>
        <v>8.8371999999999993</v>
      </c>
      <c r="H22" s="14" t="str">
        <f>_xll.BDH("AMGN US Equity","EMPL_GROWTH","FQ1 2020","FQ1 2020","Currency=USD","Period=FQ","BEST_FPERIOD_OVERRIDE=FQ","FILING_STATUS=MR","Sort=A","Dates=H","DateFormat=P","Fill=—","Direction=H","UseDPDF=Y")</f>
        <v>—</v>
      </c>
      <c r="I22" s="14" t="str">
        <f>_xll.BDH("AMGN US Equity","EMPL_GROWTH","FQ2 2020","FQ2 2020","Currency=USD","Period=FQ","BEST_FPERIOD_OVERRIDE=FQ","FILING_STATUS=MR","Sort=A","Dates=H","DateFormat=P","Fill=—","Direction=H","UseDPDF=Y")</f>
        <v>—</v>
      </c>
      <c r="J22" s="14" t="str">
        <f>_xll.BDH("AMGN US Equity","EMPL_GROWTH","FQ3 2020","FQ3 2020","Currency=USD","Period=FQ","BEST_FPERIOD_OVERRIDE=FQ","FILING_STATUS=MR","Sort=A","Dates=H","DateFormat=P","Fill=—","Direction=H","UseDPDF=Y")</f>
        <v>—</v>
      </c>
      <c r="K22" s="14">
        <f>_xll.BDH("AMGN US Equity","EMPL_GROWTH","FQ4 2020","FQ4 2020","Currency=USD","Period=FQ","BEST_FPERIOD_OVERRIDE=FQ","FILING_STATUS=MR","Sort=A","Dates=H","DateFormat=P","Fill=—","Direction=H","UseDPDF=Y")</f>
        <v>3.4188000000000001</v>
      </c>
      <c r="L22" s="14" t="str">
        <f>_xll.BDH("AMGN US Equity","EMPL_GROWTH","FQ1 2021","FQ1 2021","Currency=USD","Period=FQ","BEST_FPERIOD_OVERRIDE=FQ","FILING_STATUS=MR","Sort=A","Dates=H","DateFormat=P","Fill=—","Direction=H","UseDPDF=Y")</f>
        <v>—</v>
      </c>
      <c r="M22" s="14" t="str">
        <f>_xll.BDH("AMGN US Equity","EMPL_GROWTH","FQ2 2021","FQ2 2021","Currency=USD","Period=FQ","BEST_FPERIOD_OVERRIDE=FQ","FILING_STATUS=MR","Sort=A","Dates=H","DateFormat=P","Fill=—","Direction=H","UseDPDF=Y")</f>
        <v>—</v>
      </c>
      <c r="N22" s="14" t="str">
        <f>_xll.BDH("AMGN US Equity","EMPL_GROWTH","FQ3 2021","FQ3 2021","Currency=USD","Period=FQ","BEST_FPERIOD_OVERRIDE=FQ","FILING_STATUS=MR","Sort=A","Dates=H","DateFormat=P","Fill=—","Direction=H","UseDPDF=Y")</f>
        <v>—</v>
      </c>
      <c r="O22" s="14">
        <f>_xll.BDH("AMGN US Equity","EMPL_GROWTH","FQ4 2021","FQ4 2021","Currency=USD","Period=FQ","BEST_FPERIOD_OVERRIDE=FQ","FILING_STATUS=MR","Sort=A","Dates=H","DateFormat=P","Fill=—","Direction=H","UseDPDF=Y")</f>
        <v>0</v>
      </c>
      <c r="P22" s="14" t="str">
        <f>_xll.BDH("AMGN US Equity","EMPL_GROWTH","FQ1 2022","FQ1 2022","Currency=USD","Period=FQ","BEST_FPERIOD_OVERRIDE=FQ","FILING_STATUS=MR","Sort=A","Dates=H","DateFormat=P","Fill=—","Direction=H","UseDPDF=Y")</f>
        <v>—</v>
      </c>
      <c r="Q22" s="14" t="str">
        <f>_xll.BDH("AMGN US Equity","EMPL_GROWTH","FQ2 2022","FQ2 2022","Currency=USD","Period=FQ","BEST_FPERIOD_OVERRIDE=FQ","FILING_STATUS=MR","Sort=A","Dates=H","DateFormat=P","Fill=—","Direction=H","UseDPDF=Y")</f>
        <v>—</v>
      </c>
      <c r="R22" s="14" t="str">
        <f>_xll.BDH("AMGN US Equity","EMPL_GROWTH","FQ3 2022","FQ3 2022","Currency=USD","Period=FQ","BEST_FPERIOD_OVERRIDE=FQ","FILING_STATUS=MR","Sort=A","Dates=H","DateFormat=P","Fill=—","Direction=H","UseDPDF=Y")</f>
        <v>—</v>
      </c>
      <c r="S22" s="14">
        <f>_xll.BDH("AMGN US Equity","EMPL_GROWTH","FQ4 2022","FQ4 2022","Currency=USD","Period=FQ","BEST_FPERIOD_OVERRIDE=FQ","FILING_STATUS=MR","Sort=A","Dates=H","DateFormat=P","Fill=—","Direction=H","UseDPDF=Y")</f>
        <v>4.1322000000000001</v>
      </c>
      <c r="T22" s="14" t="str">
        <f>_xll.BDH("AMGN US Equity","EMPL_GROWTH","FQ1 2023","FQ1 2023","Currency=USD","Period=FQ","BEST_FPERIOD_OVERRIDE=FQ","FILING_STATUS=MR","Sort=A","Dates=H","DateFormat=P","Fill=—","Direction=H","UseDPDF=Y")</f>
        <v>—</v>
      </c>
      <c r="U22" s="14" t="str">
        <f>_xll.BDH("AMGN US Equity","EMPL_GROWTH","FQ2 2023","FQ2 2023","Currency=USD","Period=FQ","BEST_FPERIOD_OVERRIDE=FQ","FILING_STATUS=MR","Sort=A","Dates=H","DateFormat=P","Fill=—","Direction=H","UseDPDF=Y")</f>
        <v>—</v>
      </c>
      <c r="V22" s="14" t="str">
        <f>_xll.BDH("AMGN US Equity","EMPL_GROWTH","FQ3 2023","FQ3 2023","Currency=USD","Period=FQ","BEST_FPERIOD_OVERRIDE=FQ","FILING_STATUS=MR","Sort=A","Dates=H","DateFormat=P","Fill=—","Direction=H","UseDPDF=Y")</f>
        <v>—</v>
      </c>
      <c r="W22" s="14">
        <f>_xll.BDH("AMGN US Equity","EMPL_GROWTH","FQ4 2023","FQ4 2023","Currency=USD","Period=FQ","BEST_FPERIOD_OVERRIDE=FQ","FILING_STATUS=MR","Sort=A","Dates=H","DateFormat=P","Fill=—","Direction=H","UseDPDF=Y")</f>
        <v>5.9523999999999999</v>
      </c>
      <c r="X22" s="14" t="str">
        <f>_xll.BDH("AMGN US Equity","EMPL_GROWTH","FQ1 2024","FQ1 2024","Currency=USD","Period=FQ","BEST_FPERIOD_OVERRIDE=FQ","FILING_STATUS=MR","Sort=A","Dates=H","DateFormat=P","Fill=—","Direction=H","UseDPDF=Y")</f>
        <v>—</v>
      </c>
      <c r="Y22" s="14" t="str">
        <f>_xll.BDH("AMGN US Equity","EMPL_GROWTH","FQ2 2024","FQ2 2024","Currency=USD","Period=FQ","BEST_FPERIOD_OVERRIDE=FQ","FILING_STATUS=MR","Sort=A","Dates=H","DateFormat=P","Fill=—","Direction=H","UseDPDF=Y")</f>
        <v>—</v>
      </c>
      <c r="Z22" s="14" t="str">
        <f>_xll.BDH("AMGN US Equity","EMPL_GROWTH","FQ3 2024","FQ3 2024","Currency=USD","Period=FQ","BEST_FPERIOD_OVERRIDE=FQ","FILING_STATUS=MR","Sort=A","Dates=H","DateFormat=P","Fill=—","Direction=H","UseDPDF=Y")</f>
        <v>—</v>
      </c>
      <c r="AA22" s="14">
        <f>_xll.BDH("AMGN US Equity","EMPL_GROWTH","FQ4 2024","FQ4 2024","Currency=USD","Period=FQ","BEST_FPERIOD_OVERRIDE=FQ","FILING_STATUS=MR","Sort=A","Dates=H","DateFormat=P","Fill=—","Direction=H","UseDPDF=Y")</f>
        <v>4.8689</v>
      </c>
    </row>
    <row r="23" spans="1:27" x14ac:dyDescent="0.25">
      <c r="A23" s="10" t="s">
        <v>1489</v>
      </c>
      <c r="B23" s="10" t="s">
        <v>1490</v>
      </c>
      <c r="C23" s="14">
        <f>_xll.BDH("AMGN US Equity","ACCOUNTS_PAYABLE_GROWTH_1YR","FQ4 2018","FQ4 2018","Currency=USD","Period=FQ","BEST_FPERIOD_OVERRIDE=FQ","FILING_STATUS=MR","Sort=A","Dates=H","DateFormat=P","Fill=—","Direction=H","UseDPDF=Y")</f>
        <v>-10.7249</v>
      </c>
      <c r="D23" s="14">
        <f>_xll.BDH("AMGN US Equity","ACCOUNTS_PAYABLE_GROWTH_1YR","FQ1 2019","FQ1 2019","Currency=USD","Period=FQ","BEST_FPERIOD_OVERRIDE=FQ","FILING_STATUS=MR","Sort=A","Dates=H","DateFormat=P","Fill=—","Direction=H","UseDPDF=Y")</f>
        <v>0.1837</v>
      </c>
      <c r="E23" s="14">
        <f>_xll.BDH("AMGN US Equity","ACCOUNTS_PAYABLE_GROWTH_1YR","FQ2 2019","FQ2 2019","Currency=USD","Period=FQ","BEST_FPERIOD_OVERRIDE=FQ","FILING_STATUS=MR","Sort=A","Dates=H","DateFormat=P","Fill=—","Direction=H","UseDPDF=Y")</f>
        <v>-2.4365999999999999</v>
      </c>
      <c r="F23" s="14">
        <f>_xll.BDH("AMGN US Equity","ACCOUNTS_PAYABLE_GROWTH_1YR","FQ3 2019","FQ3 2019","Currency=USD","Period=FQ","BEST_FPERIOD_OVERRIDE=FQ","FILING_STATUS=MR","Sort=A","Dates=H","DateFormat=P","Fill=—","Direction=H","UseDPDF=Y")</f>
        <v>-3.5508999999999999</v>
      </c>
      <c r="G23" s="14">
        <f>_xll.BDH("AMGN US Equity","ACCOUNTS_PAYABLE_GROWTH_1YR","FQ4 2019","FQ4 2019","Currency=USD","Period=FQ","BEST_FPERIOD_OVERRIDE=FQ","FILING_STATUS=MR","Sort=A","Dates=H","DateFormat=P","Fill=—","Direction=H","UseDPDF=Y")</f>
        <v>13.587400000000001</v>
      </c>
      <c r="H23" s="14">
        <f>_xll.BDH("AMGN US Equity","ACCOUNTS_PAYABLE_GROWTH_1YR","FQ1 2020","FQ1 2020","Currency=USD","Period=FQ","BEST_FPERIOD_OVERRIDE=FQ","FILING_STATUS=MR","Sort=A","Dates=H","DateFormat=P","Fill=—","Direction=H","UseDPDF=Y")</f>
        <v>22.639800000000001</v>
      </c>
      <c r="I23" s="14">
        <f>_xll.BDH("AMGN US Equity","ACCOUNTS_PAYABLE_GROWTH_1YR","FQ2 2020","FQ2 2020","Currency=USD","Period=FQ","BEST_FPERIOD_OVERRIDE=FQ","FILING_STATUS=MR","Sort=A","Dates=H","DateFormat=P","Fill=—","Direction=H","UseDPDF=Y")</f>
        <v>14.8851</v>
      </c>
      <c r="J23" s="14">
        <f>_xll.BDH("AMGN US Equity","ACCOUNTS_PAYABLE_GROWTH_1YR","FQ3 2020","FQ3 2020","Currency=USD","Period=FQ","BEST_FPERIOD_OVERRIDE=FQ","FILING_STATUS=MR","Sort=A","Dates=H","DateFormat=P","Fill=—","Direction=H","UseDPDF=Y")</f>
        <v>15.522399999999999</v>
      </c>
      <c r="K23" s="14">
        <f>_xll.BDH("AMGN US Equity","ACCOUNTS_PAYABLE_GROWTH_1YR","FQ4 2020","FQ4 2020","Currency=USD","Period=FQ","BEST_FPERIOD_OVERRIDE=FQ","FILING_STATUS=MR","Sort=A","Dates=H","DateFormat=P","Fill=—","Direction=H","UseDPDF=Y")</f>
        <v>3.6469999999999998</v>
      </c>
      <c r="L23" s="14">
        <f>_xll.BDH("AMGN US Equity","ACCOUNTS_PAYABLE_GROWTH_1YR","FQ1 2021","FQ1 2021","Currency=USD","Period=FQ","BEST_FPERIOD_OVERRIDE=FQ","FILING_STATUS=MR","Sort=A","Dates=H","DateFormat=P","Fill=—","Direction=H","UseDPDF=Y")</f>
        <v>4.3348000000000004</v>
      </c>
      <c r="M23" s="14">
        <f>_xll.BDH("AMGN US Equity","ACCOUNTS_PAYABLE_GROWTH_1YR","FQ2 2021","FQ2 2021","Currency=USD","Period=FQ","BEST_FPERIOD_OVERRIDE=FQ","FILING_STATUS=MR","Sort=A","Dates=H","DateFormat=P","Fill=—","Direction=H","UseDPDF=Y")</f>
        <v>11.0435</v>
      </c>
      <c r="N23" s="14">
        <f>_xll.BDH("AMGN US Equity","ACCOUNTS_PAYABLE_GROWTH_1YR","FQ3 2021","FQ3 2021","Currency=USD","Period=FQ","BEST_FPERIOD_OVERRIDE=FQ","FILING_STATUS=MR","Sort=A","Dates=H","DateFormat=P","Fill=—","Direction=H","UseDPDF=Y")</f>
        <v>0.86129999999999995</v>
      </c>
      <c r="O23" s="14">
        <f>_xll.BDH("AMGN US Equity","ACCOUNTS_PAYABLE_GROWTH_1YR","FQ4 2021","FQ4 2021","Currency=USD","Period=FQ","BEST_FPERIOD_OVERRIDE=FQ","FILING_STATUS=MR","Sort=A","Dates=H","DateFormat=P","Fill=—","Direction=H","UseDPDF=Y")</f>
        <v>-3.8704999999999998</v>
      </c>
      <c r="P23" s="14">
        <f>_xll.BDH("AMGN US Equity","ACCOUNTS_PAYABLE_GROWTH_1YR","FQ1 2022","FQ1 2022","Currency=USD","Period=FQ","BEST_FPERIOD_OVERRIDE=FQ","FILING_STATUS=MR","Sort=A","Dates=H","DateFormat=P","Fill=—","Direction=H","UseDPDF=Y")</f>
        <v>0.50139999999999996</v>
      </c>
      <c r="Q23" s="14">
        <f>_xll.BDH("AMGN US Equity","ACCOUNTS_PAYABLE_GROWTH_1YR","FQ2 2022","FQ2 2022","Currency=USD","Period=FQ","BEST_FPERIOD_OVERRIDE=FQ","FILING_STATUS=MR","Sort=A","Dates=H","DateFormat=P","Fill=—","Direction=H","UseDPDF=Y")</f>
        <v>-1.6445000000000001</v>
      </c>
      <c r="R23" s="14">
        <f>_xll.BDH("AMGN US Equity","ACCOUNTS_PAYABLE_GROWTH_1YR","FQ3 2022","FQ3 2022","Currency=USD","Period=FQ","BEST_FPERIOD_OVERRIDE=FQ","FILING_STATUS=MR","Sort=A","Dates=H","DateFormat=P","Fill=—","Direction=H","UseDPDF=Y")</f>
        <v>2.8180999999999998</v>
      </c>
      <c r="S23" s="14">
        <f>_xll.BDH("AMGN US Equity","ACCOUNTS_PAYABLE_GROWTH_1YR","FQ4 2022","FQ4 2022","Currency=USD","Period=FQ","BEST_FPERIOD_OVERRIDE=FQ","FILING_STATUS=MR","Sort=A","Dates=H","DateFormat=P","Fill=—","Direction=H","UseDPDF=Y")</f>
        <v>15.080500000000001</v>
      </c>
      <c r="T23" s="14">
        <f>_xll.BDH("AMGN US Equity","ACCOUNTS_PAYABLE_GROWTH_1YR","FQ1 2023","FQ1 2023","Currency=USD","Period=FQ","BEST_FPERIOD_OVERRIDE=FQ","FILING_STATUS=MR","Sort=A","Dates=H","DateFormat=P","Fill=—","Direction=H","UseDPDF=Y")</f>
        <v>-5.9158999999999997</v>
      </c>
      <c r="U23" s="14">
        <f>_xll.BDH("AMGN US Equity","ACCOUNTS_PAYABLE_GROWTH_1YR","FQ2 2023","FQ2 2023","Currency=USD","Period=FQ","BEST_FPERIOD_OVERRIDE=FQ","FILING_STATUS=MR","Sort=A","Dates=H","DateFormat=P","Fill=—","Direction=H","UseDPDF=Y")</f>
        <v>-3.5032000000000001</v>
      </c>
      <c r="V23" s="14">
        <f>_xll.BDH("AMGN US Equity","ACCOUNTS_PAYABLE_GROWTH_1YR","FQ3 2023","FQ3 2023","Currency=USD","Period=FQ","BEST_FPERIOD_OVERRIDE=FQ","FILING_STATUS=MR","Sort=A","Dates=H","DateFormat=P","Fill=—","Direction=H","UseDPDF=Y")</f>
        <v>12.790699999999999</v>
      </c>
      <c r="W23" s="14">
        <f>_xll.BDH("AMGN US Equity","ACCOUNTS_PAYABLE_GROWTH_1YR","FQ4 2023","FQ4 2023","Currency=USD","Period=FQ","BEST_FPERIOD_OVERRIDE=FQ","FILING_STATUS=MR","Sort=A","Dates=H","DateFormat=P","Fill=—","Direction=H","UseDPDF=Y")</f>
        <v>1.145</v>
      </c>
      <c r="X23" s="14">
        <f>_xll.BDH("AMGN US Equity","ACCOUNTS_PAYABLE_GROWTH_1YR","FQ1 2024","FQ1 2024","Currency=USD","Period=FQ","BEST_FPERIOD_OVERRIDE=FQ","FILING_STATUS=MR","Sort=A","Dates=H","DateFormat=P","Fill=—","Direction=H","UseDPDF=Y")</f>
        <v>23.333300000000001</v>
      </c>
      <c r="Y23" s="14">
        <f>_xll.BDH("AMGN US Equity","ACCOUNTS_PAYABLE_GROWTH_1YR","FQ2 2024","FQ2 2024","Currency=USD","Period=FQ","BEST_FPERIOD_OVERRIDE=FQ","FILING_STATUS=MR","Sort=A","Dates=H","DateFormat=P","Fill=—","Direction=H","UseDPDF=Y")</f>
        <v>87.046199999999999</v>
      </c>
      <c r="Z23" s="14">
        <f>_xll.BDH("AMGN US Equity","ACCOUNTS_PAYABLE_GROWTH_1YR","FQ3 2024","FQ3 2024","Currency=USD","Period=FQ","BEST_FPERIOD_OVERRIDE=FQ","FILING_STATUS=MR","Sort=A","Dates=H","DateFormat=P","Fill=—","Direction=H","UseDPDF=Y")</f>
        <v>58.100099999999998</v>
      </c>
      <c r="AA23" s="14">
        <f>_xll.BDH("AMGN US Equity","ACCOUNTS_PAYABLE_GROWTH_1YR","FQ4 2024","FQ4 2024","Currency=USD","Period=FQ","BEST_FPERIOD_OVERRIDE=FQ","FILING_STATUS=MR","Sort=A","Dates=H","DateFormat=P","Fill=—","Direction=H","UseDPDF=Y")</f>
        <v>20</v>
      </c>
    </row>
    <row r="24" spans="1:27" x14ac:dyDescent="0.25">
      <c r="A24" s="10" t="s">
        <v>1491</v>
      </c>
      <c r="B24" s="10" t="s">
        <v>1492</v>
      </c>
      <c r="C24" s="14">
        <f>_xll.BDH("AMGN US Equity","SHORT_TERM_DEBT_1_YEAR_GROWTH","FQ4 2018","FQ4 2018","Currency=USD","Period=FQ","BEST_FPERIOD_OVERRIDE=FQ","FILING_STATUS=MR","Sort=A","Dates=H","DateFormat=P","Fill=—","Direction=H","UseDPDF=Y")</f>
        <v>283.59379999999999</v>
      </c>
      <c r="D24" s="14">
        <f>_xll.BDH("AMGN US Equity","SHORT_TERM_DEBT_1_YEAR_GROWTH","FQ1 2019","FQ1 2019","Currency=USD","Period=FQ","BEST_FPERIOD_OVERRIDE=FQ","FILING_STATUS=MR","Sort=A","Dates=H","DateFormat=P","Fill=—","Direction=H","UseDPDF=Y")</f>
        <v>75.217600000000004</v>
      </c>
      <c r="E24" s="14">
        <f>_xll.BDH("AMGN US Equity","SHORT_TERM_DEBT_1_YEAR_GROWTH","FQ2 2019","FQ2 2019","Currency=USD","Period=FQ","BEST_FPERIOD_OVERRIDE=FQ","FILING_STATUS=MR","Sort=A","Dates=H","DateFormat=P","Fill=—","Direction=H","UseDPDF=Y")</f>
        <v>-31.203399999999998</v>
      </c>
      <c r="F24" s="14">
        <f>_xll.BDH("AMGN US Equity","SHORT_TERM_DEBT_1_YEAR_GROWTH","FQ3 2019","FQ3 2019","Currency=USD","Period=FQ","BEST_FPERIOD_OVERRIDE=FQ","FILING_STATUS=MR","Sort=A","Dates=H","DateFormat=P","Fill=—","Direction=H","UseDPDF=Y")</f>
        <v>-56.982500000000002</v>
      </c>
      <c r="G24" s="14">
        <f>_xll.BDH("AMGN US Equity","SHORT_TERM_DEBT_1_YEAR_GROWTH","FQ4 2019","FQ4 2019","Currency=USD","Period=FQ","BEST_FPERIOD_OVERRIDE=FQ","FILING_STATUS=MR","Sort=A","Dates=H","DateFormat=P","Fill=—","Direction=H","UseDPDF=Y")</f>
        <v>-30.006799999999998</v>
      </c>
      <c r="H24" s="14">
        <f>_xll.BDH("AMGN US Equity","SHORT_TERM_DEBT_1_YEAR_GROWTH","FQ1 2020","FQ1 2020","Currency=USD","Period=FQ","BEST_FPERIOD_OVERRIDE=FQ","FILING_STATUS=MR","Sort=A","Dates=H","DateFormat=P","Fill=—","Direction=H","UseDPDF=Y")</f>
        <v>-51.895400000000002</v>
      </c>
      <c r="I24" s="14">
        <f>_xll.BDH("AMGN US Equity","SHORT_TERM_DEBT_1_YEAR_GROWTH","FQ2 2020","FQ2 2020","Currency=USD","Period=FQ","BEST_FPERIOD_OVERRIDE=FQ","FILING_STATUS=MR","Sort=A","Dates=H","DateFormat=P","Fill=—","Direction=H","UseDPDF=Y")</f>
        <v>-96.915300000000002</v>
      </c>
      <c r="J24" s="14">
        <f>_xll.BDH("AMGN US Equity","SHORT_TERM_DEBT_1_YEAR_GROWTH","FQ3 2020","FQ3 2020","Currency=USD","Period=FQ","BEST_FPERIOD_OVERRIDE=FQ","FILING_STATUS=MR","Sort=A","Dates=H","DateFormat=P","Fill=—","Direction=H","UseDPDF=Y")</f>
        <v>-95.833299999999994</v>
      </c>
      <c r="K24" s="14">
        <f>_xll.BDH("AMGN US Equity","SHORT_TERM_DEBT_1_YEAR_GROWTH","FQ4 2020","FQ4 2020","Currency=USD","Period=FQ","BEST_FPERIOD_OVERRIDE=FQ","FILING_STATUS=MR","Sort=A","Dates=H","DateFormat=P","Fill=—","Direction=H","UseDPDF=Y")</f>
        <v>-92.111199999999997</v>
      </c>
      <c r="L24" s="14">
        <f>_xll.BDH("AMGN US Equity","SHORT_TERM_DEBT_1_YEAR_GROWTH","FQ1 2021","FQ1 2021","Currency=USD","Period=FQ","BEST_FPERIOD_OVERRIDE=FQ","FILING_STATUS=MR","Sort=A","Dates=H","DateFormat=P","Fill=—","Direction=H","UseDPDF=Y")</f>
        <v>-15.434799999999999</v>
      </c>
      <c r="M24" s="14">
        <f>_xll.BDH("AMGN US Equity","SHORT_TERM_DEBT_1_YEAR_GROWTH","FQ2 2021","FQ2 2021","Currency=USD","Period=FQ","BEST_FPERIOD_OVERRIDE=FQ","FILING_STATUS=MR","Sort=A","Dates=H","DateFormat=P","Fill=—","Direction=H","UseDPDF=Y")</f>
        <v>4651.6484</v>
      </c>
      <c r="N24" s="14">
        <f>_xll.BDH("AMGN US Equity","SHORT_TERM_DEBT_1_YEAR_GROWTH","FQ3 2021","FQ3 2021","Currency=USD","Period=FQ","BEST_FPERIOD_OVERRIDE=FQ","FILING_STATUS=MR","Sort=A","Dates=H","DateFormat=P","Fill=—","Direction=H","UseDPDF=Y")</f>
        <v>4612.0879000000004</v>
      </c>
      <c r="O24" s="14">
        <f>_xll.BDH("AMGN US Equity","SHORT_TERM_DEBT_1_YEAR_GROWTH","FQ4 2021","FQ4 2021","Currency=USD","Period=FQ","BEST_FPERIOD_OVERRIDE=FQ","FILING_STATUS=MR","Sort=A","Dates=H","DateFormat=P","Fill=—","Direction=H","UseDPDF=Y")</f>
        <v>-4.9180000000000001</v>
      </c>
      <c r="P24" s="14">
        <f>_xll.BDH("AMGN US Equity","SHORT_TERM_DEBT_1_YEAR_GROWTH","FQ1 2022","FQ1 2022","Currency=USD","Period=FQ","BEST_FPERIOD_OVERRIDE=FQ","FILING_STATUS=MR","Sort=A","Dates=H","DateFormat=P","Fill=—","Direction=H","UseDPDF=Y")</f>
        <v>-45.758400000000002</v>
      </c>
      <c r="Q24" s="14">
        <f>_xll.BDH("AMGN US Equity","SHORT_TERM_DEBT_1_YEAR_GROWTH","FQ2 2022","FQ2 2022","Currency=USD","Period=FQ","BEST_FPERIOD_OVERRIDE=FQ","FILING_STATUS=MR","Sort=A","Dates=H","DateFormat=P","Fill=—","Direction=H","UseDPDF=Y")</f>
        <v>-81.105500000000006</v>
      </c>
      <c r="R24" s="14">
        <f>_xll.BDH("AMGN US Equity","SHORT_TERM_DEBT_1_YEAR_GROWTH","FQ3 2022","FQ3 2022","Currency=USD","Period=FQ","BEST_FPERIOD_OVERRIDE=FQ","FILING_STATUS=MR","Sort=A","Dates=H","DateFormat=P","Fill=—","Direction=H","UseDPDF=Y")</f>
        <v>-64.015900000000002</v>
      </c>
      <c r="S24" s="14">
        <f>_xll.BDH("AMGN US Equity","SHORT_TERM_DEBT_1_YEAR_GROWTH","FQ4 2022","FQ4 2022","Currency=USD","Period=FQ","BEST_FPERIOD_OVERRIDE=FQ","FILING_STATUS=MR","Sort=A","Dates=H","DateFormat=P","Fill=—","Direction=H","UseDPDF=Y")</f>
        <v>653.0172</v>
      </c>
      <c r="T24" s="14">
        <f>_xll.BDH("AMGN US Equity","SHORT_TERM_DEBT_1_YEAR_GROWTH","FQ1 2023","FQ1 2023","Currency=USD","Period=FQ","BEST_FPERIOD_OVERRIDE=FQ","FILING_STATUS=MR","Sort=A","Dates=H","DateFormat=P","Fill=—","Direction=H","UseDPDF=Y")</f>
        <v>-1.1848000000000001</v>
      </c>
      <c r="U24" s="14">
        <f>_xll.BDH("AMGN US Equity","SHORT_TERM_DEBT_1_YEAR_GROWTH","FQ2 2023","FQ2 2023","Currency=USD","Period=FQ","BEST_FPERIOD_OVERRIDE=FQ","FILING_STATUS=MR","Sort=A","Dates=H","DateFormat=P","Fill=—","Direction=H","UseDPDF=Y")</f>
        <v>165.23869999999999</v>
      </c>
      <c r="V24" s="14">
        <f>_xll.BDH("AMGN US Equity","SHORT_TERM_DEBT_1_YEAR_GROWTH","FQ3 2023","FQ3 2023","Currency=USD","Period=FQ","BEST_FPERIOD_OVERRIDE=FQ","FILING_STATUS=MR","Sort=A","Dates=H","DateFormat=P","Fill=—","Direction=H","UseDPDF=Y")</f>
        <v>-7.4530000000000003</v>
      </c>
      <c r="W24" s="14">
        <f>_xll.BDH("AMGN US Equity","SHORT_TERM_DEBT_1_YEAR_GROWTH","FQ4 2023","FQ4 2023","Currency=USD","Period=FQ","BEST_FPERIOD_OVERRIDE=FQ","FILING_STATUS=MR","Sort=A","Dates=H","DateFormat=P","Fill=—","Direction=H","UseDPDF=Y")</f>
        <v>-10.589600000000001</v>
      </c>
      <c r="X24" s="14">
        <f>_xll.BDH("AMGN US Equity","SHORT_TERM_DEBT_1_YEAR_GROWTH","FQ1 2024","FQ1 2024","Currency=USD","Period=FQ","BEST_FPERIOD_OVERRIDE=FQ","FILING_STATUS=MR","Sort=A","Dates=H","DateFormat=P","Fill=—","Direction=H","UseDPDF=Y")</f>
        <v>374.7002</v>
      </c>
      <c r="Y24" s="14">
        <f>_xll.BDH("AMGN US Equity","SHORT_TERM_DEBT_1_YEAR_GROWTH","FQ2 2024","FQ2 2024","Currency=USD","Period=FQ","BEST_FPERIOD_OVERRIDE=FQ","FILING_STATUS=MR","Sort=A","Dates=H","DateFormat=P","Fill=—","Direction=H","UseDPDF=Y")</f>
        <v>155.0992</v>
      </c>
      <c r="Z24" s="14">
        <f>_xll.BDH("AMGN US Equity","SHORT_TERM_DEBT_1_YEAR_GROWTH","FQ3 2024","FQ3 2024","Currency=USD","Period=FQ","BEST_FPERIOD_OVERRIDE=FQ","FILING_STATUS=MR","Sort=A","Dates=H","DateFormat=P","Fill=—","Direction=H","UseDPDF=Y")</f>
        <v>148.17930000000001</v>
      </c>
      <c r="AA24" s="14">
        <f>_xll.BDH("AMGN US Equity","SHORT_TERM_DEBT_1_YEAR_GROWTH","FQ4 2024","FQ4 2024","Currency=USD","Period=FQ","BEST_FPERIOD_OVERRIDE=FQ","FILING_STATUS=MR","Sort=A","Dates=H","DateFormat=P","Fill=—","Direction=H","UseDPDF=Y")</f>
        <v>134.12289999999999</v>
      </c>
    </row>
    <row r="25" spans="1:27" x14ac:dyDescent="0.25">
      <c r="A25" s="10" t="s">
        <v>1493</v>
      </c>
      <c r="B25" s="10" t="s">
        <v>1494</v>
      </c>
      <c r="C25" s="14">
        <f>_xll.BDH("AMGN US Equity","TOTAL_DEBT_1_YEAR_GROWTH","FQ4 2018","FQ4 2018","Currency=USD","Period=FQ","BEST_FPERIOD_OVERRIDE=FQ","FILING_STATUS=MR","Sort=A","Dates=H","DateFormat=P","Fill=—","Direction=H","UseDPDF=Y")</f>
        <v>-3.9981</v>
      </c>
      <c r="D25" s="14">
        <f>_xll.BDH("AMGN US Equity","TOTAL_DEBT_1_YEAR_GROWTH","FQ1 2019","FQ1 2019","Currency=USD","Period=FQ","BEST_FPERIOD_OVERRIDE=FQ","FILING_STATUS=MR","Sort=A","Dates=H","DateFormat=P","Fill=—","Direction=H","UseDPDF=Y")</f>
        <v>-5.7088999999999999</v>
      </c>
      <c r="E25" s="14">
        <f>_xll.BDH("AMGN US Equity","TOTAL_DEBT_1_YEAR_GROWTH","FQ2 2019","FQ2 2019","Currency=USD","Period=FQ","BEST_FPERIOD_OVERRIDE=FQ","FILING_STATUS=MR","Sort=A","Dates=H","DateFormat=P","Fill=—","Direction=H","UseDPDF=Y")</f>
        <v>-9.8153000000000006</v>
      </c>
      <c r="F25" s="14">
        <f>_xll.BDH("AMGN US Equity","TOTAL_DEBT_1_YEAR_GROWTH","FQ3 2019","FQ3 2019","Currency=USD","Period=FQ","BEST_FPERIOD_OVERRIDE=FQ","FILING_STATUS=MR","Sort=A","Dates=H","DateFormat=P","Fill=—","Direction=H","UseDPDF=Y")</f>
        <v>-12.054500000000001</v>
      </c>
      <c r="G25" s="14">
        <f>_xll.BDH("AMGN US Equity","TOTAL_DEBT_1_YEAR_GROWTH","FQ4 2019","FQ4 2019","Currency=USD","Period=FQ","BEST_FPERIOD_OVERRIDE=FQ","FILING_STATUS=MR","Sort=A","Dates=H","DateFormat=P","Fill=—","Direction=H","UseDPDF=Y")</f>
        <v>-10.309799999999999</v>
      </c>
      <c r="H25" s="14">
        <f>_xll.BDH("AMGN US Equity","TOTAL_DEBT_1_YEAR_GROWTH","FQ1 2020","FQ1 2020","Currency=USD","Period=FQ","BEST_FPERIOD_OVERRIDE=FQ","FILING_STATUS=MR","Sort=A","Dates=H","DateFormat=P","Fill=—","Direction=H","UseDPDF=Y")</f>
        <v>-4.9653999999999998</v>
      </c>
      <c r="I25" s="14">
        <f>_xll.BDH("AMGN US Equity","TOTAL_DEBT_1_YEAR_GROWTH","FQ2 2020","FQ2 2020","Currency=USD","Period=FQ","BEST_FPERIOD_OVERRIDE=FQ","FILING_STATUS=MR","Sort=A","Dates=H","DateFormat=P","Fill=—","Direction=H","UseDPDF=Y")</f>
        <v>10.0061</v>
      </c>
      <c r="J25" s="14">
        <f>_xll.BDH("AMGN US Equity","TOTAL_DEBT_1_YEAR_GROWTH","FQ3 2020","FQ3 2020","Currency=USD","Period=FQ","BEST_FPERIOD_OVERRIDE=FQ","FILING_STATUS=MR","Sort=A","Dates=H","DateFormat=P","Fill=—","Direction=H","UseDPDF=Y")</f>
        <v>13.244400000000001</v>
      </c>
      <c r="K25" s="14">
        <f>_xll.BDH("AMGN US Equity","TOTAL_DEBT_1_YEAR_GROWTH","FQ4 2020","FQ4 2020","Currency=USD","Period=FQ","BEST_FPERIOD_OVERRIDE=FQ","FILING_STATUS=MR","Sort=A","Dates=H","DateFormat=P","Fill=—","Direction=H","UseDPDF=Y")</f>
        <v>9.9044000000000008</v>
      </c>
      <c r="L25" s="14">
        <f>_xll.BDH("AMGN US Equity","TOTAL_DEBT_1_YEAR_GROWTH","FQ1 2021","FQ1 2021","Currency=USD","Period=FQ","BEST_FPERIOD_OVERRIDE=FQ","FILING_STATUS=MR","Sort=A","Dates=H","DateFormat=P","Fill=—","Direction=H","UseDPDF=Y")</f>
        <v>2.6280999999999999</v>
      </c>
      <c r="M25" s="14">
        <f>_xll.BDH("AMGN US Equity","TOTAL_DEBT_1_YEAR_GROWTH","FQ2 2021","FQ2 2021","Currency=USD","Period=FQ","BEST_FPERIOD_OVERRIDE=FQ","FILING_STATUS=MR","Sort=A","Dates=H","DateFormat=P","Fill=—","Direction=H","UseDPDF=Y")</f>
        <v>-4.2134</v>
      </c>
      <c r="N25" s="14">
        <f>_xll.BDH("AMGN US Equity","TOTAL_DEBT_1_YEAR_GROWTH","FQ3 2021","FQ3 2021","Currency=USD","Period=FQ","BEST_FPERIOD_OVERRIDE=FQ","FILING_STATUS=MR","Sort=A","Dates=H","DateFormat=P","Fill=—","Direction=H","UseDPDF=Y")</f>
        <v>9.6013000000000002</v>
      </c>
      <c r="O25" s="14">
        <f>_xll.BDH("AMGN US Equity","TOTAL_DEBT_1_YEAR_GROWTH","FQ4 2021","FQ4 2021","Currency=USD","Period=FQ","BEST_FPERIOD_OVERRIDE=FQ","FILING_STATUS=MR","Sort=A","Dates=H","DateFormat=P","Fill=—","Direction=H","UseDPDF=Y")</f>
        <v>1.5967</v>
      </c>
      <c r="P25" s="14">
        <f>_xll.BDH("AMGN US Equity","TOTAL_DEBT_1_YEAR_GROWTH","FQ1 2022","FQ1 2022","Currency=USD","Period=FQ","BEST_FPERIOD_OVERRIDE=FQ","FILING_STATUS=MR","Sort=A","Dates=H","DateFormat=P","Fill=—","Direction=H","UseDPDF=Y")</f>
        <v>12.755100000000001</v>
      </c>
      <c r="Q25" s="14">
        <f>_xll.BDH("AMGN US Equity","TOTAL_DEBT_1_YEAR_GROWTH","FQ2 2022","FQ2 2022","Currency=USD","Period=FQ","BEST_FPERIOD_OVERRIDE=FQ","FILING_STATUS=MR","Sort=A","Dates=H","DateFormat=P","Fill=—","Direction=H","UseDPDF=Y")</f>
        <v>11.4087</v>
      </c>
      <c r="R25" s="14">
        <f>_xll.BDH("AMGN US Equity","TOTAL_DEBT_1_YEAR_GROWTH","FQ3 2022","FQ3 2022","Currency=USD","Period=FQ","BEST_FPERIOD_OVERRIDE=FQ","FILING_STATUS=MR","Sort=A","Dates=H","DateFormat=P","Fill=—","Direction=H","UseDPDF=Y")</f>
        <v>2.9937</v>
      </c>
      <c r="S25" s="14">
        <f>_xll.BDH("AMGN US Equity","TOTAL_DEBT_1_YEAR_GROWTH","FQ4 2022","FQ4 2022","Currency=USD","Period=FQ","BEST_FPERIOD_OVERRIDE=FQ","FILING_STATUS=MR","Sort=A","Dates=H","DateFormat=P","Fill=—","Direction=H","UseDPDF=Y")</f>
        <v>16.660299999999999</v>
      </c>
      <c r="T25" s="14">
        <f>_xll.BDH("AMGN US Equity","TOTAL_DEBT_1_YEAR_GROWTH","FQ1 2023","FQ1 2023","Currency=USD","Period=FQ","BEST_FPERIOD_OVERRIDE=FQ","FILING_STATUS=MR","Sort=A","Dates=H","DateFormat=P","Fill=—","Direction=H","UseDPDF=Y")</f>
        <v>67.132499999999993</v>
      </c>
      <c r="U25" s="14">
        <f>_xll.BDH("AMGN US Equity","TOTAL_DEBT_1_YEAR_GROWTH","FQ2 2023","FQ2 2023","Currency=USD","Period=FQ","BEST_FPERIOD_OVERRIDE=FQ","FILING_STATUS=MR","Sort=A","Dates=H","DateFormat=P","Fill=—","Direction=H","UseDPDF=Y")</f>
        <v>68.512100000000004</v>
      </c>
      <c r="V25" s="14">
        <f>_xll.BDH("AMGN US Equity","TOTAL_DEBT_1_YEAR_GROWTH","FQ3 2023","FQ3 2023","Currency=USD","Period=FQ","BEST_FPERIOD_OVERRIDE=FQ","FILING_STATUS=MR","Sort=A","Dates=H","DateFormat=P","Fill=—","Direction=H","UseDPDF=Y")</f>
        <v>56.231900000000003</v>
      </c>
      <c r="W25" s="14">
        <f>_xll.BDH("AMGN US Equity","TOTAL_DEBT_1_YEAR_GROWTH","FQ4 2023","FQ4 2023","Currency=USD","Period=FQ","BEST_FPERIOD_OVERRIDE=FQ","FILING_STATUS=MR","Sort=A","Dates=H","DateFormat=P","Fill=—","Direction=H","UseDPDF=Y")</f>
        <v>65.042900000000003</v>
      </c>
      <c r="X25" s="14">
        <f>_xll.BDH("AMGN US Equity","TOTAL_DEBT_1_YEAR_GROWTH","FQ1 2024","FQ1 2024","Currency=USD","Period=FQ","BEST_FPERIOD_OVERRIDE=FQ","FILING_STATUS=MR","Sort=A","Dates=H","DateFormat=P","Fill=—","Direction=H","UseDPDF=Y")</f>
        <v>3.9369999999999998</v>
      </c>
      <c r="Y25" s="14">
        <f>_xll.BDH("AMGN US Equity","TOTAL_DEBT_1_YEAR_GROWTH","FQ2 2024","FQ2 2024","Currency=USD","Period=FQ","BEST_FPERIOD_OVERRIDE=FQ","FILING_STATUS=MR","Sort=A","Dates=H","DateFormat=P","Fill=—","Direction=H","UseDPDF=Y")</f>
        <v>1.7889999999999999</v>
      </c>
      <c r="Z25" s="14">
        <f>_xll.BDH("AMGN US Equity","TOTAL_DEBT_1_YEAR_GROWTH","FQ3 2024","FQ3 2024","Currency=USD","Period=FQ","BEST_FPERIOD_OVERRIDE=FQ","FILING_STATUS=MR","Sort=A","Dates=H","DateFormat=P","Fill=—","Direction=H","UseDPDF=Y")</f>
        <v>-0.1158</v>
      </c>
      <c r="AA25" s="14">
        <f>_xll.BDH("AMGN US Equity","TOTAL_DEBT_1_YEAR_GROWTH","FQ4 2024","FQ4 2024","Currency=USD","Period=FQ","BEST_FPERIOD_OVERRIDE=FQ","FILING_STATUS=MR","Sort=A","Dates=H","DateFormat=P","Fill=—","Direction=H","UseDPDF=Y")</f>
        <v>-6.9455999999999998</v>
      </c>
    </row>
    <row r="26" spans="1:27" x14ac:dyDescent="0.25">
      <c r="A26" s="10" t="s">
        <v>118</v>
      </c>
      <c r="B26" s="10" t="s">
        <v>1495</v>
      </c>
      <c r="C26" s="14">
        <f>_xll.BDH("AMGN US Equity","TOTAL_EQUITY_1_YEAR_GROWTH","FQ4 2018","FQ4 2018","Currency=USD","Period=FQ","BEST_FPERIOD_OVERRIDE=FQ","FILING_STATUS=MR","Sort=A","Dates=H","DateFormat=P","Fill=—","Direction=H","UseDPDF=Y")</f>
        <v>-50.477400000000003</v>
      </c>
      <c r="D26" s="14">
        <f>_xll.BDH("AMGN US Equity","TOTAL_EQUITY_1_YEAR_GROWTH","FQ1 2019","FQ1 2019","Currency=USD","Period=FQ","BEST_FPERIOD_OVERRIDE=FQ","FILING_STATUS=MR","Sort=A","Dates=H","DateFormat=P","Fill=—","Direction=H","UseDPDF=Y")</f>
        <v>-30.652999999999999</v>
      </c>
      <c r="E26" s="14">
        <f>_xll.BDH("AMGN US Equity","TOTAL_EQUITY_1_YEAR_GROWTH","FQ2 2019","FQ2 2019","Currency=USD","Period=FQ","BEST_FPERIOD_OVERRIDE=FQ","FILING_STATUS=MR","Sort=A","Dates=H","DateFormat=P","Fill=—","Direction=H","UseDPDF=Y")</f>
        <v>-27.6008</v>
      </c>
      <c r="F26" s="14">
        <f>_xll.BDH("AMGN US Equity","TOTAL_EQUITY_1_YEAR_GROWTH","FQ3 2019","FQ3 2019","Currency=USD","Period=FQ","BEST_FPERIOD_OVERRIDE=FQ","FILING_STATUS=MR","Sort=A","Dates=H","DateFormat=P","Fill=—","Direction=H","UseDPDF=Y")</f>
        <v>-23.848400000000002</v>
      </c>
      <c r="G26" s="14">
        <f>_xll.BDH("AMGN US Equity","TOTAL_EQUITY_1_YEAR_GROWTH","FQ4 2019","FQ4 2019","Currency=USD","Period=FQ","BEST_FPERIOD_OVERRIDE=FQ","FILING_STATUS=MR","Sort=A","Dates=H","DateFormat=P","Fill=—","Direction=H","UseDPDF=Y")</f>
        <v>-22.616</v>
      </c>
      <c r="H26" s="14">
        <f>_xll.BDH("AMGN US Equity","TOTAL_EQUITY_1_YEAR_GROWTH","FQ1 2020","FQ1 2020","Currency=USD","Period=FQ","BEST_FPERIOD_OVERRIDE=FQ","FILING_STATUS=MR","Sort=A","Dates=H","DateFormat=P","Fill=—","Direction=H","UseDPDF=Y")</f>
        <v>-12.4354</v>
      </c>
      <c r="I26" s="14">
        <f>_xll.BDH("AMGN US Equity","TOTAL_EQUITY_1_YEAR_GROWTH","FQ2 2020","FQ2 2020","Currency=USD","Period=FQ","BEST_FPERIOD_OVERRIDE=FQ","FILING_STATUS=MR","Sort=A","Dates=H","DateFormat=P","Fill=—","Direction=H","UseDPDF=Y")</f>
        <v>-1.2506999999999999</v>
      </c>
      <c r="J26" s="14">
        <f>_xll.BDH("AMGN US Equity","TOTAL_EQUITY_1_YEAR_GROWTH","FQ3 2020","FQ3 2020","Currency=USD","Period=FQ","BEST_FPERIOD_OVERRIDE=FQ","FILING_STATUS=MR","Sort=A","Dates=H","DateFormat=P","Fill=—","Direction=H","UseDPDF=Y")</f>
        <v>0.29289999999999999</v>
      </c>
      <c r="K26" s="14">
        <f>_xll.BDH("AMGN US Equity","TOTAL_EQUITY_1_YEAR_GROWTH","FQ4 2020","FQ4 2020","Currency=USD","Period=FQ","BEST_FPERIOD_OVERRIDE=FQ","FILING_STATUS=MR","Sort=A","Dates=H","DateFormat=P","Fill=—","Direction=H","UseDPDF=Y")</f>
        <v>-2.7292000000000001</v>
      </c>
      <c r="L26" s="14">
        <f>_xll.BDH("AMGN US Equity","TOTAL_EQUITY_1_YEAR_GROWTH","FQ1 2021","FQ1 2021","Currency=USD","Period=FQ","BEST_FPERIOD_OVERRIDE=FQ","FILING_STATUS=MR","Sort=A","Dates=H","DateFormat=P","Fill=—","Direction=H","UseDPDF=Y")</f>
        <v>-1.5920000000000001</v>
      </c>
      <c r="M26" s="14">
        <f>_xll.BDH("AMGN US Equity","TOTAL_EQUITY_1_YEAR_GROWTH","FQ2 2021","FQ2 2021","Currency=USD","Period=FQ","BEST_FPERIOD_OVERRIDE=FQ","FILING_STATUS=MR","Sort=A","Dates=H","DateFormat=P","Fill=—","Direction=H","UseDPDF=Y")</f>
        <v>-22.628799999999998</v>
      </c>
      <c r="N26" s="14">
        <f>_xll.BDH("AMGN US Equity","TOTAL_EQUITY_1_YEAR_GROWTH","FQ3 2021","FQ3 2021","Currency=USD","Period=FQ","BEST_FPERIOD_OVERRIDE=FQ","FILING_STATUS=MR","Sort=A","Dates=H","DateFormat=P","Fill=—","Direction=H","UseDPDF=Y")</f>
        <v>-25.020499999999998</v>
      </c>
      <c r="O26" s="14">
        <f>_xll.BDH("AMGN US Equity","TOTAL_EQUITY_1_YEAR_GROWTH","FQ4 2021","FQ4 2021","Currency=USD","Period=FQ","BEST_FPERIOD_OVERRIDE=FQ","FILING_STATUS=MR","Sort=A","Dates=H","DateFormat=P","Fill=—","Direction=H","UseDPDF=Y")</f>
        <v>-28.791599999999999</v>
      </c>
      <c r="P26" s="14">
        <f>_xll.BDH("AMGN US Equity","TOTAL_EQUITY_1_YEAR_GROWTH","FQ1 2022","FQ1 2022","Currency=USD","Period=FQ","BEST_FPERIOD_OVERRIDE=FQ","FILING_STATUS=MR","Sort=A","Dates=H","DateFormat=P","Fill=—","Direction=H","UseDPDF=Y")</f>
        <v>-90.186400000000006</v>
      </c>
      <c r="Q26" s="14">
        <f>_xll.BDH("AMGN US Equity","TOTAL_EQUITY_1_YEAR_GROWTH","FQ2 2022","FQ2 2022","Currency=USD","Period=FQ","BEST_FPERIOD_OVERRIDE=FQ","FILING_STATUS=MR","Sort=A","Dates=H","DateFormat=P","Fill=—","Direction=H","UseDPDF=Y")</f>
        <v>-70.668099999999995</v>
      </c>
      <c r="R26" s="14">
        <f>_xll.BDH("AMGN US Equity","TOTAL_EQUITY_1_YEAR_GROWTH","FQ3 2022","FQ3 2022","Currency=USD","Period=FQ","BEST_FPERIOD_OVERRIDE=FQ","FILING_STATUS=MR","Sort=A","Dates=H","DateFormat=P","Fill=—","Direction=H","UseDPDF=Y")</f>
        <v>-55.543399999999998</v>
      </c>
      <c r="S26" s="14">
        <f>_xll.BDH("AMGN US Equity","TOTAL_EQUITY_1_YEAR_GROWTH","FQ4 2022","FQ4 2022","Currency=USD","Period=FQ","BEST_FPERIOD_OVERRIDE=FQ","FILING_STATUS=MR","Sort=A","Dates=H","DateFormat=P","Fill=—","Direction=H","UseDPDF=Y")</f>
        <v>-45.358199999999997</v>
      </c>
      <c r="T26" s="14">
        <f>_xll.BDH("AMGN US Equity","TOTAL_EQUITY_1_YEAR_GROWTH","FQ1 2023","FQ1 2023","Currency=USD","Period=FQ","BEST_FPERIOD_OVERRIDE=FQ","FILING_STATUS=MR","Sort=A","Dates=H","DateFormat=P","Fill=—","Direction=H","UseDPDF=Y")</f>
        <v>483.84280000000001</v>
      </c>
      <c r="U26" s="14">
        <f>_xll.BDH("AMGN US Equity","TOTAL_EQUITY_1_YEAR_GROWTH","FQ2 2023","FQ2 2023","Currency=USD","Period=FQ","BEST_FPERIOD_OVERRIDE=FQ","FILING_STATUS=MR","Sort=A","Dates=H","DateFormat=P","Fill=—","Direction=H","UseDPDF=Y")</f>
        <v>180.32239999999999</v>
      </c>
      <c r="V26" s="14">
        <f>_xll.BDH("AMGN US Equity","TOTAL_EQUITY_1_YEAR_GROWTH","FQ3 2023","FQ3 2023","Currency=USD","Period=FQ","BEST_FPERIOD_OVERRIDE=FQ","FILING_STATUS=MR","Sort=A","Dates=H","DateFormat=P","Fill=—","Direction=H","UseDPDF=Y")</f>
        <v>109.5812</v>
      </c>
      <c r="W26" s="14">
        <f>_xll.BDH("AMGN US Equity","TOTAL_EQUITY_1_YEAR_GROWTH","FQ4 2023","FQ4 2023","Currency=USD","Period=FQ","BEST_FPERIOD_OVERRIDE=FQ","FILING_STATUS=MR","Sort=A","Dates=H","DateFormat=P","Fill=—","Direction=H","UseDPDF=Y")</f>
        <v>70.226699999999994</v>
      </c>
      <c r="X26" s="14">
        <f>_xll.BDH("AMGN US Equity","TOTAL_EQUITY_1_YEAR_GROWTH","FQ1 2024","FQ1 2024","Currency=USD","Period=FQ","BEST_FPERIOD_OVERRIDE=FQ","FILING_STATUS=MR","Sort=A","Dates=H","DateFormat=P","Fill=—","Direction=H","UseDPDF=Y")</f>
        <v>-6.0956999999999999</v>
      </c>
      <c r="Y26" s="14">
        <f>_xll.BDH("AMGN US Equity","TOTAL_EQUITY_1_YEAR_GROWTH","FQ2 2024","FQ2 2024","Currency=USD","Period=FQ","BEST_FPERIOD_OVERRIDE=FQ","FILING_STATUS=MR","Sort=A","Dates=H","DateFormat=P","Fill=—","Direction=H","UseDPDF=Y")</f>
        <v>-12.6235</v>
      </c>
      <c r="Z26" s="14">
        <f>_xll.BDH("AMGN US Equity","TOTAL_EQUITY_1_YEAR_GROWTH","FQ3 2024","FQ3 2024","Currency=USD","Period=FQ","BEST_FPERIOD_OVERRIDE=FQ","FILING_STATUS=MR","Sort=A","Dates=H","DateFormat=P","Fill=—","Direction=H","UseDPDF=Y")</f>
        <v>-1.6850000000000001</v>
      </c>
      <c r="AA26" s="14">
        <f>_xll.BDH("AMGN US Equity","TOTAL_EQUITY_1_YEAR_GROWTH","FQ4 2024","FQ4 2024","Currency=USD","Period=FQ","BEST_FPERIOD_OVERRIDE=FQ","FILING_STATUS=MR","Sort=A","Dates=H","DateFormat=P","Fill=—","Direction=H","UseDPDF=Y")</f>
        <v>-5.6963999999999997</v>
      </c>
    </row>
    <row r="27" spans="1:27" x14ac:dyDescent="0.25">
      <c r="A27" s="10" t="s">
        <v>1496</v>
      </c>
      <c r="B27" s="10" t="s">
        <v>1497</v>
      </c>
      <c r="C27" s="14">
        <f>_xll.BDH("AMGN US Equity","GROWTH_IN_CAP","FQ4 2018","FQ4 2018","Currency=USD","Period=FQ","BEST_FPERIOD_OVERRIDE=FQ","FILING_STATUS=MR","Sort=A","Dates=H","DateFormat=P","Fill=—","Direction=H","UseDPDF=Y")</f>
        <v>-23.363</v>
      </c>
      <c r="D27" s="14">
        <f>_xll.BDH("AMGN US Equity","GROWTH_IN_CAP","FQ1 2019","FQ1 2019","Currency=USD","Period=FQ","BEST_FPERIOD_OVERRIDE=FQ","FILING_STATUS=MR","Sort=A","Dates=H","DateFormat=P","Fill=—","Direction=H","UseDPDF=Y")</f>
        <v>-13.3246</v>
      </c>
      <c r="E27" s="14">
        <f>_xll.BDH("AMGN US Equity","GROWTH_IN_CAP","FQ2 2019","FQ2 2019","Currency=USD","Period=FQ","BEST_FPERIOD_OVERRIDE=FQ","FILING_STATUS=MR","Sort=A","Dates=H","DateFormat=P","Fill=—","Direction=H","UseDPDF=Y")</f>
        <v>-15.182399999999999</v>
      </c>
      <c r="F27" s="14">
        <f>_xll.BDH("AMGN US Equity","GROWTH_IN_CAP","FQ3 2019","FQ3 2019","Currency=USD","Period=FQ","BEST_FPERIOD_OVERRIDE=FQ","FILING_STATUS=MR","Sort=A","Dates=H","DateFormat=P","Fill=—","Direction=H","UseDPDF=Y")</f>
        <v>-15.523999999999999</v>
      </c>
      <c r="G27" s="14">
        <f>_xll.BDH("AMGN US Equity","GROWTH_IN_CAP","FQ4 2019","FQ4 2019","Currency=USD","Period=FQ","BEST_FPERIOD_OVERRIDE=FQ","FILING_STATUS=MR","Sort=A","Dates=H","DateFormat=P","Fill=—","Direction=H","UseDPDF=Y")</f>
        <v>-13.622999999999999</v>
      </c>
      <c r="H27" s="14">
        <f>_xll.BDH("AMGN US Equity","GROWTH_IN_CAP","FQ1 2020","FQ1 2020","Currency=USD","Period=FQ","BEST_FPERIOD_OVERRIDE=FQ","FILING_STATUS=MR","Sort=A","Dates=H","DateFormat=P","Fill=—","Direction=H","UseDPDF=Y")</f>
        <v>-6.7900999999999998</v>
      </c>
      <c r="I27" s="14">
        <f>_xll.BDH("AMGN US Equity","GROWTH_IN_CAP","FQ2 2020","FQ2 2020","Currency=USD","Period=FQ","BEST_FPERIOD_OVERRIDE=FQ","FILING_STATUS=MR","Sort=A","Dates=H","DateFormat=P","Fill=—","Direction=H","UseDPDF=Y")</f>
        <v>7.1066000000000003</v>
      </c>
      <c r="J27" s="14">
        <f>_xll.BDH("AMGN US Equity","GROWTH_IN_CAP","FQ3 2020","FQ3 2020","Currency=USD","Period=FQ","BEST_FPERIOD_OVERRIDE=FQ","FILING_STATUS=MR","Sort=A","Dates=H","DateFormat=P","Fill=—","Direction=H","UseDPDF=Y")</f>
        <v>9.8096999999999994</v>
      </c>
      <c r="K27" s="14">
        <f>_xll.BDH("AMGN US Equity","GROWTH_IN_CAP","FQ4 2020","FQ4 2020","Currency=USD","Period=FQ","BEST_FPERIOD_OVERRIDE=FQ","FILING_STATUS=MR","Sort=A","Dates=H","DateFormat=P","Fill=—","Direction=H","UseDPDF=Y")</f>
        <v>6.8571999999999997</v>
      </c>
      <c r="L27" s="14">
        <f>_xll.BDH("AMGN US Equity","GROWTH_IN_CAP","FQ1 2021","FQ1 2021","Currency=USD","Period=FQ","BEST_FPERIOD_OVERRIDE=FQ","FILING_STATUS=MR","Sort=A","Dates=H","DateFormat=P","Fill=—","Direction=H","UseDPDF=Y")</f>
        <v>1.6597</v>
      </c>
      <c r="M27" s="14">
        <f>_xll.BDH("AMGN US Equity","GROWTH_IN_CAP","FQ2 2021","FQ2 2021","Currency=USD","Period=FQ","BEST_FPERIOD_OVERRIDE=FQ","FILING_STATUS=MR","Sort=A","Dates=H","DateFormat=P","Fill=—","Direction=H","UseDPDF=Y")</f>
        <v>-8.5868000000000002</v>
      </c>
      <c r="N27" s="14">
        <f>_xll.BDH("AMGN US Equity","GROWTH_IN_CAP","FQ3 2021","FQ3 2021","Currency=USD","Period=FQ","BEST_FPERIOD_OVERRIDE=FQ","FILING_STATUS=MR","Sort=A","Dates=H","DateFormat=P","Fill=—","Direction=H","UseDPDF=Y")</f>
        <v>1.2156</v>
      </c>
      <c r="O27" s="14">
        <f>_xll.BDH("AMGN US Equity","GROWTH_IN_CAP","FQ4 2021","FQ4 2021","Currency=USD","Period=FQ","BEST_FPERIOD_OVERRIDE=FQ","FILING_STATUS=MR","Sort=A","Dates=H","DateFormat=P","Fill=—","Direction=H","UseDPDF=Y")</f>
        <v>-5.0754000000000001</v>
      </c>
      <c r="P27" s="14">
        <f>_xll.BDH("AMGN US Equity","GROWTH_IN_CAP","FQ1 2022","FQ1 2022","Currency=USD","Period=FQ","BEST_FPERIOD_OVERRIDE=FQ","FILING_STATUS=MR","Sort=A","Dates=H","DateFormat=P","Fill=—","Direction=H","UseDPDF=Y")</f>
        <v>-10.1121</v>
      </c>
      <c r="Q27" s="14">
        <f>_xll.BDH("AMGN US Equity","GROWTH_IN_CAP","FQ2 2022","FQ2 2022","Currency=USD","Period=FQ","BEST_FPERIOD_OVERRIDE=FQ","FILING_STATUS=MR","Sort=A","Dates=H","DateFormat=P","Fill=—","Direction=H","UseDPDF=Y")</f>
        <v>-5.0891000000000002</v>
      </c>
      <c r="R27" s="14">
        <f>_xll.BDH("AMGN US Equity","GROWTH_IN_CAP","FQ3 2022","FQ3 2022","Currency=USD","Period=FQ","BEST_FPERIOD_OVERRIDE=FQ","FILING_STATUS=MR","Sort=A","Dates=H","DateFormat=P","Fill=—","Direction=H","UseDPDF=Y")</f>
        <v>-7.5094000000000003</v>
      </c>
      <c r="S27" s="14">
        <f>_xll.BDH("AMGN US Equity","GROWTH_IN_CAP","FQ4 2022","FQ4 2022","Currency=USD","Period=FQ","BEST_FPERIOD_OVERRIDE=FQ","FILING_STATUS=MR","Sort=A","Dates=H","DateFormat=P","Fill=—","Direction=H","UseDPDF=Y")</f>
        <v>6.4455999999999998</v>
      </c>
      <c r="T27" s="14">
        <f>_xll.BDH("AMGN US Equity","GROWTH_IN_CAP","FQ1 2023","FQ1 2023","Currency=USD","Period=FQ","BEST_FPERIOD_OVERRIDE=FQ","FILING_STATUS=MR","Sort=A","Dates=H","DateFormat=P","Fill=—","Direction=H","UseDPDF=Y")</f>
        <v>77.238500000000002</v>
      </c>
      <c r="U27" s="14">
        <f>_xll.BDH("AMGN US Equity","GROWTH_IN_CAP","FQ2 2023","FQ2 2023","Currency=USD","Period=FQ","BEST_FPERIOD_OVERRIDE=FQ","FILING_STATUS=MR","Sort=A","Dates=H","DateFormat=P","Fill=—","Direction=H","UseDPDF=Y")</f>
        <v>75.457700000000003</v>
      </c>
      <c r="V27" s="14">
        <f>_xll.BDH("AMGN US Equity","GROWTH_IN_CAP","FQ3 2023","FQ3 2023","Currency=USD","Period=FQ","BEST_FPERIOD_OVERRIDE=FQ","FILING_STATUS=MR","Sort=A","Dates=H","DateFormat=P","Fill=—","Direction=H","UseDPDF=Y")</f>
        <v>60.832900000000002</v>
      </c>
      <c r="W27" s="14">
        <f>_xll.BDH("AMGN US Equity","GROWTH_IN_CAP","FQ4 2023","FQ4 2023","Currency=USD","Period=FQ","BEST_FPERIOD_OVERRIDE=FQ","FILING_STATUS=MR","Sort=A","Dates=H","DateFormat=P","Fill=—","Direction=H","UseDPDF=Y")</f>
        <v>65.481200000000001</v>
      </c>
      <c r="X27" s="14">
        <f>_xll.BDH("AMGN US Equity","GROWTH_IN_CAP","FQ1 2024","FQ1 2024","Currency=USD","Period=FQ","BEST_FPERIOD_OVERRIDE=FQ","FILING_STATUS=MR","Sort=A","Dates=H","DateFormat=P","Fill=—","Direction=H","UseDPDF=Y")</f>
        <v>3.1355</v>
      </c>
      <c r="Y27" s="14">
        <f>_xll.BDH("AMGN US Equity","GROWTH_IN_CAP","FQ2 2024","FQ2 2024","Currency=USD","Period=FQ","BEST_FPERIOD_OVERRIDE=FQ","FILING_STATUS=MR","Sort=A","Dates=H","DateFormat=P","Fill=—","Direction=H","UseDPDF=Y")</f>
        <v>0.35859999999999997</v>
      </c>
      <c r="Z27" s="14">
        <f>_xll.BDH("AMGN US Equity","GROWTH_IN_CAP","FQ3 2024","FQ3 2024","Currency=USD","Period=FQ","BEST_FPERIOD_OVERRIDE=FQ","FILING_STATUS=MR","Sort=A","Dates=H","DateFormat=P","Fill=—","Direction=H","UseDPDF=Y")</f>
        <v>-0.29210000000000003</v>
      </c>
      <c r="AA27" s="14">
        <f>_xll.BDH("AMGN US Equity","GROWTH_IN_CAP","FQ4 2024","FQ4 2024","Currency=USD","Period=FQ","BEST_FPERIOD_OVERRIDE=FQ","FILING_STATUS=MR","Sort=A","Dates=H","DateFormat=P","Fill=—","Direction=H","UseDPDF=Y")</f>
        <v>-6.8369</v>
      </c>
    </row>
    <row r="28" spans="1:27" x14ac:dyDescent="0.25">
      <c r="A28" s="10" t="s">
        <v>1498</v>
      </c>
      <c r="B28" s="10" t="s">
        <v>1499</v>
      </c>
      <c r="C28" s="14">
        <f>_xll.BDH("AMGN US Equity","BVPS_GROWTH","FQ4 2018","FQ4 2018","Currency=USD","Period=FQ","BEST_FPERIOD_OVERRIDE=FQ","FILING_STATUS=MR","Sort=A","Dates=H","DateFormat=P","Fill=—","Direction=H","UseDPDF=Y")</f>
        <v>-43.1937</v>
      </c>
      <c r="D28" s="14">
        <f>_xll.BDH("AMGN US Equity","BVPS_GROWTH","FQ1 2019","FQ1 2019","Currency=USD","Period=FQ","BEST_FPERIOD_OVERRIDE=FQ","FILING_STATUS=MR","Sort=A","Dates=H","DateFormat=P","Fill=—","Direction=H","UseDPDF=Y")</f>
        <v>-24.783799999999999</v>
      </c>
      <c r="E28" s="14">
        <f>_xll.BDH("AMGN US Equity","BVPS_GROWTH","FQ2 2019","FQ2 2019","Currency=USD","Period=FQ","BEST_FPERIOD_OVERRIDE=FQ","FILING_STATUS=MR","Sort=A","Dates=H","DateFormat=P","Fill=—","Direction=H","UseDPDF=Y")</f>
        <v>-21.961300000000001</v>
      </c>
      <c r="F28" s="14">
        <f>_xll.BDH("AMGN US Equity","BVPS_GROWTH","FQ3 2019","FQ3 2019","Currency=USD","Period=FQ","BEST_FPERIOD_OVERRIDE=FQ","FILING_STATUS=MR","Sort=A","Dates=H","DateFormat=P","Fill=—","Direction=H","UseDPDF=Y")</f>
        <v>-18.190000000000001</v>
      </c>
      <c r="G28" s="14">
        <f>_xll.BDH("AMGN US Equity","BVPS_GROWTH","FQ4 2019","FQ4 2019","Currency=USD","Period=FQ","BEST_FPERIOD_OVERRIDE=FQ","FILING_STATUS=MR","Sort=A","Dates=H","DateFormat=P","Fill=—","Direction=H","UseDPDF=Y")</f>
        <v>-17.617599999999999</v>
      </c>
      <c r="H28" s="14">
        <f>_xll.BDH("AMGN US Equity","BVPS_GROWTH","FQ1 2020","FQ1 2020","Currency=USD","Period=FQ","BEST_FPERIOD_OVERRIDE=FQ","FILING_STATUS=MR","Sort=A","Dates=H","DateFormat=P","Fill=—","Direction=H","UseDPDF=Y")</f>
        <v>-8.5038999999999998</v>
      </c>
      <c r="I28" s="14">
        <f>_xll.BDH("AMGN US Equity","BVPS_GROWTH","FQ2 2020","FQ2 2020","Currency=USD","Period=FQ","BEST_FPERIOD_OVERRIDE=FQ","FILING_STATUS=MR","Sort=A","Dates=H","DateFormat=P","Fill=—","Direction=H","UseDPDF=Y")</f>
        <v>1.3932</v>
      </c>
      <c r="J28" s="14">
        <f>_xll.BDH("AMGN US Equity","BVPS_GROWTH","FQ3 2020","FQ3 2020","Currency=USD","Period=FQ","BEST_FPERIOD_OVERRIDE=FQ","FILING_STATUS=MR","Sort=A","Dates=H","DateFormat=P","Fill=—","Direction=H","UseDPDF=Y")</f>
        <v>2.4756999999999998</v>
      </c>
      <c r="K28" s="14">
        <f>_xll.BDH("AMGN US Equity","BVPS_GROWTH","FQ4 2020","FQ4 2020","Currency=USD","Period=FQ","BEST_FPERIOD_OVERRIDE=FQ","FILING_STATUS=MR","Sort=A","Dates=H","DateFormat=P","Fill=—","Direction=H","UseDPDF=Y")</f>
        <v>-0.52580000000000005</v>
      </c>
      <c r="L28" s="14">
        <f>_xll.BDH("AMGN US Equity","BVPS_GROWTH","FQ1 2021","FQ1 2021","Currency=USD","Period=FQ","BEST_FPERIOD_OVERRIDE=FQ","FILING_STATUS=MR","Sort=A","Dates=H","DateFormat=P","Fill=—","Direction=H","UseDPDF=Y")</f>
        <v>0.58040000000000003</v>
      </c>
      <c r="M28" s="14">
        <f>_xll.BDH("AMGN US Equity","BVPS_GROWTH","FQ2 2021","FQ2 2021","Currency=USD","Period=FQ","BEST_FPERIOD_OVERRIDE=FQ","FILING_STATUS=MR","Sort=A","Dates=H","DateFormat=P","Fill=—","Direction=H","UseDPDF=Y")</f>
        <v>-20.346699999999998</v>
      </c>
      <c r="N28" s="14">
        <f>_xll.BDH("AMGN US Equity","BVPS_GROWTH","FQ3 2021","FQ3 2021","Currency=USD","Period=FQ","BEST_FPERIOD_OVERRIDE=FQ","FILING_STATUS=MR","Sort=A","Dates=H","DateFormat=P","Fill=—","Direction=H","UseDPDF=Y")</f>
        <v>-22.5655</v>
      </c>
      <c r="O28" s="14">
        <f>_xll.BDH("AMGN US Equity","BVPS_GROWTH","FQ4 2021","FQ4 2021","Currency=USD","Period=FQ","BEST_FPERIOD_OVERRIDE=FQ","FILING_STATUS=MR","Sort=A","Dates=H","DateFormat=P","Fill=—","Direction=H","UseDPDF=Y")</f>
        <v>-22.8842</v>
      </c>
      <c r="P28" s="14">
        <f>_xll.BDH("AMGN US Equity","BVPS_GROWTH","FQ1 2022","FQ1 2022","Currency=USD","Period=FQ","BEST_FPERIOD_OVERRIDE=FQ","FILING_STATUS=MR","Sort=A","Dates=H","DateFormat=P","Fill=—","Direction=H","UseDPDF=Y")</f>
        <v>-89.431399999999996</v>
      </c>
      <c r="Q28" s="14">
        <f>_xll.BDH("AMGN US Equity","BVPS_GROWTH","FQ2 2022","FQ2 2022","Currency=USD","Period=FQ","BEST_FPERIOD_OVERRIDE=FQ","FILING_STATUS=MR","Sort=A","Dates=H","DateFormat=P","Fill=—","Direction=H","UseDPDF=Y")</f>
        <v>-68.765299999999996</v>
      </c>
      <c r="R28" s="14">
        <f>_xll.BDH("AMGN US Equity","BVPS_GROWTH","FQ3 2022","FQ3 2022","Currency=USD","Period=FQ","BEST_FPERIOD_OVERRIDE=FQ","FILING_STATUS=MR","Sort=A","Dates=H","DateFormat=P","Fill=—","Direction=H","UseDPDF=Y")</f>
        <v>-52.918500000000002</v>
      </c>
      <c r="S28" s="14">
        <f>_xll.BDH("AMGN US Equity","BVPS_GROWTH","FQ4 2022","FQ4 2022","Currency=USD","Period=FQ","BEST_FPERIOD_OVERRIDE=FQ","FILING_STATUS=MR","Sort=A","Dates=H","DateFormat=P","Fill=—","Direction=H","UseDPDF=Y")</f>
        <v>-45.358199999999997</v>
      </c>
      <c r="T28" s="14">
        <f>_xll.BDH("AMGN US Equity","BVPS_GROWTH","FQ1 2023","FQ1 2023","Currency=USD","Period=FQ","BEST_FPERIOD_OVERRIDE=FQ","FILING_STATUS=MR","Sort=A","Dates=H","DateFormat=P","Fill=—","Direction=H","UseDPDF=Y")</f>
        <v>483.73349999999999</v>
      </c>
      <c r="U28" s="14">
        <f>_xll.BDH("AMGN US Equity","BVPS_GROWTH","FQ2 2023","FQ2 2023","Currency=USD","Period=FQ","BEST_FPERIOD_OVERRIDE=FQ","FILING_STATUS=MR","Sort=A","Dates=H","DateFormat=P","Fill=—","Direction=H","UseDPDF=Y")</f>
        <v>180.32239999999999</v>
      </c>
      <c r="V28" s="14">
        <f>_xll.BDH("AMGN US Equity","BVPS_GROWTH","FQ3 2023","FQ3 2023","Currency=USD","Period=FQ","BEST_FPERIOD_OVERRIDE=FQ","FILING_STATUS=MR","Sort=A","Dates=H","DateFormat=P","Fill=—","Direction=H","UseDPDF=Y")</f>
        <v>108.9545</v>
      </c>
      <c r="W28" s="14">
        <f>_xll.BDH("AMGN US Equity","BVPS_GROWTH","FQ4 2023","FQ4 2023","Currency=USD","Period=FQ","BEST_FPERIOD_OVERRIDE=FQ","FILING_STATUS=MR","Sort=A","Dates=H","DateFormat=P","Fill=—","Direction=H","UseDPDF=Y")</f>
        <v>69.781599999999997</v>
      </c>
      <c r="X28" s="14">
        <f>_xll.BDH("AMGN US Equity","BVPS_GROWTH","FQ1 2024","FQ1 2024","Currency=USD","Period=FQ","BEST_FPERIOD_OVERRIDE=FQ","FILING_STATUS=MR","Sort=A","Dates=H","DateFormat=P","Fill=—","Direction=H","UseDPDF=Y")</f>
        <v>-6.4634</v>
      </c>
      <c r="Y28" s="14">
        <f>_xll.BDH("AMGN US Equity","BVPS_GROWTH","FQ2 2024","FQ2 2024","Currency=USD","Period=FQ","BEST_FPERIOD_OVERRIDE=FQ","FILING_STATUS=MR","Sort=A","Dates=H","DateFormat=P","Fill=—","Direction=H","UseDPDF=Y")</f>
        <v>-12.9976</v>
      </c>
      <c r="Z28" s="14">
        <f>_xll.BDH("AMGN US Equity","BVPS_GROWTH","FQ3 2024","FQ3 2024","Currency=USD","Period=FQ","BEST_FPERIOD_OVERRIDE=FQ","FILING_STATUS=MR","Sort=A","Dates=H","DateFormat=P","Fill=—","Direction=H","UseDPDF=Y")</f>
        <v>-2.1238999999999999</v>
      </c>
      <c r="AA28" s="14">
        <f>_xll.BDH("AMGN US Equity","BVPS_GROWTH","FQ4 2024","FQ4 2024","Currency=USD","Period=FQ","BEST_FPERIOD_OVERRIDE=FQ","FILING_STATUS=MR","Sort=A","Dates=H","DateFormat=P","Fill=—","Direction=H","UseDPDF=Y")</f>
        <v>-5.9599000000000002</v>
      </c>
    </row>
    <row r="29" spans="1:27" x14ac:dyDescent="0.25">
      <c r="A29" s="10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5">
      <c r="A30" s="10" t="s">
        <v>124</v>
      </c>
      <c r="B30" s="10" t="s">
        <v>1500</v>
      </c>
      <c r="C30" s="14">
        <f>_xll.BDH("AMGN US Equity","CASH_FLOW_GROWTH","FQ4 2018","FQ4 2018","Currency=USD","Period=FQ","BEST_FPERIOD_OVERRIDE=FQ","FILING_STATUS=MR","Sort=A","Dates=H","DateFormat=P","Fill=—","Direction=H","UseDPDF=Y")</f>
        <v>6.0425000000000004</v>
      </c>
      <c r="D30" s="14">
        <f>_xll.BDH("AMGN US Equity","CASH_FLOW_GROWTH","FQ1 2019","FQ1 2019","Currency=USD","Period=FQ","BEST_FPERIOD_OVERRIDE=FQ","FILING_STATUS=MR","Sort=A","Dates=H","DateFormat=P","Fill=—","Direction=H","UseDPDF=Y")</f>
        <v>-32.343200000000003</v>
      </c>
      <c r="E30" s="14">
        <f>_xll.BDH("AMGN US Equity","CASH_FLOW_GROWTH","FQ2 2019","FQ2 2019","Currency=USD","Period=FQ","BEST_FPERIOD_OVERRIDE=FQ","FILING_STATUS=MR","Sort=A","Dates=H","DateFormat=P","Fill=—","Direction=H","UseDPDF=Y")</f>
        <v>-32.730699999999999</v>
      </c>
      <c r="F30" s="14">
        <f>_xll.BDH("AMGN US Equity","CASH_FLOW_GROWTH","FQ3 2019","FQ3 2019","Currency=USD","Period=FQ","BEST_FPERIOD_OVERRIDE=FQ","FILING_STATUS=MR","Sort=A","Dates=H","DateFormat=P","Fill=—","Direction=H","UseDPDF=Y")</f>
        <v>3.1775000000000002</v>
      </c>
      <c r="G30" s="14">
        <f>_xll.BDH("AMGN US Equity","CASH_FLOW_GROWTH","FQ4 2019","FQ4 2019","Currency=USD","Period=FQ","BEST_FPERIOD_OVERRIDE=FQ","FILING_STATUS=MR","Sort=A","Dates=H","DateFormat=P","Fill=—","Direction=H","UseDPDF=Y")</f>
        <v>-21.289899999999999</v>
      </c>
      <c r="H30" s="14">
        <f>_xll.BDH("AMGN US Equity","CASH_FLOW_GROWTH","FQ1 2020","FQ1 2020","Currency=USD","Period=FQ","BEST_FPERIOD_OVERRIDE=FQ","FILING_STATUS=MR","Sort=A","Dates=H","DateFormat=P","Fill=—","Direction=H","UseDPDF=Y")</f>
        <v>15.664</v>
      </c>
      <c r="I30" s="14">
        <f>_xll.BDH("AMGN US Equity","CASH_FLOW_GROWTH","FQ2 2020","FQ2 2020","Currency=USD","Period=FQ","BEST_FPERIOD_OVERRIDE=FQ","FILING_STATUS=MR","Sort=A","Dates=H","DateFormat=P","Fill=—","Direction=H","UseDPDF=Y")</f>
        <v>100.9901</v>
      </c>
      <c r="J30" s="14">
        <f>_xll.BDH("AMGN US Equity","CASH_FLOW_GROWTH","FQ3 2020","FQ3 2020","Currency=USD","Period=FQ","BEST_FPERIOD_OVERRIDE=FQ","FILING_STATUS=MR","Sort=A","Dates=H","DateFormat=P","Fill=—","Direction=H","UseDPDF=Y")</f>
        <v>-0.26650000000000001</v>
      </c>
      <c r="K30" s="14">
        <f>_xll.BDH("AMGN US Equity","CASH_FLOW_GROWTH","FQ4 2020","FQ4 2020","Currency=USD","Period=FQ","BEST_FPERIOD_OVERRIDE=FQ","FILING_STATUS=MR","Sort=A","Dates=H","DateFormat=P","Fill=—","Direction=H","UseDPDF=Y")</f>
        <v>-4.0175000000000001</v>
      </c>
      <c r="L30" s="14">
        <f>_xll.BDH("AMGN US Equity","CASH_FLOW_GROWTH","FQ1 2021","FQ1 2021","Currency=USD","Period=FQ","BEST_FPERIOD_OVERRIDE=FQ","FILING_STATUS=MR","Sort=A","Dates=H","DateFormat=P","Fill=—","Direction=H","UseDPDF=Y")</f>
        <v>-1.4057999999999999</v>
      </c>
      <c r="M30" s="14">
        <f>_xll.BDH("AMGN US Equity","CASH_FLOW_GROWTH","FQ2 2021","FQ2 2021","Currency=USD","Period=FQ","BEST_FPERIOD_OVERRIDE=FQ","FILING_STATUS=MR","Sort=A","Dates=H","DateFormat=P","Fill=—","Direction=H","UseDPDF=Y")</f>
        <v>-32.054900000000004</v>
      </c>
      <c r="N30" s="14">
        <f>_xll.BDH("AMGN US Equity","CASH_FLOW_GROWTH","FQ3 2021","FQ3 2021","Currency=USD","Period=FQ","BEST_FPERIOD_OVERRIDE=FQ","FILING_STATUS=MR","Sort=A","Dates=H","DateFormat=P","Fill=—","Direction=H","UseDPDF=Y")</f>
        <v>-28.206700000000001</v>
      </c>
      <c r="O30" s="14">
        <f>_xll.BDH("AMGN US Equity","CASH_FLOW_GROWTH","FQ4 2021","FQ4 2021","Currency=USD","Period=FQ","BEST_FPERIOD_OVERRIDE=FQ","FILING_STATUS=MR","Sort=A","Dates=H","DateFormat=P","Fill=—","Direction=H","UseDPDF=Y")</f>
        <v>16.369700000000002</v>
      </c>
      <c r="P30" s="14">
        <f>_xll.BDH("AMGN US Equity","CASH_FLOW_GROWTH","FQ1 2022","FQ1 2022","Currency=USD","Period=FQ","BEST_FPERIOD_OVERRIDE=FQ","FILING_STATUS=MR","Sort=A","Dates=H","DateFormat=P","Fill=—","Direction=H","UseDPDF=Y")</f>
        <v>2.8517000000000001</v>
      </c>
      <c r="Q30" s="14">
        <f>_xll.BDH("AMGN US Equity","CASH_FLOW_GROWTH","FQ2 2022","FQ2 2022","Currency=USD","Period=FQ","BEST_FPERIOD_OVERRIDE=FQ","FILING_STATUS=MR","Sort=A","Dates=H","DateFormat=P","Fill=—","Direction=H","UseDPDF=Y")</f>
        <v>-5.1799999999999999E-2</v>
      </c>
      <c r="R30" s="14">
        <f>_xll.BDH("AMGN US Equity","CASH_FLOW_GROWTH","FQ3 2022","FQ3 2022","Currency=USD","Period=FQ","BEST_FPERIOD_OVERRIDE=FQ","FILING_STATUS=MR","Sort=A","Dates=H","DateFormat=P","Fill=—","Direction=H","UseDPDF=Y")</f>
        <v>23.159600000000001</v>
      </c>
      <c r="S30" s="14">
        <f>_xll.BDH("AMGN US Equity","CASH_FLOW_GROWTH","FQ4 2022","FQ4 2022","Currency=USD","Period=FQ","BEST_FPERIOD_OVERRIDE=FQ","FILING_STATUS=MR","Sort=A","Dates=H","DateFormat=P","Fill=—","Direction=H","UseDPDF=Y")</f>
        <v>-5.6623999999999999</v>
      </c>
      <c r="T30" s="14">
        <f>_xll.BDH("AMGN US Equity","CASH_FLOW_GROWTH","FQ1 2023","FQ1 2023","Currency=USD","Period=FQ","BEST_FPERIOD_OVERRIDE=FQ","FILING_STATUS=MR","Sort=A","Dates=H","DateFormat=P","Fill=—","Direction=H","UseDPDF=Y")</f>
        <v>-50.831800000000001</v>
      </c>
      <c r="U30" s="14">
        <f>_xll.BDH("AMGN US Equity","CASH_FLOW_GROWTH","FQ2 2023","FQ2 2023","Currency=USD","Period=FQ","BEST_FPERIOD_OVERRIDE=FQ","FILING_STATUS=MR","Sort=A","Dates=H","DateFormat=P","Fill=—","Direction=H","UseDPDF=Y")</f>
        <v>112.9016</v>
      </c>
      <c r="V30" s="14">
        <f>_xll.BDH("AMGN US Equity","CASH_FLOW_GROWTH","FQ3 2023","FQ3 2023","Currency=USD","Period=FQ","BEST_FPERIOD_OVERRIDE=FQ","FILING_STATUS=MR","Sort=A","Dates=H","DateFormat=P","Fill=—","Direction=H","UseDPDF=Y")</f>
        <v>-7.3202999999999996</v>
      </c>
      <c r="W30" s="14">
        <f>_xll.BDH("AMGN US Equity","CASH_FLOW_GROWTH","FQ4 2023","FQ4 2023","Currency=USD","Period=FQ","BEST_FPERIOD_OVERRIDE=FQ","FILING_STATUS=MR","Sort=A","Dates=H","DateFormat=P","Fill=—","Direction=H","UseDPDF=Y")</f>
        <v>-79.690399999999997</v>
      </c>
      <c r="X30" s="14">
        <f>_xll.BDH("AMGN US Equity","CASH_FLOW_GROWTH","FQ1 2024","FQ1 2024","Currency=USD","Period=FQ","BEST_FPERIOD_OVERRIDE=FQ","FILING_STATUS=MR","Sort=A","Dates=H","DateFormat=P","Fill=—","Direction=H","UseDPDF=Y")</f>
        <v>-35.244399999999999</v>
      </c>
      <c r="Y30" s="14">
        <f>_xll.BDH("AMGN US Equity","CASH_FLOW_GROWTH","FQ2 2024","FQ2 2024","Currency=USD","Period=FQ","BEST_FPERIOD_OVERRIDE=FQ","FILING_STATUS=MR","Sort=A","Dates=H","DateFormat=P","Fill=—","Direction=H","UseDPDF=Y")</f>
        <v>-40.155799999999999</v>
      </c>
      <c r="Z30" s="14">
        <f>_xll.BDH("AMGN US Equity","CASH_FLOW_GROWTH","FQ3 2024","FQ3 2024","Currency=USD","Period=FQ","BEST_FPERIOD_OVERRIDE=FQ","FILING_STATUS=MR","Sort=A","Dates=H","DateFormat=P","Fill=—","Direction=H","UseDPDF=Y")</f>
        <v>29.3841</v>
      </c>
      <c r="AA30" s="14">
        <f>_xll.BDH("AMGN US Equity","CASH_FLOW_GROWTH","FQ4 2024","FQ4 2024","Currency=USD","Period=FQ","BEST_FPERIOD_OVERRIDE=FQ","FILING_STATUS=MR","Sort=A","Dates=H","DateFormat=P","Fill=—","Direction=H","UseDPDF=Y")</f>
        <v>786.803</v>
      </c>
    </row>
    <row r="31" spans="1:27" x14ac:dyDescent="0.25">
      <c r="A31" s="10" t="s">
        <v>86</v>
      </c>
      <c r="B31" s="10" t="s">
        <v>1501</v>
      </c>
      <c r="C31" s="14">
        <f>_xll.BDH("AMGN US Equity","TOT_CAP_EXPEND_GROWTH","FQ4 2018","FQ4 2018","Currency=USD","Period=FQ","BEST_FPERIOD_OVERRIDE=FQ","FILING_STATUS=MR","Sort=A","Dates=H","DateFormat=P","Fill=—","Direction=H","UseDPDF=Y")</f>
        <v>47.058799999999998</v>
      </c>
      <c r="D31" s="14">
        <f>_xll.BDH("AMGN US Equity","TOT_CAP_EXPEND_GROWTH","FQ1 2019","FQ1 2019","Currency=USD","Period=FQ","BEST_FPERIOD_OVERRIDE=FQ","FILING_STATUS=MR","Sort=A","Dates=H","DateFormat=P","Fill=—","Direction=H","UseDPDF=Y")</f>
        <v>-25.161300000000001</v>
      </c>
      <c r="E31" s="14">
        <f>_xll.BDH("AMGN US Equity","TOT_CAP_EXPEND_GROWTH","FQ2 2019","FQ2 2019","Currency=USD","Period=FQ","BEST_FPERIOD_OVERRIDE=FQ","FILING_STATUS=MR","Sort=A","Dates=H","DateFormat=P","Fill=—","Direction=H","UseDPDF=Y")</f>
        <v>-22.994700000000002</v>
      </c>
      <c r="F31" s="14">
        <f>_xll.BDH("AMGN US Equity","TOT_CAP_EXPEND_GROWTH","FQ3 2019","FQ3 2019","Currency=USD","Period=FQ","BEST_FPERIOD_OVERRIDE=FQ","FILING_STATUS=MR","Sort=A","Dates=H","DateFormat=P","Fill=—","Direction=H","UseDPDF=Y")</f>
        <v>-0.58479999999999999</v>
      </c>
      <c r="G31" s="14">
        <f>_xll.BDH("AMGN US Equity","TOT_CAP_EXPEND_GROWTH","FQ4 2019","FQ4 2019","Currency=USD","Period=FQ","BEST_FPERIOD_OVERRIDE=FQ","FILING_STATUS=MR","Sort=A","Dates=H","DateFormat=P","Fill=—","Direction=H","UseDPDF=Y")</f>
        <v>-16.444400000000002</v>
      </c>
      <c r="H31" s="14">
        <f>_xll.BDH("AMGN US Equity","TOT_CAP_EXPEND_GROWTH","FQ1 2020","FQ1 2020","Currency=USD","Period=FQ","BEST_FPERIOD_OVERRIDE=FQ","FILING_STATUS=MR","Sort=A","Dates=H","DateFormat=P","Fill=—","Direction=H","UseDPDF=Y")</f>
        <v>22.413799999999998</v>
      </c>
      <c r="I31" s="14">
        <f>_xll.BDH("AMGN US Equity","TOT_CAP_EXPEND_GROWTH","FQ2 2020","FQ2 2020","Currency=USD","Period=FQ","BEST_FPERIOD_OVERRIDE=FQ","FILING_STATUS=MR","Sort=A","Dates=H","DateFormat=P","Fill=—","Direction=H","UseDPDF=Y")</f>
        <v>9.7222000000000008</v>
      </c>
      <c r="J31" s="14">
        <f>_xll.BDH("AMGN US Equity","TOT_CAP_EXPEND_GROWTH","FQ3 2020","FQ3 2020","Currency=USD","Period=FQ","BEST_FPERIOD_OVERRIDE=FQ","FILING_STATUS=MR","Sort=A","Dates=H","DateFormat=P","Fill=—","Direction=H","UseDPDF=Y")</f>
        <v>-20.588200000000001</v>
      </c>
      <c r="K31" s="14">
        <f>_xll.BDH("AMGN US Equity","TOT_CAP_EXPEND_GROWTH","FQ4 2020","FQ4 2020","Currency=USD","Period=FQ","BEST_FPERIOD_OVERRIDE=FQ","FILING_STATUS=MR","Sort=A","Dates=H","DateFormat=P","Fill=—","Direction=H","UseDPDF=Y")</f>
        <v>-7.9786999999999999</v>
      </c>
      <c r="L31" s="14">
        <f>_xll.BDH("AMGN US Equity","TOT_CAP_EXPEND_GROWTH","FQ1 2021","FQ1 2021","Currency=USD","Period=FQ","BEST_FPERIOD_OVERRIDE=FQ","FILING_STATUS=MR","Sort=A","Dates=H","DateFormat=P","Fill=—","Direction=H","UseDPDF=Y")</f>
        <v>16.901399999999999</v>
      </c>
      <c r="M31" s="14">
        <f>_xll.BDH("AMGN US Equity","TOT_CAP_EXPEND_GROWTH","FQ2 2021","FQ2 2021","Currency=USD","Period=FQ","BEST_FPERIOD_OVERRIDE=FQ","FILING_STATUS=MR","Sort=A","Dates=H","DateFormat=P","Fill=—","Direction=H","UseDPDF=Y")</f>
        <v>17.0886</v>
      </c>
      <c r="N31" s="14">
        <f>_xll.BDH("AMGN US Equity","TOT_CAP_EXPEND_GROWTH","FQ3 2021","FQ3 2021","Currency=USD","Period=FQ","BEST_FPERIOD_OVERRIDE=FQ","FILING_STATUS=MR","Sort=A","Dates=H","DateFormat=P","Fill=—","Direction=H","UseDPDF=Y")</f>
        <v>79.259299999999996</v>
      </c>
      <c r="O31" s="14">
        <f>_xll.BDH("AMGN US Equity","TOT_CAP_EXPEND_GROWTH","FQ4 2021","FQ4 2021","Currency=USD","Period=FQ","BEST_FPERIOD_OVERRIDE=FQ","FILING_STATUS=MR","Sort=A","Dates=H","DateFormat=P","Fill=—","Direction=H","UseDPDF=Y")</f>
        <v>65.896000000000001</v>
      </c>
      <c r="P31" s="14">
        <f>_xll.BDH("AMGN US Equity","TOT_CAP_EXPEND_GROWTH","FQ1 2022","FQ1 2022","Currency=USD","Period=FQ","BEST_FPERIOD_OVERRIDE=FQ","FILING_STATUS=MR","Sort=A","Dates=H","DateFormat=P","Fill=—","Direction=H","UseDPDF=Y")</f>
        <v>14.457800000000001</v>
      </c>
      <c r="Q31" s="14">
        <f>_xll.BDH("AMGN US Equity","TOT_CAP_EXPEND_GROWTH","FQ2 2022","FQ2 2022","Currency=USD","Period=FQ","BEST_FPERIOD_OVERRIDE=FQ","FILING_STATUS=MR","Sort=A","Dates=H","DateFormat=P","Fill=—","Direction=H","UseDPDF=Y")</f>
        <v>32.972999999999999</v>
      </c>
      <c r="R31" s="14">
        <f>_xll.BDH("AMGN US Equity","TOT_CAP_EXPEND_GROWTH","FQ3 2022","FQ3 2022","Currency=USD","Period=FQ","BEST_FPERIOD_OVERRIDE=FQ","FILING_STATUS=MR","Sort=A","Dates=H","DateFormat=P","Fill=—","Direction=H","UseDPDF=Y")</f>
        <v>-33.884300000000003</v>
      </c>
      <c r="S31" s="14">
        <f>_xll.BDH("AMGN US Equity","TOT_CAP_EXPEND_GROWTH","FQ4 2022","FQ4 2022","Currency=USD","Period=FQ","BEST_FPERIOD_OVERRIDE=FQ","FILING_STATUS=MR","Sort=A","Dates=H","DateFormat=P","Fill=—","Direction=H","UseDPDF=Y")</f>
        <v>18.466899999999999</v>
      </c>
      <c r="T31" s="14">
        <f>_xll.BDH("AMGN US Equity","TOT_CAP_EXPEND_GROWTH","FQ1 2023","FQ1 2023","Currency=USD","Period=FQ","BEST_FPERIOD_OVERRIDE=FQ","FILING_STATUS=MR","Sort=A","Dates=H","DateFormat=P","Fill=—","Direction=H","UseDPDF=Y")</f>
        <v>81.052599999999998</v>
      </c>
      <c r="U31" s="14">
        <f>_xll.BDH("AMGN US Equity","TOT_CAP_EXPEND_GROWTH","FQ2 2023","FQ2 2023","Currency=USD","Period=FQ","BEST_FPERIOD_OVERRIDE=FQ","FILING_STATUS=MR","Sort=A","Dates=H","DateFormat=P","Fill=—","Direction=H","UseDPDF=Y")</f>
        <v>10.162599999999999</v>
      </c>
      <c r="V31" s="14">
        <f>_xll.BDH("AMGN US Equity","TOT_CAP_EXPEND_GROWTH","FQ3 2023","FQ3 2023","Currency=USD","Period=FQ","BEST_FPERIOD_OVERRIDE=FQ","FILING_STATUS=MR","Sort=A","Dates=H","DateFormat=P","Fill=—","Direction=H","UseDPDF=Y")</f>
        <v>55</v>
      </c>
      <c r="W31" s="14">
        <f>_xll.BDH("AMGN US Equity","TOT_CAP_EXPEND_GROWTH","FQ4 2023","FQ4 2023","Currency=USD","Period=FQ","BEST_FPERIOD_OVERRIDE=FQ","FILING_STATUS=MR","Sort=A","Dates=H","DateFormat=P","Fill=—","Direction=H","UseDPDF=Y")</f>
        <v>-26.764700000000001</v>
      </c>
      <c r="X31" s="14">
        <f>_xll.BDH("AMGN US Equity","TOT_CAP_EXPEND_GROWTH","FQ1 2024","FQ1 2024","Currency=USD","Period=FQ","BEST_FPERIOD_OVERRIDE=FQ","FILING_STATUS=MR","Sort=A","Dates=H","DateFormat=P","Fill=—","Direction=H","UseDPDF=Y")</f>
        <v>-33.139499999999998</v>
      </c>
      <c r="Y31" s="14">
        <f>_xll.BDH("AMGN US Equity","TOT_CAP_EXPEND_GROWTH","FQ2 2024","FQ2 2024","Currency=USD","Period=FQ","BEST_FPERIOD_OVERRIDE=FQ","FILING_STATUS=MR","Sort=A","Dates=H","DateFormat=P","Fill=—","Direction=H","UseDPDF=Y")</f>
        <v>-12.177099999999999</v>
      </c>
      <c r="Z31" s="14">
        <f>_xll.BDH("AMGN US Equity","TOT_CAP_EXPEND_GROWTH","FQ3 2024","FQ3 2024","Currency=USD","Period=FQ","BEST_FPERIOD_OVERRIDE=FQ","FILING_STATUS=MR","Sort=A","Dates=H","DateFormat=P","Fill=—","Direction=H","UseDPDF=Y")</f>
        <v>3.629</v>
      </c>
      <c r="AA31" s="14">
        <f>_xll.BDH("AMGN US Equity","TOT_CAP_EXPEND_GROWTH","FQ4 2024","FQ4 2024","Currency=USD","Period=FQ","BEST_FPERIOD_OVERRIDE=FQ","FILING_STATUS=MR","Sort=A","Dates=H","DateFormat=P","Fill=—","Direction=H","UseDPDF=Y")</f>
        <v>48.996000000000002</v>
      </c>
    </row>
    <row r="32" spans="1:27" x14ac:dyDescent="0.25">
      <c r="A32" s="10" t="s">
        <v>1421</v>
      </c>
      <c r="B32" s="10" t="s">
        <v>1502</v>
      </c>
      <c r="C32" s="14" t="str">
        <f>_xll.BDH("AMGN US Equity","NET_CHANGE_IN_CASH_1_YEAR_GROWTH","FQ4 2018","FQ4 2018","Currency=USD","Period=FQ","BEST_FPERIOD_OVERRIDE=FQ","FILING_STATUS=MR","Sort=A","Dates=H","DateFormat=P","Fill=—","Direction=H","UseDPDF=Y")</f>
        <v>—</v>
      </c>
      <c r="D32" s="14">
        <f>_xll.BDH("AMGN US Equity","NET_CHANGE_IN_CASH_1_YEAR_GROWTH","FQ1 2019","FQ1 2019","Currency=USD","Period=FQ","BEST_FPERIOD_OVERRIDE=FQ","FILING_STATUS=MR","Sort=A","Dates=H","DateFormat=P","Fill=—","Direction=H","UseDPDF=Y")</f>
        <v>-93.048299999999998</v>
      </c>
      <c r="E32" s="14" t="str">
        <f>_xll.BDH("AMGN US Equity","NET_CHANGE_IN_CASH_1_YEAR_GROWTH","FQ2 2019","FQ2 2019","Currency=USD","Period=FQ","BEST_FPERIOD_OVERRIDE=FQ","FILING_STATUS=MR","Sort=A","Dates=H","DateFormat=P","Fill=—","Direction=H","UseDPDF=Y")</f>
        <v>—</v>
      </c>
      <c r="F32" s="14">
        <f>_xll.BDH("AMGN US Equity","NET_CHANGE_IN_CASH_1_YEAR_GROWTH","FQ3 2019","FQ3 2019","Currency=USD","Period=FQ","BEST_FPERIOD_OVERRIDE=FQ","FILING_STATUS=MR","Sort=A","Dates=H","DateFormat=P","Fill=—","Direction=H","UseDPDF=Y")</f>
        <v>222.7397</v>
      </c>
      <c r="G32" s="14">
        <f>_xll.BDH("AMGN US Equity","NET_CHANGE_IN_CASH_1_YEAR_GROWTH","FQ4 2019","FQ4 2019","Currency=USD","Period=FQ","BEST_FPERIOD_OVERRIDE=FQ","FILING_STATUS=MR","Sort=A","Dates=H","DateFormat=P","Fill=—","Direction=H","UseDPDF=Y")</f>
        <v>-7.3239000000000001</v>
      </c>
      <c r="H32" s="14">
        <f>_xll.BDH("AMGN US Equity","NET_CHANGE_IN_CASH_1_YEAR_GROWTH","FQ1 2020","FQ1 2020","Currency=USD","Period=FQ","BEST_FPERIOD_OVERRIDE=FQ","FILING_STATUS=MR","Sort=A","Dates=H","DateFormat=P","Fill=—","Direction=H","UseDPDF=Y")</f>
        <v>299.51569999999998</v>
      </c>
      <c r="I32" s="14" t="str">
        <f>_xll.BDH("AMGN US Equity","NET_CHANGE_IN_CASH_1_YEAR_GROWTH","FQ2 2020","FQ2 2020","Currency=USD","Period=FQ","BEST_FPERIOD_OVERRIDE=FQ","FILING_STATUS=MR","Sort=A","Dates=H","DateFormat=P","Fill=—","Direction=H","UseDPDF=Y")</f>
        <v>—</v>
      </c>
      <c r="J32" s="14" t="str">
        <f>_xll.BDH("AMGN US Equity","NET_CHANGE_IN_CASH_1_YEAR_GROWTH","FQ3 2020","FQ3 2020","Currency=USD","Period=FQ","BEST_FPERIOD_OVERRIDE=FQ","FILING_STATUS=MR","Sort=A","Dates=H","DateFormat=P","Fill=—","Direction=H","UseDPDF=Y")</f>
        <v>—</v>
      </c>
      <c r="K32" s="14">
        <f>_xll.BDH("AMGN US Equity","NET_CHANGE_IN_CASH_1_YEAR_GROWTH","FQ4 2020","FQ4 2020","Currency=USD","Period=FQ","BEST_FPERIOD_OVERRIDE=FQ","FILING_STATUS=MR","Sort=A","Dates=H","DateFormat=P","Fill=—","Direction=H","UseDPDF=Y")</f>
        <v>52.380099999999999</v>
      </c>
      <c r="L32" s="14" t="str">
        <f>_xll.BDH("AMGN US Equity","NET_CHANGE_IN_CASH_1_YEAR_GROWTH","FQ1 2021","FQ1 2021","Currency=USD","Period=FQ","BEST_FPERIOD_OVERRIDE=FQ","FILING_STATUS=MR","Sort=A","Dates=H","DateFormat=P","Fill=—","Direction=H","UseDPDF=Y")</f>
        <v>—</v>
      </c>
      <c r="M32" s="14">
        <f>_xll.BDH("AMGN US Equity","NET_CHANGE_IN_CASH_1_YEAR_GROWTH","FQ2 2021","FQ2 2021","Currency=USD","Period=FQ","BEST_FPERIOD_OVERRIDE=FQ","FILING_STATUS=MR","Sort=A","Dates=H","DateFormat=P","Fill=—","Direction=H","UseDPDF=Y")</f>
        <v>-64.471900000000005</v>
      </c>
      <c r="N32" s="14" t="str">
        <f>_xll.BDH("AMGN US Equity","NET_CHANGE_IN_CASH_1_YEAR_GROWTH","FQ3 2021","FQ3 2021","Currency=USD","Period=FQ","BEST_FPERIOD_OVERRIDE=FQ","FILING_STATUS=MR","Sort=A","Dates=H","DateFormat=P","Fill=—","Direction=H","UseDPDF=Y")</f>
        <v>—</v>
      </c>
      <c r="O32" s="14">
        <f>_xll.BDH("AMGN US Equity","NET_CHANGE_IN_CASH_1_YEAR_GROWTH","FQ4 2021","FQ4 2021","Currency=USD","Period=FQ","BEST_FPERIOD_OVERRIDE=FQ","FILING_STATUS=MR","Sort=A","Dates=H","DateFormat=P","Fill=—","Direction=H","UseDPDF=Y")</f>
        <v>-55.408000000000001</v>
      </c>
      <c r="P32" s="14">
        <f>_xll.BDH("AMGN US Equity","NET_CHANGE_IN_CASH_1_YEAR_GROWTH","FQ1 2022","FQ1 2022","Currency=USD","Period=FQ","BEST_FPERIOD_OVERRIDE=FQ","FILING_STATUS=MR","Sort=A","Dates=H","DateFormat=P","Fill=—","Direction=H","UseDPDF=Y")</f>
        <v>-848.70129999999995</v>
      </c>
      <c r="Q32" s="14" t="str">
        <f>_xll.BDH("AMGN US Equity","NET_CHANGE_IN_CASH_1_YEAR_GROWTH","FQ2 2022","FQ2 2022","Currency=USD","Period=FQ","BEST_FPERIOD_OVERRIDE=FQ","FILING_STATUS=MR","Sort=A","Dates=H","DateFormat=P","Fill=—","Direction=H","UseDPDF=Y")</f>
        <v>—</v>
      </c>
      <c r="R32" s="14">
        <f>_xll.BDH("AMGN US Equity","NET_CHANGE_IN_CASH_1_YEAR_GROWTH","FQ3 2022","FQ3 2022","Currency=USD","Period=FQ","BEST_FPERIOD_OVERRIDE=FQ","FILING_STATUS=MR","Sort=A","Dates=H","DateFormat=P","Fill=—","Direction=H","UseDPDF=Y")</f>
        <v>-19.479299999999999</v>
      </c>
      <c r="S32" s="14">
        <f>_xll.BDH("AMGN US Equity","NET_CHANGE_IN_CASH_1_YEAR_GROWTH","FQ4 2022","FQ4 2022","Currency=USD","Period=FQ","BEST_FPERIOD_OVERRIDE=FQ","FILING_STATUS=MR","Sort=A","Dates=H","DateFormat=P","Fill=—","Direction=H","UseDPDF=Y")</f>
        <v>52.939700000000002</v>
      </c>
      <c r="T32" s="14" t="str">
        <f>_xll.BDH("AMGN US Equity","NET_CHANGE_IN_CASH_1_YEAR_GROWTH","FQ1 2023","FQ1 2023","Currency=USD","Period=FQ","BEST_FPERIOD_OVERRIDE=FQ","FILING_STATUS=MR","Sort=A","Dates=H","DateFormat=P","Fill=—","Direction=H","UseDPDF=Y")</f>
        <v>—</v>
      </c>
      <c r="U32" s="14" t="str">
        <f>_xll.BDH("AMGN US Equity","NET_CHANGE_IN_CASH_1_YEAR_GROWTH","FQ2 2023","FQ2 2023","Currency=USD","Period=FQ","BEST_FPERIOD_OVERRIDE=FQ","FILING_STATUS=MR","Sort=A","Dates=H","DateFormat=P","Fill=—","Direction=H","UseDPDF=Y")</f>
        <v>—</v>
      </c>
      <c r="V32" s="14">
        <f>_xll.BDH("AMGN US Equity","NET_CHANGE_IN_CASH_1_YEAR_GROWTH","FQ3 2023","FQ3 2023","Currency=USD","Period=FQ","BEST_FPERIOD_OVERRIDE=FQ","FILING_STATUS=MR","Sort=A","Dates=H","DateFormat=P","Fill=—","Direction=H","UseDPDF=Y")</f>
        <v>-88.532200000000003</v>
      </c>
      <c r="W32" s="14">
        <f>_xll.BDH("AMGN US Equity","NET_CHANGE_IN_CASH_1_YEAR_GROWTH","FQ4 2023","FQ4 2023","Currency=USD","Period=FQ","BEST_FPERIOD_OVERRIDE=FQ","FILING_STATUS=MR","Sort=A","Dates=H","DateFormat=P","Fill=—","Direction=H","UseDPDF=Y")</f>
        <v>-1170.5286000000001</v>
      </c>
      <c r="X32" s="14" t="str">
        <f>_xll.BDH("AMGN US Equity","NET_CHANGE_IN_CASH_1_YEAR_GROWTH","FQ1 2024","FQ1 2024","Currency=USD","Period=FQ","BEST_FPERIOD_OVERRIDE=FQ","FILING_STATUS=MR","Sort=A","Dates=H","DateFormat=P","Fill=—","Direction=H","UseDPDF=Y")</f>
        <v>—</v>
      </c>
      <c r="Y32" s="14" t="str">
        <f>_xll.BDH("AMGN US Equity","NET_CHANGE_IN_CASH_1_YEAR_GROWTH","FQ2 2024","FQ2 2024","Currency=USD","Period=FQ","BEST_FPERIOD_OVERRIDE=FQ","FILING_STATUS=MR","Sort=A","Dates=H","DateFormat=P","Fill=—","Direction=H","UseDPDF=Y")</f>
        <v>—</v>
      </c>
      <c r="Z32" s="14" t="str">
        <f>_xll.BDH("AMGN US Equity","NET_CHANGE_IN_CASH_1_YEAR_GROWTH","FQ3 2024","FQ3 2024","Currency=USD","Period=FQ","BEST_FPERIOD_OVERRIDE=FQ","FILING_STATUS=MR","Sort=A","Dates=H","DateFormat=P","Fill=—","Direction=H","UseDPDF=Y")</f>
        <v>—</v>
      </c>
      <c r="AA32" s="14" t="str">
        <f>_xll.BDH("AMGN US Equity","NET_CHANGE_IN_CASH_1_YEAR_GROWTH","FQ4 2024","FQ4 2024","Currency=USD","Period=FQ","BEST_FPERIOD_OVERRIDE=FQ","FILING_STATUS=MR","Sort=A","Dates=H","DateFormat=P","Fill=—","Direction=H","UseDPDF=Y")</f>
        <v>—</v>
      </c>
    </row>
    <row r="33" spans="1:27" x14ac:dyDescent="0.25">
      <c r="A33" s="10" t="s">
        <v>88</v>
      </c>
      <c r="B33" s="10" t="s">
        <v>1503</v>
      </c>
      <c r="C33" s="14">
        <f>_xll.BDH("AMGN US Equity","FREE_CASH_FLOW_1_YEAR_GROWTH","FQ4 2018","FQ4 2018","Currency=USD","Period=FQ","BEST_FPERIOD_OVERRIDE=FQ","FILING_STATUS=MR","Sort=A","Dates=H","DateFormat=P","Fill=—","Direction=H","UseDPDF=Y")</f>
        <v>3.8475000000000001</v>
      </c>
      <c r="D33" s="14">
        <f>_xll.BDH("AMGN US Equity","FREE_CASH_FLOW_1_YEAR_GROWTH","FQ1 2019","FQ1 2019","Currency=USD","Period=FQ","BEST_FPERIOD_OVERRIDE=FQ","FILING_STATUS=MR","Sort=A","Dates=H","DateFormat=P","Fill=—","Direction=H","UseDPDF=Y")</f>
        <v>-32.776000000000003</v>
      </c>
      <c r="E33" s="14">
        <f>_xll.BDH("AMGN US Equity","FREE_CASH_FLOW_1_YEAR_GROWTH","FQ2 2019","FQ2 2019","Currency=USD","Period=FQ","BEST_FPERIOD_OVERRIDE=FQ","FILING_STATUS=MR","Sort=A","Dates=H","DateFormat=P","Fill=—","Direction=H","UseDPDF=Y")</f>
        <v>-33.6815</v>
      </c>
      <c r="F33" s="14">
        <f>_xll.BDH("AMGN US Equity","FREE_CASH_FLOW_1_YEAR_GROWTH","FQ3 2019","FQ3 2019","Currency=USD","Period=FQ","BEST_FPERIOD_OVERRIDE=FQ","FILING_STATUS=MR","Sort=A","Dates=H","DateFormat=P","Fill=—","Direction=H","UseDPDF=Y")</f>
        <v>3.3849</v>
      </c>
      <c r="G33" s="14">
        <f>_xll.BDH("AMGN US Equity","FREE_CASH_FLOW_1_YEAR_GROWTH","FQ4 2019","FQ4 2019","Currency=USD","Period=FQ","BEST_FPERIOD_OVERRIDE=FQ","FILING_STATUS=MR","Sort=A","Dates=H","DateFormat=P","Fill=—","Direction=H","UseDPDF=Y")</f>
        <v>-21.6571</v>
      </c>
      <c r="H33" s="14">
        <f>_xll.BDH("AMGN US Equity","FREE_CASH_FLOW_1_YEAR_GROWTH","FQ1 2020","FQ1 2020","Currency=USD","Period=FQ","BEST_FPERIOD_OVERRIDE=FQ","FILING_STATUS=MR","Sort=A","Dates=H","DateFormat=P","Fill=—","Direction=H","UseDPDF=Y")</f>
        <v>15.2111</v>
      </c>
      <c r="I33" s="14">
        <f>_xll.BDH("AMGN US Equity","FREE_CASH_FLOW_1_YEAR_GROWTH","FQ2 2020","FQ2 2020","Currency=USD","Period=FQ","BEST_FPERIOD_OVERRIDE=FQ","FILING_STATUS=MR","Sort=A","Dates=H","DateFormat=P","Fill=—","Direction=H","UseDPDF=Y")</f>
        <v>111.3386</v>
      </c>
      <c r="J33" s="14">
        <f>_xll.BDH("AMGN US Equity","FREE_CASH_FLOW_1_YEAR_GROWTH","FQ3 2020","FQ3 2020","Currency=USD","Period=FQ","BEST_FPERIOD_OVERRIDE=FQ","FILING_STATUS=MR","Sort=A","Dates=H","DateFormat=P","Fill=—","Direction=H","UseDPDF=Y")</f>
        <v>0.81069999999999998</v>
      </c>
      <c r="K33" s="14">
        <f>_xll.BDH("AMGN US Equity","FREE_CASH_FLOW_1_YEAR_GROWTH","FQ4 2020","FQ4 2020","Currency=USD","Period=FQ","BEST_FPERIOD_OVERRIDE=FQ","FILING_STATUS=MR","Sort=A","Dates=H","DateFormat=P","Fill=—","Direction=H","UseDPDF=Y")</f>
        <v>-3.6972999999999998</v>
      </c>
      <c r="L33" s="14">
        <f>_xll.BDH("AMGN US Equity","FREE_CASH_FLOW_1_YEAR_GROWTH","FQ1 2021","FQ1 2021","Currency=USD","Period=FQ","BEST_FPERIOD_OVERRIDE=FQ","FILING_STATUS=MR","Sort=A","Dates=H","DateFormat=P","Fill=—","Direction=H","UseDPDF=Y")</f>
        <v>-2.7107999999999999</v>
      </c>
      <c r="M33" s="14">
        <f>_xll.BDH("AMGN US Equity","FREE_CASH_FLOW_1_YEAR_GROWTH","FQ2 2021","FQ2 2021","Currency=USD","Period=FQ","BEST_FPERIOD_OVERRIDE=FQ","FILING_STATUS=MR","Sort=A","Dates=H","DateFormat=P","Fill=—","Direction=H","UseDPDF=Y")</f>
        <v>-34.947800000000001</v>
      </c>
      <c r="N33" s="14">
        <f>_xll.BDH("AMGN US Equity","FREE_CASH_FLOW_1_YEAR_GROWTH","FQ3 2021","FQ3 2021","Currency=USD","Period=FQ","BEST_FPERIOD_OVERRIDE=FQ","FILING_STATUS=MR","Sort=A","Dates=H","DateFormat=P","Fill=—","Direction=H","UseDPDF=Y")</f>
        <v>-32.694099999999999</v>
      </c>
      <c r="O33" s="14">
        <f>_xll.BDH("AMGN US Equity","FREE_CASH_FLOW_1_YEAR_GROWTH","FQ4 2021","FQ4 2021","Currency=USD","Period=FQ","BEST_FPERIOD_OVERRIDE=FQ","FILING_STATUS=MR","Sort=A","Dates=H","DateFormat=P","Fill=—","Direction=H","UseDPDF=Y")</f>
        <v>12.544600000000001</v>
      </c>
      <c r="P33" s="14">
        <f>_xll.BDH("AMGN US Equity","FREE_CASH_FLOW_1_YEAR_GROWTH","FQ1 2022","FQ1 2022","Currency=USD","Period=FQ","BEST_FPERIOD_OVERRIDE=FQ","FILING_STATUS=MR","Sort=A","Dates=H","DateFormat=P","Fill=—","Direction=H","UseDPDF=Y")</f>
        <v>1.8575999999999999</v>
      </c>
      <c r="Q33" s="14">
        <f>_xll.BDH("AMGN US Equity","FREE_CASH_FLOW_1_YEAR_GROWTH","FQ2 2022","FQ2 2022","Currency=USD","Period=FQ","BEST_FPERIOD_OVERRIDE=FQ","FILING_STATUS=MR","Sort=A","Dates=H","DateFormat=P","Fill=—","Direction=H","UseDPDF=Y")</f>
        <v>-3.5510000000000002</v>
      </c>
      <c r="R33" s="14">
        <f>_xll.BDH("AMGN US Equity","FREE_CASH_FLOW_1_YEAR_GROWTH","FQ3 2022","FQ3 2022","Currency=USD","Period=FQ","BEST_FPERIOD_OVERRIDE=FQ","FILING_STATUS=MR","Sort=A","Dates=H","DateFormat=P","Fill=—","Direction=H","UseDPDF=Y")</f>
        <v>29.503699999999998</v>
      </c>
      <c r="S33" s="14">
        <f>_xll.BDH("AMGN US Equity","FREE_CASH_FLOW_1_YEAR_GROWTH","FQ4 2022","FQ4 2022","Currency=USD","Period=FQ","BEST_FPERIOD_OVERRIDE=FQ","FILING_STATUS=MR","Sort=A","Dates=H","DateFormat=P","Fill=—","Direction=H","UseDPDF=Y")</f>
        <v>-8.4093999999999998</v>
      </c>
      <c r="T33" s="14">
        <f>_xll.BDH("AMGN US Equity","FREE_CASH_FLOW_1_YEAR_GROWTH","FQ1 2023","FQ1 2023","Currency=USD","Period=FQ","BEST_FPERIOD_OVERRIDE=FQ","FILING_STATUS=MR","Sort=A","Dates=H","DateFormat=P","Fill=—","Direction=H","UseDPDF=Y")</f>
        <v>-63.525799999999997</v>
      </c>
      <c r="U33" s="14">
        <f>_xll.BDH("AMGN US Equity","FREE_CASH_FLOW_1_YEAR_GROWTH","FQ2 2023","FQ2 2023","Currency=USD","Period=FQ","BEST_FPERIOD_OVERRIDE=FQ","FILING_STATUS=MR","Sort=A","Dates=H","DateFormat=P","Fill=—","Direction=H","UseDPDF=Y")</f>
        <v>127.9097</v>
      </c>
      <c r="V33" s="14">
        <f>_xll.BDH("AMGN US Equity","FREE_CASH_FLOW_1_YEAR_GROWTH","FQ3 2023","FQ3 2023","Currency=USD","Period=FQ","BEST_FPERIOD_OVERRIDE=FQ","FILING_STATUS=MR","Sort=A","Dates=H","DateFormat=P","Fill=—","Direction=H","UseDPDF=Y")</f>
        <v>-10.8588</v>
      </c>
      <c r="W33" s="14">
        <f>_xll.BDH("AMGN US Equity","FREE_CASH_FLOW_1_YEAR_GROWTH","FQ4 2023","FQ4 2023","Currency=USD","Period=FQ","BEST_FPERIOD_OVERRIDE=FQ","FILING_STATUS=MR","Sort=A","Dates=H","DateFormat=P","Fill=—","Direction=H","UseDPDF=Y")</f>
        <v>-87.483800000000002</v>
      </c>
      <c r="X33" s="14">
        <f>_xll.BDH("AMGN US Equity","FREE_CASH_FLOW_1_YEAR_GROWTH","FQ1 2024","FQ1 2024","Currency=USD","Period=FQ","BEST_FPERIOD_OVERRIDE=FQ","FILING_STATUS=MR","Sort=A","Dates=H","DateFormat=P","Fill=—","Direction=H","UseDPDF=Y")</f>
        <v>-36.25</v>
      </c>
      <c r="Y33" s="14">
        <f>_xll.BDH("AMGN US Equity","FREE_CASH_FLOW_1_YEAR_GROWTH","FQ2 2024","FQ2 2024","Currency=USD","Period=FQ","BEST_FPERIOD_OVERRIDE=FQ","FILING_STATUS=MR","Sort=A","Dates=H","DateFormat=P","Fill=—","Direction=H","UseDPDF=Y")</f>
        <v>-42.131300000000003</v>
      </c>
      <c r="Z33" s="14">
        <f>_xll.BDH("AMGN US Equity","FREE_CASH_FLOW_1_YEAR_GROWTH","FQ3 2024","FQ3 2024","Currency=USD","Period=FQ","BEST_FPERIOD_OVERRIDE=FQ","FILING_STATUS=MR","Sort=A","Dates=H","DateFormat=P","Fill=—","Direction=H","UseDPDF=Y")</f>
        <v>31.9268</v>
      </c>
      <c r="AA33" s="14">
        <f>_xll.BDH("AMGN US Equity","FREE_CASH_FLOW_1_YEAR_GROWTH","FQ4 2024","FQ4 2024","Currency=USD","Period=FQ","BEST_FPERIOD_OVERRIDE=FQ","FILING_STATUS=MR","Sort=A","Dates=H","DateFormat=P","Fill=—","Direction=H","UseDPDF=Y")</f>
        <v>1422.4912999999999</v>
      </c>
    </row>
    <row r="34" spans="1:27" x14ac:dyDescent="0.25">
      <c r="A34" s="10" t="s">
        <v>1504</v>
      </c>
      <c r="B34" s="10" t="s">
        <v>1505</v>
      </c>
      <c r="C34" s="14">
        <f>_xll.BDH("AMGN US Equity","CASH_FLOW_TO_FIRM_1_YEAR_GROWTH","FQ4 2018","FQ4 2018","Currency=USD","Period=FQ","BEST_FPERIOD_OVERRIDE=FQ","FILING_STATUS=MR","FA_ADJUSTED=GAAP","Sort=A","Dates=H","DateFormat=P","Fill=—","Direction=H","UseDPDF=Y")</f>
        <v>47.7117</v>
      </c>
      <c r="D34" s="14">
        <f>_xll.BDH("AMGN US Equity","CASH_FLOW_TO_FIRM_1_YEAR_GROWTH","FQ1 2019","FQ1 2019","Currency=USD","Period=FQ","BEST_FPERIOD_OVERRIDE=FQ","FILING_STATUS=MR","FA_ADJUSTED=GAAP","Sort=A","Dates=H","DateFormat=P","Fill=—","Direction=H","UseDPDF=Y")</f>
        <v>-29.2531</v>
      </c>
      <c r="E34" s="14">
        <f>_xll.BDH("AMGN US Equity","CASH_FLOW_TO_FIRM_1_YEAR_GROWTH","FQ2 2019","FQ2 2019","Currency=USD","Period=FQ","BEST_FPERIOD_OVERRIDE=FQ","FILING_STATUS=MR","FA_ADJUSTED=GAAP","Sort=A","Dates=H","DateFormat=P","Fill=—","Direction=H","UseDPDF=Y")</f>
        <v>-29.414999999999999</v>
      </c>
      <c r="F34" s="14">
        <f>_xll.BDH("AMGN US Equity","CASH_FLOW_TO_FIRM_1_YEAR_GROWTH","FQ3 2019","FQ3 2019","Currency=USD","Period=FQ","BEST_FPERIOD_OVERRIDE=FQ","FILING_STATUS=MR","FA_ADJUSTED=GAAP","Sort=A","Dates=H","DateFormat=P","Fill=—","Direction=H","UseDPDF=Y")</f>
        <v>1.6545000000000001</v>
      </c>
      <c r="G34" s="14">
        <f>_xll.BDH("AMGN US Equity","CASH_FLOW_TO_FIRM_1_YEAR_GROWTH","FQ4 2019","FQ4 2019","Currency=USD","Period=FQ","BEST_FPERIOD_OVERRIDE=FQ","FILING_STATUS=MR","FA_ADJUSTED=GAAP","Sort=A","Dates=H","DateFormat=P","Fill=—","Direction=H","UseDPDF=Y")</f>
        <v>-20.889700000000001</v>
      </c>
      <c r="H34" s="14">
        <f>_xll.BDH("AMGN US Equity","CASH_FLOW_TO_FIRM_1_YEAR_GROWTH","FQ1 2020","FQ1 2020","Currency=USD","Period=FQ","BEST_FPERIOD_OVERRIDE=FQ","FILING_STATUS=MR","FA_ADJUSTED=GAAP","Sort=A","Dates=H","DateFormat=P","Fill=—","Direction=H","UseDPDF=Y")</f>
        <v>14.3126</v>
      </c>
      <c r="I34" s="14">
        <f>_xll.BDH("AMGN US Equity","CASH_FLOW_TO_FIRM_1_YEAR_GROWTH","FQ2 2020","FQ2 2020","Currency=USD","Period=FQ","BEST_FPERIOD_OVERRIDE=FQ","FILING_STATUS=MR","FA_ADJUSTED=GAAP","Sort=A","Dates=H","DateFormat=P","Fill=—","Direction=H","UseDPDF=Y")</f>
        <v>83.055999999999997</v>
      </c>
      <c r="J34" s="14">
        <f>_xll.BDH("AMGN US Equity","CASH_FLOW_TO_FIRM_1_YEAR_GROWTH","FQ3 2020","FQ3 2020","Currency=USD","Period=FQ","BEST_FPERIOD_OVERRIDE=FQ","FILING_STATUS=MR","FA_ADJUSTED=GAAP","Sort=A","Dates=H","DateFormat=P","Fill=—","Direction=H","UseDPDF=Y")</f>
        <v>-7.8200000000000006E-2</v>
      </c>
      <c r="K34" s="14">
        <f>_xll.BDH("AMGN US Equity","CASH_FLOW_TO_FIRM_1_YEAR_GROWTH","FQ4 2020","FQ4 2020","Currency=USD","Period=FQ","BEST_FPERIOD_OVERRIDE=FQ","FILING_STATUS=MR","FA_ADJUSTED=GAAP","Sort=A","Dates=H","DateFormat=P","Fill=—","Direction=H","UseDPDF=Y")</f>
        <v>-3.0977999999999999</v>
      </c>
      <c r="L34" s="14">
        <f>_xll.BDH("AMGN US Equity","CASH_FLOW_TO_FIRM_1_YEAR_GROWTH","FQ1 2021","FQ1 2021","Currency=USD","Period=FQ","BEST_FPERIOD_OVERRIDE=FQ","FILING_STATUS=MR","FA_ADJUSTED=GAAP","Sort=A","Dates=H","DateFormat=P","Fill=—","Direction=H","UseDPDF=Y")</f>
        <v>-3.6778</v>
      </c>
      <c r="M34" s="14">
        <f>_xll.BDH("AMGN US Equity","CASH_FLOW_TO_FIRM_1_YEAR_GROWTH","FQ2 2021","FQ2 2021","Currency=USD","Period=FQ","BEST_FPERIOD_OVERRIDE=FQ","FILING_STATUS=MR","FA_ADJUSTED=GAAP","Sort=A","Dates=H","DateFormat=P","Fill=—","Direction=H","UseDPDF=Y")</f>
        <v>-30.282399999999999</v>
      </c>
      <c r="N34" s="14">
        <f>_xll.BDH("AMGN US Equity","CASH_FLOW_TO_FIRM_1_YEAR_GROWTH","FQ3 2021","FQ3 2021","Currency=USD","Period=FQ","BEST_FPERIOD_OVERRIDE=FQ","FILING_STATUS=MR","FA_ADJUSTED=GAAP","Sort=A","Dates=H","DateFormat=P","Fill=—","Direction=H","UseDPDF=Y")</f>
        <v>-26.5565</v>
      </c>
      <c r="O34" s="14">
        <f>_xll.BDH("AMGN US Equity","CASH_FLOW_TO_FIRM_1_YEAR_GROWTH","FQ4 2021","FQ4 2021","Currency=USD","Period=FQ","BEST_FPERIOD_OVERRIDE=FQ","FILING_STATUS=MR","FA_ADJUSTED=GAAP","Sort=A","Dates=H","DateFormat=P","Fill=—","Direction=H","UseDPDF=Y")</f>
        <v>15.63</v>
      </c>
      <c r="P34" s="14">
        <f>_xll.BDH("AMGN US Equity","CASH_FLOW_TO_FIRM_1_YEAR_GROWTH","FQ1 2022","FQ1 2022","Currency=USD","Period=FQ","BEST_FPERIOD_OVERRIDE=FQ","FILING_STATUS=MR","FA_ADJUSTED=GAAP","Sort=A","Dates=H","DateFormat=P","Fill=—","Direction=H","UseDPDF=Y")</f>
        <v>2.8573</v>
      </c>
      <c r="Q34" s="14">
        <f>_xll.BDH("AMGN US Equity","CASH_FLOW_TO_FIRM_1_YEAR_GROWTH","FQ2 2022","FQ2 2022","Currency=USD","Period=FQ","BEST_FPERIOD_OVERRIDE=FQ","FILING_STATUS=MR","FA_ADJUSTED=GAAP","Sort=A","Dates=H","DateFormat=P","Fill=—","Direction=H","UseDPDF=Y")</f>
        <v>2.1939000000000002</v>
      </c>
      <c r="R34" s="14">
        <f>_xll.BDH("AMGN US Equity","CASH_FLOW_TO_FIRM_1_YEAR_GROWTH","FQ3 2022","FQ3 2022","Currency=USD","Period=FQ","BEST_FPERIOD_OVERRIDE=FQ","FILING_STATUS=MR","FA_ADJUSTED=GAAP","Sort=A","Dates=H","DateFormat=P","Fill=—","Direction=H","UseDPDF=Y")</f>
        <v>23.57</v>
      </c>
      <c r="S34" s="14">
        <f>_xll.BDH("AMGN US Equity","CASH_FLOW_TO_FIRM_1_YEAR_GROWTH","FQ4 2022","FQ4 2022","Currency=USD","Period=FQ","BEST_FPERIOD_OVERRIDE=FQ","FILING_STATUS=MR","FA_ADJUSTED=GAAP","Sort=A","Dates=H","DateFormat=P","Fill=—","Direction=H","UseDPDF=Y")</f>
        <v>-2.3778000000000001</v>
      </c>
      <c r="T34" s="14">
        <f>_xll.BDH("AMGN US Equity","CASH_FLOW_TO_FIRM_1_YEAR_GROWTH","FQ1 2023","FQ1 2023","Currency=USD","Period=FQ","BEST_FPERIOD_OVERRIDE=FQ","FILING_STATUS=MR","FA_ADJUSTED=GAAP","Sort=A","Dates=H","DateFormat=P","Fill=—","Direction=H","UseDPDF=Y")</f>
        <v>-37.614800000000002</v>
      </c>
      <c r="U34" s="14">
        <f>_xll.BDH("AMGN US Equity","CASH_FLOW_TO_FIRM_1_YEAR_GROWTH","FQ2 2023","FQ2 2023","Currency=USD","Period=FQ","BEST_FPERIOD_OVERRIDE=FQ","FILING_STATUS=MR","FA_ADJUSTED=GAAP","Sort=A","Dates=H","DateFormat=P","Fill=—","Direction=H","UseDPDF=Y")</f>
        <v>114.7911</v>
      </c>
      <c r="V34" s="14">
        <f>_xll.BDH("AMGN US Equity","CASH_FLOW_TO_FIRM_1_YEAR_GROWTH","FQ3 2023","FQ3 2023","Currency=USD","Period=FQ","BEST_FPERIOD_OVERRIDE=FQ","FILING_STATUS=MR","FA_ADJUSTED=GAAP","Sort=A","Dates=H","DateFormat=P","Fill=—","Direction=H","UseDPDF=Y")</f>
        <v>3.8309000000000002</v>
      </c>
      <c r="W34" s="14">
        <f>_xll.BDH("AMGN US Equity","CASH_FLOW_TO_FIRM_1_YEAR_GROWTH","FQ4 2023","FQ4 2023","Currency=USD","Period=FQ","BEST_FPERIOD_OVERRIDE=FQ","FILING_STATUS=MR","FA_ADJUSTED=GAAP","Sort=A","Dates=H","DateFormat=P","Fill=—","Direction=H","UseDPDF=Y")</f>
        <v>-57.8887</v>
      </c>
      <c r="X34" s="14">
        <f>_xll.BDH("AMGN US Equity","CASH_FLOW_TO_FIRM_1_YEAR_GROWTH","FQ1 2024","FQ1 2024","Currency=USD","Period=FQ","BEST_FPERIOD_OVERRIDE=FQ","FILING_STATUS=MR","FA_ADJUSTED=GAAP","Sort=A","Dates=H","DateFormat=P","Fill=—","Direction=H","UseDPDF=Y")</f>
        <v>-7.2451999999999996</v>
      </c>
      <c r="Y34" s="14">
        <f>_xll.BDH("AMGN US Equity","CASH_FLOW_TO_FIRM_1_YEAR_GROWTH","FQ2 2024","FQ2 2024","Currency=USD","Period=FQ","BEST_FPERIOD_OVERRIDE=FQ","FILING_STATUS=MR","FA_ADJUSTED=GAAP","Sort=A","Dates=H","DateFormat=P","Fill=—","Direction=H","UseDPDF=Y")</f>
        <v>-32.270899999999997</v>
      </c>
      <c r="Z34" s="14">
        <f>_xll.BDH("AMGN US Equity","CASH_FLOW_TO_FIRM_1_YEAR_GROWTH","FQ3 2024","FQ3 2024","Currency=USD","Period=FQ","BEST_FPERIOD_OVERRIDE=FQ","FILING_STATUS=MR","FA_ADJUSTED=GAAP","Sort=A","Dates=H","DateFormat=P","Fill=—","Direction=H","UseDPDF=Y")</f>
        <v>24.5975</v>
      </c>
      <c r="AA34" s="14">
        <f>_xll.BDH("AMGN US Equity","CASH_FLOW_TO_FIRM_1_YEAR_GROWTH","FQ4 2024","FQ4 2024","Currency=USD","Period=FQ","BEST_FPERIOD_OVERRIDE=FQ","FILING_STATUS=MR","FA_ADJUSTED=GAAP","Sort=A","Dates=H","DateFormat=P","Fill=—","Direction=H","UseDPDF=Y")</f>
        <v>320.48140000000001</v>
      </c>
    </row>
    <row r="35" spans="1:27" x14ac:dyDescent="0.25">
      <c r="A35" s="10" t="s">
        <v>1348</v>
      </c>
      <c r="B35" s="10" t="s">
        <v>1506</v>
      </c>
      <c r="C35" s="14">
        <f>_xll.BDH("AMGN US Equity","FCF_TO_FIRM_1_YEAR_GROWTH","FQ4 2018","FQ4 2018","Currency=USD","Period=FQ","BEST_FPERIOD_OVERRIDE=FQ","FILING_STATUS=MR","FA_ADJUSTED=GAAP","Sort=A","Dates=H","DateFormat=P","Fill=—","Direction=H","UseDPDF=Y")</f>
        <v>47.756700000000002</v>
      </c>
      <c r="D35" s="14">
        <f>_xll.BDH("AMGN US Equity","FCF_TO_FIRM_1_YEAR_GROWTH","FQ1 2019","FQ1 2019","Currency=USD","Period=FQ","BEST_FPERIOD_OVERRIDE=FQ","FILING_STATUS=MR","FA_ADJUSTED=GAAP","Sort=A","Dates=H","DateFormat=P","Fill=—","Direction=H","UseDPDF=Y")</f>
        <v>-29.4741</v>
      </c>
      <c r="E35" s="14">
        <f>_xll.BDH("AMGN US Equity","FCF_TO_FIRM_1_YEAR_GROWTH","FQ2 2019","FQ2 2019","Currency=USD","Period=FQ","BEST_FPERIOD_OVERRIDE=FQ","FILING_STATUS=MR","FA_ADJUSTED=GAAP","Sort=A","Dates=H","DateFormat=P","Fill=—","Direction=H","UseDPDF=Y")</f>
        <v>-29.956800000000001</v>
      </c>
      <c r="F35" s="14">
        <f>_xll.BDH("AMGN US Equity","FCF_TO_FIRM_1_YEAR_GROWTH","FQ3 2019","FQ3 2019","Currency=USD","Period=FQ","BEST_FPERIOD_OVERRIDE=FQ","FILING_STATUS=MR","FA_ADJUSTED=GAAP","Sort=A","Dates=H","DateFormat=P","Fill=—","Direction=H","UseDPDF=Y")</f>
        <v>1.7665</v>
      </c>
      <c r="G35" s="14">
        <f>_xll.BDH("AMGN US Equity","FCF_TO_FIRM_1_YEAR_GROWTH","FQ4 2019","FQ4 2019","Currency=USD","Period=FQ","BEST_FPERIOD_OVERRIDE=FQ","FILING_STATUS=MR","FA_ADJUSTED=GAAP","Sort=A","Dates=H","DateFormat=P","Fill=—","Direction=H","UseDPDF=Y")</f>
        <v>-21.194600000000001</v>
      </c>
      <c r="H35" s="14">
        <f>_xll.BDH("AMGN US Equity","FCF_TO_FIRM_1_YEAR_GROWTH","FQ1 2020","FQ1 2020","Currency=USD","Period=FQ","BEST_FPERIOD_OVERRIDE=FQ","FILING_STATUS=MR","FA_ADJUSTED=GAAP","Sort=A","Dates=H","DateFormat=P","Fill=—","Direction=H","UseDPDF=Y")</f>
        <v>13.8484</v>
      </c>
      <c r="I35" s="14">
        <f>_xll.BDH("AMGN US Equity","FCF_TO_FIRM_1_YEAR_GROWTH","FQ2 2020","FQ2 2020","Currency=USD","Period=FQ","BEST_FPERIOD_OVERRIDE=FQ","FILING_STATUS=MR","FA_ADJUSTED=GAAP","Sort=A","Dates=H","DateFormat=P","Fill=—","Direction=H","UseDPDF=Y")</f>
        <v>89.859499999999997</v>
      </c>
      <c r="J35" s="14">
        <f>_xll.BDH("AMGN US Equity","FCF_TO_FIRM_1_YEAR_GROWTH","FQ3 2020","FQ3 2020","Currency=USD","Period=FQ","BEST_FPERIOD_OVERRIDE=FQ","FILING_STATUS=MR","FA_ADJUSTED=GAAP","Sort=A","Dates=H","DateFormat=P","Fill=—","Direction=H","UseDPDF=Y")</f>
        <v>0.92449999999999999</v>
      </c>
      <c r="K35" s="14">
        <f>_xll.BDH("AMGN US Equity","FCF_TO_FIRM_1_YEAR_GROWTH","FQ4 2020","FQ4 2020","Currency=USD","Period=FQ","BEST_FPERIOD_OVERRIDE=FQ","FILING_STATUS=MR","FA_ADJUSTED=GAAP","Sort=A","Dates=H","DateFormat=P","Fill=—","Direction=H","UseDPDF=Y")</f>
        <v>-2.7427999999999999</v>
      </c>
      <c r="L35" s="14">
        <f>_xll.BDH("AMGN US Equity","FCF_TO_FIRM_1_YEAR_GROWTH","FQ1 2021","FQ1 2021","Currency=USD","Period=FQ","BEST_FPERIOD_OVERRIDE=FQ","FILING_STATUS=MR","FA_ADJUSTED=GAAP","Sort=A","Dates=H","DateFormat=P","Fill=—","Direction=H","UseDPDF=Y")</f>
        <v>-4.9458000000000002</v>
      </c>
      <c r="M35" s="14">
        <f>_xll.BDH("AMGN US Equity","FCF_TO_FIRM_1_YEAR_GROWTH","FQ2 2021","FQ2 2021","Currency=USD","Period=FQ","BEST_FPERIOD_OVERRIDE=FQ","FILING_STATUS=MR","FA_ADJUSTED=GAAP","Sort=A","Dates=H","DateFormat=P","Fill=—","Direction=H","UseDPDF=Y")</f>
        <v>-32.822200000000002</v>
      </c>
      <c r="N35" s="14">
        <f>_xll.BDH("AMGN US Equity","FCF_TO_FIRM_1_YEAR_GROWTH","FQ3 2021","FQ3 2021","Currency=USD","Period=FQ","BEST_FPERIOD_OVERRIDE=FQ","FILING_STATUS=MR","FA_ADJUSTED=GAAP","Sort=A","Dates=H","DateFormat=P","Fill=—","Direction=H","UseDPDF=Y")</f>
        <v>-30.6267</v>
      </c>
      <c r="O35" s="14">
        <f>_xll.BDH("AMGN US Equity","FCF_TO_FIRM_1_YEAR_GROWTH","FQ4 2021","FQ4 2021","Currency=USD","Period=FQ","BEST_FPERIOD_OVERRIDE=FQ","FILING_STATUS=MR","FA_ADJUSTED=GAAP","Sort=A","Dates=H","DateFormat=P","Fill=—","Direction=H","UseDPDF=Y")</f>
        <v>12.170400000000001</v>
      </c>
      <c r="P35" s="14">
        <f>_xll.BDH("AMGN US Equity","FCF_TO_FIRM_1_YEAR_GROWTH","FQ1 2022","FQ1 2022","Currency=USD","Period=FQ","BEST_FPERIOD_OVERRIDE=FQ","FILING_STATUS=MR","FA_ADJUSTED=GAAP","Sort=A","Dates=H","DateFormat=P","Fill=—","Direction=H","UseDPDF=Y")</f>
        <v>1.9782</v>
      </c>
      <c r="Q35" s="14">
        <f>_xll.BDH("AMGN US Equity","FCF_TO_FIRM_1_YEAR_GROWTH","FQ2 2022","FQ2 2022","Currency=USD","Period=FQ","BEST_FPERIOD_OVERRIDE=FQ","FILING_STATUS=MR","FA_ADJUSTED=GAAP","Sort=A","Dates=H","DateFormat=P","Fill=—","Direction=H","UseDPDF=Y")</f>
        <v>-0.6825</v>
      </c>
      <c r="R35" s="14">
        <f>_xll.BDH("AMGN US Equity","FCF_TO_FIRM_1_YEAR_GROWTH","FQ3 2022","FQ3 2022","Currency=USD","Period=FQ","BEST_FPERIOD_OVERRIDE=FQ","FILING_STATUS=MR","FA_ADJUSTED=GAAP","Sort=A","Dates=H","DateFormat=P","Fill=—","Direction=H","UseDPDF=Y")</f>
        <v>29.2805</v>
      </c>
      <c r="S35" s="14">
        <f>_xll.BDH("AMGN US Equity","FCF_TO_FIRM_1_YEAR_GROWTH","FQ4 2022","FQ4 2022","Currency=USD","Period=FQ","BEST_FPERIOD_OVERRIDE=FQ","FILING_STATUS=MR","FA_ADJUSTED=GAAP","Sort=A","Dates=H","DateFormat=P","Fill=—","Direction=H","UseDPDF=Y")</f>
        <v>-4.4996</v>
      </c>
      <c r="T35" s="14">
        <f>_xll.BDH("AMGN US Equity","FCF_TO_FIRM_1_YEAR_GROWTH","FQ1 2023","FQ1 2023","Currency=USD","Period=FQ","BEST_FPERIOD_OVERRIDE=FQ","FILING_STATUS=MR","FA_ADJUSTED=GAAP","Sort=A","Dates=H","DateFormat=P","Fill=—","Direction=H","UseDPDF=Y")</f>
        <v>-47.707599999999999</v>
      </c>
      <c r="U35" s="14">
        <f>_xll.BDH("AMGN US Equity","FCF_TO_FIRM_1_YEAR_GROWTH","FQ2 2023","FQ2 2023","Currency=USD","Period=FQ","BEST_FPERIOD_OVERRIDE=FQ","FILING_STATUS=MR","FA_ADJUSTED=GAAP","Sort=A","Dates=H","DateFormat=P","Fill=—","Direction=H","UseDPDF=Y")</f>
        <v>127.88200000000001</v>
      </c>
      <c r="V35" s="14">
        <f>_xll.BDH("AMGN US Equity","FCF_TO_FIRM_1_YEAR_GROWTH","FQ3 2023","FQ3 2023","Currency=USD","Period=FQ","BEST_FPERIOD_OVERRIDE=FQ","FILING_STATUS=MR","FA_ADJUSTED=GAAP","Sort=A","Dates=H","DateFormat=P","Fill=—","Direction=H","UseDPDF=Y")</f>
        <v>1.2299</v>
      </c>
      <c r="W35" s="14">
        <f>_xll.BDH("AMGN US Equity","FCF_TO_FIRM_1_YEAR_GROWTH","FQ4 2023","FQ4 2023","Currency=USD","Period=FQ","BEST_FPERIOD_OVERRIDE=FQ","FILING_STATUS=MR","FA_ADJUSTED=GAAP","Sort=A","Dates=H","DateFormat=P","Fill=—","Direction=H","UseDPDF=Y")</f>
        <v>-61.8187</v>
      </c>
      <c r="X35" s="14">
        <f>_xll.BDH("AMGN US Equity","FCF_TO_FIRM_1_YEAR_GROWTH","FQ1 2024","FQ1 2024","Currency=USD","Period=FQ","BEST_FPERIOD_OVERRIDE=FQ","FILING_STATUS=MR","FA_ADJUSTED=GAAP","Sort=A","Dates=H","DateFormat=P","Fill=—","Direction=H","UseDPDF=Y")</f>
        <v>0.38</v>
      </c>
      <c r="Y35" s="14">
        <f>_xll.BDH("AMGN US Equity","FCF_TO_FIRM_1_YEAR_GROWTH","FQ2 2024","FQ2 2024","Currency=USD","Period=FQ","BEST_FPERIOD_OVERRIDE=FQ","FILING_STATUS=MR","FA_ADJUSTED=GAAP","Sort=A","Dates=H","DateFormat=P","Fill=—","Direction=H","UseDPDF=Y")</f>
        <v>-33.4863</v>
      </c>
      <c r="Z35" s="14">
        <f>_xll.BDH("AMGN US Equity","FCF_TO_FIRM_1_YEAR_GROWTH","FQ3 2024","FQ3 2024","Currency=USD","Period=FQ","BEST_FPERIOD_OVERRIDE=FQ","FILING_STATUS=MR","FA_ADJUSTED=GAAP","Sort=A","Dates=H","DateFormat=P","Fill=—","Direction=H","UseDPDF=Y")</f>
        <v>26.229500000000002</v>
      </c>
      <c r="AA35" s="14">
        <f>_xll.BDH("AMGN US Equity","FCF_TO_FIRM_1_YEAR_GROWTH","FQ4 2024","FQ4 2024","Currency=USD","Period=FQ","BEST_FPERIOD_OVERRIDE=FQ","FILING_STATUS=MR","FA_ADJUSTED=GAAP","Sort=A","Dates=H","DateFormat=P","Fill=—","Direction=H","UseDPDF=Y")</f>
        <v>386.23410000000001</v>
      </c>
    </row>
    <row r="36" spans="1:27" x14ac:dyDescent="0.25">
      <c r="A36" s="10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5">
      <c r="A37" s="6" t="s">
        <v>1507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x14ac:dyDescent="0.25">
      <c r="A38" s="10" t="s">
        <v>0</v>
      </c>
      <c r="B38" s="10" t="s">
        <v>1508</v>
      </c>
      <c r="C38" s="14">
        <f>_xll.BDH("AMGN US Equity","GEO_GROW_NET_SALES","FQ4 2018","FQ4 2018","Currency=USD","Period=FQ","BEST_FPERIOD_OVERRIDE=FQ","FILING_STATUS=MR","FA_ADJUSTED=GAAP","Sort=A","Dates=H","DateFormat=P","Fill=—","Direction=H","UseDPDF=Y")</f>
        <v>4.4509999999999996</v>
      </c>
      <c r="D38" s="14">
        <f>_xll.BDH("AMGN US Equity","GEO_GROW_NET_SALES","FQ1 2019","FQ1 2019","Currency=USD","Period=FQ","BEST_FPERIOD_OVERRIDE=FQ","FILING_STATUS=MR","FA_ADJUSTED=GAAP","Sort=A","Dates=H","DateFormat=P","Fill=—","Direction=H","UseDPDF=Y")</f>
        <v>4.2127999999999997</v>
      </c>
      <c r="E38" s="14">
        <f>_xll.BDH("AMGN US Equity","GEO_GROW_NET_SALES","FQ2 2019","FQ2 2019","Currency=USD","Period=FQ","BEST_FPERIOD_OVERRIDE=FQ","FILING_STATUS=MR","FA_ADJUSTED=GAAP","Sort=A","Dates=H","DateFormat=P","Fill=—","Direction=H","UseDPDF=Y")</f>
        <v>2.536</v>
      </c>
      <c r="F38" s="14">
        <f>_xll.BDH("AMGN US Equity","GEO_GROW_NET_SALES","FQ3 2019","FQ3 2019","Currency=USD","Period=FQ","BEST_FPERIOD_OVERRIDE=FQ","FILING_STATUS=MR","FA_ADJUSTED=GAAP","Sort=A","Dates=H","DateFormat=P","Fill=—","Direction=H","UseDPDF=Y")</f>
        <v>2.6610999999999998</v>
      </c>
      <c r="G38" s="14">
        <f>_xll.BDH("AMGN US Equity","GEO_GROW_NET_SALES","FQ4 2019","FQ4 2019","Currency=USD","Period=FQ","BEST_FPERIOD_OVERRIDE=FQ","FILING_STATUS=MR","FA_ADJUSTED=GAAP","Sort=A","Dates=H","DateFormat=P","Fill=—","Direction=H","UseDPDF=Y")</f>
        <v>3.0562999999999998</v>
      </c>
      <c r="H38" s="14">
        <f>_xll.BDH("AMGN US Equity","GEO_GROW_NET_SALES","FQ1 2020","FQ1 2020","Currency=USD","Period=FQ","BEST_FPERIOD_OVERRIDE=FQ","FILING_STATUS=MR","FA_ADJUSTED=GAAP","Sort=A","Dates=H","DateFormat=P","Fill=—","Direction=H","UseDPDF=Y")</f>
        <v>4.1273999999999997</v>
      </c>
      <c r="I38" s="14">
        <f>_xll.BDH("AMGN US Equity","GEO_GROW_NET_SALES","FQ2 2020","FQ2 2020","Currency=USD","Period=FQ","BEST_FPERIOD_OVERRIDE=FQ","FILING_STATUS=MR","FA_ADJUSTED=GAAP","Sort=A","Dates=H","DateFormat=P","Fill=—","Direction=H","UseDPDF=Y")</f>
        <v>2.9359999999999999</v>
      </c>
      <c r="J38" s="14">
        <f>_xll.BDH("AMGN US Equity","GEO_GROW_NET_SALES","FQ3 2020","FQ3 2020","Currency=USD","Period=FQ","BEST_FPERIOD_OVERRIDE=FQ","FILING_STATUS=MR","FA_ADJUSTED=GAAP","Sort=A","Dates=H","DateFormat=P","Fill=—","Direction=H","UseDPDF=Y")</f>
        <v>2.3347000000000002</v>
      </c>
      <c r="K38" s="14">
        <f>_xll.BDH("AMGN US Equity","GEO_GROW_NET_SALES","FQ4 2020","FQ4 2020","Currency=USD","Period=FQ","BEST_FPERIOD_OVERRIDE=FQ","FILING_STATUS=MR","FA_ADJUSTED=GAAP","Sort=A","Dates=H","DateFormat=P","Fill=—","Direction=H","UseDPDF=Y")</f>
        <v>3.6850000000000001</v>
      </c>
      <c r="L38" s="14">
        <f>_xll.BDH("AMGN US Equity","GEO_GROW_NET_SALES","FQ1 2021","FQ1 2021","Currency=USD","Period=FQ","BEST_FPERIOD_OVERRIDE=FQ","FILING_STATUS=MR","FA_ADJUSTED=GAAP","Sort=A","Dates=H","DateFormat=P","Fill=—","Direction=H","UseDPDF=Y")</f>
        <v>1.3181</v>
      </c>
      <c r="M38" s="14">
        <f>_xll.BDH("AMGN US Equity","GEO_GROW_NET_SALES","FQ2 2021","FQ2 2021","Currency=USD","Period=FQ","BEST_FPERIOD_OVERRIDE=FQ","FILING_STATUS=MR","FA_ADJUSTED=GAAP","Sort=A","Dates=H","DateFormat=P","Fill=—","Direction=H","UseDPDF=Y")</f>
        <v>2.7867999999999999</v>
      </c>
      <c r="N38" s="14">
        <f>_xll.BDH("AMGN US Equity","GEO_GROW_NET_SALES","FQ3 2021","FQ3 2021","Currency=USD","Period=FQ","BEST_FPERIOD_OVERRIDE=FQ","FILING_STATUS=MR","FA_ADJUSTED=GAAP","Sort=A","Dates=H","DateFormat=P","Fill=—","Direction=H","UseDPDF=Y")</f>
        <v>2.9064000000000001</v>
      </c>
      <c r="O38" s="14">
        <f>_xll.BDH("AMGN US Equity","GEO_GROW_NET_SALES","FQ4 2021","FQ4 2021","Currency=USD","Period=FQ","BEST_FPERIOD_OVERRIDE=FQ","FILING_STATUS=MR","FA_ADJUSTED=GAAP","Sort=A","Dates=H","DateFormat=P","Fill=—","Direction=H","UseDPDF=Y")</f>
        <v>2.7934000000000001</v>
      </c>
      <c r="P38" s="14">
        <f>_xll.BDH("AMGN US Equity","GEO_GROW_NET_SALES","FQ1 2022","FQ1 2022","Currency=USD","Period=FQ","BEST_FPERIOD_OVERRIDE=FQ","FILING_STATUS=MR","FA_ADJUSTED=GAAP","Sort=A","Dates=H","DateFormat=P","Fill=—","Direction=H","UseDPDF=Y")</f>
        <v>2.6850000000000001</v>
      </c>
      <c r="Q38" s="14">
        <f>_xll.BDH("AMGN US Equity","GEO_GROW_NET_SALES","FQ2 2022","FQ2 2022","Currency=USD","Period=FQ","BEST_FPERIOD_OVERRIDE=FQ","FILING_STATUS=MR","FA_ADJUSTED=GAAP","Sort=A","Dates=H","DateFormat=P","Fill=—","Direction=H","UseDPDF=Y")</f>
        <v>2.5638999999999998</v>
      </c>
      <c r="R38" s="14">
        <f>_xll.BDH("AMGN US Equity","GEO_GROW_NET_SALES","FQ3 2022","FQ3 2022","Currency=USD","Period=FQ","BEST_FPERIOD_OVERRIDE=FQ","FILING_STATUS=MR","FA_ADJUSTED=GAAP","Sort=A","Dates=H","DateFormat=P","Fill=—","Direction=H","UseDPDF=Y")</f>
        <v>2.8751000000000002</v>
      </c>
      <c r="S38" s="14">
        <f>_xll.BDH("AMGN US Equity","GEO_GROW_NET_SALES","FQ4 2022","FQ4 2022","Currency=USD","Period=FQ","BEST_FPERIOD_OVERRIDE=FQ","FILING_STATUS=MR","FA_ADJUSTED=GAAP","Sort=A","Dates=H","DateFormat=P","Fill=—","Direction=H","UseDPDF=Y")</f>
        <v>3.3435000000000001</v>
      </c>
      <c r="T38" s="14">
        <f>_xll.BDH("AMGN US Equity","GEO_GROW_NET_SALES","FQ1 2023","FQ1 2023","Currency=USD","Period=FQ","BEST_FPERIOD_OVERRIDE=FQ","FILING_STATUS=MR","FA_ADJUSTED=GAAP","Sort=A","Dates=H","DateFormat=P","Fill=—","Direction=H","UseDPDF=Y")</f>
        <v>1.9097999999999999</v>
      </c>
      <c r="U38" s="14">
        <f>_xll.BDH("AMGN US Equity","GEO_GROW_NET_SALES","FQ2 2023","FQ2 2023","Currency=USD","Period=FQ","BEST_FPERIOD_OVERRIDE=FQ","FILING_STATUS=MR","FA_ADJUSTED=GAAP","Sort=A","Dates=H","DateFormat=P","Fill=—","Direction=H","UseDPDF=Y")</f>
        <v>2.8881999999999999</v>
      </c>
      <c r="V38" s="14">
        <f>_xll.BDH("AMGN US Equity","GEO_GROW_NET_SALES","FQ3 2023","FQ3 2023","Currency=USD","Period=FQ","BEST_FPERIOD_OVERRIDE=FQ","FILING_STATUS=MR","FA_ADJUSTED=GAAP","Sort=A","Dates=H","DateFormat=P","Fill=—","Direction=H","UseDPDF=Y")</f>
        <v>3.1758999999999999</v>
      </c>
      <c r="W38" s="14">
        <f>_xll.BDH("AMGN US Equity","GEO_GROW_NET_SALES","FQ4 2023","FQ4 2023","Currency=USD","Period=FQ","BEST_FPERIOD_OVERRIDE=FQ","FILING_STATUS=MR","FA_ADJUSTED=GAAP","Sort=A","Dates=H","DateFormat=P","Fill=—","Direction=H","UseDPDF=Y")</f>
        <v>5.6386000000000003</v>
      </c>
      <c r="X38" s="14">
        <f>_xll.BDH("AMGN US Equity","GEO_GROW_NET_SALES","FQ1 2024","FQ1 2024","Currency=USD","Period=FQ","BEST_FPERIOD_OVERRIDE=FQ","FILING_STATUS=MR","FA_ADJUSTED=GAAP","Sort=A","Dates=H","DateFormat=P","Fill=—","Direction=H","UseDPDF=Y")</f>
        <v>6.0298999999999996</v>
      </c>
      <c r="Y38" s="14">
        <f>_xll.BDH("AMGN US Equity","GEO_GROW_NET_SALES","FQ2 2024","FQ2 2024","Currency=USD","Period=FQ","BEST_FPERIOD_OVERRIDE=FQ","FILING_STATUS=MR","FA_ADJUSTED=GAAP","Sort=A","Dates=H","DateFormat=P","Fill=—","Direction=H","UseDPDF=Y")</f>
        <v>7.3963000000000001</v>
      </c>
      <c r="Z38" s="14">
        <f>_xll.BDH("AMGN US Equity","GEO_GROW_NET_SALES","FQ3 2024","FQ3 2024","Currency=USD","Period=FQ","BEST_FPERIOD_OVERRIDE=FQ","FILING_STATUS=MR","FA_ADJUSTED=GAAP","Sort=A","Dates=H","DateFormat=P","Fill=—","Direction=H","UseDPDF=Y")</f>
        <v>8.1875999999999998</v>
      </c>
      <c r="AA38" s="14">
        <f>_xll.BDH("AMGN US Equity","GEO_GROW_NET_SALES","FQ4 2024","FQ4 2024","Currency=USD","Period=FQ","BEST_FPERIOD_OVERRIDE=FQ","FILING_STATUS=MR","FA_ADJUSTED=GAAP","Sort=A","Dates=H","DateFormat=P","Fill=—","Direction=H","UseDPDF=Y")</f>
        <v>7.9539</v>
      </c>
    </row>
    <row r="39" spans="1:27" x14ac:dyDescent="0.25">
      <c r="A39" s="10" t="s">
        <v>78</v>
      </c>
      <c r="B39" s="10" t="s">
        <v>1509</v>
      </c>
      <c r="C39" s="14">
        <f>_xll.BDH("AMGN US Equity","GEO_GROW_EBITDA","FQ4 2018","FQ4 2018","Currency=USD","Period=FQ","BEST_FPERIOD_OVERRIDE=FQ","FILING_STATUS=MR","FA_ADJUSTED=GAAP","Sort=A","Dates=H","DateFormat=P","Fill=—","Direction=H","UseDPDF=Y")</f>
        <v>11.9815</v>
      </c>
      <c r="D39" s="14">
        <f>_xll.BDH("AMGN US Equity","GEO_GROW_EBITDA","FQ1 2019","FQ1 2019","Currency=USD","Period=FQ","BEST_FPERIOD_OVERRIDE=FQ","FILING_STATUS=MR","FA_ADJUSTED=GAAP","Sort=A","Dates=H","DateFormat=P","Fill=—","Direction=H","UseDPDF=Y")</f>
        <v>9.8254000000000001</v>
      </c>
      <c r="E39" s="14">
        <f>_xll.BDH("AMGN US Equity","GEO_GROW_EBITDA","FQ2 2019","FQ2 2019","Currency=USD","Period=FQ","BEST_FPERIOD_OVERRIDE=FQ","FILING_STATUS=MR","FA_ADJUSTED=GAAP","Sort=A","Dates=H","DateFormat=P","Fill=—","Direction=H","UseDPDF=Y")</f>
        <v>5.9904999999999999</v>
      </c>
      <c r="F39" s="14">
        <f>_xll.BDH("AMGN US Equity","GEO_GROW_EBITDA","FQ3 2019","FQ3 2019","Currency=USD","Period=FQ","BEST_FPERIOD_OVERRIDE=FQ","FILING_STATUS=MR","FA_ADJUSTED=GAAP","Sort=A","Dates=H","DateFormat=P","Fill=—","Direction=H","UseDPDF=Y")</f>
        <v>8.5370000000000008</v>
      </c>
      <c r="G39" s="14">
        <f>_xll.BDH("AMGN US Equity","GEO_GROW_EBITDA","FQ4 2019","FQ4 2019","Currency=USD","Period=FQ","BEST_FPERIOD_OVERRIDE=FQ","FILING_STATUS=MR","FA_ADJUSTED=GAAP","Sort=A","Dates=H","DateFormat=P","Fill=—","Direction=H","UseDPDF=Y")</f>
        <v>7.11</v>
      </c>
      <c r="H39" s="14">
        <f>_xll.BDH("AMGN US Equity","GEO_GROW_EBITDA","FQ1 2020","FQ1 2020","Currency=USD","Period=FQ","BEST_FPERIOD_OVERRIDE=FQ","FILING_STATUS=MR","FA_ADJUSTED=GAAP","Sort=A","Dates=H","DateFormat=P","Fill=—","Direction=H","UseDPDF=Y")</f>
        <v>5.0167000000000002</v>
      </c>
      <c r="I39" s="14">
        <f>_xll.BDH("AMGN US Equity","GEO_GROW_EBITDA","FQ2 2020","FQ2 2020","Currency=USD","Period=FQ","BEST_FPERIOD_OVERRIDE=FQ","FILING_STATUS=MR","FA_ADJUSTED=GAAP","Sort=A","Dates=H","DateFormat=P","Fill=—","Direction=H","UseDPDF=Y")</f>
        <v>4.6234999999999999</v>
      </c>
      <c r="J39" s="14">
        <f>_xll.BDH("AMGN US Equity","GEO_GROW_EBITDA","FQ3 2020","FQ3 2020","Currency=USD","Period=FQ","BEST_FPERIOD_OVERRIDE=FQ","FILING_STATUS=MR","FA_ADJUSTED=GAAP","Sort=A","Dates=H","DateFormat=P","Fill=—","Direction=H","UseDPDF=Y")</f>
        <v>3.2235</v>
      </c>
      <c r="K39" s="14">
        <f>_xll.BDH("AMGN US Equity","GEO_GROW_EBITDA","FQ4 2020","FQ4 2020","Currency=USD","Period=FQ","BEST_FPERIOD_OVERRIDE=FQ","FILING_STATUS=MR","FA_ADJUSTED=GAAP","Sort=A","Dates=H","DateFormat=P","Fill=—","Direction=H","UseDPDF=Y")</f>
        <v>2.2711999999999999</v>
      </c>
      <c r="L39" s="14">
        <f>_xll.BDH("AMGN US Equity","GEO_GROW_EBITDA","FQ1 2021","FQ1 2021","Currency=USD","Period=FQ","BEST_FPERIOD_OVERRIDE=FQ","FILING_STATUS=MR","FA_ADJUSTED=GAAP","Sort=A","Dates=H","DateFormat=P","Fill=—","Direction=H","UseDPDF=Y")</f>
        <v>0.31950000000000001</v>
      </c>
      <c r="M39" s="14">
        <f>_xll.BDH("AMGN US Equity","GEO_GROW_EBITDA","FQ2 2021","FQ2 2021","Currency=USD","Period=FQ","BEST_FPERIOD_OVERRIDE=FQ","FILING_STATUS=MR","FA_ADJUSTED=GAAP","Sort=A","Dates=H","DateFormat=P","Fill=—","Direction=H","UseDPDF=Y")</f>
        <v>-10.3238</v>
      </c>
      <c r="N39" s="14">
        <f>_xll.BDH("AMGN US Equity","GEO_GROW_EBITDA","FQ3 2021","FQ3 2021","Currency=USD","Period=FQ","BEST_FPERIOD_OVERRIDE=FQ","FILING_STATUS=MR","FA_ADJUSTED=GAAP","Sort=A","Dates=H","DateFormat=P","Fill=—","Direction=H","UseDPDF=Y")</f>
        <v>1.2741</v>
      </c>
      <c r="O39" s="14">
        <f>_xll.BDH("AMGN US Equity","GEO_GROW_EBITDA","FQ4 2021","FQ4 2021","Currency=USD","Period=FQ","BEST_FPERIOD_OVERRIDE=FQ","FILING_STATUS=MR","FA_ADJUSTED=GAAP","Sort=A","Dates=H","DateFormat=P","Fill=—","Direction=H","UseDPDF=Y")</f>
        <v>0.72529999999999994</v>
      </c>
      <c r="P39" s="14">
        <f>_xll.BDH("AMGN US Equity","GEO_GROW_EBITDA","FQ1 2022","FQ1 2022","Currency=USD","Period=FQ","BEST_FPERIOD_OVERRIDE=FQ","FILING_STATUS=MR","FA_ADJUSTED=GAAP","Sort=A","Dates=H","DateFormat=P","Fill=—","Direction=H","UseDPDF=Y")</f>
        <v>1.4107000000000001</v>
      </c>
      <c r="Q39" s="14">
        <f>_xll.BDH("AMGN US Equity","GEO_GROW_EBITDA","FQ2 2022","FQ2 2022","Currency=USD","Period=FQ","BEST_FPERIOD_OVERRIDE=FQ","FILING_STATUS=MR","FA_ADJUSTED=GAAP","Sort=A","Dates=H","DateFormat=P","Fill=—","Direction=H","UseDPDF=Y")</f>
        <v>-1.3546</v>
      </c>
      <c r="R39" s="14">
        <f>_xll.BDH("AMGN US Equity","GEO_GROW_EBITDA","FQ3 2022","FQ3 2022","Currency=USD","Period=FQ","BEST_FPERIOD_OVERRIDE=FQ","FILING_STATUS=MR","FA_ADJUSTED=GAAP","Sort=A","Dates=H","DateFormat=P","Fill=—","Direction=H","UseDPDF=Y")</f>
        <v>3.7934000000000001</v>
      </c>
      <c r="S39" s="14">
        <f>_xll.BDH("AMGN US Equity","GEO_GROW_EBITDA","FQ4 2022","FQ4 2022","Currency=USD","Period=FQ","BEST_FPERIOD_OVERRIDE=FQ","FILING_STATUS=MR","FA_ADJUSTED=GAAP","Sort=A","Dates=H","DateFormat=P","Fill=—","Direction=H","UseDPDF=Y")</f>
        <v>3.1179000000000001</v>
      </c>
      <c r="T39" s="14">
        <f>_xll.BDH("AMGN US Equity","GEO_GROW_EBITDA","FQ1 2023","FQ1 2023","Currency=USD","Period=FQ","BEST_FPERIOD_OVERRIDE=FQ","FILING_STATUS=MR","FA_ADJUSTED=GAAP","Sort=A","Dates=H","DateFormat=P","Fill=—","Direction=H","UseDPDF=Y")</f>
        <v>-2.4714</v>
      </c>
      <c r="U39" s="14">
        <f>_xll.BDH("AMGN US Equity","GEO_GROW_EBITDA","FQ2 2023","FQ2 2023","Currency=USD","Period=FQ","BEST_FPERIOD_OVERRIDE=FQ","FILING_STATUS=MR","FA_ADJUSTED=GAAP","Sort=A","Dates=H","DateFormat=P","Fill=—","Direction=H","UseDPDF=Y")</f>
        <v>1.5439000000000001</v>
      </c>
      <c r="V39" s="14">
        <f>_xll.BDH("AMGN US Equity","GEO_GROW_EBITDA","FQ3 2023","FQ3 2023","Currency=USD","Period=FQ","BEST_FPERIOD_OVERRIDE=FQ","FILING_STATUS=MR","FA_ADJUSTED=GAAP","Sort=A","Dates=H","DateFormat=P","Fill=—","Direction=H","UseDPDF=Y")</f>
        <v>0.64319999999999999</v>
      </c>
      <c r="W39" s="14">
        <f>_xll.BDH("AMGN US Equity","GEO_GROW_EBITDA","FQ4 2023","FQ4 2023","Currency=USD","Period=FQ","BEST_FPERIOD_OVERRIDE=FQ","FILING_STATUS=MR","FA_ADJUSTED=GAAP","Sort=A","Dates=H","DateFormat=P","Fill=—","Direction=H","UseDPDF=Y")</f>
        <v>-1.5887</v>
      </c>
      <c r="X39" s="14">
        <f>_xll.BDH("AMGN US Equity","GEO_GROW_EBITDA","FQ1 2024","FQ1 2024","Currency=USD","Period=FQ","BEST_FPERIOD_OVERRIDE=FQ","FILING_STATUS=MR","FA_ADJUSTED=GAAP","Sort=A","Dates=H","DateFormat=P","Fill=—","Direction=H","UseDPDF=Y")</f>
        <v>-4.4890999999999996</v>
      </c>
      <c r="Y39" s="14">
        <f>_xll.BDH("AMGN US Equity","GEO_GROW_EBITDA","FQ2 2024","FQ2 2024","Currency=USD","Period=FQ","BEST_FPERIOD_OVERRIDE=FQ","FILING_STATUS=MR","FA_ADJUSTED=GAAP","Sort=A","Dates=H","DateFormat=P","Fill=—","Direction=H","UseDPDF=Y")</f>
        <v>0.54049999999999998</v>
      </c>
      <c r="Z39" s="14">
        <f>_xll.BDH("AMGN US Equity","GEO_GROW_EBITDA","FQ3 2024","FQ3 2024","Currency=USD","Period=FQ","BEST_FPERIOD_OVERRIDE=FQ","FILING_STATUS=MR","FA_ADJUSTED=GAAP","Sort=A","Dates=H","DateFormat=P","Fill=—","Direction=H","UseDPDF=Y")</f>
        <v>2.6156999999999999</v>
      </c>
      <c r="AA39" s="14">
        <f>_xll.BDH("AMGN US Equity","GEO_GROW_EBITDA","FQ4 2024","FQ4 2024","Currency=USD","Period=FQ","BEST_FPERIOD_OVERRIDE=FQ","FILING_STATUS=MR","FA_ADJUSTED=GAAP","Sort=A","Dates=H","DateFormat=P","Fill=—","Direction=H","UseDPDF=Y")</f>
        <v>5.8009000000000004</v>
      </c>
    </row>
    <row r="40" spans="1:27" x14ac:dyDescent="0.25">
      <c r="A40" s="10" t="s">
        <v>98</v>
      </c>
      <c r="B40" s="10" t="s">
        <v>1510</v>
      </c>
      <c r="C40" s="14">
        <f>_xll.BDH("AMGN US Equity","GEO_GROW_OPER_INC","FQ4 2018","FQ4 2018","Currency=USD","Period=FQ","BEST_FPERIOD_OVERRIDE=FQ","FILING_STATUS=MR","FA_ADJUSTED=GAAP","Sort=A","Dates=H","DateFormat=P","Fill=—","Direction=H","UseDPDF=Y")</f>
        <v>14.947100000000001</v>
      </c>
      <c r="D40" s="14">
        <f>_xll.BDH("AMGN US Equity","GEO_GROW_OPER_INC","FQ1 2019","FQ1 2019","Currency=USD","Period=FQ","BEST_FPERIOD_OVERRIDE=FQ","FILING_STATUS=MR","FA_ADJUSTED=GAAP","Sort=A","Dates=H","DateFormat=P","Fill=—","Direction=H","UseDPDF=Y")</f>
        <v>12.6281</v>
      </c>
      <c r="E40" s="14">
        <f>_xll.BDH("AMGN US Equity","GEO_GROW_OPER_INC","FQ2 2019","FQ2 2019","Currency=USD","Period=FQ","BEST_FPERIOD_OVERRIDE=FQ","FILING_STATUS=MR","FA_ADJUSTED=GAAP","Sort=A","Dates=H","DateFormat=P","Fill=—","Direction=H","UseDPDF=Y")</f>
        <v>7.0829000000000004</v>
      </c>
      <c r="F40" s="14">
        <f>_xll.BDH("AMGN US Equity","GEO_GROW_OPER_INC","FQ3 2019","FQ3 2019","Currency=USD","Period=FQ","BEST_FPERIOD_OVERRIDE=FQ","FILING_STATUS=MR","FA_ADJUSTED=GAAP","Sort=A","Dates=H","DateFormat=P","Fill=—","Direction=H","UseDPDF=Y")</f>
        <v>11.0512</v>
      </c>
      <c r="G40" s="14">
        <f>_xll.BDH("AMGN US Equity","GEO_GROW_OPER_INC","FQ4 2019","FQ4 2019","Currency=USD","Period=FQ","BEST_FPERIOD_OVERRIDE=FQ","FILING_STATUS=MR","FA_ADJUSTED=GAAP","Sort=A","Dates=H","DateFormat=P","Fill=—","Direction=H","UseDPDF=Y")</f>
        <v>7.0175000000000001</v>
      </c>
      <c r="H40" s="14">
        <f>_xll.BDH("AMGN US Equity","GEO_GROW_OPER_INC","FQ1 2020","FQ1 2020","Currency=USD","Period=FQ","BEST_FPERIOD_OVERRIDE=FQ","FILING_STATUS=MR","FA_ADJUSTED=GAAP","Sort=A","Dates=H","DateFormat=P","Fill=—","Direction=H","UseDPDF=Y")</f>
        <v>3.0960000000000001</v>
      </c>
      <c r="I40" s="14">
        <f>_xll.BDH("AMGN US Equity","GEO_GROW_OPER_INC","FQ2 2020","FQ2 2020","Currency=USD","Period=FQ","BEST_FPERIOD_OVERRIDE=FQ","FILING_STATUS=MR","FA_ADJUSTED=GAAP","Sort=A","Dates=H","DateFormat=P","Fill=—","Direction=H","UseDPDF=Y")</f>
        <v>2.2738</v>
      </c>
      <c r="J40" s="14">
        <f>_xll.BDH("AMGN US Equity","GEO_GROW_OPER_INC","FQ3 2020","FQ3 2020","Currency=USD","Period=FQ","BEST_FPERIOD_OVERRIDE=FQ","FILING_STATUS=MR","FA_ADJUSTED=GAAP","Sort=A","Dates=H","DateFormat=P","Fill=—","Direction=H","UseDPDF=Y")</f>
        <v>0.95630000000000004</v>
      </c>
      <c r="K40" s="14">
        <f>_xll.BDH("AMGN US Equity","GEO_GROW_OPER_INC","FQ4 2020","FQ4 2020","Currency=USD","Period=FQ","BEST_FPERIOD_OVERRIDE=FQ","FILING_STATUS=MR","FA_ADJUSTED=GAAP","Sort=A","Dates=H","DateFormat=P","Fill=—","Direction=H","UseDPDF=Y")</f>
        <v>-0.2472</v>
      </c>
      <c r="L40" s="14">
        <f>_xll.BDH("AMGN US Equity","GEO_GROW_OPER_INC","FQ1 2021","FQ1 2021","Currency=USD","Period=FQ","BEST_FPERIOD_OVERRIDE=FQ","FILING_STATUS=MR","FA_ADJUSTED=GAAP","Sort=A","Dates=H","DateFormat=P","Fill=—","Direction=H","UseDPDF=Y")</f>
        <v>-2.3841000000000001</v>
      </c>
      <c r="M40" s="14">
        <f>_xll.BDH("AMGN US Equity","GEO_GROW_OPER_INC","FQ2 2021","FQ2 2021","Currency=USD","Period=FQ","BEST_FPERIOD_OVERRIDE=FQ","FILING_STATUS=MR","FA_ADJUSTED=GAAP","Sort=A","Dates=H","DateFormat=P","Fill=—","Direction=H","UseDPDF=Y")</f>
        <v>-19.036200000000001</v>
      </c>
      <c r="N40" s="14">
        <f>_xll.BDH("AMGN US Equity","GEO_GROW_OPER_INC","FQ3 2021","FQ3 2021","Currency=USD","Period=FQ","BEST_FPERIOD_OVERRIDE=FQ","FILING_STATUS=MR","FA_ADJUSTED=GAAP","Sort=A","Dates=H","DateFormat=P","Fill=—","Direction=H","UseDPDF=Y")</f>
        <v>-1.2081</v>
      </c>
      <c r="O40" s="14">
        <f>_xll.BDH("AMGN US Equity","GEO_GROW_OPER_INC","FQ4 2021","FQ4 2021","Currency=USD","Period=FQ","BEST_FPERIOD_OVERRIDE=FQ","FILING_STATUS=MR","FA_ADJUSTED=GAAP","Sort=A","Dates=H","DateFormat=P","Fill=—","Direction=H","UseDPDF=Y")</f>
        <v>-1.5011000000000001</v>
      </c>
      <c r="P40" s="14">
        <f>_xll.BDH("AMGN US Equity","GEO_GROW_OPER_INC","FQ1 2022","FQ1 2022","Currency=USD","Period=FQ","BEST_FPERIOD_OVERRIDE=FQ","FILING_STATUS=MR","FA_ADJUSTED=GAAP","Sort=A","Dates=H","DateFormat=P","Fill=—","Direction=H","UseDPDF=Y")</f>
        <v>-0.71250000000000002</v>
      </c>
      <c r="Q40" s="14">
        <f>_xll.BDH("AMGN US Equity","GEO_GROW_OPER_INC","FQ2 2022","FQ2 2022","Currency=USD","Period=FQ","BEST_FPERIOD_OVERRIDE=FQ","FILING_STATUS=MR","FA_ADJUSTED=GAAP","Sort=A","Dates=H","DateFormat=P","Fill=—","Direction=H","UseDPDF=Y")</f>
        <v>-4.2092999999999998</v>
      </c>
      <c r="R40" s="14">
        <f>_xll.BDH("AMGN US Equity","GEO_GROW_OPER_INC","FQ3 2022","FQ3 2022","Currency=USD","Period=FQ","BEST_FPERIOD_OVERRIDE=FQ","FILING_STATUS=MR","FA_ADJUSTED=GAAP","Sort=A","Dates=H","DateFormat=P","Fill=—","Direction=H","UseDPDF=Y")</f>
        <v>1.7499</v>
      </c>
      <c r="S40" s="14">
        <f>_xll.BDH("AMGN US Equity","GEO_GROW_OPER_INC","FQ4 2022","FQ4 2022","Currency=USD","Period=FQ","BEST_FPERIOD_OVERRIDE=FQ","FILING_STATUS=MR","FA_ADJUSTED=GAAP","Sort=A","Dates=H","DateFormat=P","Fill=—","Direction=H","UseDPDF=Y")</f>
        <v>-0.13400000000000001</v>
      </c>
      <c r="T40" s="14">
        <f>_xll.BDH("AMGN US Equity","GEO_GROW_OPER_INC","FQ1 2023","FQ1 2023","Currency=USD","Period=FQ","BEST_FPERIOD_OVERRIDE=FQ","FILING_STATUS=MR","FA_ADJUSTED=GAAP","Sort=A","Dates=H","DateFormat=P","Fill=—","Direction=H","UseDPDF=Y")</f>
        <v>-6.7603999999999997</v>
      </c>
      <c r="U40" s="14">
        <f>_xll.BDH("AMGN US Equity","GEO_GROW_OPER_INC","FQ2 2023","FQ2 2023","Currency=USD","Period=FQ","BEST_FPERIOD_OVERRIDE=FQ","FILING_STATUS=MR","FA_ADJUSTED=GAAP","Sort=A","Dates=H","DateFormat=P","Fill=—","Direction=H","UseDPDF=Y")</f>
        <v>-1.0678000000000001</v>
      </c>
      <c r="V40" s="14">
        <f>_xll.BDH("AMGN US Equity","GEO_GROW_OPER_INC","FQ3 2023","FQ3 2023","Currency=USD","Period=FQ","BEST_FPERIOD_OVERRIDE=FQ","FILING_STATUS=MR","FA_ADJUSTED=GAAP","Sort=A","Dates=H","DateFormat=P","Fill=—","Direction=H","UseDPDF=Y")</f>
        <v>-2.7469000000000001</v>
      </c>
      <c r="W40" s="14">
        <f>_xll.BDH("AMGN US Equity","GEO_GROW_OPER_INC","FQ4 2023","FQ4 2023","Currency=USD","Period=FQ","BEST_FPERIOD_OVERRIDE=FQ","FILING_STATUS=MR","FA_ADJUSTED=GAAP","Sort=A","Dates=H","DateFormat=P","Fill=—","Direction=H","UseDPDF=Y")</f>
        <v>-11.8057</v>
      </c>
      <c r="X40" s="14">
        <f>_xll.BDH("AMGN US Equity","GEO_GROW_OPER_INC","FQ1 2024","FQ1 2024","Currency=USD","Period=FQ","BEST_FPERIOD_OVERRIDE=FQ","FILING_STATUS=MR","FA_ADJUSTED=GAAP","Sort=A","Dates=H","DateFormat=P","Fill=—","Direction=H","UseDPDF=Y")</f>
        <v>-16.707699999999999</v>
      </c>
      <c r="Y40" s="14">
        <f>_xll.BDH("AMGN US Equity","GEO_GROW_OPER_INC","FQ2 2024","FQ2 2024","Currency=USD","Period=FQ","BEST_FPERIOD_OVERRIDE=FQ","FILING_STATUS=MR","FA_ADJUSTED=GAAP","Sort=A","Dates=H","DateFormat=P","Fill=—","Direction=H","UseDPDF=Y")</f>
        <v>-6.5457000000000001</v>
      </c>
      <c r="Z40" s="14">
        <f>_xll.BDH("AMGN US Equity","GEO_GROW_OPER_INC","FQ3 2024","FQ3 2024","Currency=USD","Period=FQ","BEST_FPERIOD_OVERRIDE=FQ","FILING_STATUS=MR","FA_ADJUSTED=GAAP","Sort=A","Dates=H","DateFormat=P","Fill=—","Direction=H","UseDPDF=Y")</f>
        <v>-3.7339000000000002</v>
      </c>
      <c r="AA40" s="14">
        <f>_xll.BDH("AMGN US Equity","GEO_GROW_OPER_INC","FQ4 2024","FQ4 2024","Currency=USD","Period=FQ","BEST_FPERIOD_OVERRIDE=FQ","FILING_STATUS=MR","FA_ADJUSTED=GAAP","Sort=A","Dates=H","DateFormat=P","Fill=—","Direction=H","UseDPDF=Y")</f>
        <v>2.4458000000000002</v>
      </c>
    </row>
    <row r="41" spans="1:27" x14ac:dyDescent="0.25">
      <c r="A41" s="10" t="s">
        <v>100</v>
      </c>
      <c r="B41" s="10" t="s">
        <v>1511</v>
      </c>
      <c r="C41" s="14">
        <f>_xll.BDH("AMGN US Equity","NET_INCOME_TO_COMMON_5_YR_GROWTH","FQ4 2018","FQ4 2018","Currency=USD","Period=FQ","BEST_FPERIOD_OVERRIDE=FQ","FILING_STATUS=MR","FA_ADJUSTED=GAAP","Sort=A","Dates=H","DateFormat=P","Fill=—","Direction=H","UseDPDF=Y")</f>
        <v>13.557600000000001</v>
      </c>
      <c r="D41" s="14">
        <f>_xll.BDH("AMGN US Equity","NET_INCOME_TO_COMMON_5_YR_GROWTH","FQ1 2019","FQ1 2019","Currency=USD","Period=FQ","BEST_FPERIOD_OVERRIDE=FQ","FILING_STATUS=MR","FA_ADJUSTED=GAAP","Sort=A","Dates=H","DateFormat=P","Fill=—","Direction=H","UseDPDF=Y")</f>
        <v>13.1717</v>
      </c>
      <c r="E41" s="14">
        <f>_xll.BDH("AMGN US Equity","NET_INCOME_TO_COMMON_5_YR_GROWTH","FQ2 2019","FQ2 2019","Currency=USD","Period=FQ","BEST_FPERIOD_OVERRIDE=FQ","FILING_STATUS=MR","FA_ADJUSTED=GAAP","Sort=A","Dates=H","DateFormat=P","Fill=—","Direction=H","UseDPDF=Y")</f>
        <v>7.0911</v>
      </c>
      <c r="F41" s="14">
        <f>_xll.BDH("AMGN US Equity","NET_INCOME_TO_COMMON_5_YR_GROWTH","FQ3 2019","FQ3 2019","Currency=USD","Period=FQ","BEST_FPERIOD_OVERRIDE=FQ","FILING_STATUS=MR","FA_ADJUSTED=GAAP","Sort=A","Dates=H","DateFormat=P","Fill=—","Direction=H","UseDPDF=Y")</f>
        <v>9.6076999999999995</v>
      </c>
      <c r="G41" s="14">
        <f>_xll.BDH("AMGN US Equity","NET_INCOME_TO_COMMON_5_YR_GROWTH","FQ4 2019","FQ4 2019","Currency=USD","Period=FQ","BEST_FPERIOD_OVERRIDE=FQ","FILING_STATUS=MR","FA_ADJUSTED=GAAP","Sort=A","Dates=H","DateFormat=P","Fill=—","Direction=H","UseDPDF=Y")</f>
        <v>5.6467000000000001</v>
      </c>
      <c r="H41" s="14">
        <f>_xll.BDH("AMGN US Equity","NET_INCOME_TO_COMMON_5_YR_GROWTH","FQ1 2020","FQ1 2020","Currency=USD","Period=FQ","BEST_FPERIOD_OVERRIDE=FQ","FILING_STATUS=MR","FA_ADJUSTED=GAAP","Sort=A","Dates=H","DateFormat=P","Fill=—","Direction=H","UseDPDF=Y")</f>
        <v>2.3738000000000001</v>
      </c>
      <c r="I41" s="14">
        <f>_xll.BDH("AMGN US Equity","NET_INCOME_TO_COMMON_5_YR_GROWTH","FQ2 2020","FQ2 2020","Currency=USD","Period=FQ","BEST_FPERIOD_OVERRIDE=FQ","FILING_STATUS=MR","FA_ADJUSTED=GAAP","Sort=A","Dates=H","DateFormat=P","Fill=—","Direction=H","UseDPDF=Y")</f>
        <v>1.7524</v>
      </c>
      <c r="J41" s="14">
        <f>_xll.BDH("AMGN US Equity","NET_INCOME_TO_COMMON_5_YR_GROWTH","FQ3 2020","FQ3 2020","Currency=USD","Period=FQ","BEST_FPERIOD_OVERRIDE=FQ","FILING_STATUS=MR","FA_ADJUSTED=GAAP","Sort=A","Dates=H","DateFormat=P","Fill=—","Direction=H","UseDPDF=Y")</f>
        <v>1.6414</v>
      </c>
      <c r="K41" s="14">
        <f>_xll.BDH("AMGN US Equity","NET_INCOME_TO_COMMON_5_YR_GROWTH","FQ4 2020","FQ4 2020","Currency=USD","Period=FQ","BEST_FPERIOD_OVERRIDE=FQ","FILING_STATUS=MR","FA_ADJUSTED=GAAP","Sort=A","Dates=H","DateFormat=P","Fill=—","Direction=H","UseDPDF=Y")</f>
        <v>-2.1457000000000002</v>
      </c>
      <c r="L41" s="14">
        <f>_xll.BDH("AMGN US Equity","NET_INCOME_TO_COMMON_5_YR_GROWTH","FQ1 2021","FQ1 2021","Currency=USD","Period=FQ","BEST_FPERIOD_OVERRIDE=FQ","FILING_STATUS=MR","FA_ADJUSTED=GAAP","Sort=A","Dates=H","DateFormat=P","Fill=—","Direction=H","UseDPDF=Y")</f>
        <v>-2.8292999999999999</v>
      </c>
      <c r="M41" s="14">
        <f>_xll.BDH("AMGN US Equity","NET_INCOME_TO_COMMON_5_YR_GROWTH","FQ2 2021","FQ2 2021","Currency=USD","Period=FQ","BEST_FPERIOD_OVERRIDE=FQ","FILING_STATUS=MR","FA_ADJUSTED=GAAP","Sort=A","Dates=H","DateFormat=P","Fill=—","Direction=H","UseDPDF=Y")</f>
        <v>-24.327999999999999</v>
      </c>
      <c r="N41" s="14">
        <f>_xll.BDH("AMGN US Equity","NET_INCOME_TO_COMMON_5_YR_GROWTH","FQ3 2021","FQ3 2021","Currency=USD","Period=FQ","BEST_FPERIOD_OVERRIDE=FQ","FILING_STATUS=MR","FA_ADJUSTED=GAAP","Sort=A","Dates=H","DateFormat=P","Fill=—","Direction=H","UseDPDF=Y")</f>
        <v>-1.355</v>
      </c>
      <c r="O41" s="14">
        <f>_xll.BDH("AMGN US Equity","NET_INCOME_TO_COMMON_5_YR_GROWTH","FQ4 2021","FQ4 2021","Currency=USD","Period=FQ","BEST_FPERIOD_OVERRIDE=FQ","FILING_STATUS=MR","FA_ADJUSTED=GAAP","Sort=A","Dates=H","DateFormat=P","Fill=—","Direction=H","UseDPDF=Y")</f>
        <v>-0.37490000000000001</v>
      </c>
      <c r="P41" s="14">
        <f>_xll.BDH("AMGN US Equity","NET_INCOME_TO_COMMON_5_YR_GROWTH","FQ1 2022","FQ1 2022","Currency=USD","Period=FQ","BEST_FPERIOD_OVERRIDE=FQ","FILING_STATUS=MR","FA_ADJUSTED=GAAP","Sort=A","Dates=H","DateFormat=P","Fill=—","Direction=H","UseDPDF=Y")</f>
        <v>-6.5495999999999999</v>
      </c>
      <c r="Q41" s="14">
        <f>_xll.BDH("AMGN US Equity","NET_INCOME_TO_COMMON_5_YR_GROWTH","FQ2 2022","FQ2 2022","Currency=USD","Period=FQ","BEST_FPERIOD_OVERRIDE=FQ","FILING_STATUS=MR","FA_ADJUSTED=GAAP","Sort=A","Dates=H","DateFormat=P","Fill=—","Direction=H","UseDPDF=Y")</f>
        <v>-9.3455999999999992</v>
      </c>
      <c r="R41" s="14">
        <f>_xll.BDH("AMGN US Equity","NET_INCOME_TO_COMMON_5_YR_GROWTH","FQ3 2022","FQ3 2022","Currency=USD","Period=FQ","BEST_FPERIOD_OVERRIDE=FQ","FILING_STATUS=MR","FA_ADJUSTED=GAAP","Sort=A","Dates=H","DateFormat=P","Fill=—","Direction=H","UseDPDF=Y")</f>
        <v>1.1792</v>
      </c>
      <c r="S41" s="14" t="str">
        <f>_xll.BDH("AMGN US Equity","NET_INCOME_TO_COMMON_5_YR_GROWTH","FQ4 2022","FQ4 2022","Currency=USD","Period=FQ","BEST_FPERIOD_OVERRIDE=FQ","FILING_STATUS=MR","FA_ADJUSTED=GAAP","Sort=A","Dates=H","DateFormat=P","Fill=—","Direction=H","UseDPDF=Y")</f>
        <v>—</v>
      </c>
      <c r="T41" s="14">
        <f>_xll.BDH("AMGN US Equity","NET_INCOME_TO_COMMON_5_YR_GROWTH","FQ1 2023","FQ1 2023","Currency=USD","Period=FQ","BEST_FPERIOD_OVERRIDE=FQ","FILING_STATUS=MR","FA_ADJUSTED=GAAP","Sort=A","Dates=H","DateFormat=P","Fill=—","Direction=H","UseDPDF=Y")</f>
        <v>4.2160000000000002</v>
      </c>
      <c r="U41" s="14">
        <f>_xll.BDH("AMGN US Equity","NET_INCOME_TO_COMMON_5_YR_GROWTH","FQ2 2023","FQ2 2023","Currency=USD","Period=FQ","BEST_FPERIOD_OVERRIDE=FQ","FILING_STATUS=MR","FA_ADJUSTED=GAAP","Sort=A","Dates=H","DateFormat=P","Fill=—","Direction=H","UseDPDF=Y")</f>
        <v>-9.6936</v>
      </c>
      <c r="V41" s="14">
        <f>_xll.BDH("AMGN US Equity","NET_INCOME_TO_COMMON_5_YR_GROWTH","FQ3 2023","FQ3 2023","Currency=USD","Period=FQ","BEST_FPERIOD_OVERRIDE=FQ","FILING_STATUS=MR","FA_ADJUSTED=GAAP","Sort=A","Dates=H","DateFormat=P","Fill=—","Direction=H","UseDPDF=Y")</f>
        <v>-1.4280999999999999</v>
      </c>
      <c r="W41" s="14">
        <f>_xll.BDH("AMGN US Equity","NET_INCOME_TO_COMMON_5_YR_GROWTH","FQ4 2023","FQ4 2023","Currency=USD","Period=FQ","BEST_FPERIOD_OVERRIDE=FQ","FILING_STATUS=MR","FA_ADJUSTED=GAAP","Sort=A","Dates=H","DateFormat=P","Fill=—","Direction=H","UseDPDF=Y")</f>
        <v>-16.835599999999999</v>
      </c>
      <c r="X41" s="14" t="str">
        <f>_xll.BDH("AMGN US Equity","NET_INCOME_TO_COMMON_5_YR_GROWTH","FQ1 2024","FQ1 2024","Currency=USD","Period=FQ","BEST_FPERIOD_OVERRIDE=FQ","FILING_STATUS=MR","FA_ADJUSTED=GAAP","Sort=A","Dates=H","DateFormat=P","Fill=—","Direction=H","UseDPDF=Y")</f>
        <v>—</v>
      </c>
      <c r="Y41" s="14">
        <f>_xll.BDH("AMGN US Equity","NET_INCOME_TO_COMMON_5_YR_GROWTH","FQ2 2024","FQ2 2024","Currency=USD","Period=FQ","BEST_FPERIOD_OVERRIDE=FQ","FILING_STATUS=MR","FA_ADJUSTED=GAAP","Sort=A","Dates=H","DateFormat=P","Fill=—","Direction=H","UseDPDF=Y")</f>
        <v>-19.2958</v>
      </c>
      <c r="Z41" s="14">
        <f>_xll.BDH("AMGN US Equity","NET_INCOME_TO_COMMON_5_YR_GROWTH","FQ3 2024","FQ3 2024","Currency=USD","Period=FQ","BEST_FPERIOD_OVERRIDE=FQ","FILING_STATUS=MR","FA_ADJUSTED=GAAP","Sort=A","Dates=H","DateFormat=P","Fill=—","Direction=H","UseDPDF=Y")</f>
        <v>7.5355999999999996</v>
      </c>
      <c r="AA41" s="14">
        <f>_xll.BDH("AMGN US Equity","NET_INCOME_TO_COMMON_5_YR_GROWTH","FQ4 2024","FQ4 2024","Currency=USD","Period=FQ","BEST_FPERIOD_OVERRIDE=FQ","FILING_STATUS=MR","FA_ADJUSTED=GAAP","Sort=A","Dates=H","DateFormat=P","Fill=—","Direction=H","UseDPDF=Y")</f>
        <v>-18.113800000000001</v>
      </c>
    </row>
    <row r="42" spans="1:27" x14ac:dyDescent="0.25">
      <c r="A42" s="10" t="s">
        <v>1469</v>
      </c>
      <c r="B42" s="10" t="s">
        <v>1512</v>
      </c>
      <c r="C42" s="14">
        <f>_xll.BDH("AMGN US Equity","5Y_GEO_GROWTH_DILUTED_EPS","FQ4 2018","FQ4 2018","Currency=USD","Period=FQ","BEST_FPERIOD_OVERRIDE=FQ","FILING_STATUS=MR","FA_ADJUSTED=GAAP","Sort=A","Dates=H","DateFormat=P","Fill=—","Direction=H","UseDPDF=Y")</f>
        <v>17.745100000000001</v>
      </c>
      <c r="D42" s="14">
        <f>_xll.BDH("AMGN US Equity","5Y_GEO_GROWTH_DILUTED_EPS","FQ1 2019","FQ1 2019","Currency=USD","Period=FQ","BEST_FPERIOD_OVERRIDE=FQ","FILING_STATUS=MR","FA_ADJUSTED=GAAP","Sort=A","Dates=H","DateFormat=P","Fill=—","Direction=H","UseDPDF=Y")</f>
        <v>17.831099999999999</v>
      </c>
      <c r="E42" s="14">
        <f>_xll.BDH("AMGN US Equity","5Y_GEO_GROWTH_DILUTED_EPS","FQ2 2019","FQ2 2019","Currency=USD","Period=FQ","BEST_FPERIOD_OVERRIDE=FQ","FILING_STATUS=MR","FA_ADJUSTED=GAAP","Sort=A","Dates=H","DateFormat=P","Fill=—","Direction=H","UseDPDF=Y")</f>
        <v>12.1746</v>
      </c>
      <c r="F42" s="14">
        <f>_xll.BDH("AMGN US Equity","5Y_GEO_GROWTH_DILUTED_EPS","FQ3 2019","FQ3 2019","Currency=USD","Period=FQ","BEST_FPERIOD_OVERRIDE=FQ","FILING_STATUS=MR","FA_ADJUSTED=GAAP","Sort=A","Dates=H","DateFormat=P","Fill=—","Direction=H","UseDPDF=Y")</f>
        <v>15.224399999999999</v>
      </c>
      <c r="G42" s="14">
        <f>_xll.BDH("AMGN US Equity","5Y_GEO_GROWTH_DILUTED_EPS","FQ4 2019","FQ4 2019","Currency=USD","Period=FQ","BEST_FPERIOD_OVERRIDE=FQ","FILING_STATUS=MR","FA_ADJUSTED=GAAP","Sort=A","Dates=H","DateFormat=P","Fill=—","Direction=H","UseDPDF=Y")</f>
        <v>11.1494</v>
      </c>
      <c r="H42" s="14">
        <f>_xll.BDH("AMGN US Equity","5Y_GEO_GROWTH_DILUTED_EPS","FQ1 2020","FQ1 2020","Currency=USD","Period=FQ","BEST_FPERIOD_OVERRIDE=FQ","FILING_STATUS=MR","FA_ADJUSTED=GAAP","Sort=A","Dates=H","DateFormat=P","Fill=—","Direction=H","UseDPDF=Y")</f>
        <v>7.7881999999999998</v>
      </c>
      <c r="I42" s="14">
        <f>_xll.BDH("AMGN US Equity","5Y_GEO_GROWTH_DILUTED_EPS","FQ2 2020","FQ2 2020","Currency=USD","Period=FQ","BEST_FPERIOD_OVERRIDE=FQ","FILING_STATUS=MR","FA_ADJUSTED=GAAP","Sort=A","Dates=H","DateFormat=P","Fill=—","Direction=H","UseDPDF=Y")</f>
        <v>7.2438000000000002</v>
      </c>
      <c r="J42" s="14">
        <f>_xll.BDH("AMGN US Equity","5Y_GEO_GROWTH_DILUTED_EPS","FQ3 2020","FQ3 2020","Currency=USD","Period=FQ","BEST_FPERIOD_OVERRIDE=FQ","FILING_STATUS=MR","FA_ADJUSTED=GAAP","Sort=A","Dates=H","DateFormat=P","Fill=—","Direction=H","UseDPDF=Y")</f>
        <v>7.0486000000000004</v>
      </c>
      <c r="K42" s="14">
        <f>_xll.BDH("AMGN US Equity","5Y_GEO_GROWTH_DILUTED_EPS","FQ4 2020","FQ4 2020","Currency=USD","Period=FQ","BEST_FPERIOD_OVERRIDE=FQ","FILING_STATUS=MR","FA_ADJUSTED=GAAP","Sort=A","Dates=H","DateFormat=P","Fill=—","Direction=H","UseDPDF=Y")</f>
        <v>3.0937000000000001</v>
      </c>
      <c r="L42" s="14">
        <f>_xll.BDH("AMGN US Equity","5Y_GEO_GROWTH_DILUTED_EPS","FQ1 2021","FQ1 2021","Currency=USD","Period=FQ","BEST_FPERIOD_OVERRIDE=FQ","FILING_STATUS=MR","FA_ADJUSTED=GAAP","Sort=A","Dates=H","DateFormat=P","Fill=—","Direction=H","UseDPDF=Y")</f>
        <v>2.5106999999999999</v>
      </c>
      <c r="M42" s="14">
        <f>_xll.BDH("AMGN US Equity","5Y_GEO_GROWTH_DILUTED_EPS","FQ2 2021","FQ2 2021","Currency=USD","Period=FQ","BEST_FPERIOD_OVERRIDE=FQ","FILING_STATUS=MR","FA_ADJUSTED=GAAP","Sort=A","Dates=H","DateFormat=P","Fill=—","Direction=H","UseDPDF=Y")</f>
        <v>-19.987500000000001</v>
      </c>
      <c r="N42" s="14">
        <f>_xll.BDH("AMGN US Equity","5Y_GEO_GROWTH_DILUTED_EPS","FQ3 2021","FQ3 2021","Currency=USD","Period=FQ","BEST_FPERIOD_OVERRIDE=FQ","FILING_STATUS=MR","FA_ADJUSTED=GAAP","Sort=A","Dates=H","DateFormat=P","Fill=—","Direction=H","UseDPDF=Y")</f>
        <v>4.3129999999999997</v>
      </c>
      <c r="O42" s="14">
        <f>_xll.BDH("AMGN US Equity","5Y_GEO_GROWTH_DILUTED_EPS","FQ4 2021","FQ4 2021","Currency=USD","Period=FQ","BEST_FPERIOD_OVERRIDE=FQ","FILING_STATUS=MR","FA_ADJUSTED=GAAP","Sort=A","Dates=H","DateFormat=P","Fill=—","Direction=H","UseDPDF=Y")</f>
        <v>5.3434999999999997</v>
      </c>
      <c r="P42" s="14">
        <f>_xll.BDH("AMGN US Equity","5Y_GEO_GROWTH_DILUTED_EPS","FQ1 2022","FQ1 2022","Currency=USD","Period=FQ","BEST_FPERIOD_OVERRIDE=FQ","FILING_STATUS=MR","FA_ADJUSTED=GAAP","Sort=A","Dates=H","DateFormat=P","Fill=—","Direction=H","UseDPDF=Y")</f>
        <v>-0.80130000000000001</v>
      </c>
      <c r="Q42" s="14">
        <f>_xll.BDH("AMGN US Equity","5Y_GEO_GROWTH_DILUTED_EPS","FQ2 2022","FQ2 2022","Currency=USD","Period=FQ","BEST_FPERIOD_OVERRIDE=FQ","FILING_STATUS=MR","FA_ADJUSTED=GAAP","Sort=A","Dates=H","DateFormat=P","Fill=—","Direction=H","UseDPDF=Y")</f>
        <v>-3.3828</v>
      </c>
      <c r="R42" s="14">
        <f>_xll.BDH("AMGN US Equity","5Y_GEO_GROWTH_DILUTED_EPS","FQ3 2022","FQ3 2022","Currency=USD","Period=FQ","BEST_FPERIOD_OVERRIDE=FQ","FILING_STATUS=MR","FA_ADJUSTED=GAAP","Sort=A","Dates=H","DateFormat=P","Fill=—","Direction=H","UseDPDF=Y")</f>
        <v>7.5956999999999999</v>
      </c>
      <c r="S42" s="14" t="str">
        <f>_xll.BDH("AMGN US Equity","5Y_GEO_GROWTH_DILUTED_EPS","FQ4 2022","FQ4 2022","Currency=USD","Period=FQ","BEST_FPERIOD_OVERRIDE=FQ","FILING_STATUS=MR","FA_ADJUSTED=GAAP","Sort=A","Dates=H","DateFormat=P","Fill=—","Direction=H","UseDPDF=Y")</f>
        <v>—</v>
      </c>
      <c r="T42" s="14">
        <f>_xll.BDH("AMGN US Equity","5Y_GEO_GROWTH_DILUTED_EPS","FQ1 2023","FQ1 2023","Currency=USD","Period=FQ","BEST_FPERIOD_OVERRIDE=FQ","FILING_STATUS=MR","FA_ADJUSTED=GAAP","Sort=A","Dates=H","DateFormat=P","Fill=—","Direction=H","UseDPDF=Y")</f>
        <v>10.192</v>
      </c>
      <c r="U42" s="14">
        <f>_xll.BDH("AMGN US Equity","5Y_GEO_GROWTH_DILUTED_EPS","FQ2 2023","FQ2 2023","Currency=USD","Period=FQ","BEST_FPERIOD_OVERRIDE=FQ","FILING_STATUS=MR","FA_ADJUSTED=GAAP","Sort=A","Dates=H","DateFormat=P","Fill=—","Direction=H","UseDPDF=Y")</f>
        <v>-5.8823999999999996</v>
      </c>
      <c r="V42" s="14">
        <f>_xll.BDH("AMGN US Equity","5Y_GEO_GROWTH_DILUTED_EPS","FQ3 2023","FQ3 2023","Currency=USD","Period=FQ","BEST_FPERIOD_OVERRIDE=FQ","FILING_STATUS=MR","FA_ADJUSTED=GAAP","Sort=A","Dates=H","DateFormat=P","Fill=—","Direction=H","UseDPDF=Y")</f>
        <v>2.3995000000000002</v>
      </c>
      <c r="W42" s="14">
        <f>_xll.BDH("AMGN US Equity","5Y_GEO_GROWTH_DILUTED_EPS","FQ4 2023","FQ4 2023","Currency=USD","Period=FQ","BEST_FPERIOD_OVERRIDE=FQ","FILING_STATUS=MR","FA_ADJUSTED=GAAP","Sort=A","Dates=H","DateFormat=P","Fill=—","Direction=H","UseDPDF=Y")</f>
        <v>-13.9513</v>
      </c>
      <c r="X42" s="14" t="str">
        <f>_xll.BDH("AMGN US Equity","5Y_GEO_GROWTH_DILUTED_EPS","FQ1 2024","FQ1 2024","Currency=USD","Period=FQ","BEST_FPERIOD_OVERRIDE=FQ","FILING_STATUS=MR","FA_ADJUSTED=GAAP","Sort=A","Dates=H","DateFormat=P","Fill=—","Direction=H","UseDPDF=Y")</f>
        <v>—</v>
      </c>
      <c r="Y42" s="14">
        <f>_xll.BDH("AMGN US Equity","5Y_GEO_GROWTH_DILUTED_EPS","FQ2 2024","FQ2 2024","Currency=USD","Period=FQ","BEST_FPERIOD_OVERRIDE=FQ","FILING_STATUS=MR","FA_ADJUSTED=GAAP","Sort=A","Dates=H","DateFormat=P","Fill=—","Direction=H","UseDPDF=Y")</f>
        <v>-17.312100000000001</v>
      </c>
      <c r="Z42" s="14">
        <f>_xll.BDH("AMGN US Equity","5Y_GEO_GROWTH_DILUTED_EPS","FQ3 2024","FQ3 2024","Currency=USD","Period=FQ","BEST_FPERIOD_OVERRIDE=FQ","FILING_STATUS=MR","FA_ADJUSTED=GAAP","Sort=A","Dates=H","DateFormat=P","Fill=—","Direction=H","UseDPDF=Y")</f>
        <v>9.8056000000000001</v>
      </c>
      <c r="AA42" s="14">
        <f>_xll.BDH("AMGN US Equity","5Y_GEO_GROWTH_DILUTED_EPS","FQ4 2024","FQ4 2024","Currency=USD","Period=FQ","BEST_FPERIOD_OVERRIDE=FQ","FILING_STATUS=MR","FA_ADJUSTED=GAAP","Sort=A","Dates=H","DateFormat=P","Fill=—","Direction=H","UseDPDF=Y")</f>
        <v>-16.454599999999999</v>
      </c>
    </row>
    <row r="43" spans="1:27" x14ac:dyDescent="0.25">
      <c r="A43" s="10" t="s">
        <v>1470</v>
      </c>
      <c r="B43" s="10" t="s">
        <v>1513</v>
      </c>
      <c r="C43" s="14">
        <f>_xll.BDH("AMGN US Equity","5Y_GEO_GROWTH_DILUTED_EPS_BEF_XO","FQ4 2018","FQ4 2018","Currency=USD","Period=FQ","BEST_FPERIOD_OVERRIDE=FQ","FILING_STATUS=MR","Sort=A","Dates=H","DateFormat=P","Fill=—","Direction=H","UseDPDF=Y")</f>
        <v>17.745100000000001</v>
      </c>
      <c r="D43" s="14">
        <f>_xll.BDH("AMGN US Equity","5Y_GEO_GROWTH_DILUTED_EPS_BEF_XO","FQ1 2019","FQ1 2019","Currency=USD","Period=FQ","BEST_FPERIOD_OVERRIDE=FQ","FILING_STATUS=MR","Sort=A","Dates=H","DateFormat=P","Fill=—","Direction=H","UseDPDF=Y")</f>
        <v>17.831099999999999</v>
      </c>
      <c r="E43" s="14">
        <f>_xll.BDH("AMGN US Equity","5Y_GEO_GROWTH_DILUTED_EPS_BEF_XO","FQ2 2019","FQ2 2019","Currency=USD","Period=FQ","BEST_FPERIOD_OVERRIDE=FQ","FILING_STATUS=MR","Sort=A","Dates=H","DateFormat=P","Fill=—","Direction=H","UseDPDF=Y")</f>
        <v>12.1746</v>
      </c>
      <c r="F43" s="14">
        <f>_xll.BDH("AMGN US Equity","5Y_GEO_GROWTH_DILUTED_EPS_BEF_XO","FQ3 2019","FQ3 2019","Currency=USD","Period=FQ","BEST_FPERIOD_OVERRIDE=FQ","FILING_STATUS=MR","Sort=A","Dates=H","DateFormat=P","Fill=—","Direction=H","UseDPDF=Y")</f>
        <v>15.224399999999999</v>
      </c>
      <c r="G43" s="14">
        <f>_xll.BDH("AMGN US Equity","5Y_GEO_GROWTH_DILUTED_EPS_BEF_XO","FQ4 2019","FQ4 2019","Currency=USD","Period=FQ","BEST_FPERIOD_OVERRIDE=FQ","FILING_STATUS=MR","Sort=A","Dates=H","DateFormat=P","Fill=—","Direction=H","UseDPDF=Y")</f>
        <v>11.1494</v>
      </c>
      <c r="H43" s="14">
        <f>_xll.BDH("AMGN US Equity","5Y_GEO_GROWTH_DILUTED_EPS_BEF_XO","FQ1 2020","FQ1 2020","Currency=USD","Period=FQ","BEST_FPERIOD_OVERRIDE=FQ","FILING_STATUS=MR","Sort=A","Dates=H","DateFormat=P","Fill=—","Direction=H","UseDPDF=Y")</f>
        <v>7.7881999999999998</v>
      </c>
      <c r="I43" s="14">
        <f>_xll.BDH("AMGN US Equity","5Y_GEO_GROWTH_DILUTED_EPS_BEF_XO","FQ2 2020","FQ2 2020","Currency=USD","Period=FQ","BEST_FPERIOD_OVERRIDE=FQ","FILING_STATUS=MR","Sort=A","Dates=H","DateFormat=P","Fill=—","Direction=H","UseDPDF=Y")</f>
        <v>7.2438000000000002</v>
      </c>
      <c r="J43" s="14">
        <f>_xll.BDH("AMGN US Equity","5Y_GEO_GROWTH_DILUTED_EPS_BEF_XO","FQ3 2020","FQ3 2020","Currency=USD","Period=FQ","BEST_FPERIOD_OVERRIDE=FQ","FILING_STATUS=MR","Sort=A","Dates=H","DateFormat=P","Fill=—","Direction=H","UseDPDF=Y")</f>
        <v>7.0486000000000004</v>
      </c>
      <c r="K43" s="14">
        <f>_xll.BDH("AMGN US Equity","5Y_GEO_GROWTH_DILUTED_EPS_BEF_XO","FQ4 2020","FQ4 2020","Currency=USD","Period=FQ","BEST_FPERIOD_OVERRIDE=FQ","FILING_STATUS=MR","Sort=A","Dates=H","DateFormat=P","Fill=—","Direction=H","UseDPDF=Y")</f>
        <v>3.0937000000000001</v>
      </c>
      <c r="L43" s="14">
        <f>_xll.BDH("AMGN US Equity","5Y_GEO_GROWTH_DILUTED_EPS_BEF_XO","FQ1 2021","FQ1 2021","Currency=USD","Period=FQ","BEST_FPERIOD_OVERRIDE=FQ","FILING_STATUS=MR","Sort=A","Dates=H","DateFormat=P","Fill=—","Direction=H","UseDPDF=Y")</f>
        <v>2.5106999999999999</v>
      </c>
      <c r="M43" s="14">
        <f>_xll.BDH("AMGN US Equity","5Y_GEO_GROWTH_DILUTED_EPS_BEF_XO","FQ2 2021","FQ2 2021","Currency=USD","Period=FQ","BEST_FPERIOD_OVERRIDE=FQ","FILING_STATUS=MR","Sort=A","Dates=H","DateFormat=P","Fill=—","Direction=H","UseDPDF=Y")</f>
        <v>-19.987500000000001</v>
      </c>
      <c r="N43" s="14">
        <f>_xll.BDH("AMGN US Equity","5Y_GEO_GROWTH_DILUTED_EPS_BEF_XO","FQ3 2021","FQ3 2021","Currency=USD","Period=FQ","BEST_FPERIOD_OVERRIDE=FQ","FILING_STATUS=MR","Sort=A","Dates=H","DateFormat=P","Fill=—","Direction=H","UseDPDF=Y")</f>
        <v>4.3129999999999997</v>
      </c>
      <c r="O43" s="14">
        <f>_xll.BDH("AMGN US Equity","5Y_GEO_GROWTH_DILUTED_EPS_BEF_XO","FQ4 2021","FQ4 2021","Currency=USD","Period=FQ","BEST_FPERIOD_OVERRIDE=FQ","FILING_STATUS=MR","Sort=A","Dates=H","DateFormat=P","Fill=—","Direction=H","UseDPDF=Y")</f>
        <v>5.3434999999999997</v>
      </c>
      <c r="P43" s="14">
        <f>_xll.BDH("AMGN US Equity","5Y_GEO_GROWTH_DILUTED_EPS_BEF_XO","FQ1 2022","FQ1 2022","Currency=USD","Period=FQ","BEST_FPERIOD_OVERRIDE=FQ","FILING_STATUS=MR","Sort=A","Dates=H","DateFormat=P","Fill=—","Direction=H","UseDPDF=Y")</f>
        <v>-0.80130000000000001</v>
      </c>
      <c r="Q43" s="14">
        <f>_xll.BDH("AMGN US Equity","5Y_GEO_GROWTH_DILUTED_EPS_BEF_XO","FQ2 2022","FQ2 2022","Currency=USD","Period=FQ","BEST_FPERIOD_OVERRIDE=FQ","FILING_STATUS=MR","Sort=A","Dates=H","DateFormat=P","Fill=—","Direction=H","UseDPDF=Y")</f>
        <v>-3.3828</v>
      </c>
      <c r="R43" s="14">
        <f>_xll.BDH("AMGN US Equity","5Y_GEO_GROWTH_DILUTED_EPS_BEF_XO","FQ3 2022","FQ3 2022","Currency=USD","Period=FQ","BEST_FPERIOD_OVERRIDE=FQ","FILING_STATUS=MR","Sort=A","Dates=H","DateFormat=P","Fill=—","Direction=H","UseDPDF=Y")</f>
        <v>7.5956999999999999</v>
      </c>
      <c r="S43" s="14" t="str">
        <f>_xll.BDH("AMGN US Equity","5Y_GEO_GROWTH_DILUTED_EPS_BEF_XO","FQ4 2022","FQ4 2022","Currency=USD","Period=FQ","BEST_FPERIOD_OVERRIDE=FQ","FILING_STATUS=MR","Sort=A","Dates=H","DateFormat=P","Fill=—","Direction=H","UseDPDF=Y")</f>
        <v>—</v>
      </c>
      <c r="T43" s="14">
        <f>_xll.BDH("AMGN US Equity","5Y_GEO_GROWTH_DILUTED_EPS_BEF_XO","FQ1 2023","FQ1 2023","Currency=USD","Period=FQ","BEST_FPERIOD_OVERRIDE=FQ","FILING_STATUS=MR","Sort=A","Dates=H","DateFormat=P","Fill=—","Direction=H","UseDPDF=Y")</f>
        <v>10.192</v>
      </c>
      <c r="U43" s="14">
        <f>_xll.BDH("AMGN US Equity","5Y_GEO_GROWTH_DILUTED_EPS_BEF_XO","FQ2 2023","FQ2 2023","Currency=USD","Period=FQ","BEST_FPERIOD_OVERRIDE=FQ","FILING_STATUS=MR","Sort=A","Dates=H","DateFormat=P","Fill=—","Direction=H","UseDPDF=Y")</f>
        <v>-5.8823999999999996</v>
      </c>
      <c r="V43" s="14">
        <f>_xll.BDH("AMGN US Equity","5Y_GEO_GROWTH_DILUTED_EPS_BEF_XO","FQ3 2023","FQ3 2023","Currency=USD","Period=FQ","BEST_FPERIOD_OVERRIDE=FQ","FILING_STATUS=MR","Sort=A","Dates=H","DateFormat=P","Fill=—","Direction=H","UseDPDF=Y")</f>
        <v>2.3995000000000002</v>
      </c>
      <c r="W43" s="14">
        <f>_xll.BDH("AMGN US Equity","5Y_GEO_GROWTH_DILUTED_EPS_BEF_XO","FQ4 2023","FQ4 2023","Currency=USD","Period=FQ","BEST_FPERIOD_OVERRIDE=FQ","FILING_STATUS=MR","Sort=A","Dates=H","DateFormat=P","Fill=—","Direction=H","UseDPDF=Y")</f>
        <v>-13.9513</v>
      </c>
      <c r="X43" s="14" t="str">
        <f>_xll.BDH("AMGN US Equity","5Y_GEO_GROWTH_DILUTED_EPS_BEF_XO","FQ1 2024","FQ1 2024","Currency=USD","Period=FQ","BEST_FPERIOD_OVERRIDE=FQ","FILING_STATUS=MR","Sort=A","Dates=H","DateFormat=P","Fill=—","Direction=H","UseDPDF=Y")</f>
        <v>—</v>
      </c>
      <c r="Y43" s="14">
        <f>_xll.BDH("AMGN US Equity","5Y_GEO_GROWTH_DILUTED_EPS_BEF_XO","FQ2 2024","FQ2 2024","Currency=USD","Period=FQ","BEST_FPERIOD_OVERRIDE=FQ","FILING_STATUS=MR","Sort=A","Dates=H","DateFormat=P","Fill=—","Direction=H","UseDPDF=Y")</f>
        <v>-17.312100000000001</v>
      </c>
      <c r="Z43" s="14">
        <f>_xll.BDH("AMGN US Equity","5Y_GEO_GROWTH_DILUTED_EPS_BEF_XO","FQ3 2024","FQ3 2024","Currency=USD","Period=FQ","BEST_FPERIOD_OVERRIDE=FQ","FILING_STATUS=MR","Sort=A","Dates=H","DateFormat=P","Fill=—","Direction=H","UseDPDF=Y")</f>
        <v>9.8056000000000001</v>
      </c>
      <c r="AA43" s="14">
        <f>_xll.BDH("AMGN US Equity","5Y_GEO_GROWTH_DILUTED_EPS_BEF_XO","FQ4 2024","FQ4 2024","Currency=USD","Period=FQ","BEST_FPERIOD_OVERRIDE=FQ","FILING_STATUS=MR","Sort=A","Dates=H","DateFormat=P","Fill=—","Direction=H","UseDPDF=Y")</f>
        <v>-16.454599999999999</v>
      </c>
    </row>
    <row r="44" spans="1:27" x14ac:dyDescent="0.25">
      <c r="A44" s="10" t="s">
        <v>1472</v>
      </c>
      <c r="B44" s="10" t="s">
        <v>1514</v>
      </c>
      <c r="C44" s="14">
        <f>_xll.BDH("AMGN US Equity","GEO_GROW_DILUTED_EPS_CONT_OPS","FQ4 2018","FQ4 2018","Currency=USD","Period=FQ","BEST_FPERIOD_OVERRIDE=FQ","FILING_STATUS=MR","Sort=A","Dates=H","DateFormat=P","Fill=—","Direction=H","UseDPDF=Y")</f>
        <v>17.276399999999999</v>
      </c>
      <c r="D44" s="14">
        <f>_xll.BDH("AMGN US Equity","GEO_GROW_DILUTED_EPS_CONT_OPS","FQ1 2019","FQ1 2019","Currency=USD","Period=FQ","BEST_FPERIOD_OVERRIDE=FQ","FILING_STATUS=MR","Sort=A","Dates=H","DateFormat=P","Fill=—","Direction=H","UseDPDF=Y")</f>
        <v>16.372499999999999</v>
      </c>
      <c r="E44" s="14">
        <f>_xll.BDH("AMGN US Equity","GEO_GROW_DILUTED_EPS_CONT_OPS","FQ2 2019","FQ2 2019","Currency=USD","Period=FQ","BEST_FPERIOD_OVERRIDE=FQ","FILING_STATUS=MR","Sort=A","Dates=H","DateFormat=P","Fill=—","Direction=H","UseDPDF=Y")</f>
        <v>12.3178</v>
      </c>
      <c r="F44" s="14">
        <f>_xll.BDH("AMGN US Equity","GEO_GROW_DILUTED_EPS_CONT_OPS","FQ3 2019","FQ3 2019","Currency=USD","Period=FQ","BEST_FPERIOD_OVERRIDE=FQ","FILING_STATUS=MR","Sort=A","Dates=H","DateFormat=P","Fill=—","Direction=H","UseDPDF=Y")</f>
        <v>11.769600000000001</v>
      </c>
      <c r="G44" s="14">
        <f>_xll.BDH("AMGN US Equity","GEO_GROW_DILUTED_EPS_CONT_OPS","FQ4 2019","FQ4 2019","Currency=USD","Period=FQ","BEST_FPERIOD_OVERRIDE=FQ","FILING_STATUS=MR","Sort=A","Dates=H","DateFormat=P","Fill=—","Direction=H","UseDPDF=Y")</f>
        <v>9.0260999999999996</v>
      </c>
      <c r="H44" s="14">
        <f>_xll.BDH("AMGN US Equity","GEO_GROW_DILUTED_EPS_CONT_OPS","FQ1 2020","FQ1 2020","Currency=USD","Period=FQ","BEST_FPERIOD_OVERRIDE=FQ","FILING_STATUS=MR","Sort=A","Dates=H","DateFormat=P","Fill=—","Direction=H","UseDPDF=Y")</f>
        <v>5.0471000000000004</v>
      </c>
      <c r="I44" s="14">
        <f>_xll.BDH("AMGN US Equity","GEO_GROW_DILUTED_EPS_CONT_OPS","FQ2 2020","FQ2 2020","Currency=USD","Period=FQ","BEST_FPERIOD_OVERRIDE=FQ","FILING_STATUS=MR","Sort=A","Dates=H","DateFormat=P","Fill=—","Direction=H","UseDPDF=Y")</f>
        <v>6.7637</v>
      </c>
      <c r="J44" s="14">
        <f>_xll.BDH("AMGN US Equity","GEO_GROW_DILUTED_EPS_CONT_OPS","FQ3 2020","FQ3 2020","Currency=USD","Period=FQ","BEST_FPERIOD_OVERRIDE=FQ","FILING_STATUS=MR","Sort=A","Dates=H","DateFormat=P","Fill=—","Direction=H","UseDPDF=Y")</f>
        <v>12.308199999999999</v>
      </c>
      <c r="K44" s="14">
        <f>_xll.BDH("AMGN US Equity","GEO_GROW_DILUTED_EPS_CONT_OPS","FQ4 2020","FQ4 2020","Currency=USD","Period=FQ","BEST_FPERIOD_OVERRIDE=FQ","FILING_STATUS=MR","Sort=A","Dates=H","DateFormat=P","Fill=—","Direction=H","UseDPDF=Y")</f>
        <v>4.6303999999999998</v>
      </c>
      <c r="L44" s="14">
        <f>_xll.BDH("AMGN US Equity","GEO_GROW_DILUTED_EPS_CONT_OPS","FQ1 2021","FQ1 2021","Currency=USD","Period=FQ","BEST_FPERIOD_OVERRIDE=FQ","FILING_STATUS=MR","Sort=A","Dates=H","DateFormat=P","Fill=—","Direction=H","UseDPDF=Y")</f>
        <v>7.165</v>
      </c>
      <c r="M44" s="14">
        <f>_xll.BDH("AMGN US Equity","GEO_GROW_DILUTED_EPS_CONT_OPS","FQ2 2021","FQ2 2021","Currency=USD","Period=FQ","BEST_FPERIOD_OVERRIDE=FQ","FILING_STATUS=MR","Sort=A","Dates=H","DateFormat=P","Fill=—","Direction=H","UseDPDF=Y")</f>
        <v>11.361700000000001</v>
      </c>
      <c r="N44" s="14">
        <f>_xll.BDH("AMGN US Equity","GEO_GROW_DILUTED_EPS_CONT_OPS","FQ3 2021","FQ3 2021","Currency=USD","Period=FQ","BEST_FPERIOD_OVERRIDE=FQ","FILING_STATUS=MR","Sort=A","Dates=H","DateFormat=P","Fill=—","Direction=H","UseDPDF=Y")</f>
        <v>-1.1508</v>
      </c>
      <c r="O44" s="14">
        <f>_xll.BDH("AMGN US Equity","GEO_GROW_DILUTED_EPS_CONT_OPS","FQ4 2021","FQ4 2021","Currency=USD","Period=FQ","BEST_FPERIOD_OVERRIDE=FQ","FILING_STATUS=MR","Sort=A","Dates=H","DateFormat=P","Fill=—","Direction=H","UseDPDF=Y")</f>
        <v>4.5082000000000004</v>
      </c>
      <c r="P44" s="14">
        <f>_xll.BDH("AMGN US Equity","GEO_GROW_DILUTED_EPS_CONT_OPS","FQ1 2022","FQ1 2022","Currency=USD","Period=FQ","BEST_FPERIOD_OVERRIDE=FQ","FILING_STATUS=MR","Sort=A","Dates=H","DateFormat=P","Fill=—","Direction=H","UseDPDF=Y")</f>
        <v>8.3553999999999995</v>
      </c>
      <c r="Q44" s="14">
        <f>_xll.BDH("AMGN US Equity","GEO_GROW_DILUTED_EPS_CONT_OPS","FQ2 2022","FQ2 2022","Currency=USD","Period=FQ","BEST_FPERIOD_OVERRIDE=FQ","FILING_STATUS=MR","Sort=A","Dates=H","DateFormat=P","Fill=—","Direction=H","UseDPDF=Y")</f>
        <v>9.3777000000000008</v>
      </c>
      <c r="R44" s="14">
        <f>_xll.BDH("AMGN US Equity","GEO_GROW_DILUTED_EPS_CONT_OPS","FQ3 2022","FQ3 2022","Currency=USD","Period=FQ","BEST_FPERIOD_OVERRIDE=FQ","FILING_STATUS=MR","Sort=A","Dates=H","DateFormat=P","Fill=—","Direction=H","UseDPDF=Y")</f>
        <v>4.5749000000000004</v>
      </c>
      <c r="S44" s="14">
        <f>_xll.BDH("AMGN US Equity","GEO_GROW_DILUTED_EPS_CONT_OPS","FQ4 2022","FQ4 2022","Currency=USD","Period=FQ","BEST_FPERIOD_OVERRIDE=FQ","FILING_STATUS=MR","Sort=A","Dates=H","DateFormat=P","Fill=—","Direction=H","UseDPDF=Y")</f>
        <v>1.2624</v>
      </c>
      <c r="T44" s="14">
        <f>_xll.BDH("AMGN US Equity","GEO_GROW_DILUTED_EPS_CONT_OPS","FQ1 2023","FQ1 2023","Currency=USD","Period=FQ","BEST_FPERIOD_OVERRIDE=FQ","FILING_STATUS=MR","Sort=A","Dates=H","DateFormat=P","Fill=—","Direction=H","UseDPDF=Y")</f>
        <v>2.573</v>
      </c>
      <c r="U44" s="14">
        <f>_xll.BDH("AMGN US Equity","GEO_GROW_DILUTED_EPS_CONT_OPS","FQ2 2023","FQ2 2023","Currency=USD","Period=FQ","BEST_FPERIOD_OVERRIDE=FQ","FILING_STATUS=MR","Sort=A","Dates=H","DateFormat=P","Fill=—","Direction=H","UseDPDF=Y")</f>
        <v>-0.11409999999999999</v>
      </c>
      <c r="V44" s="14">
        <f>_xll.BDH("AMGN US Equity","GEO_GROW_DILUTED_EPS_CONT_OPS","FQ3 2023","FQ3 2023","Currency=USD","Period=FQ","BEST_FPERIOD_OVERRIDE=FQ","FILING_STATUS=MR","Sort=A","Dates=H","DateFormat=P","Fill=—","Direction=H","UseDPDF=Y")</f>
        <v>3.2149000000000001</v>
      </c>
      <c r="W44" s="14">
        <f>_xll.BDH("AMGN US Equity","GEO_GROW_DILUTED_EPS_CONT_OPS","FQ4 2023","FQ4 2023","Currency=USD","Period=FQ","BEST_FPERIOD_OVERRIDE=FQ","FILING_STATUS=MR","Sort=A","Dates=H","DateFormat=P","Fill=—","Direction=H","UseDPDF=Y")</f>
        <v>-9.2082999999999995</v>
      </c>
      <c r="X44" s="14">
        <f>_xll.BDH("AMGN US Equity","GEO_GROW_DILUTED_EPS_CONT_OPS","FQ1 2024","FQ1 2024","Currency=USD","Period=FQ","BEST_FPERIOD_OVERRIDE=FQ","FILING_STATUS=MR","Sort=A","Dates=H","DateFormat=P","Fill=—","Direction=H","UseDPDF=Y")</f>
        <v>-24.055900000000001</v>
      </c>
      <c r="Y44" s="14">
        <f>_xll.BDH("AMGN US Equity","GEO_GROW_DILUTED_EPS_CONT_OPS","FQ2 2024","FQ2 2024","Currency=USD","Period=FQ","BEST_FPERIOD_OVERRIDE=FQ","FILING_STATUS=MR","Sort=A","Dates=H","DateFormat=P","Fill=—","Direction=H","UseDPDF=Y")</f>
        <v>-9.0949000000000009</v>
      </c>
      <c r="Z44" s="14">
        <f>_xll.BDH("AMGN US Equity","GEO_GROW_DILUTED_EPS_CONT_OPS","FQ3 2024","FQ3 2024","Currency=USD","Period=FQ","BEST_FPERIOD_OVERRIDE=FQ","FILING_STATUS=MR","Sort=A","Dates=H","DateFormat=P","Fill=—","Direction=H","UseDPDF=Y")</f>
        <v>2.7982</v>
      </c>
      <c r="AA44" s="14">
        <f>_xll.BDH("AMGN US Equity","GEO_GROW_DILUTED_EPS_CONT_OPS","FQ4 2024","FQ4 2024","Currency=USD","Period=FQ","BEST_FPERIOD_OVERRIDE=FQ","FILING_STATUS=MR","Sort=A","Dates=H","DateFormat=P","Fill=—","Direction=H","UseDPDF=Y")</f>
        <v>-3.8967999999999998</v>
      </c>
    </row>
    <row r="45" spans="1:27" x14ac:dyDescent="0.25">
      <c r="A45" s="10" t="s">
        <v>1474</v>
      </c>
      <c r="B45" s="10" t="s">
        <v>1515</v>
      </c>
      <c r="C45" s="14">
        <f>_xll.BDH("AMGN US Equity","GEO_GROW_DVD_PER_SH","FQ4 2018","FQ4 2018","Currency=USD","Period=FQ","BEST_FPERIOD_OVERRIDE=FQ","FILING_STATUS=MR","Sort=A","Dates=H","DateFormat=P","Fill=—","Direction=H","UseDPDF=Y")</f>
        <v>22.9406</v>
      </c>
      <c r="D45" s="14">
        <f>_xll.BDH("AMGN US Equity","GEO_GROW_DVD_PER_SH","FQ1 2019","FQ1 2019","Currency=USD","Period=FQ","BEST_FPERIOD_OVERRIDE=FQ","FILING_STATUS=MR","Sort=A","Dates=H","DateFormat=P","Fill=—","Direction=H","UseDPDF=Y")</f>
        <v>18.9071</v>
      </c>
      <c r="E45" s="14">
        <f>_xll.BDH("AMGN US Equity","GEO_GROW_DVD_PER_SH","FQ2 2019","FQ2 2019","Currency=USD","Period=FQ","BEST_FPERIOD_OVERRIDE=FQ","FILING_STATUS=MR","Sort=A","Dates=H","DateFormat=P","Fill=—","Direction=H","UseDPDF=Y")</f>
        <v>18.9071</v>
      </c>
      <c r="F45" s="14">
        <f>_xll.BDH("AMGN US Equity","GEO_GROW_DVD_PER_SH","FQ3 2019","FQ3 2019","Currency=USD","Period=FQ","BEST_FPERIOD_OVERRIDE=FQ","FILING_STATUS=MR","Sort=A","Dates=H","DateFormat=P","Fill=—","Direction=H","UseDPDF=Y")</f>
        <v>18.9071</v>
      </c>
      <c r="G45" s="14">
        <f>_xll.BDH("AMGN US Equity","GEO_GROW_DVD_PER_SH","FQ4 2019","FQ4 2019","Currency=USD","Period=FQ","BEST_FPERIOD_OVERRIDE=FQ","FILING_STATUS=MR","Sort=A","Dates=H","DateFormat=P","Fill=—","Direction=H","UseDPDF=Y")</f>
        <v>18.9071</v>
      </c>
      <c r="H45" s="14">
        <f>_xll.BDH("AMGN US Equity","GEO_GROW_DVD_PER_SH","FQ1 2020","FQ1 2020","Currency=USD","Period=FQ","BEST_FPERIOD_OVERRIDE=FQ","FILING_STATUS=MR","Sort=A","Dates=H","DateFormat=P","Fill=—","Direction=H","UseDPDF=Y")</f>
        <v>15.1592</v>
      </c>
      <c r="I45" s="14">
        <f>_xll.BDH("AMGN US Equity","GEO_GROW_DVD_PER_SH","FQ2 2020","FQ2 2020","Currency=USD","Period=FQ","BEST_FPERIOD_OVERRIDE=FQ","FILING_STATUS=MR","Sort=A","Dates=H","DateFormat=P","Fill=—","Direction=H","UseDPDF=Y")</f>
        <v>15.1592</v>
      </c>
      <c r="J45" s="14">
        <f>_xll.BDH("AMGN US Equity","GEO_GROW_DVD_PER_SH","FQ3 2020","FQ3 2020","Currency=USD","Period=FQ","BEST_FPERIOD_OVERRIDE=FQ","FILING_STATUS=MR","Sort=A","Dates=H","DateFormat=P","Fill=—","Direction=H","UseDPDF=Y")</f>
        <v>15.1592</v>
      </c>
      <c r="K45" s="14">
        <f>_xll.BDH("AMGN US Equity","GEO_GROW_DVD_PER_SH","FQ4 2020","FQ4 2020","Currency=USD","Period=FQ","BEST_FPERIOD_OVERRIDE=FQ","FILING_STATUS=MR","Sort=A","Dates=H","DateFormat=P","Fill=—","Direction=H","UseDPDF=Y")</f>
        <v>15.1592</v>
      </c>
      <c r="L45" s="14">
        <f>_xll.BDH("AMGN US Equity","GEO_GROW_DVD_PER_SH","FQ1 2021","FQ1 2021","Currency=USD","Period=FQ","BEST_FPERIOD_OVERRIDE=FQ","FILING_STATUS=MR","Sort=A","Dates=H","DateFormat=P","Fill=—","Direction=H","UseDPDF=Y")</f>
        <v>11.9702</v>
      </c>
      <c r="M45" s="14">
        <f>_xll.BDH("AMGN US Equity","GEO_GROW_DVD_PER_SH","FQ2 2021","FQ2 2021","Currency=USD","Period=FQ","BEST_FPERIOD_OVERRIDE=FQ","FILING_STATUS=MR","Sort=A","Dates=H","DateFormat=P","Fill=—","Direction=H","UseDPDF=Y")</f>
        <v>11.9702</v>
      </c>
      <c r="N45" s="14">
        <f>_xll.BDH("AMGN US Equity","GEO_GROW_DVD_PER_SH","FQ3 2021","FQ3 2021","Currency=USD","Period=FQ","BEST_FPERIOD_OVERRIDE=FQ","FILING_STATUS=MR","Sort=A","Dates=H","DateFormat=P","Fill=—","Direction=H","UseDPDF=Y")</f>
        <v>11.9702</v>
      </c>
      <c r="O45" s="14">
        <f>_xll.BDH("AMGN US Equity","GEO_GROW_DVD_PER_SH","FQ4 2021","FQ4 2021","Currency=USD","Period=FQ","BEST_FPERIOD_OVERRIDE=FQ","FILING_STATUS=MR","Sort=A","Dates=H","DateFormat=P","Fill=—","Direction=H","UseDPDF=Y")</f>
        <v>11.9702</v>
      </c>
      <c r="P45" s="14">
        <f>_xll.BDH("AMGN US Equity","GEO_GROW_DVD_PER_SH","FQ1 2022","FQ1 2022","Currency=USD","Period=FQ","BEST_FPERIOD_OVERRIDE=FQ","FILING_STATUS=MR","Sort=A","Dates=H","DateFormat=P","Fill=—","Direction=H","UseDPDF=Y")</f>
        <v>11.025</v>
      </c>
      <c r="Q45" s="14">
        <f>_xll.BDH("AMGN US Equity","GEO_GROW_DVD_PER_SH","FQ2 2022","FQ2 2022","Currency=USD","Period=FQ","BEST_FPERIOD_OVERRIDE=FQ","FILING_STATUS=MR","Sort=A","Dates=H","DateFormat=P","Fill=—","Direction=H","UseDPDF=Y")</f>
        <v>11.025</v>
      </c>
      <c r="R45" s="14">
        <f>_xll.BDH("AMGN US Equity","GEO_GROW_DVD_PER_SH","FQ3 2022","FQ3 2022","Currency=USD","Period=FQ","BEST_FPERIOD_OVERRIDE=FQ","FILING_STATUS=MR","Sort=A","Dates=H","DateFormat=P","Fill=—","Direction=H","UseDPDF=Y")</f>
        <v>11.025</v>
      </c>
      <c r="S45" s="14">
        <f>_xll.BDH("AMGN US Equity","GEO_GROW_DVD_PER_SH","FQ4 2022","FQ4 2022","Currency=USD","Period=FQ","BEST_FPERIOD_OVERRIDE=FQ","FILING_STATUS=MR","Sort=A","Dates=H","DateFormat=P","Fill=—","Direction=H","UseDPDF=Y")</f>
        <v>11.025</v>
      </c>
      <c r="T45" s="14">
        <f>_xll.BDH("AMGN US Equity","GEO_GROW_DVD_PER_SH","FQ1 2023","FQ1 2023","Currency=USD","Period=FQ","BEST_FPERIOD_OVERRIDE=FQ","FILING_STATUS=MR","Sort=A","Dates=H","DateFormat=P","Fill=—","Direction=H","UseDPDF=Y")</f>
        <v>10.0427</v>
      </c>
      <c r="U45" s="14">
        <f>_xll.BDH("AMGN US Equity","GEO_GROW_DVD_PER_SH","FQ2 2023","FQ2 2023","Currency=USD","Period=FQ","BEST_FPERIOD_OVERRIDE=FQ","FILING_STATUS=MR","Sort=A","Dates=H","DateFormat=P","Fill=—","Direction=H","UseDPDF=Y")</f>
        <v>10.0427</v>
      </c>
      <c r="V45" s="14">
        <f>_xll.BDH("AMGN US Equity","GEO_GROW_DVD_PER_SH","FQ3 2023","FQ3 2023","Currency=USD","Period=FQ","BEST_FPERIOD_OVERRIDE=FQ","FILING_STATUS=MR","Sort=A","Dates=H","DateFormat=P","Fill=—","Direction=H","UseDPDF=Y")</f>
        <v>10.0427</v>
      </c>
      <c r="W45" s="14">
        <f>_xll.BDH("AMGN US Equity","GEO_GROW_DVD_PER_SH","FQ4 2023","FQ4 2023","Currency=USD","Period=FQ","BEST_FPERIOD_OVERRIDE=FQ","FILING_STATUS=MR","Sort=A","Dates=H","DateFormat=P","Fill=—","Direction=H","UseDPDF=Y")</f>
        <v>10.0427</v>
      </c>
      <c r="X45" s="14">
        <f>_xll.BDH("AMGN US Equity","GEO_GROW_DVD_PER_SH","FQ1 2024","FQ1 2024","Currency=USD","Period=FQ","BEST_FPERIOD_OVERRIDE=FQ","FILING_STATUS=MR","Sort=A","Dates=H","DateFormat=P","Fill=—","Direction=H","UseDPDF=Y")</f>
        <v>9.1850000000000005</v>
      </c>
      <c r="Y45" s="14">
        <f>_xll.BDH("AMGN US Equity","GEO_GROW_DVD_PER_SH","FQ2 2024","FQ2 2024","Currency=USD","Period=FQ","BEST_FPERIOD_OVERRIDE=FQ","FILING_STATUS=MR","Sort=A","Dates=H","DateFormat=P","Fill=—","Direction=H","UseDPDF=Y")</f>
        <v>9.1850000000000005</v>
      </c>
      <c r="Z45" s="14">
        <f>_xll.BDH("AMGN US Equity","GEO_GROW_DVD_PER_SH","FQ3 2024","FQ3 2024","Currency=USD","Period=FQ","BEST_FPERIOD_OVERRIDE=FQ","FILING_STATUS=MR","Sort=A","Dates=H","DateFormat=P","Fill=—","Direction=H","UseDPDF=Y")</f>
        <v>9.1850000000000005</v>
      </c>
      <c r="AA45" s="14">
        <f>_xll.BDH("AMGN US Equity","GEO_GROW_DVD_PER_SH","FQ4 2024","FQ4 2024","Currency=USD","Period=FQ","BEST_FPERIOD_OVERRIDE=FQ","FILING_STATUS=MR","Sort=A","Dates=H","DateFormat=P","Fill=—","Direction=H","UseDPDF=Y")</f>
        <v>9.1850000000000005</v>
      </c>
    </row>
    <row r="46" spans="1:27" x14ac:dyDescent="0.25">
      <c r="A46" s="10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x14ac:dyDescent="0.25">
      <c r="A47" s="10" t="s">
        <v>1476</v>
      </c>
      <c r="B47" s="10" t="s">
        <v>1516</v>
      </c>
      <c r="C47" s="14">
        <f>_xll.BDH("AMGN US Equity","ACCOUNTS_RECEIVABLE_5_YR_GROWTH","FQ4 2018","FQ4 2018","Currency=USD","Period=FQ","BEST_FPERIOD_OVERRIDE=FQ","FILING_STATUS=MR","Sort=A","Dates=H","DateFormat=P","Fill=—","Direction=H","UseDPDF=Y")</f>
        <v>5.8280000000000003</v>
      </c>
      <c r="D47" s="14">
        <f>_xll.BDH("AMGN US Equity","ACCOUNTS_RECEIVABLE_5_YR_GROWTH","FQ1 2019","FQ1 2019","Currency=USD","Period=FQ","BEST_FPERIOD_OVERRIDE=FQ","FILING_STATUS=MR","Sort=A","Dates=H","DateFormat=P","Fill=—","Direction=H","UseDPDF=Y")</f>
        <v>8.4472000000000005</v>
      </c>
      <c r="E47" s="14">
        <f>_xll.BDH("AMGN US Equity","ACCOUNTS_RECEIVABLE_5_YR_GROWTH","FQ2 2019","FQ2 2019","Currency=USD","Period=FQ","BEST_FPERIOD_OVERRIDE=FQ","FILING_STATUS=MR","Sort=A","Dates=H","DateFormat=P","Fill=—","Direction=H","UseDPDF=Y")</f>
        <v>7.1033999999999997</v>
      </c>
      <c r="F47" s="14">
        <f>_xll.BDH("AMGN US Equity","ACCOUNTS_RECEIVABLE_5_YR_GROWTH","FQ3 2019","FQ3 2019","Currency=USD","Period=FQ","BEST_FPERIOD_OVERRIDE=FQ","FILING_STATUS=MR","Sort=A","Dates=H","DateFormat=P","Fill=—","Direction=H","UseDPDF=Y")</f>
        <v>8.8948</v>
      </c>
      <c r="G47" s="14">
        <f>_xll.BDH("AMGN US Equity","ACCOUNTS_RECEIVABLE_5_YR_GROWTH","FQ4 2019","FQ4 2019","Currency=USD","Period=FQ","BEST_FPERIOD_OVERRIDE=FQ","FILING_STATUS=MR","Sort=A","Dates=H","DateFormat=P","Fill=—","Direction=H","UseDPDF=Y")</f>
        <v>9.7664000000000009</v>
      </c>
      <c r="H47" s="14">
        <f>_xll.BDH("AMGN US Equity","ACCOUNTS_RECEIVABLE_5_YR_GROWTH","FQ1 2020","FQ1 2020","Currency=USD","Period=FQ","BEST_FPERIOD_OVERRIDE=FQ","FILING_STATUS=MR","Sort=A","Dates=H","DateFormat=P","Fill=—","Direction=H","UseDPDF=Y")</f>
        <v>14.4749</v>
      </c>
      <c r="I47" s="14">
        <f>_xll.BDH("AMGN US Equity","ACCOUNTS_RECEIVABLE_5_YR_GROWTH","FQ2 2020","FQ2 2020","Currency=USD","Period=FQ","BEST_FPERIOD_OVERRIDE=FQ","FILING_STATUS=MR","Sort=A","Dates=H","DateFormat=P","Fill=—","Direction=H","UseDPDF=Y")</f>
        <v>14.065</v>
      </c>
      <c r="J47" s="14">
        <f>_xll.BDH("AMGN US Equity","ACCOUNTS_RECEIVABLE_5_YR_GROWTH","FQ3 2020","FQ3 2020","Currency=USD","Period=FQ","BEST_FPERIOD_OVERRIDE=FQ","FILING_STATUS=MR","Sort=A","Dates=H","DateFormat=P","Fill=—","Direction=H","UseDPDF=Y")</f>
        <v>7.1322000000000001</v>
      </c>
      <c r="K47" s="14">
        <f>_xll.BDH("AMGN US Equity","ACCOUNTS_RECEIVABLE_5_YR_GROWTH","FQ4 2020","FQ4 2020","Currency=USD","Period=FQ","BEST_FPERIOD_OVERRIDE=FQ","FILING_STATUS=MR","Sort=A","Dates=H","DateFormat=P","Fill=—","Direction=H","UseDPDF=Y")</f>
        <v>8.6036000000000001</v>
      </c>
      <c r="L47" s="14">
        <f>_xll.BDH("AMGN US Equity","ACCOUNTS_RECEIVABLE_5_YR_GROWTH","FQ1 2021","FQ1 2021","Currency=USD","Period=FQ","BEST_FPERIOD_OVERRIDE=FQ","FILING_STATUS=MR","Sort=A","Dates=H","DateFormat=P","Fill=—","Direction=H","UseDPDF=Y")</f>
        <v>7.5201000000000002</v>
      </c>
      <c r="M47" s="14">
        <f>_xll.BDH("AMGN US Equity","ACCOUNTS_RECEIVABLE_5_YR_GROWTH","FQ2 2021","FQ2 2021","Currency=USD","Period=FQ","BEST_FPERIOD_OVERRIDE=FQ","FILING_STATUS=MR","Sort=A","Dates=H","DateFormat=P","Fill=—","Direction=H","UseDPDF=Y")</f>
        <v>7.7910000000000004</v>
      </c>
      <c r="N47" s="14">
        <f>_xll.BDH("AMGN US Equity","ACCOUNTS_RECEIVABLE_5_YR_GROWTH","FQ3 2021","FQ3 2021","Currency=USD","Period=FQ","BEST_FPERIOD_OVERRIDE=FQ","FILING_STATUS=MR","Sort=A","Dates=H","DateFormat=P","Fill=—","Direction=H","UseDPDF=Y")</f>
        <v>8.3835999999999995</v>
      </c>
      <c r="O47" s="14">
        <f>_xll.BDH("AMGN US Equity","ACCOUNTS_RECEIVABLE_5_YR_GROWTH","FQ4 2021","FQ4 2021","Currency=USD","Period=FQ","BEST_FPERIOD_OVERRIDE=FQ","FILING_STATUS=MR","Sort=A","Dates=H","DateFormat=P","Fill=—","Direction=H","UseDPDF=Y")</f>
        <v>9.1128</v>
      </c>
      <c r="P47" s="14">
        <f>_xll.BDH("AMGN US Equity","ACCOUNTS_RECEIVABLE_5_YR_GROWTH","FQ1 2022","FQ1 2022","Currency=USD","Period=FQ","BEST_FPERIOD_OVERRIDE=FQ","FILING_STATUS=MR","Sort=A","Dates=H","DateFormat=P","Fill=—","Direction=H","UseDPDF=Y")</f>
        <v>9.3447999999999993</v>
      </c>
      <c r="Q47" s="14">
        <f>_xll.BDH("AMGN US Equity","ACCOUNTS_RECEIVABLE_5_YR_GROWTH","FQ2 2022","FQ2 2022","Currency=USD","Period=FQ","BEST_FPERIOD_OVERRIDE=FQ","FILING_STATUS=MR","Sort=A","Dates=H","DateFormat=P","Fill=—","Direction=H","UseDPDF=Y")</f>
        <v>8.3942999999999994</v>
      </c>
      <c r="R47" s="14">
        <f>_xll.BDH("AMGN US Equity","ACCOUNTS_RECEIVABLE_5_YR_GROWTH","FQ3 2022","FQ3 2022","Currency=USD","Period=FQ","BEST_FPERIOD_OVERRIDE=FQ","FILING_STATUS=MR","Sort=A","Dates=H","DateFormat=P","Fill=—","Direction=H","UseDPDF=Y")</f>
        <v>9.3659999999999997</v>
      </c>
      <c r="S47" s="14">
        <f>_xll.BDH("AMGN US Equity","ACCOUNTS_RECEIVABLE_5_YR_GROWTH","FQ4 2022","FQ4 2022","Currency=USD","Period=FQ","BEST_FPERIOD_OVERRIDE=FQ","FILING_STATUS=MR","Sort=A","Dates=H","DateFormat=P","Fill=—","Direction=H","UseDPDF=Y")</f>
        <v>11.438000000000001</v>
      </c>
      <c r="T47" s="14">
        <f>_xll.BDH("AMGN US Equity","ACCOUNTS_RECEIVABLE_5_YR_GROWTH","FQ1 2023","FQ1 2023","Currency=USD","Period=FQ","BEST_FPERIOD_OVERRIDE=FQ","FILING_STATUS=MR","Sort=A","Dates=H","DateFormat=P","Fill=—","Direction=H","UseDPDF=Y")</f>
        <v>9.5641999999999996</v>
      </c>
      <c r="U47" s="14">
        <f>_xll.BDH("AMGN US Equity","ACCOUNTS_RECEIVABLE_5_YR_GROWTH","FQ2 2023","FQ2 2023","Currency=USD","Period=FQ","BEST_FPERIOD_OVERRIDE=FQ","FILING_STATUS=MR","Sort=A","Dates=H","DateFormat=P","Fill=—","Direction=H","UseDPDF=Y")</f>
        <v>10.7187</v>
      </c>
      <c r="V47" s="14">
        <f>_xll.BDH("AMGN US Equity","ACCOUNTS_RECEIVABLE_5_YR_GROWTH","FQ3 2023","FQ3 2023","Currency=USD","Period=FQ","BEST_FPERIOD_OVERRIDE=FQ","FILING_STATUS=MR","Sort=A","Dates=H","DateFormat=P","Fill=—","Direction=H","UseDPDF=Y")</f>
        <v>12.296799999999999</v>
      </c>
      <c r="W47" s="14">
        <f>_xll.BDH("AMGN US Equity","ACCOUNTS_RECEIVABLE_5_YR_GROWTH","FQ4 2023","FQ4 2023","Currency=USD","Period=FQ","BEST_FPERIOD_OVERRIDE=FQ","FILING_STATUS=MR","Sort=A","Dates=H","DateFormat=P","Fill=—","Direction=H","UseDPDF=Y")</f>
        <v>15.2143</v>
      </c>
      <c r="X47" s="14">
        <f>_xll.BDH("AMGN US Equity","ACCOUNTS_RECEIVABLE_5_YR_GROWTH","FQ1 2024","FQ1 2024","Currency=USD","Period=FQ","BEST_FPERIOD_OVERRIDE=FQ","FILING_STATUS=MR","Sort=A","Dates=H","DateFormat=P","Fill=—","Direction=H","UseDPDF=Y")</f>
        <v>12.435499999999999</v>
      </c>
      <c r="Y47" s="14">
        <f>_xll.BDH("AMGN US Equity","ACCOUNTS_RECEIVABLE_5_YR_GROWTH","FQ2 2024","FQ2 2024","Currency=USD","Period=FQ","BEST_FPERIOD_OVERRIDE=FQ","FILING_STATUS=MR","Sort=A","Dates=H","DateFormat=P","Fill=—","Direction=H","UseDPDF=Y")</f>
        <v>12.7761</v>
      </c>
      <c r="Z47" s="14">
        <f>_xll.BDH("AMGN US Equity","ACCOUNTS_RECEIVABLE_5_YR_GROWTH","FQ3 2024","FQ3 2024","Currency=USD","Period=FQ","BEST_FPERIOD_OVERRIDE=FQ","FILING_STATUS=MR","Sort=A","Dates=H","DateFormat=P","Fill=—","Direction=H","UseDPDF=Y")</f>
        <v>15.202400000000001</v>
      </c>
      <c r="AA47" s="14">
        <f>_xll.BDH("AMGN US Equity","ACCOUNTS_RECEIVABLE_5_YR_GROWTH","FQ4 2024","FQ4 2024","Currency=USD","Period=FQ","BEST_FPERIOD_OVERRIDE=FQ","FILING_STATUS=MR","Sort=A","Dates=H","DateFormat=P","Fill=—","Direction=H","UseDPDF=Y")</f>
        <v>10.8232</v>
      </c>
    </row>
    <row r="48" spans="1:27" x14ac:dyDescent="0.25">
      <c r="A48" s="10" t="s">
        <v>1478</v>
      </c>
      <c r="B48" s="10" t="s">
        <v>1517</v>
      </c>
      <c r="C48" s="14">
        <f>_xll.BDH("AMGN US Equity","INVENTORY_5_YEAR_GROWTH","FQ4 2018","FQ4 2018","Currency=USD","Period=FQ","BEST_FPERIOD_OVERRIDE=FQ","FILING_STATUS=MR","Sort=A","Dates=H","DateFormat=P","Fill=—","Direction=H","UseDPDF=Y")</f>
        <v>-0.52890000000000004</v>
      </c>
      <c r="D48" s="14">
        <f>_xll.BDH("AMGN US Equity","INVENTORY_5_YEAR_GROWTH","FQ1 2019","FQ1 2019","Currency=USD","Period=FQ","BEST_FPERIOD_OVERRIDE=FQ","FILING_STATUS=MR","Sort=A","Dates=H","DateFormat=P","Fill=—","Direction=H","UseDPDF=Y")</f>
        <v>0.33489999999999998</v>
      </c>
      <c r="E48" s="14">
        <f>_xll.BDH("AMGN US Equity","INVENTORY_5_YEAR_GROWTH","FQ2 2019","FQ2 2019","Currency=USD","Period=FQ","BEST_FPERIOD_OVERRIDE=FQ","FILING_STATUS=MR","Sort=A","Dates=H","DateFormat=P","Fill=—","Direction=H","UseDPDF=Y")</f>
        <v>1.4598</v>
      </c>
      <c r="F48" s="14">
        <f>_xll.BDH("AMGN US Equity","INVENTORY_5_YEAR_GROWTH","FQ3 2019","FQ3 2019","Currency=USD","Period=FQ","BEST_FPERIOD_OVERRIDE=FQ","FILING_STATUS=MR","Sort=A","Dates=H","DateFormat=P","Fill=—","Direction=H","UseDPDF=Y")</f>
        <v>2.3671000000000002</v>
      </c>
      <c r="G48" s="14">
        <f>_xll.BDH("AMGN US Equity","INVENTORY_5_YEAR_GROWTH","FQ4 2019","FQ4 2019","Currency=USD","Period=FQ","BEST_FPERIOD_OVERRIDE=FQ","FILING_STATUS=MR","Sort=A","Dates=H","DateFormat=P","Fill=—","Direction=H","UseDPDF=Y")</f>
        <v>6.2484999999999999</v>
      </c>
      <c r="H48" s="14">
        <f>_xll.BDH("AMGN US Equity","INVENTORY_5_YEAR_GROWTH","FQ1 2020","FQ1 2020","Currency=USD","Period=FQ","BEST_FPERIOD_OVERRIDE=FQ","FILING_STATUS=MR","Sort=A","Dates=H","DateFormat=P","Fill=—","Direction=H","UseDPDF=Y")</f>
        <v>6.5113000000000003</v>
      </c>
      <c r="I48" s="14">
        <f>_xll.BDH("AMGN US Equity","INVENTORY_5_YEAR_GROWTH","FQ2 2020","FQ2 2020","Currency=USD","Period=FQ","BEST_FPERIOD_OVERRIDE=FQ","FILING_STATUS=MR","Sort=A","Dates=H","DateFormat=P","Fill=—","Direction=H","UseDPDF=Y")</f>
        <v>8.3879999999999999</v>
      </c>
      <c r="J48" s="14">
        <f>_xll.BDH("AMGN US Equity","INVENTORY_5_YEAR_GROWTH","FQ3 2020","FQ3 2020","Currency=USD","Period=FQ","BEST_FPERIOD_OVERRIDE=FQ","FILING_STATUS=MR","Sort=A","Dates=H","DateFormat=P","Fill=—","Direction=H","UseDPDF=Y")</f>
        <v>9.266</v>
      </c>
      <c r="K48" s="14">
        <f>_xll.BDH("AMGN US Equity","INVENTORY_5_YEAR_GROWTH","FQ4 2020","FQ4 2020","Currency=USD","Period=FQ","BEST_FPERIOD_OVERRIDE=FQ","FILING_STATUS=MR","Sort=A","Dates=H","DateFormat=P","Fill=—","Direction=H","UseDPDF=Y")</f>
        <v>9.8391000000000002</v>
      </c>
      <c r="L48" s="14">
        <f>_xll.BDH("AMGN US Equity","INVENTORY_5_YEAR_GROWTH","FQ1 2021","FQ1 2021","Currency=USD","Period=FQ","BEST_FPERIOD_OVERRIDE=FQ","FILING_STATUS=MR","Sort=A","Dates=H","DateFormat=P","Fill=—","Direction=H","UseDPDF=Y")</f>
        <v>9.3267000000000007</v>
      </c>
      <c r="M48" s="14">
        <f>_xll.BDH("AMGN US Equity","INVENTORY_5_YEAR_GROWTH","FQ2 2021","FQ2 2021","Currency=USD","Period=FQ","BEST_FPERIOD_OVERRIDE=FQ","FILING_STATUS=MR","Sort=A","Dates=H","DateFormat=P","Fill=—","Direction=H","UseDPDF=Y")</f>
        <v>9.0282999999999998</v>
      </c>
      <c r="N48" s="14">
        <f>_xll.BDH("AMGN US Equity","INVENTORY_5_YEAR_GROWTH","FQ3 2021","FQ3 2021","Currency=USD","Period=FQ","BEST_FPERIOD_OVERRIDE=FQ","FILING_STATUS=MR","Sort=A","Dates=H","DateFormat=P","Fill=—","Direction=H","UseDPDF=Y")</f>
        <v>9.1419999999999995</v>
      </c>
      <c r="O48" s="14">
        <f>_xll.BDH("AMGN US Equity","INVENTORY_5_YEAR_GROWTH","FQ4 2021","FQ4 2021","Currency=USD","Period=FQ","BEST_FPERIOD_OVERRIDE=FQ","FILING_STATUS=MR","Sort=A","Dates=H","DateFormat=P","Fill=—","Direction=H","UseDPDF=Y")</f>
        <v>8.2806999999999995</v>
      </c>
      <c r="P48" s="14">
        <f>_xll.BDH("AMGN US Equity","INVENTORY_5_YEAR_GROWTH","FQ1 2022","FQ1 2022","Currency=USD","Period=FQ","BEST_FPERIOD_OVERRIDE=FQ","FILING_STATUS=MR","Sort=A","Dates=H","DateFormat=P","Fill=—","Direction=H","UseDPDF=Y")</f>
        <v>8.9684000000000008</v>
      </c>
      <c r="Q48" s="14">
        <f>_xll.BDH("AMGN US Equity","INVENTORY_5_YEAR_GROWTH","FQ2 2022","FQ2 2022","Currency=USD","Period=FQ","BEST_FPERIOD_OVERRIDE=FQ","FILING_STATUS=MR","Sort=A","Dates=H","DateFormat=P","Fill=—","Direction=H","UseDPDF=Y")</f>
        <v>8.9910999999999994</v>
      </c>
      <c r="R48" s="14">
        <f>_xll.BDH("AMGN US Equity","INVENTORY_5_YEAR_GROWTH","FQ3 2022","FQ3 2022","Currency=USD","Period=FQ","BEST_FPERIOD_OVERRIDE=FQ","FILING_STATUS=MR","Sort=A","Dates=H","DateFormat=P","Fill=—","Direction=H","UseDPDF=Y")</f>
        <v>10.200100000000001</v>
      </c>
      <c r="S48" s="14">
        <f>_xll.BDH("AMGN US Equity","INVENTORY_5_YEAR_GROWTH","FQ4 2022","FQ4 2022","Currency=USD","Period=FQ","BEST_FPERIOD_OVERRIDE=FQ","FILING_STATUS=MR","Sort=A","Dates=H","DateFormat=P","Fill=—","Direction=H","UseDPDF=Y")</f>
        <v>11.709300000000001</v>
      </c>
      <c r="T48" s="14">
        <f>_xll.BDH("AMGN US Equity","INVENTORY_5_YEAR_GROWTH","FQ1 2023","FQ1 2023","Currency=USD","Period=FQ","BEST_FPERIOD_OVERRIDE=FQ","FILING_STATUS=MR","Sort=A","Dates=H","DateFormat=P","Fill=—","Direction=H","UseDPDF=Y")</f>
        <v>11.1633</v>
      </c>
      <c r="U48" s="14">
        <f>_xll.BDH("AMGN US Equity","INVENTORY_5_YEAR_GROWTH","FQ2 2023","FQ2 2023","Currency=USD","Period=FQ","BEST_FPERIOD_OVERRIDE=FQ","FILING_STATUS=MR","Sort=A","Dates=H","DateFormat=P","Fill=—","Direction=H","UseDPDF=Y")</f>
        <v>10.199999999999999</v>
      </c>
      <c r="V48" s="14">
        <f>_xll.BDH("AMGN US Equity","INVENTORY_5_YEAR_GROWTH","FQ3 2023","FQ3 2023","Currency=USD","Period=FQ","BEST_FPERIOD_OVERRIDE=FQ","FILING_STATUS=MR","Sort=A","Dates=H","DateFormat=P","Fill=—","Direction=H","UseDPDF=Y")</f>
        <v>10.7464</v>
      </c>
      <c r="W48" s="14">
        <f>_xll.BDH("AMGN US Equity","INVENTORY_5_YEAR_GROWTH","FQ4 2023","FQ4 2023","Currency=USD","Period=FQ","BEST_FPERIOD_OVERRIDE=FQ","FILING_STATUS=MR","Sort=A","Dates=H","DateFormat=P","Fill=—","Direction=H","UseDPDF=Y")</f>
        <v>26.485199999999999</v>
      </c>
      <c r="X48" s="14">
        <f>_xll.BDH("AMGN US Equity","INVENTORY_5_YEAR_GROWTH","FQ1 2024","FQ1 2024","Currency=USD","Period=FQ","BEST_FPERIOD_OVERRIDE=FQ","FILING_STATUS=MR","Sort=A","Dates=H","DateFormat=P","Fill=—","Direction=H","UseDPDF=Y")</f>
        <v>23.667899999999999</v>
      </c>
      <c r="Y48" s="14">
        <f>_xll.BDH("AMGN US Equity","INVENTORY_5_YEAR_GROWTH","FQ2 2024","FQ2 2024","Currency=USD","Period=FQ","BEST_FPERIOD_OVERRIDE=FQ","FILING_STATUS=MR","Sort=A","Dates=H","DateFormat=P","Fill=—","Direction=H","UseDPDF=Y")</f>
        <v>20.278400000000001</v>
      </c>
      <c r="Z48" s="14">
        <f>_xll.BDH("AMGN US Equity","INVENTORY_5_YEAR_GROWTH","FQ3 2024","FQ3 2024","Currency=USD","Period=FQ","BEST_FPERIOD_OVERRIDE=FQ","FILING_STATUS=MR","Sort=A","Dates=H","DateFormat=P","Fill=—","Direction=H","UseDPDF=Y")</f>
        <v>17.817499999999999</v>
      </c>
      <c r="AA48" s="14">
        <f>_xll.BDH("AMGN US Equity","INVENTORY_5_YEAR_GROWTH","FQ4 2024","FQ4 2024","Currency=USD","Period=FQ","BEST_FPERIOD_OVERRIDE=FQ","FILING_STATUS=MR","Sort=A","Dates=H","DateFormat=P","Fill=—","Direction=H","UseDPDF=Y")</f>
        <v>14.319699999999999</v>
      </c>
    </row>
    <row r="49" spans="1:27" x14ac:dyDescent="0.25">
      <c r="A49" s="10" t="s">
        <v>1480</v>
      </c>
      <c r="B49" s="10" t="s">
        <v>1518</v>
      </c>
      <c r="C49" s="14">
        <f>_xll.BDH("AMGN US Equity","NET_FIXED_ASSETS_5_YEAR_GROWTH","FQ4 2018","FQ4 2018","Currency=USD","Period=FQ","BEST_FPERIOD_OVERRIDE=FQ","FILING_STATUS=MR","Sort=A","Dates=H","DateFormat=P","Fill=—","Direction=H","UseDPDF=Y")</f>
        <v>-1.5066999999999999</v>
      </c>
      <c r="D49" s="14">
        <f>_xll.BDH("AMGN US Equity","NET_FIXED_ASSETS_5_YEAR_GROWTH","FQ1 2019","FQ1 2019","Currency=USD","Period=FQ","BEST_FPERIOD_OVERRIDE=FQ","FILING_STATUS=MR","Sort=A","Dates=H","DateFormat=P","Fill=—","Direction=H","UseDPDF=Y")</f>
        <v>-0.20960000000000001</v>
      </c>
      <c r="E49" s="14">
        <f>_xll.BDH("AMGN US Equity","NET_FIXED_ASSETS_5_YEAR_GROWTH","FQ2 2019","FQ2 2019","Currency=USD","Period=FQ","BEST_FPERIOD_OVERRIDE=FQ","FILING_STATUS=MR","Sort=A","Dates=H","DateFormat=P","Fill=—","Direction=H","UseDPDF=Y")</f>
        <v>-0.22070000000000001</v>
      </c>
      <c r="F49" s="14">
        <f>_xll.BDH("AMGN US Equity","NET_FIXED_ASSETS_5_YEAR_GROWTH","FQ3 2019","FQ3 2019","Currency=USD","Period=FQ","BEST_FPERIOD_OVERRIDE=FQ","FILING_STATUS=MR","Sort=A","Dates=H","DateFormat=P","Fill=—","Direction=H","UseDPDF=Y")</f>
        <v>0.2117</v>
      </c>
      <c r="G49" s="14">
        <f>_xll.BDH("AMGN US Equity","NET_FIXED_ASSETS_5_YEAR_GROWTH","FQ4 2019","FQ4 2019","Currency=USD","Period=FQ","BEST_FPERIOD_OVERRIDE=FQ","FILING_STATUS=MR","Sort=A","Dates=H","DateFormat=P","Fill=—","Direction=H","UseDPDF=Y")</f>
        <v>0.65759999999999996</v>
      </c>
      <c r="H49" s="14">
        <f>_xll.BDH("AMGN US Equity","NET_FIXED_ASSETS_5_YEAR_GROWTH","FQ1 2020","FQ1 2020","Currency=USD","Period=FQ","BEST_FPERIOD_OVERRIDE=FQ","FILING_STATUS=MR","Sort=A","Dates=H","DateFormat=P","Fill=—","Direction=H","UseDPDF=Y")</f>
        <v>-0.97130000000000005</v>
      </c>
      <c r="I49" s="14">
        <f>_xll.BDH("AMGN US Equity","NET_FIXED_ASSETS_5_YEAR_GROWTH","FQ2 2020","FQ2 2020","Currency=USD","Period=FQ","BEST_FPERIOD_OVERRIDE=FQ","FILING_STATUS=MR","Sort=A","Dates=H","DateFormat=P","Fill=—","Direction=H","UseDPDF=Y")</f>
        <v>-0.83360000000000001</v>
      </c>
      <c r="J49" s="14">
        <f>_xll.BDH("AMGN US Equity","NET_FIXED_ASSETS_5_YEAR_GROWTH","FQ3 2020","FQ3 2020","Currency=USD","Period=FQ","BEST_FPERIOD_OVERRIDE=FQ","FILING_STATUS=MR","Sort=A","Dates=H","DateFormat=P","Fill=—","Direction=H","UseDPDF=Y")</f>
        <v>-0.69940000000000002</v>
      </c>
      <c r="K49" s="14">
        <f>_xll.BDH("AMGN US Equity","NET_FIXED_ASSETS_5_YEAR_GROWTH","FQ4 2020","FQ4 2020","Currency=USD","Period=FQ","BEST_FPERIOD_OVERRIDE=FQ","FILING_STATUS=MR","Sort=A","Dates=H","DateFormat=P","Fill=—","Direction=H","UseDPDF=Y")</f>
        <v>1.5412999999999999</v>
      </c>
      <c r="L49" s="14">
        <f>_xll.BDH("AMGN US Equity","NET_FIXED_ASSETS_5_YEAR_GROWTH","FQ1 2021","FQ1 2021","Currency=USD","Period=FQ","BEST_FPERIOD_OVERRIDE=FQ","FILING_STATUS=MR","Sort=A","Dates=H","DateFormat=P","Fill=—","Direction=H","UseDPDF=Y")</f>
        <v>-0.1231</v>
      </c>
      <c r="M49" s="14">
        <f>_xll.BDH("AMGN US Equity","NET_FIXED_ASSETS_5_YEAR_GROWTH","FQ2 2021","FQ2 2021","Currency=USD","Period=FQ","BEST_FPERIOD_OVERRIDE=FQ","FILING_STATUS=MR","Sort=A","Dates=H","DateFormat=P","Fill=—","Direction=H","UseDPDF=Y")</f>
        <v>8.9899999999999994E-2</v>
      </c>
      <c r="N49" s="14">
        <f>_xll.BDH("AMGN US Equity","NET_FIXED_ASSETS_5_YEAR_GROWTH","FQ3 2021","FQ3 2021","Currency=USD","Period=FQ","BEST_FPERIOD_OVERRIDE=FQ","FILING_STATUS=MR","Sort=A","Dates=H","DateFormat=P","Fill=—","Direction=H","UseDPDF=Y")</f>
        <v>0.28339999999999999</v>
      </c>
      <c r="O49" s="14">
        <f>_xll.BDH("AMGN US Equity","NET_FIXED_ASSETS_5_YEAR_GROWTH","FQ4 2021","FQ4 2021","Currency=USD","Period=FQ","BEST_FPERIOD_OVERRIDE=FQ","FILING_STATUS=MR","Sort=A","Dates=H","DateFormat=P","Fill=—","Direction=H","UseDPDF=Y")</f>
        <v>2.9958</v>
      </c>
      <c r="P49" s="14">
        <f>_xll.BDH("AMGN US Equity","NET_FIXED_ASSETS_5_YEAR_GROWTH","FQ1 2022","FQ1 2022","Currency=USD","Period=FQ","BEST_FPERIOD_OVERRIDE=FQ","FILING_STATUS=MR","Sort=A","Dates=H","DateFormat=P","Fill=—","Direction=H","UseDPDF=Y")</f>
        <v>0.72330000000000005</v>
      </c>
      <c r="Q49" s="14">
        <f>_xll.BDH("AMGN US Equity","NET_FIXED_ASSETS_5_YEAR_GROWTH","FQ2 2022","FQ2 2022","Currency=USD","Period=FQ","BEST_FPERIOD_OVERRIDE=FQ","FILING_STATUS=MR","Sort=A","Dates=H","DateFormat=P","Fill=—","Direction=H","UseDPDF=Y")</f>
        <v>0.70489999999999997</v>
      </c>
      <c r="R49" s="14">
        <f>_xll.BDH("AMGN US Equity","NET_FIXED_ASSETS_5_YEAR_GROWTH","FQ3 2022","FQ3 2022","Currency=USD","Period=FQ","BEST_FPERIOD_OVERRIDE=FQ","FILING_STATUS=MR","Sort=A","Dates=H","DateFormat=P","Fill=—","Direction=H","UseDPDF=Y")</f>
        <v>1.0911</v>
      </c>
      <c r="S49" s="14">
        <f>_xll.BDH("AMGN US Equity","NET_FIXED_ASSETS_5_YEAR_GROWTH","FQ4 2022","FQ4 2022","Currency=USD","Period=FQ","BEST_FPERIOD_OVERRIDE=FQ","FILING_STATUS=MR","Sort=A","Dates=H","DateFormat=P","Fill=—","Direction=H","UseDPDF=Y")</f>
        <v>3.7801999999999998</v>
      </c>
      <c r="T49" s="14">
        <f>_xll.BDH("AMGN US Equity","NET_FIXED_ASSETS_5_YEAR_GROWTH","FQ1 2023","FQ1 2023","Currency=USD","Period=FQ","BEST_FPERIOD_OVERRIDE=FQ","FILING_STATUS=MR","Sort=A","Dates=H","DateFormat=P","Fill=—","Direction=H","UseDPDF=Y")</f>
        <v>2.0095000000000001</v>
      </c>
      <c r="U49" s="14">
        <f>_xll.BDH("AMGN US Equity","NET_FIXED_ASSETS_5_YEAR_GROWTH","FQ2 2023","FQ2 2023","Currency=USD","Period=FQ","BEST_FPERIOD_OVERRIDE=FQ","FILING_STATUS=MR","Sort=A","Dates=H","DateFormat=P","Fill=—","Direction=H","UseDPDF=Y")</f>
        <v>2.3641999999999999</v>
      </c>
      <c r="V49" s="14">
        <f>_xll.BDH("AMGN US Equity","NET_FIXED_ASSETS_5_YEAR_GROWTH","FQ3 2023","FQ3 2023","Currency=USD","Period=FQ","BEST_FPERIOD_OVERRIDE=FQ","FILING_STATUS=MR","Sort=A","Dates=H","DateFormat=P","Fill=—","Direction=H","UseDPDF=Y")</f>
        <v>2.5747</v>
      </c>
      <c r="W49" s="14">
        <f>_xll.BDH("AMGN US Equity","NET_FIXED_ASSETS_5_YEAR_GROWTH","FQ4 2023","FQ4 2023","Currency=USD","Period=FQ","BEST_FPERIOD_OVERRIDE=FQ","FILING_STATUS=MR","Sort=A","Dates=H","DateFormat=P","Fill=—","Direction=H","UseDPDF=Y")</f>
        <v>5.8624999999999998</v>
      </c>
      <c r="X49" s="14">
        <f>_xll.BDH("AMGN US Equity","NET_FIXED_ASSETS_5_YEAR_GROWTH","FQ1 2024","FQ1 2024","Currency=USD","Period=FQ","BEST_FPERIOD_OVERRIDE=FQ","FILING_STATUS=MR","Sort=A","Dates=H","DateFormat=P","Fill=—","Direction=H","UseDPDF=Y")</f>
        <v>2.4841000000000002</v>
      </c>
      <c r="Y49" s="14">
        <f>_xll.BDH("AMGN US Equity","NET_FIXED_ASSETS_5_YEAR_GROWTH","FQ2 2024","FQ2 2024","Currency=USD","Period=FQ","BEST_FPERIOD_OVERRIDE=FQ","FILING_STATUS=MR","Sort=A","Dates=H","DateFormat=P","Fill=—","Direction=H","UseDPDF=Y")</f>
        <v>2.7949000000000002</v>
      </c>
      <c r="Z49" s="14">
        <f>_xll.BDH("AMGN US Equity","NET_FIXED_ASSETS_5_YEAR_GROWTH","FQ3 2024","FQ3 2024","Currency=USD","Period=FQ","BEST_FPERIOD_OVERRIDE=FQ","FILING_STATUS=MR","Sort=A","Dates=H","DateFormat=P","Fill=—","Direction=H","UseDPDF=Y")</f>
        <v>2.9504999999999999</v>
      </c>
      <c r="AA49" s="14">
        <f>_xll.BDH("AMGN US Equity","NET_FIXED_ASSETS_5_YEAR_GROWTH","FQ4 2024","FQ4 2024","Currency=USD","Period=FQ","BEST_FPERIOD_OVERRIDE=FQ","FILING_STATUS=MR","Sort=A","Dates=H","DateFormat=P","Fill=—","Direction=H","UseDPDF=Y")</f>
        <v>5.6382000000000003</v>
      </c>
    </row>
    <row r="50" spans="1:27" x14ac:dyDescent="0.25">
      <c r="A50" s="10" t="s">
        <v>112</v>
      </c>
      <c r="B50" s="10" t="s">
        <v>1519</v>
      </c>
      <c r="C50" s="14">
        <f>_xll.BDH("AMGN US Equity","GEO_GROW_TOT_ASSET","FQ4 2018","FQ4 2018","Currency=USD","Period=FQ","BEST_FPERIOD_OVERRIDE=FQ","FILING_STATUS=MR","Sort=A","Dates=H","DateFormat=P","Fill=—","Direction=H","UseDPDF=Y")</f>
        <v>8.7900000000000006E-2</v>
      </c>
      <c r="D50" s="14">
        <f>_xll.BDH("AMGN US Equity","GEO_GROW_TOT_ASSET","FQ1 2019","FQ1 2019","Currency=USD","Period=FQ","BEST_FPERIOD_OVERRIDE=FQ","FILING_STATUS=MR","Sort=A","Dates=H","DateFormat=P","Fill=—","Direction=H","UseDPDF=Y")</f>
        <v>-0.91410000000000002</v>
      </c>
      <c r="E50" s="14">
        <f>_xll.BDH("AMGN US Equity","GEO_GROW_TOT_ASSET","FQ2 2019","FQ2 2019","Currency=USD","Period=FQ","BEST_FPERIOD_OVERRIDE=FQ","FILING_STATUS=MR","Sort=A","Dates=H","DateFormat=P","Fill=—","Direction=H","UseDPDF=Y")</f>
        <v>-3.1101000000000001</v>
      </c>
      <c r="F50" s="14">
        <f>_xll.BDH("AMGN US Equity","GEO_GROW_TOT_ASSET","FQ3 2019","FQ3 2019","Currency=USD","Period=FQ","BEST_FPERIOD_OVERRIDE=FQ","FILING_STATUS=MR","Sort=A","Dates=H","DateFormat=P","Fill=—","Direction=H","UseDPDF=Y")</f>
        <v>-3.3997000000000002</v>
      </c>
      <c r="G50" s="14">
        <f>_xll.BDH("AMGN US Equity","GEO_GROW_TOT_ASSET","FQ4 2019","FQ4 2019","Currency=USD","Period=FQ","BEST_FPERIOD_OVERRIDE=FQ","FILING_STATUS=MR","Sort=A","Dates=H","DateFormat=P","Fill=—","Direction=H","UseDPDF=Y")</f>
        <v>-2.8542000000000001</v>
      </c>
      <c r="H50" s="14">
        <f>_xll.BDH("AMGN US Equity","GEO_GROW_TOT_ASSET","FQ1 2020","FQ1 2020","Currency=USD","Period=FQ","BEST_FPERIOD_OVERRIDE=FQ","FILING_STATUS=MR","Sort=A","Dates=H","DateFormat=P","Fill=—","Direction=H","UseDPDF=Y")</f>
        <v>-2.2078000000000002</v>
      </c>
      <c r="I50" s="14">
        <f>_xll.BDH("AMGN US Equity","GEO_GROW_TOT_ASSET","FQ2 2020","FQ2 2020","Currency=USD","Period=FQ","BEST_FPERIOD_OVERRIDE=FQ","FILING_STATUS=MR","Sort=A","Dates=H","DateFormat=P","Fill=—","Direction=H","UseDPDF=Y")</f>
        <v>-1.8048</v>
      </c>
      <c r="J50" s="14">
        <f>_xll.BDH("AMGN US Equity","GEO_GROW_TOT_ASSET","FQ3 2020","FQ3 2020","Currency=USD","Period=FQ","BEST_FPERIOD_OVERRIDE=FQ","FILING_STATUS=MR","Sort=A","Dates=H","DateFormat=P","Fill=—","Direction=H","UseDPDF=Y")</f>
        <v>-2.0988000000000002</v>
      </c>
      <c r="K50" s="14">
        <f>_xll.BDH("AMGN US Equity","GEO_GROW_TOT_ASSET","FQ4 2020","FQ4 2020","Currency=USD","Period=FQ","BEST_FPERIOD_OVERRIDE=FQ","FILING_STATUS=MR","Sort=A","Dates=H","DateFormat=P","Fill=—","Direction=H","UseDPDF=Y")</f>
        <v>-2.5017</v>
      </c>
      <c r="L50" s="14">
        <f>_xll.BDH("AMGN US Equity","GEO_GROW_TOT_ASSET","FQ1 2021","FQ1 2021","Currency=USD","Period=FQ","BEST_FPERIOD_OVERRIDE=FQ","FILING_STATUS=MR","Sort=A","Dates=H","DateFormat=P","Fill=—","Direction=H","UseDPDF=Y")</f>
        <v>-3.5985</v>
      </c>
      <c r="M50" s="14">
        <f>_xll.BDH("AMGN US Equity","GEO_GROW_TOT_ASSET","FQ2 2021","FQ2 2021","Currency=USD","Period=FQ","BEST_FPERIOD_OVERRIDE=FQ","FILING_STATUS=MR","Sort=A","Dates=H","DateFormat=P","Fill=—","Direction=H","UseDPDF=Y")</f>
        <v>-4.5568</v>
      </c>
      <c r="N50" s="14">
        <f>_xll.BDH("AMGN US Equity","GEO_GROW_TOT_ASSET","FQ3 2021","FQ3 2021","Currency=USD","Period=FQ","BEST_FPERIOD_OVERRIDE=FQ","FILING_STATUS=MR","Sort=A","Dates=H","DateFormat=P","Fill=—","Direction=H","UseDPDF=Y")</f>
        <v>-3.6198999999999999</v>
      </c>
      <c r="O50" s="14">
        <f>_xll.BDH("AMGN US Equity","GEO_GROW_TOT_ASSET","FQ4 2021","FQ4 2021","Currency=USD","Period=FQ","BEST_FPERIOD_OVERRIDE=FQ","FILING_STATUS=MR","Sort=A","Dates=H","DateFormat=P","Fill=—","Direction=H","UseDPDF=Y")</f>
        <v>-4.6547000000000001</v>
      </c>
      <c r="P50" s="14">
        <f>_xll.BDH("AMGN US Equity","GEO_GROW_TOT_ASSET","FQ1 2022","FQ1 2022","Currency=USD","Period=FQ","BEST_FPERIOD_OVERRIDE=FQ","FILING_STATUS=MR","Sort=A","Dates=H","DateFormat=P","Fill=—","Direction=H","UseDPDF=Y")</f>
        <v>-5.3341000000000003</v>
      </c>
      <c r="Q50" s="14">
        <f>_xll.BDH("AMGN US Equity","GEO_GROW_TOT_ASSET","FQ2 2022","FQ2 2022","Currency=USD","Period=FQ","BEST_FPERIOD_OVERRIDE=FQ","FILING_STATUS=MR","Sort=A","Dates=H","DateFormat=P","Fill=—","Direction=H","UseDPDF=Y")</f>
        <v>-5.7168999999999999</v>
      </c>
      <c r="R50" s="14">
        <f>_xll.BDH("AMGN US Equity","GEO_GROW_TOT_ASSET","FQ3 2022","FQ3 2022","Currency=USD","Period=FQ","BEST_FPERIOD_OVERRIDE=FQ","FILING_STATUS=MR","Sort=A","Dates=H","DateFormat=P","Fill=—","Direction=H","UseDPDF=Y")</f>
        <v>-4.5334000000000003</v>
      </c>
      <c r="S50" s="14">
        <f>_xll.BDH("AMGN US Equity","GEO_GROW_TOT_ASSET","FQ4 2022","FQ4 2022","Currency=USD","Period=FQ","BEST_FPERIOD_OVERRIDE=FQ","FILING_STATUS=MR","Sort=A","Dates=H","DateFormat=P","Fill=—","Direction=H","UseDPDF=Y")</f>
        <v>-4.0209999999999999</v>
      </c>
      <c r="T50" s="14">
        <f>_xll.BDH("AMGN US Equity","GEO_GROW_TOT_ASSET","FQ1 2023","FQ1 2023","Currency=USD","Period=FQ","BEST_FPERIOD_OVERRIDE=FQ","FILING_STATUS=MR","Sort=A","Dates=H","DateFormat=P","Fill=—","Direction=H","UseDPDF=Y")</f>
        <v>4.5086000000000004</v>
      </c>
      <c r="U50" s="14">
        <f>_xll.BDH("AMGN US Equity","GEO_GROW_TOT_ASSET","FQ2 2023","FQ2 2023","Currency=USD","Period=FQ","BEST_FPERIOD_OVERRIDE=FQ","FILING_STATUS=MR","Sort=A","Dates=H","DateFormat=P","Fill=—","Direction=H","UseDPDF=Y")</f>
        <v>5.9279000000000002</v>
      </c>
      <c r="V50" s="14">
        <f>_xll.BDH("AMGN US Equity","GEO_GROW_TOT_ASSET","FQ3 2023","FQ3 2023","Currency=USD","Period=FQ","BEST_FPERIOD_OVERRIDE=FQ","FILING_STATUS=MR","Sort=A","Dates=H","DateFormat=P","Fill=—","Direction=H","UseDPDF=Y")</f>
        <v>6.1002999999999998</v>
      </c>
      <c r="W50" s="14">
        <f>_xll.BDH("AMGN US Equity","GEO_GROW_TOT_ASSET","FQ4 2023","FQ4 2023","Currency=USD","Period=FQ","BEST_FPERIOD_OVERRIDE=FQ","FILING_STATUS=MR","Sort=A","Dates=H","DateFormat=P","Fill=—","Direction=H","UseDPDF=Y")</f>
        <v>7.9039999999999999</v>
      </c>
      <c r="X50" s="14">
        <f>_xll.BDH("AMGN US Equity","GEO_GROW_TOT_ASSET","FQ1 2024","FQ1 2024","Currency=USD","Period=FQ","BEST_FPERIOD_OVERRIDE=FQ","FILING_STATUS=MR","Sort=A","Dates=H","DateFormat=P","Fill=—","Direction=H","UseDPDF=Y")</f>
        <v>7.7571000000000003</v>
      </c>
      <c r="Y50" s="14">
        <f>_xll.BDH("AMGN US Equity","GEO_GROW_TOT_ASSET","FQ2 2024","FQ2 2024","Currency=USD","Period=FQ","BEST_FPERIOD_OVERRIDE=FQ","FILING_STATUS=MR","Sort=A","Dates=H","DateFormat=P","Fill=—","Direction=H","UseDPDF=Y")</f>
        <v>8.8933999999999997</v>
      </c>
      <c r="Z50" s="14">
        <f>_xll.BDH("AMGN US Equity","GEO_GROW_TOT_ASSET","FQ3 2024","FQ3 2024","Currency=USD","Period=FQ","BEST_FPERIOD_OVERRIDE=FQ","FILING_STATUS=MR","Sort=A","Dates=H","DateFormat=P","Fill=—","Direction=H","UseDPDF=Y")</f>
        <v>8.8284000000000002</v>
      </c>
      <c r="AA50" s="14">
        <f>_xll.BDH("AMGN US Equity","GEO_GROW_TOT_ASSET","FQ4 2024","FQ4 2024","Currency=USD","Period=FQ","BEST_FPERIOD_OVERRIDE=FQ","FILING_STATUS=MR","Sort=A","Dates=H","DateFormat=P","Fill=—","Direction=H","UseDPDF=Y")</f>
        <v>8.9933999999999994</v>
      </c>
    </row>
    <row r="51" spans="1:27" x14ac:dyDescent="0.25">
      <c r="A51" s="10" t="s">
        <v>1483</v>
      </c>
      <c r="B51" s="10" t="s">
        <v>1520</v>
      </c>
      <c r="C51" s="14">
        <f>_xll.BDH("AMGN US Equity","MODIFIED_WORKING_CPTL_5YR_GRWTH","FQ4 2018","FQ4 2018","Currency=USD","Period=FQ","BEST_FPERIOD_OVERRIDE=FQ","FILING_STATUS=MR","Sort=A","Dates=H","DateFormat=P","Fill=—","Direction=H","UseDPDF=Y")</f>
        <v>1.5117</v>
      </c>
      <c r="D51" s="14">
        <f>_xll.BDH("AMGN US Equity","MODIFIED_WORKING_CPTL_5YR_GRWTH","FQ1 2019","FQ1 2019","Currency=USD","Period=FQ","BEST_FPERIOD_OVERRIDE=FQ","FILING_STATUS=MR","Sort=A","Dates=H","DateFormat=P","Fill=—","Direction=H","UseDPDF=Y")</f>
        <v>4.6828000000000003</v>
      </c>
      <c r="E51" s="14">
        <f>_xll.BDH("AMGN US Equity","MODIFIED_WORKING_CPTL_5YR_GRWTH","FQ2 2019","FQ2 2019","Currency=USD","Period=FQ","BEST_FPERIOD_OVERRIDE=FQ","FILING_STATUS=MR","Sort=A","Dates=H","DateFormat=P","Fill=—","Direction=H","UseDPDF=Y")</f>
        <v>5.0599999999999996</v>
      </c>
      <c r="F51" s="14">
        <f>_xll.BDH("AMGN US Equity","MODIFIED_WORKING_CPTL_5YR_GRWTH","FQ3 2019","FQ3 2019","Currency=USD","Period=FQ","BEST_FPERIOD_OVERRIDE=FQ","FILING_STATUS=MR","Sort=A","Dates=H","DateFormat=P","Fill=—","Direction=H","UseDPDF=Y")</f>
        <v>6.4024999999999999</v>
      </c>
      <c r="G51" s="14">
        <f>_xll.BDH("AMGN US Equity","MODIFIED_WORKING_CPTL_5YR_GRWTH","FQ4 2019","FQ4 2019","Currency=USD","Period=FQ","BEST_FPERIOD_OVERRIDE=FQ","FILING_STATUS=MR","Sort=A","Dates=H","DateFormat=P","Fill=—","Direction=H","UseDPDF=Y")</f>
        <v>9.5103000000000009</v>
      </c>
      <c r="H51" s="14">
        <f>_xll.BDH("AMGN US Equity","MODIFIED_WORKING_CPTL_5YR_GRWTH","FQ1 2020","FQ1 2020","Currency=USD","Period=FQ","BEST_FPERIOD_OVERRIDE=FQ","FILING_STATUS=MR","Sort=A","Dates=H","DateFormat=P","Fill=—","Direction=H","UseDPDF=Y")</f>
        <v>11.09</v>
      </c>
      <c r="I51" s="14">
        <f>_xll.BDH("AMGN US Equity","MODIFIED_WORKING_CPTL_5YR_GRWTH","FQ2 2020","FQ2 2020","Currency=USD","Period=FQ","BEST_FPERIOD_OVERRIDE=FQ","FILING_STATUS=MR","Sort=A","Dates=H","DateFormat=P","Fill=—","Direction=H","UseDPDF=Y")</f>
        <v>12.796799999999999</v>
      </c>
      <c r="J51" s="14">
        <f>_xll.BDH("AMGN US Equity","MODIFIED_WORKING_CPTL_5YR_GRWTH","FQ3 2020","FQ3 2020","Currency=USD","Period=FQ","BEST_FPERIOD_OVERRIDE=FQ","FILING_STATUS=MR","Sort=A","Dates=H","DateFormat=P","Fill=—","Direction=H","UseDPDF=Y")</f>
        <v>9.5109999999999992</v>
      </c>
      <c r="K51" s="14">
        <f>_xll.BDH("AMGN US Equity","MODIFIED_WORKING_CPTL_5YR_GRWTH","FQ4 2020","FQ4 2020","Currency=USD","Period=FQ","BEST_FPERIOD_OVERRIDE=FQ","FILING_STATUS=MR","Sort=A","Dates=H","DateFormat=P","Fill=—","Direction=H","UseDPDF=Y")</f>
        <v>9.4001999999999999</v>
      </c>
      <c r="L51" s="14">
        <f>_xll.BDH("AMGN US Equity","MODIFIED_WORKING_CPTL_5YR_GRWTH","FQ1 2021","FQ1 2021","Currency=USD","Period=FQ","BEST_FPERIOD_OVERRIDE=FQ","FILING_STATUS=MR","Sort=A","Dates=H","DateFormat=P","Fill=—","Direction=H","UseDPDF=Y")</f>
        <v>7.8296999999999999</v>
      </c>
      <c r="M51" s="14">
        <f>_xll.BDH("AMGN US Equity","MODIFIED_WORKING_CPTL_5YR_GRWTH","FQ2 2021","FQ2 2021","Currency=USD","Period=FQ","BEST_FPERIOD_OVERRIDE=FQ","FILING_STATUS=MR","Sort=A","Dates=H","DateFormat=P","Fill=—","Direction=H","UseDPDF=Y")</f>
        <v>8.4427000000000003</v>
      </c>
      <c r="N51" s="14">
        <f>_xll.BDH("AMGN US Equity","MODIFIED_WORKING_CPTL_5YR_GRWTH","FQ3 2021","FQ3 2021","Currency=USD","Period=FQ","BEST_FPERIOD_OVERRIDE=FQ","FILING_STATUS=MR","Sort=A","Dates=H","DateFormat=P","Fill=—","Direction=H","UseDPDF=Y")</f>
        <v>8.9670000000000005</v>
      </c>
      <c r="O51" s="14">
        <f>_xll.BDH("AMGN US Equity","MODIFIED_WORKING_CPTL_5YR_GRWTH","FQ4 2021","FQ4 2021","Currency=USD","Period=FQ","BEST_FPERIOD_OVERRIDE=FQ","FILING_STATUS=MR","Sort=A","Dates=H","DateFormat=P","Fill=—","Direction=H","UseDPDF=Y")</f>
        <v>8.8081999999999994</v>
      </c>
      <c r="P51" s="14">
        <f>_xll.BDH("AMGN US Equity","MODIFIED_WORKING_CPTL_5YR_GRWTH","FQ1 2022","FQ1 2022","Currency=USD","Period=FQ","BEST_FPERIOD_OVERRIDE=FQ","FILING_STATUS=MR","Sort=A","Dates=H","DateFormat=P","Fill=—","Direction=H","UseDPDF=Y")</f>
        <v>9.1570999999999998</v>
      </c>
      <c r="Q51" s="14">
        <f>_xll.BDH("AMGN US Equity","MODIFIED_WORKING_CPTL_5YR_GRWTH","FQ2 2022","FQ2 2022","Currency=USD","Period=FQ","BEST_FPERIOD_OVERRIDE=FQ","FILING_STATUS=MR","Sort=A","Dates=H","DateFormat=P","Fill=—","Direction=H","UseDPDF=Y")</f>
        <v>8.8747000000000007</v>
      </c>
      <c r="R51" s="14">
        <f>_xll.BDH("AMGN US Equity","MODIFIED_WORKING_CPTL_5YR_GRWTH","FQ3 2022","FQ3 2022","Currency=USD","Period=FQ","BEST_FPERIOD_OVERRIDE=FQ","FILING_STATUS=MR","Sort=A","Dates=H","DateFormat=P","Fill=—","Direction=H","UseDPDF=Y")</f>
        <v>10.245699999999999</v>
      </c>
      <c r="S51" s="14">
        <f>_xll.BDH("AMGN US Equity","MODIFIED_WORKING_CPTL_5YR_GRWTH","FQ4 2022","FQ4 2022","Currency=USD","Period=FQ","BEST_FPERIOD_OVERRIDE=FQ","FILING_STATUS=MR","Sort=A","Dates=H","DateFormat=P","Fill=—","Direction=H","UseDPDF=Y")</f>
        <v>13.582800000000001</v>
      </c>
      <c r="T51" s="14">
        <f>_xll.BDH("AMGN US Equity","MODIFIED_WORKING_CPTL_5YR_GRWTH","FQ1 2023","FQ1 2023","Currency=USD","Period=FQ","BEST_FPERIOD_OVERRIDE=FQ","FILING_STATUS=MR","Sort=A","Dates=H","DateFormat=P","Fill=—","Direction=H","UseDPDF=Y")</f>
        <v>11.3949</v>
      </c>
      <c r="U51" s="14">
        <f>_xll.BDH("AMGN US Equity","MODIFIED_WORKING_CPTL_5YR_GRWTH","FQ2 2023","FQ2 2023","Currency=USD","Period=FQ","BEST_FPERIOD_OVERRIDE=FQ","FILING_STATUS=MR","Sort=A","Dates=H","DateFormat=P","Fill=—","Direction=H","UseDPDF=Y")</f>
        <v>11.609299999999999</v>
      </c>
      <c r="V51" s="14">
        <f>_xll.BDH("AMGN US Equity","MODIFIED_WORKING_CPTL_5YR_GRWTH","FQ3 2023","FQ3 2023","Currency=USD","Period=FQ","BEST_FPERIOD_OVERRIDE=FQ","FILING_STATUS=MR","Sort=A","Dates=H","DateFormat=P","Fill=—","Direction=H","UseDPDF=Y")</f>
        <v>12.622400000000001</v>
      </c>
      <c r="W51" s="14">
        <f>_xll.BDH("AMGN US Equity","MODIFIED_WORKING_CPTL_5YR_GRWTH","FQ4 2023","FQ4 2023","Currency=USD","Period=FQ","BEST_FPERIOD_OVERRIDE=FQ","FILING_STATUS=MR","Sort=A","Dates=H","DateFormat=P","Fill=—","Direction=H","UseDPDF=Y")</f>
        <v>23.389399999999998</v>
      </c>
      <c r="X51" s="14">
        <f>_xll.BDH("AMGN US Equity","MODIFIED_WORKING_CPTL_5YR_GRWTH","FQ1 2024","FQ1 2024","Currency=USD","Period=FQ","BEST_FPERIOD_OVERRIDE=FQ","FILING_STATUS=MR","Sort=A","Dates=H","DateFormat=P","Fill=—","Direction=H","UseDPDF=Y")</f>
        <v>19.485099999999999</v>
      </c>
      <c r="Y51" s="14">
        <f>_xll.BDH("AMGN US Equity","MODIFIED_WORKING_CPTL_5YR_GRWTH","FQ2 2024","FQ2 2024","Currency=USD","Period=FQ","BEST_FPERIOD_OVERRIDE=FQ","FILING_STATUS=MR","Sort=A","Dates=H","DateFormat=P","Fill=—","Direction=H","UseDPDF=Y")</f>
        <v>16.203299999999999</v>
      </c>
      <c r="Z51" s="14">
        <f>_xll.BDH("AMGN US Equity","MODIFIED_WORKING_CPTL_5YR_GRWTH","FQ3 2024","FQ3 2024","Currency=USD","Period=FQ","BEST_FPERIOD_OVERRIDE=FQ","FILING_STATUS=MR","Sort=A","Dates=H","DateFormat=P","Fill=—","Direction=H","UseDPDF=Y")</f>
        <v>16.482900000000001</v>
      </c>
      <c r="AA51" s="14">
        <f>_xll.BDH("AMGN US Equity","MODIFIED_WORKING_CPTL_5YR_GRWTH","FQ4 2024","FQ4 2024","Currency=USD","Period=FQ","BEST_FPERIOD_OVERRIDE=FQ","FILING_STATUS=MR","Sort=A","Dates=H","DateFormat=P","Fill=—","Direction=H","UseDPDF=Y")</f>
        <v>13.6191</v>
      </c>
    </row>
    <row r="52" spans="1:27" x14ac:dyDescent="0.25">
      <c r="A52" s="10" t="s">
        <v>1485</v>
      </c>
      <c r="B52" s="10" t="s">
        <v>1521</v>
      </c>
      <c r="C52" s="14">
        <f>_xll.BDH("AMGN US Equity","WORKING_CAPITAL_5_YEAR_GROWTH","FQ4 2018","FQ4 2018","Currency=USD","Period=FQ","BEST_FPERIOD_OVERRIDE=FQ","FILING_STATUS=MR","Sort=A","Dates=H","DateFormat=P","Fill=—","Direction=H","UseDPDF=Y")</f>
        <v>4.4386999999999999</v>
      </c>
      <c r="D52" s="14">
        <f>_xll.BDH("AMGN US Equity","WORKING_CAPITAL_5_YEAR_GROWTH","FQ1 2019","FQ1 2019","Currency=USD","Period=FQ","BEST_FPERIOD_OVERRIDE=FQ","FILING_STATUS=MR","Sort=A","Dates=H","DateFormat=P","Fill=—","Direction=H","UseDPDF=Y")</f>
        <v>2.2324999999999999</v>
      </c>
      <c r="E52" s="14">
        <f>_xll.BDH("AMGN US Equity","WORKING_CAPITAL_5_YEAR_GROWTH","FQ2 2019","FQ2 2019","Currency=USD","Period=FQ","BEST_FPERIOD_OVERRIDE=FQ","FILING_STATUS=MR","Sort=A","Dates=H","DateFormat=P","Fill=—","Direction=H","UseDPDF=Y")</f>
        <v>-5.3287000000000004</v>
      </c>
      <c r="F52" s="14">
        <f>_xll.BDH("AMGN US Equity","WORKING_CAPITAL_5_YEAR_GROWTH","FQ3 2019","FQ3 2019","Currency=USD","Period=FQ","BEST_FPERIOD_OVERRIDE=FQ","FILING_STATUS=MR","Sort=A","Dates=H","DateFormat=P","Fill=—","Direction=H","UseDPDF=Y")</f>
        <v>-5.8756000000000004</v>
      </c>
      <c r="G52" s="14">
        <f>_xll.BDH("AMGN US Equity","WORKING_CAPITAL_5_YEAR_GROWTH","FQ4 2019","FQ4 2019","Currency=USD","Period=FQ","BEST_FPERIOD_OVERRIDE=FQ","FILING_STATUS=MR","Sort=A","Dates=H","DateFormat=P","Fill=—","Direction=H","UseDPDF=Y")</f>
        <v>-27.355399999999999</v>
      </c>
      <c r="H52" s="14">
        <f>_xll.BDH("AMGN US Equity","WORKING_CAPITAL_5_YEAR_GROWTH","FQ1 2020","FQ1 2020","Currency=USD","Period=FQ","BEST_FPERIOD_OVERRIDE=FQ","FILING_STATUS=MR","Sort=A","Dates=H","DateFormat=P","Fill=—","Direction=H","UseDPDF=Y")</f>
        <v>-24.632400000000001</v>
      </c>
      <c r="I52" s="14">
        <f>_xll.BDH("AMGN US Equity","WORKING_CAPITAL_5_YEAR_GROWTH","FQ2 2020","FQ2 2020","Currency=USD","Period=FQ","BEST_FPERIOD_OVERRIDE=FQ","FILING_STATUS=MR","Sort=A","Dates=H","DateFormat=P","Fill=—","Direction=H","UseDPDF=Y")</f>
        <v>-16.698799999999999</v>
      </c>
      <c r="J52" s="14">
        <f>_xll.BDH("AMGN US Equity","WORKING_CAPITAL_5_YEAR_GROWTH","FQ3 2020","FQ3 2020","Currency=USD","Period=FQ","BEST_FPERIOD_OVERRIDE=FQ","FILING_STATUS=MR","Sort=A","Dates=H","DateFormat=P","Fill=—","Direction=H","UseDPDF=Y")</f>
        <v>-16.696899999999999</v>
      </c>
      <c r="K52" s="14">
        <f>_xll.BDH("AMGN US Equity","WORKING_CAPITAL_5_YEAR_GROWTH","FQ4 2020","FQ4 2020","Currency=USD","Period=FQ","BEST_FPERIOD_OVERRIDE=FQ","FILING_STATUS=MR","Sort=A","Dates=H","DateFormat=P","Fill=—","Direction=H","UseDPDF=Y")</f>
        <v>-20.481100000000001</v>
      </c>
      <c r="L52" s="14">
        <f>_xll.BDH("AMGN US Equity","WORKING_CAPITAL_5_YEAR_GROWTH","FQ1 2021","FQ1 2021","Currency=USD","Period=FQ","BEST_FPERIOD_OVERRIDE=FQ","FILING_STATUS=MR","Sort=A","Dates=H","DateFormat=P","Fill=—","Direction=H","UseDPDF=Y")</f>
        <v>-24.197500000000002</v>
      </c>
      <c r="M52" s="14">
        <f>_xll.BDH("AMGN US Equity","WORKING_CAPITAL_5_YEAR_GROWTH","FQ2 2021","FQ2 2021","Currency=USD","Period=FQ","BEST_FPERIOD_OVERRIDE=FQ","FILING_STATUS=MR","Sort=A","Dates=H","DateFormat=P","Fill=—","Direction=H","UseDPDF=Y")</f>
        <v>-32.459299999999999</v>
      </c>
      <c r="N52" s="14">
        <f>_xll.BDH("AMGN US Equity","WORKING_CAPITAL_5_YEAR_GROWTH","FQ3 2021","FQ3 2021","Currency=USD","Period=FQ","BEST_FPERIOD_OVERRIDE=FQ","FILING_STATUS=MR","Sort=A","Dates=H","DateFormat=P","Fill=—","Direction=H","UseDPDF=Y")</f>
        <v>-23.028199999999998</v>
      </c>
      <c r="O52" s="14">
        <f>_xll.BDH("AMGN US Equity","WORKING_CAPITAL_5_YEAR_GROWTH","FQ4 2021","FQ4 2021","Currency=USD","Period=FQ","BEST_FPERIOD_OVERRIDE=FQ","FILING_STATUS=MR","Sort=A","Dates=H","DateFormat=P","Fill=—","Direction=H","UseDPDF=Y")</f>
        <v>-27.029399999999999</v>
      </c>
      <c r="P52" s="14">
        <f>_xll.BDH("AMGN US Equity","WORKING_CAPITAL_5_YEAR_GROWTH","FQ1 2022","FQ1 2022","Currency=USD","Period=FQ","BEST_FPERIOD_OVERRIDE=FQ","FILING_STATUS=MR","Sort=A","Dates=H","DateFormat=P","Fill=—","Direction=H","UseDPDF=Y")</f>
        <v>-30.965699999999998</v>
      </c>
      <c r="Q52" s="14">
        <f>_xll.BDH("AMGN US Equity","WORKING_CAPITAL_5_YEAR_GROWTH","FQ2 2022","FQ2 2022","Currency=USD","Period=FQ","BEST_FPERIOD_OVERRIDE=FQ","FILING_STATUS=MR","Sort=A","Dates=H","DateFormat=P","Fill=—","Direction=H","UseDPDF=Y")</f>
        <v>-30.256499999999999</v>
      </c>
      <c r="R52" s="14">
        <f>_xll.BDH("AMGN US Equity","WORKING_CAPITAL_5_YEAR_GROWTH","FQ3 2022","FQ3 2022","Currency=USD","Period=FQ","BEST_FPERIOD_OVERRIDE=FQ","FILING_STATUS=MR","Sort=A","Dates=H","DateFormat=P","Fill=—","Direction=H","UseDPDF=Y")</f>
        <v>-25.200500000000002</v>
      </c>
      <c r="S52" s="14">
        <f>_xll.BDH("AMGN US Equity","WORKING_CAPITAL_5_YEAR_GROWTH","FQ4 2022","FQ4 2022","Currency=USD","Period=FQ","BEST_FPERIOD_OVERRIDE=FQ","FILING_STATUS=MR","Sort=A","Dates=H","DateFormat=P","Fill=—","Direction=H","UseDPDF=Y")</f>
        <v>-30.629799999999999</v>
      </c>
      <c r="T52" s="14">
        <f>_xll.BDH("AMGN US Equity","WORKING_CAPITAL_5_YEAR_GROWTH","FQ1 2023","FQ1 2023","Currency=USD","Period=FQ","BEST_FPERIOD_OVERRIDE=FQ","FILING_STATUS=MR","Sort=A","Dates=H","DateFormat=P","Fill=—","Direction=H","UseDPDF=Y")</f>
        <v>0.18340000000000001</v>
      </c>
      <c r="U52" s="14">
        <f>_xll.BDH("AMGN US Equity","WORKING_CAPITAL_5_YEAR_GROWTH","FQ2 2023","FQ2 2023","Currency=USD","Period=FQ","BEST_FPERIOD_OVERRIDE=FQ","FILING_STATUS=MR","Sort=A","Dates=H","DateFormat=P","Fill=—","Direction=H","UseDPDF=Y")</f>
        <v>2.5005999999999999</v>
      </c>
      <c r="V52" s="14">
        <f>_xll.BDH("AMGN US Equity","WORKING_CAPITAL_5_YEAR_GROWTH","FQ3 2023","FQ3 2023","Currency=USD","Period=FQ","BEST_FPERIOD_OVERRIDE=FQ","FILING_STATUS=MR","Sort=A","Dates=H","DateFormat=P","Fill=—","Direction=H","UseDPDF=Y")</f>
        <v>4.0174000000000003</v>
      </c>
      <c r="W52" s="14">
        <f>_xll.BDH("AMGN US Equity","WORKING_CAPITAL_5_YEAR_GROWTH","FQ4 2023","FQ4 2023","Currency=USD","Period=FQ","BEST_FPERIOD_OVERRIDE=FQ","FILING_STATUS=MR","Sort=A","Dates=H","DateFormat=P","Fill=—","Direction=H","UseDPDF=Y")</f>
        <v>-13.126099999999999</v>
      </c>
      <c r="X52" s="14">
        <f>_xll.BDH("AMGN US Equity","WORKING_CAPITAL_5_YEAR_GROWTH","FQ1 2024","FQ1 2024","Currency=USD","Period=FQ","BEST_FPERIOD_OVERRIDE=FQ","FILING_STATUS=MR","Sort=A","Dates=H","DateFormat=P","Fill=—","Direction=H","UseDPDF=Y")</f>
        <v>-18.0123</v>
      </c>
      <c r="Y52" s="14">
        <f>_xll.BDH("AMGN US Equity","WORKING_CAPITAL_5_YEAR_GROWTH","FQ2 2024","FQ2 2024","Currency=USD","Period=FQ","BEST_FPERIOD_OVERRIDE=FQ","FILING_STATUS=MR","Sort=A","Dates=H","DateFormat=P","Fill=—","Direction=H","UseDPDF=Y")</f>
        <v>-22.327999999999999</v>
      </c>
      <c r="Z52" s="14">
        <f>_xll.BDH("AMGN US Equity","WORKING_CAPITAL_5_YEAR_GROWTH","FQ3 2024","FQ3 2024","Currency=USD","Period=FQ","BEST_FPERIOD_OVERRIDE=FQ","FILING_STATUS=MR","Sort=A","Dates=H","DateFormat=P","Fill=—","Direction=H","UseDPDF=Y")</f>
        <v>-20.492799999999999</v>
      </c>
      <c r="AA52" s="14">
        <f>_xll.BDH("AMGN US Equity","WORKING_CAPITAL_5_YEAR_GROWTH","FQ4 2024","FQ4 2024","Currency=USD","Period=FQ","BEST_FPERIOD_OVERRIDE=FQ","FILING_STATUS=MR","Sort=A","Dates=H","DateFormat=P","Fill=—","Direction=H","UseDPDF=Y")</f>
        <v>1.1371</v>
      </c>
    </row>
    <row r="53" spans="1:27" x14ac:dyDescent="0.25">
      <c r="A53" s="10" t="s">
        <v>1487</v>
      </c>
      <c r="B53" s="10" t="s">
        <v>1522</v>
      </c>
      <c r="C53" s="14">
        <f>_xll.BDH("AMGN US Equity","EMPLOYEES_5_YEAR_GROWTH","FQ4 2018","FQ4 2018","Currency=USD","Period=FQ","BEST_FPERIOD_OVERRIDE=FQ","FILING_STATUS=MR","Sort=A","Dates=H","DateFormat=P","Fill=—","Direction=H","UseDPDF=Y")</f>
        <v>1.4569000000000001</v>
      </c>
      <c r="D53" s="14" t="str">
        <f>_xll.BDH("AMGN US Equity","EMPLOYEES_5_YEAR_GROWTH","FQ1 2019","FQ1 2019","Currency=USD","Period=FQ","BEST_FPERIOD_OVERRIDE=FQ","FILING_STATUS=MR","Sort=A","Dates=H","DateFormat=P","Fill=—","Direction=H","UseDPDF=Y")</f>
        <v>—</v>
      </c>
      <c r="E53" s="14" t="str">
        <f>_xll.BDH("AMGN US Equity","EMPLOYEES_5_YEAR_GROWTH","FQ2 2019","FQ2 2019","Currency=USD","Period=FQ","BEST_FPERIOD_OVERRIDE=FQ","FILING_STATUS=MR","Sort=A","Dates=H","DateFormat=P","Fill=—","Direction=H","UseDPDF=Y")</f>
        <v>—</v>
      </c>
      <c r="F53" s="14" t="str">
        <f>_xll.BDH("AMGN US Equity","EMPLOYEES_5_YEAR_GROWTH","FQ3 2019","FQ3 2019","Currency=USD","Period=FQ","BEST_FPERIOD_OVERRIDE=FQ","FILING_STATUS=MR","Sort=A","Dates=H","DateFormat=P","Fill=—","Direction=H","UseDPDF=Y")</f>
        <v>—</v>
      </c>
      <c r="G53" s="14">
        <f>_xll.BDH("AMGN US Equity","EMPLOYEES_5_YEAR_GROWTH","FQ4 2019","FQ4 2019","Currency=USD","Period=FQ","BEST_FPERIOD_OVERRIDE=FQ","FILING_STATUS=MR","Sort=A","Dates=H","DateFormat=P","Fill=—","Direction=H","UseDPDF=Y")</f>
        <v>5.5049000000000001</v>
      </c>
      <c r="H53" s="14" t="str">
        <f>_xll.BDH("AMGN US Equity","EMPLOYEES_5_YEAR_GROWTH","FQ1 2020","FQ1 2020","Currency=USD","Period=FQ","BEST_FPERIOD_OVERRIDE=FQ","FILING_STATUS=MR","Sort=A","Dates=H","DateFormat=P","Fill=—","Direction=H","UseDPDF=Y")</f>
        <v>—</v>
      </c>
      <c r="I53" s="14" t="str">
        <f>_xll.BDH("AMGN US Equity","EMPLOYEES_5_YEAR_GROWTH","FQ2 2020","FQ2 2020","Currency=USD","Period=FQ","BEST_FPERIOD_OVERRIDE=FQ","FILING_STATUS=MR","Sort=A","Dates=H","DateFormat=P","Fill=—","Direction=H","UseDPDF=Y")</f>
        <v>—</v>
      </c>
      <c r="J53" s="14" t="str">
        <f>_xll.BDH("AMGN US Equity","EMPLOYEES_5_YEAR_GROWTH","FQ3 2020","FQ3 2020","Currency=USD","Period=FQ","BEST_FPERIOD_OVERRIDE=FQ","FILING_STATUS=MR","Sort=A","Dates=H","DateFormat=P","Fill=—","Direction=H","UseDPDF=Y")</f>
        <v>—</v>
      </c>
      <c r="K53" s="14">
        <f>_xll.BDH("AMGN US Equity","EMPLOYEES_5_YEAR_GROWTH","FQ4 2020","FQ4 2020","Currency=USD","Period=FQ","BEST_FPERIOD_OVERRIDE=FQ","FILING_STATUS=MR","Sort=A","Dates=H","DateFormat=P","Fill=—","Direction=H","UseDPDF=Y")</f>
        <v>6.2165999999999997</v>
      </c>
      <c r="L53" s="14" t="str">
        <f>_xll.BDH("AMGN US Equity","EMPLOYEES_5_YEAR_GROWTH","FQ1 2021","FQ1 2021","Currency=USD","Period=FQ","BEST_FPERIOD_OVERRIDE=FQ","FILING_STATUS=MR","Sort=A","Dates=H","DateFormat=P","Fill=—","Direction=H","UseDPDF=Y")</f>
        <v>—</v>
      </c>
      <c r="M53" s="14" t="str">
        <f>_xll.BDH("AMGN US Equity","EMPLOYEES_5_YEAR_GROWTH","FQ2 2021","FQ2 2021","Currency=USD","Period=FQ","BEST_FPERIOD_OVERRIDE=FQ","FILING_STATUS=MR","Sort=A","Dates=H","DateFormat=P","Fill=—","Direction=H","UseDPDF=Y")</f>
        <v>—</v>
      </c>
      <c r="N53" s="14" t="str">
        <f>_xll.BDH("AMGN US Equity","EMPLOYEES_5_YEAR_GROWTH","FQ3 2021","FQ3 2021","Currency=USD","Period=FQ","BEST_FPERIOD_OVERRIDE=FQ","FILING_STATUS=MR","Sort=A","Dates=H","DateFormat=P","Fill=—","Direction=H","UseDPDF=Y")</f>
        <v>—</v>
      </c>
      <c r="O53" s="14">
        <f>_xll.BDH("AMGN US Equity","EMPLOYEES_5_YEAR_GROWTH","FQ4 2021","FQ4 2021","Currency=USD","Period=FQ","BEST_FPERIOD_OVERRIDE=FQ","FILING_STATUS=MR","Sort=A","Dates=H","DateFormat=P","Fill=—","Direction=H","UseDPDF=Y")</f>
        <v>4.7377000000000002</v>
      </c>
      <c r="P53" s="14" t="str">
        <f>_xll.BDH("AMGN US Equity","EMPLOYEES_5_YEAR_GROWTH","FQ1 2022","FQ1 2022","Currency=USD","Period=FQ","BEST_FPERIOD_OVERRIDE=FQ","FILING_STATUS=MR","Sort=A","Dates=H","DateFormat=P","Fill=—","Direction=H","UseDPDF=Y")</f>
        <v>—</v>
      </c>
      <c r="Q53" s="14" t="str">
        <f>_xll.BDH("AMGN US Equity","EMPLOYEES_5_YEAR_GROWTH","FQ2 2022","FQ2 2022","Currency=USD","Period=FQ","BEST_FPERIOD_OVERRIDE=FQ","FILING_STATUS=MR","Sort=A","Dates=H","DateFormat=P","Fill=—","Direction=H","UseDPDF=Y")</f>
        <v>—</v>
      </c>
      <c r="R53" s="14" t="str">
        <f>_xll.BDH("AMGN US Equity","EMPLOYEES_5_YEAR_GROWTH","FQ3 2022","FQ3 2022","Currency=USD","Period=FQ","BEST_FPERIOD_OVERRIDE=FQ","FILING_STATUS=MR","Sort=A","Dates=H","DateFormat=P","Fill=—","Direction=H","UseDPDF=Y")</f>
        <v>—</v>
      </c>
      <c r="S53" s="14">
        <f>_xll.BDH("AMGN US Equity","EMPLOYEES_5_YEAR_GROWTH","FQ4 2022","FQ4 2022","Currency=USD","Period=FQ","BEST_FPERIOD_OVERRIDE=FQ","FILING_STATUS=MR","Sort=A","Dates=H","DateFormat=P","Fill=—","Direction=H","UseDPDF=Y")</f>
        <v>3.9123999999999999</v>
      </c>
      <c r="T53" s="14" t="str">
        <f>_xll.BDH("AMGN US Equity","EMPLOYEES_5_YEAR_GROWTH","FQ1 2023","FQ1 2023","Currency=USD","Period=FQ","BEST_FPERIOD_OVERRIDE=FQ","FILING_STATUS=MR","Sort=A","Dates=H","DateFormat=P","Fill=—","Direction=H","UseDPDF=Y")</f>
        <v>—</v>
      </c>
      <c r="U53" s="14" t="str">
        <f>_xll.BDH("AMGN US Equity","EMPLOYEES_5_YEAR_GROWTH","FQ2 2023","FQ2 2023","Currency=USD","Period=FQ","BEST_FPERIOD_OVERRIDE=FQ","FILING_STATUS=MR","Sort=A","Dates=H","DateFormat=P","Fill=—","Direction=H","UseDPDF=Y")</f>
        <v>—</v>
      </c>
      <c r="V53" s="14" t="str">
        <f>_xll.BDH("AMGN US Equity","EMPLOYEES_5_YEAR_GROWTH","FQ3 2023","FQ3 2023","Currency=USD","Period=FQ","BEST_FPERIOD_OVERRIDE=FQ","FILING_STATUS=MR","Sort=A","Dates=H","DateFormat=P","Fill=—","Direction=H","UseDPDF=Y")</f>
        <v>—</v>
      </c>
      <c r="W53" s="14">
        <f>_xll.BDH("AMGN US Equity","EMPLOYEES_5_YEAR_GROWTH","FQ4 2023","FQ4 2023","Currency=USD","Period=FQ","BEST_FPERIOD_OVERRIDE=FQ","FILING_STATUS=MR","Sort=A","Dates=H","DateFormat=P","Fill=—","Direction=H","UseDPDF=Y")</f>
        <v>4.4273999999999996</v>
      </c>
      <c r="X53" s="14" t="str">
        <f>_xll.BDH("AMGN US Equity","EMPLOYEES_5_YEAR_GROWTH","FQ1 2024","FQ1 2024","Currency=USD","Period=FQ","BEST_FPERIOD_OVERRIDE=FQ","FILING_STATUS=MR","Sort=A","Dates=H","DateFormat=P","Fill=—","Direction=H","UseDPDF=Y")</f>
        <v>—</v>
      </c>
      <c r="Y53" s="14" t="str">
        <f>_xll.BDH("AMGN US Equity","EMPLOYEES_5_YEAR_GROWTH","FQ2 2024","FQ2 2024","Currency=USD","Period=FQ","BEST_FPERIOD_OVERRIDE=FQ","FILING_STATUS=MR","Sort=A","Dates=H","DateFormat=P","Fill=—","Direction=H","UseDPDF=Y")</f>
        <v>—</v>
      </c>
      <c r="Z53" s="14" t="str">
        <f>_xll.BDH("AMGN US Equity","EMPLOYEES_5_YEAR_GROWTH","FQ3 2024","FQ3 2024","Currency=USD","Period=FQ","BEST_FPERIOD_OVERRIDE=FQ","FILING_STATUS=MR","Sort=A","Dates=H","DateFormat=P","Fill=—","Direction=H","UseDPDF=Y")</f>
        <v>—</v>
      </c>
      <c r="AA53" s="14">
        <f>_xll.BDH("AMGN US Equity","EMPLOYEES_5_YEAR_GROWTH","FQ4 2024","FQ4 2024","Currency=USD","Period=FQ","BEST_FPERIOD_OVERRIDE=FQ","FILING_STATUS=MR","Sort=A","Dates=H","DateFormat=P","Fill=—","Direction=H","UseDPDF=Y")</f>
        <v>3.6545999999999998</v>
      </c>
    </row>
    <row r="54" spans="1:27" x14ac:dyDescent="0.25">
      <c r="A54" s="10" t="s">
        <v>1489</v>
      </c>
      <c r="B54" s="10" t="s">
        <v>1523</v>
      </c>
      <c r="C54" s="14">
        <f>_xll.BDH("AMGN US Equity","ACCOUNTS_PAYABLE_5_YEAR_GROWTH","FQ4 2018","FQ4 2018","Currency=USD","Period=FQ","BEST_FPERIOD_OVERRIDE=FQ","FILING_STATUS=MR","Sort=A","Dates=H","DateFormat=P","Fill=—","Direction=H","UseDPDF=Y")</f>
        <v>8.9298000000000002</v>
      </c>
      <c r="D54" s="14">
        <f>_xll.BDH("AMGN US Equity","ACCOUNTS_PAYABLE_5_YEAR_GROWTH","FQ1 2019","FQ1 2019","Currency=USD","Period=FQ","BEST_FPERIOD_OVERRIDE=FQ","FILING_STATUS=MR","Sort=A","Dates=H","DateFormat=P","Fill=—","Direction=H","UseDPDF=Y")</f>
        <v>2.8281000000000001</v>
      </c>
      <c r="E54" s="14">
        <f>_xll.BDH("AMGN US Equity","ACCOUNTS_PAYABLE_5_YEAR_GROWTH","FQ2 2019","FQ2 2019","Currency=USD","Period=FQ","BEST_FPERIOD_OVERRIDE=FQ","FILING_STATUS=MR","Sort=A","Dates=H","DateFormat=P","Fill=—","Direction=H","UseDPDF=Y")</f>
        <v>0.38400000000000001</v>
      </c>
      <c r="F54" s="14">
        <f>_xll.BDH("AMGN US Equity","ACCOUNTS_PAYABLE_5_YEAR_GROWTH","FQ3 2019","FQ3 2019","Currency=USD","Period=FQ","BEST_FPERIOD_OVERRIDE=FQ","FILING_STATUS=MR","Sort=A","Dates=H","DateFormat=P","Fill=—","Direction=H","UseDPDF=Y")</f>
        <v>1.0259</v>
      </c>
      <c r="G54" s="14">
        <f>_xll.BDH("AMGN US Equity","ACCOUNTS_PAYABLE_5_YEAR_GROWTH","FQ4 2019","FQ4 2019","Currency=USD","Period=FQ","BEST_FPERIOD_OVERRIDE=FQ","FILING_STATUS=MR","Sort=A","Dates=H","DateFormat=P","Fill=—","Direction=H","UseDPDF=Y")</f>
        <v>2.496</v>
      </c>
      <c r="H54" s="14">
        <f>_xll.BDH("AMGN US Equity","ACCOUNTS_PAYABLE_5_YEAR_GROWTH","FQ1 2020","FQ1 2020","Currency=USD","Period=FQ","BEST_FPERIOD_OVERRIDE=FQ","FILING_STATUS=MR","Sort=A","Dates=H","DateFormat=P","Fill=—","Direction=H","UseDPDF=Y")</f>
        <v>8.5447000000000006</v>
      </c>
      <c r="I54" s="14">
        <f>_xll.BDH("AMGN US Equity","ACCOUNTS_PAYABLE_5_YEAR_GROWTH","FQ2 2020","FQ2 2020","Currency=USD","Period=FQ","BEST_FPERIOD_OVERRIDE=FQ","FILING_STATUS=MR","Sort=A","Dates=H","DateFormat=P","Fill=—","Direction=H","UseDPDF=Y")</f>
        <v>4.2485999999999997</v>
      </c>
      <c r="J54" s="14">
        <f>_xll.BDH("AMGN US Equity","ACCOUNTS_PAYABLE_5_YEAR_GROWTH","FQ3 2020","FQ3 2020","Currency=USD","Period=FQ","BEST_FPERIOD_OVERRIDE=FQ","FILING_STATUS=MR","Sort=A","Dates=H","DateFormat=P","Fill=—","Direction=H","UseDPDF=Y")</f>
        <v>1.7030000000000001</v>
      </c>
      <c r="K54" s="14">
        <f>_xll.BDH("AMGN US Equity","ACCOUNTS_PAYABLE_5_YEAR_GROWTH","FQ4 2020","FQ4 2020","Currency=USD","Period=FQ","BEST_FPERIOD_OVERRIDE=FQ","FILING_STATUS=MR","Sort=A","Dates=H","DateFormat=P","Fill=—","Direction=H","UseDPDF=Y")</f>
        <v>8.0472000000000001</v>
      </c>
      <c r="L54" s="14">
        <f>_xll.BDH("AMGN US Equity","ACCOUNTS_PAYABLE_5_YEAR_GROWTH","FQ1 2021","FQ1 2021","Currency=USD","Period=FQ","BEST_FPERIOD_OVERRIDE=FQ","FILING_STATUS=MR","Sort=A","Dates=H","DateFormat=P","Fill=—","Direction=H","UseDPDF=Y")</f>
        <v>11.282400000000001</v>
      </c>
      <c r="M54" s="14">
        <f>_xll.BDH("AMGN US Equity","ACCOUNTS_PAYABLE_5_YEAR_GROWTH","FQ2 2021","FQ2 2021","Currency=USD","Period=FQ","BEST_FPERIOD_OVERRIDE=FQ","FILING_STATUS=MR","Sort=A","Dates=H","DateFormat=P","Fill=—","Direction=H","UseDPDF=Y")</f>
        <v>7.9778000000000002</v>
      </c>
      <c r="N54" s="14">
        <f>_xll.BDH("AMGN US Equity","ACCOUNTS_PAYABLE_5_YEAR_GROWTH","FQ3 2021","FQ3 2021","Currency=USD","Period=FQ","BEST_FPERIOD_OVERRIDE=FQ","FILING_STATUS=MR","Sort=A","Dates=H","DateFormat=P","Fill=—","Direction=H","UseDPDF=Y")</f>
        <v>7.2557999999999998</v>
      </c>
      <c r="O54" s="14">
        <f>_xll.BDH("AMGN US Equity","ACCOUNTS_PAYABLE_5_YEAR_GROWTH","FQ4 2021","FQ4 2021","Currency=USD","Period=FQ","BEST_FPERIOD_OVERRIDE=FQ","FILING_STATUS=MR","Sort=A","Dates=H","DateFormat=P","Fill=—","Direction=H","UseDPDF=Y")</f>
        <v>8.2970000000000006</v>
      </c>
      <c r="P54" s="14">
        <f>_xll.BDH("AMGN US Equity","ACCOUNTS_PAYABLE_5_YEAR_GROWTH","FQ1 2022","FQ1 2022","Currency=USD","Period=FQ","BEST_FPERIOD_OVERRIDE=FQ","FILING_STATUS=MR","Sort=A","Dates=H","DateFormat=P","Fill=—","Direction=H","UseDPDF=Y")</f>
        <v>9.2370999999999999</v>
      </c>
      <c r="Q54" s="14">
        <f>_xll.BDH("AMGN US Equity","ACCOUNTS_PAYABLE_5_YEAR_GROWTH","FQ2 2022","FQ2 2022","Currency=USD","Period=FQ","BEST_FPERIOD_OVERRIDE=FQ","FILING_STATUS=MR","Sort=A","Dates=H","DateFormat=P","Fill=—","Direction=H","UseDPDF=Y")</f>
        <v>7.3014999999999999</v>
      </c>
      <c r="R54" s="14">
        <f>_xll.BDH("AMGN US Equity","ACCOUNTS_PAYABLE_5_YEAR_GROWTH","FQ3 2022","FQ3 2022","Currency=USD","Period=FQ","BEST_FPERIOD_OVERRIDE=FQ","FILING_STATUS=MR","Sort=A","Dates=H","DateFormat=P","Fill=—","Direction=H","UseDPDF=Y")</f>
        <v>6.4946000000000002</v>
      </c>
      <c r="S54" s="14">
        <f>_xll.BDH("AMGN US Equity","ACCOUNTS_PAYABLE_5_YEAR_GROWTH","FQ4 2022","FQ4 2022","Currency=USD","Period=FQ","BEST_FPERIOD_OVERRIDE=FQ","FILING_STATUS=MR","Sort=A","Dates=H","DateFormat=P","Fill=—","Direction=H","UseDPDF=Y")</f>
        <v>3.0611999999999999</v>
      </c>
      <c r="T54" s="14">
        <f>_xll.BDH("AMGN US Equity","ACCOUNTS_PAYABLE_5_YEAR_GROWTH","FQ1 2023","FQ1 2023","Currency=USD","Period=FQ","BEST_FPERIOD_OVERRIDE=FQ","FILING_STATUS=MR","Sort=A","Dates=H","DateFormat=P","Fill=—","Direction=H","UseDPDF=Y")</f>
        <v>3.9224000000000001</v>
      </c>
      <c r="U54" s="14">
        <f>_xll.BDH("AMGN US Equity","ACCOUNTS_PAYABLE_5_YEAR_GROWTH","FQ2 2023","FQ2 2023","Currency=USD","Period=FQ","BEST_FPERIOD_OVERRIDE=FQ","FILING_STATUS=MR","Sort=A","Dates=H","DateFormat=P","Fill=—","Direction=H","UseDPDF=Y")</f>
        <v>3.3881999999999999</v>
      </c>
      <c r="V54" s="14">
        <f>_xll.BDH("AMGN US Equity","ACCOUNTS_PAYABLE_5_YEAR_GROWTH","FQ3 2023","FQ3 2023","Currency=USD","Period=FQ","BEST_FPERIOD_OVERRIDE=FQ","FILING_STATUS=MR","Sort=A","Dates=H","DateFormat=P","Fill=—","Direction=H","UseDPDF=Y")</f>
        <v>5.4401999999999999</v>
      </c>
      <c r="W54" s="14">
        <f>_xll.BDH("AMGN US Equity","ACCOUNTS_PAYABLE_5_YEAR_GROWTH","FQ4 2023","FQ4 2023","Currency=USD","Period=FQ","BEST_FPERIOD_OVERRIDE=FQ","FILING_STATUS=MR","Sort=A","Dates=H","DateFormat=P","Fill=—","Direction=H","UseDPDF=Y")</f>
        <v>5.6666999999999996</v>
      </c>
      <c r="X54" s="14">
        <f>_xll.BDH("AMGN US Equity","ACCOUNTS_PAYABLE_5_YEAR_GROWTH","FQ1 2024","FQ1 2024","Currency=USD","Period=FQ","BEST_FPERIOD_OVERRIDE=FQ","FILING_STATUS=MR","Sort=A","Dates=H","DateFormat=P","Fill=—","Direction=H","UseDPDF=Y")</f>
        <v>8.3343000000000007</v>
      </c>
      <c r="Y54" s="14">
        <f>_xll.BDH("AMGN US Equity","ACCOUNTS_PAYABLE_5_YEAR_GROWTH","FQ2 2024","FQ2 2024","Currency=USD","Period=FQ","BEST_FPERIOD_OVERRIDE=FQ","FILING_STATUS=MR","Sort=A","Dates=H","DateFormat=P","Fill=—","Direction=H","UseDPDF=Y")</f>
        <v>17.761500000000002</v>
      </c>
      <c r="Z54" s="14">
        <f>_xll.BDH("AMGN US Equity","ACCOUNTS_PAYABLE_5_YEAR_GROWTH","FQ3 2024","FQ3 2024","Currency=USD","Period=FQ","BEST_FPERIOD_OVERRIDE=FQ","FILING_STATUS=MR","Sort=A","Dates=H","DateFormat=P","Fill=—","Direction=H","UseDPDF=Y")</f>
        <v>16.3947</v>
      </c>
      <c r="AA54" s="14">
        <f>_xll.BDH("AMGN US Equity","ACCOUNTS_PAYABLE_5_YEAR_GROWTH","FQ4 2024","FQ4 2024","Currency=USD","Period=FQ","BEST_FPERIOD_OVERRIDE=FQ","FILING_STATUS=MR","Sort=A","Dates=H","DateFormat=P","Fill=—","Direction=H","UseDPDF=Y")</f>
        <v>6.8337000000000003</v>
      </c>
    </row>
    <row r="55" spans="1:27" x14ac:dyDescent="0.25">
      <c r="A55" s="10" t="s">
        <v>1491</v>
      </c>
      <c r="B55" s="10" t="s">
        <v>1524</v>
      </c>
      <c r="C55" s="14">
        <f>_xll.BDH("AMGN US Equity","SHORT_TERM_DEBT_5_YEAR_GROWTH","FQ4 2018","FQ4 2018","Currency=USD","Period=FQ","BEST_FPERIOD_OVERRIDE=FQ","FILING_STATUS=MR","Sort=A","Dates=H","DateFormat=P","Fill=—","Direction=H","UseDPDF=Y")</f>
        <v>12.022</v>
      </c>
      <c r="D55" s="14">
        <f>_xll.BDH("AMGN US Equity","SHORT_TERM_DEBT_5_YEAR_GROWTH","FQ1 2019","FQ1 2019","Currency=USD","Period=FQ","BEST_FPERIOD_OVERRIDE=FQ","FILING_STATUS=MR","Sort=A","Dates=H","DateFormat=P","Fill=—","Direction=H","UseDPDF=Y")</f>
        <v>8.8339999999999996</v>
      </c>
      <c r="E55" s="14">
        <f>_xll.BDH("AMGN US Equity","SHORT_TERM_DEBT_5_YEAR_GROWTH","FQ2 2019","FQ2 2019","Currency=USD","Period=FQ","BEST_FPERIOD_OVERRIDE=FQ","FILING_STATUS=MR","Sort=A","Dates=H","DateFormat=P","Fill=—","Direction=H","UseDPDF=Y")</f>
        <v>3.3656999999999999</v>
      </c>
      <c r="F55" s="14">
        <f>_xll.BDH("AMGN US Equity","SHORT_TERM_DEBT_5_YEAR_GROWTH","FQ3 2019","FQ3 2019","Currency=USD","Period=FQ","BEST_FPERIOD_OVERRIDE=FQ","FILING_STATUS=MR","Sort=A","Dates=H","DateFormat=P","Fill=—","Direction=H","UseDPDF=Y")</f>
        <v>-2.6665000000000001</v>
      </c>
      <c r="G55" s="14">
        <f>_xll.BDH("AMGN US Equity","SHORT_TERM_DEBT_5_YEAR_GROWTH","FQ4 2019","FQ4 2019","Currency=USD","Period=FQ","BEST_FPERIOD_OVERRIDE=FQ","FILING_STATUS=MR","Sort=A","Dates=H","DateFormat=P","Fill=—","Direction=H","UseDPDF=Y")</f>
        <v>43.973300000000002</v>
      </c>
      <c r="H55" s="14">
        <f>_xll.BDH("AMGN US Equity","SHORT_TERM_DEBT_5_YEAR_GROWTH","FQ1 2020","FQ1 2020","Currency=USD","Period=FQ","BEST_FPERIOD_OVERRIDE=FQ","FILING_STATUS=MR","Sort=A","Dates=H","DateFormat=P","Fill=—","Direction=H","UseDPDF=Y")</f>
        <v>29.768599999999999</v>
      </c>
      <c r="I55" s="14">
        <f>_xll.BDH("AMGN US Equity","SHORT_TERM_DEBT_5_YEAR_GROWTH","FQ2 2020","FQ2 2020","Currency=USD","Period=FQ","BEST_FPERIOD_OVERRIDE=FQ","FILING_STATUS=MR","Sort=A","Dates=H","DateFormat=P","Fill=—","Direction=H","UseDPDF=Y")</f>
        <v>-40.785699999999999</v>
      </c>
      <c r="J55" s="14">
        <f>_xll.BDH("AMGN US Equity","SHORT_TERM_DEBT_5_YEAR_GROWTH","FQ3 2020","FQ3 2020","Currency=USD","Period=FQ","BEST_FPERIOD_OVERRIDE=FQ","FILING_STATUS=MR","Sort=A","Dates=H","DateFormat=P","Fill=—","Direction=H","UseDPDF=Y")</f>
        <v>-40.785699999999999</v>
      </c>
      <c r="K55" s="14">
        <f>_xll.BDH("AMGN US Equity","SHORT_TERM_DEBT_5_YEAR_GROWTH","FQ4 2020","FQ4 2020","Currency=USD","Period=FQ","BEST_FPERIOD_OVERRIDE=FQ","FILING_STATUS=MR","Sort=A","Dates=H","DateFormat=P","Fill=—","Direction=H","UseDPDF=Y")</f>
        <v>-35.855800000000002</v>
      </c>
      <c r="L55" s="14">
        <f>_xll.BDH("AMGN US Equity","SHORT_TERM_DEBT_5_YEAR_GROWTH","FQ1 2021","FQ1 2021","Currency=USD","Period=FQ","BEST_FPERIOD_OVERRIDE=FQ","FILING_STATUS=MR","Sort=A","Dates=H","DateFormat=P","Fill=—","Direction=H","UseDPDF=Y")</f>
        <v>-7.0860000000000003</v>
      </c>
      <c r="M55" s="14">
        <f>_xll.BDH("AMGN US Equity","SHORT_TERM_DEBT_5_YEAR_GROWTH","FQ2 2021","FQ2 2021","Currency=USD","Period=FQ","BEST_FPERIOD_OVERRIDE=FQ","FILING_STATUS=MR","Sort=A","Dates=H","DateFormat=P","Fill=—","Direction=H","UseDPDF=Y")</f>
        <v>-3.9670000000000001</v>
      </c>
      <c r="N55" s="14">
        <f>_xll.BDH("AMGN US Equity","SHORT_TERM_DEBT_5_YEAR_GROWTH","FQ3 2021","FQ3 2021","Currency=USD","Period=FQ","BEST_FPERIOD_OVERRIDE=FQ","FILING_STATUS=MR","Sort=A","Dates=H","DateFormat=P","Fill=—","Direction=H","UseDPDF=Y")</f>
        <v>-2.2183999999999999</v>
      </c>
      <c r="O55" s="14">
        <f>_xll.BDH("AMGN US Equity","SHORT_TERM_DEBT_5_YEAR_GROWTH","FQ4 2021","FQ4 2021","Currency=USD","Period=FQ","BEST_FPERIOD_OVERRIDE=FQ","FILING_STATUS=MR","Sort=A","Dates=H","DateFormat=P","Fill=—","Direction=H","UseDPDF=Y")</f>
        <v>-44.493000000000002</v>
      </c>
      <c r="P55" s="14">
        <f>_xll.BDH("AMGN US Equity","SHORT_TERM_DEBT_5_YEAR_GROWTH","FQ1 2022","FQ1 2022","Currency=USD","Period=FQ","BEST_FPERIOD_OVERRIDE=FQ","FILING_STATUS=MR","Sort=A","Dates=H","DateFormat=P","Fill=—","Direction=H","UseDPDF=Y")</f>
        <v>-25.982500000000002</v>
      </c>
      <c r="Q55" s="14">
        <f>_xll.BDH("AMGN US Equity","SHORT_TERM_DEBT_5_YEAR_GROWTH","FQ2 2022","FQ2 2022","Currency=USD","Period=FQ","BEST_FPERIOD_OVERRIDE=FQ","FILING_STATUS=MR","Sort=A","Dates=H","DateFormat=P","Fill=—","Direction=H","UseDPDF=Y")</f>
        <v>-10.950100000000001</v>
      </c>
      <c r="R55" s="14">
        <f>_xll.BDH("AMGN US Equity","SHORT_TERM_DEBT_5_YEAR_GROWTH","FQ3 2022","FQ3 2022","Currency=USD","Period=FQ","BEST_FPERIOD_OVERRIDE=FQ","FILING_STATUS=MR","Sort=A","Dates=H","DateFormat=P","Fill=—","Direction=H","UseDPDF=Y")</f>
        <v>-5.0465999999999998</v>
      </c>
      <c r="S55" s="14">
        <f>_xll.BDH("AMGN US Equity","SHORT_TERM_DEBT_5_YEAR_GROWTH","FQ4 2022","FQ4 2022","Currency=USD","Period=FQ","BEST_FPERIOD_OVERRIDE=FQ","FILING_STATUS=MR","Sort=A","Dates=H","DateFormat=P","Fill=—","Direction=H","UseDPDF=Y")</f>
        <v>8.6845999999999997</v>
      </c>
      <c r="T55" s="14">
        <f>_xll.BDH("AMGN US Equity","SHORT_TERM_DEBT_5_YEAR_GROWTH","FQ1 2023","FQ1 2023","Currency=USD","Period=FQ","BEST_FPERIOD_OVERRIDE=FQ","FILING_STATUS=MR","Sort=A","Dates=H","DateFormat=P","Fill=—","Direction=H","UseDPDF=Y")</f>
        <v>-17.506</v>
      </c>
      <c r="U55" s="14">
        <f>_xll.BDH("AMGN US Equity","SHORT_TERM_DEBT_5_YEAR_GROWTH","FQ2 2023","FQ2 2023","Currency=USD","Period=FQ","BEST_FPERIOD_OVERRIDE=FQ","FILING_STATUS=MR","Sort=A","Dates=H","DateFormat=P","Fill=—","Direction=H","UseDPDF=Y")</f>
        <v>-12.759</v>
      </c>
      <c r="V55" s="14">
        <f>_xll.BDH("AMGN US Equity","SHORT_TERM_DEBT_5_YEAR_GROWTH","FQ3 2023","FQ3 2023","Currency=USD","Period=FQ","BEST_FPERIOD_OVERRIDE=FQ","FILING_STATUS=MR","Sort=A","Dates=H","DateFormat=P","Fill=—","Direction=H","UseDPDF=Y")</f>
        <v>-22.406700000000001</v>
      </c>
      <c r="W55" s="14">
        <f>_xll.BDH("AMGN US Equity","SHORT_TERM_DEBT_5_YEAR_GROWTH","FQ4 2023","FQ4 2023","Currency=USD","Period=FQ","BEST_FPERIOD_OVERRIDE=FQ","FILING_STATUS=MR","Sort=A","Dates=H","DateFormat=P","Fill=—","Direction=H","UseDPDF=Y")</f>
        <v>-18.778400000000001</v>
      </c>
      <c r="X55" s="14">
        <f>_xll.BDH("AMGN US Equity","SHORT_TERM_DEBT_5_YEAR_GROWTH","FQ1 2024","FQ1 2024","Currency=USD","Period=FQ","BEST_FPERIOD_OVERRIDE=FQ","FILING_STATUS=MR","Sort=A","Dates=H","DateFormat=P","Fill=—","Direction=H","UseDPDF=Y")</f>
        <v>0.69099999999999995</v>
      </c>
      <c r="Y55" s="14">
        <f>_xll.BDH("AMGN US Equity","SHORT_TERM_DEBT_5_YEAR_GROWTH","FQ2 2024","FQ2 2024","Currency=USD","Period=FQ","BEST_FPERIOD_OVERRIDE=FQ","FILING_STATUS=MR","Sort=A","Dates=H","DateFormat=P","Fill=—","Direction=H","UseDPDF=Y")</f>
        <v>13.3833</v>
      </c>
      <c r="Z55" s="14">
        <f>_xll.BDH("AMGN US Equity","SHORT_TERM_DEBT_5_YEAR_GROWTH","FQ3 2024","FQ3 2024","Currency=USD","Period=FQ","BEST_FPERIOD_OVERRIDE=FQ","FILING_STATUS=MR","Sort=A","Dates=H","DateFormat=P","Fill=—","Direction=H","UseDPDF=Y")</f>
        <v>10.1662</v>
      </c>
      <c r="AA55" s="14">
        <f>_xll.BDH("AMGN US Equity","SHORT_TERM_DEBT_5_YEAR_GROWTH","FQ4 2024","FQ4 2024","Currency=USD","Period=FQ","BEST_FPERIOD_OVERRIDE=FQ","FILING_STATUS=MR","Sort=A","Dates=H","DateFormat=P","Fill=—","Direction=H","UseDPDF=Y")</f>
        <v>3.4068000000000001</v>
      </c>
    </row>
    <row r="56" spans="1:27" x14ac:dyDescent="0.25">
      <c r="A56" s="10" t="s">
        <v>1493</v>
      </c>
      <c r="B56" s="10" t="s">
        <v>1525</v>
      </c>
      <c r="C56" s="14">
        <f>_xll.BDH("AMGN US Equity","TOTAL_DEBT_5_YEAR_GROWTH","FQ4 2018","FQ4 2018","Currency=USD","Period=FQ","BEST_FPERIOD_OVERRIDE=FQ","FILING_STATUS=MR","Sort=A","Dates=H","DateFormat=P","Fill=—","Direction=H","UseDPDF=Y")</f>
        <v>1.0968</v>
      </c>
      <c r="D56" s="14">
        <f>_xll.BDH("AMGN US Equity","TOTAL_DEBT_5_YEAR_GROWTH","FQ1 2019","FQ1 2019","Currency=USD","Period=FQ","BEST_FPERIOD_OVERRIDE=FQ","FILING_STATUS=MR","Sort=A","Dates=H","DateFormat=P","Fill=—","Direction=H","UseDPDF=Y")</f>
        <v>0.91249999999999998</v>
      </c>
      <c r="E56" s="14">
        <f>_xll.BDH("AMGN US Equity","TOTAL_DEBT_5_YEAR_GROWTH","FQ2 2019","FQ2 2019","Currency=USD","Period=FQ","BEST_FPERIOD_OVERRIDE=FQ","FILING_STATUS=MR","Sort=A","Dates=H","DateFormat=P","Fill=—","Direction=H","UseDPDF=Y")</f>
        <v>-1.3673</v>
      </c>
      <c r="F56" s="14">
        <f>_xll.BDH("AMGN US Equity","TOTAL_DEBT_5_YEAR_GROWTH","FQ3 2019","FQ3 2019","Currency=USD","Period=FQ","BEST_FPERIOD_OVERRIDE=FQ","FILING_STATUS=MR","Sort=A","Dates=H","DateFormat=P","Fill=—","Direction=H","UseDPDF=Y")</f>
        <v>-1.6957</v>
      </c>
      <c r="G56" s="14">
        <f>_xll.BDH("AMGN US Equity","TOTAL_DEBT_5_YEAR_GROWTH","FQ4 2019","FQ4 2019","Currency=USD","Period=FQ","BEST_FPERIOD_OVERRIDE=FQ","FILING_STATUS=MR","Sort=A","Dates=H","DateFormat=P","Fill=—","Direction=H","UseDPDF=Y")</f>
        <v>-0.18559999999999999</v>
      </c>
      <c r="H56" s="14">
        <f>_xll.BDH("AMGN US Equity","TOTAL_DEBT_5_YEAR_GROWTH","FQ1 2020","FQ1 2020","Currency=USD","Period=FQ","BEST_FPERIOD_OVERRIDE=FQ","FILING_STATUS=MR","Sort=A","Dates=H","DateFormat=P","Fill=—","Direction=H","UseDPDF=Y")</f>
        <v>0.97419999999999995</v>
      </c>
      <c r="I56" s="14">
        <f>_xll.BDH("AMGN US Equity","TOTAL_DEBT_5_YEAR_GROWTH","FQ2 2020","FQ2 2020","Currency=USD","Period=FQ","BEST_FPERIOD_OVERRIDE=FQ","FILING_STATUS=MR","Sort=A","Dates=H","DateFormat=P","Fill=—","Direction=H","UseDPDF=Y")</f>
        <v>1.3833</v>
      </c>
      <c r="J56" s="14">
        <f>_xll.BDH("AMGN US Equity","TOTAL_DEBT_5_YEAR_GROWTH","FQ3 2020","FQ3 2020","Currency=USD","Period=FQ","BEST_FPERIOD_OVERRIDE=FQ","FILING_STATUS=MR","Sort=A","Dates=H","DateFormat=P","Fill=—","Direction=H","UseDPDF=Y")</f>
        <v>1.5423</v>
      </c>
      <c r="K56" s="14">
        <f>_xll.BDH("AMGN US Equity","TOTAL_DEBT_5_YEAR_GROWTH","FQ4 2020","FQ4 2020","Currency=USD","Period=FQ","BEST_FPERIOD_OVERRIDE=FQ","FILING_STATUS=MR","Sort=A","Dates=H","DateFormat=P","Fill=—","Direction=H","UseDPDF=Y")</f>
        <v>1.2512000000000001</v>
      </c>
      <c r="L56" s="14">
        <f>_xll.BDH("AMGN US Equity","TOTAL_DEBT_5_YEAR_GROWTH","FQ1 2021","FQ1 2021","Currency=USD","Period=FQ","BEST_FPERIOD_OVERRIDE=FQ","FILING_STATUS=MR","Sort=A","Dates=H","DateFormat=P","Fill=—","Direction=H","UseDPDF=Y")</f>
        <v>-0.96399999999999997</v>
      </c>
      <c r="M56" s="14">
        <f>_xll.BDH("AMGN US Equity","TOTAL_DEBT_5_YEAR_GROWTH","FQ2 2021","FQ2 2021","Currency=USD","Period=FQ","BEST_FPERIOD_OVERRIDE=FQ","FILING_STATUS=MR","Sort=A","Dates=H","DateFormat=P","Fill=—","Direction=H","UseDPDF=Y")</f>
        <v>-0.26629999999999998</v>
      </c>
      <c r="N56" s="14">
        <f>_xll.BDH("AMGN US Equity","TOTAL_DEBT_5_YEAR_GROWTH","FQ3 2021","FQ3 2021","Currency=USD","Period=FQ","BEST_FPERIOD_OVERRIDE=FQ","FILING_STATUS=MR","Sort=A","Dates=H","DateFormat=P","Fill=—","Direction=H","UseDPDF=Y")</f>
        <v>1.2459</v>
      </c>
      <c r="O56" s="14">
        <f>_xll.BDH("AMGN US Equity","TOTAL_DEBT_5_YEAR_GROWTH","FQ4 2021","FQ4 2021","Currency=USD","Period=FQ","BEST_FPERIOD_OVERRIDE=FQ","FILING_STATUS=MR","Sort=A","Dates=H","DateFormat=P","Fill=—","Direction=H","UseDPDF=Y")</f>
        <v>-0.35930000000000001</v>
      </c>
      <c r="P56" s="14">
        <f>_xll.BDH("AMGN US Equity","TOTAL_DEBT_5_YEAR_GROWTH","FQ1 2022","FQ1 2022","Currency=USD","Period=FQ","BEST_FPERIOD_OVERRIDE=FQ","FILING_STATUS=MR","Sort=A","Dates=H","DateFormat=P","Fill=—","Direction=H","UseDPDF=Y")</f>
        <v>1.5702</v>
      </c>
      <c r="Q56" s="14">
        <f>_xll.BDH("AMGN US Equity","TOTAL_DEBT_5_YEAR_GROWTH","FQ2 2022","FQ2 2022","Currency=USD","Period=FQ","BEST_FPERIOD_OVERRIDE=FQ","FILING_STATUS=MR","Sort=A","Dates=H","DateFormat=P","Fill=—","Direction=H","UseDPDF=Y")</f>
        <v>0.81930000000000003</v>
      </c>
      <c r="R56" s="14">
        <f>_xll.BDH("AMGN US Equity","TOTAL_DEBT_5_YEAR_GROWTH","FQ3 2022","FQ3 2022","Currency=USD","Period=FQ","BEST_FPERIOD_OVERRIDE=FQ","FILING_STATUS=MR","Sort=A","Dates=H","DateFormat=P","Fill=—","Direction=H","UseDPDF=Y")</f>
        <v>1.5858000000000001</v>
      </c>
      <c r="S56" s="14">
        <f>_xll.BDH("AMGN US Equity","TOTAL_DEBT_5_YEAR_GROWTH","FQ4 2022","FQ4 2022","Currency=USD","Period=FQ","BEST_FPERIOD_OVERRIDE=FQ","FILING_STATUS=MR","Sort=A","Dates=H","DateFormat=P","Fill=—","Direction=H","UseDPDF=Y")</f>
        <v>2.3218999999999999</v>
      </c>
      <c r="T56" s="14">
        <f>_xll.BDH("AMGN US Equity","TOTAL_DEBT_5_YEAR_GROWTH","FQ1 2023","FQ1 2023","Currency=USD","Period=FQ","BEST_FPERIOD_OVERRIDE=FQ","FILING_STATUS=MR","Sort=A","Dates=H","DateFormat=P","Fill=—","Direction=H","UseDPDF=Y")</f>
        <v>11.625400000000001</v>
      </c>
      <c r="U56" s="14">
        <f>_xll.BDH("AMGN US Equity","TOTAL_DEBT_5_YEAR_GROWTH","FQ2 2023","FQ2 2023","Currency=USD","Period=FQ","BEST_FPERIOD_OVERRIDE=FQ","FILING_STATUS=MR","Sort=A","Dates=H","DateFormat=P","Fill=—","Direction=H","UseDPDF=Y")</f>
        <v>12.2744</v>
      </c>
      <c r="V56" s="14">
        <f>_xll.BDH("AMGN US Equity","TOTAL_DEBT_5_YEAR_GROWTH","FQ3 2023","FQ3 2023","Currency=USD","Period=FQ","BEST_FPERIOD_OVERRIDE=FQ","FILING_STATUS=MR","Sort=A","Dates=H","DateFormat=P","Fill=—","Direction=H","UseDPDF=Y")</f>
        <v>11.9245</v>
      </c>
      <c r="W56" s="14">
        <f>_xll.BDH("AMGN US Equity","TOTAL_DEBT_5_YEAR_GROWTH","FQ4 2023","FQ4 2023","Currency=USD","Period=FQ","BEST_FPERIOD_OVERRIDE=FQ","FILING_STATUS=MR","Sort=A","Dates=H","DateFormat=P","Fill=—","Direction=H","UseDPDF=Y")</f>
        <v>14.033300000000001</v>
      </c>
      <c r="X56" s="14">
        <f>_xll.BDH("AMGN US Equity","TOTAL_DEBT_5_YEAR_GROWTH","FQ1 2024","FQ1 2024","Currency=USD","Period=FQ","BEST_FPERIOD_OVERRIDE=FQ","FILING_STATUS=MR","Sort=A","Dates=H","DateFormat=P","Fill=—","Direction=H","UseDPDF=Y")</f>
        <v>13.821199999999999</v>
      </c>
      <c r="Y56" s="14">
        <f>_xll.BDH("AMGN US Equity","TOTAL_DEBT_5_YEAR_GROWTH","FQ2 2024","FQ2 2024","Currency=USD","Period=FQ","BEST_FPERIOD_OVERRIDE=FQ","FILING_STATUS=MR","Sort=A","Dates=H","DateFormat=P","Fill=—","Direction=H","UseDPDF=Y")</f>
        <v>15.025600000000001</v>
      </c>
      <c r="Z56" s="14">
        <f>_xll.BDH("AMGN US Equity","TOTAL_DEBT_5_YEAR_GROWTH","FQ3 2024","FQ3 2024","Currency=USD","Period=FQ","BEST_FPERIOD_OVERRIDE=FQ","FILING_STATUS=MR","Sort=A","Dates=H","DateFormat=P","Fill=—","Direction=H","UseDPDF=Y")</f>
        <v>14.810600000000001</v>
      </c>
      <c r="AA56" s="14">
        <f>_xll.BDH("AMGN US Equity","TOTAL_DEBT_5_YEAR_GROWTH","FQ4 2024","FQ4 2024","Currency=USD","Period=FQ","BEST_FPERIOD_OVERRIDE=FQ","FILING_STATUS=MR","Sort=A","Dates=H","DateFormat=P","Fill=—","Direction=H","UseDPDF=Y")</f>
        <v>14.876300000000001</v>
      </c>
    </row>
    <row r="57" spans="1:27" x14ac:dyDescent="0.25">
      <c r="A57" s="10" t="s">
        <v>118</v>
      </c>
      <c r="B57" s="10" t="s">
        <v>1526</v>
      </c>
      <c r="C57" s="14">
        <f>_xll.BDH("AMGN US Equity","GEO_GROW_TOT_SHRHLDR_EQY","FQ4 2018","FQ4 2018","Currency=USD","Period=FQ","BEST_FPERIOD_OVERRIDE=FQ","FILING_STATUS=MR","Sort=A","Dates=H","DateFormat=P","Fill=—","Direction=H","UseDPDF=Y")</f>
        <v>-10.7683</v>
      </c>
      <c r="D57" s="14">
        <f>_xll.BDH("AMGN US Equity","GEO_GROW_TOT_SHRHLDR_EQY","FQ1 2019","FQ1 2019","Currency=USD","Period=FQ","BEST_FPERIOD_OVERRIDE=FQ","FILING_STATUS=MR","Sort=A","Dates=H","DateFormat=P","Fill=—","Direction=H","UseDPDF=Y")</f>
        <v>-13.785600000000001</v>
      </c>
      <c r="E57" s="14">
        <f>_xll.BDH("AMGN US Equity","GEO_GROW_TOT_SHRHLDR_EQY","FQ2 2019","FQ2 2019","Currency=USD","Period=FQ","BEST_FPERIOD_OVERRIDE=FQ","FILING_STATUS=MR","Sort=A","Dates=H","DateFormat=P","Fill=—","Direction=H","UseDPDF=Y")</f>
        <v>-15.038399999999999</v>
      </c>
      <c r="F57" s="14">
        <f>_xll.BDH("AMGN US Equity","GEO_GROW_TOT_SHRHLDR_EQY","FQ3 2019","FQ3 2019","Currency=USD","Period=FQ","BEST_FPERIOD_OVERRIDE=FQ","FILING_STATUS=MR","Sort=A","Dates=H","DateFormat=P","Fill=—","Direction=H","UseDPDF=Y")</f>
        <v>-15.474</v>
      </c>
      <c r="G57" s="14">
        <f>_xll.BDH("AMGN US Equity","GEO_GROW_TOT_SHRHLDR_EQY","FQ4 2019","FQ4 2019","Currency=USD","Period=FQ","BEST_FPERIOD_OVERRIDE=FQ","FILING_STATUS=MR","Sort=A","Dates=H","DateFormat=P","Fill=—","Direction=H","UseDPDF=Y")</f>
        <v>-17.8018</v>
      </c>
      <c r="H57" s="14">
        <f>_xll.BDH("AMGN US Equity","GEO_GROW_TOT_SHRHLDR_EQY","FQ1 2020","FQ1 2020","Currency=USD","Period=FQ","BEST_FPERIOD_OVERRIDE=FQ","FILING_STATUS=MR","Sort=A","Dates=H","DateFormat=P","Fill=—","Direction=H","UseDPDF=Y")</f>
        <v>-18.578600000000002</v>
      </c>
      <c r="I57" s="14">
        <f>_xll.BDH("AMGN US Equity","GEO_GROW_TOT_SHRHLDR_EQY","FQ2 2020","FQ2 2020","Currency=USD","Period=FQ","BEST_FPERIOD_OVERRIDE=FQ","FILING_STATUS=MR","Sort=A","Dates=H","DateFormat=P","Fill=—","Direction=H","UseDPDF=Y")</f>
        <v>-17.2578</v>
      </c>
      <c r="J57" s="14">
        <f>_xll.BDH("AMGN US Equity","GEO_GROW_TOT_SHRHLDR_EQY","FQ3 2020","FQ3 2020","Currency=USD","Period=FQ","BEST_FPERIOD_OVERRIDE=FQ","FILING_STATUS=MR","Sort=A","Dates=H","DateFormat=P","Fill=—","Direction=H","UseDPDF=Y")</f>
        <v>-17.086500000000001</v>
      </c>
      <c r="K57" s="14">
        <f>_xll.BDH("AMGN US Equity","GEO_GROW_TOT_SHRHLDR_EQY","FQ4 2020","FQ4 2020","Currency=USD","Period=FQ","BEST_FPERIOD_OVERRIDE=FQ","FILING_STATUS=MR","Sort=A","Dates=H","DateFormat=P","Fill=—","Direction=H","UseDPDF=Y")</f>
        <v>-19.643699999999999</v>
      </c>
      <c r="L57" s="14">
        <f>_xll.BDH("AMGN US Equity","GEO_GROW_TOT_SHRHLDR_EQY","FQ1 2021","FQ1 2021","Currency=USD","Period=FQ","BEST_FPERIOD_OVERRIDE=FQ","FILING_STATUS=MR","Sort=A","Dates=H","DateFormat=P","Fill=—","Direction=H","UseDPDF=Y")</f>
        <v>-20.110099999999999</v>
      </c>
      <c r="M57" s="14">
        <f>_xll.BDH("AMGN US Equity","GEO_GROW_TOT_SHRHLDR_EQY","FQ2 2021","FQ2 2021","Currency=USD","Period=FQ","BEST_FPERIOD_OVERRIDE=FQ","FILING_STATUS=MR","Sort=A","Dates=H","DateFormat=P","Fill=—","Direction=H","UseDPDF=Y")</f>
        <v>-22.829599999999999</v>
      </c>
      <c r="N57" s="14">
        <f>_xll.BDH("AMGN US Equity","GEO_GROW_TOT_SHRHLDR_EQY","FQ3 2021","FQ3 2021","Currency=USD","Period=FQ","BEST_FPERIOD_OVERRIDE=FQ","FILING_STATUS=MR","Sort=A","Dates=H","DateFormat=P","Fill=—","Direction=H","UseDPDF=Y")</f>
        <v>-23.209299999999999</v>
      </c>
      <c r="O57" s="14">
        <f>_xll.BDH("AMGN US Equity","GEO_GROW_TOT_SHRHLDR_EQY","FQ4 2021","FQ4 2021","Currency=USD","Period=FQ","BEST_FPERIOD_OVERRIDE=FQ","FILING_STATUS=MR","Sort=A","Dates=H","DateFormat=P","Fill=—","Direction=H","UseDPDF=Y")</f>
        <v>-25.8428</v>
      </c>
      <c r="P57" s="14">
        <f>_xll.BDH("AMGN US Equity","GEO_GROW_TOT_SHRHLDR_EQY","FQ1 2022","FQ1 2022","Currency=USD","Period=FQ","BEST_FPERIOD_OVERRIDE=FQ","FILING_STATUS=MR","Sort=A","Dates=H","DateFormat=P","Fill=—","Direction=H","UseDPDF=Y")</f>
        <v>-50.440199999999997</v>
      </c>
      <c r="Q57" s="14">
        <f>_xll.BDH("AMGN US Equity","GEO_GROW_TOT_SHRHLDR_EQY","FQ2 2022","FQ2 2022","Currency=USD","Period=FQ","BEST_FPERIOD_OVERRIDE=FQ","FILING_STATUS=MR","Sort=A","Dates=H","DateFormat=P","Fill=—","Direction=H","UseDPDF=Y")</f>
        <v>-40.233899999999998</v>
      </c>
      <c r="R57" s="14">
        <f>_xll.BDH("AMGN US Equity","GEO_GROW_TOT_SHRHLDR_EQY","FQ3 2022","FQ3 2022","Currency=USD","Period=FQ","BEST_FPERIOD_OVERRIDE=FQ","FILING_STATUS=MR","Sort=A","Dates=H","DateFormat=P","Fill=—","Direction=H","UseDPDF=Y")</f>
        <v>-35.3035</v>
      </c>
      <c r="S57" s="14">
        <f>_xll.BDH("AMGN US Equity","GEO_GROW_TOT_SHRHLDR_EQY","FQ4 2022","FQ4 2022","Currency=USD","Period=FQ","BEST_FPERIOD_OVERRIDE=FQ","FILING_STATUS=MR","Sort=A","Dates=H","DateFormat=P","Fill=—","Direction=H","UseDPDF=Y")</f>
        <v>-32.032899999999998</v>
      </c>
      <c r="T57" s="14">
        <f>_xll.BDH("AMGN US Equity","GEO_GROW_TOT_SHRHLDR_EQY","FQ1 2023","FQ1 2023","Currency=USD","Period=FQ","BEST_FPERIOD_OVERRIDE=FQ","FILING_STATUS=MR","Sort=A","Dates=H","DateFormat=P","Fill=—","Direction=H","UseDPDF=Y")</f>
        <v>-19.294699999999999</v>
      </c>
      <c r="U57" s="14">
        <f>_xll.BDH("AMGN US Equity","GEO_GROW_TOT_SHRHLDR_EQY","FQ2 2023","FQ2 2023","Currency=USD","Period=FQ","BEST_FPERIOD_OVERRIDE=FQ","FILING_STATUS=MR","Sort=A","Dates=H","DateFormat=P","Fill=—","Direction=H","UseDPDF=Y")</f>
        <v>-14.578099999999999</v>
      </c>
      <c r="V57" s="14">
        <f>_xll.BDH("AMGN US Equity","GEO_GROW_TOT_SHRHLDR_EQY","FQ3 2023","FQ3 2023","Currency=USD","Period=FQ","BEST_FPERIOD_OVERRIDE=FQ","FILING_STATUS=MR","Sort=A","Dates=H","DateFormat=P","Fill=—","Direction=H","UseDPDF=Y")</f>
        <v>-11.8066</v>
      </c>
      <c r="W57" s="14">
        <f>_xll.BDH("AMGN US Equity","GEO_GROW_TOT_SHRHLDR_EQY","FQ4 2023","FQ4 2023","Currency=USD","Period=FQ","BEST_FPERIOD_OVERRIDE=FQ","FILING_STATUS=MR","Sort=A","Dates=H","DateFormat=P","Fill=—","Direction=H","UseDPDF=Y")</f>
        <v>-12.995100000000001</v>
      </c>
      <c r="X57" s="14">
        <f>_xll.BDH("AMGN US Equity","GEO_GROW_TOT_SHRHLDR_EQY","FQ1 2024","FQ1 2024","Currency=USD","Period=FQ","BEST_FPERIOD_OVERRIDE=FQ","FILING_STATUS=MR","Sort=A","Dates=H","DateFormat=P","Fill=—","Direction=H","UseDPDF=Y")</f>
        <v>-14.2501</v>
      </c>
      <c r="Y57" s="14">
        <f>_xll.BDH("AMGN US Equity","GEO_GROW_TOT_SHRHLDR_EQY","FQ2 2024","FQ2 2024","Currency=USD","Period=FQ","BEST_FPERIOD_OVERRIDE=FQ","FILING_STATUS=MR","Sort=A","Dates=H","DateFormat=P","Fill=—","Direction=H","UseDPDF=Y")</f>
        <v>-11.304600000000001</v>
      </c>
      <c r="Z57" s="14">
        <f>_xll.BDH("AMGN US Equity","GEO_GROW_TOT_SHRHLDR_EQY","FQ3 2024","FQ3 2024","Currency=USD","Period=FQ","BEST_FPERIOD_OVERRIDE=FQ","FILING_STATUS=MR","Sort=A","Dates=H","DateFormat=P","Fill=—","Direction=H","UseDPDF=Y")</f>
        <v>-7.1837</v>
      </c>
      <c r="AA57" s="14">
        <f>_xll.BDH("AMGN US Equity","GEO_GROW_TOT_SHRHLDR_EQY","FQ4 2024","FQ4 2024","Currency=USD","Period=FQ","BEST_FPERIOD_OVERRIDE=FQ","FILING_STATUS=MR","Sort=A","Dates=H","DateFormat=P","Fill=—","Direction=H","UseDPDF=Y")</f>
        <v>-9.4853000000000005</v>
      </c>
    </row>
    <row r="58" spans="1:27" x14ac:dyDescent="0.25">
      <c r="A58" s="10" t="s">
        <v>1527</v>
      </c>
      <c r="B58" s="10" t="s">
        <v>1528</v>
      </c>
      <c r="C58" s="14">
        <f>_xll.BDH("AMGN US Equity","TOTAL_CAPITAL_5_YEAR_GROWTH","FQ4 2018","FQ4 2018","Currency=USD","Period=FQ","BEST_FPERIOD_OVERRIDE=FQ","FILING_STATUS=MR","Sort=A","Dates=H","DateFormat=P","Fill=—","Direction=H","UseDPDF=Y")</f>
        <v>-3.0562999999999998</v>
      </c>
      <c r="D58" s="14">
        <f>_xll.BDH("AMGN US Equity","TOTAL_CAPITAL_5_YEAR_GROWTH","FQ1 2019","FQ1 2019","Currency=USD","Period=FQ","BEST_FPERIOD_OVERRIDE=FQ","FILING_STATUS=MR","Sort=A","Dates=H","DateFormat=P","Fill=—","Direction=H","UseDPDF=Y")</f>
        <v>-4.1336000000000004</v>
      </c>
      <c r="E58" s="14">
        <f>_xll.BDH("AMGN US Equity","TOTAL_CAPITAL_5_YEAR_GROWTH","FQ2 2019","FQ2 2019","Currency=USD","Period=FQ","BEST_FPERIOD_OVERRIDE=FQ","FILING_STATUS=MR","Sort=A","Dates=H","DateFormat=P","Fill=—","Direction=H","UseDPDF=Y")</f>
        <v>-6.2</v>
      </c>
      <c r="F58" s="14">
        <f>_xll.BDH("AMGN US Equity","TOTAL_CAPITAL_5_YEAR_GROWTH","FQ3 2019","FQ3 2019","Currency=USD","Period=FQ","BEST_FPERIOD_OVERRIDE=FQ","FILING_STATUS=MR","Sort=A","Dates=H","DateFormat=P","Fill=—","Direction=H","UseDPDF=Y")</f>
        <v>-6.7074999999999996</v>
      </c>
      <c r="G58" s="14">
        <f>_xll.BDH("AMGN US Equity","TOTAL_CAPITAL_5_YEAR_GROWTH","FQ4 2019","FQ4 2019","Currency=USD","Period=FQ","BEST_FPERIOD_OVERRIDE=FQ","FILING_STATUS=MR","Sort=A","Dates=H","DateFormat=P","Fill=—","Direction=H","UseDPDF=Y")</f>
        <v>-6.6233000000000004</v>
      </c>
      <c r="H58" s="14">
        <f>_xll.BDH("AMGN US Equity","TOTAL_CAPITAL_5_YEAR_GROWTH","FQ1 2020","FQ1 2020","Currency=USD","Period=FQ","BEST_FPERIOD_OVERRIDE=FQ","FILING_STATUS=MR","Sort=A","Dates=H","DateFormat=P","Fill=—","Direction=H","UseDPDF=Y")</f>
        <v>-6.1752000000000002</v>
      </c>
      <c r="I58" s="14">
        <f>_xll.BDH("AMGN US Equity","TOTAL_CAPITAL_5_YEAR_GROWTH","FQ2 2020","FQ2 2020","Currency=USD","Period=FQ","BEST_FPERIOD_OVERRIDE=FQ","FILING_STATUS=MR","Sort=A","Dates=H","DateFormat=P","Fill=—","Direction=H","UseDPDF=Y")</f>
        <v>-5.4619999999999997</v>
      </c>
      <c r="J58" s="14">
        <f>_xll.BDH("AMGN US Equity","TOTAL_CAPITAL_5_YEAR_GROWTH","FQ3 2020","FQ3 2020","Currency=USD","Period=FQ","BEST_FPERIOD_OVERRIDE=FQ","FILING_STATUS=MR","Sort=A","Dates=H","DateFormat=P","Fill=—","Direction=H","UseDPDF=Y")</f>
        <v>-5.4023000000000003</v>
      </c>
      <c r="K58" s="14">
        <f>_xll.BDH("AMGN US Equity","TOTAL_CAPITAL_5_YEAR_GROWTH","FQ4 2020","FQ4 2020","Currency=USD","Period=FQ","BEST_FPERIOD_OVERRIDE=FQ","FILING_STATUS=MR","Sort=A","Dates=H","DateFormat=P","Fill=—","Direction=H","UseDPDF=Y")</f>
        <v>-6.3566000000000003</v>
      </c>
      <c r="L58" s="14">
        <f>_xll.BDH("AMGN US Equity","TOTAL_CAPITAL_5_YEAR_GROWTH","FQ1 2021","FQ1 2021","Currency=USD","Period=FQ","BEST_FPERIOD_OVERRIDE=FQ","FILING_STATUS=MR","Sort=A","Dates=H","DateFormat=P","Fill=—","Direction=H","UseDPDF=Y")</f>
        <v>-7.7775999999999996</v>
      </c>
      <c r="M58" s="14">
        <f>_xll.BDH("AMGN US Equity","TOTAL_CAPITAL_5_YEAR_GROWTH","FQ2 2021","FQ2 2021","Currency=USD","Period=FQ","BEST_FPERIOD_OVERRIDE=FQ","FILING_STATUS=MR","Sort=A","Dates=H","DateFormat=P","Fill=—","Direction=H","UseDPDF=Y")</f>
        <v>-8.3226999999999993</v>
      </c>
      <c r="N58" s="14">
        <f>_xll.BDH("AMGN US Equity","TOTAL_CAPITAL_5_YEAR_GROWTH","FQ3 2021","FQ3 2021","Currency=USD","Period=FQ","BEST_FPERIOD_OVERRIDE=FQ","FILING_STATUS=MR","Sort=A","Dates=H","DateFormat=P","Fill=—","Direction=H","UseDPDF=Y")</f>
        <v>-7.0754000000000001</v>
      </c>
      <c r="O58" s="14">
        <f>_xll.BDH("AMGN US Equity","TOTAL_CAPITAL_5_YEAR_GROWTH","FQ4 2021","FQ4 2021","Currency=USD","Period=FQ","BEST_FPERIOD_OVERRIDE=FQ","FILING_STATUS=MR","Sort=A","Dates=H","DateFormat=P","Fill=—","Direction=H","UseDPDF=Y")</f>
        <v>-8.7987000000000002</v>
      </c>
      <c r="P58" s="14">
        <f>_xll.BDH("AMGN US Equity","TOTAL_CAPITAL_5_YEAR_GROWTH","FQ1 2022","FQ1 2022","Currency=USD","Period=FQ","BEST_FPERIOD_OVERRIDE=FQ","FILING_STATUS=MR","Sort=A","Dates=H","DateFormat=P","Fill=—","Direction=H","UseDPDF=Y")</f>
        <v>-10.213800000000001</v>
      </c>
      <c r="Q58" s="14">
        <f>_xll.BDH("AMGN US Equity","TOTAL_CAPITAL_5_YEAR_GROWTH","FQ2 2022","FQ2 2022","Currency=USD","Period=FQ","BEST_FPERIOD_OVERRIDE=FQ","FILING_STATUS=MR","Sort=A","Dates=H","DateFormat=P","Fill=—","Direction=H","UseDPDF=Y")</f>
        <v>-10.226800000000001</v>
      </c>
      <c r="R58" s="14">
        <f>_xll.BDH("AMGN US Equity","TOTAL_CAPITAL_5_YEAR_GROWTH","FQ3 2022","FQ3 2022","Currency=USD","Period=FQ","BEST_FPERIOD_OVERRIDE=FQ","FILING_STATUS=MR","Sort=A","Dates=H","DateFormat=P","Fill=—","Direction=H","UseDPDF=Y")</f>
        <v>-9.0344999999999995</v>
      </c>
      <c r="S58" s="14">
        <f>_xll.BDH("AMGN US Equity","TOTAL_CAPITAL_5_YEAR_GROWTH","FQ4 2022","FQ4 2022","Currency=USD","Period=FQ","BEST_FPERIOD_OVERRIDE=FQ","FILING_STATUS=MR","Sort=A","Dates=H","DateFormat=P","Fill=—","Direction=H","UseDPDF=Y")</f>
        <v>-6.4962</v>
      </c>
      <c r="T58" s="14">
        <f>_xll.BDH("AMGN US Equity","TOTAL_CAPITAL_5_YEAR_GROWTH","FQ1 2023","FQ1 2023","Currency=USD","Period=FQ","BEST_FPERIOD_OVERRIDE=FQ","FILING_STATUS=MR","Sort=A","Dates=H","DateFormat=P","Fill=—","Direction=H","UseDPDF=Y")</f>
        <v>5.5244999999999997</v>
      </c>
      <c r="U58" s="14">
        <f>_xll.BDH("AMGN US Equity","TOTAL_CAPITAL_5_YEAR_GROWTH","FQ2 2023","FQ2 2023","Currency=USD","Period=FQ","BEST_FPERIOD_OVERRIDE=FQ","FILING_STATUS=MR","Sort=A","Dates=H","DateFormat=P","Fill=—","Direction=H","UseDPDF=Y")</f>
        <v>6.6989000000000001</v>
      </c>
      <c r="V58" s="14">
        <f>_xll.BDH("AMGN US Equity","TOTAL_CAPITAL_5_YEAR_GROWTH","FQ3 2023","FQ3 2023","Currency=USD","Period=FQ","BEST_FPERIOD_OVERRIDE=FQ","FILING_STATUS=MR","Sort=A","Dates=H","DateFormat=P","Fill=—","Direction=H","UseDPDF=Y")</f>
        <v>6.9100999999999999</v>
      </c>
      <c r="W58" s="14">
        <f>_xll.BDH("AMGN US Equity","TOTAL_CAPITAL_5_YEAR_GROWTH","FQ4 2023","FQ4 2023","Currency=USD","Period=FQ","BEST_FPERIOD_OVERRIDE=FQ","FILING_STATUS=MR","Sort=A","Dates=H","DateFormat=P","Fill=—","Direction=H","UseDPDF=Y")</f>
        <v>9.0664999999999996</v>
      </c>
      <c r="X58" s="14">
        <f>_xll.BDH("AMGN US Equity","TOTAL_CAPITAL_5_YEAR_GROWTH","FQ1 2024","FQ1 2024","Currency=USD","Period=FQ","BEST_FPERIOD_OVERRIDE=FQ","FILING_STATUS=MR","Sort=A","Dates=H","DateFormat=P","Fill=—","Direction=H","UseDPDF=Y")</f>
        <v>9.2585999999999995</v>
      </c>
      <c r="Y58" s="14">
        <f>_xll.BDH("AMGN US Equity","TOTAL_CAPITAL_5_YEAR_GROWTH","FQ2 2024","FQ2 2024","Currency=USD","Period=FQ","BEST_FPERIOD_OVERRIDE=FQ","FILING_STATUS=MR","Sort=A","Dates=H","DateFormat=P","Fill=—","Direction=H","UseDPDF=Y")</f>
        <v>10.350300000000001</v>
      </c>
      <c r="Z58" s="14">
        <f>_xll.BDH("AMGN US Equity","TOTAL_CAPITAL_5_YEAR_GROWTH","FQ3 2024","FQ3 2024","Currency=USD","Period=FQ","BEST_FPERIOD_OVERRIDE=FQ","FILING_STATUS=MR","Sort=A","Dates=H","DateFormat=P","Fill=—","Direction=H","UseDPDF=Y")</f>
        <v>10.514200000000001</v>
      </c>
      <c r="AA58" s="14">
        <f>_xll.BDH("AMGN US Equity","TOTAL_CAPITAL_5_YEAR_GROWTH","FQ4 2024","FQ4 2024","Currency=USD","Period=FQ","BEST_FPERIOD_OVERRIDE=FQ","FILING_STATUS=MR","Sort=A","Dates=H","DateFormat=P","Fill=—","Direction=H","UseDPDF=Y")</f>
        <v>10.7288</v>
      </c>
    </row>
    <row r="59" spans="1:27" x14ac:dyDescent="0.25">
      <c r="A59" s="10" t="s">
        <v>1498</v>
      </c>
      <c r="B59" s="10" t="s">
        <v>1529</v>
      </c>
      <c r="C59" s="14">
        <f>_xll.BDH("AMGN US Equity","GEO_GROW_BOOK_VAL","FQ4 2018","FQ4 2018","Currency=USD","Period=FQ","BEST_FPERIOD_OVERRIDE=FQ","FILING_STATUS=MR","Sort=A","Dates=H","DateFormat=P","Fill=—","Direction=H","UseDPDF=Y")</f>
        <v>-7.4770000000000003</v>
      </c>
      <c r="D59" s="14">
        <f>_xll.BDH("AMGN US Equity","GEO_GROW_BOOK_VAL","FQ1 2019","FQ1 2019","Currency=USD","Period=FQ","BEST_FPERIOD_OVERRIDE=FQ","FILING_STATUS=MR","Sort=A","Dates=H","DateFormat=P","Fill=—","Direction=H","UseDPDF=Y")</f>
        <v>-10.1129</v>
      </c>
      <c r="E59" s="14">
        <f>_xll.BDH("AMGN US Equity","GEO_GROW_BOOK_VAL","FQ2 2019","FQ2 2019","Currency=USD","Period=FQ","BEST_FPERIOD_OVERRIDE=FQ","FILING_STATUS=MR","Sort=A","Dates=H","DateFormat=P","Fill=—","Direction=H","UseDPDF=Y")</f>
        <v>-11.0014</v>
      </c>
      <c r="F59" s="14">
        <f>_xll.BDH("AMGN US Equity","GEO_GROW_BOOK_VAL","FQ3 2019","FQ3 2019","Currency=USD","Period=FQ","BEST_FPERIOD_OVERRIDE=FQ","FILING_STATUS=MR","Sort=A","Dates=H","DateFormat=P","Fill=—","Direction=H","UseDPDF=Y")</f>
        <v>-11.245799999999999</v>
      </c>
      <c r="G59" s="14">
        <f>_xll.BDH("AMGN US Equity","GEO_GROW_BOOK_VAL","FQ4 2019","FQ4 2019","Currency=USD","Period=FQ","BEST_FPERIOD_OVERRIDE=FQ","FILING_STATUS=MR","Sort=A","Dates=H","DateFormat=P","Fill=—","Direction=H","UseDPDF=Y")</f>
        <v>-13.564</v>
      </c>
      <c r="H59" s="14">
        <f>_xll.BDH("AMGN US Equity","GEO_GROW_BOOK_VAL","FQ1 2020","FQ1 2020","Currency=USD","Period=FQ","BEST_FPERIOD_OVERRIDE=FQ","FILING_STATUS=MR","Sort=A","Dates=H","DateFormat=P","Fill=—","Direction=H","UseDPDF=Y")</f>
        <v>-14.2821</v>
      </c>
      <c r="I59" s="14">
        <f>_xll.BDH("AMGN US Equity","GEO_GROW_BOOK_VAL","FQ2 2020","FQ2 2020","Currency=USD","Period=FQ","BEST_FPERIOD_OVERRIDE=FQ","FILING_STATUS=MR","Sort=A","Dates=H","DateFormat=P","Fill=—","Direction=H","UseDPDF=Y")</f>
        <v>-12.873900000000001</v>
      </c>
      <c r="J59" s="14">
        <f>_xll.BDH("AMGN US Equity","GEO_GROW_BOOK_VAL","FQ3 2020","FQ3 2020","Currency=USD","Period=FQ","BEST_FPERIOD_OVERRIDE=FQ","FILING_STATUS=MR","Sort=A","Dates=H","DateFormat=P","Fill=—","Direction=H","UseDPDF=Y")</f>
        <v>-12.703900000000001</v>
      </c>
      <c r="K59" s="14">
        <f>_xll.BDH("AMGN US Equity","GEO_GROW_BOOK_VAL","FQ4 2020","FQ4 2020","Currency=USD","Period=FQ","BEST_FPERIOD_OVERRIDE=FQ","FILING_STATUS=MR","Sort=A","Dates=H","DateFormat=P","Fill=—","Direction=H","UseDPDF=Y")</f>
        <v>-15.264799999999999</v>
      </c>
      <c r="L59" s="14">
        <f>_xll.BDH("AMGN US Equity","GEO_GROW_BOOK_VAL","FQ1 2021","FQ1 2021","Currency=USD","Period=FQ","BEST_FPERIOD_OVERRIDE=FQ","FILING_STATUS=MR","Sort=A","Dates=H","DateFormat=P","Fill=—","Direction=H","UseDPDF=Y")</f>
        <v>-15.7295</v>
      </c>
      <c r="M59" s="14">
        <f>_xll.BDH("AMGN US Equity","GEO_GROW_BOOK_VAL","FQ2 2021","FQ2 2021","Currency=USD","Period=FQ","BEST_FPERIOD_OVERRIDE=FQ","FILING_STATUS=MR","Sort=A","Dates=H","DateFormat=P","Fill=—","Direction=H","UseDPDF=Y")</f>
        <v>-18.488</v>
      </c>
      <c r="N59" s="14">
        <f>_xll.BDH("AMGN US Equity","GEO_GROW_BOOK_VAL","FQ3 2021","FQ3 2021","Currency=USD","Period=FQ","BEST_FPERIOD_OVERRIDE=FQ","FILING_STATUS=MR","Sort=A","Dates=H","DateFormat=P","Fill=—","Direction=H","UseDPDF=Y")</f>
        <v>-18.846599999999999</v>
      </c>
      <c r="O59" s="14">
        <f>_xll.BDH("AMGN US Equity","GEO_GROW_BOOK_VAL","FQ4 2021","FQ4 2021","Currency=USD","Period=FQ","BEST_FPERIOD_OVERRIDE=FQ","FILING_STATUS=MR","Sort=A","Dates=H","DateFormat=P","Fill=—","Direction=H","UseDPDF=Y")</f>
        <v>-20.8812</v>
      </c>
      <c r="P59" s="14">
        <f>_xll.BDH("AMGN US Equity","GEO_GROW_BOOK_VAL","FQ1 2022","FQ1 2022","Currency=USD","Period=FQ","BEST_FPERIOD_OVERRIDE=FQ","FILING_STATUS=MR","Sort=A","Dates=H","DateFormat=P","Fill=—","Direction=H","UseDPDF=Y")</f>
        <v>-47.158299999999997</v>
      </c>
      <c r="Q59" s="14">
        <f>_xll.BDH("AMGN US Equity","GEO_GROW_BOOK_VAL","FQ2 2022","FQ2 2022","Currency=USD","Period=FQ","BEST_FPERIOD_OVERRIDE=FQ","FILING_STATUS=MR","Sort=A","Dates=H","DateFormat=P","Fill=—","Direction=H","UseDPDF=Y")</f>
        <v>-36.386600000000001</v>
      </c>
      <c r="R59" s="14">
        <f>_xll.BDH("AMGN US Equity","GEO_GROW_BOOK_VAL","FQ3 2022","FQ3 2022","Currency=USD","Period=FQ","BEST_FPERIOD_OVERRIDE=FQ","FILING_STATUS=MR","Sort=A","Dates=H","DateFormat=P","Fill=—","Direction=H","UseDPDF=Y")</f>
        <v>-31.180299999999999</v>
      </c>
      <c r="S59" s="14">
        <f>_xll.BDH("AMGN US Equity","GEO_GROW_BOOK_VAL","FQ4 2022","FQ4 2022","Currency=USD","Period=FQ","BEST_FPERIOD_OVERRIDE=FQ","FILING_STATUS=MR","Sort=A","Dates=H","DateFormat=P","Fill=—","Direction=H","UseDPDF=Y")</f>
        <v>-27.802499999999998</v>
      </c>
      <c r="T59" s="14">
        <f>_xll.BDH("AMGN US Equity","GEO_GROW_BOOK_VAL","FQ1 2023","FQ1 2023","Currency=USD","Period=FQ","BEST_FPERIOD_OVERRIDE=FQ","FILING_STATUS=MR","Sort=A","Dates=H","DateFormat=P","Fill=—","Direction=H","UseDPDF=Y")</f>
        <v>-15.6487</v>
      </c>
      <c r="U59" s="14">
        <f>_xll.BDH("AMGN US Equity","GEO_GROW_BOOK_VAL","FQ2 2023","FQ2 2023","Currency=USD","Period=FQ","BEST_FPERIOD_OVERRIDE=FQ","FILING_STATUS=MR","Sort=A","Dates=H","DateFormat=P","Fill=—","Direction=H","UseDPDF=Y")</f>
        <v>-11.210100000000001</v>
      </c>
      <c r="V59" s="14">
        <f>_xll.BDH("AMGN US Equity","GEO_GROW_BOOK_VAL","FQ3 2023","FQ3 2023","Currency=USD","Period=FQ","BEST_FPERIOD_OVERRIDE=FQ","FILING_STATUS=MR","Sort=A","Dates=H","DateFormat=P","Fill=—","Direction=H","UseDPDF=Y")</f>
        <v>-8.5775000000000006</v>
      </c>
      <c r="W59" s="14">
        <f>_xll.BDH("AMGN US Equity","GEO_GROW_BOOK_VAL","FQ4 2023","FQ4 2023","Currency=USD","Period=FQ","BEST_FPERIOD_OVERRIDE=FQ","FILING_STATUS=MR","Sort=A","Dates=H","DateFormat=P","Fill=—","Direction=H","UseDPDF=Y")</f>
        <v>-10.1288</v>
      </c>
      <c r="X59" s="14">
        <f>_xll.BDH("AMGN US Equity","GEO_GROW_BOOK_VAL","FQ1 2024","FQ1 2024","Currency=USD","Period=FQ","BEST_FPERIOD_OVERRIDE=FQ","FILING_STATUS=MR","Sort=A","Dates=H","DateFormat=P","Fill=—","Direction=H","UseDPDF=Y")</f>
        <v>-11.889799999999999</v>
      </c>
      <c r="Y59" s="14">
        <f>_xll.BDH("AMGN US Equity","GEO_GROW_BOOK_VAL","FQ2 2024","FQ2 2024","Currency=USD","Period=FQ","BEST_FPERIOD_OVERRIDE=FQ","FILING_STATUS=MR","Sort=A","Dates=H","DateFormat=P","Fill=—","Direction=H","UseDPDF=Y")</f>
        <v>-9.2581000000000007</v>
      </c>
      <c r="Z59" s="14">
        <f>_xll.BDH("AMGN US Equity","GEO_GROW_BOOK_VAL","FQ3 2024","FQ3 2024","Currency=USD","Period=FQ","BEST_FPERIOD_OVERRIDE=FQ","FILING_STATUS=MR","Sort=A","Dates=H","DateFormat=P","Fill=—","Direction=H","UseDPDF=Y")</f>
        <v>-5.2396000000000003</v>
      </c>
      <c r="AA59" s="14">
        <f>_xll.BDH("AMGN US Equity","GEO_GROW_BOOK_VAL","FQ4 2024","FQ4 2024","Currency=USD","Period=FQ","BEST_FPERIOD_OVERRIDE=FQ","FILING_STATUS=MR","Sort=A","Dates=H","DateFormat=P","Fill=—","Direction=H","UseDPDF=Y")</f>
        <v>-7.7180999999999997</v>
      </c>
    </row>
    <row r="60" spans="1:27" x14ac:dyDescent="0.25">
      <c r="A60" s="10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x14ac:dyDescent="0.25">
      <c r="A61" s="10" t="s">
        <v>124</v>
      </c>
      <c r="B61" s="10" t="s">
        <v>1530</v>
      </c>
      <c r="C61" s="14">
        <f>_xll.BDH("AMGN US Equity","GEO_GROW_CASH_OPER_ACT","FQ4 2018","FQ4 2018","Currency=USD","Period=FQ","BEST_FPERIOD_OVERRIDE=FQ","FILING_STATUS=MR","Sort=A","Dates=H","DateFormat=P","Fill=—","Direction=H","UseDPDF=Y")</f>
        <v>11.722300000000001</v>
      </c>
      <c r="D61" s="14">
        <f>_xll.BDH("AMGN US Equity","GEO_GROW_CASH_OPER_ACT","FQ1 2019","FQ1 2019","Currency=USD","Period=FQ","BEST_FPERIOD_OVERRIDE=FQ","FILING_STATUS=MR","Sort=A","Dates=H","DateFormat=P","Fill=—","Direction=H","UseDPDF=Y")</f>
        <v>10.0693</v>
      </c>
      <c r="E61" s="14">
        <f>_xll.BDH("AMGN US Equity","GEO_GROW_CASH_OPER_ACT","FQ2 2019","FQ2 2019","Currency=USD","Period=FQ","BEST_FPERIOD_OVERRIDE=FQ","FILING_STATUS=MR","Sort=A","Dates=H","DateFormat=P","Fill=—","Direction=H","UseDPDF=Y")</f>
        <v>-8.6842000000000006</v>
      </c>
      <c r="F61" s="14">
        <f>_xll.BDH("AMGN US Equity","GEO_GROW_CASH_OPER_ACT","FQ3 2019","FQ3 2019","Currency=USD","Period=FQ","BEST_FPERIOD_OVERRIDE=FQ","FILING_STATUS=MR","Sort=A","Dates=H","DateFormat=P","Fill=—","Direction=H","UseDPDF=Y")</f>
        <v>4.2615999999999996</v>
      </c>
      <c r="G61" s="14">
        <f>_xll.BDH("AMGN US Equity","GEO_GROW_CASH_OPER_ACT","FQ4 2019","FQ4 2019","Currency=USD","Period=FQ","BEST_FPERIOD_OVERRIDE=FQ","FILING_STATUS=MR","Sort=A","Dates=H","DateFormat=P","Fill=—","Direction=H","UseDPDF=Y")</f>
        <v>0.55820000000000003</v>
      </c>
      <c r="H61" s="14">
        <f>_xll.BDH("AMGN US Equity","GEO_GROW_CASH_OPER_ACT","FQ1 2020","FQ1 2020","Currency=USD","Period=FQ","BEST_FPERIOD_OVERRIDE=FQ","FILING_STATUS=MR","Sort=A","Dates=H","DateFormat=P","Fill=—","Direction=H","UseDPDF=Y")</f>
        <v>7.5646000000000004</v>
      </c>
      <c r="I61" s="14">
        <f>_xll.BDH("AMGN US Equity","GEO_GROW_CASH_OPER_ACT","FQ2 2020","FQ2 2020","Currency=USD","Period=FQ","BEST_FPERIOD_OVERRIDE=FQ","FILING_STATUS=MR","Sort=A","Dates=H","DateFormat=P","Fill=—","Direction=H","UseDPDF=Y")</f>
        <v>0.19819999999999999</v>
      </c>
      <c r="J61" s="14">
        <f>_xll.BDH("AMGN US Equity","GEO_GROW_CASH_OPER_ACT","FQ3 2020","FQ3 2020","Currency=USD","Period=FQ","BEST_FPERIOD_OVERRIDE=FQ","FILING_STATUS=MR","Sort=A","Dates=H","DateFormat=P","Fill=—","Direction=H","UseDPDF=Y")</f>
        <v>-0.8508</v>
      </c>
      <c r="K61" s="14">
        <f>_xll.BDH("AMGN US Equity","GEO_GROW_CASH_OPER_ACT","FQ4 2020","FQ4 2020","Currency=USD","Period=FQ","BEST_FPERIOD_OVERRIDE=FQ","FILING_STATUS=MR","Sort=A","Dates=H","DateFormat=P","Fill=—","Direction=H","UseDPDF=Y")</f>
        <v>-2.3235999999999999</v>
      </c>
      <c r="L61" s="14">
        <f>_xll.BDH("AMGN US Equity","GEO_GROW_CASH_OPER_ACT","FQ1 2021","FQ1 2021","Currency=USD","Period=FQ","BEST_FPERIOD_OVERRIDE=FQ","FILING_STATUS=MR","Sort=A","Dates=H","DateFormat=P","Fill=—","Direction=H","UseDPDF=Y")</f>
        <v>1.9003000000000001</v>
      </c>
      <c r="M61" s="14">
        <f>_xll.BDH("AMGN US Equity","GEO_GROW_CASH_OPER_ACT","FQ2 2021","FQ2 2021","Currency=USD","Period=FQ","BEST_FPERIOD_OVERRIDE=FQ","FILING_STATUS=MR","Sort=A","Dates=H","DateFormat=P","Fill=—","Direction=H","UseDPDF=Y")</f>
        <v>-6.3243</v>
      </c>
      <c r="N61" s="14">
        <f>_xll.BDH("AMGN US Equity","GEO_GROW_CASH_OPER_ACT","FQ3 2021","FQ3 2021","Currency=USD","Period=FQ","BEST_FPERIOD_OVERRIDE=FQ","FILING_STATUS=MR","Sort=A","Dates=H","DateFormat=P","Fill=—","Direction=H","UseDPDF=Y")</f>
        <v>-1.9044000000000001</v>
      </c>
      <c r="O61" s="14">
        <f>_xll.BDH("AMGN US Equity","GEO_GROW_CASH_OPER_ACT","FQ4 2021","FQ4 2021","Currency=USD","Period=FQ","BEST_FPERIOD_OVERRIDE=FQ","FILING_STATUS=MR","Sort=A","Dates=H","DateFormat=P","Fill=—","Direction=H","UseDPDF=Y")</f>
        <v>-1.9591000000000001</v>
      </c>
      <c r="P61" s="14">
        <f>_xll.BDH("AMGN US Equity","GEO_GROW_CASH_OPER_ACT","FQ1 2022","FQ1 2022","Currency=USD","Period=FQ","BEST_FPERIOD_OVERRIDE=FQ","FILING_STATUS=MR","Sort=A","Dates=H","DateFormat=P","Fill=—","Direction=H","UseDPDF=Y")</f>
        <v>-1.9259999999999999</v>
      </c>
      <c r="Q61" s="14">
        <f>_xll.BDH("AMGN US Equity","GEO_GROW_CASH_OPER_ACT","FQ2 2022","FQ2 2022","Currency=USD","Period=FQ","BEST_FPERIOD_OVERRIDE=FQ","FILING_STATUS=MR","Sort=A","Dates=H","DateFormat=P","Fill=—","Direction=H","UseDPDF=Y")</f>
        <v>-3.6638000000000002</v>
      </c>
      <c r="R61" s="14">
        <f>_xll.BDH("AMGN US Equity","GEO_GROW_CASH_OPER_ACT","FQ3 2022","FQ3 2022","Currency=USD","Period=FQ","BEST_FPERIOD_OVERRIDE=FQ","FILING_STATUS=MR","Sort=A","Dates=H","DateFormat=P","Fill=—","Direction=H","UseDPDF=Y")</f>
        <v>-2.9220999999999999</v>
      </c>
      <c r="S61" s="14">
        <f>_xll.BDH("AMGN US Equity","GEO_GROW_CASH_OPER_ACT","FQ4 2022","FQ4 2022","Currency=USD","Period=FQ","BEST_FPERIOD_OVERRIDE=FQ","FILING_STATUS=MR","Sort=A","Dates=H","DateFormat=P","Fill=—","Direction=H","UseDPDF=Y")</f>
        <v>-2.5356999999999998</v>
      </c>
      <c r="T61" s="14">
        <f>_xll.BDH("AMGN US Equity","GEO_GROW_CASH_OPER_ACT","FQ1 2023","FQ1 2023","Currency=USD","Period=FQ","BEST_FPERIOD_OVERRIDE=FQ","FILING_STATUS=MR","Sort=A","Dates=H","DateFormat=P","Fill=—","Direction=H","UseDPDF=Y")</f>
        <v>-17.157900000000001</v>
      </c>
      <c r="U61" s="14">
        <f>_xll.BDH("AMGN US Equity","GEO_GROW_CASH_OPER_ACT","FQ2 2023","FQ2 2023","Currency=USD","Period=FQ","BEST_FPERIOD_OVERRIDE=FQ","FILING_STATUS=MR","Sort=A","Dates=H","DateFormat=P","Fill=—","Direction=H","UseDPDF=Y")</f>
        <v>14.3459</v>
      </c>
      <c r="V61" s="14">
        <f>_xll.BDH("AMGN US Equity","GEO_GROW_CASH_OPER_ACT","FQ3 2023","FQ3 2023","Currency=USD","Period=FQ","BEST_FPERIOD_OVERRIDE=FQ","FILING_STATUS=MR","Sort=A","Dates=H","DateFormat=P","Fill=—","Direction=H","UseDPDF=Y")</f>
        <v>-3.3521000000000001</v>
      </c>
      <c r="W61" s="14">
        <f>_xll.BDH("AMGN US Equity","GEO_GROW_CASH_OPER_ACT","FQ4 2023","FQ4 2023","Currency=USD","Period=FQ","BEST_FPERIOD_OVERRIDE=FQ","FILING_STATUS=MR","Sort=A","Dates=H","DateFormat=P","Fill=—","Direction=H","UseDPDF=Y")</f>
        <v>-29.969100000000001</v>
      </c>
      <c r="X61" s="14">
        <f>_xll.BDH("AMGN US Equity","GEO_GROW_CASH_OPER_ACT","FQ1 2024","FQ1 2024","Currency=USD","Period=FQ","BEST_FPERIOD_OVERRIDE=FQ","FILING_STATUS=MR","Sort=A","Dates=H","DateFormat=P","Fill=—","Direction=H","UseDPDF=Y")</f>
        <v>-17.880800000000001</v>
      </c>
      <c r="Y61" s="14">
        <f>_xll.BDH("AMGN US Equity","GEO_GROW_CASH_OPER_ACT","FQ2 2024","FQ2 2024","Currency=USD","Period=FQ","BEST_FPERIOD_OVERRIDE=FQ","FILING_STATUS=MR","Sort=A","Dates=H","DateFormat=P","Fill=—","Direction=H","UseDPDF=Y")</f>
        <v>11.702199999999999</v>
      </c>
      <c r="Z61" s="14">
        <f>_xll.BDH("AMGN US Equity","GEO_GROW_CASH_OPER_ACT","FQ3 2024","FQ3 2024","Currency=USD","Period=FQ","BEST_FPERIOD_OVERRIDE=FQ","FILING_STATUS=MR","Sort=A","Dates=H","DateFormat=P","Fill=—","Direction=H","UseDPDF=Y")</f>
        <v>1.1234</v>
      </c>
      <c r="AA61" s="14">
        <f>_xll.BDH("AMGN US Equity","GEO_GROW_CASH_OPER_ACT","FQ4 2024","FQ4 2024","Currency=USD","Period=FQ","BEST_FPERIOD_OVERRIDE=FQ","FILING_STATUS=MR","Sort=A","Dates=H","DateFormat=P","Fill=—","Direction=H","UseDPDF=Y")</f>
        <v>13.6708</v>
      </c>
    </row>
    <row r="62" spans="1:27" x14ac:dyDescent="0.25">
      <c r="A62" s="10" t="s">
        <v>1421</v>
      </c>
      <c r="B62" s="10" t="s">
        <v>1531</v>
      </c>
      <c r="C62" s="14" t="str">
        <f>_xll.BDH("AMGN US Equity","NET_CHANGE_IN_CASH_5_YEAR_GROWTH","FQ4 2018","FQ4 2018","Currency=USD","Period=FQ","BEST_FPERIOD_OVERRIDE=FQ","FILING_STATUS=MR","Sort=A","Dates=H","DateFormat=P","Fill=—","Direction=H","UseDPDF=Y")</f>
        <v>—</v>
      </c>
      <c r="D62" s="14" t="str">
        <f>_xll.BDH("AMGN US Equity","NET_CHANGE_IN_CASH_5_YEAR_GROWTH","FQ1 2019","FQ1 2019","Currency=USD","Period=FQ","BEST_FPERIOD_OVERRIDE=FQ","FILING_STATUS=MR","Sort=A","Dates=H","DateFormat=P","Fill=—","Direction=H","UseDPDF=Y")</f>
        <v>—</v>
      </c>
      <c r="E62" s="14" t="str">
        <f>_xll.BDH("AMGN US Equity","NET_CHANGE_IN_CASH_5_YEAR_GROWTH","FQ2 2019","FQ2 2019","Currency=USD","Period=FQ","BEST_FPERIOD_OVERRIDE=FQ","FILING_STATUS=MR","Sort=A","Dates=H","DateFormat=P","Fill=—","Direction=H","UseDPDF=Y")</f>
        <v>—</v>
      </c>
      <c r="F62" s="14" t="str">
        <f>_xll.BDH("AMGN US Equity","NET_CHANGE_IN_CASH_5_YEAR_GROWTH","FQ3 2019","FQ3 2019","Currency=USD","Period=FQ","BEST_FPERIOD_OVERRIDE=FQ","FILING_STATUS=MR","Sort=A","Dates=H","DateFormat=P","Fill=—","Direction=H","UseDPDF=Y")</f>
        <v>—</v>
      </c>
      <c r="G62" s="14" t="str">
        <f>_xll.BDH("AMGN US Equity","NET_CHANGE_IN_CASH_5_YEAR_GROWTH","FQ4 2019","FQ4 2019","Currency=USD","Period=FQ","BEST_FPERIOD_OVERRIDE=FQ","FILING_STATUS=MR","Sort=A","Dates=H","DateFormat=P","Fill=—","Direction=H","UseDPDF=Y")</f>
        <v>—</v>
      </c>
      <c r="H62" s="14" t="str">
        <f>_xll.BDH("AMGN US Equity","NET_CHANGE_IN_CASH_5_YEAR_GROWTH","FQ1 2020","FQ1 2020","Currency=USD","Period=FQ","BEST_FPERIOD_OVERRIDE=FQ","FILING_STATUS=MR","Sort=A","Dates=H","DateFormat=P","Fill=—","Direction=H","UseDPDF=Y")</f>
        <v>—</v>
      </c>
      <c r="I62" s="14" t="str">
        <f>_xll.BDH("AMGN US Equity","NET_CHANGE_IN_CASH_5_YEAR_GROWTH","FQ2 2020","FQ2 2020","Currency=USD","Period=FQ","BEST_FPERIOD_OVERRIDE=FQ","FILING_STATUS=MR","Sort=A","Dates=H","DateFormat=P","Fill=—","Direction=H","UseDPDF=Y")</f>
        <v>—</v>
      </c>
      <c r="J62" s="14" t="str">
        <f>_xll.BDH("AMGN US Equity","NET_CHANGE_IN_CASH_5_YEAR_GROWTH","FQ3 2020","FQ3 2020","Currency=USD","Period=FQ","BEST_FPERIOD_OVERRIDE=FQ","FILING_STATUS=MR","Sort=A","Dates=H","DateFormat=P","Fill=—","Direction=H","UseDPDF=Y")</f>
        <v>—</v>
      </c>
      <c r="K62" s="14" t="str">
        <f>_xll.BDH("AMGN US Equity","NET_CHANGE_IN_CASH_5_YEAR_GROWTH","FQ4 2020","FQ4 2020","Currency=USD","Period=FQ","BEST_FPERIOD_OVERRIDE=FQ","FILING_STATUS=MR","Sort=A","Dates=H","DateFormat=P","Fill=—","Direction=H","UseDPDF=Y")</f>
        <v>—</v>
      </c>
      <c r="L62" s="14" t="str">
        <f>_xll.BDH("AMGN US Equity","NET_CHANGE_IN_CASH_5_YEAR_GROWTH","FQ1 2021","FQ1 2021","Currency=USD","Period=FQ","BEST_FPERIOD_OVERRIDE=FQ","FILING_STATUS=MR","Sort=A","Dates=H","DateFormat=P","Fill=—","Direction=H","UseDPDF=Y")</f>
        <v>—</v>
      </c>
      <c r="M62" s="14" t="str">
        <f>_xll.BDH("AMGN US Equity","NET_CHANGE_IN_CASH_5_YEAR_GROWTH","FQ2 2021","FQ2 2021","Currency=USD","Period=FQ","BEST_FPERIOD_OVERRIDE=FQ","FILING_STATUS=MR","Sort=A","Dates=H","DateFormat=P","Fill=—","Direction=H","UseDPDF=Y")</f>
        <v>—</v>
      </c>
      <c r="N62" s="14">
        <f>_xll.BDH("AMGN US Equity","NET_CHANGE_IN_CASH_5_YEAR_GROWTH","FQ3 2021","FQ3 2021","Currency=USD","Period=FQ","BEST_FPERIOD_OVERRIDE=FQ","FILING_STATUS=MR","Sort=A","Dates=H","DateFormat=P","Fill=—","Direction=H","UseDPDF=Y")</f>
        <v>44.244300000000003</v>
      </c>
      <c r="O62" s="14" t="str">
        <f>_xll.BDH("AMGN US Equity","NET_CHANGE_IN_CASH_5_YEAR_GROWTH","FQ4 2021","FQ4 2021","Currency=USD","Period=FQ","BEST_FPERIOD_OVERRIDE=FQ","FILING_STATUS=MR","Sort=A","Dates=H","DateFormat=P","Fill=—","Direction=H","UseDPDF=Y")</f>
        <v>—</v>
      </c>
      <c r="P62" s="14" t="str">
        <f>_xll.BDH("AMGN US Equity","NET_CHANGE_IN_CASH_5_YEAR_GROWTH","FQ1 2022","FQ1 2022","Currency=USD","Period=FQ","BEST_FPERIOD_OVERRIDE=FQ","FILING_STATUS=MR","Sort=A","Dates=H","DateFormat=P","Fill=—","Direction=H","UseDPDF=Y")</f>
        <v>—</v>
      </c>
      <c r="Q62" s="14" t="str">
        <f>_xll.BDH("AMGN US Equity","NET_CHANGE_IN_CASH_5_YEAR_GROWTH","FQ2 2022","FQ2 2022","Currency=USD","Period=FQ","BEST_FPERIOD_OVERRIDE=FQ","FILING_STATUS=MR","Sort=A","Dates=H","DateFormat=P","Fill=—","Direction=H","UseDPDF=Y")</f>
        <v>—</v>
      </c>
      <c r="R62" s="14">
        <f>_xll.BDH("AMGN US Equity","NET_CHANGE_IN_CASH_5_YEAR_GROWTH","FQ3 2022","FQ3 2022","Currency=USD","Period=FQ","BEST_FPERIOD_OVERRIDE=FQ","FILING_STATUS=MR","Sort=A","Dates=H","DateFormat=P","Fill=—","Direction=H","UseDPDF=Y")</f>
        <v>63.229500000000002</v>
      </c>
      <c r="S62" s="14" t="str">
        <f>_xll.BDH("AMGN US Equity","NET_CHANGE_IN_CASH_5_YEAR_GROWTH","FQ4 2022","FQ4 2022","Currency=USD","Period=FQ","BEST_FPERIOD_OVERRIDE=FQ","FILING_STATUS=MR","Sort=A","Dates=H","DateFormat=P","Fill=—","Direction=H","UseDPDF=Y")</f>
        <v>—</v>
      </c>
      <c r="T62" s="14" t="str">
        <f>_xll.BDH("AMGN US Equity","NET_CHANGE_IN_CASH_5_YEAR_GROWTH","FQ1 2023","FQ1 2023","Currency=USD","Period=FQ","BEST_FPERIOD_OVERRIDE=FQ","FILING_STATUS=MR","Sort=A","Dates=H","DateFormat=P","Fill=—","Direction=H","UseDPDF=Y")</f>
        <v>—</v>
      </c>
      <c r="U62" s="14" t="str">
        <f>_xll.BDH("AMGN US Equity","NET_CHANGE_IN_CASH_5_YEAR_GROWTH","FQ2 2023","FQ2 2023","Currency=USD","Period=FQ","BEST_FPERIOD_OVERRIDE=FQ","FILING_STATUS=MR","Sort=A","Dates=H","DateFormat=P","Fill=—","Direction=H","UseDPDF=Y")</f>
        <v>—</v>
      </c>
      <c r="V62" s="14">
        <f>_xll.BDH("AMGN US Equity","NET_CHANGE_IN_CASH_5_YEAR_GROWTH","FQ3 2023","FQ3 2023","Currency=USD","Period=FQ","BEST_FPERIOD_OVERRIDE=FQ","FILING_STATUS=MR","Sort=A","Dates=H","DateFormat=P","Fill=—","Direction=H","UseDPDF=Y")</f>
        <v>-23.030799999999999</v>
      </c>
      <c r="W62" s="14" t="str">
        <f>_xll.BDH("AMGN US Equity","NET_CHANGE_IN_CASH_5_YEAR_GROWTH","FQ4 2023","FQ4 2023","Currency=USD","Period=FQ","BEST_FPERIOD_OVERRIDE=FQ","FILING_STATUS=MR","Sort=A","Dates=H","DateFormat=P","Fill=—","Direction=H","UseDPDF=Y")</f>
        <v>—</v>
      </c>
      <c r="X62" s="14" t="str">
        <f>_xll.BDH("AMGN US Equity","NET_CHANGE_IN_CASH_5_YEAR_GROWTH","FQ1 2024","FQ1 2024","Currency=USD","Period=FQ","BEST_FPERIOD_OVERRIDE=FQ","FILING_STATUS=MR","Sort=A","Dates=H","DateFormat=P","Fill=—","Direction=H","UseDPDF=Y")</f>
        <v>—</v>
      </c>
      <c r="Y62" s="14" t="str">
        <f>_xll.BDH("AMGN US Equity","NET_CHANGE_IN_CASH_5_YEAR_GROWTH","FQ2 2024","FQ2 2024","Currency=USD","Period=FQ","BEST_FPERIOD_OVERRIDE=FQ","FILING_STATUS=MR","Sort=A","Dates=H","DateFormat=P","Fill=—","Direction=H","UseDPDF=Y")</f>
        <v>—</v>
      </c>
      <c r="Z62" s="14" t="str">
        <f>_xll.BDH("AMGN US Equity","NET_CHANGE_IN_CASH_5_YEAR_GROWTH","FQ3 2024","FQ3 2024","Currency=USD","Period=FQ","BEST_FPERIOD_OVERRIDE=FQ","FILING_STATUS=MR","Sort=A","Dates=H","DateFormat=P","Fill=—","Direction=H","UseDPDF=Y")</f>
        <v>—</v>
      </c>
      <c r="AA62" s="14" t="str">
        <f>_xll.BDH("AMGN US Equity","NET_CHANGE_IN_CASH_5_YEAR_GROWTH","FQ4 2024","FQ4 2024","Currency=USD","Period=FQ","BEST_FPERIOD_OVERRIDE=FQ","FILING_STATUS=MR","Sort=A","Dates=H","DateFormat=P","Fill=—","Direction=H","UseDPDF=Y")</f>
        <v>—</v>
      </c>
    </row>
    <row r="63" spans="1:27" x14ac:dyDescent="0.25">
      <c r="A63" s="10" t="s">
        <v>88</v>
      </c>
      <c r="B63" s="10" t="s">
        <v>1532</v>
      </c>
      <c r="C63" s="14">
        <f>_xll.BDH("AMGN US Equity","FREE_CASH_FLOW_5_YEAR_GROWTH","FQ4 2018","FQ4 2018","Currency=USD","Period=FQ","BEST_FPERIOD_OVERRIDE=FQ","FILING_STATUS=MR","Sort=A","Dates=H","DateFormat=P","Fill=—","Direction=H","UseDPDF=Y")</f>
        <v>12.686400000000001</v>
      </c>
      <c r="D63" s="14">
        <f>_xll.BDH("AMGN US Equity","FREE_CASH_FLOW_5_YEAR_GROWTH","FQ1 2019","FQ1 2019","Currency=USD","Period=FQ","BEST_FPERIOD_OVERRIDE=FQ","FILING_STATUS=MR","Sort=A","Dates=H","DateFormat=P","Fill=—","Direction=H","UseDPDF=Y")</f>
        <v>12.2547</v>
      </c>
      <c r="E63" s="14">
        <f>_xll.BDH("AMGN US Equity","FREE_CASH_FLOW_5_YEAR_GROWTH","FQ2 2019","FQ2 2019","Currency=USD","Period=FQ","BEST_FPERIOD_OVERRIDE=FQ","FILING_STATUS=MR","Sort=A","Dates=H","DateFormat=P","Fill=—","Direction=H","UseDPDF=Y")</f>
        <v>-9.1676000000000002</v>
      </c>
      <c r="F63" s="14">
        <f>_xll.BDH("AMGN US Equity","FREE_CASH_FLOW_5_YEAR_GROWTH","FQ3 2019","FQ3 2019","Currency=USD","Period=FQ","BEST_FPERIOD_OVERRIDE=FQ","FILING_STATUS=MR","Sort=A","Dates=H","DateFormat=P","Fill=—","Direction=H","UseDPDF=Y")</f>
        <v>4.5199999999999996</v>
      </c>
      <c r="G63" s="14">
        <f>_xll.BDH("AMGN US Equity","FREE_CASH_FLOW_5_YEAR_GROWTH","FQ4 2019","FQ4 2019","Currency=USD","Period=FQ","BEST_FPERIOD_OVERRIDE=FQ","FILING_STATUS=MR","Sort=A","Dates=H","DateFormat=P","Fill=—","Direction=H","UseDPDF=Y")</f>
        <v>0.73829999999999996</v>
      </c>
      <c r="H63" s="14">
        <f>_xll.BDH("AMGN US Equity","FREE_CASH_FLOW_5_YEAR_GROWTH","FQ1 2020","FQ1 2020","Currency=USD","Period=FQ","BEST_FPERIOD_OVERRIDE=FQ","FILING_STATUS=MR","Sort=A","Dates=H","DateFormat=P","Fill=—","Direction=H","UseDPDF=Y")</f>
        <v>7.8685999999999998</v>
      </c>
      <c r="I63" s="14">
        <f>_xll.BDH("AMGN US Equity","FREE_CASH_FLOW_5_YEAR_GROWTH","FQ2 2020","FQ2 2020","Currency=USD","Period=FQ","BEST_FPERIOD_OVERRIDE=FQ","FILING_STATUS=MR","Sort=A","Dates=H","DateFormat=P","Fill=—","Direction=H","UseDPDF=Y")</f>
        <v>2.24E-2</v>
      </c>
      <c r="J63" s="14">
        <f>_xll.BDH("AMGN US Equity","FREE_CASH_FLOW_5_YEAR_GROWTH","FQ3 2020","FQ3 2020","Currency=USD","Period=FQ","BEST_FPERIOD_OVERRIDE=FQ","FILING_STATUS=MR","Sort=A","Dates=H","DateFormat=P","Fill=—","Direction=H","UseDPDF=Y")</f>
        <v>-0.86780000000000002</v>
      </c>
      <c r="K63" s="14">
        <f>_xll.BDH("AMGN US Equity","FREE_CASH_FLOW_5_YEAR_GROWTH","FQ4 2020","FQ4 2020","Currency=USD","Period=FQ","BEST_FPERIOD_OVERRIDE=FQ","FILING_STATUS=MR","Sort=A","Dates=H","DateFormat=P","Fill=—","Direction=H","UseDPDF=Y")</f>
        <v>-2.2425999999999999</v>
      </c>
      <c r="L63" s="14">
        <f>_xll.BDH("AMGN US Equity","FREE_CASH_FLOW_5_YEAR_GROWTH","FQ1 2021","FQ1 2021","Currency=USD","Period=FQ","BEST_FPERIOD_OVERRIDE=FQ","FILING_STATUS=MR","Sort=A","Dates=H","DateFormat=P","Fill=—","Direction=H","UseDPDF=Y")</f>
        <v>1.9571000000000001</v>
      </c>
      <c r="M63" s="14">
        <f>_xll.BDH("AMGN US Equity","FREE_CASH_FLOW_5_YEAR_GROWTH","FQ2 2021","FQ2 2021","Currency=USD","Period=FQ","BEST_FPERIOD_OVERRIDE=FQ","FILING_STATUS=MR","Sort=A","Dates=H","DateFormat=P","Fill=—","Direction=H","UseDPDF=Y")</f>
        <v>-6.8455000000000004</v>
      </c>
      <c r="N63" s="14">
        <f>_xll.BDH("AMGN US Equity","FREE_CASH_FLOW_5_YEAR_GROWTH","FQ3 2021","FQ3 2021","Currency=USD","Period=FQ","BEST_FPERIOD_OVERRIDE=FQ","FILING_STATUS=MR","Sort=A","Dates=H","DateFormat=P","Fill=—","Direction=H","UseDPDF=Y")</f>
        <v>-2.5893999999999999</v>
      </c>
      <c r="O63" s="14">
        <f>_xll.BDH("AMGN US Equity","FREE_CASH_FLOW_5_YEAR_GROWTH","FQ4 2021","FQ4 2021","Currency=USD","Period=FQ","BEST_FPERIOD_OVERRIDE=FQ","FILING_STATUS=MR","Sort=A","Dates=H","DateFormat=P","Fill=—","Direction=H","UseDPDF=Y")</f>
        <v>-2.5802</v>
      </c>
      <c r="P63" s="14">
        <f>_xll.BDH("AMGN US Equity","FREE_CASH_FLOW_5_YEAR_GROWTH","FQ1 2022","FQ1 2022","Currency=USD","Period=FQ","BEST_FPERIOD_OVERRIDE=FQ","FILING_STATUS=MR","Sort=A","Dates=H","DateFormat=P","Fill=—","Direction=H","UseDPDF=Y")</f>
        <v>-2.2951000000000001</v>
      </c>
      <c r="Q63" s="14">
        <f>_xll.BDH("AMGN US Equity","FREE_CASH_FLOW_5_YEAR_GROWTH","FQ2 2022","FQ2 2022","Currency=USD","Period=FQ","BEST_FPERIOD_OVERRIDE=FQ","FILING_STATUS=MR","Sort=A","Dates=H","DateFormat=P","Fill=—","Direction=H","UseDPDF=Y")</f>
        <v>-4.6885000000000003</v>
      </c>
      <c r="R63" s="14">
        <f>_xll.BDH("AMGN US Equity","FREE_CASH_FLOW_5_YEAR_GROWTH","FQ3 2022","FQ3 2022","Currency=USD","Period=FQ","BEST_FPERIOD_OVERRIDE=FQ","FILING_STATUS=MR","Sort=A","Dates=H","DateFormat=P","Fill=—","Direction=H","UseDPDF=Y")</f>
        <v>-3.0851000000000002</v>
      </c>
      <c r="S63" s="14">
        <f>_xll.BDH("AMGN US Equity","FREE_CASH_FLOW_5_YEAR_GROWTH","FQ4 2022","FQ4 2022","Currency=USD","Period=FQ","BEST_FPERIOD_OVERRIDE=FQ","FILING_STATUS=MR","Sort=A","Dates=H","DateFormat=P","Fill=—","Direction=H","UseDPDF=Y")</f>
        <v>-4.1830999999999996</v>
      </c>
      <c r="T63" s="14">
        <f>_xll.BDH("AMGN US Equity","FREE_CASH_FLOW_5_YEAR_GROWTH","FQ1 2023","FQ1 2023","Currency=USD","Period=FQ","BEST_FPERIOD_OVERRIDE=FQ","FILING_STATUS=MR","Sort=A","Dates=H","DateFormat=P","Fill=—","Direction=H","UseDPDF=Y")</f>
        <v>-22.4803</v>
      </c>
      <c r="U63" s="14">
        <f>_xll.BDH("AMGN US Equity","FREE_CASH_FLOW_5_YEAR_GROWTH","FQ2 2023","FQ2 2023","Currency=USD","Period=FQ","BEST_FPERIOD_OVERRIDE=FQ","FILING_STATUS=MR","Sort=A","Dates=H","DateFormat=P","Fill=—","Direction=H","UseDPDF=Y")</f>
        <v>14.9178</v>
      </c>
      <c r="V63" s="14">
        <f>_xll.BDH("AMGN US Equity","FREE_CASH_FLOW_5_YEAR_GROWTH","FQ3 2023","FQ3 2023","Currency=USD","Period=FQ","BEST_FPERIOD_OVERRIDE=FQ","FILING_STATUS=MR","Sort=A","Dates=H","DateFormat=P","Fill=—","Direction=H","UseDPDF=Y")</f>
        <v>-4.1315999999999997</v>
      </c>
      <c r="W63" s="14">
        <f>_xll.BDH("AMGN US Equity","FREE_CASH_FLOW_5_YEAR_GROWTH","FQ4 2023","FQ4 2023","Currency=USD","Period=FQ","BEST_FPERIOD_OVERRIDE=FQ","FILING_STATUS=MR","Sort=A","Dates=H","DateFormat=P","Fill=—","Direction=H","UseDPDF=Y")</f>
        <v>-37.243699999999997</v>
      </c>
      <c r="X63" s="14">
        <f>_xll.BDH("AMGN US Equity","FREE_CASH_FLOW_5_YEAR_GROWTH","FQ1 2024","FQ1 2024","Currency=USD","Period=FQ","BEST_FPERIOD_OVERRIDE=FQ","FILING_STATUS=MR","Sort=A","Dates=H","DateFormat=P","Fill=—","Direction=H","UseDPDF=Y")</f>
        <v>-23.2986</v>
      </c>
      <c r="Y63" s="14">
        <f>_xll.BDH("AMGN US Equity","FREE_CASH_FLOW_5_YEAR_GROWTH","FQ2 2024","FQ2 2024","Currency=USD","Period=FQ","BEST_FPERIOD_OVERRIDE=FQ","FILING_STATUS=MR","Sort=A","Dates=H","DateFormat=P","Fill=—","Direction=H","UseDPDF=Y")</f>
        <v>11.8276</v>
      </c>
      <c r="Z63" s="14">
        <f>_xll.BDH("AMGN US Equity","FREE_CASH_FLOW_5_YEAR_GROWTH","FQ3 2024","FQ3 2024","Currency=USD","Period=FQ","BEST_FPERIOD_OVERRIDE=FQ","FILING_STATUS=MR","Sort=A","Dates=H","DateFormat=P","Fill=—","Direction=H","UseDPDF=Y")</f>
        <v>0.65859999999999996</v>
      </c>
      <c r="AA63" s="14">
        <f>_xll.BDH("AMGN US Equity","FREE_CASH_FLOW_5_YEAR_GROWTH","FQ4 2024","FQ4 2024","Currency=USD","Period=FQ","BEST_FPERIOD_OVERRIDE=FQ","FILING_STATUS=MR","Sort=A","Dates=H","DateFormat=P","Fill=—","Direction=H","UseDPDF=Y")</f>
        <v>13.5975</v>
      </c>
    </row>
    <row r="64" spans="1:27" x14ac:dyDescent="0.25">
      <c r="A64" s="10" t="s">
        <v>1504</v>
      </c>
      <c r="B64" s="10" t="s">
        <v>1533</v>
      </c>
      <c r="C64" s="14" t="str">
        <f>_xll.BDH("AMGN US Equity","CASH_FLOW_TO_FIRM_5_YEAR_GROWTH","FQ4 2018","FQ4 2018","Currency=USD","Period=FQ","BEST_FPERIOD_OVERRIDE=FQ","FILING_STATUS=MR","FA_ADJUSTED=GAAP","Sort=A","Dates=H","DateFormat=P","Fill=—","Direction=H","UseDPDF=Y")</f>
        <v>—</v>
      </c>
      <c r="D64" s="14">
        <f>_xll.BDH("AMGN US Equity","CASH_FLOW_TO_FIRM_5_YEAR_GROWTH","FQ1 2019","FQ1 2019","Currency=USD","Period=FQ","BEST_FPERIOD_OVERRIDE=FQ","FILING_STATUS=MR","FA_ADJUSTED=GAAP","Sort=A","Dates=H","DateFormat=P","Fill=—","Direction=H","UseDPDF=Y")</f>
        <v>9.2875999999999994</v>
      </c>
      <c r="E64" s="14">
        <f>_xll.BDH("AMGN US Equity","CASH_FLOW_TO_FIRM_5_YEAR_GROWTH","FQ2 2019","FQ2 2019","Currency=USD","Period=FQ","BEST_FPERIOD_OVERRIDE=FQ","FILING_STATUS=MR","FA_ADJUSTED=GAAP","Sort=A","Dates=H","DateFormat=P","Fill=—","Direction=H","UseDPDF=Y")</f>
        <v>-7.2801999999999998</v>
      </c>
      <c r="F64" s="14">
        <f>_xll.BDH("AMGN US Equity","CASH_FLOW_TO_FIRM_5_YEAR_GROWTH","FQ3 2019","FQ3 2019","Currency=USD","Period=FQ","BEST_FPERIOD_OVERRIDE=FQ","FILING_STATUS=MR","FA_ADJUSTED=GAAP","Sort=A","Dates=H","DateFormat=P","Fill=—","Direction=H","UseDPDF=Y")</f>
        <v>4.0465999999999998</v>
      </c>
      <c r="G64" s="14">
        <f>_xll.BDH("AMGN US Equity","CASH_FLOW_TO_FIRM_5_YEAR_GROWTH","FQ4 2019","FQ4 2019","Currency=USD","Period=FQ","BEST_FPERIOD_OVERRIDE=FQ","FILING_STATUS=MR","FA_ADJUSTED=GAAP","Sort=A","Dates=H","DateFormat=P","Fill=—","Direction=H","UseDPDF=Y")</f>
        <v>0.63560000000000005</v>
      </c>
      <c r="H64" s="14">
        <f>_xll.BDH("AMGN US Equity","CASH_FLOW_TO_FIRM_5_YEAR_GROWTH","FQ1 2020","FQ1 2020","Currency=USD","Period=FQ","BEST_FPERIOD_OVERRIDE=FQ","FILING_STATUS=MR","FA_ADJUSTED=GAAP","Sort=A","Dates=H","DateFormat=P","Fill=—","Direction=H","UseDPDF=Y")</f>
        <v>7.5529000000000002</v>
      </c>
      <c r="I64" s="14">
        <f>_xll.BDH("AMGN US Equity","CASH_FLOW_TO_FIRM_5_YEAR_GROWTH","FQ2 2020","FQ2 2020","Currency=USD","Period=FQ","BEST_FPERIOD_OVERRIDE=FQ","FILING_STATUS=MR","FA_ADJUSTED=GAAP","Sort=A","Dates=H","DateFormat=P","Fill=—","Direction=H","UseDPDF=Y")</f>
        <v>0.4017</v>
      </c>
      <c r="J64" s="14">
        <f>_xll.BDH("AMGN US Equity","CASH_FLOW_TO_FIRM_5_YEAR_GROWTH","FQ3 2020","FQ3 2020","Currency=USD","Period=FQ","BEST_FPERIOD_OVERRIDE=FQ","FILING_STATUS=MR","FA_ADJUSTED=GAAP","Sort=A","Dates=H","DateFormat=P","Fill=—","Direction=H","UseDPDF=Y")</f>
        <v>-0.59289999999999998</v>
      </c>
      <c r="K64" s="14">
        <f>_xll.BDH("AMGN US Equity","CASH_FLOW_TO_FIRM_5_YEAR_GROWTH","FQ4 2020","FQ4 2020","Currency=USD","Period=FQ","BEST_FPERIOD_OVERRIDE=FQ","FILING_STATUS=MR","FA_ADJUSTED=GAAP","Sort=A","Dates=H","DateFormat=P","Fill=—","Direction=H","UseDPDF=Y")</f>
        <v>-2.0596000000000001</v>
      </c>
      <c r="L64" s="14">
        <f>_xll.BDH("AMGN US Equity","CASH_FLOW_TO_FIRM_5_YEAR_GROWTH","FQ1 2021","FQ1 2021","Currency=USD","Period=FQ","BEST_FPERIOD_OVERRIDE=FQ","FILING_STATUS=MR","FA_ADJUSTED=GAAP","Sort=A","Dates=H","DateFormat=P","Fill=—","Direction=H","UseDPDF=Y")</f>
        <v>1.7352000000000001</v>
      </c>
      <c r="M64" s="14">
        <f>_xll.BDH("AMGN US Equity","CASH_FLOW_TO_FIRM_5_YEAR_GROWTH","FQ2 2021","FQ2 2021","Currency=USD","Period=FQ","BEST_FPERIOD_OVERRIDE=FQ","FILING_STATUS=MR","FA_ADJUSTED=GAAP","Sort=A","Dates=H","DateFormat=P","Fill=—","Direction=H","UseDPDF=Y")</f>
        <v>-5.9555999999999996</v>
      </c>
      <c r="N64" s="14">
        <f>_xll.BDH("AMGN US Equity","CASH_FLOW_TO_FIRM_5_YEAR_GROWTH","FQ3 2021","FQ3 2021","Currency=USD","Period=FQ","BEST_FPERIOD_OVERRIDE=FQ","FILING_STATUS=MR","FA_ADJUSTED=GAAP","Sort=A","Dates=H","DateFormat=P","Fill=—","Direction=H","UseDPDF=Y")</f>
        <v>-1.8123</v>
      </c>
      <c r="O64" s="14">
        <f>_xll.BDH("AMGN US Equity","CASH_FLOW_TO_FIRM_5_YEAR_GROWTH","FQ4 2021","FQ4 2021","Currency=USD","Period=FQ","BEST_FPERIOD_OVERRIDE=FQ","FILING_STATUS=MR","FA_ADJUSTED=GAAP","Sort=A","Dates=H","DateFormat=P","Fill=—","Direction=H","UseDPDF=Y")</f>
        <v>-1.6616</v>
      </c>
      <c r="P64" s="14">
        <f>_xll.BDH("AMGN US Equity","CASH_FLOW_TO_FIRM_5_YEAR_GROWTH","FQ1 2022","FQ1 2022","Currency=USD","Period=FQ","BEST_FPERIOD_OVERRIDE=FQ","FILING_STATUS=MR","FA_ADJUSTED=GAAP","Sort=A","Dates=H","DateFormat=P","Fill=—","Direction=H","UseDPDF=Y")</f>
        <v>-1.8372999999999999</v>
      </c>
      <c r="Q64" s="14">
        <f>_xll.BDH("AMGN US Equity","CASH_FLOW_TO_FIRM_5_YEAR_GROWTH","FQ2 2022","FQ2 2022","Currency=USD","Period=FQ","BEST_FPERIOD_OVERRIDE=FQ","FILING_STATUS=MR","FA_ADJUSTED=GAAP","Sort=A","Dates=H","DateFormat=P","Fill=—","Direction=H","UseDPDF=Y")</f>
        <v>-3.1616</v>
      </c>
      <c r="R64" s="14">
        <f>_xll.BDH("AMGN US Equity","CASH_FLOW_TO_FIRM_5_YEAR_GROWTH","FQ3 2022","FQ3 2022","Currency=USD","Period=FQ","BEST_FPERIOD_OVERRIDE=FQ","FILING_STATUS=MR","FA_ADJUSTED=GAAP","Sort=A","Dates=H","DateFormat=P","Fill=—","Direction=H","UseDPDF=Y")</f>
        <v>-2.3738000000000001</v>
      </c>
      <c r="S64" s="14">
        <f>_xll.BDH("AMGN US Equity","CASH_FLOW_TO_FIRM_5_YEAR_GROWTH","FQ4 2022","FQ4 2022","Currency=USD","Period=FQ","BEST_FPERIOD_OVERRIDE=FQ","FILING_STATUS=MR","FA_ADJUSTED=GAAP","Sort=A","Dates=H","DateFormat=P","Fill=—","Direction=H","UseDPDF=Y")</f>
        <v>5.0316000000000001</v>
      </c>
      <c r="T64" s="14">
        <f>_xll.BDH("AMGN US Equity","CASH_FLOW_TO_FIRM_5_YEAR_GROWTH","FQ1 2023","FQ1 2023","Currency=USD","Period=FQ","BEST_FPERIOD_OVERRIDE=FQ","FILING_STATUS=MR","FA_ADJUSTED=GAAP","Sort=A","Dates=H","DateFormat=P","Fill=—","Direction=H","UseDPDF=Y")</f>
        <v>-12.95</v>
      </c>
      <c r="U64" s="14">
        <f>_xll.BDH("AMGN US Equity","CASH_FLOW_TO_FIRM_5_YEAR_GROWTH","FQ2 2023","FQ2 2023","Currency=USD","Period=FQ","BEST_FPERIOD_OVERRIDE=FQ","FILING_STATUS=MR","FA_ADJUSTED=GAAP","Sort=A","Dates=H","DateFormat=P","Fill=—","Direction=H","UseDPDF=Y")</f>
        <v>14.6083</v>
      </c>
      <c r="V64" s="14">
        <f>_xll.BDH("AMGN US Equity","CASH_FLOW_TO_FIRM_5_YEAR_GROWTH","FQ3 2023","FQ3 2023","Currency=USD","Period=FQ","BEST_FPERIOD_OVERRIDE=FQ","FILING_STATUS=MR","FA_ADJUSTED=GAAP","Sort=A","Dates=H","DateFormat=P","Fill=—","Direction=H","UseDPDF=Y")</f>
        <v>-0.87209999999999999</v>
      </c>
      <c r="W64" s="14">
        <f>_xll.BDH("AMGN US Equity","CASH_FLOW_TO_FIRM_5_YEAR_GROWTH","FQ4 2023","FQ4 2023","Currency=USD","Period=FQ","BEST_FPERIOD_OVERRIDE=FQ","FILING_STATUS=MR","FA_ADJUSTED=GAAP","Sort=A","Dates=H","DateFormat=P","Fill=—","Direction=H","UseDPDF=Y")</f>
        <v>-18.2822</v>
      </c>
      <c r="X64" s="14">
        <f>_xll.BDH("AMGN US Equity","CASH_FLOW_TO_FIRM_5_YEAR_GROWTH","FQ1 2024","FQ1 2024","Currency=USD","Period=FQ","BEST_FPERIOD_OVERRIDE=FQ","FILING_STATUS=MR","FA_ADJUSTED=GAAP","Sort=A","Dates=H","DateFormat=P","Fill=—","Direction=H","UseDPDF=Y")</f>
        <v>-8.1044</v>
      </c>
      <c r="Y64" s="14">
        <f>_xll.BDH("AMGN US Equity","CASH_FLOW_TO_FIRM_5_YEAR_GROWTH","FQ2 2024","FQ2 2024","Currency=USD","Period=FQ","BEST_FPERIOD_OVERRIDE=FQ","FILING_STATUS=MR","FA_ADJUSTED=GAAP","Sort=A","Dates=H","DateFormat=P","Fill=—","Direction=H","UseDPDF=Y")</f>
        <v>13.6655</v>
      </c>
      <c r="Z64" s="14">
        <f>_xll.BDH("AMGN US Equity","CASH_FLOW_TO_FIRM_5_YEAR_GROWTH","FQ3 2024","FQ3 2024","Currency=USD","Period=FQ","BEST_FPERIOD_OVERRIDE=FQ","FILING_STATUS=MR","FA_ADJUSTED=GAAP","Sort=A","Dates=H","DateFormat=P","Fill=—","Direction=H","UseDPDF=Y")</f>
        <v>3.2458</v>
      </c>
      <c r="AA64" s="14">
        <f>_xll.BDH("AMGN US Equity","CASH_FLOW_TO_FIRM_5_YEAR_GROWTH","FQ4 2024","FQ4 2024","Currency=USD","Period=FQ","BEST_FPERIOD_OVERRIDE=FQ","FILING_STATUS=MR","FA_ADJUSTED=GAAP","Sort=A","Dates=H","DateFormat=P","Fill=—","Direction=H","UseDPDF=Y")</f>
        <v>14.135199999999999</v>
      </c>
    </row>
    <row r="65" spans="1:27" x14ac:dyDescent="0.25">
      <c r="A65" s="10" t="s">
        <v>1348</v>
      </c>
      <c r="B65" s="10" t="s">
        <v>1534</v>
      </c>
      <c r="C65" s="14" t="str">
        <f>_xll.BDH("AMGN US Equity","FCF_TO_FIRM_5_YEAR_GROWTH","FQ4 2018","FQ4 2018","Currency=USD","Period=FQ","BEST_FPERIOD_OVERRIDE=FQ","FILING_STATUS=MR","FA_ADJUSTED=GAAP","Sort=A","Dates=H","DateFormat=P","Fill=—","Direction=H","UseDPDF=Y")</f>
        <v>—</v>
      </c>
      <c r="D65" s="14">
        <f>_xll.BDH("AMGN US Equity","FCF_TO_FIRM_5_YEAR_GROWTH","FQ1 2019","FQ1 2019","Currency=USD","Period=FQ","BEST_FPERIOD_OVERRIDE=FQ","FILING_STATUS=MR","FA_ADJUSTED=GAAP","Sort=A","Dates=H","DateFormat=P","Fill=—","Direction=H","UseDPDF=Y")</f>
        <v>11.009</v>
      </c>
      <c r="E65" s="14">
        <f>_xll.BDH("AMGN US Equity","FCF_TO_FIRM_5_YEAR_GROWTH","FQ2 2019","FQ2 2019","Currency=USD","Period=FQ","BEST_FPERIOD_OVERRIDE=FQ","FILING_STATUS=MR","FA_ADJUSTED=GAAP","Sort=A","Dates=H","DateFormat=P","Fill=—","Direction=H","UseDPDF=Y")</f>
        <v>-7.5812999999999997</v>
      </c>
      <c r="F65" s="14">
        <f>_xll.BDH("AMGN US Equity","FCF_TO_FIRM_5_YEAR_GROWTH","FQ3 2019","FQ3 2019","Currency=USD","Period=FQ","BEST_FPERIOD_OVERRIDE=FQ","FILING_STATUS=MR","FA_ADJUSTED=GAAP","Sort=A","Dates=H","DateFormat=P","Fill=—","Direction=H","UseDPDF=Y")</f>
        <v>4.2712000000000003</v>
      </c>
      <c r="G65" s="14">
        <f>_xll.BDH("AMGN US Equity","FCF_TO_FIRM_5_YEAR_GROWTH","FQ4 2019","FQ4 2019","Currency=USD","Period=FQ","BEST_FPERIOD_OVERRIDE=FQ","FILING_STATUS=MR","FA_ADJUSTED=GAAP","Sort=A","Dates=H","DateFormat=P","Fill=—","Direction=H","UseDPDF=Y")</f>
        <v>0.80410000000000004</v>
      </c>
      <c r="H65" s="14">
        <f>_xll.BDH("AMGN US Equity","FCF_TO_FIRM_5_YEAR_GROWTH","FQ1 2020","FQ1 2020","Currency=USD","Period=FQ","BEST_FPERIOD_OVERRIDE=FQ","FILING_STATUS=MR","FA_ADJUSTED=GAAP","Sort=A","Dates=H","DateFormat=P","Fill=—","Direction=H","UseDPDF=Y")</f>
        <v>7.8144</v>
      </c>
      <c r="I65" s="14">
        <f>_xll.BDH("AMGN US Equity","FCF_TO_FIRM_5_YEAR_GROWTH","FQ2 2020","FQ2 2020","Currency=USD","Period=FQ","BEST_FPERIOD_OVERRIDE=FQ","FILING_STATUS=MR","FA_ADJUSTED=GAAP","Sort=A","Dates=H","DateFormat=P","Fill=—","Direction=H","UseDPDF=Y")</f>
        <v>0.25040000000000001</v>
      </c>
      <c r="J65" s="14">
        <f>_xll.BDH("AMGN US Equity","FCF_TO_FIRM_5_YEAR_GROWTH","FQ3 2020","FQ3 2020","Currency=USD","Period=FQ","BEST_FPERIOD_OVERRIDE=FQ","FILING_STATUS=MR","FA_ADJUSTED=GAAP","Sort=A","Dates=H","DateFormat=P","Fill=—","Direction=H","UseDPDF=Y")</f>
        <v>-0.5988</v>
      </c>
      <c r="K65" s="14">
        <f>_xll.BDH("AMGN US Equity","FCF_TO_FIRM_5_YEAR_GROWTH","FQ4 2020","FQ4 2020","Currency=USD","Period=FQ","BEST_FPERIOD_OVERRIDE=FQ","FILING_STATUS=MR","FA_ADJUSTED=GAAP","Sort=A","Dates=H","DateFormat=P","Fill=—","Direction=H","UseDPDF=Y")</f>
        <v>-1.9678</v>
      </c>
      <c r="L65" s="14">
        <f>_xll.BDH("AMGN US Equity","FCF_TO_FIRM_5_YEAR_GROWTH","FQ1 2021","FQ1 2021","Currency=USD","Period=FQ","BEST_FPERIOD_OVERRIDE=FQ","FILING_STATUS=MR","FA_ADJUSTED=GAAP","Sort=A","Dates=H","DateFormat=P","Fill=—","Direction=H","UseDPDF=Y")</f>
        <v>1.7725</v>
      </c>
      <c r="M65" s="14">
        <f>_xll.BDH("AMGN US Equity","FCF_TO_FIRM_5_YEAR_GROWTH","FQ2 2021","FQ2 2021","Currency=USD","Period=FQ","BEST_FPERIOD_OVERRIDE=FQ","FILING_STATUS=MR","FA_ADJUSTED=GAAP","Sort=A","Dates=H","DateFormat=P","Fill=—","Direction=H","UseDPDF=Y")</f>
        <v>-6.3932000000000002</v>
      </c>
      <c r="N65" s="14">
        <f>_xll.BDH("AMGN US Equity","FCF_TO_FIRM_5_YEAR_GROWTH","FQ3 2021","FQ3 2021","Currency=USD","Period=FQ","BEST_FPERIOD_OVERRIDE=FQ","FILING_STATUS=MR","FA_ADJUSTED=GAAP","Sort=A","Dates=H","DateFormat=P","Fill=—","Direction=H","UseDPDF=Y")</f>
        <v>-2.4203999999999999</v>
      </c>
      <c r="O65" s="14">
        <f>_xll.BDH("AMGN US Equity","FCF_TO_FIRM_5_YEAR_GROWTH","FQ4 2021","FQ4 2021","Currency=USD","Period=FQ","BEST_FPERIOD_OVERRIDE=FQ","FILING_STATUS=MR","FA_ADJUSTED=GAAP","Sort=A","Dates=H","DateFormat=P","Fill=—","Direction=H","UseDPDF=Y")</f>
        <v>-2.1985000000000001</v>
      </c>
      <c r="P65" s="14">
        <f>_xll.BDH("AMGN US Equity","FCF_TO_FIRM_5_YEAR_GROWTH","FQ1 2022","FQ1 2022","Currency=USD","Period=FQ","BEST_FPERIOD_OVERRIDE=FQ","FILING_STATUS=MR","FA_ADJUSTED=GAAP","Sort=A","Dates=H","DateFormat=P","Fill=—","Direction=H","UseDPDF=Y")</f>
        <v>-2.1581999999999999</v>
      </c>
      <c r="Q65" s="14">
        <f>_xll.BDH("AMGN US Equity","FCF_TO_FIRM_5_YEAR_GROWTH","FQ2 2022","FQ2 2022","Currency=USD","Period=FQ","BEST_FPERIOD_OVERRIDE=FQ","FILING_STATUS=MR","FA_ADJUSTED=GAAP","Sort=A","Dates=H","DateFormat=P","Fill=—","Direction=H","UseDPDF=Y")</f>
        <v>-4.0101000000000004</v>
      </c>
      <c r="R65" s="14">
        <f>_xll.BDH("AMGN US Equity","FCF_TO_FIRM_5_YEAR_GROWTH","FQ3 2022","FQ3 2022","Currency=USD","Period=FQ","BEST_FPERIOD_OVERRIDE=FQ","FILING_STATUS=MR","FA_ADJUSTED=GAAP","Sort=A","Dates=H","DateFormat=P","Fill=—","Direction=H","UseDPDF=Y")</f>
        <v>-2.4965999999999999</v>
      </c>
      <c r="S65" s="14">
        <f>_xll.BDH("AMGN US Equity","FCF_TO_FIRM_5_YEAR_GROWTH","FQ4 2022","FQ4 2022","Currency=USD","Period=FQ","BEST_FPERIOD_OVERRIDE=FQ","FILING_STATUS=MR","FA_ADJUSTED=GAAP","Sort=A","Dates=H","DateFormat=P","Fill=—","Direction=H","UseDPDF=Y")</f>
        <v>3.9398</v>
      </c>
      <c r="T65" s="14">
        <f>_xll.BDH("AMGN US Equity","FCF_TO_FIRM_5_YEAR_GROWTH","FQ1 2023","FQ1 2023","Currency=USD","Period=FQ","BEST_FPERIOD_OVERRIDE=FQ","FILING_STATUS=MR","FA_ADJUSTED=GAAP","Sort=A","Dates=H","DateFormat=P","Fill=—","Direction=H","UseDPDF=Y")</f>
        <v>-16.455400000000001</v>
      </c>
      <c r="U65" s="14">
        <f>_xll.BDH("AMGN US Equity","FCF_TO_FIRM_5_YEAR_GROWTH","FQ2 2023","FQ2 2023","Currency=USD","Period=FQ","BEST_FPERIOD_OVERRIDE=FQ","FILING_STATUS=MR","FA_ADJUSTED=GAAP","Sort=A","Dates=H","DateFormat=P","Fill=—","Direction=H","UseDPDF=Y")</f>
        <v>15.1203</v>
      </c>
      <c r="V65" s="14">
        <f>_xll.BDH("AMGN US Equity","FCF_TO_FIRM_5_YEAR_GROWTH","FQ3 2023","FQ3 2023","Currency=USD","Period=FQ","BEST_FPERIOD_OVERRIDE=FQ","FILING_STATUS=MR","FA_ADJUSTED=GAAP","Sort=A","Dates=H","DateFormat=P","Fill=—","Direction=H","UseDPDF=Y")</f>
        <v>-1.3886000000000001</v>
      </c>
      <c r="W65" s="14">
        <f>_xll.BDH("AMGN US Equity","FCF_TO_FIRM_5_YEAR_GROWTH","FQ4 2023","FQ4 2023","Currency=USD","Period=FQ","BEST_FPERIOD_OVERRIDE=FQ","FILING_STATUS=MR","FA_ADJUSTED=GAAP","Sort=A","Dates=H","DateFormat=P","Fill=—","Direction=H","UseDPDF=Y")</f>
        <v>-20.7056</v>
      </c>
      <c r="X65" s="14">
        <f>_xll.BDH("AMGN US Equity","FCF_TO_FIRM_5_YEAR_GROWTH","FQ1 2024","FQ1 2024","Currency=USD","Period=FQ","BEST_FPERIOD_OVERRIDE=FQ","FILING_STATUS=MR","FA_ADJUSTED=GAAP","Sort=A","Dates=H","DateFormat=P","Fill=—","Direction=H","UseDPDF=Y")</f>
        <v>-10.344200000000001</v>
      </c>
      <c r="Y65" s="14">
        <f>_xll.BDH("AMGN US Equity","FCF_TO_FIRM_5_YEAR_GROWTH","FQ2 2024","FQ2 2024","Currency=USD","Period=FQ","BEST_FPERIOD_OVERRIDE=FQ","FILING_STATUS=MR","FA_ADJUSTED=GAAP","Sort=A","Dates=H","DateFormat=P","Fill=—","Direction=H","UseDPDF=Y")</f>
        <v>13.936</v>
      </c>
      <c r="Z65" s="14">
        <f>_xll.BDH("AMGN US Equity","FCF_TO_FIRM_5_YEAR_GROWTH","FQ3 2024","FQ3 2024","Currency=USD","Period=FQ","BEST_FPERIOD_OVERRIDE=FQ","FILING_STATUS=MR","FA_ADJUSTED=GAAP","Sort=A","Dates=H","DateFormat=P","Fill=—","Direction=H","UseDPDF=Y")</f>
        <v>2.9527999999999999</v>
      </c>
      <c r="AA65" s="14">
        <f>_xll.BDH("AMGN US Equity","FCF_TO_FIRM_5_YEAR_GROWTH","FQ4 2024","FQ4 2024","Currency=USD","Period=FQ","BEST_FPERIOD_OVERRIDE=FQ","FILING_STATUS=MR","FA_ADJUSTED=GAAP","Sort=A","Dates=H","DateFormat=P","Fill=—","Direction=H","UseDPDF=Y")</f>
        <v>14.1038</v>
      </c>
    </row>
    <row r="66" spans="1:27" x14ac:dyDescent="0.25">
      <c r="A66" s="10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x14ac:dyDescent="0.25">
      <c r="A67" s="6" t="s">
        <v>1535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 x14ac:dyDescent="0.25">
      <c r="A68" s="10" t="s">
        <v>0</v>
      </c>
      <c r="B68" s="10" t="s">
        <v>1536</v>
      </c>
      <c r="C68" s="14">
        <f>_xll.BDH("AMGN US Equity","REVENUE_SEQUENTIAL_GROWTH","FQ4 2018","FQ4 2018","Currency=USD","Period=FQ","BEST_FPERIOD_OVERRIDE=FQ","FILING_STATUS=MR","FA_ADJUSTED=GAAP","Sort=A","Dates=H","DateFormat=P","Fill=—","Direction=H","UseDPDF=Y")</f>
        <v>5.5217000000000001</v>
      </c>
      <c r="D68" s="14">
        <f>_xll.BDH("AMGN US Equity","REVENUE_SEQUENTIAL_GROWTH","FQ1 2019","FQ1 2019","Currency=USD","Period=FQ","BEST_FPERIOD_OVERRIDE=FQ","FILING_STATUS=MR","FA_ADJUSTED=GAAP","Sort=A","Dates=H","DateFormat=P","Fill=—","Direction=H","UseDPDF=Y")</f>
        <v>-10.8026</v>
      </c>
      <c r="E68" s="14">
        <f>_xll.BDH("AMGN US Equity","REVENUE_SEQUENTIAL_GROWTH","FQ2 2019","FQ2 2019","Currency=USD","Period=FQ","BEST_FPERIOD_OVERRIDE=FQ","FILING_STATUS=MR","FA_ADJUSTED=GAAP","Sort=A","Dates=H","DateFormat=P","Fill=—","Direction=H","UseDPDF=Y")</f>
        <v>5.6505000000000001</v>
      </c>
      <c r="F68" s="14">
        <f>_xll.BDH("AMGN US Equity","REVENUE_SEQUENTIAL_GROWTH","FQ3 2019","FQ3 2019","Currency=USD","Period=FQ","BEST_FPERIOD_OVERRIDE=FQ","FILING_STATUS=MR","FA_ADJUSTED=GAAP","Sort=A","Dates=H","DateFormat=P","Fill=—","Direction=H","UseDPDF=Y")</f>
        <v>-2.2824</v>
      </c>
      <c r="G68" s="14">
        <f>_xll.BDH("AMGN US Equity","REVENUE_SEQUENTIAL_GROWTH","FQ4 2019","FQ4 2019","Currency=USD","Period=FQ","BEST_FPERIOD_OVERRIDE=FQ","FILING_STATUS=MR","FA_ADJUSTED=GAAP","Sort=A","Dates=H","DateFormat=P","Fill=—","Direction=H","UseDPDF=Y")</f>
        <v>8.0181000000000004</v>
      </c>
      <c r="H68" s="14">
        <f>_xll.BDH("AMGN US Equity","REVENUE_SEQUENTIAL_GROWTH","FQ1 2020","FQ1 2020","Currency=USD","Period=FQ","BEST_FPERIOD_OVERRIDE=FQ","FILING_STATUS=MR","FA_ADJUSTED=GAAP","Sort=A","Dates=H","DateFormat=P","Fill=—","Direction=H","UseDPDF=Y")</f>
        <v>-0.58089999999999997</v>
      </c>
      <c r="I68" s="14">
        <f>_xll.BDH("AMGN US Equity","REVENUE_SEQUENTIAL_GROWTH","FQ2 2020","FQ2 2020","Currency=USD","Period=FQ","BEST_FPERIOD_OVERRIDE=FQ","FILING_STATUS=MR","FA_ADJUSTED=GAAP","Sort=A","Dates=H","DateFormat=P","Fill=—","Direction=H","UseDPDF=Y")</f>
        <v>0.73040000000000005</v>
      </c>
      <c r="J68" s="14">
        <f>_xll.BDH("AMGN US Equity","REVENUE_SEQUENTIAL_GROWTH","FQ3 2020","FQ3 2020","Currency=USD","Period=FQ","BEST_FPERIOD_OVERRIDE=FQ","FILING_STATUS=MR","FA_ADJUSTED=GAAP","Sort=A","Dates=H","DateFormat=P","Fill=—","Direction=H","UseDPDF=Y")</f>
        <v>3.4965999999999999</v>
      </c>
      <c r="K68" s="14">
        <f>_xll.BDH("AMGN US Equity","REVENUE_SEQUENTIAL_GROWTH","FQ4 2020","FQ4 2020","Currency=USD","Period=FQ","BEST_FPERIOD_OVERRIDE=FQ","FILING_STATUS=MR","FA_ADJUSTED=GAAP","Sort=A","Dates=H","DateFormat=P","Fill=—","Direction=H","UseDPDF=Y")</f>
        <v>3.2850999999999999</v>
      </c>
      <c r="L68" s="14">
        <f>_xll.BDH("AMGN US Equity","REVENUE_SEQUENTIAL_GROWTH","FQ1 2021","FQ1 2021","Currency=USD","Period=FQ","BEST_FPERIOD_OVERRIDE=FQ","FILING_STATUS=MR","FA_ADJUSTED=GAAP","Sort=A","Dates=H","DateFormat=P","Fill=—","Direction=H","UseDPDF=Y")</f>
        <v>-11.049099999999999</v>
      </c>
      <c r="M68" s="14">
        <f>_xll.BDH("AMGN US Equity","REVENUE_SEQUENTIAL_GROWTH","FQ2 2021","FQ2 2021","Currency=USD","Period=FQ","BEST_FPERIOD_OVERRIDE=FQ","FILING_STATUS=MR","FA_ADJUSTED=GAAP","Sort=A","Dates=H","DateFormat=P","Fill=—","Direction=H","UseDPDF=Y")</f>
        <v>10.5914</v>
      </c>
      <c r="N68" s="14">
        <f>_xll.BDH("AMGN US Equity","REVENUE_SEQUENTIAL_GROWTH","FQ3 2021","FQ3 2021","Currency=USD","Period=FQ","BEST_FPERIOD_OVERRIDE=FQ","FILING_STATUS=MR","FA_ADJUSTED=GAAP","Sort=A","Dates=H","DateFormat=P","Fill=—","Direction=H","UseDPDF=Y")</f>
        <v>2.7582</v>
      </c>
      <c r="O68" s="14">
        <f>_xll.BDH("AMGN US Equity","REVENUE_SEQUENTIAL_GROWTH","FQ4 2021","FQ4 2021","Currency=USD","Period=FQ","BEST_FPERIOD_OVERRIDE=FQ","FILING_STATUS=MR","FA_ADJUSTED=GAAP","Sort=A","Dates=H","DateFormat=P","Fill=—","Direction=H","UseDPDF=Y")</f>
        <v>2.0876999999999999</v>
      </c>
      <c r="P68" s="14">
        <f>_xll.BDH("AMGN US Equity","REVENUE_SEQUENTIAL_GROWTH","FQ1 2022","FQ1 2022","Currency=USD","Period=FQ","BEST_FPERIOD_OVERRIDE=FQ","FILING_STATUS=MR","FA_ADJUSTED=GAAP","Sort=A","Dates=H","DateFormat=P","Fill=—","Direction=H","UseDPDF=Y")</f>
        <v>-8.8811</v>
      </c>
      <c r="Q68" s="14">
        <f>_xll.BDH("AMGN US Equity","REVENUE_SEQUENTIAL_GROWTH","FQ2 2022","FQ2 2022","Currency=USD","Period=FQ","BEST_FPERIOD_OVERRIDE=FQ","FILING_STATUS=MR","FA_ADJUSTED=GAAP","Sort=A","Dates=H","DateFormat=P","Fill=—","Direction=H","UseDPDF=Y")</f>
        <v>5.7069999999999999</v>
      </c>
      <c r="R68" s="14">
        <f>_xll.BDH("AMGN US Equity","REVENUE_SEQUENTIAL_GROWTH","FQ3 2022","FQ3 2022","Currency=USD","Period=FQ","BEST_FPERIOD_OVERRIDE=FQ","FILING_STATUS=MR","FA_ADJUSTED=GAAP","Sort=A","Dates=H","DateFormat=P","Fill=—","Direction=H","UseDPDF=Y")</f>
        <v>0.87960000000000005</v>
      </c>
      <c r="S68" s="14">
        <f>_xll.BDH("AMGN US Equity","REVENUE_SEQUENTIAL_GROWTH","FQ4 2022","FQ4 2022","Currency=USD","Period=FQ","BEST_FPERIOD_OVERRIDE=FQ","FILING_STATUS=MR","FA_ADJUSTED=GAAP","Sort=A","Dates=H","DateFormat=P","Fill=—","Direction=H","UseDPDF=Y")</f>
        <v>2.8111999999999999</v>
      </c>
      <c r="T68" s="14">
        <f>_xll.BDH("AMGN US Equity","REVENUE_SEQUENTIAL_GROWTH","FQ1 2023","FQ1 2023","Currency=USD","Period=FQ","BEST_FPERIOD_OVERRIDE=FQ","FILING_STATUS=MR","FA_ADJUSTED=GAAP","Sort=A","Dates=H","DateFormat=P","Fill=—","Direction=H","UseDPDF=Y")</f>
        <v>-10.7326</v>
      </c>
      <c r="U68" s="14">
        <f>_xll.BDH("AMGN US Equity","REVENUE_SEQUENTIAL_GROWTH","FQ2 2023","FQ2 2023","Currency=USD","Period=FQ","BEST_FPERIOD_OVERRIDE=FQ","FILING_STATUS=MR","FA_ADJUSTED=GAAP","Sort=A","Dates=H","DateFormat=P","Fill=—","Direction=H","UseDPDF=Y")</f>
        <v>14.4308</v>
      </c>
      <c r="V68" s="14">
        <f>_xll.BDH("AMGN US Equity","REVENUE_SEQUENTIAL_GROWTH","FQ3 2023","FQ3 2023","Currency=USD","Period=FQ","BEST_FPERIOD_OVERRIDE=FQ","FILING_STATUS=MR","FA_ADJUSTED=GAAP","Sort=A","Dates=H","DateFormat=P","Fill=—","Direction=H","UseDPDF=Y")</f>
        <v>-1.1880999999999999</v>
      </c>
      <c r="W68" s="14">
        <f>_xll.BDH("AMGN US Equity","REVENUE_SEQUENTIAL_GROWTH","FQ4 2023","FQ4 2023","Currency=USD","Period=FQ","BEST_FPERIOD_OVERRIDE=FQ","FILING_STATUS=MR","FA_ADJUSTED=GAAP","Sort=A","Dates=H","DateFormat=P","Fill=—","Direction=H","UseDPDF=Y")</f>
        <v>18.731000000000002</v>
      </c>
      <c r="X68" s="14">
        <f>_xll.BDH("AMGN US Equity","REVENUE_SEQUENTIAL_GROWTH","FQ1 2024","FQ1 2024","Currency=USD","Period=FQ","BEST_FPERIOD_OVERRIDE=FQ","FILING_STATUS=MR","FA_ADJUSTED=GAAP","Sort=A","Dates=H","DateFormat=P","Fill=—","Direction=H","UseDPDF=Y")</f>
        <v>-9.1386000000000003</v>
      </c>
      <c r="Y68" s="14">
        <f>_xll.BDH("AMGN US Equity","REVENUE_SEQUENTIAL_GROWTH","FQ2 2024","FQ2 2024","Currency=USD","Period=FQ","BEST_FPERIOD_OVERRIDE=FQ","FILING_STATUS=MR","FA_ADJUSTED=GAAP","Sort=A","Dates=H","DateFormat=P","Fill=—","Direction=H","UseDPDF=Y")</f>
        <v>12.635999999999999</v>
      </c>
      <c r="Z68" s="14">
        <f>_xll.BDH("AMGN US Equity","REVENUE_SEQUENTIAL_GROWTH","FQ3 2024","FQ3 2024","Currency=USD","Period=FQ","BEST_FPERIOD_OVERRIDE=FQ","FILING_STATUS=MR","FA_ADJUSTED=GAAP","Sort=A","Dates=H","DateFormat=P","Fill=—","Direction=H","UseDPDF=Y")</f>
        <v>1.371</v>
      </c>
      <c r="AA68" s="14">
        <f>_xll.BDH("AMGN US Equity","REVENUE_SEQUENTIAL_GROWTH","FQ4 2024","FQ4 2024","Currency=USD","Period=FQ","BEST_FPERIOD_OVERRIDE=FQ","FILING_STATUS=MR","FA_ADJUSTED=GAAP","Sort=A","Dates=H","DateFormat=P","Fill=—","Direction=H","UseDPDF=Y")</f>
        <v>6.8563999999999998</v>
      </c>
    </row>
    <row r="69" spans="1:27" x14ac:dyDescent="0.25">
      <c r="A69" s="10" t="s">
        <v>78</v>
      </c>
      <c r="B69" s="10" t="s">
        <v>1537</v>
      </c>
      <c r="C69" s="14">
        <f>_xll.BDH("AMGN US Equity","EBITDA_SEQUENTIAL_GROWTH","FQ4 2018","FQ4 2018","Currency=USD","Period=FQ","BEST_FPERIOD_OVERRIDE=FQ","FILING_STATUS=MR","FA_ADJUSTED=GAAP","Sort=A","Dates=H","DateFormat=P","Fill=—","Direction=H","UseDPDF=Y")</f>
        <v>1.6997</v>
      </c>
      <c r="D69" s="14">
        <f>_xll.BDH("AMGN US Equity","EBITDA_SEQUENTIAL_GROWTH","FQ1 2019","FQ1 2019","Currency=USD","Period=FQ","BEST_FPERIOD_OVERRIDE=FQ","FILING_STATUS=MR","FA_ADJUSTED=GAAP","Sort=A","Dates=H","DateFormat=P","Fill=—","Direction=H","UseDPDF=Y")</f>
        <v>4.7005999999999997</v>
      </c>
      <c r="E69" s="14">
        <f>_xll.BDH("AMGN US Equity","EBITDA_SEQUENTIAL_GROWTH","FQ2 2019","FQ2 2019","Currency=USD","Period=FQ","BEST_FPERIOD_OVERRIDE=FQ","FILING_STATUS=MR","FA_ADJUSTED=GAAP","Sort=A","Dates=H","DateFormat=P","Fill=—","Direction=H","UseDPDF=Y")</f>
        <v>7.1166999999999998</v>
      </c>
      <c r="F69" s="14">
        <f>_xll.BDH("AMGN US Equity","EBITDA_SEQUENTIAL_GROWTH","FQ3 2019","FQ3 2019","Currency=USD","Period=FQ","BEST_FPERIOD_OVERRIDE=FQ","FILING_STATUS=MR","FA_ADJUSTED=GAAP","Sort=A","Dates=H","DateFormat=P","Fill=—","Direction=H","UseDPDF=Y")</f>
        <v>-6.0540000000000003</v>
      </c>
      <c r="G69" s="14">
        <f>_xll.BDH("AMGN US Equity","EBITDA_SEQUENTIAL_GROWTH","FQ4 2019","FQ4 2019","Currency=USD","Period=FQ","BEST_FPERIOD_OVERRIDE=FQ","FILING_STATUS=MR","FA_ADJUSTED=GAAP","Sort=A","Dates=H","DateFormat=P","Fill=—","Direction=H","UseDPDF=Y")</f>
        <v>-7.5677000000000003</v>
      </c>
      <c r="H69" s="14">
        <f>_xll.BDH("AMGN US Equity","EBITDA_SEQUENTIAL_GROWTH","FQ1 2020","FQ1 2020","Currency=USD","Period=FQ","BEST_FPERIOD_OVERRIDE=FQ","FILING_STATUS=MR","FA_ADJUSTED=GAAP","Sort=A","Dates=H","DateFormat=P","Fill=—","Direction=H","UseDPDF=Y")</f>
        <v>16.267399999999999</v>
      </c>
      <c r="I69" s="14">
        <f>_xll.BDH("AMGN US Equity","EBITDA_SEQUENTIAL_GROWTH","FQ2 2020","FQ2 2020","Currency=USD","Period=FQ","BEST_FPERIOD_OVERRIDE=FQ","FILING_STATUS=MR","FA_ADJUSTED=GAAP","Sort=A","Dates=H","DateFormat=P","Fill=—","Direction=H","UseDPDF=Y")</f>
        <v>3.0800000000000001E-2</v>
      </c>
      <c r="J69" s="14">
        <f>_xll.BDH("AMGN US Equity","EBITDA_SEQUENTIAL_GROWTH","FQ3 2020","FQ3 2020","Currency=USD","Period=FQ","BEST_FPERIOD_OVERRIDE=FQ","FILING_STATUS=MR","FA_ADJUSTED=GAAP","Sort=A","Dates=H","DateFormat=P","Fill=—","Direction=H","UseDPDF=Y")</f>
        <v>3.1048</v>
      </c>
      <c r="K69" s="14">
        <f>_xll.BDH("AMGN US Equity","EBITDA_SEQUENTIAL_GROWTH","FQ4 2020","FQ4 2020","Currency=USD","Period=FQ","BEST_FPERIOD_OVERRIDE=FQ","FILING_STATUS=MR","FA_ADJUSTED=GAAP","Sort=A","Dates=H","DateFormat=P","Fill=—","Direction=H","UseDPDF=Y")</f>
        <v>-14.102600000000001</v>
      </c>
      <c r="L69" s="14">
        <f>_xll.BDH("AMGN US Equity","EBITDA_SEQUENTIAL_GROWTH","FQ1 2021","FQ1 2021","Currency=USD","Period=FQ","BEST_FPERIOD_OVERRIDE=FQ","FILING_STATUS=MR","FA_ADJUSTED=GAAP","Sort=A","Dates=H","DateFormat=P","Fill=—","Direction=H","UseDPDF=Y")</f>
        <v>3.0891999999999999</v>
      </c>
      <c r="M69" s="14">
        <f>_xll.BDH("AMGN US Equity","EBITDA_SEQUENTIAL_GROWTH","FQ2 2021","FQ2 2021","Currency=USD","Period=FQ","BEST_FPERIOD_OVERRIDE=FQ","FILING_STATUS=MR","FA_ADJUSTED=GAAP","Sort=A","Dates=H","DateFormat=P","Fill=—","Direction=H","UseDPDF=Y")</f>
        <v>-43.333300000000001</v>
      </c>
      <c r="N69" s="14">
        <f>_xll.BDH("AMGN US Equity","EBITDA_SEQUENTIAL_GROWTH","FQ3 2021","FQ3 2021","Currency=USD","Period=FQ","BEST_FPERIOD_OVERRIDE=FQ","FILING_STATUS=MR","FA_ADJUSTED=GAAP","Sort=A","Dates=H","DateFormat=P","Fill=—","Direction=H","UseDPDF=Y")</f>
        <v>91.800399999999996</v>
      </c>
      <c r="O69" s="14">
        <f>_xll.BDH("AMGN US Equity","EBITDA_SEQUENTIAL_GROWTH","FQ4 2021","FQ4 2021","Currency=USD","Period=FQ","BEST_FPERIOD_OVERRIDE=FQ","FILING_STATUS=MR","FA_ADJUSTED=GAAP","Sort=A","Dates=H","DateFormat=P","Fill=—","Direction=H","UseDPDF=Y")</f>
        <v>-2.2305000000000001</v>
      </c>
      <c r="P69" s="14">
        <f>_xll.BDH("AMGN US Equity","EBITDA_SEQUENTIAL_GROWTH","FQ1 2022","FQ1 2022","Currency=USD","Period=FQ","BEST_FPERIOD_OVERRIDE=FQ","FILING_STATUS=MR","FA_ADJUSTED=GAAP","Sort=A","Dates=H","DateFormat=P","Fill=—","Direction=H","UseDPDF=Y")</f>
        <v>5.8619000000000003</v>
      </c>
      <c r="Q69" s="14">
        <f>_xll.BDH("AMGN US Equity","EBITDA_SEQUENTIAL_GROWTH","FQ2 2022","FQ2 2022","Currency=USD","Period=FQ","BEST_FPERIOD_OVERRIDE=FQ","FILING_STATUS=MR","FA_ADJUSTED=GAAP","Sort=A","Dates=H","DateFormat=P","Fill=—","Direction=H","UseDPDF=Y")</f>
        <v>-10.0868</v>
      </c>
      <c r="R69" s="14">
        <f>_xll.BDH("AMGN US Equity","EBITDA_SEQUENTIAL_GROWTH","FQ3 2022","FQ3 2022","Currency=USD","Period=FQ","BEST_FPERIOD_OVERRIDE=FQ","FILING_STATUS=MR","FA_ADJUSTED=GAAP","Sort=A","Dates=H","DateFormat=P","Fill=—","Direction=H","UseDPDF=Y")</f>
        <v>16.4115</v>
      </c>
      <c r="S69" s="14">
        <f>_xll.BDH("AMGN US Equity","EBITDA_SEQUENTIAL_GROWTH","FQ4 2022","FQ4 2022","Currency=USD","Period=FQ","BEST_FPERIOD_OVERRIDE=FQ","FILING_STATUS=MR","FA_ADJUSTED=GAAP","Sort=A","Dates=H","DateFormat=P","Fill=—","Direction=H","UseDPDF=Y")</f>
        <v>-10.180199999999999</v>
      </c>
      <c r="T69" s="14">
        <f>_xll.BDH("AMGN US Equity","EBITDA_SEQUENTIAL_GROWTH","FQ1 2023","FQ1 2023","Currency=USD","Period=FQ","BEST_FPERIOD_OVERRIDE=FQ","FILING_STATUS=MR","FA_ADJUSTED=GAAP","Sort=A","Dates=H","DateFormat=P","Fill=—","Direction=H","UseDPDF=Y")</f>
        <v>-10.187799999999999</v>
      </c>
      <c r="U69" s="14">
        <f>_xll.BDH("AMGN US Equity","EBITDA_SEQUENTIAL_GROWTH","FQ2 2023","FQ2 2023","Currency=USD","Period=FQ","BEST_FPERIOD_OVERRIDE=FQ","FILING_STATUS=MR","FA_ADJUSTED=GAAP","Sort=A","Dates=H","DateFormat=P","Fill=—","Direction=H","UseDPDF=Y")</f>
        <v>26.9054</v>
      </c>
      <c r="V69" s="14">
        <f>_xll.BDH("AMGN US Equity","EBITDA_SEQUENTIAL_GROWTH","FQ3 2023","FQ3 2023","Currency=USD","Period=FQ","BEST_FPERIOD_OVERRIDE=FQ","FILING_STATUS=MR","FA_ADJUSTED=GAAP","Sort=A","Dates=H","DateFormat=P","Fill=—","Direction=H","UseDPDF=Y")</f>
        <v>-18.547499999999999</v>
      </c>
      <c r="W69" s="14">
        <f>_xll.BDH("AMGN US Equity","EBITDA_SEQUENTIAL_GROWTH","FQ4 2023","FQ4 2023","Currency=USD","Period=FQ","BEST_FPERIOD_OVERRIDE=FQ","FILING_STATUS=MR","FA_ADJUSTED=GAAP","Sort=A","Dates=H","DateFormat=P","Fill=—","Direction=H","UseDPDF=Y")</f>
        <v>-9.0877999999999997</v>
      </c>
      <c r="X69" s="14">
        <f>_xll.BDH("AMGN US Equity","EBITDA_SEQUENTIAL_GROWTH","FQ1 2024","FQ1 2024","Currency=USD","Period=FQ","BEST_FPERIOD_OVERRIDE=FQ","FILING_STATUS=MR","FA_ADJUSTED=GAAP","Sort=A","Dates=H","DateFormat=P","Fill=—","Direction=H","UseDPDF=Y")</f>
        <v>-9.8452999999999999</v>
      </c>
      <c r="Y69" s="14">
        <f>_xll.BDH("AMGN US Equity","EBITDA_SEQUENTIAL_GROWTH","FQ2 2024","FQ2 2024","Currency=USD","Period=FQ","BEST_FPERIOD_OVERRIDE=FQ","FILING_STATUS=MR","FA_ADJUSTED=GAAP","Sort=A","Dates=H","DateFormat=P","Fill=—","Direction=H","UseDPDF=Y")</f>
        <v>38.451900000000002</v>
      </c>
      <c r="Z69" s="14">
        <f>_xll.BDH("AMGN US Equity","EBITDA_SEQUENTIAL_GROWTH","FQ3 2024","FQ3 2024","Currency=USD","Period=FQ","BEST_FPERIOD_OVERRIDE=FQ","FILING_STATUS=MR","FA_ADJUSTED=GAAP","Sort=A","Dates=H","DateFormat=P","Fill=—","Direction=H","UseDPDF=Y")</f>
        <v>4.0495999999999999</v>
      </c>
      <c r="AA69" s="14">
        <f>_xll.BDH("AMGN US Equity","EBITDA_SEQUENTIAL_GROWTH","FQ4 2024","FQ4 2024","Currency=USD","Period=FQ","BEST_FPERIOD_OVERRIDE=FQ","FILING_STATUS=MR","FA_ADJUSTED=GAAP","Sort=A","Dates=H","DateFormat=P","Fill=—","Direction=H","UseDPDF=Y")</f>
        <v>7.6967999999999996</v>
      </c>
    </row>
    <row r="70" spans="1:27" x14ac:dyDescent="0.25">
      <c r="A70" s="10" t="s">
        <v>98</v>
      </c>
      <c r="B70" s="10" t="s">
        <v>1538</v>
      </c>
      <c r="C70" s="14">
        <f>_xll.BDH("AMGN US Equity","OPERATING_INCOME_SEQ_GROWTH","FQ4 2018","FQ4 2018","Currency=USD","Period=FQ","BEST_FPERIOD_OVERRIDE=FQ","FILING_STATUS=MR","FA_ADJUSTED=GAAP","Sort=A","Dates=H","DateFormat=P","Fill=—","Direction=H","UseDPDF=Y")</f>
        <v>2.5398000000000001</v>
      </c>
      <c r="D70" s="14">
        <f>_xll.BDH("AMGN US Equity","OPERATING_INCOME_SEQ_GROWTH","FQ1 2019","FQ1 2019","Currency=USD","Period=FQ","BEST_FPERIOD_OVERRIDE=FQ","FILING_STATUS=MR","FA_ADJUSTED=GAAP","Sort=A","Dates=H","DateFormat=P","Fill=—","Direction=H","UseDPDF=Y")</f>
        <v>3.7783000000000002</v>
      </c>
      <c r="E70" s="14">
        <f>_xll.BDH("AMGN US Equity","OPERATING_INCOME_SEQ_GROWTH","FQ2 2019","FQ2 2019","Currency=USD","Period=FQ","BEST_FPERIOD_OVERRIDE=FQ","FILING_STATUS=MR","FA_ADJUSTED=GAAP","Sort=A","Dates=H","DateFormat=P","Fill=—","Direction=H","UseDPDF=Y")</f>
        <v>8.3332999999999995</v>
      </c>
      <c r="F70" s="14">
        <f>_xll.BDH("AMGN US Equity","OPERATING_INCOME_SEQ_GROWTH","FQ3 2019","FQ3 2019","Currency=USD","Period=FQ","BEST_FPERIOD_OVERRIDE=FQ","FILING_STATUS=MR","FA_ADJUSTED=GAAP","Sort=A","Dates=H","DateFormat=P","Fill=—","Direction=H","UseDPDF=Y")</f>
        <v>-7.5429000000000004</v>
      </c>
      <c r="G70" s="14">
        <f>_xll.BDH("AMGN US Equity","OPERATING_INCOME_SEQ_GROWTH","FQ4 2019","FQ4 2019","Currency=USD","Period=FQ","BEST_FPERIOD_OVERRIDE=FQ","FILING_STATUS=MR","FA_ADJUSTED=GAAP","Sort=A","Dates=H","DateFormat=P","Fill=—","Direction=H","UseDPDF=Y")</f>
        <v>-17.285900000000002</v>
      </c>
      <c r="H70" s="14">
        <f>_xll.BDH("AMGN US Equity","OPERATING_INCOME_SEQ_GROWTH","FQ1 2020","FQ1 2020","Currency=USD","Period=FQ","BEST_FPERIOD_OVERRIDE=FQ","FILING_STATUS=MR","FA_ADJUSTED=GAAP","Sort=A","Dates=H","DateFormat=P","Fill=—","Direction=H","UseDPDF=Y")</f>
        <v>14.9902</v>
      </c>
      <c r="I70" s="14">
        <f>_xll.BDH("AMGN US Equity","OPERATING_INCOME_SEQ_GROWTH","FQ2 2020","FQ2 2020","Currency=USD","Period=FQ","BEST_FPERIOD_OVERRIDE=FQ","FILING_STATUS=MR","FA_ADJUSTED=GAAP","Sort=A","Dates=H","DateFormat=P","Fill=—","Direction=H","UseDPDF=Y")</f>
        <v>-1.3588</v>
      </c>
      <c r="J70" s="14">
        <f>_xll.BDH("AMGN US Equity","OPERATING_INCOME_SEQ_GROWTH","FQ3 2020","FQ3 2020","Currency=USD","Period=FQ","BEST_FPERIOD_OVERRIDE=FQ","FILING_STATUS=MR","FA_ADJUSTED=GAAP","Sort=A","Dates=H","DateFormat=P","Fill=—","Direction=H","UseDPDF=Y")</f>
        <v>5.5961999999999996</v>
      </c>
      <c r="K70" s="14">
        <f>_xll.BDH("AMGN US Equity","OPERATING_INCOME_SEQ_GROWTH","FQ4 2020","FQ4 2020","Currency=USD","Period=FQ","BEST_FPERIOD_OVERRIDE=FQ","FILING_STATUS=MR","FA_ADJUSTED=GAAP","Sort=A","Dates=H","DateFormat=P","Fill=—","Direction=H","UseDPDF=Y")</f>
        <v>-18.141100000000002</v>
      </c>
      <c r="L70" s="14">
        <f>_xll.BDH("AMGN US Equity","OPERATING_INCOME_SEQ_GROWTH","FQ1 2021","FQ1 2021","Currency=USD","Period=FQ","BEST_FPERIOD_OVERRIDE=FQ","FILING_STATUS=MR","FA_ADJUSTED=GAAP","Sort=A","Dates=H","DateFormat=P","Fill=—","Direction=H","UseDPDF=Y")</f>
        <v>6.0259</v>
      </c>
      <c r="M70" s="14">
        <f>_xll.BDH("AMGN US Equity","OPERATING_INCOME_SEQ_GROWTH","FQ2 2021","FQ2 2021","Currency=USD","Period=FQ","BEST_FPERIOD_OVERRIDE=FQ","FILING_STATUS=MR","FA_ADJUSTED=GAAP","Sort=A","Dates=H","DateFormat=P","Fill=—","Direction=H","UseDPDF=Y")</f>
        <v>-61.108499999999999</v>
      </c>
      <c r="N70" s="14">
        <f>_xll.BDH("AMGN US Equity","OPERATING_INCOME_SEQ_GROWTH","FQ3 2021","FQ3 2021","Currency=USD","Period=FQ","BEST_FPERIOD_OVERRIDE=FQ","FILING_STATUS=MR","FA_ADJUSTED=GAAP","Sort=A","Dates=H","DateFormat=P","Fill=—","Direction=H","UseDPDF=Y")</f>
        <v>187.19810000000001</v>
      </c>
      <c r="O70" s="14">
        <f>_xll.BDH("AMGN US Equity","OPERATING_INCOME_SEQ_GROWTH","FQ4 2021","FQ4 2021","Currency=USD","Period=FQ","BEST_FPERIOD_OVERRIDE=FQ","FILING_STATUS=MR","FA_ADJUSTED=GAAP","Sort=A","Dates=H","DateFormat=P","Fill=—","Direction=H","UseDPDF=Y")</f>
        <v>-3.1118999999999999</v>
      </c>
      <c r="P70" s="14">
        <f>_xll.BDH("AMGN US Equity","OPERATING_INCOME_SEQ_GROWTH","FQ1 2022","FQ1 2022","Currency=USD","Period=FQ","BEST_FPERIOD_OVERRIDE=FQ","FILING_STATUS=MR","FA_ADJUSTED=GAAP","Sort=A","Dates=H","DateFormat=P","Fill=—","Direction=H","UseDPDF=Y")</f>
        <v>8.5068999999999999</v>
      </c>
      <c r="Q70" s="14">
        <f>_xll.BDH("AMGN US Equity","OPERATING_INCOME_SEQ_GROWTH","FQ2 2022","FQ2 2022","Currency=USD","Period=FQ","BEST_FPERIOD_OVERRIDE=FQ","FILING_STATUS=MR","FA_ADJUSTED=GAAP","Sort=A","Dates=H","DateFormat=P","Fill=—","Direction=H","UseDPDF=Y")</f>
        <v>-12.96</v>
      </c>
      <c r="R70" s="14">
        <f>_xll.BDH("AMGN US Equity","OPERATING_INCOME_SEQ_GROWTH","FQ3 2022","FQ3 2022","Currency=USD","Period=FQ","BEST_FPERIOD_OVERRIDE=FQ","FILING_STATUS=MR","FA_ADJUSTED=GAAP","Sort=A","Dates=H","DateFormat=P","Fill=—","Direction=H","UseDPDF=Y")</f>
        <v>22.242599999999999</v>
      </c>
      <c r="S70" s="14">
        <f>_xll.BDH("AMGN US Equity","OPERATING_INCOME_SEQ_GROWTH","FQ4 2022","FQ4 2022","Currency=USD","Period=FQ","BEST_FPERIOD_OVERRIDE=FQ","FILING_STATUS=MR","FA_ADJUSTED=GAAP","Sort=A","Dates=H","DateFormat=P","Fill=—","Direction=H","UseDPDF=Y")</f>
        <v>-16.165400000000002</v>
      </c>
      <c r="T70" s="14">
        <f>_xll.BDH("AMGN US Equity","OPERATING_INCOME_SEQ_GROWTH","FQ1 2023","FQ1 2023","Currency=USD","Period=FQ","BEST_FPERIOD_OVERRIDE=FQ","FILING_STATUS=MR","FA_ADJUSTED=GAAP","Sort=A","Dates=H","DateFormat=P","Fill=—","Direction=H","UseDPDF=Y")</f>
        <v>-13.8565</v>
      </c>
      <c r="U70" s="14">
        <f>_xll.BDH("AMGN US Equity","OPERATING_INCOME_SEQ_GROWTH","FQ2 2023","FQ2 2023","Currency=USD","Period=FQ","BEST_FPERIOD_OVERRIDE=FQ","FILING_STATUS=MR","FA_ADJUSTED=GAAP","Sort=A","Dates=H","DateFormat=P","Fill=—","Direction=H","UseDPDF=Y")</f>
        <v>39.718899999999998</v>
      </c>
      <c r="V70" s="14">
        <f>_xll.BDH("AMGN US Equity","OPERATING_INCOME_SEQ_GROWTH","FQ3 2023","FQ3 2023","Currency=USD","Period=FQ","BEST_FPERIOD_OVERRIDE=FQ","FILING_STATUS=MR","FA_ADJUSTED=GAAP","Sort=A","Dates=H","DateFormat=P","Fill=—","Direction=H","UseDPDF=Y")</f>
        <v>-24.701899999999998</v>
      </c>
      <c r="W70" s="14">
        <f>_xll.BDH("AMGN US Equity","OPERATING_INCOME_SEQ_GROWTH","FQ4 2023","FQ4 2023","Currency=USD","Period=FQ","BEST_FPERIOD_OVERRIDE=FQ","FILING_STATUS=MR","FA_ADJUSTED=GAAP","Sort=A","Dates=H","DateFormat=P","Fill=—","Direction=H","UseDPDF=Y")</f>
        <v>-37.110300000000002</v>
      </c>
      <c r="X70" s="14">
        <f>_xll.BDH("AMGN US Equity","OPERATING_INCOME_SEQ_GROWTH","FQ1 2024","FQ1 2024","Currency=USD","Period=FQ","BEST_FPERIOD_OVERRIDE=FQ","FILING_STATUS=MR","FA_ADJUSTED=GAAP","Sort=A","Dates=H","DateFormat=P","Fill=—","Direction=H","UseDPDF=Y")</f>
        <v>-22.029900000000001</v>
      </c>
      <c r="Y70" s="14">
        <f>_xll.BDH("AMGN US Equity","OPERATING_INCOME_SEQ_GROWTH","FQ2 2024","FQ2 2024","Currency=USD","Period=FQ","BEST_FPERIOD_OVERRIDE=FQ","FILING_STATUS=MR","FA_ADJUSTED=GAAP","Sort=A","Dates=H","DateFormat=P","Fill=—","Direction=H","UseDPDF=Y")</f>
        <v>92.633700000000005</v>
      </c>
      <c r="Z70" s="14">
        <f>_xll.BDH("AMGN US Equity","OPERATING_INCOME_SEQ_GROWTH","FQ3 2024","FQ3 2024","Currency=USD","Period=FQ","BEST_FPERIOD_OVERRIDE=FQ","FILING_STATUS=MR","FA_ADJUSTED=GAAP","Sort=A","Dates=H","DateFormat=P","Fill=—","Direction=H","UseDPDF=Y")</f>
        <v>7.2289000000000003</v>
      </c>
      <c r="AA70" s="14">
        <f>_xll.BDH("AMGN US Equity","OPERATING_INCOME_SEQ_GROWTH","FQ4 2024","FQ4 2024","Currency=USD","Period=FQ","BEST_FPERIOD_OVERRIDE=FQ","FILING_STATUS=MR","FA_ADJUSTED=GAAP","Sort=A","Dates=H","DateFormat=P","Fill=—","Direction=H","UseDPDF=Y")</f>
        <v>12.8969</v>
      </c>
    </row>
    <row r="71" spans="1:27" x14ac:dyDescent="0.25">
      <c r="A71" s="10" t="s">
        <v>100</v>
      </c>
      <c r="B71" s="10" t="s">
        <v>1539</v>
      </c>
      <c r="C71" s="14">
        <f>_xll.BDH("AMGN US Equity","NET_INCOME_TO_COMMON_SEQ_GROWTH","FQ4 2018","FQ4 2018","Currency=USD","Period=FQ","BEST_FPERIOD_OVERRIDE=FQ","FILING_STATUS=MR","FA_ADJUSTED=GAAP","Sort=A","Dates=H","DateFormat=P","Fill=—","Direction=H","UseDPDF=Y")</f>
        <v>3.7117</v>
      </c>
      <c r="D71" s="14">
        <f>_xll.BDH("AMGN US Equity","NET_INCOME_TO_COMMON_SEQ_GROWTH","FQ1 2019","FQ1 2019","Currency=USD","Period=FQ","BEST_FPERIOD_OVERRIDE=FQ","FILING_STATUS=MR","FA_ADJUSTED=GAAP","Sort=A","Dates=H","DateFormat=P","Fill=—","Direction=H","UseDPDF=Y")</f>
        <v>3.3195000000000001</v>
      </c>
      <c r="E71" s="14">
        <f>_xll.BDH("AMGN US Equity","NET_INCOME_TO_COMMON_SEQ_GROWTH","FQ2 2019","FQ2 2019","Currency=USD","Period=FQ","BEST_FPERIOD_OVERRIDE=FQ","FILING_STATUS=MR","FA_ADJUSTED=GAAP","Sort=A","Dates=H","DateFormat=P","Fill=—","Direction=H","UseDPDF=Y")</f>
        <v>9.3876000000000008</v>
      </c>
      <c r="F71" s="14">
        <f>_xll.BDH("AMGN US Equity","NET_INCOME_TO_COMMON_SEQ_GROWTH","FQ3 2019","FQ3 2019","Currency=USD","Period=FQ","BEST_FPERIOD_OVERRIDE=FQ","FILING_STATUS=MR","FA_ADJUSTED=GAAP","Sort=A","Dates=H","DateFormat=P","Fill=—","Direction=H","UseDPDF=Y")</f>
        <v>-9.6832999999999991</v>
      </c>
      <c r="G71" s="14">
        <f>_xll.BDH("AMGN US Equity","NET_INCOME_TO_COMMON_SEQ_GROWTH","FQ4 2019","FQ4 2019","Currency=USD","Period=FQ","BEST_FPERIOD_OVERRIDE=FQ","FILING_STATUS=MR","FA_ADJUSTED=GAAP","Sort=A","Dates=H","DateFormat=P","Fill=—","Direction=H","UseDPDF=Y")</f>
        <v>-13.465400000000001</v>
      </c>
      <c r="H71" s="14">
        <f>_xll.BDH("AMGN US Equity","NET_INCOME_TO_COMMON_SEQ_GROWTH","FQ1 2020","FQ1 2020","Currency=USD","Period=FQ","BEST_FPERIOD_OVERRIDE=FQ","FILING_STATUS=MR","FA_ADJUSTED=GAAP","Sort=A","Dates=H","DateFormat=P","Fill=—","Direction=H","UseDPDF=Y")</f>
        <v>7.1638000000000002</v>
      </c>
      <c r="I71" s="14">
        <f>_xll.BDH("AMGN US Equity","NET_INCOME_TO_COMMON_SEQ_GROWTH","FQ2 2020","FQ2 2020","Currency=USD","Period=FQ","BEST_FPERIOD_OVERRIDE=FQ","FILING_STATUS=MR","FA_ADJUSTED=GAAP","Sort=A","Dates=H","DateFormat=P","Fill=—","Direction=H","UseDPDF=Y")</f>
        <v>-1.2055</v>
      </c>
      <c r="J71" s="14">
        <f>_xll.BDH("AMGN US Equity","NET_INCOME_TO_COMMON_SEQ_GROWTH","FQ3 2020","FQ3 2020","Currency=USD","Period=FQ","BEST_FPERIOD_OVERRIDE=FQ","FILING_STATUS=MR","FA_ADJUSTED=GAAP","Sort=A","Dates=H","DateFormat=P","Fill=—","Direction=H","UseDPDF=Y")</f>
        <v>12.090999999999999</v>
      </c>
      <c r="K71" s="14">
        <f>_xll.BDH("AMGN US Equity","NET_INCOME_TO_COMMON_SEQ_GROWTH","FQ4 2020","FQ4 2020","Currency=USD","Period=FQ","BEST_FPERIOD_OVERRIDE=FQ","FILING_STATUS=MR","FA_ADJUSTED=GAAP","Sort=A","Dates=H","DateFormat=P","Fill=—","Direction=H","UseDPDF=Y")</f>
        <v>-20.089099999999998</v>
      </c>
      <c r="L71" s="14">
        <f>_xll.BDH("AMGN US Equity","NET_INCOME_TO_COMMON_SEQ_GROWTH","FQ1 2021","FQ1 2021","Currency=USD","Period=FQ","BEST_FPERIOD_OVERRIDE=FQ","FILING_STATUS=MR","FA_ADJUSTED=GAAP","Sort=A","Dates=H","DateFormat=P","Fill=—","Direction=H","UseDPDF=Y")</f>
        <v>1.9195</v>
      </c>
      <c r="M71" s="14">
        <f>_xll.BDH("AMGN US Equity","NET_INCOME_TO_COMMON_SEQ_GROWTH","FQ2 2021","FQ2 2021","Currency=USD","Period=FQ","BEST_FPERIOD_OVERRIDE=FQ","FILING_STATUS=MR","FA_ADJUSTED=GAAP","Sort=A","Dates=H","DateFormat=P","Fill=—","Direction=H","UseDPDF=Y")</f>
        <v>-71.810400000000001</v>
      </c>
      <c r="N71" s="14">
        <f>_xll.BDH("AMGN US Equity","NET_INCOME_TO_COMMON_SEQ_GROWTH","FQ3 2021","FQ3 2021","Currency=USD","Period=FQ","BEST_FPERIOD_OVERRIDE=FQ","FILING_STATUS=MR","FA_ADJUSTED=GAAP","Sort=A","Dates=H","DateFormat=P","Fill=—","Direction=H","UseDPDF=Y")</f>
        <v>306.03449999999998</v>
      </c>
      <c r="O71" s="14">
        <f>_xll.BDH("AMGN US Equity","NET_INCOME_TO_COMMON_SEQ_GROWTH","FQ4 2021","FQ4 2021","Currency=USD","Period=FQ","BEST_FPERIOD_OVERRIDE=FQ","FILING_STATUS=MR","FA_ADJUSTED=GAAP","Sort=A","Dates=H","DateFormat=P","Fill=—","Direction=H","UseDPDF=Y")</f>
        <v>0.79620000000000002</v>
      </c>
      <c r="P71" s="14">
        <f>_xll.BDH("AMGN US Equity","NET_INCOME_TO_COMMON_SEQ_GROWTH","FQ1 2022","FQ1 2022","Currency=USD","Period=FQ","BEST_FPERIOD_OVERRIDE=FQ","FILING_STATUS=MR","FA_ADJUSTED=GAAP","Sort=A","Dates=H","DateFormat=P","Fill=—","Direction=H","UseDPDF=Y")</f>
        <v>-22.274899999999999</v>
      </c>
      <c r="Q71" s="14">
        <f>_xll.BDH("AMGN US Equity","NET_INCOME_TO_COMMON_SEQ_GROWTH","FQ2 2022","FQ2 2022","Currency=USD","Period=FQ","BEST_FPERIOD_OVERRIDE=FQ","FILING_STATUS=MR","FA_ADJUSTED=GAAP","Sort=A","Dates=H","DateFormat=P","Fill=—","Direction=H","UseDPDF=Y")</f>
        <v>-10.772399999999999</v>
      </c>
      <c r="R71" s="14">
        <f>_xll.BDH("AMGN US Equity","NET_INCOME_TO_COMMON_SEQ_GROWTH","FQ3 2022","FQ3 2022","Currency=USD","Period=FQ","BEST_FPERIOD_OVERRIDE=FQ","FILING_STATUS=MR","FA_ADJUSTED=GAAP","Sort=A","Dates=H","DateFormat=P","Fill=—","Direction=H","UseDPDF=Y")</f>
        <v>62.718299999999999</v>
      </c>
      <c r="S71" s="14">
        <f>_xll.BDH("AMGN US Equity","NET_INCOME_TO_COMMON_SEQ_GROWTH","FQ4 2022","FQ4 2022","Currency=USD","Period=FQ","BEST_FPERIOD_OVERRIDE=FQ","FILING_STATUS=MR","FA_ADJUSTED=GAAP","Sort=A","Dates=H","DateFormat=P","Fill=—","Direction=H","UseDPDF=Y")</f>
        <v>-24.591699999999999</v>
      </c>
      <c r="T71" s="14">
        <f>_xll.BDH("AMGN US Equity","NET_INCOME_TO_COMMON_SEQ_GROWTH","FQ1 2023","FQ1 2023","Currency=USD","Period=FQ","BEST_FPERIOD_OVERRIDE=FQ","FILING_STATUS=MR","FA_ADJUSTED=GAAP","Sort=A","Dates=H","DateFormat=P","Fill=—","Direction=H","UseDPDF=Y")</f>
        <v>75.804500000000004</v>
      </c>
      <c r="U71" s="14">
        <f>_xll.BDH("AMGN US Equity","NET_INCOME_TO_COMMON_SEQ_GROWTH","FQ2 2023","FQ2 2023","Currency=USD","Period=FQ","BEST_FPERIOD_OVERRIDE=FQ","FILING_STATUS=MR","FA_ADJUSTED=GAAP","Sort=A","Dates=H","DateFormat=P","Fill=—","Direction=H","UseDPDF=Y")</f>
        <v>-51.460799999999999</v>
      </c>
      <c r="V71" s="14">
        <f>_xll.BDH("AMGN US Equity","NET_INCOME_TO_COMMON_SEQ_GROWTH","FQ3 2023","FQ3 2023","Currency=USD","Period=FQ","BEST_FPERIOD_OVERRIDE=FQ","FILING_STATUS=MR","FA_ADJUSTED=GAAP","Sort=A","Dates=H","DateFormat=P","Fill=—","Direction=H","UseDPDF=Y")</f>
        <v>25.453199999999999</v>
      </c>
      <c r="W71" s="14">
        <f>_xll.BDH("AMGN US Equity","NET_INCOME_TO_COMMON_SEQ_GROWTH","FQ4 2023","FQ4 2023","Currency=USD","Period=FQ","BEST_FPERIOD_OVERRIDE=FQ","FILING_STATUS=MR","FA_ADJUSTED=GAAP","Sort=A","Dates=H","DateFormat=P","Fill=—","Direction=H","UseDPDF=Y")</f>
        <v>-55.664700000000003</v>
      </c>
      <c r="X71" s="14">
        <f>_xll.BDH("AMGN US Equity","NET_INCOME_TO_COMMON_SEQ_GROWTH","FQ1 2024","FQ1 2024","Currency=USD","Period=FQ","BEST_FPERIOD_OVERRIDE=FQ","FILING_STATUS=MR","FA_ADJUSTED=GAAP","Sort=A","Dates=H","DateFormat=P","Fill=—","Direction=H","UseDPDF=Y")</f>
        <v>-114.73269999999999</v>
      </c>
      <c r="Y71" s="14" t="str">
        <f>_xll.BDH("AMGN US Equity","NET_INCOME_TO_COMMON_SEQ_GROWTH","FQ2 2024","FQ2 2024","Currency=USD","Period=FQ","BEST_FPERIOD_OVERRIDE=FQ","FILING_STATUS=MR","FA_ADJUSTED=GAAP","Sort=A","Dates=H","DateFormat=P","Fill=—","Direction=H","UseDPDF=Y")</f>
        <v>—</v>
      </c>
      <c r="Z71" s="14">
        <f>_xll.BDH("AMGN US Equity","NET_INCOME_TO_COMMON_SEQ_GROWTH","FQ3 2024","FQ3 2024","Currency=USD","Period=FQ","BEST_FPERIOD_OVERRIDE=FQ","FILING_STATUS=MR","FA_ADJUSTED=GAAP","Sort=A","Dates=H","DateFormat=P","Fill=—","Direction=H","UseDPDF=Y")</f>
        <v>279.35660000000001</v>
      </c>
      <c r="AA71" s="14">
        <f>_xll.BDH("AMGN US Equity","NET_INCOME_TO_COMMON_SEQ_GROWTH","FQ4 2024","FQ4 2024","Currency=USD","Period=FQ","BEST_FPERIOD_OVERRIDE=FQ","FILING_STATUS=MR","FA_ADJUSTED=GAAP","Sort=A","Dates=H","DateFormat=P","Fill=—","Direction=H","UseDPDF=Y")</f>
        <v>-77.844499999999996</v>
      </c>
    </row>
    <row r="72" spans="1:27" x14ac:dyDescent="0.25">
      <c r="A72" s="10" t="s">
        <v>1469</v>
      </c>
      <c r="B72" s="10" t="s">
        <v>1540</v>
      </c>
      <c r="C72" s="14">
        <f>_xll.BDH("AMGN US Equity","EPS_DILUTED_SEQUENTIAL_GROWTH","FQ4 2018","FQ4 2018","Currency=USD","Period=FQ","BEST_FPERIOD_OVERRIDE=FQ","FILING_STATUS=MR","FA_ADJUSTED=GAAP","Sort=A","Dates=H","DateFormat=P","Fill=—","Direction=H","UseDPDF=Y")</f>
        <v>5.2447999999999997</v>
      </c>
      <c r="D72" s="14">
        <f>_xll.BDH("AMGN US Equity","EPS_DILUTED_SEQUENTIAL_GROWTH","FQ1 2019","FQ1 2019","Currency=USD","Period=FQ","BEST_FPERIOD_OVERRIDE=FQ","FILING_STATUS=MR","FA_ADJUSTED=GAAP","Sort=A","Dates=H","DateFormat=P","Fill=—","Direction=H","UseDPDF=Y")</f>
        <v>5.6478000000000002</v>
      </c>
      <c r="E72" s="14">
        <f>_xll.BDH("AMGN US Equity","EPS_DILUTED_SEQUENTIAL_GROWTH","FQ2 2019","FQ2 2019","Currency=USD","Period=FQ","BEST_FPERIOD_OVERRIDE=FQ","FILING_STATUS=MR","FA_ADJUSTED=GAAP","Sort=A","Dates=H","DateFormat=P","Fill=—","Direction=H","UseDPDF=Y")</f>
        <v>12.264200000000001</v>
      </c>
      <c r="F72" s="14">
        <f>_xll.BDH("AMGN US Equity","EPS_DILUTED_SEQUENTIAL_GROWTH","FQ3 2019","FQ3 2019","Currency=USD","Period=FQ","BEST_FPERIOD_OVERRIDE=FQ","FILING_STATUS=MR","FA_ADJUSTED=GAAP","Sort=A","Dates=H","DateFormat=P","Fill=—","Direction=H","UseDPDF=Y")</f>
        <v>-8.4033999999999995</v>
      </c>
      <c r="G72" s="14">
        <f>_xll.BDH("AMGN US Equity","EPS_DILUTED_SEQUENTIAL_GROWTH","FQ4 2019","FQ4 2019","Currency=USD","Period=FQ","BEST_FPERIOD_OVERRIDE=FQ","FILING_STATUS=MR","FA_ADJUSTED=GAAP","Sort=A","Dates=H","DateFormat=P","Fill=—","Direction=H","UseDPDF=Y")</f>
        <v>-12.843999999999999</v>
      </c>
      <c r="H72" s="14">
        <f>_xll.BDH("AMGN US Equity","EPS_DILUTED_SEQUENTIAL_GROWTH","FQ1 2020","FQ1 2020","Currency=USD","Period=FQ","BEST_FPERIOD_OVERRIDE=FQ","FILING_STATUS=MR","FA_ADJUSTED=GAAP","Sort=A","Dates=H","DateFormat=P","Fill=—","Direction=H","UseDPDF=Y")</f>
        <v>7.7192999999999996</v>
      </c>
      <c r="I72" s="14">
        <f>_xll.BDH("AMGN US Equity","EPS_DILUTED_SEQUENTIAL_GROWTH","FQ2 2020","FQ2 2020","Currency=USD","Period=FQ","BEST_FPERIOD_OVERRIDE=FQ","FILING_STATUS=MR","FA_ADJUSTED=GAAP","Sort=A","Dates=H","DateFormat=P","Fill=—","Direction=H","UseDPDF=Y")</f>
        <v>-0.65149999999999997</v>
      </c>
      <c r="J72" s="14">
        <f>_xll.BDH("AMGN US Equity","EPS_DILUTED_SEQUENTIAL_GROWTH","FQ3 2020","FQ3 2020","Currency=USD","Period=FQ","BEST_FPERIOD_OVERRIDE=FQ","FILING_STATUS=MR","FA_ADJUSTED=GAAP","Sort=A","Dates=H","DateFormat=P","Fill=—","Direction=H","UseDPDF=Y")</f>
        <v>12.459</v>
      </c>
      <c r="K72" s="14">
        <f>_xll.BDH("AMGN US Equity","EPS_DILUTED_SEQUENTIAL_GROWTH","FQ4 2020","FQ4 2020","Currency=USD","Period=FQ","BEST_FPERIOD_OVERRIDE=FQ","FILING_STATUS=MR","FA_ADJUSTED=GAAP","Sort=A","Dates=H","DateFormat=P","Fill=—","Direction=H","UseDPDF=Y")</f>
        <v>-19.5335</v>
      </c>
      <c r="L72" s="14">
        <f>_xll.BDH("AMGN US Equity","EPS_DILUTED_SEQUENTIAL_GROWTH","FQ1 2021","FQ1 2021","Currency=USD","Period=FQ","BEST_FPERIOD_OVERRIDE=FQ","FILING_STATUS=MR","FA_ADJUSTED=GAAP","Sort=A","Dates=H","DateFormat=P","Fill=—","Direction=H","UseDPDF=Y")</f>
        <v>2.5362</v>
      </c>
      <c r="M72" s="14">
        <f>_xll.BDH("AMGN US Equity","EPS_DILUTED_SEQUENTIAL_GROWTH","FQ2 2021","FQ2 2021","Currency=USD","Period=FQ","BEST_FPERIOD_OVERRIDE=FQ","FILING_STATUS=MR","FA_ADJUSTED=GAAP","Sort=A","Dates=H","DateFormat=P","Fill=—","Direction=H","UseDPDF=Y")</f>
        <v>-71.378100000000003</v>
      </c>
      <c r="N72" s="14">
        <f>_xll.BDH("AMGN US Equity","EPS_DILUTED_SEQUENTIAL_GROWTH","FQ3 2021","FQ3 2021","Currency=USD","Period=FQ","BEST_FPERIOD_OVERRIDE=FQ","FILING_STATUS=MR","FA_ADJUSTED=GAAP","Sort=A","Dates=H","DateFormat=P","Fill=—","Direction=H","UseDPDF=Y")</f>
        <v>308.642</v>
      </c>
      <c r="O72" s="14">
        <f>_xll.BDH("AMGN US Equity","EPS_DILUTED_SEQUENTIAL_GROWTH","FQ4 2021","FQ4 2021","Currency=USD","Period=FQ","BEST_FPERIOD_OVERRIDE=FQ","FILING_STATUS=MR","FA_ADJUSTED=GAAP","Sort=A","Dates=H","DateFormat=P","Fill=—","Direction=H","UseDPDF=Y")</f>
        <v>1.5105999999999999</v>
      </c>
      <c r="P72" s="14">
        <f>_xll.BDH("AMGN US Equity","EPS_DILUTED_SEQUENTIAL_GROWTH","FQ1 2022","FQ1 2022","Currency=USD","Period=FQ","BEST_FPERIOD_OVERRIDE=FQ","FILING_STATUS=MR","FA_ADJUSTED=GAAP","Sort=A","Dates=H","DateFormat=P","Fill=—","Direction=H","UseDPDF=Y")</f>
        <v>-20.238099999999999</v>
      </c>
      <c r="Q72" s="14">
        <f>_xll.BDH("AMGN US Equity","EPS_DILUTED_SEQUENTIAL_GROWTH","FQ2 2022","FQ2 2022","Currency=USD","Period=FQ","BEST_FPERIOD_OVERRIDE=FQ","FILING_STATUS=MR","FA_ADJUSTED=GAAP","Sort=A","Dates=H","DateFormat=P","Fill=—","Direction=H","UseDPDF=Y")</f>
        <v>-8.5821000000000005</v>
      </c>
      <c r="R72" s="14">
        <f>_xll.BDH("AMGN US Equity","EPS_DILUTED_SEQUENTIAL_GROWTH","FQ3 2022","FQ3 2022","Currency=USD","Period=FQ","BEST_FPERIOD_OVERRIDE=FQ","FILING_STATUS=MR","FA_ADJUSTED=GAAP","Sort=A","Dates=H","DateFormat=P","Fill=—","Direction=H","UseDPDF=Y")</f>
        <v>62.448999999999998</v>
      </c>
      <c r="S72" s="14">
        <f>_xll.BDH("AMGN US Equity","EPS_DILUTED_SEQUENTIAL_GROWTH","FQ4 2022","FQ4 2022","Currency=USD","Period=FQ","BEST_FPERIOD_OVERRIDE=FQ","FILING_STATUS=MR","FA_ADJUSTED=GAAP","Sort=A","Dates=H","DateFormat=P","Fill=—","Direction=H","UseDPDF=Y")</f>
        <v>-24.623100000000001</v>
      </c>
      <c r="T72" s="14">
        <f>_xll.BDH("AMGN US Equity","EPS_DILUTED_SEQUENTIAL_GROWTH","FQ1 2023","FQ1 2023","Currency=USD","Period=FQ","BEST_FPERIOD_OVERRIDE=FQ","FILING_STATUS=MR","FA_ADJUSTED=GAAP","Sort=A","Dates=H","DateFormat=P","Fill=—","Direction=H","UseDPDF=Y")</f>
        <v>76</v>
      </c>
      <c r="U72" s="14">
        <f>_xll.BDH("AMGN US Equity","EPS_DILUTED_SEQUENTIAL_GROWTH","FQ2 2023","FQ2 2023","Currency=USD","Period=FQ","BEST_FPERIOD_OVERRIDE=FQ","FILING_STATUS=MR","FA_ADJUSTED=GAAP","Sort=A","Dates=H","DateFormat=P","Fill=—","Direction=H","UseDPDF=Y")</f>
        <v>-51.325800000000001</v>
      </c>
      <c r="V72" s="14">
        <f>_xll.BDH("AMGN US Equity","EPS_DILUTED_SEQUENTIAL_GROWTH","FQ3 2023","FQ3 2023","Currency=USD","Period=FQ","BEST_FPERIOD_OVERRIDE=FQ","FILING_STATUS=MR","FA_ADJUSTED=GAAP","Sort=A","Dates=H","DateFormat=P","Fill=—","Direction=H","UseDPDF=Y")</f>
        <v>25.291799999999999</v>
      </c>
      <c r="W72" s="14">
        <f>_xll.BDH("AMGN US Equity","EPS_DILUTED_SEQUENTIAL_GROWTH","FQ4 2023","FQ4 2023","Currency=USD","Period=FQ","BEST_FPERIOD_OVERRIDE=FQ","FILING_STATUS=MR","FA_ADJUSTED=GAAP","Sort=A","Dates=H","DateFormat=P","Fill=—","Direction=H","UseDPDF=Y")</f>
        <v>-55.900599999999997</v>
      </c>
      <c r="X72" s="14">
        <f>_xll.BDH("AMGN US Equity","EPS_DILUTED_SEQUENTIAL_GROWTH","FQ1 2024","FQ1 2024","Currency=USD","Period=FQ","BEST_FPERIOD_OVERRIDE=FQ","FILING_STATUS=MR","FA_ADJUSTED=GAAP","Sort=A","Dates=H","DateFormat=P","Fill=—","Direction=H","UseDPDF=Y")</f>
        <v>-114.78870000000001</v>
      </c>
      <c r="Y72" s="14" t="str">
        <f>_xll.BDH("AMGN US Equity","EPS_DILUTED_SEQUENTIAL_GROWTH","FQ2 2024","FQ2 2024","Currency=USD","Period=FQ","BEST_FPERIOD_OVERRIDE=FQ","FILING_STATUS=MR","FA_ADJUSTED=GAAP","Sort=A","Dates=H","DateFormat=P","Fill=—","Direction=H","UseDPDF=Y")</f>
        <v>—</v>
      </c>
      <c r="Z72" s="14">
        <f>_xll.BDH("AMGN US Equity","EPS_DILUTED_SEQUENTIAL_GROWTH","FQ3 2024","FQ3 2024","Currency=USD","Period=FQ","BEST_FPERIOD_OVERRIDE=FQ","FILING_STATUS=MR","FA_ADJUSTED=GAAP","Sort=A","Dates=H","DateFormat=P","Fill=—","Direction=H","UseDPDF=Y")</f>
        <v>278.26089999999999</v>
      </c>
      <c r="AA72" s="14">
        <f>_xll.BDH("AMGN US Equity","EPS_DILUTED_SEQUENTIAL_GROWTH","FQ4 2024","FQ4 2024","Currency=USD","Period=FQ","BEST_FPERIOD_OVERRIDE=FQ","FILING_STATUS=MR","FA_ADJUSTED=GAAP","Sort=A","Dates=H","DateFormat=P","Fill=—","Direction=H","UseDPDF=Y")</f>
        <v>-77.777799999999999</v>
      </c>
    </row>
    <row r="73" spans="1:27" x14ac:dyDescent="0.25">
      <c r="A73" s="10" t="s">
        <v>1470</v>
      </c>
      <c r="B73" s="10" t="s">
        <v>1541</v>
      </c>
      <c r="C73" s="14">
        <f>_xll.BDH("AMGN US Equity","EPS_DIL_BEF_EXTRAORD_SEQ_GRWTH","FQ4 2018","FQ4 2018","Currency=USD","Period=FQ","BEST_FPERIOD_OVERRIDE=FQ","FILING_STATUS=MR","Sort=A","Dates=H","DateFormat=P","Fill=—","Direction=H","UseDPDF=Y")</f>
        <v>5.2447999999999997</v>
      </c>
      <c r="D73" s="14">
        <f>_xll.BDH("AMGN US Equity","EPS_DIL_BEF_EXTRAORD_SEQ_GRWTH","FQ1 2019","FQ1 2019","Currency=USD","Period=FQ","BEST_FPERIOD_OVERRIDE=FQ","FILING_STATUS=MR","Sort=A","Dates=H","DateFormat=P","Fill=—","Direction=H","UseDPDF=Y")</f>
        <v>5.6478000000000002</v>
      </c>
      <c r="E73" s="14">
        <f>_xll.BDH("AMGN US Equity","EPS_DIL_BEF_EXTRAORD_SEQ_GRWTH","FQ2 2019","FQ2 2019","Currency=USD","Period=FQ","BEST_FPERIOD_OVERRIDE=FQ","FILING_STATUS=MR","Sort=A","Dates=H","DateFormat=P","Fill=—","Direction=H","UseDPDF=Y")</f>
        <v>12.264200000000001</v>
      </c>
      <c r="F73" s="14">
        <f>_xll.BDH("AMGN US Equity","EPS_DIL_BEF_EXTRAORD_SEQ_GRWTH","FQ3 2019","FQ3 2019","Currency=USD","Period=FQ","BEST_FPERIOD_OVERRIDE=FQ","FILING_STATUS=MR","Sort=A","Dates=H","DateFormat=P","Fill=—","Direction=H","UseDPDF=Y")</f>
        <v>-8.4033999999999995</v>
      </c>
      <c r="G73" s="14">
        <f>_xll.BDH("AMGN US Equity","EPS_DIL_BEF_EXTRAORD_SEQ_GRWTH","FQ4 2019","FQ4 2019","Currency=USD","Period=FQ","BEST_FPERIOD_OVERRIDE=FQ","FILING_STATUS=MR","Sort=A","Dates=H","DateFormat=P","Fill=—","Direction=H","UseDPDF=Y")</f>
        <v>-12.843999999999999</v>
      </c>
      <c r="H73" s="14">
        <f>_xll.BDH("AMGN US Equity","EPS_DIL_BEF_EXTRAORD_SEQ_GRWTH","FQ1 2020","FQ1 2020","Currency=USD","Period=FQ","BEST_FPERIOD_OVERRIDE=FQ","FILING_STATUS=MR","Sort=A","Dates=H","DateFormat=P","Fill=—","Direction=H","UseDPDF=Y")</f>
        <v>7.7192999999999996</v>
      </c>
      <c r="I73" s="14">
        <f>_xll.BDH("AMGN US Equity","EPS_DIL_BEF_EXTRAORD_SEQ_GRWTH","FQ2 2020","FQ2 2020","Currency=USD","Period=FQ","BEST_FPERIOD_OVERRIDE=FQ","FILING_STATUS=MR","Sort=A","Dates=H","DateFormat=P","Fill=—","Direction=H","UseDPDF=Y")</f>
        <v>-0.65149999999999997</v>
      </c>
      <c r="J73" s="14">
        <f>_xll.BDH("AMGN US Equity","EPS_DIL_BEF_EXTRAORD_SEQ_GRWTH","FQ3 2020","FQ3 2020","Currency=USD","Period=FQ","BEST_FPERIOD_OVERRIDE=FQ","FILING_STATUS=MR","Sort=A","Dates=H","DateFormat=P","Fill=—","Direction=H","UseDPDF=Y")</f>
        <v>12.459</v>
      </c>
      <c r="K73" s="14">
        <f>_xll.BDH("AMGN US Equity","EPS_DIL_BEF_EXTRAORD_SEQ_GRWTH","FQ4 2020","FQ4 2020","Currency=USD","Period=FQ","BEST_FPERIOD_OVERRIDE=FQ","FILING_STATUS=MR","Sort=A","Dates=H","DateFormat=P","Fill=—","Direction=H","UseDPDF=Y")</f>
        <v>-19.5335</v>
      </c>
      <c r="L73" s="14">
        <f>_xll.BDH("AMGN US Equity","EPS_DIL_BEF_EXTRAORD_SEQ_GRWTH","FQ1 2021","FQ1 2021","Currency=USD","Period=FQ","BEST_FPERIOD_OVERRIDE=FQ","FILING_STATUS=MR","Sort=A","Dates=H","DateFormat=P","Fill=—","Direction=H","UseDPDF=Y")</f>
        <v>2.5362</v>
      </c>
      <c r="M73" s="14">
        <f>_xll.BDH("AMGN US Equity","EPS_DIL_BEF_EXTRAORD_SEQ_GRWTH","FQ2 2021","FQ2 2021","Currency=USD","Period=FQ","BEST_FPERIOD_OVERRIDE=FQ","FILING_STATUS=MR","Sort=A","Dates=H","DateFormat=P","Fill=—","Direction=H","UseDPDF=Y")</f>
        <v>-71.378100000000003</v>
      </c>
      <c r="N73" s="14">
        <f>_xll.BDH("AMGN US Equity","EPS_DIL_BEF_EXTRAORD_SEQ_GRWTH","FQ3 2021","FQ3 2021","Currency=USD","Period=FQ","BEST_FPERIOD_OVERRIDE=FQ","FILING_STATUS=MR","Sort=A","Dates=H","DateFormat=P","Fill=—","Direction=H","UseDPDF=Y")</f>
        <v>308.642</v>
      </c>
      <c r="O73" s="14">
        <f>_xll.BDH("AMGN US Equity","EPS_DIL_BEF_EXTRAORD_SEQ_GRWTH","FQ4 2021","FQ4 2021","Currency=USD","Period=FQ","BEST_FPERIOD_OVERRIDE=FQ","FILING_STATUS=MR","Sort=A","Dates=H","DateFormat=P","Fill=—","Direction=H","UseDPDF=Y")</f>
        <v>1.5105999999999999</v>
      </c>
      <c r="P73" s="14">
        <f>_xll.BDH("AMGN US Equity","EPS_DIL_BEF_EXTRAORD_SEQ_GRWTH","FQ1 2022","FQ1 2022","Currency=USD","Period=FQ","BEST_FPERIOD_OVERRIDE=FQ","FILING_STATUS=MR","Sort=A","Dates=H","DateFormat=P","Fill=—","Direction=H","UseDPDF=Y")</f>
        <v>-20.238099999999999</v>
      </c>
      <c r="Q73" s="14">
        <f>_xll.BDH("AMGN US Equity","EPS_DIL_BEF_EXTRAORD_SEQ_GRWTH","FQ2 2022","FQ2 2022","Currency=USD","Period=FQ","BEST_FPERIOD_OVERRIDE=FQ","FILING_STATUS=MR","Sort=A","Dates=H","DateFormat=P","Fill=—","Direction=H","UseDPDF=Y")</f>
        <v>-8.5821000000000005</v>
      </c>
      <c r="R73" s="14">
        <f>_xll.BDH("AMGN US Equity","EPS_DIL_BEF_EXTRAORD_SEQ_GRWTH","FQ3 2022","FQ3 2022","Currency=USD","Period=FQ","BEST_FPERIOD_OVERRIDE=FQ","FILING_STATUS=MR","Sort=A","Dates=H","DateFormat=P","Fill=—","Direction=H","UseDPDF=Y")</f>
        <v>62.448999999999998</v>
      </c>
      <c r="S73" s="14">
        <f>_xll.BDH("AMGN US Equity","EPS_DIL_BEF_EXTRAORD_SEQ_GRWTH","FQ4 2022","FQ4 2022","Currency=USD","Period=FQ","BEST_FPERIOD_OVERRIDE=FQ","FILING_STATUS=MR","Sort=A","Dates=H","DateFormat=P","Fill=—","Direction=H","UseDPDF=Y")</f>
        <v>-24.623100000000001</v>
      </c>
      <c r="T73" s="14">
        <f>_xll.BDH("AMGN US Equity","EPS_DIL_BEF_EXTRAORD_SEQ_GRWTH","FQ1 2023","FQ1 2023","Currency=USD","Period=FQ","BEST_FPERIOD_OVERRIDE=FQ","FILING_STATUS=MR","Sort=A","Dates=H","DateFormat=P","Fill=—","Direction=H","UseDPDF=Y")</f>
        <v>76</v>
      </c>
      <c r="U73" s="14">
        <f>_xll.BDH("AMGN US Equity","EPS_DIL_BEF_EXTRAORD_SEQ_GRWTH","FQ2 2023","FQ2 2023","Currency=USD","Period=FQ","BEST_FPERIOD_OVERRIDE=FQ","FILING_STATUS=MR","Sort=A","Dates=H","DateFormat=P","Fill=—","Direction=H","UseDPDF=Y")</f>
        <v>-51.325800000000001</v>
      </c>
      <c r="V73" s="14">
        <f>_xll.BDH("AMGN US Equity","EPS_DIL_BEF_EXTRAORD_SEQ_GRWTH","FQ3 2023","FQ3 2023","Currency=USD","Period=FQ","BEST_FPERIOD_OVERRIDE=FQ","FILING_STATUS=MR","Sort=A","Dates=H","DateFormat=P","Fill=—","Direction=H","UseDPDF=Y")</f>
        <v>25.291799999999999</v>
      </c>
      <c r="W73" s="14">
        <f>_xll.BDH("AMGN US Equity","EPS_DIL_BEF_EXTRAORD_SEQ_GRWTH","FQ4 2023","FQ4 2023","Currency=USD","Period=FQ","BEST_FPERIOD_OVERRIDE=FQ","FILING_STATUS=MR","Sort=A","Dates=H","DateFormat=P","Fill=—","Direction=H","UseDPDF=Y")</f>
        <v>-55.900599999999997</v>
      </c>
      <c r="X73" s="14">
        <f>_xll.BDH("AMGN US Equity","EPS_DIL_BEF_EXTRAORD_SEQ_GRWTH","FQ1 2024","FQ1 2024","Currency=USD","Period=FQ","BEST_FPERIOD_OVERRIDE=FQ","FILING_STATUS=MR","Sort=A","Dates=H","DateFormat=P","Fill=—","Direction=H","UseDPDF=Y")</f>
        <v>-114.78870000000001</v>
      </c>
      <c r="Y73" s="14" t="str">
        <f>_xll.BDH("AMGN US Equity","EPS_DIL_BEF_EXTRAORD_SEQ_GRWTH","FQ2 2024","FQ2 2024","Currency=USD","Period=FQ","BEST_FPERIOD_OVERRIDE=FQ","FILING_STATUS=MR","Sort=A","Dates=H","DateFormat=P","Fill=—","Direction=H","UseDPDF=Y")</f>
        <v>—</v>
      </c>
      <c r="Z73" s="14">
        <f>_xll.BDH("AMGN US Equity","EPS_DIL_BEF_EXTRAORD_SEQ_GRWTH","FQ3 2024","FQ3 2024","Currency=USD","Period=FQ","BEST_FPERIOD_OVERRIDE=FQ","FILING_STATUS=MR","Sort=A","Dates=H","DateFormat=P","Fill=—","Direction=H","UseDPDF=Y")</f>
        <v>278.26089999999999</v>
      </c>
      <c r="AA73" s="14">
        <f>_xll.BDH("AMGN US Equity","EPS_DIL_BEF_EXTRAORD_SEQ_GRWTH","FQ4 2024","FQ4 2024","Currency=USD","Period=FQ","BEST_FPERIOD_OVERRIDE=FQ","FILING_STATUS=MR","Sort=A","Dates=H","DateFormat=P","Fill=—","Direction=H","UseDPDF=Y")</f>
        <v>-77.777799999999999</v>
      </c>
    </row>
    <row r="74" spans="1:27" x14ac:dyDescent="0.25">
      <c r="A74" s="10" t="s">
        <v>1472</v>
      </c>
      <c r="B74" s="10" t="s">
        <v>1542</v>
      </c>
      <c r="C74" s="14">
        <f>_xll.BDH("AMGN US Equity","EPS_DILUTED_BEF_ABNRML_SEQ_GRWTH","FQ4 2018","FQ4 2018","Currency=USD","Period=FQ","BEST_FPERIOD_OVERRIDE=FQ","FILING_STATUS=MR","Sort=A","Dates=H","DateFormat=P","Fill=—","Direction=H","UseDPDF=Y")</f>
        <v>-8.09</v>
      </c>
      <c r="D74" s="14">
        <f>_xll.BDH("AMGN US Equity","EPS_DILUTED_BEF_ABNRML_SEQ_GRWTH","FQ1 2019","FQ1 2019","Currency=USD","Period=FQ","BEST_FPERIOD_OVERRIDE=FQ","FILING_STATUS=MR","Sort=A","Dates=H","DateFormat=P","Fill=—","Direction=H","UseDPDF=Y")</f>
        <v>5.1079999999999997</v>
      </c>
      <c r="E74" s="14">
        <f>_xll.BDH("AMGN US Equity","EPS_DILUTED_BEF_ABNRML_SEQ_GRWTH","FQ2 2019","FQ2 2019","Currency=USD","Period=FQ","BEST_FPERIOD_OVERRIDE=FQ","FILING_STATUS=MR","Sort=A","Dates=H","DateFormat=P","Fill=—","Direction=H","UseDPDF=Y")</f>
        <v>12.7598</v>
      </c>
      <c r="F74" s="14">
        <f>_xll.BDH("AMGN US Equity","EPS_DILUTED_BEF_ABNRML_SEQ_GRWTH","FQ3 2019","FQ3 2019","Currency=USD","Period=FQ","BEST_FPERIOD_OVERRIDE=FQ","FILING_STATUS=MR","Sort=A","Dates=H","DateFormat=P","Fill=—","Direction=H","UseDPDF=Y")</f>
        <v>-8.7314000000000007</v>
      </c>
      <c r="G74" s="14">
        <f>_xll.BDH("AMGN US Equity","EPS_DILUTED_BEF_ABNRML_SEQ_GRWTH","FQ4 2019","FQ4 2019","Currency=USD","Period=FQ","BEST_FPERIOD_OVERRIDE=FQ","FILING_STATUS=MR","Sort=A","Dates=H","DateFormat=P","Fill=—","Direction=H","UseDPDF=Y")</f>
        <v>-10.273899999999999</v>
      </c>
      <c r="H74" s="14">
        <f>_xll.BDH("AMGN US Equity","EPS_DILUTED_BEF_ABNRML_SEQ_GRWTH","FQ1 2020","FQ1 2020","Currency=USD","Period=FQ","BEST_FPERIOD_OVERRIDE=FQ","FILING_STATUS=MR","Sort=A","Dates=H","DateFormat=P","Fill=—","Direction=H","UseDPDF=Y")</f>
        <v>5.3986999999999998</v>
      </c>
      <c r="I74" s="14">
        <f>_xll.BDH("AMGN US Equity","EPS_DILUTED_BEF_ABNRML_SEQ_GRWTH","FQ2 2020","FQ2 2020","Currency=USD","Period=FQ","BEST_FPERIOD_OVERRIDE=FQ","FILING_STATUS=MR","Sort=A","Dates=H","DateFormat=P","Fill=—","Direction=H","UseDPDF=Y")</f>
        <v>2.1741999999999999</v>
      </c>
      <c r="J74" s="14">
        <f>_xll.BDH("AMGN US Equity","EPS_DILUTED_BEF_ABNRML_SEQ_GRWTH","FQ3 2020","FQ3 2020","Currency=USD","Period=FQ","BEST_FPERIOD_OVERRIDE=FQ","FILING_STATUS=MR","Sort=A","Dates=H","DateFormat=P","Fill=—","Direction=H","UseDPDF=Y")</f>
        <v>37.494100000000003</v>
      </c>
      <c r="K74" s="14">
        <f>_xll.BDH("AMGN US Equity","EPS_DILUTED_BEF_ABNRML_SEQ_GRWTH","FQ4 2020","FQ4 2020","Currency=USD","Period=FQ","BEST_FPERIOD_OVERRIDE=FQ","FILING_STATUS=MR","Sort=A","Dates=H","DateFormat=P","Fill=—","Direction=H","UseDPDF=Y")</f>
        <v>-34.803899999999999</v>
      </c>
      <c r="L74" s="14">
        <f>_xll.BDH("AMGN US Equity","EPS_DILUTED_BEF_ABNRML_SEQ_GRWTH","FQ1 2021","FQ1 2021","Currency=USD","Period=FQ","BEST_FPERIOD_OVERRIDE=FQ","FILING_STATUS=MR","Sort=A","Dates=H","DateFormat=P","Fill=—","Direction=H","UseDPDF=Y")</f>
        <v>27.6372</v>
      </c>
      <c r="M74" s="14">
        <f>_xll.BDH("AMGN US Equity","EPS_DILUTED_BEF_ABNRML_SEQ_GRWTH","FQ2 2021","FQ2 2021","Currency=USD","Period=FQ","BEST_FPERIOD_OVERRIDE=FQ","FILING_STATUS=MR","Sort=A","Dates=H","DateFormat=P","Fill=—","Direction=H","UseDPDF=Y")</f>
        <v>18.9773</v>
      </c>
      <c r="N74" s="14">
        <f>_xll.BDH("AMGN US Equity","EPS_DILUTED_BEF_ABNRML_SEQ_GRWTH","FQ3 2021","FQ3 2021","Currency=USD","Period=FQ","BEST_FPERIOD_OVERRIDE=FQ","FILING_STATUS=MR","Sort=A","Dates=H","DateFormat=P","Fill=—","Direction=H","UseDPDF=Y")</f>
        <v>-30.4633</v>
      </c>
      <c r="O74" s="14">
        <f>_xll.BDH("AMGN US Equity","EPS_DILUTED_BEF_ABNRML_SEQ_GRWTH","FQ4 2021","FQ4 2021","Currency=USD","Period=FQ","BEST_FPERIOD_OVERRIDE=FQ","FILING_STATUS=MR","Sort=A","Dates=H","DateFormat=P","Fill=—","Direction=H","UseDPDF=Y")</f>
        <v>9.8376000000000001</v>
      </c>
      <c r="P74" s="14">
        <f>_xll.BDH("AMGN US Equity","EPS_DILUTED_BEF_ABNRML_SEQ_GRWTH","FQ1 2022","FQ1 2022","Currency=USD","Period=FQ","BEST_FPERIOD_OVERRIDE=FQ","FILING_STATUS=MR","Sort=A","Dates=H","DateFormat=P","Fill=—","Direction=H","UseDPDF=Y")</f>
        <v>26.831299999999999</v>
      </c>
      <c r="Q74" s="14">
        <f>_xll.BDH("AMGN US Equity","EPS_DILUTED_BEF_ABNRML_SEQ_GRWTH","FQ2 2022","FQ2 2022","Currency=USD","Period=FQ","BEST_FPERIOD_OVERRIDE=FQ","FILING_STATUS=MR","Sort=A","Dates=H","DateFormat=P","Fill=—","Direction=H","UseDPDF=Y")</f>
        <v>9.1556999999999995</v>
      </c>
      <c r="R74" s="14">
        <f>_xll.BDH("AMGN US Equity","EPS_DILUTED_BEF_ABNRML_SEQ_GRWTH","FQ3 2022","FQ3 2022","Currency=USD","Period=FQ","BEST_FPERIOD_OVERRIDE=FQ","FILING_STATUS=MR","Sort=A","Dates=H","DateFormat=P","Fill=—","Direction=H","UseDPDF=Y")</f>
        <v>-17.549299999999999</v>
      </c>
      <c r="S74" s="14">
        <f>_xll.BDH("AMGN US Equity","EPS_DILUTED_BEF_ABNRML_SEQ_GRWTH","FQ4 2022","FQ4 2022","Currency=USD","Period=FQ","BEST_FPERIOD_OVERRIDE=FQ","FILING_STATUS=MR","Sort=A","Dates=H","DateFormat=P","Fill=—","Direction=H","UseDPDF=Y")</f>
        <v>-25.3934</v>
      </c>
      <c r="T74" s="14">
        <f>_xll.BDH("AMGN US Equity","EPS_DILUTED_BEF_ABNRML_SEQ_GRWTH","FQ1 2023","FQ1 2023","Currency=USD","Period=FQ","BEST_FPERIOD_OVERRIDE=FQ","FILING_STATUS=MR","Sort=A","Dates=H","DateFormat=P","Fill=—","Direction=H","UseDPDF=Y")</f>
        <v>33.903100000000002</v>
      </c>
      <c r="U74" s="14">
        <f>_xll.BDH("AMGN US Equity","EPS_DILUTED_BEF_ABNRML_SEQ_GRWTH","FQ2 2023","FQ2 2023","Currency=USD","Period=FQ","BEST_FPERIOD_OVERRIDE=FQ","FILING_STATUS=MR","Sort=A","Dates=H","DateFormat=P","Fill=—","Direction=H","UseDPDF=Y")</f>
        <v>-8.2603000000000009</v>
      </c>
      <c r="V74" s="14">
        <f>_xll.BDH("AMGN US Equity","EPS_DILUTED_BEF_ABNRML_SEQ_GRWTH","FQ3 2023","FQ3 2023","Currency=USD","Period=FQ","BEST_FPERIOD_OVERRIDE=FQ","FILING_STATUS=MR","Sort=A","Dates=H","DateFormat=P","Fill=—","Direction=H","UseDPDF=Y")</f>
        <v>12.108499999999999</v>
      </c>
      <c r="W74" s="14">
        <f>_xll.BDH("AMGN US Equity","EPS_DILUTED_BEF_ABNRML_SEQ_GRWTH","FQ4 2023","FQ4 2023","Currency=USD","Period=FQ","BEST_FPERIOD_OVERRIDE=FQ","FILING_STATUS=MR","Sort=A","Dates=H","DateFormat=P","Fill=—","Direction=H","UseDPDF=Y")</f>
        <v>-51.5959</v>
      </c>
      <c r="X74" s="14">
        <f>_xll.BDH("AMGN US Equity","EPS_DILUTED_BEF_ABNRML_SEQ_GRWTH","FQ1 2024","FQ1 2024","Currency=USD","Period=FQ","BEST_FPERIOD_OVERRIDE=FQ","FILING_STATUS=MR","Sort=A","Dates=H","DateFormat=P","Fill=—","Direction=H","UseDPDF=Y")</f>
        <v>-56.959800000000001</v>
      </c>
      <c r="Y74" s="14">
        <f>_xll.BDH("AMGN US Equity","EPS_DILUTED_BEF_ABNRML_SEQ_GRWTH","FQ2 2024","FQ2 2024","Currency=USD","Period=FQ","BEST_FPERIOD_OVERRIDE=FQ","FILING_STATUS=MR","Sort=A","Dates=H","DateFormat=P","Fill=—","Direction=H","UseDPDF=Y")</f>
        <v>177.09389999999999</v>
      </c>
      <c r="Z74" s="14">
        <f>_xll.BDH("AMGN US Equity","EPS_DILUTED_BEF_ABNRML_SEQ_GRWTH","FQ3 2024","FQ3 2024","Currency=USD","Period=FQ","BEST_FPERIOD_OVERRIDE=FQ","FILING_STATUS=MR","Sort=A","Dates=H","DateFormat=P","Fill=—","Direction=H","UseDPDF=Y")</f>
        <v>68.7744</v>
      </c>
      <c r="AA74" s="14">
        <f>_xll.BDH("AMGN US Equity","EPS_DILUTED_BEF_ABNRML_SEQ_GRWTH","FQ4 2024","FQ4 2024","Currency=USD","Period=FQ","BEST_FPERIOD_OVERRIDE=FQ","FILING_STATUS=MR","Sort=A","Dates=H","DateFormat=P","Fill=—","Direction=H","UseDPDF=Y")</f>
        <v>-35.926299999999998</v>
      </c>
    </row>
    <row r="75" spans="1:27" x14ac:dyDescent="0.25">
      <c r="A75" s="10" t="s">
        <v>1474</v>
      </c>
      <c r="B75" s="10" t="s">
        <v>1543</v>
      </c>
      <c r="C75" s="14">
        <f>_xll.BDH("AMGN US Equity","DPS_SEQUENTIAL_GROWTH","FQ4 2018","FQ4 2018","Currency=USD","Period=FQ","BEST_FPERIOD_OVERRIDE=FQ","FILING_STATUS=MR","Sort=A","Dates=H","DateFormat=P","Fill=—","Direction=H","UseDPDF=Y")</f>
        <v>0</v>
      </c>
      <c r="D75" s="14">
        <f>_xll.BDH("AMGN US Equity","DPS_SEQUENTIAL_GROWTH","FQ1 2019","FQ1 2019","Currency=USD","Period=FQ","BEST_FPERIOD_OVERRIDE=FQ","FILING_STATUS=MR","Sort=A","Dates=H","DateFormat=P","Fill=—","Direction=H","UseDPDF=Y")</f>
        <v>9.8484999999999996</v>
      </c>
      <c r="E75" s="14">
        <f>_xll.BDH("AMGN US Equity","DPS_SEQUENTIAL_GROWTH","FQ2 2019","FQ2 2019","Currency=USD","Period=FQ","BEST_FPERIOD_OVERRIDE=FQ","FILING_STATUS=MR","Sort=A","Dates=H","DateFormat=P","Fill=—","Direction=H","UseDPDF=Y")</f>
        <v>0</v>
      </c>
      <c r="F75" s="14">
        <f>_xll.BDH("AMGN US Equity","DPS_SEQUENTIAL_GROWTH","FQ3 2019","FQ3 2019","Currency=USD","Period=FQ","BEST_FPERIOD_OVERRIDE=FQ","FILING_STATUS=MR","Sort=A","Dates=H","DateFormat=P","Fill=—","Direction=H","UseDPDF=Y")</f>
        <v>0</v>
      </c>
      <c r="G75" s="14">
        <f>_xll.BDH("AMGN US Equity","DPS_SEQUENTIAL_GROWTH","FQ4 2019","FQ4 2019","Currency=USD","Period=FQ","BEST_FPERIOD_OVERRIDE=FQ","FILING_STATUS=MR","Sort=A","Dates=H","DateFormat=P","Fill=—","Direction=H","UseDPDF=Y")</f>
        <v>0</v>
      </c>
      <c r="H75" s="14">
        <f>_xll.BDH("AMGN US Equity","DPS_SEQUENTIAL_GROWTH","FQ1 2020","FQ1 2020","Currency=USD","Period=FQ","BEST_FPERIOD_OVERRIDE=FQ","FILING_STATUS=MR","Sort=A","Dates=H","DateFormat=P","Fill=—","Direction=H","UseDPDF=Y")</f>
        <v>10.344799999999999</v>
      </c>
      <c r="I75" s="14">
        <f>_xll.BDH("AMGN US Equity","DPS_SEQUENTIAL_GROWTH","FQ2 2020","FQ2 2020","Currency=USD","Period=FQ","BEST_FPERIOD_OVERRIDE=FQ","FILING_STATUS=MR","Sort=A","Dates=H","DateFormat=P","Fill=—","Direction=H","UseDPDF=Y")</f>
        <v>0</v>
      </c>
      <c r="J75" s="14">
        <f>_xll.BDH("AMGN US Equity","DPS_SEQUENTIAL_GROWTH","FQ3 2020","FQ3 2020","Currency=USD","Period=FQ","BEST_FPERIOD_OVERRIDE=FQ","FILING_STATUS=MR","Sort=A","Dates=H","DateFormat=P","Fill=—","Direction=H","UseDPDF=Y")</f>
        <v>0</v>
      </c>
      <c r="K75" s="14">
        <f>_xll.BDH("AMGN US Equity","DPS_SEQUENTIAL_GROWTH","FQ4 2020","FQ4 2020","Currency=USD","Period=FQ","BEST_FPERIOD_OVERRIDE=FQ","FILING_STATUS=MR","Sort=A","Dates=H","DateFormat=P","Fill=—","Direction=H","UseDPDF=Y")</f>
        <v>0</v>
      </c>
      <c r="L75" s="14">
        <f>_xll.BDH("AMGN US Equity","DPS_SEQUENTIAL_GROWTH","FQ1 2021","FQ1 2021","Currency=USD","Period=FQ","BEST_FPERIOD_OVERRIDE=FQ","FILING_STATUS=MR","Sort=A","Dates=H","DateFormat=P","Fill=—","Direction=H","UseDPDF=Y")</f>
        <v>10</v>
      </c>
      <c r="M75" s="14">
        <f>_xll.BDH("AMGN US Equity","DPS_SEQUENTIAL_GROWTH","FQ2 2021","FQ2 2021","Currency=USD","Period=FQ","BEST_FPERIOD_OVERRIDE=FQ","FILING_STATUS=MR","Sort=A","Dates=H","DateFormat=P","Fill=—","Direction=H","UseDPDF=Y")</f>
        <v>0</v>
      </c>
      <c r="N75" s="14">
        <f>_xll.BDH("AMGN US Equity","DPS_SEQUENTIAL_GROWTH","FQ3 2021","FQ3 2021","Currency=USD","Period=FQ","BEST_FPERIOD_OVERRIDE=FQ","FILING_STATUS=MR","Sort=A","Dates=H","DateFormat=P","Fill=—","Direction=H","UseDPDF=Y")</f>
        <v>0</v>
      </c>
      <c r="O75" s="14">
        <f>_xll.BDH("AMGN US Equity","DPS_SEQUENTIAL_GROWTH","FQ4 2021","FQ4 2021","Currency=USD","Period=FQ","BEST_FPERIOD_OVERRIDE=FQ","FILING_STATUS=MR","Sort=A","Dates=H","DateFormat=P","Fill=—","Direction=H","UseDPDF=Y")</f>
        <v>0</v>
      </c>
      <c r="P75" s="14">
        <f>_xll.BDH("AMGN US Equity","DPS_SEQUENTIAL_GROWTH","FQ1 2022","FQ1 2022","Currency=USD","Period=FQ","BEST_FPERIOD_OVERRIDE=FQ","FILING_STATUS=MR","Sort=A","Dates=H","DateFormat=P","Fill=—","Direction=H","UseDPDF=Y")</f>
        <v>10.2273</v>
      </c>
      <c r="Q75" s="14">
        <f>_xll.BDH("AMGN US Equity","DPS_SEQUENTIAL_GROWTH","FQ2 2022","FQ2 2022","Currency=USD","Period=FQ","BEST_FPERIOD_OVERRIDE=FQ","FILING_STATUS=MR","Sort=A","Dates=H","DateFormat=P","Fill=—","Direction=H","UseDPDF=Y")</f>
        <v>0</v>
      </c>
      <c r="R75" s="14">
        <f>_xll.BDH("AMGN US Equity","DPS_SEQUENTIAL_GROWTH","FQ3 2022","FQ3 2022","Currency=USD","Period=FQ","BEST_FPERIOD_OVERRIDE=FQ","FILING_STATUS=MR","Sort=A","Dates=H","DateFormat=P","Fill=—","Direction=H","UseDPDF=Y")</f>
        <v>0</v>
      </c>
      <c r="S75" s="14">
        <f>_xll.BDH("AMGN US Equity","DPS_SEQUENTIAL_GROWTH","FQ4 2022","FQ4 2022","Currency=USD","Period=FQ","BEST_FPERIOD_OVERRIDE=FQ","FILING_STATUS=MR","Sort=A","Dates=H","DateFormat=P","Fill=—","Direction=H","UseDPDF=Y")</f>
        <v>0</v>
      </c>
      <c r="T75" s="14">
        <f>_xll.BDH("AMGN US Equity","DPS_SEQUENTIAL_GROWTH","FQ1 2023","FQ1 2023","Currency=USD","Period=FQ","BEST_FPERIOD_OVERRIDE=FQ","FILING_STATUS=MR","Sort=A","Dates=H","DateFormat=P","Fill=—","Direction=H","UseDPDF=Y")</f>
        <v>9.7937999999999992</v>
      </c>
      <c r="U75" s="14">
        <f>_xll.BDH("AMGN US Equity","DPS_SEQUENTIAL_GROWTH","FQ2 2023","FQ2 2023","Currency=USD","Period=FQ","BEST_FPERIOD_OVERRIDE=FQ","FILING_STATUS=MR","Sort=A","Dates=H","DateFormat=P","Fill=—","Direction=H","UseDPDF=Y")</f>
        <v>0</v>
      </c>
      <c r="V75" s="14">
        <f>_xll.BDH("AMGN US Equity","DPS_SEQUENTIAL_GROWTH","FQ3 2023","FQ3 2023","Currency=USD","Period=FQ","BEST_FPERIOD_OVERRIDE=FQ","FILING_STATUS=MR","Sort=A","Dates=H","DateFormat=P","Fill=—","Direction=H","UseDPDF=Y")</f>
        <v>0</v>
      </c>
      <c r="W75" s="14">
        <f>_xll.BDH("AMGN US Equity","DPS_SEQUENTIAL_GROWTH","FQ4 2023","FQ4 2023","Currency=USD","Period=FQ","BEST_FPERIOD_OVERRIDE=FQ","FILING_STATUS=MR","Sort=A","Dates=H","DateFormat=P","Fill=—","Direction=H","UseDPDF=Y")</f>
        <v>0</v>
      </c>
      <c r="X75" s="14">
        <f>_xll.BDH("AMGN US Equity","DPS_SEQUENTIAL_GROWTH","FQ1 2024","FQ1 2024","Currency=USD","Period=FQ","BEST_FPERIOD_OVERRIDE=FQ","FILING_STATUS=MR","Sort=A","Dates=H","DateFormat=P","Fill=—","Direction=H","UseDPDF=Y")</f>
        <v>5.6337999999999999</v>
      </c>
      <c r="Y75" s="14">
        <f>_xll.BDH("AMGN US Equity","DPS_SEQUENTIAL_GROWTH","FQ2 2024","FQ2 2024","Currency=USD","Period=FQ","BEST_FPERIOD_OVERRIDE=FQ","FILING_STATUS=MR","Sort=A","Dates=H","DateFormat=P","Fill=—","Direction=H","UseDPDF=Y")</f>
        <v>0</v>
      </c>
      <c r="Z75" s="14">
        <f>_xll.BDH("AMGN US Equity","DPS_SEQUENTIAL_GROWTH","FQ3 2024","FQ3 2024","Currency=USD","Period=FQ","BEST_FPERIOD_OVERRIDE=FQ","FILING_STATUS=MR","Sort=A","Dates=H","DateFormat=P","Fill=—","Direction=H","UseDPDF=Y")</f>
        <v>0</v>
      </c>
      <c r="AA75" s="14">
        <f>_xll.BDH("AMGN US Equity","DPS_SEQUENTIAL_GROWTH","FQ4 2024","FQ4 2024","Currency=USD","Period=FQ","BEST_FPERIOD_OVERRIDE=FQ","FILING_STATUS=MR","Sort=A","Dates=H","DateFormat=P","Fill=—","Direction=H","UseDPDF=Y")</f>
        <v>0</v>
      </c>
    </row>
    <row r="76" spans="1:27" x14ac:dyDescent="0.25">
      <c r="A76" s="10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x14ac:dyDescent="0.25">
      <c r="A77" s="10" t="s">
        <v>1476</v>
      </c>
      <c r="B77" s="10" t="s">
        <v>1544</v>
      </c>
      <c r="C77" s="14">
        <f>_xll.BDH("AMGN US Equity","ACCOUNTS_RECEIVABLE_SEQ_GROWTH","FQ4 2018","FQ4 2018","Currency=USD","Period=FQ","BEST_FPERIOD_OVERRIDE=FQ","FILING_STATUS=MR","Sort=A","Dates=H","DateFormat=P","Fill=—","Direction=H","UseDPDF=Y")</f>
        <v>4.0395000000000003</v>
      </c>
      <c r="D77" s="14">
        <f>_xll.BDH("AMGN US Equity","ACCOUNTS_RECEIVABLE_SEQ_GROWTH","FQ1 2019","FQ1 2019","Currency=USD","Period=FQ","BEST_FPERIOD_OVERRIDE=FQ","FILING_STATUS=MR","Sort=A","Dates=H","DateFormat=P","Fill=—","Direction=H","UseDPDF=Y")</f>
        <v>5.3352000000000004</v>
      </c>
      <c r="E77" s="14">
        <f>_xll.BDH("AMGN US Equity","ACCOUNTS_RECEIVABLE_SEQ_GROWTH","FQ2 2019","FQ2 2019","Currency=USD","Period=FQ","BEST_FPERIOD_OVERRIDE=FQ","FILING_STATUS=MR","Sort=A","Dates=H","DateFormat=P","Fill=—","Direction=H","UseDPDF=Y")</f>
        <v>0.79549999999999998</v>
      </c>
      <c r="F77" s="14">
        <f>_xll.BDH("AMGN US Equity","ACCOUNTS_RECEIVABLE_SEQ_GROWTH","FQ3 2019","FQ3 2019","Currency=USD","Period=FQ","BEST_FPERIOD_OVERRIDE=FQ","FILING_STATUS=MR","Sort=A","Dates=H","DateFormat=P","Fill=—","Direction=H","UseDPDF=Y")</f>
        <v>-5.1302000000000003</v>
      </c>
      <c r="G77" s="14">
        <f>_xll.BDH("AMGN US Equity","ACCOUNTS_RECEIVABLE_SEQ_GROWTH","FQ4 2019","FQ4 2019","Currency=USD","Period=FQ","BEST_FPERIOD_OVERRIDE=FQ","FILING_STATUS=MR","Sort=A","Dates=H","DateFormat=P","Fill=—","Direction=H","UseDPDF=Y")</f>
        <v>12.5069</v>
      </c>
      <c r="H77" s="14">
        <f>_xll.BDH("AMGN US Equity","ACCOUNTS_RECEIVABLE_SEQ_GROWTH","FQ1 2020","FQ1 2020","Currency=USD","Period=FQ","BEST_FPERIOD_OVERRIDE=FQ","FILING_STATUS=MR","Sort=A","Dates=H","DateFormat=P","Fill=—","Direction=H","UseDPDF=Y")</f>
        <v>23.465599999999998</v>
      </c>
      <c r="I77" s="14">
        <f>_xll.BDH("AMGN US Equity","ACCOUNTS_RECEIVABLE_SEQ_GROWTH","FQ2 2020","FQ2 2020","Currency=USD","Period=FQ","BEST_FPERIOD_OVERRIDE=FQ","FILING_STATUS=MR","Sort=A","Dates=H","DateFormat=P","Fill=—","Direction=H","UseDPDF=Y")</f>
        <v>7.1272000000000002</v>
      </c>
      <c r="J77" s="14">
        <f>_xll.BDH("AMGN US Equity","ACCOUNTS_RECEIVABLE_SEQ_GROWTH","FQ3 2020","FQ3 2020","Currency=USD","Period=FQ","BEST_FPERIOD_OVERRIDE=FQ","FILING_STATUS=MR","Sort=A","Dates=H","DateFormat=P","Fill=—","Direction=H","UseDPDF=Y")</f>
        <v>-23.704799999999999</v>
      </c>
      <c r="K77" s="14">
        <f>_xll.BDH("AMGN US Equity","ACCOUNTS_RECEIVABLE_SEQ_GROWTH","FQ4 2020","FQ4 2020","Currency=USD","Period=FQ","BEST_FPERIOD_OVERRIDE=FQ","FILING_STATUS=MR","Sort=A","Dates=H","DateFormat=P","Fill=—","Direction=H","UseDPDF=Y")</f>
        <v>10.5276</v>
      </c>
      <c r="L77" s="14">
        <f>_xll.BDH("AMGN US Equity","ACCOUNTS_RECEIVABLE_SEQ_GROWTH","FQ1 2021","FQ1 2021","Currency=USD","Period=FQ","BEST_FPERIOD_OVERRIDE=FQ","FILING_STATUS=MR","Sort=A","Dates=H","DateFormat=P","Fill=—","Direction=H","UseDPDF=Y")</f>
        <v>-2.2541000000000002</v>
      </c>
      <c r="M77" s="14">
        <f>_xll.BDH("AMGN US Equity","ACCOUNTS_RECEIVABLE_SEQ_GROWTH","FQ2 2021","FQ2 2021","Currency=USD","Period=FQ","BEST_FPERIOD_OVERRIDE=FQ","FILING_STATUS=MR","Sort=A","Dates=H","DateFormat=P","Fill=—","Direction=H","UseDPDF=Y")</f>
        <v>1.2661</v>
      </c>
      <c r="N77" s="14">
        <f>_xll.BDH("AMGN US Equity","ACCOUNTS_RECEIVABLE_SEQ_GROWTH","FQ3 2021","FQ3 2021","Currency=USD","Period=FQ","BEST_FPERIOD_OVERRIDE=FQ","FILING_STATUS=MR","Sort=A","Dates=H","DateFormat=P","Fill=—","Direction=H","UseDPDF=Y")</f>
        <v>6.3853999999999997</v>
      </c>
      <c r="O77" s="14">
        <f>_xll.BDH("AMGN US Equity","ACCOUNTS_RECEIVABLE_SEQ_GROWTH","FQ4 2021","FQ4 2021","Currency=USD","Period=FQ","BEST_FPERIOD_OVERRIDE=FQ","FILING_STATUS=MR","Sort=A","Dates=H","DateFormat=P","Fill=—","Direction=H","UseDPDF=Y")</f>
        <v>2.7282000000000002</v>
      </c>
      <c r="P77" s="14">
        <f>_xll.BDH("AMGN US Equity","ACCOUNTS_RECEIVABLE_SEQ_GROWTH","FQ1 2022","FQ1 2022","Currency=USD","Period=FQ","BEST_FPERIOD_OVERRIDE=FQ","FILING_STATUS=MR","Sort=A","Dates=H","DateFormat=P","Fill=—","Direction=H","UseDPDF=Y")</f>
        <v>3.7181000000000002</v>
      </c>
      <c r="Q77" s="14">
        <f>_xll.BDH("AMGN US Equity","ACCOUNTS_RECEIVABLE_SEQ_GROWTH","FQ2 2022","FQ2 2022","Currency=USD","Period=FQ","BEST_FPERIOD_OVERRIDE=FQ","FILING_STATUS=MR","Sort=A","Dates=H","DateFormat=P","Fill=—","Direction=H","UseDPDF=Y")</f>
        <v>4.9241999999999999</v>
      </c>
      <c r="R77" s="14">
        <f>_xll.BDH("AMGN US Equity","ACCOUNTS_RECEIVABLE_SEQ_GROWTH","FQ3 2022","FQ3 2022","Currency=USD","Period=FQ","BEST_FPERIOD_OVERRIDE=FQ","FILING_STATUS=MR","Sort=A","Dates=H","DateFormat=P","Fill=—","Direction=H","UseDPDF=Y")</f>
        <v>-1.8800000000000001E-2</v>
      </c>
      <c r="S77" s="14">
        <f>_xll.BDH("AMGN US Equity","ACCOUNTS_RECEIVABLE_SEQ_GROWTH","FQ4 2022","FQ4 2022","Currency=USD","Period=FQ","BEST_FPERIOD_OVERRIDE=FQ","FILING_STATUS=MR","Sort=A","Dates=H","DateFormat=P","Fill=—","Direction=H","UseDPDF=Y")</f>
        <v>4.4499000000000004</v>
      </c>
      <c r="T77" s="14">
        <f>_xll.BDH("AMGN US Equity","ACCOUNTS_RECEIVABLE_SEQ_GROWTH","FQ1 2023","FQ1 2023","Currency=USD","Period=FQ","BEST_FPERIOD_OVERRIDE=FQ","FILING_STATUS=MR","Sort=A","Dates=H","DateFormat=P","Fill=—","Direction=H","UseDPDF=Y")</f>
        <v>3.1097999999999999</v>
      </c>
      <c r="U77" s="14">
        <f>_xll.BDH("AMGN US Equity","ACCOUNTS_RECEIVABLE_SEQ_GROWTH","FQ2 2023","FQ2 2023","Currency=USD","Period=FQ","BEST_FPERIOD_OVERRIDE=FQ","FILING_STATUS=MR","Sort=A","Dates=H","DateFormat=P","Fill=—","Direction=H","UseDPDF=Y")</f>
        <v>1.6388</v>
      </c>
      <c r="V77" s="14">
        <f>_xll.BDH("AMGN US Equity","ACCOUNTS_RECEIVABLE_SEQ_GROWTH","FQ3 2023","FQ3 2023","Currency=USD","Period=FQ","BEST_FPERIOD_OVERRIDE=FQ","FILING_STATUS=MR","Sort=A","Dates=H","DateFormat=P","Fill=—","Direction=H","UseDPDF=Y")</f>
        <v>5.4031000000000002</v>
      </c>
      <c r="W77" s="14">
        <f>_xll.BDH("AMGN US Equity","ACCOUNTS_RECEIVABLE_SEQ_GROWTH","FQ4 2023","FQ4 2023","Currency=USD","Period=FQ","BEST_FPERIOD_OVERRIDE=FQ","FILING_STATUS=MR","Sort=A","Dates=H","DateFormat=P","Fill=—","Direction=H","UseDPDF=Y")</f>
        <v>18.274999999999999</v>
      </c>
      <c r="X77" s="14">
        <f>_xll.BDH("AMGN US Equity","ACCOUNTS_RECEIVABLE_SEQ_GROWTH","FQ1 2024","FQ1 2024","Currency=USD","Period=FQ","BEST_FPERIOD_OVERRIDE=FQ","FILING_STATUS=MR","Sort=A","Dates=H","DateFormat=P","Fill=—","Direction=H","UseDPDF=Y")</f>
        <v>-6.7694000000000001</v>
      </c>
      <c r="Y77" s="14">
        <f>_xll.BDH("AMGN US Equity","ACCOUNTS_RECEIVABLE_SEQ_GROWTH","FQ2 2024","FQ2 2024","Currency=USD","Period=FQ","BEST_FPERIOD_OVERRIDE=FQ","FILING_STATUS=MR","Sort=A","Dates=H","DateFormat=P","Fill=—","Direction=H","UseDPDF=Y")</f>
        <v>2.3317999999999999</v>
      </c>
      <c r="Z77" s="14">
        <f>_xll.BDH("AMGN US Equity","ACCOUNTS_RECEIVABLE_SEQ_GROWTH","FQ3 2024","FQ3 2024","Currency=USD","Period=FQ","BEST_FPERIOD_OVERRIDE=FQ","FILING_STATUS=MR","Sort=A","Dates=H","DateFormat=P","Fill=—","Direction=H","UseDPDF=Y")</f>
        <v>5.5235000000000003</v>
      </c>
      <c r="AA77" s="14">
        <f>_xll.BDH("AMGN US Equity","ACCOUNTS_RECEIVABLE_SEQ_GROWTH","FQ4 2024","FQ4 2024","Currency=USD","Period=FQ","BEST_FPERIOD_OVERRIDE=FQ","FILING_STATUS=MR","Sort=A","Dates=H","DateFormat=P","Fill=—","Direction=H","UseDPDF=Y")</f>
        <v>-7.3117000000000001</v>
      </c>
    </row>
    <row r="78" spans="1:27" x14ac:dyDescent="0.25">
      <c r="A78" s="10" t="s">
        <v>1478</v>
      </c>
      <c r="B78" s="10" t="s">
        <v>1545</v>
      </c>
      <c r="C78" s="14">
        <f>_xll.BDH("AMGN US Equity","INVENTORY_SEQUENTIAL_GROWTH","FQ4 2018","FQ4 2018","Currency=USD","Period=FQ","BEST_FPERIOD_OVERRIDE=FQ","FILING_STATUS=MR","Sort=A","Dates=H","DateFormat=P","Fill=—","Direction=H","UseDPDF=Y")</f>
        <v>-2.5522</v>
      </c>
      <c r="D78" s="14">
        <f>_xll.BDH("AMGN US Equity","INVENTORY_SEQUENTIAL_GROWTH","FQ1 2019","FQ1 2019","Currency=USD","Period=FQ","BEST_FPERIOD_OVERRIDE=FQ","FILING_STATUS=MR","Sort=A","Dates=H","DateFormat=P","Fill=—","Direction=H","UseDPDF=Y")</f>
        <v>2.585</v>
      </c>
      <c r="E78" s="14">
        <f>_xll.BDH("AMGN US Equity","INVENTORY_SEQUENTIAL_GROWTH","FQ2 2019","FQ2 2019","Currency=USD","Period=FQ","BEST_FPERIOD_OVERRIDE=FQ","FILING_STATUS=MR","Sort=A","Dates=H","DateFormat=P","Fill=—","Direction=H","UseDPDF=Y")</f>
        <v>5.3049999999999997</v>
      </c>
      <c r="F78" s="14">
        <f>_xll.BDH("AMGN US Equity","INVENTORY_SEQUENTIAL_GROWTH","FQ3 2019","FQ3 2019","Currency=USD","Period=FQ","BEST_FPERIOD_OVERRIDE=FQ","FILING_STATUS=MR","Sort=A","Dates=H","DateFormat=P","Fill=—","Direction=H","UseDPDF=Y")</f>
        <v>2.1095999999999999</v>
      </c>
      <c r="G78" s="14">
        <f>_xll.BDH("AMGN US Equity","INVENTORY_SEQUENTIAL_GROWTH","FQ4 2019","FQ4 2019","Currency=USD","Period=FQ","BEST_FPERIOD_OVERRIDE=FQ","FILING_STATUS=MR","Sort=A","Dates=H","DateFormat=P","Fill=—","Direction=H","UseDPDF=Y")</f>
        <v>10.515000000000001</v>
      </c>
      <c r="H78" s="14">
        <f>_xll.BDH("AMGN US Equity","INVENTORY_SEQUENTIAL_GROWTH","FQ1 2020","FQ1 2020","Currency=USD","Period=FQ","BEST_FPERIOD_OVERRIDE=FQ","FILING_STATUS=MR","Sort=A","Dates=H","DateFormat=P","Fill=—","Direction=H","UseDPDF=Y")</f>
        <v>2.7343999999999999</v>
      </c>
      <c r="I78" s="14">
        <f>_xll.BDH("AMGN US Equity","INVENTORY_SEQUENTIAL_GROWTH","FQ2 2020","FQ2 2020","Currency=USD","Period=FQ","BEST_FPERIOD_OVERRIDE=FQ","FILING_STATUS=MR","Sort=A","Dates=H","DateFormat=P","Fill=—","Direction=H","UseDPDF=Y")</f>
        <v>4.2911000000000001</v>
      </c>
      <c r="J78" s="14">
        <f>_xll.BDH("AMGN US Equity","INVENTORY_SEQUENTIAL_GROWTH","FQ3 2020","FQ3 2020","Currency=USD","Period=FQ","BEST_FPERIOD_OVERRIDE=FQ","FILING_STATUS=MR","Sort=A","Dates=H","DateFormat=P","Fill=—","Direction=H","UseDPDF=Y")</f>
        <v>2.6562999999999999</v>
      </c>
      <c r="K78" s="14">
        <f>_xll.BDH("AMGN US Equity","INVENTORY_SEQUENTIAL_GROWTH","FQ4 2020","FQ4 2020","Currency=USD","Period=FQ","BEST_FPERIOD_OVERRIDE=FQ","FILING_STATUS=MR","Sort=A","Dates=H","DateFormat=P","Fill=—","Direction=H","UseDPDF=Y")</f>
        <v>-1.2430000000000001</v>
      </c>
      <c r="L78" s="14">
        <f>_xll.BDH("AMGN US Equity","INVENTORY_SEQUENTIAL_GROWTH","FQ1 2021","FQ1 2021","Currency=USD","Period=FQ","BEST_FPERIOD_OVERRIDE=FQ","FILING_STATUS=MR","Sort=A","Dates=H","DateFormat=P","Fill=—","Direction=H","UseDPDF=Y")</f>
        <v>3.1852</v>
      </c>
      <c r="M78" s="14">
        <f>_xll.BDH("AMGN US Equity","INVENTORY_SEQUENTIAL_GROWTH","FQ2 2021","FQ2 2021","Currency=USD","Period=FQ","BEST_FPERIOD_OVERRIDE=FQ","FILING_STATUS=MR","Sort=A","Dates=H","DateFormat=P","Fill=—","Direction=H","UseDPDF=Y")</f>
        <v>2.4396</v>
      </c>
      <c r="N78" s="14">
        <f>_xll.BDH("AMGN US Equity","INVENTORY_SEQUENTIAL_GROWTH","FQ3 2021","FQ3 2021","Currency=USD","Period=FQ","BEST_FPERIOD_OVERRIDE=FQ","FILING_STATUS=MR","Sort=A","Dates=H","DateFormat=P","Fill=—","Direction=H","UseDPDF=Y")</f>
        <v>0.89910000000000001</v>
      </c>
      <c r="O78" s="14">
        <f>_xll.BDH("AMGN US Equity","INVENTORY_SEQUENTIAL_GROWTH","FQ4 2021","FQ4 2021","Currency=USD","Period=FQ","BEST_FPERIOD_OVERRIDE=FQ","FILING_STATUS=MR","Sort=A","Dates=H","DateFormat=P","Fill=—","Direction=H","UseDPDF=Y")</f>
        <v>-1.5895999999999999</v>
      </c>
      <c r="P78" s="14">
        <f>_xll.BDH("AMGN US Equity","INVENTORY_SEQUENTIAL_GROWTH","FQ1 2022","FQ1 2022","Currency=USD","Period=FQ","BEST_FPERIOD_OVERRIDE=FQ","FILING_STATUS=MR","Sort=A","Dates=H","DateFormat=P","Fill=—","Direction=H","UseDPDF=Y")</f>
        <v>7.9539999999999997</v>
      </c>
      <c r="Q78" s="14">
        <f>_xll.BDH("AMGN US Equity","INVENTORY_SEQUENTIAL_GROWTH","FQ2 2022","FQ2 2022","Currency=USD","Period=FQ","BEST_FPERIOD_OVERRIDE=FQ","FILING_STATUS=MR","Sort=A","Dates=H","DateFormat=P","Fill=—","Direction=H","UseDPDF=Y")</f>
        <v>3.2418999999999998</v>
      </c>
      <c r="R78" s="14">
        <f>_xll.BDH("AMGN US Equity","INVENTORY_SEQUENTIAL_GROWTH","FQ3 2022","FQ3 2022","Currency=USD","Period=FQ","BEST_FPERIOD_OVERRIDE=FQ","FILING_STATUS=MR","Sort=A","Dates=H","DateFormat=P","Fill=—","Direction=H","UseDPDF=Y")</f>
        <v>4.4576000000000002</v>
      </c>
      <c r="S78" s="14">
        <f>_xll.BDH("AMGN US Equity","INVENTORY_SEQUENTIAL_GROWTH","FQ4 2022","FQ4 2022","Currency=USD","Period=FQ","BEST_FPERIOD_OVERRIDE=FQ","FILING_STATUS=MR","Sort=A","Dates=H","DateFormat=P","Fill=—","Direction=H","UseDPDF=Y")</f>
        <v>3.6366999999999998</v>
      </c>
      <c r="T78" s="14">
        <f>_xll.BDH("AMGN US Equity","INVENTORY_SEQUENTIAL_GROWTH","FQ1 2023","FQ1 2023","Currency=USD","Period=FQ","BEST_FPERIOD_OVERRIDE=FQ","FILING_STATUS=MR","Sort=A","Dates=H","DateFormat=P","Fill=—","Direction=H","UseDPDF=Y")</f>
        <v>1.643</v>
      </c>
      <c r="U78" s="14">
        <f>_xll.BDH("AMGN US Equity","INVENTORY_SEQUENTIAL_GROWTH","FQ2 2023","FQ2 2023","Currency=USD","Period=FQ","BEST_FPERIOD_OVERRIDE=FQ","FILING_STATUS=MR","Sort=A","Dates=H","DateFormat=P","Fill=—","Direction=H","UseDPDF=Y")</f>
        <v>-0.65859999999999996</v>
      </c>
      <c r="V78" s="14">
        <f>_xll.BDH("AMGN US Equity","INVENTORY_SEQUENTIAL_GROWTH","FQ3 2023","FQ3 2023","Currency=USD","Period=FQ","BEST_FPERIOD_OVERRIDE=FQ","FILING_STATUS=MR","Sort=A","Dates=H","DateFormat=P","Fill=—","Direction=H","UseDPDF=Y")</f>
        <v>0.96419999999999995</v>
      </c>
      <c r="W78" s="14">
        <f>_xll.BDH("AMGN US Equity","INVENTORY_SEQUENTIAL_GROWTH","FQ4 2023","FQ4 2023","Currency=USD","Period=FQ","BEST_FPERIOD_OVERRIDE=FQ","FILING_STATUS=MR","Sort=A","Dates=H","DateFormat=P","Fill=—","Direction=H","UseDPDF=Y")</f>
        <v>89.375200000000007</v>
      </c>
      <c r="X78" s="14">
        <f>_xll.BDH("AMGN US Equity","INVENTORY_SEQUENTIAL_GROWTH","FQ1 2024","FQ1 2024","Currency=USD","Period=FQ","BEST_FPERIOD_OVERRIDE=FQ","FILING_STATUS=MR","Sort=A","Dates=H","DateFormat=P","Fill=—","Direction=H","UseDPDF=Y")</f>
        <v>-8.3421000000000003</v>
      </c>
      <c r="Y78" s="14">
        <f>_xll.BDH("AMGN US Equity","INVENTORY_SEQUENTIAL_GROWTH","FQ2 2024","FQ2 2024","Currency=USD","Period=FQ","BEST_FPERIOD_OVERRIDE=FQ","FILING_STATUS=MR","Sort=A","Dates=H","DateFormat=P","Fill=—","Direction=H","UseDPDF=Y")</f>
        <v>-8.3562999999999992</v>
      </c>
      <c r="Z78" s="14">
        <f>_xll.BDH("AMGN US Equity","INVENTORY_SEQUENTIAL_GROWTH","FQ3 2024","FQ3 2024","Currency=USD","Period=FQ","BEST_FPERIOD_OVERRIDE=FQ","FILING_STATUS=MR","Sort=A","Dates=H","DateFormat=P","Fill=—","Direction=H","UseDPDF=Y")</f>
        <v>-7.9173999999999998</v>
      </c>
      <c r="AA78" s="14">
        <f>_xll.BDH("AMGN US Equity","INVENTORY_SEQUENTIAL_GROWTH","FQ4 2024","FQ4 2024","Currency=USD","Period=FQ","BEST_FPERIOD_OVERRIDE=FQ","FILING_STATUS=MR","Sort=A","Dates=H","DateFormat=P","Fill=—","Direction=H","UseDPDF=Y")</f>
        <v>-4.9443000000000001</v>
      </c>
    </row>
    <row r="79" spans="1:27" x14ac:dyDescent="0.25">
      <c r="A79" s="10" t="s">
        <v>1480</v>
      </c>
      <c r="B79" s="10" t="s">
        <v>1546</v>
      </c>
      <c r="C79" s="14">
        <f>_xll.BDH("AMGN US Equity","FIXED_ASSETS_SEQUENTIAL_GROWTH","FQ4 2018","FQ4 2018","Currency=USD","Period=FQ","BEST_FPERIOD_OVERRIDE=FQ","FILING_STATUS=MR","Sort=A","Dates=H","DateFormat=P","Fill=—","Direction=H","UseDPDF=Y")</f>
        <v>1.2042999999999999</v>
      </c>
      <c r="D79" s="14">
        <f>_xll.BDH("AMGN US Equity","FIXED_ASSETS_SEQUENTIAL_GROWTH","FQ1 2019","FQ1 2019","Currency=USD","Period=FQ","BEST_FPERIOD_OVERRIDE=FQ","FILING_STATUS=MR","Sort=A","Dates=H","DateFormat=P","Fill=—","Direction=H","UseDPDF=Y")</f>
        <v>7.0795000000000003</v>
      </c>
      <c r="E79" s="14">
        <f>_xll.BDH("AMGN US Equity","FIXED_ASSETS_SEQUENTIAL_GROWTH","FQ2 2019","FQ2 2019","Currency=USD","Period=FQ","BEST_FPERIOD_OVERRIDE=FQ","FILING_STATUS=MR","Sort=A","Dates=H","DateFormat=P","Fill=—","Direction=H","UseDPDF=Y")</f>
        <v>5.6500000000000002E-2</v>
      </c>
      <c r="F79" s="14">
        <f>_xll.BDH("AMGN US Equity","FIXED_ASSETS_SEQUENTIAL_GROWTH","FQ3 2019","FQ3 2019","Currency=USD","Period=FQ","BEST_FPERIOD_OVERRIDE=FQ","FILING_STATUS=MR","Sort=A","Dates=H","DateFormat=P","Fill=—","Direction=H","UseDPDF=Y")</f>
        <v>0.20710000000000001</v>
      </c>
      <c r="G79" s="14">
        <f>_xll.BDH("AMGN US Equity","FIXED_ASSETS_SEQUENTIAL_GROWTH","FQ4 2019","FQ4 2019","Currency=USD","Period=FQ","BEST_FPERIOD_OVERRIDE=FQ","FILING_STATUS=MR","Sort=A","Dates=H","DateFormat=P","Fill=—","Direction=H","UseDPDF=Y")</f>
        <v>1.3902000000000001</v>
      </c>
      <c r="H79" s="14">
        <f>_xll.BDH("AMGN US Equity","FIXED_ASSETS_SEQUENTIAL_GROWTH","FQ1 2020","FQ1 2020","Currency=USD","Period=FQ","BEST_FPERIOD_OVERRIDE=FQ","FILING_STATUS=MR","Sort=A","Dates=H","DateFormat=P","Fill=—","Direction=H","UseDPDF=Y")</f>
        <v>-9.5978999999999992</v>
      </c>
      <c r="I79" s="14">
        <f>_xll.BDH("AMGN US Equity","FIXED_ASSETS_SEQUENTIAL_GROWTH","FQ2 2020","FQ2 2020","Currency=USD","Period=FQ","BEST_FPERIOD_OVERRIDE=FQ","FILING_STATUS=MR","Sort=A","Dates=H","DateFormat=P","Fill=—","Direction=H","UseDPDF=Y")</f>
        <v>-0.7379</v>
      </c>
      <c r="J79" s="14">
        <f>_xll.BDH("AMGN US Equity","FIXED_ASSETS_SEQUENTIAL_GROWTH","FQ3 2020","FQ3 2020","Currency=USD","Period=FQ","BEST_FPERIOD_OVERRIDE=FQ","FILING_STATUS=MR","Sort=A","Dates=H","DateFormat=P","Fill=—","Direction=H","UseDPDF=Y")</f>
        <v>-0.5575</v>
      </c>
      <c r="K79" s="14">
        <f>_xll.BDH("AMGN US Equity","FIXED_ASSETS_SEQUENTIAL_GROWTH","FQ4 2020","FQ4 2020","Currency=USD","Period=FQ","BEST_FPERIOD_OVERRIDE=FQ","FILING_STATUS=MR","Sort=A","Dates=H","DateFormat=P","Fill=—","Direction=H","UseDPDF=Y")</f>
        <v>9.9875000000000007</v>
      </c>
      <c r="L79" s="14">
        <f>_xll.BDH("AMGN US Equity","FIXED_ASSETS_SEQUENTIAL_GROWTH","FQ1 2021","FQ1 2021","Currency=USD","Period=FQ","BEST_FPERIOD_OVERRIDE=FQ","FILING_STATUS=MR","Sort=A","Dates=H","DateFormat=P","Fill=—","Direction=H","UseDPDF=Y")</f>
        <v>-8.3443000000000005</v>
      </c>
      <c r="M79" s="14">
        <f>_xll.BDH("AMGN US Equity","FIXED_ASSETS_SEQUENTIAL_GROWTH","FQ2 2021","FQ2 2021","Currency=USD","Period=FQ","BEST_FPERIOD_OVERRIDE=FQ","FILING_STATUS=MR","Sort=A","Dates=H","DateFormat=P","Fill=—","Direction=H","UseDPDF=Y")</f>
        <v>1.0505</v>
      </c>
      <c r="N79" s="14">
        <f>_xll.BDH("AMGN US Equity","FIXED_ASSETS_SEQUENTIAL_GROWTH","FQ3 2021","FQ3 2021","Currency=USD","Period=FQ","BEST_FPERIOD_OVERRIDE=FQ","FILING_STATUS=MR","Sort=A","Dates=H","DateFormat=P","Fill=—","Direction=H","UseDPDF=Y")</f>
        <v>1.5490999999999999</v>
      </c>
      <c r="O79" s="14">
        <f>_xll.BDH("AMGN US Equity","FIXED_ASSETS_SEQUENTIAL_GROWTH","FQ4 2021","FQ4 2021","Currency=USD","Period=FQ","BEST_FPERIOD_OVERRIDE=FQ","FILING_STATUS=MR","Sort=A","Dates=H","DateFormat=P","Fill=—","Direction=H","UseDPDF=Y")</f>
        <v>15.4155</v>
      </c>
      <c r="P79" s="14">
        <f>_xll.BDH("AMGN US Equity","FIXED_ASSETS_SEQUENTIAL_GROWTH","FQ1 2022","FQ1 2022","Currency=USD","Period=FQ","BEST_FPERIOD_OVERRIDE=FQ","FILING_STATUS=MR","Sort=A","Dates=H","DateFormat=P","Fill=—","Direction=H","UseDPDF=Y")</f>
        <v>-10.5739</v>
      </c>
      <c r="Q79" s="14">
        <f>_xll.BDH("AMGN US Equity","FIXED_ASSETS_SEQUENTIAL_GROWTH","FQ2 2022","FQ2 2022","Currency=USD","Period=FQ","BEST_FPERIOD_OVERRIDE=FQ","FILING_STATUS=MR","Sort=A","Dates=H","DateFormat=P","Fill=—","Direction=H","UseDPDF=Y")</f>
        <v>0.31119999999999998</v>
      </c>
      <c r="R79" s="14">
        <f>_xll.BDH("AMGN US Equity","FIXED_ASSETS_SEQUENTIAL_GROWTH","FQ3 2022","FQ3 2022","Currency=USD","Period=FQ","BEST_FPERIOD_OVERRIDE=FQ","FILING_STATUS=MR","Sort=A","Dates=H","DateFormat=P","Fill=—","Direction=H","UseDPDF=Y")</f>
        <v>0.58160000000000001</v>
      </c>
      <c r="S79" s="14">
        <f>_xll.BDH("AMGN US Equity","FIXED_ASSETS_SEQUENTIAL_GROWTH","FQ4 2022","FQ4 2022","Currency=USD","Period=FQ","BEST_FPERIOD_OVERRIDE=FQ","FILING_STATUS=MR","Sort=A","Dates=H","DateFormat=P","Fill=—","Direction=H","UseDPDF=Y")</f>
        <v>15.767200000000001</v>
      </c>
      <c r="T79" s="14">
        <f>_xll.BDH("AMGN US Equity","FIXED_ASSETS_SEQUENTIAL_GROWTH","FQ1 2023","FQ1 2023","Currency=USD","Period=FQ","BEST_FPERIOD_OVERRIDE=FQ","FILING_STATUS=MR","Sort=A","Dates=H","DateFormat=P","Fill=—","Direction=H","UseDPDF=Y")</f>
        <v>-9.0908999999999995</v>
      </c>
      <c r="U79" s="14">
        <f>_xll.BDH("AMGN US Equity","FIXED_ASSETS_SEQUENTIAL_GROWTH","FQ2 2023","FQ2 2023","Currency=USD","Period=FQ","BEST_FPERIOD_OVERRIDE=FQ","FILING_STATUS=MR","Sort=A","Dates=H","DateFormat=P","Fill=—","Direction=H","UseDPDF=Y")</f>
        <v>1.3187</v>
      </c>
      <c r="V79" s="14">
        <f>_xll.BDH("AMGN US Equity","FIXED_ASSETS_SEQUENTIAL_GROWTH","FQ3 2023","FQ3 2023","Currency=USD","Period=FQ","BEST_FPERIOD_OVERRIDE=FQ","FILING_STATUS=MR","Sort=A","Dates=H","DateFormat=P","Fill=—","Direction=H","UseDPDF=Y")</f>
        <v>0.56040000000000001</v>
      </c>
      <c r="W79" s="14">
        <f>_xll.BDH("AMGN US Equity","FIXED_ASSETS_SEQUENTIAL_GROWTH","FQ4 2023","FQ4 2023","Currency=USD","Period=FQ","BEST_FPERIOD_OVERRIDE=FQ","FILING_STATUS=MR","Sort=A","Dates=H","DateFormat=P","Fill=—","Direction=H","UseDPDF=Y")</f>
        <v>18.497199999999999</v>
      </c>
      <c r="X79" s="14">
        <f>_xll.BDH("AMGN US Equity","FIXED_ASSETS_SEQUENTIAL_GROWTH","FQ1 2024","FQ1 2024","Currency=USD","Period=FQ","BEST_FPERIOD_OVERRIDE=FQ","FILING_STATUS=MR","Sort=A","Dates=H","DateFormat=P","Fill=—","Direction=H","UseDPDF=Y")</f>
        <v>-8.9502000000000006</v>
      </c>
      <c r="Y79" s="14">
        <f>_xll.BDH("AMGN US Equity","FIXED_ASSETS_SEQUENTIAL_GROWTH","FQ2 2024","FQ2 2024","Currency=USD","Period=FQ","BEST_FPERIOD_OVERRIDE=FQ","FILING_STATUS=MR","Sort=A","Dates=H","DateFormat=P","Fill=—","Direction=H","UseDPDF=Y")</f>
        <v>1.5828</v>
      </c>
      <c r="Z79" s="14">
        <f>_xll.BDH("AMGN US Equity","FIXED_ASSETS_SEQUENTIAL_GROWTH","FQ3 2024","FQ3 2024","Currency=USD","Period=FQ","BEST_FPERIOD_OVERRIDE=FQ","FILING_STATUS=MR","Sort=A","Dates=H","DateFormat=P","Fill=—","Direction=H","UseDPDF=Y")</f>
        <v>0.9677</v>
      </c>
      <c r="AA79" s="14">
        <f>_xll.BDH("AMGN US Equity","FIXED_ASSETS_SEQUENTIAL_GROWTH","FQ4 2024","FQ4 2024","Currency=USD","Period=FQ","BEST_FPERIOD_OVERRIDE=FQ","FILING_STATUS=MR","Sort=A","Dates=H","DateFormat=P","Fill=—","Direction=H","UseDPDF=Y")</f>
        <v>15.3346</v>
      </c>
    </row>
    <row r="80" spans="1:27" x14ac:dyDescent="0.25">
      <c r="A80" s="10" t="s">
        <v>112</v>
      </c>
      <c r="B80" s="10" t="s">
        <v>1547</v>
      </c>
      <c r="C80" s="14">
        <f>_xll.BDH("AMGN US Equity","TOTAL_ASSETS_SEQUENTIAL_GROWTH","FQ4 2018","FQ4 2018","Currency=USD","Period=FQ","BEST_FPERIOD_OVERRIDE=FQ","FILING_STATUS=MR","Sort=A","Dates=H","DateFormat=P","Fill=—","Direction=H","UseDPDF=Y")</f>
        <v>-1.3619000000000001</v>
      </c>
      <c r="D80" s="14">
        <f>_xll.BDH("AMGN US Equity","TOTAL_ASSETS_SEQUENTIAL_GROWTH","FQ1 2019","FQ1 2019","Currency=USD","Period=FQ","BEST_FPERIOD_OVERRIDE=FQ","FILING_STATUS=MR","Sort=A","Dates=H","DateFormat=P","Fill=—","Direction=H","UseDPDF=Y")</f>
        <v>-3.6421999999999999</v>
      </c>
      <c r="E80" s="14">
        <f>_xll.BDH("AMGN US Equity","TOTAL_ASSETS_SEQUENTIAL_GROWTH","FQ2 2019","FQ2 2019","Currency=USD","Period=FQ","BEST_FPERIOD_OVERRIDE=FQ","FILING_STATUS=MR","Sort=A","Dates=H","DateFormat=P","Fill=—","Direction=H","UseDPDF=Y")</f>
        <v>-7.2252999999999998</v>
      </c>
      <c r="F80" s="14">
        <f>_xll.BDH("AMGN US Equity","TOTAL_ASSETS_SEQUENTIAL_GROWTH","FQ3 2019","FQ3 2019","Currency=USD","Period=FQ","BEST_FPERIOD_OVERRIDE=FQ","FILING_STATUS=MR","Sort=A","Dates=H","DateFormat=P","Fill=—","Direction=H","UseDPDF=Y")</f>
        <v>0.27289999999999998</v>
      </c>
      <c r="G80" s="14">
        <f>_xll.BDH("AMGN US Equity","TOTAL_ASSETS_SEQUENTIAL_GROWTH","FQ4 2019","FQ4 2019","Currency=USD","Period=FQ","BEST_FPERIOD_OVERRIDE=FQ","FILING_STATUS=MR","Sort=A","Dates=H","DateFormat=P","Fill=—","Direction=H","UseDPDF=Y")</f>
        <v>0.28889999999999999</v>
      </c>
      <c r="H80" s="14">
        <f>_xll.BDH("AMGN US Equity","TOTAL_ASSETS_SEQUENTIAL_GROWTH","FQ1 2020","FQ1 2020","Currency=USD","Period=FQ","BEST_FPERIOD_OVERRIDE=FQ","FILING_STATUS=MR","Sort=A","Dates=H","DateFormat=P","Fill=—","Direction=H","UseDPDF=Y")</f>
        <v>3.286</v>
      </c>
      <c r="I80" s="14">
        <f>_xll.BDH("AMGN US Equity","TOTAL_ASSETS_SEQUENTIAL_GROWTH","FQ2 2020","FQ2 2020","Currency=USD","Period=FQ","BEST_FPERIOD_OVERRIDE=FQ","FILING_STATUS=MR","Sort=A","Dates=H","DateFormat=P","Fill=—","Direction=H","UseDPDF=Y")</f>
        <v>5.4192999999999998</v>
      </c>
      <c r="J80" s="14">
        <f>_xll.BDH("AMGN US Equity","TOTAL_ASSETS_SEQUENTIAL_GROWTH","FQ3 2020","FQ3 2020","Currency=USD","Period=FQ","BEST_FPERIOD_OVERRIDE=FQ","FILING_STATUS=MR","Sort=A","Dates=H","DateFormat=P","Fill=—","Direction=H","UseDPDF=Y")</f>
        <v>-0.57530000000000003</v>
      </c>
      <c r="K80" s="14">
        <f>_xll.BDH("AMGN US Equity","TOTAL_ASSETS_SEQUENTIAL_GROWTH","FQ4 2020","FQ4 2020","Currency=USD","Period=FQ","BEST_FPERIOD_OVERRIDE=FQ","FILING_STATUS=MR","Sort=A","Dates=H","DateFormat=P","Fill=—","Direction=H","UseDPDF=Y")</f>
        <v>-2.6131000000000002</v>
      </c>
      <c r="L80" s="14">
        <f>_xll.BDH("AMGN US Equity","TOTAL_ASSETS_SEQUENTIAL_GROWTH","FQ1 2021","FQ1 2021","Currency=USD","Period=FQ","BEST_FPERIOD_OVERRIDE=FQ","FILING_STATUS=MR","Sort=A","Dates=H","DateFormat=P","Fill=—","Direction=H","UseDPDF=Y")</f>
        <v>-0.64970000000000006</v>
      </c>
      <c r="M80" s="14">
        <f>_xll.BDH("AMGN US Equity","TOTAL_ASSETS_SEQUENTIAL_GROWTH","FQ2 2021","FQ2 2021","Currency=USD","Period=FQ","BEST_FPERIOD_OVERRIDE=FQ","FILING_STATUS=MR","Sort=A","Dates=H","DateFormat=P","Fill=—","Direction=H","UseDPDF=Y")</f>
        <v>-4.4227999999999996</v>
      </c>
      <c r="N80" s="14">
        <f>_xll.BDH("AMGN US Equity","TOTAL_ASSETS_SEQUENTIAL_GROWTH","FQ3 2021","FQ3 2021","Currency=USD","Period=FQ","BEST_FPERIOD_OVERRIDE=FQ","FILING_STATUS=MR","Sort=A","Dates=H","DateFormat=P","Fill=—","Direction=H","UseDPDF=Y")</f>
        <v>8.7330000000000005</v>
      </c>
      <c r="O80" s="14">
        <f>_xll.BDH("AMGN US Equity","TOTAL_ASSETS_SEQUENTIAL_GROWTH","FQ4 2021","FQ4 2021","Currency=USD","Period=FQ","BEST_FPERIOD_OVERRIDE=FQ","FILING_STATUS=MR","Sort=A","Dates=H","DateFormat=P","Fill=—","Direction=H","UseDPDF=Y")</f>
        <v>-5.8898999999999999</v>
      </c>
      <c r="P80" s="14">
        <f>_xll.BDH("AMGN US Equity","TOTAL_ASSETS_SEQUENTIAL_GROWTH","FQ1 2022","FQ1 2022","Currency=USD","Period=FQ","BEST_FPERIOD_OVERRIDE=FQ","FILING_STATUS=MR","Sort=A","Dates=H","DateFormat=P","Fill=—","Direction=H","UseDPDF=Y")</f>
        <v>-3.2191999999999998</v>
      </c>
      <c r="Q80" s="14">
        <f>_xll.BDH("AMGN US Equity","TOTAL_ASSETS_SEQUENTIAL_GROWTH","FQ2 2022","FQ2 2022","Currency=USD","Period=FQ","BEST_FPERIOD_OVERRIDE=FQ","FILING_STATUS=MR","Sort=A","Dates=H","DateFormat=P","Fill=—","Direction=H","UseDPDF=Y")</f>
        <v>0.1656</v>
      </c>
      <c r="R80" s="14">
        <f>_xll.BDH("AMGN US Equity","TOTAL_ASSETS_SEQUENTIAL_GROWTH","FQ3 2022","FQ3 2022","Currency=USD","Period=FQ","BEST_FPERIOD_OVERRIDE=FQ","FILING_STATUS=MR","Sort=A","Dates=H","DateFormat=P","Fill=—","Direction=H","UseDPDF=Y")</f>
        <v>7.4307999999999996</v>
      </c>
      <c r="S80" s="14">
        <f>_xll.BDH("AMGN US Equity","TOTAL_ASSETS_SEQUENTIAL_GROWTH","FQ4 2022","FQ4 2022","Currency=USD","Period=FQ","BEST_FPERIOD_OVERRIDE=FQ","FILING_STATUS=MR","Sort=A","Dates=H","DateFormat=P","Fill=—","Direction=H","UseDPDF=Y")</f>
        <v>2.2307999999999999</v>
      </c>
      <c r="T80" s="14">
        <f>_xll.BDH("AMGN US Equity","TOTAL_ASSETS_SEQUENTIAL_GROWTH","FQ1 2023","FQ1 2023","Currency=USD","Period=FQ","BEST_FPERIOD_OVERRIDE=FQ","FILING_STATUS=MR","Sort=A","Dates=H","DateFormat=P","Fill=—","Direction=H","UseDPDF=Y")</f>
        <v>36.238700000000001</v>
      </c>
      <c r="U80" s="14">
        <f>_xll.BDH("AMGN US Equity","TOTAL_ASSETS_SEQUENTIAL_GROWTH","FQ2 2023","FQ2 2023","Currency=USD","Period=FQ","BEST_FPERIOD_OVERRIDE=FQ","FILING_STATUS=MR","Sort=A","Dates=H","DateFormat=P","Fill=—","Direction=H","UseDPDF=Y")</f>
        <v>1.7459</v>
      </c>
      <c r="V80" s="14">
        <f>_xll.BDH("AMGN US Equity","TOTAL_ASSETS_SEQUENTIAL_GROWTH","FQ3 2023","FQ3 2023","Currency=USD","Period=FQ","BEST_FPERIOD_OVERRIDE=FQ","FILING_STATUS=MR","Sort=A","Dates=H","DateFormat=P","Fill=—","Direction=H","UseDPDF=Y")</f>
        <v>0.29360000000000003</v>
      </c>
      <c r="W80" s="14">
        <f>_xll.BDH("AMGN US Equity","TOTAL_ASSETS_SEQUENTIAL_GROWTH","FQ4 2023","FQ4 2023","Currency=USD","Period=FQ","BEST_FPERIOD_OVERRIDE=FQ","FILING_STATUS=MR","Sort=A","Dates=H","DateFormat=P","Fill=—","Direction=H","UseDPDF=Y")</f>
        <v>7.3121999999999998</v>
      </c>
      <c r="X80" s="14">
        <f>_xll.BDH("AMGN US Equity","TOTAL_ASSETS_SEQUENTIAL_GROWTH","FQ1 2024","FQ1 2024","Currency=USD","Period=FQ","BEST_FPERIOD_OVERRIDE=FQ","FILING_STATUS=MR","Sort=A","Dates=H","DateFormat=P","Fill=—","Direction=H","UseDPDF=Y")</f>
        <v>-4.2962999999999996</v>
      </c>
      <c r="Y80" s="14">
        <f>_xll.BDH("AMGN US Equity","TOTAL_ASSETS_SEQUENTIAL_GROWTH","FQ2 2024","FQ2 2024","Currency=USD","Period=FQ","BEST_FPERIOD_OVERRIDE=FQ","FILING_STATUS=MR","Sort=A","Dates=H","DateFormat=P","Fill=—","Direction=H","UseDPDF=Y")</f>
        <v>-2.2294999999999998</v>
      </c>
      <c r="Z80" s="14">
        <f>_xll.BDH("AMGN US Equity","TOTAL_ASSETS_SEQUENTIAL_GROWTH","FQ3 2024","FQ3 2024","Currency=USD","Period=FQ","BEST_FPERIOD_OVERRIDE=FQ","FILING_STATUS=MR","Sort=A","Dates=H","DateFormat=P","Fill=—","Direction=H","UseDPDF=Y")</f>
        <v>-2.64E-2</v>
      </c>
      <c r="AA80" s="14">
        <f>_xll.BDH("AMGN US Equity","TOTAL_ASSETS_SEQUENTIAL_GROWTH","FQ4 2024","FQ4 2024","Currency=USD","Period=FQ","BEST_FPERIOD_OVERRIDE=FQ","FILING_STATUS=MR","Sort=A","Dates=H","DateFormat=P","Fill=—","Direction=H","UseDPDF=Y")</f>
        <v>1.0519000000000001</v>
      </c>
    </row>
    <row r="81" spans="1:27" x14ac:dyDescent="0.25">
      <c r="A81" s="10" t="s">
        <v>1483</v>
      </c>
      <c r="B81" s="10" t="s">
        <v>1548</v>
      </c>
      <c r="C81" s="14">
        <f>_xll.BDH("AMGN US Equity","MODIFIED_WORKING_CPTL_SEQ_GRWTH","FQ4 2018","FQ4 2018","Currency=USD","Period=FQ","BEST_FPERIOD_OVERRIDE=FQ","FILING_STATUS=MR","Sort=A","Dates=H","DateFormat=P","Fill=—","Direction=H","UseDPDF=Y")</f>
        <v>-1.9017999999999999</v>
      </c>
      <c r="D81" s="14">
        <f>_xll.BDH("AMGN US Equity","MODIFIED_WORKING_CPTL_SEQ_GRWTH","FQ1 2019","FQ1 2019","Currency=USD","Period=FQ","BEST_FPERIOD_OVERRIDE=FQ","FILING_STATUS=MR","Sort=A","Dates=H","DateFormat=P","Fill=—","Direction=H","UseDPDF=Y")</f>
        <v>7.2087000000000003</v>
      </c>
      <c r="E81" s="14">
        <f>_xll.BDH("AMGN US Equity","MODIFIED_WORKING_CPTL_SEQ_GRWTH","FQ2 2019","FQ2 2019","Currency=USD","Period=FQ","BEST_FPERIOD_OVERRIDE=FQ","FILING_STATUS=MR","Sort=A","Dates=H","DateFormat=P","Fill=—","Direction=H","UseDPDF=Y")</f>
        <v>4.9157000000000002</v>
      </c>
      <c r="F81" s="14">
        <f>_xll.BDH("AMGN US Equity","MODIFIED_WORKING_CPTL_SEQ_GRWTH","FQ3 2019","FQ3 2019","Currency=USD","Period=FQ","BEST_FPERIOD_OVERRIDE=FQ","FILING_STATUS=MR","Sort=A","Dates=H","DateFormat=P","Fill=—","Direction=H","UseDPDF=Y")</f>
        <v>-2.2088000000000001</v>
      </c>
      <c r="G81" s="14">
        <f>_xll.BDH("AMGN US Equity","MODIFIED_WORKING_CPTL_SEQ_GRWTH","FQ4 2019","FQ4 2019","Currency=USD","Period=FQ","BEST_FPERIOD_OVERRIDE=FQ","FILING_STATUS=MR","Sort=A","Dates=H","DateFormat=P","Fill=—","Direction=H","UseDPDF=Y")</f>
        <v>7.2895000000000003</v>
      </c>
      <c r="H81" s="14">
        <f>_xll.BDH("AMGN US Equity","MODIFIED_WORKING_CPTL_SEQ_GRWTH","FQ1 2020","FQ1 2020","Currency=USD","Period=FQ","BEST_FPERIOD_OVERRIDE=FQ","FILING_STATUS=MR","Sort=A","Dates=H","DateFormat=P","Fill=—","Direction=H","UseDPDF=Y")</f>
        <v>17.2727</v>
      </c>
      <c r="I81" s="14">
        <f>_xll.BDH("AMGN US Equity","MODIFIED_WORKING_CPTL_SEQ_GRWTH","FQ2 2020","FQ2 2020","Currency=USD","Period=FQ","BEST_FPERIOD_OVERRIDE=FQ","FILING_STATUS=MR","Sort=A","Dates=H","DateFormat=P","Fill=—","Direction=H","UseDPDF=Y")</f>
        <v>9.5607000000000006</v>
      </c>
      <c r="J81" s="14">
        <f>_xll.BDH("AMGN US Equity","MODIFIED_WORKING_CPTL_SEQ_GRWTH","FQ3 2020","FQ3 2020","Currency=USD","Period=FQ","BEST_FPERIOD_OVERRIDE=FQ","FILING_STATUS=MR","Sort=A","Dates=H","DateFormat=P","Fill=—","Direction=H","UseDPDF=Y")</f>
        <v>-14.6599</v>
      </c>
      <c r="K81" s="14">
        <f>_xll.BDH("AMGN US Equity","MODIFIED_WORKING_CPTL_SEQ_GRWTH","FQ4 2020","FQ4 2020","Currency=USD","Period=FQ","BEST_FPERIOD_OVERRIDE=FQ","FILING_STATUS=MR","Sort=A","Dates=H","DateFormat=P","Fill=—","Direction=H","UseDPDF=Y")</f>
        <v>1.7745</v>
      </c>
      <c r="L81" s="14">
        <f>_xll.BDH("AMGN US Equity","MODIFIED_WORKING_CPTL_SEQ_GRWTH","FQ1 2021","FQ1 2021","Currency=USD","Period=FQ","BEST_FPERIOD_OVERRIDE=FQ","FILING_STATUS=MR","Sort=A","Dates=H","DateFormat=P","Fill=—","Direction=H","UseDPDF=Y")</f>
        <v>0.67169999999999996</v>
      </c>
      <c r="M81" s="14">
        <f>_xll.BDH("AMGN US Equity","MODIFIED_WORKING_CPTL_SEQ_GRWTH","FQ2 2021","FQ2 2021","Currency=USD","Period=FQ","BEST_FPERIOD_OVERRIDE=FQ","FILING_STATUS=MR","Sort=A","Dates=H","DateFormat=P","Fill=—","Direction=H","UseDPDF=Y")</f>
        <v>3.8755999999999999</v>
      </c>
      <c r="N81" s="14">
        <f>_xll.BDH("AMGN US Equity","MODIFIED_WORKING_CPTL_SEQ_GRWTH","FQ3 2021","FQ3 2021","Currency=USD","Period=FQ","BEST_FPERIOD_OVERRIDE=FQ","FILING_STATUS=MR","Sort=A","Dates=H","DateFormat=P","Fill=—","Direction=H","UseDPDF=Y")</f>
        <v>5.8631000000000002</v>
      </c>
      <c r="O81" s="14">
        <f>_xll.BDH("AMGN US Equity","MODIFIED_WORKING_CPTL_SEQ_GRWTH","FQ4 2021","FQ4 2021","Currency=USD","Period=FQ","BEST_FPERIOD_OVERRIDE=FQ","FILING_STATUS=MR","Sort=A","Dates=H","DateFormat=P","Fill=—","Direction=H","UseDPDF=Y")</f>
        <v>-1.6912</v>
      </c>
      <c r="P81" s="14">
        <f>_xll.BDH("AMGN US Equity","MODIFIED_WORKING_CPTL_SEQ_GRWTH","FQ1 2022","FQ1 2022","Currency=USD","Period=FQ","BEST_FPERIOD_OVERRIDE=FQ","FILING_STATUS=MR","Sort=A","Dates=H","DateFormat=P","Fill=—","Direction=H","UseDPDF=Y")</f>
        <v>6.1719999999999997</v>
      </c>
      <c r="Q81" s="14">
        <f>_xll.BDH("AMGN US Equity","MODIFIED_WORKING_CPTL_SEQ_GRWTH","FQ2 2022","FQ2 2022","Currency=USD","Period=FQ","BEST_FPERIOD_OVERRIDE=FQ","FILING_STATUS=MR","Sort=A","Dates=H","DateFormat=P","Fill=—","Direction=H","UseDPDF=Y")</f>
        <v>6.6790000000000003</v>
      </c>
      <c r="R81" s="14">
        <f>_xll.BDH("AMGN US Equity","MODIFIED_WORKING_CPTL_SEQ_GRWTH","FQ3 2022","FQ3 2022","Currency=USD","Period=FQ","BEST_FPERIOD_OVERRIDE=FQ","FILING_STATUS=MR","Sort=A","Dates=H","DateFormat=P","Fill=—","Direction=H","UseDPDF=Y")</f>
        <v>2.9449000000000001</v>
      </c>
      <c r="S81" s="14">
        <f>_xll.BDH("AMGN US Equity","MODIFIED_WORKING_CPTL_SEQ_GRWTH","FQ4 2022","FQ4 2022","Currency=USD","Period=FQ","BEST_FPERIOD_OVERRIDE=FQ","FILING_STATUS=MR","Sort=A","Dates=H","DateFormat=P","Fill=—","Direction=H","UseDPDF=Y")</f>
        <v>0.47299999999999998</v>
      </c>
      <c r="T81" s="14">
        <f>_xll.BDH("AMGN US Equity","MODIFIED_WORKING_CPTL_SEQ_GRWTH","FQ1 2023","FQ1 2023","Currency=USD","Period=FQ","BEST_FPERIOD_OVERRIDE=FQ","FILING_STATUS=MR","Sort=A","Dates=H","DateFormat=P","Fill=—","Direction=H","UseDPDF=Y")</f>
        <v>5.6719999999999997</v>
      </c>
      <c r="U81" s="14">
        <f>_xll.BDH("AMGN US Equity","MODIFIED_WORKING_CPTL_SEQ_GRWTH","FQ2 2023","FQ2 2023","Currency=USD","Period=FQ","BEST_FPERIOD_OVERRIDE=FQ","FILING_STATUS=MR","Sort=A","Dates=H","DateFormat=P","Fill=—","Direction=H","UseDPDF=Y")</f>
        <v>1.7927</v>
      </c>
      <c r="V81" s="14">
        <f>_xll.BDH("AMGN US Equity","MODIFIED_WORKING_CPTL_SEQ_GRWTH","FQ3 2023","FQ3 2023","Currency=USD","Period=FQ","BEST_FPERIOD_OVERRIDE=FQ","FILING_STATUS=MR","Sort=A","Dates=H","DateFormat=P","Fill=—","Direction=H","UseDPDF=Y")</f>
        <v>2.2614000000000001</v>
      </c>
      <c r="W81" s="14">
        <f>_xll.BDH("AMGN US Equity","MODIFIED_WORKING_CPTL_SEQ_GRWTH","FQ4 2023","FQ4 2023","Currency=USD","Period=FQ","BEST_FPERIOD_OVERRIDE=FQ","FILING_STATUS=MR","Sort=A","Dates=H","DateFormat=P","Fill=—","Direction=H","UseDPDF=Y")</f>
        <v>54.855800000000002</v>
      </c>
      <c r="X81" s="14">
        <f>_xll.BDH("AMGN US Equity","MODIFIED_WORKING_CPTL_SEQ_GRWTH","FQ1 2024","FQ1 2024","Currency=USD","Period=FQ","BEST_FPERIOD_OVERRIDE=FQ","FILING_STATUS=MR","Sort=A","Dates=H","DateFormat=P","Fill=—","Direction=H","UseDPDF=Y")</f>
        <v>-8.7127999999999997</v>
      </c>
      <c r="Y81" s="14">
        <f>_xll.BDH("AMGN US Equity","MODIFIED_WORKING_CPTL_SEQ_GRWTH","FQ2 2024","FQ2 2024","Currency=USD","Period=FQ","BEST_FPERIOD_OVERRIDE=FQ","FILING_STATUS=MR","Sort=A","Dates=H","DateFormat=P","Fill=—","Direction=H","UseDPDF=Y")</f>
        <v>-8.7225999999999999</v>
      </c>
      <c r="Z81" s="14">
        <f>_xll.BDH("AMGN US Equity","MODIFIED_WORKING_CPTL_SEQ_GRWTH","FQ3 2024","FQ3 2024","Currency=USD","Period=FQ","BEST_FPERIOD_OVERRIDE=FQ","FILING_STATUS=MR","Sort=A","Dates=H","DateFormat=P","Fill=—","Direction=H","UseDPDF=Y")</f>
        <v>-1.0266999999999999</v>
      </c>
      <c r="AA81" s="14">
        <f>_xll.BDH("AMGN US Equity","MODIFIED_WORKING_CPTL_SEQ_GRWTH","FQ4 2024","FQ4 2024","Currency=USD","Period=FQ","BEST_FPERIOD_OVERRIDE=FQ","FILING_STATUS=MR","Sort=A","Dates=H","DateFormat=P","Fill=—","Direction=H","UseDPDF=Y")</f>
        <v>-5.2664999999999997</v>
      </c>
    </row>
    <row r="82" spans="1:27" x14ac:dyDescent="0.25">
      <c r="A82" s="10" t="s">
        <v>1485</v>
      </c>
      <c r="B82" s="10" t="s">
        <v>1549</v>
      </c>
      <c r="C82" s="14">
        <f>_xll.BDH("AMGN US Equity","WORKING_CAPITAL_SEQ_GROWTH","FQ4 2018","FQ4 2018","Currency=USD","Period=FQ","BEST_FPERIOD_OVERRIDE=FQ","FILING_STATUS=MR","Sort=A","Dates=H","DateFormat=P","Fill=—","Direction=H","UseDPDF=Y")</f>
        <v>-6.7907999999999999</v>
      </c>
      <c r="D82" s="14">
        <f>_xll.BDH("AMGN US Equity","WORKING_CAPITAL_SEQ_GROWTH","FQ1 2019","FQ1 2019","Currency=USD","Period=FQ","BEST_FPERIOD_OVERRIDE=FQ","FILING_STATUS=MR","Sort=A","Dates=H","DateFormat=P","Fill=—","Direction=H","UseDPDF=Y")</f>
        <v>-6.9829999999999997</v>
      </c>
      <c r="E82" s="14">
        <f>_xll.BDH("AMGN US Equity","WORKING_CAPITAL_SEQ_GROWTH","FQ2 2019","FQ2 2019","Currency=USD","Period=FQ","BEST_FPERIOD_OVERRIDE=FQ","FILING_STATUS=MR","Sort=A","Dates=H","DateFormat=P","Fill=—","Direction=H","UseDPDF=Y")</f>
        <v>-10.3408</v>
      </c>
      <c r="F82" s="14">
        <f>_xll.BDH("AMGN US Equity","WORKING_CAPITAL_SEQ_GROWTH","FQ3 2019","FQ3 2019","Currency=USD","Period=FQ","BEST_FPERIOD_OVERRIDE=FQ","FILING_STATUS=MR","Sort=A","Dates=H","DateFormat=P","Fill=—","Direction=H","UseDPDF=Y")</f>
        <v>0.94410000000000005</v>
      </c>
      <c r="G82" s="14">
        <f>_xll.BDH("AMGN US Equity","WORKING_CAPITAL_SEQ_GROWTH","FQ4 2019","FQ4 2019","Currency=USD","Period=FQ","BEST_FPERIOD_OVERRIDE=FQ","FILING_STATUS=MR","Sort=A","Dates=H","DateFormat=P","Fill=—","Direction=H","UseDPDF=Y")</f>
        <v>-72.408199999999994</v>
      </c>
      <c r="H82" s="14">
        <f>_xll.BDH("AMGN US Equity","WORKING_CAPITAL_SEQ_GROWTH","FQ1 2020","FQ1 2020","Currency=USD","Period=FQ","BEST_FPERIOD_OVERRIDE=FQ","FILING_STATUS=MR","Sort=A","Dates=H","DateFormat=P","Fill=—","Direction=H","UseDPDF=Y")</f>
        <v>24.6387</v>
      </c>
      <c r="I82" s="14">
        <f>_xll.BDH("AMGN US Equity","WORKING_CAPITAL_SEQ_GROWTH","FQ2 2020","FQ2 2020","Currency=USD","Period=FQ","BEST_FPERIOD_OVERRIDE=FQ","FILING_STATUS=MR","Sort=A","Dates=H","DateFormat=P","Fill=—","Direction=H","UseDPDF=Y")</f>
        <v>77.097099999999998</v>
      </c>
      <c r="J82" s="14">
        <f>_xll.BDH("AMGN US Equity","WORKING_CAPITAL_SEQ_GROWTH","FQ3 2020","FQ3 2020","Currency=USD","Period=FQ","BEST_FPERIOD_OVERRIDE=FQ","FILING_STATUS=MR","Sort=A","Dates=H","DateFormat=P","Fill=—","Direction=H","UseDPDF=Y")</f>
        <v>2.7158000000000002</v>
      </c>
      <c r="K82" s="14">
        <f>_xll.BDH("AMGN US Equity","WORKING_CAPITAL_SEQ_GROWTH","FQ4 2020","FQ4 2020","Currency=USD","Period=FQ","BEST_FPERIOD_OVERRIDE=FQ","FILING_STATUS=MR","Sort=A","Dates=H","DateFormat=P","Fill=—","Direction=H","UseDPDF=Y")</f>
        <v>-25.314800000000002</v>
      </c>
      <c r="L82" s="14">
        <f>_xll.BDH("AMGN US Equity","WORKING_CAPITAL_SEQ_GROWTH","FQ1 2021","FQ1 2021","Currency=USD","Period=FQ","BEST_FPERIOD_OVERRIDE=FQ","FILING_STATUS=MR","Sort=A","Dates=H","DateFormat=P","Fill=—","Direction=H","UseDPDF=Y")</f>
        <v>-11.179</v>
      </c>
      <c r="M82" s="14">
        <f>_xll.BDH("AMGN US Equity","WORKING_CAPITAL_SEQ_GROWTH","FQ2 2021","FQ2 2021","Currency=USD","Period=FQ","BEST_FPERIOD_OVERRIDE=FQ","FILING_STATUS=MR","Sort=A","Dates=H","DateFormat=P","Fill=—","Direction=H","UseDPDF=Y")</f>
        <v>-46.453099999999999</v>
      </c>
      <c r="N82" s="14">
        <f>_xll.BDH("AMGN US Equity","WORKING_CAPITAL_SEQ_GROWTH","FQ3 2021","FQ3 2021","Currency=USD","Period=FQ","BEST_FPERIOD_OVERRIDE=FQ","FILING_STATUS=MR","Sort=A","Dates=H","DateFormat=P","Fill=—","Direction=H","UseDPDF=Y")</f>
        <v>111.29819999999999</v>
      </c>
      <c r="O82" s="14">
        <f>_xll.BDH("AMGN US Equity","WORKING_CAPITAL_SEQ_GROWTH","FQ4 2021","FQ4 2021","Currency=USD","Period=FQ","BEST_FPERIOD_OVERRIDE=FQ","FILING_STATUS=MR","Sort=A","Dates=H","DateFormat=P","Fill=—","Direction=H","UseDPDF=Y")</f>
        <v>-24.501999999999999</v>
      </c>
      <c r="P82" s="14">
        <f>_xll.BDH("AMGN US Equity","WORKING_CAPITAL_SEQ_GROWTH","FQ1 2022","FQ1 2022","Currency=USD","Period=FQ","BEST_FPERIOD_OVERRIDE=FQ","FILING_STATUS=MR","Sort=A","Dates=H","DateFormat=P","Fill=—","Direction=H","UseDPDF=Y")</f>
        <v>-21.760899999999999</v>
      </c>
      <c r="Q82" s="14">
        <f>_xll.BDH("AMGN US Equity","WORKING_CAPITAL_SEQ_GROWTH","FQ2 2022","FQ2 2022","Currency=USD","Period=FQ","BEST_FPERIOD_OVERRIDE=FQ","FILING_STATUS=MR","Sort=A","Dates=H","DateFormat=P","Fill=—","Direction=H","UseDPDF=Y")</f>
        <v>18.991800000000001</v>
      </c>
      <c r="R82" s="14">
        <f>_xll.BDH("AMGN US Equity","WORKING_CAPITAL_SEQ_GROWTH","FQ3 2022","FQ3 2022","Currency=USD","Period=FQ","BEST_FPERIOD_OVERRIDE=FQ","FILING_STATUS=MR","Sort=A","Dates=H","DateFormat=P","Fill=—","Direction=H","UseDPDF=Y")</f>
        <v>45.152099999999997</v>
      </c>
      <c r="S82" s="14">
        <f>_xll.BDH("AMGN US Equity","WORKING_CAPITAL_SEQ_GROWTH","FQ4 2022","FQ4 2022","Currency=USD","Period=FQ","BEST_FPERIOD_OVERRIDE=FQ","FILING_STATUS=MR","Sort=A","Dates=H","DateFormat=P","Fill=—","Direction=H","UseDPDF=Y")</f>
        <v>-33.2134</v>
      </c>
      <c r="T82" s="14">
        <f>_xll.BDH("AMGN US Equity","WORKING_CAPITAL_SEQ_GROWTH","FQ1 2023","FQ1 2023","Currency=USD","Period=FQ","BEST_FPERIOD_OVERRIDE=FQ","FILING_STATUS=MR","Sort=A","Dates=H","DateFormat=P","Fill=—","Direction=H","UseDPDF=Y")</f>
        <v>369.11829999999998</v>
      </c>
      <c r="U82" s="14">
        <f>_xll.BDH("AMGN US Equity","WORKING_CAPITAL_SEQ_GROWTH","FQ2 2023","FQ2 2023","Currency=USD","Period=FQ","BEST_FPERIOD_OVERRIDE=FQ","FILING_STATUS=MR","Sort=A","Dates=H","DateFormat=P","Fill=—","Direction=H","UseDPDF=Y")</f>
        <v>-0.6724</v>
      </c>
      <c r="V82" s="14">
        <f>_xll.BDH("AMGN US Equity","WORKING_CAPITAL_SEQ_GROWTH","FQ3 2023","FQ3 2023","Currency=USD","Period=FQ","BEST_FPERIOD_OVERRIDE=FQ","FILING_STATUS=MR","Sort=A","Dates=H","DateFormat=P","Fill=—","Direction=H","UseDPDF=Y")</f>
        <v>4.0946999999999996</v>
      </c>
      <c r="W82" s="14">
        <f>_xll.BDH("AMGN US Equity","WORKING_CAPITAL_SEQ_GROWTH","FQ4 2023","FQ4 2023","Currency=USD","Period=FQ","BEST_FPERIOD_OVERRIDE=FQ","FILING_STATUS=MR","Sort=A","Dates=H","DateFormat=P","Fill=—","Direction=H","UseDPDF=Y")</f>
        <v>-62.122900000000001</v>
      </c>
      <c r="X82" s="14">
        <f>_xll.BDH("AMGN US Equity","WORKING_CAPITAL_SEQ_GROWTH","FQ1 2024","FQ1 2024","Currency=USD","Period=FQ","BEST_FPERIOD_OVERRIDE=FQ","FILING_STATUS=MR","Sort=A","Dates=H","DateFormat=P","Fill=—","Direction=H","UseDPDF=Y")</f>
        <v>-30.360099999999999</v>
      </c>
      <c r="Y82" s="14">
        <f>_xll.BDH("AMGN US Equity","WORKING_CAPITAL_SEQ_GROWTH","FQ2 2024","FQ2 2024","Currency=USD","Period=FQ","BEST_FPERIOD_OVERRIDE=FQ","FILING_STATUS=MR","Sort=A","Dates=H","DateFormat=P","Fill=—","Direction=H","UseDPDF=Y")</f>
        <v>-31.581499999999998</v>
      </c>
      <c r="Z82" s="14">
        <f>_xll.BDH("AMGN US Equity","WORKING_CAPITAL_SEQ_GROWTH","FQ3 2024","FQ3 2024","Currency=USD","Period=FQ","BEST_FPERIOD_OVERRIDE=FQ","FILING_STATUS=MR","Sort=A","Dates=H","DateFormat=P","Fill=—","Direction=H","UseDPDF=Y")</f>
        <v>13.446999999999999</v>
      </c>
      <c r="AA82" s="14">
        <f>_xll.BDH("AMGN US Equity","WORKING_CAPITAL_SEQ_GROWTH","FQ4 2024","FQ4 2024","Currency=USD","Period=FQ","BEST_FPERIOD_OVERRIDE=FQ","FILING_STATUS=MR","Sort=A","Dates=H","DateFormat=P","Fill=—","Direction=H","UseDPDF=Y")</f>
        <v>-8.1035000000000004</v>
      </c>
    </row>
    <row r="83" spans="1:27" x14ac:dyDescent="0.25">
      <c r="A83" s="10" t="s">
        <v>1489</v>
      </c>
      <c r="B83" s="10" t="s">
        <v>1550</v>
      </c>
      <c r="C83" s="14">
        <f>_xll.BDH("AMGN US Equity","ACCOUNTS_PAYABLE_SEQ_GROWTH","FQ4 2018","FQ4 2018","Currency=USD","Period=FQ","BEST_FPERIOD_OVERRIDE=FQ","FILING_STATUS=MR","Sort=A","Dates=H","DateFormat=P","Fill=—","Direction=H","UseDPDF=Y")</f>
        <v>15.834899999999999</v>
      </c>
      <c r="D83" s="14">
        <f>_xll.BDH("AMGN US Equity","ACCOUNTS_PAYABLE_SEQ_GROWTH","FQ1 2019","FQ1 2019","Currency=USD","Period=FQ","BEST_FPERIOD_OVERRIDE=FQ","FILING_STATUS=MR","Sort=A","Dates=H","DateFormat=P","Fill=—","Direction=H","UseDPDF=Y")</f>
        <v>-9.6105999999999998</v>
      </c>
      <c r="E83" s="14">
        <f>_xll.BDH("AMGN US Equity","ACCOUNTS_PAYABLE_SEQ_GROWTH","FQ2 2019","FQ2 2019","Currency=USD","Period=FQ","BEST_FPERIOD_OVERRIDE=FQ","FILING_STATUS=MR","Sort=A","Dates=H","DateFormat=P","Fill=—","Direction=H","UseDPDF=Y")</f>
        <v>-8.2492999999999999</v>
      </c>
      <c r="F83" s="14">
        <f>_xll.BDH("AMGN US Equity","ACCOUNTS_PAYABLE_SEQ_GROWTH","FQ3 2019","FQ3 2019","Currency=USD","Period=FQ","BEST_FPERIOD_OVERRIDE=FQ","FILING_STATUS=MR","Sort=A","Dates=H","DateFormat=P","Fill=—","Direction=H","UseDPDF=Y")</f>
        <v>0.39960000000000001</v>
      </c>
      <c r="G83" s="14">
        <f>_xll.BDH("AMGN US Equity","ACCOUNTS_PAYABLE_SEQ_GROWTH","FQ4 2019","FQ4 2019","Currency=USD","Period=FQ","BEST_FPERIOD_OVERRIDE=FQ","FILING_STATUS=MR","Sort=A","Dates=H","DateFormat=P","Fill=—","Direction=H","UseDPDF=Y")</f>
        <v>36.417900000000003</v>
      </c>
      <c r="H83" s="14">
        <f>_xll.BDH("AMGN US Equity","ACCOUNTS_PAYABLE_SEQ_GROWTH","FQ1 2020","FQ1 2020","Currency=USD","Period=FQ","BEST_FPERIOD_OVERRIDE=FQ","FILING_STATUS=MR","Sort=A","Dates=H","DateFormat=P","Fill=—","Direction=H","UseDPDF=Y")</f>
        <v>-2.407</v>
      </c>
      <c r="I83" s="14">
        <f>_xll.BDH("AMGN US Equity","ACCOUNTS_PAYABLE_SEQ_GROWTH","FQ2 2020","FQ2 2020","Currency=USD","Period=FQ","BEST_FPERIOD_OVERRIDE=FQ","FILING_STATUS=MR","Sort=A","Dates=H","DateFormat=P","Fill=—","Direction=H","UseDPDF=Y")</f>
        <v>-14.050800000000001</v>
      </c>
      <c r="J83" s="14">
        <f>_xll.BDH("AMGN US Equity","ACCOUNTS_PAYABLE_SEQ_GROWTH","FQ3 2020","FQ3 2020","Currency=USD","Period=FQ","BEST_FPERIOD_OVERRIDE=FQ","FILING_STATUS=MR","Sort=A","Dates=H","DateFormat=P","Fill=—","Direction=H","UseDPDF=Y")</f>
        <v>0.95650000000000002</v>
      </c>
      <c r="K83" s="14">
        <f>_xll.BDH("AMGN US Equity","ACCOUNTS_PAYABLE_SEQ_GROWTH","FQ4 2020","FQ4 2020","Currency=USD","Period=FQ","BEST_FPERIOD_OVERRIDE=FQ","FILING_STATUS=MR","Sort=A","Dates=H","DateFormat=P","Fill=—","Direction=H","UseDPDF=Y")</f>
        <v>22.394500000000001</v>
      </c>
      <c r="L83" s="14">
        <f>_xll.BDH("AMGN US Equity","ACCOUNTS_PAYABLE_SEQ_GROWTH","FQ1 2021","FQ1 2021","Currency=USD","Period=FQ","BEST_FPERIOD_OVERRIDE=FQ","FILING_STATUS=MR","Sort=A","Dates=H","DateFormat=P","Fill=—","Direction=H","UseDPDF=Y")</f>
        <v>-1.7593000000000001</v>
      </c>
      <c r="M83" s="14">
        <f>_xll.BDH("AMGN US Equity","ACCOUNTS_PAYABLE_SEQ_GROWTH","FQ2 2021","FQ2 2021","Currency=USD","Period=FQ","BEST_FPERIOD_OVERRIDE=FQ","FILING_STATUS=MR","Sort=A","Dates=H","DateFormat=P","Fill=—","Direction=H","UseDPDF=Y")</f>
        <v>-8.5244</v>
      </c>
      <c r="N83" s="14">
        <f>_xll.BDH("AMGN US Equity","ACCOUNTS_PAYABLE_SEQ_GROWTH","FQ3 2021","FQ3 2021","Currency=USD","Period=FQ","BEST_FPERIOD_OVERRIDE=FQ","FILING_STATUS=MR","Sort=A","Dates=H","DateFormat=P","Fill=—","Direction=H","UseDPDF=Y")</f>
        <v>-8.3007000000000009</v>
      </c>
      <c r="O83" s="14">
        <f>_xll.BDH("AMGN US Equity","ACCOUNTS_PAYABLE_SEQ_GROWTH","FQ4 2021","FQ4 2021","Currency=USD","Period=FQ","BEST_FPERIOD_OVERRIDE=FQ","FILING_STATUS=MR","Sort=A","Dates=H","DateFormat=P","Fill=—","Direction=H","UseDPDF=Y")</f>
        <v>16.6524</v>
      </c>
      <c r="P83" s="14">
        <f>_xll.BDH("AMGN US Equity","ACCOUNTS_PAYABLE_SEQ_GROWTH","FQ1 2022","FQ1 2022","Currency=USD","Period=FQ","BEST_FPERIOD_OVERRIDE=FQ","FILING_STATUS=MR","Sort=A","Dates=H","DateFormat=P","Fill=—","Direction=H","UseDPDF=Y")</f>
        <v>2.7086000000000001</v>
      </c>
      <c r="Q83" s="14">
        <f>_xll.BDH("AMGN US Equity","ACCOUNTS_PAYABLE_SEQ_GROWTH","FQ2 2022","FQ2 2022","Currency=USD","Period=FQ","BEST_FPERIOD_OVERRIDE=FQ","FILING_STATUS=MR","Sort=A","Dates=H","DateFormat=P","Fill=—","Direction=H","UseDPDF=Y")</f>
        <v>-10.477499999999999</v>
      </c>
      <c r="R83" s="14">
        <f>_xll.BDH("AMGN US Equity","ACCOUNTS_PAYABLE_SEQ_GROWTH","FQ3 2022","FQ3 2022","Currency=USD","Period=FQ","BEST_FPERIOD_OVERRIDE=FQ","FILING_STATUS=MR","Sort=A","Dates=H","DateFormat=P","Fill=—","Direction=H","UseDPDF=Y")</f>
        <v>-4.1401000000000003</v>
      </c>
      <c r="S83" s="14">
        <f>_xll.BDH("AMGN US Equity","ACCOUNTS_PAYABLE_SEQ_GROWTH","FQ4 2022","FQ4 2022","Currency=USD","Period=FQ","BEST_FPERIOD_OVERRIDE=FQ","FILING_STATUS=MR","Sort=A","Dates=H","DateFormat=P","Fill=—","Direction=H","UseDPDF=Y")</f>
        <v>30.564800000000002</v>
      </c>
      <c r="T83" s="14">
        <f>_xll.BDH("AMGN US Equity","ACCOUNTS_PAYABLE_SEQ_GROWTH","FQ1 2023","FQ1 2023","Currency=USD","Period=FQ","BEST_FPERIOD_OVERRIDE=FQ","FILING_STATUS=MR","Sort=A","Dates=H","DateFormat=P","Fill=—","Direction=H","UseDPDF=Y")</f>
        <v>-16.0305</v>
      </c>
      <c r="U83" s="14">
        <f>_xll.BDH("AMGN US Equity","ACCOUNTS_PAYABLE_SEQ_GROWTH","FQ2 2023","FQ2 2023","Currency=USD","Period=FQ","BEST_FPERIOD_OVERRIDE=FQ","FILING_STATUS=MR","Sort=A","Dates=H","DateFormat=P","Fill=—","Direction=H","UseDPDF=Y")</f>
        <v>-8.1818000000000008</v>
      </c>
      <c r="V83" s="14">
        <f>_xll.BDH("AMGN US Equity","ACCOUNTS_PAYABLE_SEQ_GROWTH","FQ3 2023","FQ3 2023","Currency=USD","Period=FQ","BEST_FPERIOD_OVERRIDE=FQ","FILING_STATUS=MR","Sort=A","Dates=H","DateFormat=P","Fill=—","Direction=H","UseDPDF=Y")</f>
        <v>12.046200000000001</v>
      </c>
      <c r="W83" s="14">
        <f>_xll.BDH("AMGN US Equity","ACCOUNTS_PAYABLE_SEQ_GROWTH","FQ4 2023","FQ4 2023","Currency=USD","Period=FQ","BEST_FPERIOD_OVERRIDE=FQ","FILING_STATUS=MR","Sort=A","Dates=H","DateFormat=P","Fill=—","Direction=H","UseDPDF=Y")</f>
        <v>17.0839</v>
      </c>
      <c r="X83" s="14">
        <f>_xll.BDH("AMGN US Equity","ACCOUNTS_PAYABLE_SEQ_GROWTH","FQ1 2024","FQ1 2024","Currency=USD","Period=FQ","BEST_FPERIOD_OVERRIDE=FQ","FILING_STATUS=MR","Sort=A","Dates=H","DateFormat=P","Fill=—","Direction=H","UseDPDF=Y")</f>
        <v>2.3898999999999999</v>
      </c>
      <c r="Y83" s="14">
        <f>_xll.BDH("AMGN US Equity","ACCOUNTS_PAYABLE_SEQ_GROWTH","FQ2 2024","FQ2 2024","Currency=USD","Period=FQ","BEST_FPERIOD_OVERRIDE=FQ","FILING_STATUS=MR","Sort=A","Dates=H","DateFormat=P","Fill=—","Direction=H","UseDPDF=Y")</f>
        <v>39.250599999999999</v>
      </c>
      <c r="Z83" s="14">
        <f>_xll.BDH("AMGN US Equity","ACCOUNTS_PAYABLE_SEQ_GROWTH","FQ3 2024","FQ3 2024","Currency=USD","Period=FQ","BEST_FPERIOD_OVERRIDE=FQ","FILING_STATUS=MR","Sort=A","Dates=H","DateFormat=P","Fill=—","Direction=H","UseDPDF=Y")</f>
        <v>-5.2933000000000003</v>
      </c>
      <c r="AA83" s="14">
        <f>_xll.BDH("AMGN US Equity","ACCOUNTS_PAYABLE_SEQ_GROWTH","FQ4 2024","FQ4 2024","Currency=USD","Period=FQ","BEST_FPERIOD_OVERRIDE=FQ","FILING_STATUS=MR","Sort=A","Dates=H","DateFormat=P","Fill=—","Direction=H","UseDPDF=Y")</f>
        <v>-11.1318</v>
      </c>
    </row>
    <row r="84" spans="1:27" x14ac:dyDescent="0.25">
      <c r="A84" s="10" t="s">
        <v>1491</v>
      </c>
      <c r="B84" s="10" t="s">
        <v>1551</v>
      </c>
      <c r="C84" s="14">
        <f>_xll.BDH("AMGN US Equity","ST_DEBT_SEQUENTIAL_GROWTH","FQ4 2018","FQ4 2018","Currency=USD","Period=FQ","BEST_FPERIOD_OVERRIDE=FQ","FILING_STATUS=MR","Sort=A","Dates=H","DateFormat=P","Fill=—","Direction=H","UseDPDF=Y")</f>
        <v>-12.9604</v>
      </c>
      <c r="D84" s="14">
        <f>_xll.BDH("AMGN US Equity","ST_DEBT_SEQUENTIAL_GROWTH","FQ1 2019","FQ1 2019","Currency=USD","Period=FQ","BEST_FPERIOD_OVERRIDE=FQ","FILING_STATUS=MR","Sort=A","Dates=H","DateFormat=P","Fill=—","Direction=H","UseDPDF=Y")</f>
        <v>-13.442</v>
      </c>
      <c r="E84" s="14">
        <f>_xll.BDH("AMGN US Equity","ST_DEBT_SEQUENTIAL_GROWTH","FQ2 2019","FQ2 2019","Currency=USD","Period=FQ","BEST_FPERIOD_OVERRIDE=FQ","FILING_STATUS=MR","Sort=A","Dates=H","DateFormat=P","Fill=—","Direction=H","UseDPDF=Y")</f>
        <v>-22.875800000000002</v>
      </c>
      <c r="F84" s="14">
        <f>_xll.BDH("AMGN US Equity","ST_DEBT_SEQUENTIAL_GROWTH","FQ3 2019","FQ3 2019","Currency=USD","Period=FQ","BEST_FPERIOD_OVERRIDE=FQ","FILING_STATUS=MR","Sort=A","Dates=H","DateFormat=P","Fill=—","Direction=H","UseDPDF=Y")</f>
        <v>-25.966100000000001</v>
      </c>
      <c r="G84" s="14">
        <f>_xll.BDH("AMGN US Equity","ST_DEBT_SEQUENTIAL_GROWTH","FQ4 2019","FQ4 2019","Currency=USD","Period=FQ","BEST_FPERIOD_OVERRIDE=FQ","FILING_STATUS=MR","Sort=A","Dates=H","DateFormat=P","Fill=—","Direction=H","UseDPDF=Y")</f>
        <v>41.620899999999999</v>
      </c>
      <c r="H84" s="14">
        <f>_xll.BDH("AMGN US Equity","ST_DEBT_SEQUENTIAL_GROWTH","FQ1 2020","FQ1 2020","Currency=USD","Period=FQ","BEST_FPERIOD_OVERRIDE=FQ","FILING_STATUS=MR","Sort=A","Dates=H","DateFormat=P","Fill=—","Direction=H","UseDPDF=Y")</f>
        <v>-40.510800000000003</v>
      </c>
      <c r="I84" s="14">
        <f>_xll.BDH("AMGN US Equity","ST_DEBT_SEQUENTIAL_GROWTH","FQ2 2020","FQ2 2020","Currency=USD","Period=FQ","BEST_FPERIOD_OVERRIDE=FQ","FILING_STATUS=MR","Sort=A","Dates=H","DateFormat=P","Fill=—","Direction=H","UseDPDF=Y")</f>
        <v>-95.054299999999998</v>
      </c>
      <c r="J84" s="14">
        <f>_xll.BDH("AMGN US Equity","ST_DEBT_SEQUENTIAL_GROWTH","FQ3 2020","FQ3 2020","Currency=USD","Period=FQ","BEST_FPERIOD_OVERRIDE=FQ","FILING_STATUS=MR","Sort=A","Dates=H","DateFormat=P","Fill=—","Direction=H","UseDPDF=Y")</f>
        <v>0</v>
      </c>
      <c r="K84" s="14">
        <f>_xll.BDH("AMGN US Equity","ST_DEBT_SEQUENTIAL_GROWTH","FQ4 2020","FQ4 2020","Currency=USD","Period=FQ","BEST_FPERIOD_OVERRIDE=FQ","FILING_STATUS=MR","Sort=A","Dates=H","DateFormat=P","Fill=—","Direction=H","UseDPDF=Y")</f>
        <v>168.1319</v>
      </c>
      <c r="L84" s="14">
        <f>_xll.BDH("AMGN US Equity","ST_DEBT_SEQUENTIAL_GROWTH","FQ1 2021","FQ1 2021","Currency=USD","Period=FQ","BEST_FPERIOD_OVERRIDE=FQ","FILING_STATUS=MR","Sort=A","Dates=H","DateFormat=P","Fill=—","Direction=H","UseDPDF=Y")</f>
        <v>537.70489999999995</v>
      </c>
      <c r="M84" s="14">
        <f>_xll.BDH("AMGN US Equity","ST_DEBT_SEQUENTIAL_GROWTH","FQ2 2021","FQ2 2021","Currency=USD","Period=FQ","BEST_FPERIOD_OVERRIDE=FQ","FILING_STATUS=MR","Sort=A","Dates=H","DateFormat=P","Fill=—","Direction=H","UseDPDF=Y")</f>
        <v>177.892</v>
      </c>
      <c r="N84" s="14">
        <f>_xll.BDH("AMGN US Equity","ST_DEBT_SEQUENTIAL_GROWTH","FQ3 2021","FQ3 2021","Currency=USD","Period=FQ","BEST_FPERIOD_OVERRIDE=FQ","FILING_STATUS=MR","Sort=A","Dates=H","DateFormat=P","Fill=—","Direction=H","UseDPDF=Y")</f>
        <v>-0.83260000000000001</v>
      </c>
      <c r="O84" s="14">
        <f>_xll.BDH("AMGN US Equity","ST_DEBT_SEQUENTIAL_GROWTH","FQ4 2021","FQ4 2021","Currency=USD","Period=FQ","BEST_FPERIOD_OVERRIDE=FQ","FILING_STATUS=MR","Sort=A","Dates=H","DateFormat=P","Fill=—","Direction=H","UseDPDF=Y")</f>
        <v>-94.589600000000004</v>
      </c>
      <c r="P84" s="14">
        <f>_xll.BDH("AMGN US Equity","ST_DEBT_SEQUENTIAL_GROWTH","FQ1 2022","FQ1 2022","Currency=USD","Period=FQ","BEST_FPERIOD_OVERRIDE=FQ","FILING_STATUS=MR","Sort=A","Dates=H","DateFormat=P","Fill=—","Direction=H","UseDPDF=Y")</f>
        <v>263.79309999999998</v>
      </c>
      <c r="Q84" s="14">
        <f>_xll.BDH("AMGN US Equity","ST_DEBT_SEQUENTIAL_GROWTH","FQ2 2022","FQ2 2022","Currency=USD","Period=FQ","BEST_FPERIOD_OVERRIDE=FQ","FILING_STATUS=MR","Sort=A","Dates=H","DateFormat=P","Fill=—","Direction=H","UseDPDF=Y")</f>
        <v>-3.1991000000000001</v>
      </c>
      <c r="R84" s="14">
        <f>_xll.BDH("AMGN US Equity","ST_DEBT_SEQUENTIAL_GROWTH","FQ3 2022","FQ3 2022","Currency=USD","Period=FQ","BEST_FPERIOD_OVERRIDE=FQ","FILING_STATUS=MR","Sort=A","Dates=H","DateFormat=P","Fill=—","Direction=H","UseDPDF=Y")</f>
        <v>88.861699999999999</v>
      </c>
      <c r="S84" s="14">
        <f>_xll.BDH("AMGN US Equity","ST_DEBT_SEQUENTIAL_GROWTH","FQ4 2022","FQ4 2022","Currency=USD","Period=FQ","BEST_FPERIOD_OVERRIDE=FQ","FILING_STATUS=MR","Sort=A","Dates=H","DateFormat=P","Fill=—","Direction=H","UseDPDF=Y")</f>
        <v>13.221</v>
      </c>
      <c r="T84" s="14">
        <f>_xll.BDH("AMGN US Equity","ST_DEBT_SEQUENTIAL_GROWTH","FQ1 2023","FQ1 2023","Currency=USD","Period=FQ","BEST_FPERIOD_OVERRIDE=FQ","FILING_STATUS=MR","Sort=A","Dates=H","DateFormat=P","Fill=—","Direction=H","UseDPDF=Y")</f>
        <v>-52.261000000000003</v>
      </c>
      <c r="U84" s="14">
        <f>_xll.BDH("AMGN US Equity","ST_DEBT_SEQUENTIAL_GROWTH","FQ2 2023","FQ2 2023","Currency=USD","Period=FQ","BEST_FPERIOD_OVERRIDE=FQ","FILING_STATUS=MR","Sort=A","Dates=H","DateFormat=P","Fill=—","Direction=H","UseDPDF=Y")</f>
        <v>159.8321</v>
      </c>
      <c r="V84" s="14">
        <f>_xll.BDH("AMGN US Equity","ST_DEBT_SEQUENTIAL_GROWTH","FQ3 2023","FQ3 2023","Currency=USD","Period=FQ","BEST_FPERIOD_OVERRIDE=FQ","FILING_STATUS=MR","Sort=A","Dates=H","DateFormat=P","Fill=—","Direction=H","UseDPDF=Y")</f>
        <v>-34.102400000000003</v>
      </c>
      <c r="W84" s="14">
        <f>_xll.BDH("AMGN US Equity","ST_DEBT_SEQUENTIAL_GROWTH","FQ4 2023","FQ4 2023","Currency=USD","Period=FQ","BEST_FPERIOD_OVERRIDE=FQ","FILING_STATUS=MR","Sort=A","Dates=H","DateFormat=P","Fill=—","Direction=H","UseDPDF=Y")</f>
        <v>9.3838000000000008</v>
      </c>
      <c r="X84" s="14">
        <f>_xll.BDH("AMGN US Equity","ST_DEBT_SEQUENTIAL_GROWTH","FQ1 2024","FQ1 2024","Currency=USD","Period=FQ","BEST_FPERIOD_OVERRIDE=FQ","FILING_STATUS=MR","Sort=A","Dates=H","DateFormat=P","Fill=—","Direction=H","UseDPDF=Y")</f>
        <v>153.4571</v>
      </c>
      <c r="Y84" s="14">
        <f>_xll.BDH("AMGN US Equity","ST_DEBT_SEQUENTIAL_GROWTH","FQ2 2024","FQ2 2024","Currency=USD","Period=FQ","BEST_FPERIOD_OVERRIDE=FQ","FILING_STATUS=MR","Sort=A","Dates=H","DateFormat=P","Fill=—","Direction=H","UseDPDF=Y")</f>
        <v>39.6312</v>
      </c>
      <c r="Z84" s="14">
        <f>_xll.BDH("AMGN US Equity","ST_DEBT_SEQUENTIAL_GROWTH","FQ3 2024","FQ3 2024","Currency=USD","Period=FQ","BEST_FPERIOD_OVERRIDE=FQ","FILING_STATUS=MR","Sort=A","Dates=H","DateFormat=P","Fill=—","Direction=H","UseDPDF=Y")</f>
        <v>-35.89</v>
      </c>
      <c r="AA84" s="14">
        <f>_xll.BDH("AMGN US Equity","ST_DEBT_SEQUENTIAL_GROWTH","FQ4 2024","FQ4 2024","Currency=USD","Period=FQ","BEST_FPERIOD_OVERRIDE=FQ","FILING_STATUS=MR","Sort=A","Dates=H","DateFormat=P","Fill=—","Direction=H","UseDPDF=Y")</f>
        <v>3.1884999999999999</v>
      </c>
    </row>
    <row r="85" spans="1:27" x14ac:dyDescent="0.25">
      <c r="A85" s="10" t="s">
        <v>1493</v>
      </c>
      <c r="B85" s="10" t="s">
        <v>1552</v>
      </c>
      <c r="C85" s="14">
        <f>_xll.BDH("AMGN US Equity","TOTAL_DEBT_SEQUENTIAL_GROWTH","FQ4 2018","FQ4 2018","Currency=USD","Period=FQ","BEST_FPERIOD_OVERRIDE=FQ","FILING_STATUS=MR","Sort=A","Dates=H","DateFormat=P","Fill=—","Direction=H","UseDPDF=Y")</f>
        <v>-1.4464999999999999</v>
      </c>
      <c r="D85" s="14">
        <f>_xll.BDH("AMGN US Equity","TOTAL_DEBT_SEQUENTIAL_GROWTH","FQ1 2019","FQ1 2019","Currency=USD","Period=FQ","BEST_FPERIOD_OVERRIDE=FQ","FILING_STATUS=MR","Sort=A","Dates=H","DateFormat=P","Fill=—","Direction=H","UseDPDF=Y")</f>
        <v>-1.2290000000000001</v>
      </c>
      <c r="E85" s="14">
        <f>_xll.BDH("AMGN US Equity","TOTAL_DEBT_SEQUENTIAL_GROWTH","FQ2 2019","FQ2 2019","Currency=USD","Period=FQ","BEST_FPERIOD_OVERRIDE=FQ","FILING_STATUS=MR","Sort=A","Dates=H","DateFormat=P","Fill=—","Direction=H","UseDPDF=Y")</f>
        <v>-7.1646000000000001</v>
      </c>
      <c r="F85" s="14">
        <f>_xll.BDH("AMGN US Equity","TOTAL_DEBT_SEQUENTIAL_GROWTH","FQ3 2019","FQ3 2019","Currency=USD","Period=FQ","BEST_FPERIOD_OVERRIDE=FQ","FILING_STATUS=MR","Sort=A","Dates=H","DateFormat=P","Fill=—","Direction=H","UseDPDF=Y")</f>
        <v>-2.6806999999999999</v>
      </c>
      <c r="G85" s="14">
        <f>_xll.BDH("AMGN US Equity","TOTAL_DEBT_SEQUENTIAL_GROWTH","FQ4 2019","FQ4 2019","Currency=USD","Period=FQ","BEST_FPERIOD_OVERRIDE=FQ","FILING_STATUS=MR","Sort=A","Dates=H","DateFormat=P","Fill=—","Direction=H","UseDPDF=Y")</f>
        <v>0.50860000000000005</v>
      </c>
      <c r="H85" s="14">
        <f>_xll.BDH("AMGN US Equity","TOTAL_DEBT_SEQUENTIAL_GROWTH","FQ1 2020","FQ1 2020","Currency=USD","Period=FQ","BEST_FPERIOD_OVERRIDE=FQ","FILING_STATUS=MR","Sort=A","Dates=H","DateFormat=P","Fill=—","Direction=H","UseDPDF=Y")</f>
        <v>4.6563999999999997</v>
      </c>
      <c r="I85" s="14">
        <f>_xll.BDH("AMGN US Equity","TOTAL_DEBT_SEQUENTIAL_GROWTH","FQ2 2020","FQ2 2020","Currency=USD","Period=FQ","BEST_FPERIOD_OVERRIDE=FQ","FILING_STATUS=MR","Sort=A","Dates=H","DateFormat=P","Fill=—","Direction=H","UseDPDF=Y")</f>
        <v>7.4603999999999999</v>
      </c>
      <c r="J85" s="14">
        <f>_xll.BDH("AMGN US Equity","TOTAL_DEBT_SEQUENTIAL_GROWTH","FQ3 2020","FQ3 2020","Currency=USD","Period=FQ","BEST_FPERIOD_OVERRIDE=FQ","FILING_STATUS=MR","Sort=A","Dates=H","DateFormat=P","Fill=—","Direction=H","UseDPDF=Y")</f>
        <v>0.18410000000000001</v>
      </c>
      <c r="K85" s="14">
        <f>_xll.BDH("AMGN US Equity","TOTAL_DEBT_SEQUENTIAL_GROWTH","FQ4 2020","FQ4 2020","Currency=USD","Period=FQ","BEST_FPERIOD_OVERRIDE=FQ","FILING_STATUS=MR","Sort=A","Dates=H","DateFormat=P","Fill=—","Direction=H","UseDPDF=Y")</f>
        <v>-2.4557000000000002</v>
      </c>
      <c r="L85" s="14">
        <f>_xll.BDH("AMGN US Equity","TOTAL_DEBT_SEQUENTIAL_GROWTH","FQ1 2021","FQ1 2021","Currency=USD","Period=FQ","BEST_FPERIOD_OVERRIDE=FQ","FILING_STATUS=MR","Sort=A","Dates=H","DateFormat=P","Fill=—","Direction=H","UseDPDF=Y")</f>
        <v>-2.2724000000000002</v>
      </c>
      <c r="M85" s="14">
        <f>_xll.BDH("AMGN US Equity","TOTAL_DEBT_SEQUENTIAL_GROWTH","FQ2 2021","FQ2 2021","Currency=USD","Period=FQ","BEST_FPERIOD_OVERRIDE=FQ","FILING_STATUS=MR","Sort=A","Dates=H","DateFormat=P","Fill=—","Direction=H","UseDPDF=Y")</f>
        <v>0.29680000000000001</v>
      </c>
      <c r="N85" s="14">
        <f>_xll.BDH("AMGN US Equity","TOTAL_DEBT_SEQUENTIAL_GROWTH","FQ3 2021","FQ3 2021","Currency=USD","Period=FQ","BEST_FPERIOD_OVERRIDE=FQ","FILING_STATUS=MR","Sort=A","Dates=H","DateFormat=P","Fill=—","Direction=H","UseDPDF=Y")</f>
        <v>14.632999999999999</v>
      </c>
      <c r="O85" s="14">
        <f>_xll.BDH("AMGN US Equity","TOTAL_DEBT_SEQUENTIAL_GROWTH","FQ4 2021","FQ4 2021","Currency=USD","Period=FQ","BEST_FPERIOD_OVERRIDE=FQ","FILING_STATUS=MR","Sort=A","Dates=H","DateFormat=P","Fill=—","Direction=H","UseDPDF=Y")</f>
        <v>-9.5798000000000005</v>
      </c>
      <c r="P85" s="14">
        <f>_xll.BDH("AMGN US Equity","TOTAL_DEBT_SEQUENTIAL_GROWTH","FQ1 2022","FQ1 2022","Currency=USD","Period=FQ","BEST_FPERIOD_OVERRIDE=FQ","FILING_STATUS=MR","Sort=A","Dates=H","DateFormat=P","Fill=—","Direction=H","UseDPDF=Y")</f>
        <v>8.4611000000000001</v>
      </c>
      <c r="Q85" s="14">
        <f>_xll.BDH("AMGN US Equity","TOTAL_DEBT_SEQUENTIAL_GROWTH","FQ2 2022","FQ2 2022","Currency=USD","Period=FQ","BEST_FPERIOD_OVERRIDE=FQ","FILING_STATUS=MR","Sort=A","Dates=H","DateFormat=P","Fill=—","Direction=H","UseDPDF=Y")</f>
        <v>-0.90090000000000003</v>
      </c>
      <c r="R85" s="14">
        <f>_xll.BDH("AMGN US Equity","TOTAL_DEBT_SEQUENTIAL_GROWTH","FQ3 2022","FQ3 2022","Currency=USD","Period=FQ","BEST_FPERIOD_OVERRIDE=FQ","FILING_STATUS=MR","Sort=A","Dates=H","DateFormat=P","Fill=—","Direction=H","UseDPDF=Y")</f>
        <v>5.9744999999999999</v>
      </c>
      <c r="S85" s="14">
        <f>_xll.BDH("AMGN US Equity","TOTAL_DEBT_SEQUENTIAL_GROWTH","FQ4 2022","FQ4 2022","Currency=USD","Period=FQ","BEST_FPERIOD_OVERRIDE=FQ","FILING_STATUS=MR","Sort=A","Dates=H","DateFormat=P","Fill=—","Direction=H","UseDPDF=Y")</f>
        <v>2.4184000000000001</v>
      </c>
      <c r="T85" s="14">
        <f>_xll.BDH("AMGN US Equity","TOTAL_DEBT_SEQUENTIAL_GROWTH","FQ1 2023","FQ1 2023","Currency=USD","Period=FQ","BEST_FPERIOD_OVERRIDE=FQ","FILING_STATUS=MR","Sort=A","Dates=H","DateFormat=P","Fill=—","Direction=H","UseDPDF=Y")</f>
        <v>55.386000000000003</v>
      </c>
      <c r="U85" s="14">
        <f>_xll.BDH("AMGN US Equity","TOTAL_DEBT_SEQUENTIAL_GROWTH","FQ2 2023","FQ2 2023","Currency=USD","Period=FQ","BEST_FPERIOD_OVERRIDE=FQ","FILING_STATUS=MR","Sort=A","Dates=H","DateFormat=P","Fill=—","Direction=H","UseDPDF=Y")</f>
        <v>-8.2799999999999999E-2</v>
      </c>
      <c r="V85" s="14">
        <f>_xll.BDH("AMGN US Equity","TOTAL_DEBT_SEQUENTIAL_GROWTH","FQ3 2023","FQ3 2023","Currency=USD","Period=FQ","BEST_FPERIOD_OVERRIDE=FQ","FILING_STATUS=MR","Sort=A","Dates=H","DateFormat=P","Fill=—","Direction=H","UseDPDF=Y")</f>
        <v>-1.7483</v>
      </c>
      <c r="W85" s="14">
        <f>_xll.BDH("AMGN US Equity","TOTAL_DEBT_SEQUENTIAL_GROWTH","FQ4 2023","FQ4 2023","Currency=USD","Period=FQ","BEST_FPERIOD_OVERRIDE=FQ","FILING_STATUS=MR","Sort=A","Dates=H","DateFormat=P","Fill=—","Direction=H","UseDPDF=Y")</f>
        <v>8.1943999999999999</v>
      </c>
      <c r="X85" s="14">
        <f>_xll.BDH("AMGN US Equity","TOTAL_DEBT_SEQUENTIAL_GROWTH","FQ1 2024","FQ1 2024","Currency=USD","Period=FQ","BEST_FPERIOD_OVERRIDE=FQ","FILING_STATUS=MR","Sort=A","Dates=H","DateFormat=P","Fill=—","Direction=H","UseDPDF=Y")</f>
        <v>-2.1444999999999999</v>
      </c>
      <c r="Y85" s="14">
        <f>_xll.BDH("AMGN US Equity","TOTAL_DEBT_SEQUENTIAL_GROWTH","FQ2 2024","FQ2 2024","Currency=USD","Period=FQ","BEST_FPERIOD_OVERRIDE=FQ","FILING_STATUS=MR","Sort=A","Dates=H","DateFormat=P","Fill=—","Direction=H","UseDPDF=Y")</f>
        <v>-2.1478000000000002</v>
      </c>
      <c r="Z85" s="14">
        <f>_xll.BDH("AMGN US Equity","TOTAL_DEBT_SEQUENTIAL_GROWTH","FQ3 2024","FQ3 2024","Currency=USD","Period=FQ","BEST_FPERIOD_OVERRIDE=FQ","FILING_STATUS=MR","Sort=A","Dates=H","DateFormat=P","Fill=—","Direction=H","UseDPDF=Y")</f>
        <v>-3.5869</v>
      </c>
      <c r="AA85" s="14">
        <f>_xll.BDH("AMGN US Equity","TOTAL_DEBT_SEQUENTIAL_GROWTH","FQ4 2024","FQ4 2024","Currency=USD","Period=FQ","BEST_FPERIOD_OVERRIDE=FQ","FILING_STATUS=MR","Sort=A","Dates=H","DateFormat=P","Fill=—","Direction=H","UseDPDF=Y")</f>
        <v>0.7964</v>
      </c>
    </row>
    <row r="86" spans="1:27" x14ac:dyDescent="0.25">
      <c r="A86" s="10" t="s">
        <v>118</v>
      </c>
      <c r="B86" s="10" t="s">
        <v>1553</v>
      </c>
      <c r="C86" s="14">
        <f>_xll.BDH("AMGN US Equity","TOTAL_EQUITY_SEQUENTIAL_GROWTH","FQ4 2018","FQ4 2018","Currency=USD","Period=FQ","BEST_FPERIOD_OVERRIDE=FQ","FILING_STATUS=MR","Sort=A","Dates=H","DateFormat=P","Fill=—","Direction=H","UseDPDF=Y")</f>
        <v>-12.885899999999999</v>
      </c>
      <c r="D86" s="14">
        <f>_xll.BDH("AMGN US Equity","TOTAL_EQUITY_SEQUENTIAL_GROWTH","FQ1 2019","FQ1 2019","Currency=USD","Period=FQ","BEST_FPERIOD_OVERRIDE=FQ","FILING_STATUS=MR","Sort=A","Dates=H","DateFormat=P","Fill=—","Direction=H","UseDPDF=Y")</f>
        <v>-13.343999999999999</v>
      </c>
      <c r="E86" s="14">
        <f>_xll.BDH("AMGN US Equity","TOTAL_EQUITY_SEQUENTIAL_GROWTH","FQ2 2019","FQ2 2019","Currency=USD","Period=FQ","BEST_FPERIOD_OVERRIDE=FQ","FILING_STATUS=MR","Sort=A","Dates=H","DateFormat=P","Fill=—","Direction=H","UseDPDF=Y")</f>
        <v>-0.3508</v>
      </c>
      <c r="F86" s="14">
        <f>_xll.BDH("AMGN US Equity","TOTAL_EQUITY_SEQUENTIAL_GROWTH","FQ3 2019","FQ3 2019","Currency=USD","Period=FQ","BEST_FPERIOD_OVERRIDE=FQ","FILING_STATUS=MR","Sort=A","Dates=H","DateFormat=P","Fill=—","Direction=H","UseDPDF=Y")</f>
        <v>1.2322</v>
      </c>
      <c r="G86" s="14">
        <f>_xll.BDH("AMGN US Equity","TOTAL_EQUITY_SEQUENTIAL_GROWTH","FQ4 2019","FQ4 2019","Currency=USD","Period=FQ","BEST_FPERIOD_OVERRIDE=FQ","FILING_STATUS=MR","Sort=A","Dates=H","DateFormat=P","Fill=—","Direction=H","UseDPDF=Y")</f>
        <v>-11.4762</v>
      </c>
      <c r="H86" s="14">
        <f>_xll.BDH("AMGN US Equity","TOTAL_EQUITY_SEQUENTIAL_GROWTH","FQ1 2020","FQ1 2020","Currency=USD","Period=FQ","BEST_FPERIOD_OVERRIDE=FQ","FILING_STATUS=MR","Sort=A","Dates=H","DateFormat=P","Fill=—","Direction=H","UseDPDF=Y")</f>
        <v>-1.9436</v>
      </c>
      <c r="I86" s="14">
        <f>_xll.BDH("AMGN US Equity","TOTAL_EQUITY_SEQUENTIAL_GROWTH","FQ2 2020","FQ2 2020","Currency=USD","Period=FQ","BEST_FPERIOD_OVERRIDE=FQ","FILING_STATUS=MR","Sort=A","Dates=H","DateFormat=P","Fill=—","Direction=H","UseDPDF=Y")</f>
        <v>12.3774</v>
      </c>
      <c r="J86" s="14">
        <f>_xll.BDH("AMGN US Equity","TOTAL_EQUITY_SEQUENTIAL_GROWTH","FQ3 2020","FQ3 2020","Currency=USD","Period=FQ","BEST_FPERIOD_OVERRIDE=FQ","FILING_STATUS=MR","Sort=A","Dates=H","DateFormat=P","Fill=—","Direction=H","UseDPDF=Y")</f>
        <v>2.8144999999999998</v>
      </c>
      <c r="K86" s="14">
        <f>_xll.BDH("AMGN US Equity","TOTAL_EQUITY_SEQUENTIAL_GROWTH","FQ4 2020","FQ4 2020","Currency=USD","Period=FQ","BEST_FPERIOD_OVERRIDE=FQ","FILING_STATUS=MR","Sort=A","Dates=H","DateFormat=P","Fill=—","Direction=H","UseDPDF=Y")</f>
        <v>-14.143599999999999</v>
      </c>
      <c r="L86" s="14">
        <f>_xll.BDH("AMGN US Equity","TOTAL_EQUITY_SEQUENTIAL_GROWTH","FQ1 2021","FQ1 2021","Currency=USD","Period=FQ","BEST_FPERIOD_OVERRIDE=FQ","FILING_STATUS=MR","Sort=A","Dates=H","DateFormat=P","Fill=—","Direction=H","UseDPDF=Y")</f>
        <v>-0.79710000000000003</v>
      </c>
      <c r="M86" s="14">
        <f>_xll.BDH("AMGN US Equity","TOTAL_EQUITY_SEQUENTIAL_GROWTH","FQ2 2021","FQ2 2021","Currency=USD","Period=FQ","BEST_FPERIOD_OVERRIDE=FQ","FILING_STATUS=MR","Sort=A","Dates=H","DateFormat=P","Fill=—","Direction=H","UseDPDF=Y")</f>
        <v>-11.6456</v>
      </c>
      <c r="N86" s="14">
        <f>_xll.BDH("AMGN US Equity","TOTAL_EQUITY_SEQUENTIAL_GROWTH","FQ3 2021","FQ3 2021","Currency=USD","Period=FQ","BEST_FPERIOD_OVERRIDE=FQ","FILING_STATUS=MR","Sort=A","Dates=H","DateFormat=P","Fill=—","Direction=H","UseDPDF=Y")</f>
        <v>-0.36380000000000001</v>
      </c>
      <c r="O86" s="14">
        <f>_xll.BDH("AMGN US Equity","TOTAL_EQUITY_SEQUENTIAL_GROWTH","FQ4 2021","FQ4 2021","Currency=USD","Period=FQ","BEST_FPERIOD_OVERRIDE=FQ","FILING_STATUS=MR","Sort=A","Dates=H","DateFormat=P","Fill=—","Direction=H","UseDPDF=Y")</f>
        <v>-18.4617</v>
      </c>
      <c r="P86" s="14">
        <f>_xll.BDH("AMGN US Equity","TOTAL_EQUITY_SEQUENTIAL_GROWTH","FQ1 2022","FQ1 2022","Currency=USD","Period=FQ","BEST_FPERIOD_OVERRIDE=FQ","FILING_STATUS=MR","Sort=A","Dates=H","DateFormat=P","Fill=—","Direction=H","UseDPDF=Y")</f>
        <v>-86.328400000000002</v>
      </c>
      <c r="Q86" s="14">
        <f>_xll.BDH("AMGN US Equity","TOTAL_EQUITY_SEQUENTIAL_GROWTH","FQ2 2022","FQ2 2022","Currency=USD","Period=FQ","BEST_FPERIOD_OVERRIDE=FQ","FILING_STATUS=MR","Sort=A","Dates=H","DateFormat=P","Fill=—","Direction=H","UseDPDF=Y")</f>
        <v>164.083</v>
      </c>
      <c r="R86" s="14">
        <f>_xll.BDH("AMGN US Equity","TOTAL_EQUITY_SEQUENTIAL_GROWTH","FQ3 2022","FQ3 2022","Currency=USD","Period=FQ","BEST_FPERIOD_OVERRIDE=FQ","FILING_STATUS=MR","Sort=A","Dates=H","DateFormat=P","Fill=—","Direction=H","UseDPDF=Y")</f>
        <v>51.012799999999999</v>
      </c>
      <c r="S86" s="14">
        <f>_xll.BDH("AMGN US Equity","TOTAL_EQUITY_SEQUENTIAL_GROWTH","FQ4 2022","FQ4 2022","Currency=USD","Period=FQ","BEST_FPERIOD_OVERRIDE=FQ","FILING_STATUS=MR","Sort=A","Dates=H","DateFormat=P","Fill=—","Direction=H","UseDPDF=Y")</f>
        <v>0.219</v>
      </c>
      <c r="T86" s="14">
        <f>_xll.BDH("AMGN US Equity","TOTAL_EQUITY_SEQUENTIAL_GROWTH","FQ1 2023","FQ1 2023","Currency=USD","Period=FQ","BEST_FPERIOD_OVERRIDE=FQ","FILING_STATUS=MR","Sort=A","Dates=H","DateFormat=P","Fill=—","Direction=H","UseDPDF=Y")</f>
        <v>46.080300000000001</v>
      </c>
      <c r="U86" s="14">
        <f>_xll.BDH("AMGN US Equity","TOTAL_EQUITY_SEQUENTIAL_GROWTH","FQ2 2023","FQ2 2023","Currency=USD","Period=FQ","BEST_FPERIOD_OVERRIDE=FQ","FILING_STATUS=MR","Sort=A","Dates=H","DateFormat=P","Fill=—","Direction=H","UseDPDF=Y")</f>
        <v>26.795100000000001</v>
      </c>
      <c r="V86" s="14">
        <f>_xll.BDH("AMGN US Equity","TOTAL_EQUITY_SEQUENTIAL_GROWTH","FQ3 2023","FQ3 2023","Currency=USD","Period=FQ","BEST_FPERIOD_OVERRIDE=FQ","FILING_STATUS=MR","Sort=A","Dates=H","DateFormat=P","Fill=—","Direction=H","UseDPDF=Y")</f>
        <v>12.903700000000001</v>
      </c>
      <c r="W86" s="14">
        <f>_xll.BDH("AMGN US Equity","TOTAL_EQUITY_SEQUENTIAL_GROWTH","FQ4 2023","FQ4 2023","Currency=USD","Period=FQ","BEST_FPERIOD_OVERRIDE=FQ","FILING_STATUS=MR","Sort=A","Dates=H","DateFormat=P","Fill=—","Direction=H","UseDPDF=Y")</f>
        <v>-18.599799999999998</v>
      </c>
      <c r="X86" s="14">
        <f>_xll.BDH("AMGN US Equity","TOTAL_EQUITY_SEQUENTIAL_GROWTH","FQ1 2024","FQ1 2024","Currency=USD","Period=FQ","BEST_FPERIOD_OVERRIDE=FQ","FILING_STATUS=MR","Sort=A","Dates=H","DateFormat=P","Fill=—","Direction=H","UseDPDF=Y")</f>
        <v>-19.415900000000001</v>
      </c>
      <c r="Y86" s="14">
        <f>_xll.BDH("AMGN US Equity","TOTAL_EQUITY_SEQUENTIAL_GROWTH","FQ2 2024","FQ2 2024","Currency=USD","Period=FQ","BEST_FPERIOD_OVERRIDE=FQ","FILING_STATUS=MR","Sort=A","Dates=H","DateFormat=P","Fill=—","Direction=H","UseDPDF=Y")</f>
        <v>17.980899999999998</v>
      </c>
      <c r="Z86" s="14">
        <f>_xll.BDH("AMGN US Equity","TOTAL_EQUITY_SEQUENTIAL_GROWTH","FQ3 2024","FQ3 2024","Currency=USD","Period=FQ","BEST_FPERIOD_OVERRIDE=FQ","FILING_STATUS=MR","Sort=A","Dates=H","DateFormat=P","Fill=—","Direction=H","UseDPDF=Y")</f>
        <v>27.038</v>
      </c>
      <c r="AA86" s="14">
        <f>_xll.BDH("AMGN US Equity","TOTAL_EQUITY_SEQUENTIAL_GROWTH","FQ4 2024","FQ4 2024","Currency=USD","Period=FQ","BEST_FPERIOD_OVERRIDE=FQ","FILING_STATUS=MR","Sort=A","Dates=H","DateFormat=P","Fill=—","Direction=H","UseDPDF=Y")</f>
        <v>-21.921099999999999</v>
      </c>
    </row>
    <row r="87" spans="1:27" x14ac:dyDescent="0.25">
      <c r="A87" s="10" t="s">
        <v>1496</v>
      </c>
      <c r="B87" s="10" t="s">
        <v>1554</v>
      </c>
      <c r="C87" s="14">
        <f>_xll.BDH("AMGN US Equity","TOTAL_CAPITAL_SEQUENTIAL_GROWTH","FQ4 2018","FQ4 2018","Currency=USD","Period=FQ","BEST_FPERIOD_OVERRIDE=FQ","FILING_STATUS=MR","Sort=A","Dates=H","DateFormat=P","Fill=—","Direction=H","UseDPDF=Y")</f>
        <v>-4.8117999999999999</v>
      </c>
      <c r="D87" s="14">
        <f>_xll.BDH("AMGN US Equity","TOTAL_CAPITAL_SEQUENTIAL_GROWTH","FQ1 2019","FQ1 2019","Currency=USD","Period=FQ","BEST_FPERIOD_OVERRIDE=FQ","FILING_STATUS=MR","Sort=A","Dates=H","DateFormat=P","Fill=—","Direction=H","UseDPDF=Y")</f>
        <v>-4.4907000000000004</v>
      </c>
      <c r="E87" s="14">
        <f>_xll.BDH("AMGN US Equity","TOTAL_CAPITAL_SEQUENTIAL_GROWTH","FQ2 2019","FQ2 2019","Currency=USD","Period=FQ","BEST_FPERIOD_OVERRIDE=FQ","FILING_STATUS=MR","Sort=A","Dates=H","DateFormat=P","Fill=—","Direction=H","UseDPDF=Y")</f>
        <v>-5.5002000000000004</v>
      </c>
      <c r="F87" s="14">
        <f>_xll.BDH("AMGN US Equity","TOTAL_CAPITAL_SEQUENTIAL_GROWTH","FQ3 2019","FQ3 2019","Currency=USD","Period=FQ","BEST_FPERIOD_OVERRIDE=FQ","FILING_STATUS=MR","Sort=A","Dates=H","DateFormat=P","Fill=—","Direction=H","UseDPDF=Y")</f>
        <v>-1.6728000000000001</v>
      </c>
      <c r="G87" s="14">
        <f>_xll.BDH("AMGN US Equity","TOTAL_CAPITAL_SEQUENTIAL_GROWTH","FQ4 2019","FQ4 2019","Currency=USD","Period=FQ","BEST_FPERIOD_OVERRIDE=FQ","FILING_STATUS=MR","Sort=A","Dates=H","DateFormat=P","Fill=—","Direction=H","UseDPDF=Y")</f>
        <v>-2.6696</v>
      </c>
      <c r="H87" s="14">
        <f>_xll.BDH("AMGN US Equity","TOTAL_CAPITAL_SEQUENTIAL_GROWTH","FQ1 2020","FQ1 2020","Currency=USD","Period=FQ","BEST_FPERIOD_OVERRIDE=FQ","FILING_STATUS=MR","Sort=A","Dates=H","DateFormat=P","Fill=—","Direction=H","UseDPDF=Y")</f>
        <v>3.0644999999999998</v>
      </c>
      <c r="I87" s="14">
        <f>_xll.BDH("AMGN US Equity","TOTAL_CAPITAL_SEQUENTIAL_GROWTH","FQ2 2020","FQ2 2020","Currency=USD","Period=FQ","BEST_FPERIOD_OVERRIDE=FQ","FILING_STATUS=MR","Sort=A","Dates=H","DateFormat=P","Fill=—","Direction=H","UseDPDF=Y")</f>
        <v>8.5888000000000009</v>
      </c>
      <c r="J87" s="14">
        <f>_xll.BDH("AMGN US Equity","TOTAL_CAPITAL_SEQUENTIAL_GROWTH","FQ3 2020","FQ3 2020","Currency=USD","Period=FQ","BEST_FPERIOD_OVERRIDE=FQ","FILING_STATUS=MR","Sort=A","Dates=H","DateFormat=P","Fill=—","Direction=H","UseDPDF=Y")</f>
        <v>0.80879999999999996</v>
      </c>
      <c r="K87" s="14">
        <f>_xll.BDH("AMGN US Equity","TOTAL_CAPITAL_SEQUENTIAL_GROWTH","FQ4 2020","FQ4 2020","Currency=USD","Period=FQ","BEST_FPERIOD_OVERRIDE=FQ","FILING_STATUS=MR","Sort=A","Dates=H","DateFormat=P","Fill=—","Direction=H","UseDPDF=Y")</f>
        <v>-5.2866999999999997</v>
      </c>
      <c r="L87" s="14">
        <f>_xll.BDH("AMGN US Equity","TOTAL_CAPITAL_SEQUENTIAL_GROWTH","FQ1 2021","FQ1 2021","Currency=USD","Period=FQ","BEST_FPERIOD_OVERRIDE=FQ","FILING_STATUS=MR","Sort=A","Dates=H","DateFormat=P","Fill=—","Direction=H","UseDPDF=Y")</f>
        <v>-1.9484999999999999</v>
      </c>
      <c r="M87" s="14">
        <f>_xll.BDH("AMGN US Equity","TOTAL_CAPITAL_SEQUENTIAL_GROWTH","FQ2 2021","FQ2 2021","Currency=USD","Period=FQ","BEST_FPERIOD_OVERRIDE=FQ","FILING_STATUS=MR","Sort=A","Dates=H","DateFormat=P","Fill=—","Direction=H","UseDPDF=Y")</f>
        <v>-2.3561000000000001</v>
      </c>
      <c r="N87" s="14">
        <f>_xll.BDH("AMGN US Equity","TOTAL_CAPITAL_SEQUENTIAL_GROWTH","FQ3 2021","FQ3 2021","Currency=USD","Period=FQ","BEST_FPERIOD_OVERRIDE=FQ","FILING_STATUS=MR","Sort=A","Dates=H","DateFormat=P","Fill=—","Direction=H","UseDPDF=Y")</f>
        <v>11.618600000000001</v>
      </c>
      <c r="O87" s="14">
        <f>_xll.BDH("AMGN US Equity","TOTAL_CAPITAL_SEQUENTIAL_GROWTH","FQ4 2021","FQ4 2021","Currency=USD","Period=FQ","BEST_FPERIOD_OVERRIDE=FQ","FILING_STATUS=MR","Sort=A","Dates=H","DateFormat=P","Fill=—","Direction=H","UseDPDF=Y")</f>
        <v>-11.173500000000001</v>
      </c>
      <c r="P87" s="14">
        <f>_xll.BDH("AMGN US Equity","TOTAL_CAPITAL_SEQUENTIAL_GROWTH","FQ1 2022","FQ1 2022","Currency=USD","Period=FQ","BEST_FPERIOD_OVERRIDE=FQ","FILING_STATUS=MR","Sort=A","Dates=H","DateFormat=P","Fill=—","Direction=H","UseDPDF=Y")</f>
        <v>-7.1510999999999996</v>
      </c>
      <c r="Q87" s="14">
        <f>_xll.BDH("AMGN US Equity","TOTAL_CAPITAL_SEQUENTIAL_GROWTH","FQ2 2022","FQ2 2022","Currency=USD","Period=FQ","BEST_FPERIOD_OVERRIDE=FQ","FILING_STATUS=MR","Sort=A","Dates=H","DateFormat=P","Fill=—","Direction=H","UseDPDF=Y")</f>
        <v>3.1002999999999998</v>
      </c>
      <c r="R87" s="14">
        <f>_xll.BDH("AMGN US Equity","TOTAL_CAPITAL_SEQUENTIAL_GROWTH","FQ3 2022","FQ3 2022","Currency=USD","Period=FQ","BEST_FPERIOD_OVERRIDE=FQ","FILING_STATUS=MR","Sort=A","Dates=H","DateFormat=P","Fill=—","Direction=H","UseDPDF=Y")</f>
        <v>8.7721999999999998</v>
      </c>
      <c r="S87" s="14">
        <f>_xll.BDH("AMGN US Equity","TOTAL_CAPITAL_SEQUENTIAL_GROWTH","FQ4 2022","FQ4 2022","Currency=USD","Period=FQ","BEST_FPERIOD_OVERRIDE=FQ","FILING_STATUS=MR","Sort=A","Dates=H","DateFormat=P","Fill=—","Direction=H","UseDPDF=Y")</f>
        <v>2.2286999999999999</v>
      </c>
      <c r="T87" s="14">
        <f>_xll.BDH("AMGN US Equity","TOTAL_CAPITAL_SEQUENTIAL_GROWTH","FQ1 2023","FQ1 2023","Currency=USD","Period=FQ","BEST_FPERIOD_OVERRIDE=FQ","FILING_STATUS=MR","Sort=A","Dates=H","DateFormat=P","Fill=—","Direction=H","UseDPDF=Y")</f>
        <v>54.599200000000003</v>
      </c>
      <c r="U87" s="14">
        <f>_xll.BDH("AMGN US Equity","TOTAL_CAPITAL_SEQUENTIAL_GROWTH","FQ2 2023","FQ2 2023","Currency=USD","Period=FQ","BEST_FPERIOD_OVERRIDE=FQ","FILING_STATUS=MR","Sort=A","Dates=H","DateFormat=P","Fill=—","Direction=H","UseDPDF=Y")</f>
        <v>2.0644</v>
      </c>
      <c r="V87" s="14">
        <f>_xll.BDH("AMGN US Equity","TOTAL_CAPITAL_SEQUENTIAL_GROWTH","FQ3 2023","FQ3 2023","Currency=USD","Period=FQ","BEST_FPERIOD_OVERRIDE=FQ","FILING_STATUS=MR","Sort=A","Dates=H","DateFormat=P","Fill=—","Direction=H","UseDPDF=Y")</f>
        <v>-0.29420000000000002</v>
      </c>
      <c r="W87" s="14">
        <f>_xll.BDH("AMGN US Equity","TOTAL_CAPITAL_SEQUENTIAL_GROWTH","FQ4 2023","FQ4 2023","Currency=USD","Period=FQ","BEST_FPERIOD_OVERRIDE=FQ","FILING_STATUS=MR","Sort=A","Dates=H","DateFormat=P","Fill=—","Direction=H","UseDPDF=Y")</f>
        <v>5.1832000000000003</v>
      </c>
      <c r="X87" s="14">
        <f>_xll.BDH("AMGN US Equity","TOTAL_CAPITAL_SEQUENTIAL_GROWTH","FQ1 2024","FQ1 2024","Currency=USD","Period=FQ","BEST_FPERIOD_OVERRIDE=FQ","FILING_STATUS=MR","Sort=A","Dates=H","DateFormat=P","Fill=—","Direction=H","UseDPDF=Y")</f>
        <v>-3.6465999999999998</v>
      </c>
      <c r="Y87" s="14">
        <f>_xll.BDH("AMGN US Equity","TOTAL_CAPITAL_SEQUENTIAL_GROWTH","FQ2 2024","FQ2 2024","Currency=USD","Period=FQ","BEST_FPERIOD_OVERRIDE=FQ","FILING_STATUS=MR","Sort=A","Dates=H","DateFormat=P","Fill=—","Direction=H","UseDPDF=Y")</f>
        <v>-0.68359999999999999</v>
      </c>
      <c r="Z87" s="14">
        <f>_xll.BDH("AMGN US Equity","TOTAL_CAPITAL_SEQUENTIAL_GROWTH","FQ3 2024","FQ3 2024","Currency=USD","Period=FQ","BEST_FPERIOD_OVERRIDE=FQ","FILING_STATUS=MR","Sort=A","Dates=H","DateFormat=P","Fill=—","Direction=H","UseDPDF=Y")</f>
        <v>-0.94059999999999999</v>
      </c>
      <c r="AA87" s="14">
        <f>_xll.BDH("AMGN US Equity","TOTAL_CAPITAL_SEQUENTIAL_GROWTH","FQ4 2024","FQ4 2024","Currency=USD","Period=FQ","BEST_FPERIOD_OVERRIDE=FQ","FILING_STATUS=MR","Sort=A","Dates=H","DateFormat=P","Fill=—","Direction=H","UseDPDF=Y")</f>
        <v>-1.7210000000000001</v>
      </c>
    </row>
    <row r="88" spans="1:27" x14ac:dyDescent="0.25">
      <c r="A88" s="10" t="s">
        <v>1498</v>
      </c>
      <c r="B88" s="10" t="s">
        <v>1555</v>
      </c>
      <c r="C88" s="14">
        <f>_xll.BDH("AMGN US Equity","BPS_SEQUENTIAL_GROWTH","FQ4 2018","FQ4 2018","Currency=USD","Period=FQ","BEST_FPERIOD_OVERRIDE=FQ","FILING_STATUS=MR","Sort=A","Dates=H","DateFormat=P","Fill=—","Direction=H","UseDPDF=Y")</f>
        <v>-11.377700000000001</v>
      </c>
      <c r="D88" s="14">
        <f>_xll.BDH("AMGN US Equity","BPS_SEQUENTIAL_GROWTH","FQ1 2019","FQ1 2019","Currency=USD","Period=FQ","BEST_FPERIOD_OVERRIDE=FQ","FILING_STATUS=MR","Sort=A","Dates=H","DateFormat=P","Fill=—","Direction=H","UseDPDF=Y")</f>
        <v>-11.200200000000001</v>
      </c>
      <c r="E88" s="14">
        <f>_xll.BDH("AMGN US Equity","BPS_SEQUENTIAL_GROWTH","FQ2 2019","FQ2 2019","Currency=USD","Period=FQ","BEST_FPERIOD_OVERRIDE=FQ","FILING_STATUS=MR","Sort=A","Dates=H","DateFormat=P","Fill=—","Direction=H","UseDPDF=Y")</f>
        <v>1.6849000000000001</v>
      </c>
      <c r="F88" s="14">
        <f>_xll.BDH("AMGN US Equity","BPS_SEQUENTIAL_GROWTH","FQ3 2019","FQ3 2019","Currency=USD","Period=FQ","BEST_FPERIOD_OVERRIDE=FQ","FILING_STATUS=MR","Sort=A","Dates=H","DateFormat=P","Fill=—","Direction=H","UseDPDF=Y")</f>
        <v>2.234</v>
      </c>
      <c r="G88" s="14">
        <f>_xll.BDH("AMGN US Equity","BPS_SEQUENTIAL_GROWTH","FQ4 2019","FQ4 2019","Currency=USD","Period=FQ","BEST_FPERIOD_OVERRIDE=FQ","FILING_STATUS=MR","Sort=A","Dates=H","DateFormat=P","Fill=—","Direction=H","UseDPDF=Y")</f>
        <v>-10.7577</v>
      </c>
      <c r="H88" s="14">
        <f>_xll.BDH("AMGN US Equity","BPS_SEQUENTIAL_GROWTH","FQ1 2020","FQ1 2020","Currency=USD","Period=FQ","BEST_FPERIOD_OVERRIDE=FQ","FILING_STATUS=MR","Sort=A","Dates=H","DateFormat=P","Fill=—","Direction=H","UseDPDF=Y")</f>
        <v>-1.3766</v>
      </c>
      <c r="I88" s="14">
        <f>_xll.BDH("AMGN US Equity","BPS_SEQUENTIAL_GROWTH","FQ2 2020","FQ2 2020","Currency=USD","Period=FQ","BEST_FPERIOD_OVERRIDE=FQ","FILING_STATUS=MR","Sort=A","Dates=H","DateFormat=P","Fill=—","Direction=H","UseDPDF=Y")</f>
        <v>12.684100000000001</v>
      </c>
      <c r="J88" s="14">
        <f>_xll.BDH("AMGN US Equity","BPS_SEQUENTIAL_GROWTH","FQ3 2020","FQ3 2020","Currency=USD","Period=FQ","BEST_FPERIOD_OVERRIDE=FQ","FILING_STATUS=MR","Sort=A","Dates=H","DateFormat=P","Fill=—","Direction=H","UseDPDF=Y")</f>
        <v>3.3254999999999999</v>
      </c>
      <c r="K88" s="14">
        <f>_xll.BDH("AMGN US Equity","BPS_SEQUENTIAL_GROWTH","FQ4 2020","FQ4 2020","Currency=USD","Period=FQ","BEST_FPERIOD_OVERRIDE=FQ","FILING_STATUS=MR","Sort=A","Dates=H","DateFormat=P","Fill=—","Direction=H","UseDPDF=Y")</f>
        <v>-13.371600000000001</v>
      </c>
      <c r="L88" s="14">
        <f>_xll.BDH("AMGN US Equity","BPS_SEQUENTIAL_GROWTH","FQ1 2021","FQ1 2021","Currency=USD","Period=FQ","BEST_FPERIOD_OVERRIDE=FQ","FILING_STATUS=MR","Sort=A","Dates=H","DateFormat=P","Fill=—","Direction=H","UseDPDF=Y")</f>
        <v>-0.27979999999999999</v>
      </c>
      <c r="M88" s="14">
        <f>_xll.BDH("AMGN US Equity","BPS_SEQUENTIAL_GROWTH","FQ2 2021","FQ2 2021","Currency=USD","Period=FQ","BEST_FPERIOD_OVERRIDE=FQ","FILING_STATUS=MR","Sort=A","Dates=H","DateFormat=P","Fill=—","Direction=H","UseDPDF=Y")</f>
        <v>-10.7614</v>
      </c>
      <c r="N88" s="14">
        <f>_xll.BDH("AMGN US Equity","BPS_SEQUENTIAL_GROWTH","FQ3 2021","FQ3 2021","Currency=USD","Period=FQ","BEST_FPERIOD_OVERRIDE=FQ","FILING_STATUS=MR","Sort=A","Dates=H","DateFormat=P","Fill=—","Direction=H","UseDPDF=Y")</f>
        <v>0.44740000000000002</v>
      </c>
      <c r="O88" s="14">
        <f>_xll.BDH("AMGN US Equity","BPS_SEQUENTIAL_GROWTH","FQ4 2021","FQ4 2021","Currency=USD","Period=FQ","BEST_FPERIOD_OVERRIDE=FQ","FILING_STATUS=MR","Sort=A","Dates=H","DateFormat=P","Fill=—","Direction=H","UseDPDF=Y")</f>
        <v>-13.728199999999999</v>
      </c>
      <c r="P88" s="14">
        <f>_xll.BDH("AMGN US Equity","BPS_SEQUENTIAL_GROWTH","FQ1 2022","FQ1 2022","Currency=USD","Period=FQ","BEST_FPERIOD_OVERRIDE=FQ","FILING_STATUS=MR","Sort=A","Dates=H","DateFormat=P","Fill=—","Direction=H","UseDPDF=Y")</f>
        <v>-86.333500000000001</v>
      </c>
      <c r="Q88" s="14">
        <f>_xll.BDH("AMGN US Equity","BPS_SEQUENTIAL_GROWTH","FQ2 2022","FQ2 2022","Currency=USD","Period=FQ","BEST_FPERIOD_OVERRIDE=FQ","FILING_STATUS=MR","Sort=A","Dates=H","DateFormat=P","Fill=—","Direction=H","UseDPDF=Y")</f>
        <v>163.73740000000001</v>
      </c>
      <c r="R88" s="14">
        <f>_xll.BDH("AMGN US Equity","BPS_SEQUENTIAL_GROWTH","FQ3 2022","FQ3 2022","Currency=USD","Period=FQ","BEST_FPERIOD_OVERRIDE=FQ","FILING_STATUS=MR","Sort=A","Dates=H","DateFormat=P","Fill=—","Direction=H","UseDPDF=Y")</f>
        <v>51.409100000000002</v>
      </c>
      <c r="S88" s="14">
        <f>_xll.BDH("AMGN US Equity","BPS_SEQUENTIAL_GROWTH","FQ4 2022","FQ4 2022","Currency=USD","Period=FQ","BEST_FPERIOD_OVERRIDE=FQ","FILING_STATUS=MR","Sort=A","Dates=H","DateFormat=P","Fill=—","Direction=H","UseDPDF=Y")</f>
        <v>0.12520000000000001</v>
      </c>
      <c r="T88" s="14">
        <f>_xll.BDH("AMGN US Equity","BPS_SEQUENTIAL_GROWTH","FQ1 2023","FQ1 2023","Currency=USD","Period=FQ","BEST_FPERIOD_OVERRIDE=FQ","FILING_STATUS=MR","Sort=A","Dates=H","DateFormat=P","Fill=—","Direction=H","UseDPDF=Y")</f>
        <v>45.9983</v>
      </c>
      <c r="U88" s="14">
        <f>_xll.BDH("AMGN US Equity","BPS_SEQUENTIAL_GROWTH","FQ2 2023","FQ2 2023","Currency=USD","Period=FQ","BEST_FPERIOD_OVERRIDE=FQ","FILING_STATUS=MR","Sort=A","Dates=H","DateFormat=P","Fill=—","Direction=H","UseDPDF=Y")</f>
        <v>26.652799999999999</v>
      </c>
      <c r="V88" s="14">
        <f>_xll.BDH("AMGN US Equity","BPS_SEQUENTIAL_GROWTH","FQ3 2023","FQ3 2023","Currency=USD","Period=FQ","BEST_FPERIOD_OVERRIDE=FQ","FILING_STATUS=MR","Sort=A","Dates=H","DateFormat=P","Fill=—","Direction=H","UseDPDF=Y")</f>
        <v>12.861499999999999</v>
      </c>
      <c r="W88" s="14">
        <f>_xll.BDH("AMGN US Equity","BPS_SEQUENTIAL_GROWTH","FQ4 2023","FQ4 2023","Currency=USD","Period=FQ","BEST_FPERIOD_OVERRIDE=FQ","FILING_STATUS=MR","Sort=A","Dates=H","DateFormat=P","Fill=—","Direction=H","UseDPDF=Y")</f>
        <v>-18.645399999999999</v>
      </c>
      <c r="X88" s="14">
        <f>_xll.BDH("AMGN US Equity","BPS_SEQUENTIAL_GROWTH","FQ1 2024","FQ1 2024","Currency=USD","Period=FQ","BEST_FPERIOD_OVERRIDE=FQ","FILING_STATUS=MR","Sort=A","Dates=H","DateFormat=P","Fill=—","Direction=H","UseDPDF=Y")</f>
        <v>-19.566099999999999</v>
      </c>
      <c r="Y88" s="14">
        <f>_xll.BDH("AMGN US Equity","BPS_SEQUENTIAL_GROWTH","FQ2 2024","FQ2 2024","Currency=USD","Period=FQ","BEST_FPERIOD_OVERRIDE=FQ","FILING_STATUS=MR","Sort=A","Dates=H","DateFormat=P","Fill=—","Direction=H","UseDPDF=Y")</f>
        <v>17.805199999999999</v>
      </c>
      <c r="Z88" s="14">
        <f>_xll.BDH("AMGN US Equity","BPS_SEQUENTIAL_GROWTH","FQ3 2024","FQ3 2024","Currency=USD","Period=FQ","BEST_FPERIOD_OVERRIDE=FQ","FILING_STATUS=MR","Sort=A","Dates=H","DateFormat=P","Fill=—","Direction=H","UseDPDF=Y")</f>
        <v>26.967099999999999</v>
      </c>
      <c r="AA88" s="14">
        <f>_xll.BDH("AMGN US Equity","BPS_SEQUENTIAL_GROWTH","FQ4 2024","FQ4 2024","Currency=USD","Period=FQ","BEST_FPERIOD_OVERRIDE=FQ","FILING_STATUS=MR","Sort=A","Dates=H","DateFormat=P","Fill=—","Direction=H","UseDPDF=Y")</f>
        <v>-21.8338</v>
      </c>
    </row>
    <row r="89" spans="1:27" x14ac:dyDescent="0.25">
      <c r="A89" s="10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x14ac:dyDescent="0.25">
      <c r="A90" s="10" t="s">
        <v>124</v>
      </c>
      <c r="B90" s="10" t="s">
        <v>1556</v>
      </c>
      <c r="C90" s="14">
        <f>_xll.BDH("AMGN US Equity","CFO_SEQUENTIAL_GROWTH","FQ4 2018","FQ4 2018","Currency=USD","Period=FQ","BEST_FPERIOD_OVERRIDE=FQ","FILING_STATUS=MR","Sort=A","Dates=H","DateFormat=P","Fill=—","Direction=H","UseDPDF=Y")</f>
        <v>-2.4137</v>
      </c>
      <c r="D90" s="14">
        <f>_xll.BDH("AMGN US Equity","CFO_SEQUENTIAL_GROWTH","FQ1 2019","FQ1 2019","Currency=USD","Period=FQ","BEST_FPERIOD_OVERRIDE=FQ","FILING_STATUS=MR","Sort=A","Dates=H","DateFormat=P","Fill=—","Direction=H","UseDPDF=Y")</f>
        <v>-42.235399999999998</v>
      </c>
      <c r="E90" s="14">
        <f>_xll.BDH("AMGN US Equity","CFO_SEQUENTIAL_GROWTH","FQ2 2019","FQ2 2019","Currency=USD","Period=FQ","BEST_FPERIOD_OVERRIDE=FQ","FILING_STATUS=MR","Sort=A","Dates=H","DateFormat=P","Fill=—","Direction=H","UseDPDF=Y")</f>
        <v>-23.360399999999998</v>
      </c>
      <c r="F90" s="14">
        <f>_xll.BDH("AMGN US Equity","CFO_SEQUENTIAL_GROWTH","FQ3 2019","FQ3 2019","Currency=USD","Period=FQ","BEST_FPERIOD_OVERRIDE=FQ","FILING_STATUS=MR","Sort=A","Dates=H","DateFormat=P","Fill=—","Direction=H","UseDPDF=Y")</f>
        <v>138.82599999999999</v>
      </c>
      <c r="G90" s="14">
        <f>_xll.BDH("AMGN US Equity","CFO_SEQUENTIAL_GROWTH","FQ4 2019","FQ4 2019","Currency=USD","Period=FQ","BEST_FPERIOD_OVERRIDE=FQ","FILING_STATUS=MR","Sort=A","Dates=H","DateFormat=P","Fill=—","Direction=H","UseDPDF=Y")</f>
        <v>-25.555199999999999</v>
      </c>
      <c r="H90" s="14">
        <f>_xll.BDH("AMGN US Equity","CFO_SEQUENTIAL_GROWTH","FQ1 2020","FQ1 2020","Currency=USD","Period=FQ","BEST_FPERIOD_OVERRIDE=FQ","FILING_STATUS=MR","Sort=A","Dates=H","DateFormat=P","Fill=—","Direction=H","UseDPDF=Y")</f>
        <v>-15.115399999999999</v>
      </c>
      <c r="I90" s="14">
        <f>_xll.BDH("AMGN US Equity","CFO_SEQUENTIAL_GROWTH","FQ2 2020","FQ2 2020","Currency=USD","Period=FQ","BEST_FPERIOD_OVERRIDE=FQ","FILING_STATUS=MR","Sort=A","Dates=H","DateFormat=P","Fill=—","Direction=H","UseDPDF=Y")</f>
        <v>33.177100000000003</v>
      </c>
      <c r="J90" s="14">
        <f>_xll.BDH("AMGN US Equity","CFO_SEQUENTIAL_GROWTH","FQ3 2020","FQ3 2020","Currency=USD","Period=FQ","BEST_FPERIOD_OVERRIDE=FQ","FILING_STATUS=MR","Sort=A","Dates=H","DateFormat=P","Fill=—","Direction=H","UseDPDF=Y")</f>
        <v>18.508099999999999</v>
      </c>
      <c r="K90" s="14">
        <f>_xll.BDH("AMGN US Equity","CFO_SEQUENTIAL_GROWTH","FQ4 2020","FQ4 2020","Currency=USD","Period=FQ","BEST_FPERIOD_OVERRIDE=FQ","FILING_STATUS=MR","Sort=A","Dates=H","DateFormat=P","Fill=—","Direction=H","UseDPDF=Y")</f>
        <v>-28.3551</v>
      </c>
      <c r="L90" s="14">
        <f>_xll.BDH("AMGN US Equity","CFO_SEQUENTIAL_GROWTH","FQ1 2021","FQ1 2021","Currency=USD","Period=FQ","BEST_FPERIOD_OVERRIDE=FQ","FILING_STATUS=MR","Sort=A","Dates=H","DateFormat=P","Fill=—","Direction=H","UseDPDF=Y")</f>
        <v>-12.8056</v>
      </c>
      <c r="M90" s="14">
        <f>_xll.BDH("AMGN US Equity","CFO_SEQUENTIAL_GROWTH","FQ2 2021","FQ2 2021","Currency=USD","Period=FQ","BEST_FPERIOD_OVERRIDE=FQ","FILING_STATUS=MR","Sort=A","Dates=H","DateFormat=P","Fill=—","Direction=H","UseDPDF=Y")</f>
        <v>-8.2224000000000004</v>
      </c>
      <c r="N90" s="14">
        <f>_xll.BDH("AMGN US Equity","CFO_SEQUENTIAL_GROWTH","FQ3 2021","FQ3 2021","Currency=USD","Period=FQ","BEST_FPERIOD_OVERRIDE=FQ","FILING_STATUS=MR","Sort=A","Dates=H","DateFormat=P","Fill=—","Direction=H","UseDPDF=Y")</f>
        <v>25.220099999999999</v>
      </c>
      <c r="O90" s="14">
        <f>_xll.BDH("AMGN US Equity","CFO_SEQUENTIAL_GROWTH","FQ4 2021","FQ4 2021","Currency=USD","Period=FQ","BEST_FPERIOD_OVERRIDE=FQ","FILING_STATUS=MR","Sort=A","Dates=H","DateFormat=P","Fill=—","Direction=H","UseDPDF=Y")</f>
        <v>16.129000000000001</v>
      </c>
      <c r="P90" s="14">
        <f>_xll.BDH("AMGN US Equity","CFO_SEQUENTIAL_GROWTH","FQ1 2022","FQ1 2022","Currency=USD","Period=FQ","BEST_FPERIOD_OVERRIDE=FQ","FILING_STATUS=MR","Sort=A","Dates=H","DateFormat=P","Fill=—","Direction=H","UseDPDF=Y")</f>
        <v>-22.9345</v>
      </c>
      <c r="Q90" s="14">
        <f>_xll.BDH("AMGN US Equity","CFO_SEQUENTIAL_GROWTH","FQ2 2022","FQ2 2022","Currency=USD","Period=FQ","BEST_FPERIOD_OVERRIDE=FQ","FILING_STATUS=MR","Sort=A","Dates=H","DateFormat=P","Fill=—","Direction=H","UseDPDF=Y")</f>
        <v>-10.8133</v>
      </c>
      <c r="R90" s="14">
        <f>_xll.BDH("AMGN US Equity","CFO_SEQUENTIAL_GROWTH","FQ3 2022","FQ3 2022","Currency=USD","Period=FQ","BEST_FPERIOD_OVERRIDE=FQ","FILING_STATUS=MR","Sort=A","Dates=H","DateFormat=P","Fill=—","Direction=H","UseDPDF=Y")</f>
        <v>54.3005</v>
      </c>
      <c r="S90" s="14">
        <f>_xll.BDH("AMGN US Equity","CFO_SEQUENTIAL_GROWTH","FQ4 2022","FQ4 2022","Currency=USD","Period=FQ","BEST_FPERIOD_OVERRIDE=FQ","FILING_STATUS=MR","Sort=A","Dates=H","DateFormat=P","Fill=—","Direction=H","UseDPDF=Y")</f>
        <v>-11.047700000000001</v>
      </c>
      <c r="T90" s="14">
        <f>_xll.BDH("AMGN US Equity","CFO_SEQUENTIAL_GROWTH","FQ1 2023","FQ1 2023","Currency=USD","Period=FQ","BEST_FPERIOD_OVERRIDE=FQ","FILING_STATUS=MR","Sort=A","Dates=H","DateFormat=P","Fill=—","Direction=H","UseDPDF=Y")</f>
        <v>-59.8339</v>
      </c>
      <c r="U90" s="14">
        <f>_xll.BDH("AMGN US Equity","CFO_SEQUENTIAL_GROWTH","FQ2 2023","FQ2 2023","Currency=USD","Period=FQ","BEST_FPERIOD_OVERRIDE=FQ","FILING_STATUS=MR","Sort=A","Dates=H","DateFormat=P","Fill=—","Direction=H","UseDPDF=Y")</f>
        <v>286.18419999999998</v>
      </c>
      <c r="V90" s="14">
        <f>_xll.BDH("AMGN US Equity","CFO_SEQUENTIAL_GROWTH","FQ3 2023","FQ3 2023","Currency=USD","Period=FQ","BEST_FPERIOD_OVERRIDE=FQ","FILING_STATUS=MR","Sort=A","Dates=H","DateFormat=P","Fill=—","Direction=H","UseDPDF=Y")</f>
        <v>-32.830399999999997</v>
      </c>
      <c r="W90" s="14">
        <f>_xll.BDH("AMGN US Equity","CFO_SEQUENTIAL_GROWTH","FQ4 2023","FQ4 2023","Currency=USD","Period=FQ","BEST_FPERIOD_OVERRIDE=FQ","FILING_STATUS=MR","Sort=A","Dates=H","DateFormat=P","Fill=—","Direction=H","UseDPDF=Y")</f>
        <v>-80.507199999999997</v>
      </c>
      <c r="X90" s="14">
        <f>_xll.BDH("AMGN US Equity","CFO_SEQUENTIAL_GROWTH","FQ1 2024","FQ1 2024","Currency=USD","Period=FQ","BEST_FPERIOD_OVERRIDE=FQ","FILING_STATUS=MR","Sort=A","Dates=H","DateFormat=P","Fill=—","Direction=H","UseDPDF=Y")</f>
        <v>28.0669</v>
      </c>
      <c r="Y90" s="14">
        <f>_xll.BDH("AMGN US Equity","CFO_SEQUENTIAL_GROWTH","FQ2 2024","FQ2 2024","Currency=USD","Period=FQ","BEST_FPERIOD_OVERRIDE=FQ","FILING_STATUS=MR","Sort=A","Dates=H","DateFormat=P","Fill=—","Direction=H","UseDPDF=Y")</f>
        <v>256.89400000000001</v>
      </c>
      <c r="Z90" s="14">
        <f>_xll.BDH("AMGN US Equity","CFO_SEQUENTIAL_GROWTH","FQ3 2024","FQ3 2024","Currency=USD","Period=FQ","BEST_FPERIOD_OVERRIDE=FQ","FILING_STATUS=MR","Sort=A","Dates=H","DateFormat=P","Fill=—","Direction=H","UseDPDF=Y")</f>
        <v>45.221600000000002</v>
      </c>
      <c r="AA90" s="14">
        <f>_xll.BDH("AMGN US Equity","CFO_SEQUENTIAL_GROWTH","FQ4 2024","FQ4 2024","Currency=USD","Period=FQ","BEST_FPERIOD_OVERRIDE=FQ","FILING_STATUS=MR","Sort=A","Dates=H","DateFormat=P","Fill=—","Direction=H","UseDPDF=Y")</f>
        <v>33.603999999999999</v>
      </c>
    </row>
    <row r="91" spans="1:27" x14ac:dyDescent="0.25">
      <c r="A91" s="10" t="s">
        <v>86</v>
      </c>
      <c r="B91" s="10" t="s">
        <v>1557</v>
      </c>
      <c r="C91" s="14">
        <f>_xll.BDH("AMGN US Equity","CAPEX_SEQUENTIAL_GROWTH","FQ4 2018","FQ4 2018","Currency=USD","Period=FQ","BEST_FPERIOD_OVERRIDE=FQ","FILING_STATUS=MR","Sort=A","Dates=H","DateFormat=P","Fill=—","Direction=H","UseDPDF=Y")</f>
        <v>31.578900000000001</v>
      </c>
      <c r="D91" s="14">
        <f>_xll.BDH("AMGN US Equity","CAPEX_SEQUENTIAL_GROWTH","FQ1 2019","FQ1 2019","Currency=USD","Period=FQ","BEST_FPERIOD_OVERRIDE=FQ","FILING_STATUS=MR","Sort=A","Dates=H","DateFormat=P","Fill=—","Direction=H","UseDPDF=Y")</f>
        <v>-48.444400000000002</v>
      </c>
      <c r="E91" s="14">
        <f>_xll.BDH("AMGN US Equity","CAPEX_SEQUENTIAL_GROWTH","FQ2 2019","FQ2 2019","Currency=USD","Period=FQ","BEST_FPERIOD_OVERRIDE=FQ","FILING_STATUS=MR","Sort=A","Dates=H","DateFormat=P","Fill=—","Direction=H","UseDPDF=Y")</f>
        <v>24.137899999999998</v>
      </c>
      <c r="F91" s="14">
        <f>_xll.BDH("AMGN US Equity","CAPEX_SEQUENTIAL_GROWTH","FQ3 2019","FQ3 2019","Currency=USD","Period=FQ","BEST_FPERIOD_OVERRIDE=FQ","FILING_STATUS=MR","Sort=A","Dates=H","DateFormat=P","Fill=—","Direction=H","UseDPDF=Y")</f>
        <v>18.055599999999998</v>
      </c>
      <c r="G91" s="14">
        <f>_xll.BDH("AMGN US Equity","CAPEX_SEQUENTIAL_GROWTH","FQ4 2019","FQ4 2019","Currency=USD","Period=FQ","BEST_FPERIOD_OVERRIDE=FQ","FILING_STATUS=MR","Sort=A","Dates=H","DateFormat=P","Fill=—","Direction=H","UseDPDF=Y")</f>
        <v>10.588200000000001</v>
      </c>
      <c r="H91" s="14">
        <f>_xll.BDH("AMGN US Equity","CAPEX_SEQUENTIAL_GROWTH","FQ1 2020","FQ1 2020","Currency=USD","Period=FQ","BEST_FPERIOD_OVERRIDE=FQ","FILING_STATUS=MR","Sort=A","Dates=H","DateFormat=P","Fill=—","Direction=H","UseDPDF=Y")</f>
        <v>-24.4681</v>
      </c>
      <c r="I91" s="14">
        <f>_xll.BDH("AMGN US Equity","CAPEX_SEQUENTIAL_GROWTH","FQ2 2020","FQ2 2020","Currency=USD","Period=FQ","BEST_FPERIOD_OVERRIDE=FQ","FILING_STATUS=MR","Sort=A","Dates=H","DateFormat=P","Fill=—","Direction=H","UseDPDF=Y")</f>
        <v>11.2676</v>
      </c>
      <c r="J91" s="14">
        <f>_xll.BDH("AMGN US Equity","CAPEX_SEQUENTIAL_GROWTH","FQ3 2020","FQ3 2020","Currency=USD","Period=FQ","BEST_FPERIOD_OVERRIDE=FQ","FILING_STATUS=MR","Sort=A","Dates=H","DateFormat=P","Fill=—","Direction=H","UseDPDF=Y")</f>
        <v>-14.557</v>
      </c>
      <c r="K91" s="14">
        <f>_xll.BDH("AMGN US Equity","CAPEX_SEQUENTIAL_GROWTH","FQ4 2020","FQ4 2020","Currency=USD","Period=FQ","BEST_FPERIOD_OVERRIDE=FQ","FILING_STATUS=MR","Sort=A","Dates=H","DateFormat=P","Fill=—","Direction=H","UseDPDF=Y")</f>
        <v>28.148099999999999</v>
      </c>
      <c r="L91" s="14">
        <f>_xll.BDH("AMGN US Equity","CAPEX_SEQUENTIAL_GROWTH","FQ1 2021","FQ1 2021","Currency=USD","Period=FQ","BEST_FPERIOD_OVERRIDE=FQ","FILING_STATUS=MR","Sort=A","Dates=H","DateFormat=P","Fill=—","Direction=H","UseDPDF=Y")</f>
        <v>-4.0461999999999998</v>
      </c>
      <c r="M91" s="14">
        <f>_xll.BDH("AMGN US Equity","CAPEX_SEQUENTIAL_GROWTH","FQ2 2021","FQ2 2021","Currency=USD","Period=FQ","BEST_FPERIOD_OVERRIDE=FQ","FILING_STATUS=MR","Sort=A","Dates=H","DateFormat=P","Fill=—","Direction=H","UseDPDF=Y")</f>
        <v>11.4458</v>
      </c>
      <c r="N91" s="14">
        <f>_xll.BDH("AMGN US Equity","CAPEX_SEQUENTIAL_GROWTH","FQ3 2021","FQ3 2021","Currency=USD","Period=FQ","BEST_FPERIOD_OVERRIDE=FQ","FILING_STATUS=MR","Sort=A","Dates=H","DateFormat=P","Fill=—","Direction=H","UseDPDF=Y")</f>
        <v>30.8108</v>
      </c>
      <c r="O91" s="14">
        <f>_xll.BDH("AMGN US Equity","CAPEX_SEQUENTIAL_GROWTH","FQ4 2021","FQ4 2021","Currency=USD","Period=FQ","BEST_FPERIOD_OVERRIDE=FQ","FILING_STATUS=MR","Sort=A","Dates=H","DateFormat=P","Fill=—","Direction=H","UseDPDF=Y")</f>
        <v>18.594999999999999</v>
      </c>
      <c r="P91" s="14">
        <f>_xll.BDH("AMGN US Equity","CAPEX_SEQUENTIAL_GROWTH","FQ1 2022","FQ1 2022","Currency=USD","Period=FQ","BEST_FPERIOD_OVERRIDE=FQ","FILING_STATUS=MR","Sort=A","Dates=H","DateFormat=P","Fill=—","Direction=H","UseDPDF=Y")</f>
        <v>-33.797899999999998</v>
      </c>
      <c r="Q91" s="14">
        <f>_xll.BDH("AMGN US Equity","CAPEX_SEQUENTIAL_GROWTH","FQ2 2022","FQ2 2022","Currency=USD","Period=FQ","BEST_FPERIOD_OVERRIDE=FQ","FILING_STATUS=MR","Sort=A","Dates=H","DateFormat=P","Fill=—","Direction=H","UseDPDF=Y")</f>
        <v>29.473700000000001</v>
      </c>
      <c r="R91" s="14">
        <f>_xll.BDH("AMGN US Equity","CAPEX_SEQUENTIAL_GROWTH","FQ3 2022","FQ3 2022","Currency=USD","Period=FQ","BEST_FPERIOD_OVERRIDE=FQ","FILING_STATUS=MR","Sort=A","Dates=H","DateFormat=P","Fill=—","Direction=H","UseDPDF=Y")</f>
        <v>-34.959299999999999</v>
      </c>
      <c r="S91" s="14">
        <f>_xll.BDH("AMGN US Equity","CAPEX_SEQUENTIAL_GROWTH","FQ4 2022","FQ4 2022","Currency=USD","Period=FQ","BEST_FPERIOD_OVERRIDE=FQ","FILING_STATUS=MR","Sort=A","Dates=H","DateFormat=P","Fill=—","Direction=H","UseDPDF=Y")</f>
        <v>112.5</v>
      </c>
      <c r="T91" s="14">
        <f>_xll.BDH("AMGN US Equity","CAPEX_SEQUENTIAL_GROWTH","FQ1 2023","FQ1 2023","Currency=USD","Period=FQ","BEST_FPERIOD_OVERRIDE=FQ","FILING_STATUS=MR","Sort=A","Dates=H","DateFormat=P","Fill=—","Direction=H","UseDPDF=Y")</f>
        <v>1.1765000000000001</v>
      </c>
      <c r="U91" s="14">
        <f>_xll.BDH("AMGN US Equity","CAPEX_SEQUENTIAL_GROWTH","FQ2 2023","FQ2 2023","Currency=USD","Period=FQ","BEST_FPERIOD_OVERRIDE=FQ","FILING_STATUS=MR","Sort=A","Dates=H","DateFormat=P","Fill=—","Direction=H","UseDPDF=Y")</f>
        <v>-21.2209</v>
      </c>
      <c r="V91" s="14">
        <f>_xll.BDH("AMGN US Equity","CAPEX_SEQUENTIAL_GROWTH","FQ3 2023","FQ3 2023","Currency=USD","Period=FQ","BEST_FPERIOD_OVERRIDE=FQ","FILING_STATUS=MR","Sort=A","Dates=H","DateFormat=P","Fill=—","Direction=H","UseDPDF=Y")</f>
        <v>-8.4870999999999999</v>
      </c>
      <c r="W91" s="14">
        <f>_xll.BDH("AMGN US Equity","CAPEX_SEQUENTIAL_GROWTH","FQ4 2023","FQ4 2023","Currency=USD","Period=FQ","BEST_FPERIOD_OVERRIDE=FQ","FILING_STATUS=MR","Sort=A","Dates=H","DateFormat=P","Fill=—","Direction=H","UseDPDF=Y")</f>
        <v>0.4032</v>
      </c>
      <c r="X91" s="14">
        <f>_xll.BDH("AMGN US Equity","CAPEX_SEQUENTIAL_GROWTH","FQ1 2024","FQ1 2024","Currency=USD","Period=FQ","BEST_FPERIOD_OVERRIDE=FQ","FILING_STATUS=MR","Sort=A","Dates=H","DateFormat=P","Fill=—","Direction=H","UseDPDF=Y")</f>
        <v>-7.6304999999999996</v>
      </c>
      <c r="Y91" s="14">
        <f>_xll.BDH("AMGN US Equity","CAPEX_SEQUENTIAL_GROWTH","FQ2 2024","FQ2 2024","Currency=USD","Period=FQ","BEST_FPERIOD_OVERRIDE=FQ","FILING_STATUS=MR","Sort=A","Dates=H","DateFormat=P","Fill=—","Direction=H","UseDPDF=Y")</f>
        <v>3.4782999999999999</v>
      </c>
      <c r="Z91" s="14">
        <f>_xll.BDH("AMGN US Equity","CAPEX_SEQUENTIAL_GROWTH","FQ3 2024","FQ3 2024","Currency=USD","Period=FQ","BEST_FPERIOD_OVERRIDE=FQ","FILING_STATUS=MR","Sort=A","Dates=H","DateFormat=P","Fill=—","Direction=H","UseDPDF=Y")</f>
        <v>7.9832000000000001</v>
      </c>
      <c r="AA91" s="14">
        <f>_xll.BDH("AMGN US Equity","CAPEX_SEQUENTIAL_GROWTH","FQ4 2024","FQ4 2024","Currency=USD","Period=FQ","BEST_FPERIOD_OVERRIDE=FQ","FILING_STATUS=MR","Sort=A","Dates=H","DateFormat=P","Fill=—","Direction=H","UseDPDF=Y")</f>
        <v>44.357999999999997</v>
      </c>
    </row>
    <row r="92" spans="1:27" x14ac:dyDescent="0.25">
      <c r="A92" s="10" t="s">
        <v>1421</v>
      </c>
      <c r="B92" s="10" t="s">
        <v>1558</v>
      </c>
      <c r="C92" s="14">
        <f>_xll.BDH("AMGN US Equity","NET_CHANGE_IN_CASH_SEQ_GROWTH","FQ4 2018","FQ4 2018","Currency=USD","Period=FQ","BEST_FPERIOD_OVERRIDE=FQ","FILING_STATUS=MR","Sort=A","Dates=H","DateFormat=P","Fill=—","Direction=H","UseDPDF=Y")</f>
        <v>-374.57530000000003</v>
      </c>
      <c r="D92" s="14" t="str">
        <f>_xll.BDH("AMGN US Equity","NET_CHANGE_IN_CASH_SEQ_GROWTH","FQ1 2019","FQ1 2019","Currency=USD","Period=FQ","BEST_FPERIOD_OVERRIDE=FQ","FILING_STATUS=MR","Sort=A","Dates=H","DateFormat=P","Fill=—","Direction=H","UseDPDF=Y")</f>
        <v>—</v>
      </c>
      <c r="E92" s="14">
        <f>_xll.BDH("AMGN US Equity","NET_CHANGE_IN_CASH_SEQ_GROWTH","FQ2 2019","FQ2 2019","Currency=USD","Period=FQ","BEST_FPERIOD_OVERRIDE=FQ","FILING_STATUS=MR","Sort=A","Dates=H","DateFormat=P","Fill=—","Direction=H","UseDPDF=Y")</f>
        <v>-543.82569999999998</v>
      </c>
      <c r="F92" s="14" t="str">
        <f>_xll.BDH("AMGN US Equity","NET_CHANGE_IN_CASH_SEQ_GROWTH","FQ3 2019","FQ3 2019","Currency=USD","Period=FQ","BEST_FPERIOD_OVERRIDE=FQ","FILING_STATUS=MR","Sort=A","Dates=H","DateFormat=P","Fill=—","Direction=H","UseDPDF=Y")</f>
        <v>—</v>
      </c>
      <c r="G92" s="14">
        <f>_xll.BDH("AMGN US Equity","NET_CHANGE_IN_CASH_SEQ_GROWTH","FQ4 2019","FQ4 2019","Currency=USD","Period=FQ","BEST_FPERIOD_OVERRIDE=FQ","FILING_STATUS=MR","Sort=A","Dates=H","DateFormat=P","Fill=—","Direction=H","UseDPDF=Y")</f>
        <v>-191.3073</v>
      </c>
      <c r="H92" s="14" t="str">
        <f>_xll.BDH("AMGN US Equity","NET_CHANGE_IN_CASH_SEQ_GROWTH","FQ1 2020","FQ1 2020","Currency=USD","Period=FQ","BEST_FPERIOD_OVERRIDE=FQ","FILING_STATUS=MR","Sort=A","Dates=H","DateFormat=P","Fill=—","Direction=H","UseDPDF=Y")</f>
        <v>—</v>
      </c>
      <c r="I92" s="14">
        <f>_xll.BDH("AMGN US Equity","NET_CHANGE_IN_CASH_SEQ_GROWTH","FQ2 2020","FQ2 2020","Currency=USD","Period=FQ","BEST_FPERIOD_OVERRIDE=FQ","FILING_STATUS=MR","Sort=A","Dates=H","DateFormat=P","Fill=—","Direction=H","UseDPDF=Y")</f>
        <v>-11.6364</v>
      </c>
      <c r="J92" s="14">
        <f>_xll.BDH("AMGN US Equity","NET_CHANGE_IN_CASH_SEQ_GROWTH","FQ3 2020","FQ3 2020","Currency=USD","Period=FQ","BEST_FPERIOD_OVERRIDE=FQ","FILING_STATUS=MR","Sort=A","Dates=H","DateFormat=P","Fill=—","Direction=H","UseDPDF=Y")</f>
        <v>-103.9781</v>
      </c>
      <c r="K92" s="14" t="str">
        <f>_xll.BDH("AMGN US Equity","NET_CHANGE_IN_CASH_SEQ_GROWTH","FQ4 2020","FQ4 2020","Currency=USD","Period=FQ","BEST_FPERIOD_OVERRIDE=FQ","FILING_STATUS=MR","Sort=A","Dates=H","DateFormat=P","Fill=—","Direction=H","UseDPDF=Y")</f>
        <v>—</v>
      </c>
      <c r="L92" s="14" t="str">
        <f>_xll.BDH("AMGN US Equity","NET_CHANGE_IN_CASH_SEQ_GROWTH","FQ1 2021","FQ1 2021","Currency=USD","Period=FQ","BEST_FPERIOD_OVERRIDE=FQ","FILING_STATUS=MR","Sort=A","Dates=H","DateFormat=P","Fill=—","Direction=H","UseDPDF=Y")</f>
        <v>—</v>
      </c>
      <c r="M92" s="14" t="str">
        <f>_xll.BDH("AMGN US Equity","NET_CHANGE_IN_CASH_SEQ_GROWTH","FQ2 2021","FQ2 2021","Currency=USD","Period=FQ","BEST_FPERIOD_OVERRIDE=FQ","FILING_STATUS=MR","Sort=A","Dates=H","DateFormat=P","Fill=—","Direction=H","UseDPDF=Y")</f>
        <v>—</v>
      </c>
      <c r="N92" s="14">
        <f>_xll.BDH("AMGN US Equity","NET_CHANGE_IN_CASH_SEQ_GROWTH","FQ3 2021","FQ3 2021","Currency=USD","Period=FQ","BEST_FPERIOD_OVERRIDE=FQ","FILING_STATUS=MR","Sort=A","Dates=H","DateFormat=P","Fill=—","Direction=H","UseDPDF=Y")</f>
        <v>930.69500000000005</v>
      </c>
      <c r="O92" s="14">
        <f>_xll.BDH("AMGN US Equity","NET_CHANGE_IN_CASH_SEQ_GROWTH","FQ4 2021","FQ4 2021","Currency=USD","Period=FQ","BEST_FPERIOD_OVERRIDE=FQ","FILING_STATUS=MR","Sort=A","Dates=H","DateFormat=P","Fill=—","Direction=H","UseDPDF=Y")</f>
        <v>-174.54580000000001</v>
      </c>
      <c r="P92" s="14" t="str">
        <f>_xll.BDH("AMGN US Equity","NET_CHANGE_IN_CASH_SEQ_GROWTH","FQ1 2022","FQ1 2022","Currency=USD","Period=FQ","BEST_FPERIOD_OVERRIDE=FQ","FILING_STATUS=MR","Sort=A","Dates=H","DateFormat=P","Fill=—","Direction=H","UseDPDF=Y")</f>
        <v>—</v>
      </c>
      <c r="Q92" s="14" t="str">
        <f>_xll.BDH("AMGN US Equity","NET_CHANGE_IN_CASH_SEQ_GROWTH","FQ2 2022","FQ2 2022","Currency=USD","Period=FQ","BEST_FPERIOD_OVERRIDE=FQ","FILING_STATUS=MR","Sort=A","Dates=H","DateFormat=P","Fill=—","Direction=H","UseDPDF=Y")</f>
        <v>—</v>
      </c>
      <c r="R92" s="14" t="str">
        <f>_xll.BDH("AMGN US Equity","NET_CHANGE_IN_CASH_SEQ_GROWTH","FQ3 2022","FQ3 2022","Currency=USD","Period=FQ","BEST_FPERIOD_OVERRIDE=FQ","FILING_STATUS=MR","Sort=A","Dates=H","DateFormat=P","Fill=—","Direction=H","UseDPDF=Y")</f>
        <v>—</v>
      </c>
      <c r="S92" s="14">
        <f>_xll.BDH("AMGN US Equity","NET_CHANGE_IN_CASH_SEQ_GROWTH","FQ4 2022","FQ4 2022","Currency=USD","Period=FQ","BEST_FPERIOD_OVERRIDE=FQ","FILING_STATUS=MR","Sort=A","Dates=H","DateFormat=P","Fill=—","Direction=H","UseDPDF=Y")</f>
        <v>-143.56829999999999</v>
      </c>
      <c r="T92" s="14" t="str">
        <f>_xll.BDH("AMGN US Equity","NET_CHANGE_IN_CASH_SEQ_GROWTH","FQ1 2023","FQ1 2023","Currency=USD","Period=FQ","BEST_FPERIOD_OVERRIDE=FQ","FILING_STATUS=MR","Sort=A","Dates=H","DateFormat=P","Fill=—","Direction=H","UseDPDF=Y")</f>
        <v>—</v>
      </c>
      <c r="U92" s="14">
        <f>_xll.BDH("AMGN US Equity","NET_CHANGE_IN_CASH_SEQ_GROWTH","FQ2 2023","FQ2 2023","Currency=USD","Period=FQ","BEST_FPERIOD_OVERRIDE=FQ","FILING_STATUS=MR","Sort=A","Dates=H","DateFormat=P","Fill=—","Direction=H","UseDPDF=Y")</f>
        <v>-88.767700000000005</v>
      </c>
      <c r="V92" s="14">
        <f>_xll.BDH("AMGN US Equity","NET_CHANGE_IN_CASH_SEQ_GROWTH","FQ3 2023","FQ3 2023","Currency=USD","Period=FQ","BEST_FPERIOD_OVERRIDE=FQ","FILING_STATUS=MR","Sort=A","Dates=H","DateFormat=P","Fill=—","Direction=H","UseDPDF=Y")</f>
        <v>-81.659199999999998</v>
      </c>
      <c r="W92" s="14">
        <f>_xll.BDH("AMGN US Equity","NET_CHANGE_IN_CASH_SEQ_GROWTH","FQ4 2023","FQ4 2023","Currency=USD","Period=FQ","BEST_FPERIOD_OVERRIDE=FQ","FILING_STATUS=MR","Sort=A","Dates=H","DateFormat=P","Fill=—","Direction=H","UseDPDF=Y")</f>
        <v>-4926.9777000000004</v>
      </c>
      <c r="X92" s="14" t="str">
        <f>_xll.BDH("AMGN US Equity","NET_CHANGE_IN_CASH_SEQ_GROWTH","FQ1 2024","FQ1 2024","Currency=USD","Period=FQ","BEST_FPERIOD_OVERRIDE=FQ","FILING_STATUS=MR","Sort=A","Dates=H","DateFormat=P","Fill=—","Direction=H","UseDPDF=Y")</f>
        <v>—</v>
      </c>
      <c r="Y92" s="14" t="str">
        <f>_xll.BDH("AMGN US Equity","NET_CHANGE_IN_CASH_SEQ_GROWTH","FQ2 2024","FQ2 2024","Currency=USD","Period=FQ","BEST_FPERIOD_OVERRIDE=FQ","FILING_STATUS=MR","Sort=A","Dates=H","DateFormat=P","Fill=—","Direction=H","UseDPDF=Y")</f>
        <v>—</v>
      </c>
      <c r="Z92" s="14" t="str">
        <f>_xll.BDH("AMGN US Equity","NET_CHANGE_IN_CASH_SEQ_GROWTH","FQ3 2024","FQ3 2024","Currency=USD","Period=FQ","BEST_FPERIOD_OVERRIDE=FQ","FILING_STATUS=MR","Sort=A","Dates=H","DateFormat=P","Fill=—","Direction=H","UseDPDF=Y")</f>
        <v>—</v>
      </c>
      <c r="AA92" s="14" t="str">
        <f>_xll.BDH("AMGN US Equity","NET_CHANGE_IN_CASH_SEQ_GROWTH","FQ4 2024","FQ4 2024","Currency=USD","Period=FQ","BEST_FPERIOD_OVERRIDE=FQ","FILING_STATUS=MR","Sort=A","Dates=H","DateFormat=P","Fill=—","Direction=H","UseDPDF=Y")</f>
        <v>—</v>
      </c>
    </row>
    <row r="93" spans="1:27" x14ac:dyDescent="0.25">
      <c r="A93" s="10" t="s">
        <v>88</v>
      </c>
      <c r="B93" s="10" t="s">
        <v>1559</v>
      </c>
      <c r="C93" s="14">
        <f>_xll.BDH("AMGN US Equity","FREE_CASH_FLOW_SEQUENTIAL_GROWTH","FQ4 2018","FQ4 2018","Currency=USD","Period=FQ","BEST_FPERIOD_OVERRIDE=FQ","FILING_STATUS=MR","Sort=A","Dates=H","DateFormat=P","Fill=—","Direction=H","UseDPDF=Y")</f>
        <v>-4.2876000000000003</v>
      </c>
      <c r="D93" s="14">
        <f>_xll.BDH("AMGN US Equity","FREE_CASH_FLOW_SEQUENTIAL_GROWTH","FQ1 2019","FQ1 2019","Currency=USD","Period=FQ","BEST_FPERIOD_OVERRIDE=FQ","FILING_STATUS=MR","Sort=A","Dates=H","DateFormat=P","Fill=—","Direction=H","UseDPDF=Y")</f>
        <v>-41.764899999999997</v>
      </c>
      <c r="E93" s="14">
        <f>_xll.BDH("AMGN US Equity","FREE_CASH_FLOW_SEQUENTIAL_GROWTH","FQ2 2019","FQ2 2019","Currency=USD","Period=FQ","BEST_FPERIOD_OVERRIDE=FQ","FILING_STATUS=MR","Sort=A","Dates=H","DateFormat=P","Fill=—","Direction=H","UseDPDF=Y")</f>
        <v>-26.5471</v>
      </c>
      <c r="F93" s="14">
        <f>_xll.BDH("AMGN US Equity","FREE_CASH_FLOW_SEQUENTIAL_GROWTH","FQ3 2019","FQ3 2019","Currency=USD","Period=FQ","BEST_FPERIOD_OVERRIDE=FQ","FILING_STATUS=MR","Sort=A","Dates=H","DateFormat=P","Fill=—","Direction=H","UseDPDF=Y")</f>
        <v>152.5197</v>
      </c>
      <c r="G93" s="14">
        <f>_xll.BDH("AMGN US Equity","FREE_CASH_FLOW_SEQUENTIAL_GROWTH","FQ4 2019","FQ4 2019","Currency=USD","Period=FQ","BEST_FPERIOD_OVERRIDE=FQ","FILING_STATUS=MR","Sort=A","Dates=H","DateFormat=P","Fill=—","Direction=H","UseDPDF=Y")</f>
        <v>-27.4712</v>
      </c>
      <c r="H93" s="14">
        <f>_xll.BDH("AMGN US Equity","FREE_CASH_FLOW_SEQUENTIAL_GROWTH","FQ1 2020","FQ1 2020","Currency=USD","Period=FQ","BEST_FPERIOD_OVERRIDE=FQ","FILING_STATUS=MR","Sort=A","Dates=H","DateFormat=P","Fill=—","Direction=H","UseDPDF=Y")</f>
        <v>-14.359400000000001</v>
      </c>
      <c r="I93" s="14">
        <f>_xll.BDH("AMGN US Equity","FREE_CASH_FLOW_SEQUENTIAL_GROWTH","FQ2 2020","FQ2 2020","Currency=USD","Period=FQ","BEST_FPERIOD_OVERRIDE=FQ","FILING_STATUS=MR","Sort=A","Dates=H","DateFormat=P","Fill=—","Direction=H","UseDPDF=Y")</f>
        <v>34.738999999999997</v>
      </c>
      <c r="J93" s="14">
        <f>_xll.BDH("AMGN US Equity","FREE_CASH_FLOW_SEQUENTIAL_GROWTH","FQ3 2020","FQ3 2020","Currency=USD","Period=FQ","BEST_FPERIOD_OVERRIDE=FQ","FILING_STATUS=MR","Sort=A","Dates=H","DateFormat=P","Fill=—","Direction=H","UseDPDF=Y")</f>
        <v>20.454499999999999</v>
      </c>
      <c r="K93" s="14">
        <f>_xll.BDH("AMGN US Equity","FREE_CASH_FLOW_SEQUENTIAL_GROWTH","FQ4 2020","FQ4 2020","Currency=USD","Period=FQ","BEST_FPERIOD_OVERRIDE=FQ","FILING_STATUS=MR","Sort=A","Dates=H","DateFormat=P","Fill=—","Direction=H","UseDPDF=Y")</f>
        <v>-30.714500000000001</v>
      </c>
      <c r="L93" s="14">
        <f>_xll.BDH("AMGN US Equity","FREE_CASH_FLOW_SEQUENTIAL_GROWTH","FQ1 2021","FQ1 2021","Currency=USD","Period=FQ","BEST_FPERIOD_OVERRIDE=FQ","FILING_STATUS=MR","Sort=A","Dates=H","DateFormat=P","Fill=—","Direction=H","UseDPDF=Y")</f>
        <v>-13.482100000000001</v>
      </c>
      <c r="M93" s="14">
        <f>_xll.BDH("AMGN US Equity","FREE_CASH_FLOW_SEQUENTIAL_GROWTH","FQ2 2021","FQ2 2021","Currency=USD","Period=FQ","BEST_FPERIOD_OVERRIDE=FQ","FILING_STATUS=MR","Sort=A","Dates=H","DateFormat=P","Fill=—","Direction=H","UseDPDF=Y")</f>
        <v>-9.9070999999999998</v>
      </c>
      <c r="N93" s="14">
        <f>_xll.BDH("AMGN US Equity","FREE_CASH_FLOW_SEQUENTIAL_GROWTH","FQ3 2021","FQ3 2021","Currency=USD","Period=FQ","BEST_FPERIOD_OVERRIDE=FQ","FILING_STATUS=MR","Sort=A","Dates=H","DateFormat=P","Fill=—","Direction=H","UseDPDF=Y")</f>
        <v>24.627700000000001</v>
      </c>
      <c r="O93" s="14">
        <f>_xll.BDH("AMGN US Equity","FREE_CASH_FLOW_SEQUENTIAL_GROWTH","FQ4 2021","FQ4 2021","Currency=USD","Period=FQ","BEST_FPERIOD_OVERRIDE=FQ","FILING_STATUS=MR","Sort=A","Dates=H","DateFormat=P","Fill=—","Direction=H","UseDPDF=Y")</f>
        <v>15.854799999999999</v>
      </c>
      <c r="P93" s="14">
        <f>_xll.BDH("AMGN US Equity","FREE_CASH_FLOW_SEQUENTIAL_GROWTH","FQ1 2022","FQ1 2022","Currency=USD","Period=FQ","BEST_FPERIOD_OVERRIDE=FQ","FILING_STATUS=MR","Sort=A","Dates=H","DateFormat=P","Fill=—","Direction=H","UseDPDF=Y")</f>
        <v>-21.697700000000001</v>
      </c>
      <c r="Q93" s="14">
        <f>_xll.BDH("AMGN US Equity","FREE_CASH_FLOW_SEQUENTIAL_GROWTH","FQ2 2022","FQ2 2022","Currency=USD","Period=FQ","BEST_FPERIOD_OVERRIDE=FQ","FILING_STATUS=MR","Sort=A","Dates=H","DateFormat=P","Fill=—","Direction=H","UseDPDF=Y")</f>
        <v>-14.691000000000001</v>
      </c>
      <c r="R93" s="14">
        <f>_xll.BDH("AMGN US Equity","FREE_CASH_FLOW_SEQUENTIAL_GROWTH","FQ3 2022","FQ3 2022","Currency=USD","Period=FQ","BEST_FPERIOD_OVERRIDE=FQ","FILING_STATUS=MR","Sort=A","Dates=H","DateFormat=P","Fill=—","Direction=H","UseDPDF=Y")</f>
        <v>67.339699999999993</v>
      </c>
      <c r="S93" s="14">
        <f>_xll.BDH("AMGN US Equity","FREE_CASH_FLOW_SEQUENTIAL_GROWTH","FQ4 2022","FQ4 2022","Currency=USD","Period=FQ","BEST_FPERIOD_OVERRIDE=FQ","FILING_STATUS=MR","Sort=A","Dates=H","DateFormat=P","Fill=—","Direction=H","UseDPDF=Y")</f>
        <v>-18.0625</v>
      </c>
      <c r="T93" s="14">
        <f>_xll.BDH("AMGN US Equity","FREE_CASH_FLOW_SEQUENTIAL_GROWTH","FQ1 2023","FQ1 2023","Currency=USD","Period=FQ","BEST_FPERIOD_OVERRIDE=FQ","FILING_STATUS=MR","Sort=A","Dates=H","DateFormat=P","Fill=—","Direction=H","UseDPDF=Y")</f>
        <v>-68.817700000000002</v>
      </c>
      <c r="U93" s="14">
        <f>_xll.BDH("AMGN US Equity","FREE_CASH_FLOW_SEQUENTIAL_GROWTH","FQ2 2023","FQ2 2023","Currency=USD","Period=FQ","BEST_FPERIOD_OVERRIDE=FQ","FILING_STATUS=MR","Sort=A","Dates=H","DateFormat=P","Fill=—","Direction=H","UseDPDF=Y")</f>
        <v>433.05560000000003</v>
      </c>
      <c r="V93" s="14">
        <f>_xll.BDH("AMGN US Equity","FREE_CASH_FLOW_SEQUENTIAL_GROWTH","FQ3 2023","FQ3 2023","Currency=USD","Period=FQ","BEST_FPERIOD_OVERRIDE=FQ","FILING_STATUS=MR","Sort=A","Dates=H","DateFormat=P","Fill=—","Direction=H","UseDPDF=Y")</f>
        <v>-34.549199999999999</v>
      </c>
      <c r="W93" s="14">
        <f>_xll.BDH("AMGN US Equity","FREE_CASH_FLOW_SEQUENTIAL_GROWTH","FQ4 2023","FQ4 2023","Currency=USD","Period=FQ","BEST_FPERIOD_OVERRIDE=FQ","FILING_STATUS=MR","Sort=A","Dates=H","DateFormat=P","Fill=—","Direction=H","UseDPDF=Y")</f>
        <v>-88.495199999999997</v>
      </c>
      <c r="X93" s="14">
        <f>_xll.BDH("AMGN US Equity","FREE_CASH_FLOW_SEQUENTIAL_GROWTH","FQ1 2024","FQ1 2024","Currency=USD","Period=FQ","BEST_FPERIOD_OVERRIDE=FQ","FILING_STATUS=MR","Sort=A","Dates=H","DateFormat=P","Fill=—","Direction=H","UseDPDF=Y")</f>
        <v>58.823500000000003</v>
      </c>
      <c r="Y93" s="14">
        <f>_xll.BDH("AMGN US Equity","FREE_CASH_FLOW_SEQUENTIAL_GROWTH","FQ2 2024","FQ2 2024","Currency=USD","Period=FQ","BEST_FPERIOD_OVERRIDE=FQ","FILING_STATUS=MR","Sort=A","Dates=H","DateFormat=P","Fill=—","Direction=H","UseDPDF=Y")</f>
        <v>383.87799999999999</v>
      </c>
      <c r="Z93" s="14">
        <f>_xll.BDH("AMGN US Equity","FREE_CASH_FLOW_SEQUENTIAL_GROWTH","FQ3 2024","FQ3 2024","Currency=USD","Period=FQ","BEST_FPERIOD_OVERRIDE=FQ","FILING_STATUS=MR","Sort=A","Dates=H","DateFormat=P","Fill=—","Direction=H","UseDPDF=Y")</f>
        <v>49.2121</v>
      </c>
      <c r="AA93" s="14">
        <f>_xll.BDH("AMGN US Equity","FREE_CASH_FLOW_SEQUENTIAL_GROWTH","FQ4 2024","FQ4 2024","Currency=USD","Period=FQ","BEST_FPERIOD_OVERRIDE=FQ","FILING_STATUS=MR","Sort=A","Dates=H","DateFormat=P","Fill=—","Direction=H","UseDPDF=Y")</f>
        <v>32.770099999999999</v>
      </c>
    </row>
    <row r="94" spans="1:27" x14ac:dyDescent="0.25">
      <c r="A94" s="10" t="s">
        <v>1504</v>
      </c>
      <c r="B94" s="10" t="s">
        <v>1560</v>
      </c>
      <c r="C94" s="14">
        <f>_xll.BDH("AMGN US Equity","CF_TO_FIRM_SEQUENTIAL_GROWTH","FQ4 2018","FQ4 2018","Currency=USD","Period=FQ","BEST_FPERIOD_OVERRIDE=FQ","FILING_STATUS=MR","FA_ADJUSTED=GAAP","Sort=A","Dates=H","DateFormat=P","Fill=—","Direction=H","UseDPDF=Y")</f>
        <v>-2.3288000000000002</v>
      </c>
      <c r="D94" s="14">
        <f>_xll.BDH("AMGN US Equity","CF_TO_FIRM_SEQUENTIAL_GROWTH","FQ1 2019","FQ1 2019","Currency=USD","Period=FQ","BEST_FPERIOD_OVERRIDE=FQ","FILING_STATUS=MR","FA_ADJUSTED=GAAP","Sort=A","Dates=H","DateFormat=P","Fill=—","Direction=H","UseDPDF=Y")</f>
        <v>-38.929600000000001</v>
      </c>
      <c r="E94" s="14">
        <f>_xll.BDH("AMGN US Equity","CF_TO_FIRM_SEQUENTIAL_GROWTH","FQ2 2019","FQ2 2019","Currency=USD","Period=FQ","BEST_FPERIOD_OVERRIDE=FQ","FILING_STATUS=MR","FA_ADJUSTED=GAAP","Sort=A","Dates=H","DateFormat=P","Fill=—","Direction=H","UseDPDF=Y")</f>
        <v>-20.750800000000002</v>
      </c>
      <c r="F94" s="14">
        <f>_xll.BDH("AMGN US Equity","CF_TO_FIRM_SEQUENTIAL_GROWTH","FQ3 2019","FQ3 2019","Currency=USD","Period=FQ","BEST_FPERIOD_OVERRIDE=FQ","FILING_STATUS=MR","FA_ADJUSTED=GAAP","Sort=A","Dates=H","DateFormat=P","Fill=—","Direction=H","UseDPDF=Y")</f>
        <v>115.0475</v>
      </c>
      <c r="G94" s="14">
        <f>_xll.BDH("AMGN US Equity","CF_TO_FIRM_SEQUENTIAL_GROWTH","FQ4 2019","FQ4 2019","Currency=USD","Period=FQ","BEST_FPERIOD_OVERRIDE=FQ","FILING_STATUS=MR","FA_ADJUSTED=GAAP","Sort=A","Dates=H","DateFormat=P","Fill=—","Direction=H","UseDPDF=Y")</f>
        <v>-23.989599999999999</v>
      </c>
      <c r="H94" s="14">
        <f>_xll.BDH("AMGN US Equity","CF_TO_FIRM_SEQUENTIAL_GROWTH","FQ1 2020","FQ1 2020","Currency=USD","Period=FQ","BEST_FPERIOD_OVERRIDE=FQ","FILING_STATUS=MR","FA_ADJUSTED=GAAP","Sort=A","Dates=H","DateFormat=P","Fill=—","Direction=H","UseDPDF=Y")</f>
        <v>-11.7547</v>
      </c>
      <c r="I94" s="14">
        <f>_xll.BDH("AMGN US Equity","CF_TO_FIRM_SEQUENTIAL_GROWTH","FQ2 2020","FQ2 2020","Currency=USD","Period=FQ","BEST_FPERIOD_OVERRIDE=FQ","FILING_STATUS=MR","FA_ADJUSTED=GAAP","Sort=A","Dates=H","DateFormat=P","Fill=—","Direction=H","UseDPDF=Y")</f>
        <v>26.9068</v>
      </c>
      <c r="J94" s="14">
        <f>_xll.BDH("AMGN US Equity","CF_TO_FIRM_SEQUENTIAL_GROWTH","FQ3 2020","FQ3 2020","Currency=USD","Period=FQ","BEST_FPERIOD_OVERRIDE=FQ","FILING_STATUS=MR","FA_ADJUSTED=GAAP","Sort=A","Dates=H","DateFormat=P","Fill=—","Direction=H","UseDPDF=Y")</f>
        <v>17.384599999999999</v>
      </c>
      <c r="K94" s="14">
        <f>_xll.BDH("AMGN US Equity","CF_TO_FIRM_SEQUENTIAL_GROWTH","FQ4 2020","FQ4 2020","Currency=USD","Period=FQ","BEST_FPERIOD_OVERRIDE=FQ","FILING_STATUS=MR","FA_ADJUSTED=GAAP","Sort=A","Dates=H","DateFormat=P","Fill=—","Direction=H","UseDPDF=Y")</f>
        <v>-26.2866</v>
      </c>
      <c r="L94" s="14">
        <f>_xll.BDH("AMGN US Equity","CF_TO_FIRM_SEQUENTIAL_GROWTH","FQ1 2021","FQ1 2021","Currency=USD","Period=FQ","BEST_FPERIOD_OVERRIDE=FQ","FILING_STATUS=MR","FA_ADJUSTED=GAAP","Sort=A","Dates=H","DateFormat=P","Fill=—","Direction=H","UseDPDF=Y")</f>
        <v>-12.2829</v>
      </c>
      <c r="M94" s="14">
        <f>_xll.BDH("AMGN US Equity","CF_TO_FIRM_SEQUENTIAL_GROWTH","FQ2 2021","FQ2 2021","Currency=USD","Period=FQ","BEST_FPERIOD_OVERRIDE=FQ","FILING_STATUS=MR","FA_ADJUSTED=GAAP","Sort=A","Dates=H","DateFormat=P","Fill=—","Direction=H","UseDPDF=Y")</f>
        <v>-8.1453000000000007</v>
      </c>
      <c r="N94" s="14">
        <f>_xll.BDH("AMGN US Equity","CF_TO_FIRM_SEQUENTIAL_GROWTH","FQ3 2021","FQ3 2021","Currency=USD","Period=FQ","BEST_FPERIOD_OVERRIDE=FQ","FILING_STATUS=MR","FA_ADJUSTED=GAAP","Sort=A","Dates=H","DateFormat=P","Fill=—","Direction=H","UseDPDF=Y")</f>
        <v>23.657900000000001</v>
      </c>
      <c r="O94" s="14">
        <f>_xll.BDH("AMGN US Equity","CF_TO_FIRM_SEQUENTIAL_GROWTH","FQ4 2021","FQ4 2021","Currency=USD","Period=FQ","BEST_FPERIOD_OVERRIDE=FQ","FILING_STATUS=MR","FA_ADJUSTED=GAAP","Sort=A","Dates=H","DateFormat=P","Fill=—","Direction=H","UseDPDF=Y")</f>
        <v>16.0548</v>
      </c>
      <c r="P94" s="14">
        <f>_xll.BDH("AMGN US Equity","CF_TO_FIRM_SEQUENTIAL_GROWTH","FQ1 2022","FQ1 2022","Currency=USD","Period=FQ","BEST_FPERIOD_OVERRIDE=FQ","FILING_STATUS=MR","FA_ADJUSTED=GAAP","Sort=A","Dates=H","DateFormat=P","Fill=—","Direction=H","UseDPDF=Y")</f>
        <v>-21.972300000000001</v>
      </c>
      <c r="Q94" s="14">
        <f>_xll.BDH("AMGN US Equity","CF_TO_FIRM_SEQUENTIAL_GROWTH","FQ2 2022","FQ2 2022","Currency=USD","Period=FQ","BEST_FPERIOD_OVERRIDE=FQ","FILING_STATUS=MR","FA_ADJUSTED=GAAP","Sort=A","Dates=H","DateFormat=P","Fill=—","Direction=H","UseDPDF=Y")</f>
        <v>-8.7378</v>
      </c>
      <c r="R94" s="14">
        <f>_xll.BDH("AMGN US Equity","CF_TO_FIRM_SEQUENTIAL_GROWTH","FQ3 2022","FQ3 2022","Currency=USD","Period=FQ","BEST_FPERIOD_OVERRIDE=FQ","FILING_STATUS=MR","FA_ADJUSTED=GAAP","Sort=A","Dates=H","DateFormat=P","Fill=—","Direction=H","UseDPDF=Y")</f>
        <v>49.523699999999998</v>
      </c>
      <c r="S94" s="14">
        <f>_xll.BDH("AMGN US Equity","CF_TO_FIRM_SEQUENTIAL_GROWTH","FQ4 2022","FQ4 2022","Currency=USD","Period=FQ","BEST_FPERIOD_OVERRIDE=FQ","FILING_STATUS=MR","FA_ADJUSTED=GAAP","Sort=A","Dates=H","DateFormat=P","Fill=—","Direction=H","UseDPDF=Y")</f>
        <v>-8.3148999999999997</v>
      </c>
      <c r="T94" s="14">
        <f>_xll.BDH("AMGN US Equity","CF_TO_FIRM_SEQUENTIAL_GROWTH","FQ1 2023","FQ1 2023","Currency=USD","Period=FQ","BEST_FPERIOD_OVERRIDE=FQ","FILING_STATUS=MR","FA_ADJUSTED=GAAP","Sort=A","Dates=H","DateFormat=P","Fill=—","Direction=H","UseDPDF=Y")</f>
        <v>-50.136600000000001</v>
      </c>
      <c r="U94" s="14">
        <f>_xll.BDH("AMGN US Equity","CF_TO_FIRM_SEQUENTIAL_GROWTH","FQ2 2023","FQ2 2023","Currency=USD","Period=FQ","BEST_FPERIOD_OVERRIDE=FQ","FILING_STATUS=MR","FA_ADJUSTED=GAAP","Sort=A","Dates=H","DateFormat=P","Fill=—","Direction=H","UseDPDF=Y")</f>
        <v>214.2141</v>
      </c>
      <c r="V94" s="14">
        <f>_xll.BDH("AMGN US Equity","CF_TO_FIRM_SEQUENTIAL_GROWTH","FQ3 2023","FQ3 2023","Currency=USD","Period=FQ","BEST_FPERIOD_OVERRIDE=FQ","FILING_STATUS=MR","FA_ADJUSTED=GAAP","Sort=A","Dates=H","DateFormat=P","Fill=—","Direction=H","UseDPDF=Y")</f>
        <v>-27.7196</v>
      </c>
      <c r="W94" s="14">
        <f>_xll.BDH("AMGN US Equity","CF_TO_FIRM_SEQUENTIAL_GROWTH","FQ4 2023","FQ4 2023","Currency=USD","Period=FQ","BEST_FPERIOD_OVERRIDE=FQ","FILING_STATUS=MR","FA_ADJUSTED=GAAP","Sort=A","Dates=H","DateFormat=P","Fill=—","Direction=H","UseDPDF=Y")</f>
        <v>-62.814799999999998</v>
      </c>
      <c r="X94" s="14">
        <f>_xll.BDH("AMGN US Equity","CF_TO_FIRM_SEQUENTIAL_GROWTH","FQ1 2024","FQ1 2024","Currency=USD","Period=FQ","BEST_FPERIOD_OVERRIDE=FQ","FILING_STATUS=MR","FA_ADJUSTED=GAAP","Sort=A","Dates=H","DateFormat=P","Fill=—","Direction=H","UseDPDF=Y")</f>
        <v>9.8297000000000008</v>
      </c>
      <c r="Y94" s="14">
        <f>_xll.BDH("AMGN US Equity","CF_TO_FIRM_SEQUENTIAL_GROWTH","FQ2 2024","FQ2 2024","Currency=USD","Period=FQ","BEST_FPERIOD_OVERRIDE=FQ","FILING_STATUS=MR","FA_ADJUSTED=GAAP","Sort=A","Dates=H","DateFormat=P","Fill=—","Direction=H","UseDPDF=Y")</f>
        <v>129.4375</v>
      </c>
      <c r="Z94" s="14">
        <f>_xll.BDH("AMGN US Equity","CF_TO_FIRM_SEQUENTIAL_GROWTH","FQ3 2024","FQ3 2024","Currency=USD","Period=FQ","BEST_FPERIOD_OVERRIDE=FQ","FILING_STATUS=MR","FA_ADJUSTED=GAAP","Sort=A","Dates=H","DateFormat=P","Fill=—","Direction=H","UseDPDF=Y")</f>
        <v>32.970199999999998</v>
      </c>
      <c r="AA94" s="14">
        <f>_xll.BDH("AMGN US Equity","CF_TO_FIRM_SEQUENTIAL_GROWTH","FQ4 2024","FQ4 2024","Currency=USD","Period=FQ","BEST_FPERIOD_OVERRIDE=FQ","FILING_STATUS=MR","FA_ADJUSTED=GAAP","Sort=A","Dates=H","DateFormat=P","Fill=—","Direction=H","UseDPDF=Y")</f>
        <v>25.489699999999999</v>
      </c>
    </row>
    <row r="95" spans="1:27" x14ac:dyDescent="0.25">
      <c r="A95" s="10" t="s">
        <v>1348</v>
      </c>
      <c r="B95" s="10" t="s">
        <v>1561</v>
      </c>
      <c r="C95" s="14">
        <f>_xll.BDH("AMGN US Equity","FCF_TO_FIRM_SEQUENTIAL_GROWTH","FQ4 2018","FQ4 2018","Currency=USD","Period=FQ","BEST_FPERIOD_OVERRIDE=FQ","FILING_STATUS=MR","FA_ADJUSTED=GAAP","Sort=A","Dates=H","DateFormat=P","Fill=—","Direction=H","UseDPDF=Y")</f>
        <v>-4.0255999999999998</v>
      </c>
      <c r="D95" s="14">
        <f>_xll.BDH("AMGN US Equity","FCF_TO_FIRM_SEQUENTIAL_GROWTH","FQ1 2019","FQ1 2019","Currency=USD","Period=FQ","BEST_FPERIOD_OVERRIDE=FQ","FILING_STATUS=MR","FA_ADJUSTED=GAAP","Sort=A","Dates=H","DateFormat=P","Fill=—","Direction=H","UseDPDF=Y")</f>
        <v>-38.276899999999998</v>
      </c>
      <c r="E95" s="14">
        <f>_xll.BDH("AMGN US Equity","FCF_TO_FIRM_SEQUENTIAL_GROWTH","FQ2 2019","FQ2 2019","Currency=USD","Period=FQ","BEST_FPERIOD_OVERRIDE=FQ","FILING_STATUS=MR","FA_ADJUSTED=GAAP","Sort=A","Dates=H","DateFormat=P","Fill=—","Direction=H","UseDPDF=Y")</f>
        <v>-23.3231</v>
      </c>
      <c r="F95" s="14">
        <f>_xll.BDH("AMGN US Equity","FCF_TO_FIRM_SEQUENTIAL_GROWTH","FQ3 2019","FQ3 2019","Currency=USD","Period=FQ","BEST_FPERIOD_OVERRIDE=FQ","FILING_STATUS=MR","FA_ADJUSTED=GAAP","Sort=A","Dates=H","DateFormat=P","Fill=—","Direction=H","UseDPDF=Y")</f>
        <v>124.0459</v>
      </c>
      <c r="G95" s="14">
        <f>_xll.BDH("AMGN US Equity","FCF_TO_FIRM_SEQUENTIAL_GROWTH","FQ4 2019","FQ4 2019","Currency=USD","Period=FQ","BEST_FPERIOD_OVERRIDE=FQ","FILING_STATUS=MR","FA_ADJUSTED=GAAP","Sort=A","Dates=H","DateFormat=P","Fill=—","Direction=H","UseDPDF=Y")</f>
        <v>-25.6799</v>
      </c>
      <c r="H95" s="14">
        <f>_xll.BDH("AMGN US Equity","FCF_TO_FIRM_SEQUENTIAL_GROWTH","FQ1 2020","FQ1 2020","Currency=USD","Period=FQ","BEST_FPERIOD_OVERRIDE=FQ","FILING_STATUS=MR","FA_ADJUSTED=GAAP","Sort=A","Dates=H","DateFormat=P","Fill=—","Direction=H","UseDPDF=Y")</f>
        <v>-10.8299</v>
      </c>
      <c r="I95" s="14">
        <f>_xll.BDH("AMGN US Equity","FCF_TO_FIRM_SEQUENTIAL_GROWTH","FQ2 2020","FQ2 2020","Currency=USD","Period=FQ","BEST_FPERIOD_OVERRIDE=FQ","FILING_STATUS=MR","FA_ADJUSTED=GAAP","Sort=A","Dates=H","DateFormat=P","Fill=—","Direction=H","UseDPDF=Y")</f>
        <v>27.8704</v>
      </c>
      <c r="J95" s="14">
        <f>_xll.BDH("AMGN US Equity","FCF_TO_FIRM_SEQUENTIAL_GROWTH","FQ3 2020","FQ3 2020","Currency=USD","Period=FQ","BEST_FPERIOD_OVERRIDE=FQ","FILING_STATUS=MR","FA_ADJUSTED=GAAP","Sort=A","Dates=H","DateFormat=P","Fill=—","Direction=H","UseDPDF=Y")</f>
        <v>19.097100000000001</v>
      </c>
      <c r="K95" s="14">
        <f>_xll.BDH("AMGN US Equity","FCF_TO_FIRM_SEQUENTIAL_GROWTH","FQ4 2020","FQ4 2020","Currency=USD","Period=FQ","BEST_FPERIOD_OVERRIDE=FQ","FILING_STATUS=MR","FA_ADJUSTED=GAAP","Sort=A","Dates=H","DateFormat=P","Fill=—","Direction=H","UseDPDF=Y")</f>
        <v>-28.380500000000001</v>
      </c>
      <c r="L95" s="14">
        <f>_xll.BDH("AMGN US Equity","FCF_TO_FIRM_SEQUENTIAL_GROWTH","FQ1 2021","FQ1 2021","Currency=USD","Period=FQ","BEST_FPERIOD_OVERRIDE=FQ","FILING_STATUS=MR","FA_ADJUSTED=GAAP","Sort=A","Dates=H","DateFormat=P","Fill=—","Direction=H","UseDPDF=Y")</f>
        <v>-12.8498</v>
      </c>
      <c r="M95" s="14">
        <f>_xll.BDH("AMGN US Equity","FCF_TO_FIRM_SEQUENTIAL_GROWTH","FQ2 2021","FQ2 2021","Currency=USD","Period=FQ","BEST_FPERIOD_OVERRIDE=FQ","FILING_STATUS=MR","FA_ADJUSTED=GAAP","Sort=A","Dates=H","DateFormat=P","Fill=—","Direction=H","UseDPDF=Y")</f>
        <v>-9.6298999999999992</v>
      </c>
      <c r="N95" s="14">
        <f>_xll.BDH("AMGN US Equity","FCF_TO_FIRM_SEQUENTIAL_GROWTH","FQ3 2021","FQ3 2021","Currency=USD","Period=FQ","BEST_FPERIOD_OVERRIDE=FQ","FILING_STATUS=MR","FA_ADJUSTED=GAAP","Sort=A","Dates=H","DateFormat=P","Fill=—","Direction=H","UseDPDF=Y")</f>
        <v>22.9895</v>
      </c>
      <c r="O95" s="14">
        <f>_xll.BDH("AMGN US Equity","FCF_TO_FIRM_SEQUENTIAL_GROWTH","FQ4 2021","FQ4 2021","Currency=USD","Period=FQ","BEST_FPERIOD_OVERRIDE=FQ","FILING_STATUS=MR","FA_ADJUSTED=GAAP","Sort=A","Dates=H","DateFormat=P","Fill=—","Direction=H","UseDPDF=Y")</f>
        <v>15.8024</v>
      </c>
      <c r="P95" s="14">
        <f>_xll.BDH("AMGN US Equity","FCF_TO_FIRM_SEQUENTIAL_GROWTH","FQ1 2022","FQ1 2022","Currency=USD","Period=FQ","BEST_FPERIOD_OVERRIDE=FQ","FILING_STATUS=MR","FA_ADJUSTED=GAAP","Sort=A","Dates=H","DateFormat=P","Fill=—","Direction=H","UseDPDF=Y")</f>
        <v>-20.768599999999999</v>
      </c>
      <c r="Q95" s="14">
        <f>_xll.BDH("AMGN US Equity","FCF_TO_FIRM_SEQUENTIAL_GROWTH","FQ2 2022","FQ2 2022","Currency=USD","Period=FQ","BEST_FPERIOD_OVERRIDE=FQ","FILING_STATUS=MR","FA_ADJUSTED=GAAP","Sort=A","Dates=H","DateFormat=P","Fill=—","Direction=H","UseDPDF=Y")</f>
        <v>-11.9877</v>
      </c>
      <c r="R95" s="14">
        <f>_xll.BDH("AMGN US Equity","FCF_TO_FIRM_SEQUENTIAL_GROWTH","FQ3 2022","FQ3 2022","Currency=USD","Period=FQ","BEST_FPERIOD_OVERRIDE=FQ","FILING_STATUS=MR","FA_ADJUSTED=GAAP","Sort=A","Dates=H","DateFormat=P","Fill=—","Direction=H","UseDPDF=Y")</f>
        <v>60.094000000000001</v>
      </c>
      <c r="S95" s="14">
        <f>_xll.BDH("AMGN US Equity","FCF_TO_FIRM_SEQUENTIAL_GROWTH","FQ4 2022","FQ4 2022","Currency=USD","Period=FQ","BEST_FPERIOD_OVERRIDE=FQ","FILING_STATUS=MR","FA_ADJUSTED=GAAP","Sort=A","Dates=H","DateFormat=P","Fill=—","Direction=H","UseDPDF=Y")</f>
        <v>-14.456</v>
      </c>
      <c r="T95" s="14">
        <f>_xll.BDH("AMGN US Equity","FCF_TO_FIRM_SEQUENTIAL_GROWTH","FQ1 2023","FQ1 2023","Currency=USD","Period=FQ","BEST_FPERIOD_OVERRIDE=FQ","FILING_STATUS=MR","FA_ADJUSTED=GAAP","Sort=A","Dates=H","DateFormat=P","Fill=—","Direction=H","UseDPDF=Y")</f>
        <v>-56.615900000000003</v>
      </c>
      <c r="U95" s="14">
        <f>_xll.BDH("AMGN US Equity","FCF_TO_FIRM_SEQUENTIAL_GROWTH","FQ2 2023","FQ2 2023","Currency=USD","Period=FQ","BEST_FPERIOD_OVERRIDE=FQ","FILING_STATUS=MR","FA_ADJUSTED=GAAP","Sort=A","Dates=H","DateFormat=P","Fill=—","Direction=H","UseDPDF=Y")</f>
        <v>283.54340000000002</v>
      </c>
      <c r="V95" s="14">
        <f>_xll.BDH("AMGN US Equity","FCF_TO_FIRM_SEQUENTIAL_GROWTH","FQ3 2023","FQ3 2023","Currency=USD","Period=FQ","BEST_FPERIOD_OVERRIDE=FQ","FILING_STATUS=MR","FA_ADJUSTED=GAAP","Sort=A","Dates=H","DateFormat=P","Fill=—","Direction=H","UseDPDF=Y")</f>
        <v>-28.882899999999999</v>
      </c>
      <c r="W95" s="14">
        <f>_xll.BDH("AMGN US Equity","FCF_TO_FIRM_SEQUENTIAL_GROWTH","FQ4 2023","FQ4 2023","Currency=USD","Period=FQ","BEST_FPERIOD_OVERRIDE=FQ","FILING_STATUS=MR","FA_ADJUSTED=GAAP","Sort=A","Dates=H","DateFormat=P","Fill=—","Direction=H","UseDPDF=Y")</f>
        <v>-67.734999999999999</v>
      </c>
      <c r="X95" s="14">
        <f>_xll.BDH("AMGN US Equity","FCF_TO_FIRM_SEQUENTIAL_GROWTH","FQ1 2024","FQ1 2024","Currency=USD","Period=FQ","BEST_FPERIOD_OVERRIDE=FQ","FILING_STATUS=MR","FA_ADJUSTED=GAAP","Sort=A","Dates=H","DateFormat=P","Fill=—","Direction=H","UseDPDF=Y")</f>
        <v>14.0585</v>
      </c>
      <c r="Y95" s="14">
        <f>_xll.BDH("AMGN US Equity","FCF_TO_FIRM_SEQUENTIAL_GROWTH","FQ2 2024","FQ2 2024","Currency=USD","Period=FQ","BEST_FPERIOD_OVERRIDE=FQ","FILING_STATUS=MR","FA_ADJUSTED=GAAP","Sort=A","Dates=H","DateFormat=P","Fill=—","Direction=H","UseDPDF=Y")</f>
        <v>154.14320000000001</v>
      </c>
      <c r="Z95" s="14">
        <f>_xll.BDH("AMGN US Equity","FCF_TO_FIRM_SEQUENTIAL_GROWTH","FQ3 2024","FQ3 2024","Currency=USD","Period=FQ","BEST_FPERIOD_OVERRIDE=FQ","FILING_STATUS=MR","FA_ADJUSTED=GAAP","Sort=A","Dates=H","DateFormat=P","Fill=—","Direction=H","UseDPDF=Y")</f>
        <v>34.965699999999998</v>
      </c>
      <c r="AA95" s="14">
        <f>_xll.BDH("AMGN US Equity","FCF_TO_FIRM_SEQUENTIAL_GROWTH","FQ4 2024","FQ4 2024","Currency=USD","Period=FQ","BEST_FPERIOD_OVERRIDE=FQ","FILING_STATUS=MR","FA_ADJUSTED=GAAP","Sort=A","Dates=H","DateFormat=P","Fill=—","Direction=H","UseDPDF=Y")</f>
        <v>24.284099999999999</v>
      </c>
    </row>
    <row r="96" spans="1:27" x14ac:dyDescent="0.25">
      <c r="A96" s="7" t="s">
        <v>90</v>
      </c>
      <c r="B96" s="7"/>
      <c r="C96" s="7" t="s">
        <v>5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40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1562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10" t="s">
        <v>195</v>
      </c>
      <c r="B6" s="10" t="s">
        <v>196</v>
      </c>
      <c r="C6" s="12" t="s">
        <v>1563</v>
      </c>
      <c r="D6" s="12" t="s">
        <v>197</v>
      </c>
      <c r="E6" s="12" t="s">
        <v>197</v>
      </c>
      <c r="F6" s="12" t="s">
        <v>197</v>
      </c>
      <c r="G6" s="12" t="s">
        <v>197</v>
      </c>
      <c r="H6" s="12" t="s">
        <v>197</v>
      </c>
      <c r="I6" s="12" t="s">
        <v>197</v>
      </c>
      <c r="J6" s="12" t="s">
        <v>197</v>
      </c>
      <c r="K6" s="12" t="s">
        <v>197</v>
      </c>
      <c r="L6" s="12" t="s">
        <v>197</v>
      </c>
      <c r="M6" s="12" t="s">
        <v>197</v>
      </c>
      <c r="N6" s="12" t="s">
        <v>197</v>
      </c>
      <c r="O6" s="12" t="s">
        <v>197</v>
      </c>
      <c r="P6" s="12" t="s">
        <v>197</v>
      </c>
      <c r="Q6" s="12" t="s">
        <v>197</v>
      </c>
      <c r="R6" s="12" t="s">
        <v>197</v>
      </c>
      <c r="S6" s="12" t="s">
        <v>197</v>
      </c>
      <c r="T6" s="12" t="s">
        <v>197</v>
      </c>
      <c r="U6" s="12" t="s">
        <v>197</v>
      </c>
      <c r="V6" s="12" t="s">
        <v>197</v>
      </c>
      <c r="W6" s="12" t="s">
        <v>197</v>
      </c>
      <c r="X6" s="12" t="s">
        <v>197</v>
      </c>
      <c r="Y6" s="12" t="s">
        <v>197</v>
      </c>
      <c r="Z6" s="12" t="s">
        <v>197</v>
      </c>
      <c r="AA6" s="12" t="s">
        <v>197</v>
      </c>
    </row>
    <row r="7" spans="1:27" x14ac:dyDescent="0.25">
      <c r="A7" s="10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1493</v>
      </c>
      <c r="B8" s="10" t="s">
        <v>67</v>
      </c>
      <c r="C8" s="13">
        <f>_xll.BDH("AMGN US Equity","SHORT_AND_LONG_TERM_DEBT","FQ4 2018","FQ4 2018","Currency=USD","Period=FQ","BEST_FPERIOD_OVERRIDE=FQ","FILING_STATUS=MR","SCALING_FORMAT=MLN","Sort=A","Dates=H","DateFormat=P","Fill=—","Direction=H","UseDPDF=Y")</f>
        <v>33929</v>
      </c>
      <c r="D8" s="13">
        <f>_xll.BDH("AMGN US Equity","SHORT_AND_LONG_TERM_DEBT","FQ1 2019","FQ1 2019","Currency=USD","Period=FQ","BEST_FPERIOD_OVERRIDE=FQ","FILING_STATUS=MR","SCALING_FORMAT=MLN","Sort=A","Dates=H","DateFormat=P","Fill=—","Direction=H","UseDPDF=Y")</f>
        <v>33512</v>
      </c>
      <c r="E8" s="13">
        <f>_xll.BDH("AMGN US Equity","SHORT_AND_LONG_TERM_DEBT","FQ2 2019","FQ2 2019","Currency=USD","Period=FQ","BEST_FPERIOD_OVERRIDE=FQ","FILING_STATUS=MR","SCALING_FORMAT=MLN","Sort=A","Dates=H","DateFormat=P","Fill=—","Direction=H","UseDPDF=Y")</f>
        <v>31111</v>
      </c>
      <c r="F8" s="13">
        <f>_xll.BDH("AMGN US Equity","SHORT_AND_LONG_TERM_DEBT","FQ3 2019","FQ3 2019","Currency=USD","Period=FQ","BEST_FPERIOD_OVERRIDE=FQ","FILING_STATUS=MR","SCALING_FORMAT=MLN","Sort=A","Dates=H","DateFormat=P","Fill=—","Direction=H","UseDPDF=Y")</f>
        <v>30277</v>
      </c>
      <c r="G8" s="13">
        <f>_xll.BDH("AMGN US Equity","SHORT_AND_LONG_TERM_DEBT","FQ4 2019","FQ4 2019","Currency=USD","Period=FQ","BEST_FPERIOD_OVERRIDE=FQ","FILING_STATUS=MR","SCALING_FORMAT=MLN","Sort=A","Dates=H","DateFormat=P","Fill=—","Direction=H","UseDPDF=Y")</f>
        <v>30431</v>
      </c>
      <c r="H8" s="13">
        <f>_xll.BDH("AMGN US Equity","SHORT_AND_LONG_TERM_DEBT","FQ1 2020","FQ1 2020","Currency=USD","Period=FQ","BEST_FPERIOD_OVERRIDE=FQ","FILING_STATUS=MR","SCALING_FORMAT=MLN","Sort=A","Dates=H","DateFormat=P","Fill=—","Direction=H","UseDPDF=Y")</f>
        <v>31848</v>
      </c>
      <c r="I8" s="13">
        <f>_xll.BDH("AMGN US Equity","SHORT_AND_LONG_TERM_DEBT","FQ2 2020","FQ2 2020","Currency=USD","Period=FQ","BEST_FPERIOD_OVERRIDE=FQ","FILING_STATUS=MR","SCALING_FORMAT=MLN","Sort=A","Dates=H","DateFormat=P","Fill=—","Direction=H","UseDPDF=Y")</f>
        <v>34224</v>
      </c>
      <c r="J8" s="13">
        <f>_xll.BDH("AMGN US Equity","SHORT_AND_LONG_TERM_DEBT","FQ3 2020","FQ3 2020","Currency=USD","Period=FQ","BEST_FPERIOD_OVERRIDE=FQ","FILING_STATUS=MR","SCALING_FORMAT=MLN","Sort=A","Dates=H","DateFormat=P","Fill=—","Direction=H","UseDPDF=Y")</f>
        <v>34287</v>
      </c>
      <c r="K8" s="13">
        <f>_xll.BDH("AMGN US Equity","SHORT_AND_LONG_TERM_DEBT","FQ4 2020","FQ4 2020","Currency=USD","Period=FQ","BEST_FPERIOD_OVERRIDE=FQ","FILING_STATUS=MR","SCALING_FORMAT=MLN","Sort=A","Dates=H","DateFormat=P","Fill=—","Direction=H","UseDPDF=Y")</f>
        <v>33445</v>
      </c>
      <c r="L8" s="13">
        <f>_xll.BDH("AMGN US Equity","SHORT_AND_LONG_TERM_DEBT","FQ1 2021","FQ1 2021","Currency=USD","Period=FQ","BEST_FPERIOD_OVERRIDE=FQ","FILING_STATUS=MR","SCALING_FORMAT=MLN","Sort=A","Dates=H","DateFormat=P","Fill=—","Direction=H","UseDPDF=Y")</f>
        <v>32685</v>
      </c>
      <c r="M8" s="13">
        <f>_xll.BDH("AMGN US Equity","SHORT_AND_LONG_TERM_DEBT","FQ2 2021","FQ2 2021","Currency=USD","Period=FQ","BEST_FPERIOD_OVERRIDE=FQ","FILING_STATUS=MR","SCALING_FORMAT=MLN","Sort=A","Dates=H","DateFormat=P","Fill=—","Direction=H","UseDPDF=Y")</f>
        <v>32782</v>
      </c>
      <c r="N8" s="13">
        <f>_xll.BDH("AMGN US Equity","SHORT_AND_LONG_TERM_DEBT","FQ3 2021","FQ3 2021","Currency=USD","Period=FQ","BEST_FPERIOD_OVERRIDE=FQ","FILING_STATUS=MR","SCALING_FORMAT=MLN","Sort=A","Dates=H","DateFormat=P","Fill=—","Direction=H","UseDPDF=Y")</f>
        <v>37579</v>
      </c>
      <c r="O8" s="13">
        <f>_xll.BDH("AMGN US Equity","SHORT_AND_LONG_TERM_DEBT","FQ4 2021","FQ4 2021","Currency=USD","Period=FQ","BEST_FPERIOD_OVERRIDE=FQ","FILING_STATUS=MR","SCALING_FORMAT=MLN","Sort=A","Dates=H","DateFormat=P","Fill=—","Direction=H","UseDPDF=Y")</f>
        <v>33979</v>
      </c>
      <c r="P8" s="13">
        <f>_xll.BDH("AMGN US Equity","SHORT_AND_LONG_TERM_DEBT","FQ1 2022","FQ1 2022","Currency=USD","Period=FQ","BEST_FPERIOD_OVERRIDE=FQ","FILING_STATUS=MR","SCALING_FORMAT=MLN","Sort=A","Dates=H","DateFormat=P","Fill=—","Direction=H","UseDPDF=Y")</f>
        <v>36854</v>
      </c>
      <c r="Q8" s="13">
        <f>_xll.BDH("AMGN US Equity","SHORT_AND_LONG_TERM_DEBT","FQ2 2022","FQ2 2022","Currency=USD","Period=FQ","BEST_FPERIOD_OVERRIDE=FQ","FILING_STATUS=MR","SCALING_FORMAT=MLN","Sort=A","Dates=H","DateFormat=P","Fill=—","Direction=H","UseDPDF=Y")</f>
        <v>36522</v>
      </c>
      <c r="R8" s="13">
        <f>_xll.BDH("AMGN US Equity","SHORT_AND_LONG_TERM_DEBT","FQ3 2022","FQ3 2022","Currency=USD","Period=FQ","BEST_FPERIOD_OVERRIDE=FQ","FILING_STATUS=MR","SCALING_FORMAT=MLN","Sort=A","Dates=H","DateFormat=P","Fill=—","Direction=H","UseDPDF=Y")</f>
        <v>38704</v>
      </c>
      <c r="S8" s="13">
        <f>_xll.BDH("AMGN US Equity","SHORT_AND_LONG_TERM_DEBT","FQ4 2022","FQ4 2022","Currency=USD","Period=FQ","BEST_FPERIOD_OVERRIDE=FQ","FILING_STATUS=MR","SCALING_FORMAT=MLN","Sort=A","Dates=H","DateFormat=P","Fill=—","Direction=H","UseDPDF=Y")</f>
        <v>39640</v>
      </c>
      <c r="T8" s="13">
        <f>_xll.BDH("AMGN US Equity","SHORT_AND_LONG_TERM_DEBT","FQ1 2023","FQ1 2023","Currency=USD","Period=FQ","BEST_FPERIOD_OVERRIDE=FQ","FILING_STATUS=MR","SCALING_FORMAT=MLN","Sort=A","Dates=H","DateFormat=P","Fill=—","Direction=H","UseDPDF=Y")</f>
        <v>61595</v>
      </c>
      <c r="U8" s="13">
        <f>_xll.BDH("AMGN US Equity","SHORT_AND_LONG_TERM_DEBT","FQ2 2023","FQ2 2023","Currency=USD","Period=FQ","BEST_FPERIOD_OVERRIDE=FQ","FILING_STATUS=MR","SCALING_FORMAT=MLN","Sort=A","Dates=H","DateFormat=P","Fill=—","Direction=H","UseDPDF=Y")</f>
        <v>61544</v>
      </c>
      <c r="V8" s="13">
        <f>_xll.BDH("AMGN US Equity","SHORT_AND_LONG_TERM_DEBT","FQ3 2023","FQ3 2023","Currency=USD","Period=FQ","BEST_FPERIOD_OVERRIDE=FQ","FILING_STATUS=MR","SCALING_FORMAT=MLN","Sort=A","Dates=H","DateFormat=P","Fill=—","Direction=H","UseDPDF=Y")</f>
        <v>60468</v>
      </c>
      <c r="W8" s="13">
        <f>_xll.BDH("AMGN US Equity","SHORT_AND_LONG_TERM_DEBT","FQ4 2023","FQ4 2023","Currency=USD","Period=FQ","BEST_FPERIOD_OVERRIDE=FQ","FILING_STATUS=MR","SCALING_FORMAT=MLN","Sort=A","Dates=H","DateFormat=P","Fill=—","Direction=H","UseDPDF=Y")</f>
        <v>65423</v>
      </c>
      <c r="X8" s="13">
        <f>_xll.BDH("AMGN US Equity","SHORT_AND_LONG_TERM_DEBT","FQ1 2024","FQ1 2024","Currency=USD","Period=FQ","BEST_FPERIOD_OVERRIDE=FQ","FILING_STATUS=MR","SCALING_FORMAT=MLN","Sort=A","Dates=H","DateFormat=P","Fill=—","Direction=H","UseDPDF=Y")</f>
        <v>64020</v>
      </c>
      <c r="Y8" s="13">
        <f>_xll.BDH("AMGN US Equity","SHORT_AND_LONG_TERM_DEBT","FQ2 2024","FQ2 2024","Currency=USD","Period=FQ","BEST_FPERIOD_OVERRIDE=FQ","FILING_STATUS=MR","SCALING_FORMAT=MLN","Sort=A","Dates=H","DateFormat=P","Fill=—","Direction=H","UseDPDF=Y")</f>
        <v>62645</v>
      </c>
      <c r="Z8" s="13">
        <f>_xll.BDH("AMGN US Equity","SHORT_AND_LONG_TERM_DEBT","FQ3 2024","FQ3 2024","Currency=USD","Period=FQ","BEST_FPERIOD_OVERRIDE=FQ","FILING_STATUS=MR","SCALING_FORMAT=MLN","Sort=A","Dates=H","DateFormat=P","Fill=—","Direction=H","UseDPDF=Y")</f>
        <v>60398</v>
      </c>
      <c r="AA8" s="13">
        <f>_xll.BDH("AMGN US Equity","SHORT_AND_LONG_TERM_DEBT","FQ4 2024","FQ4 2024","Currency=USD","Period=FQ","BEST_FPERIOD_OVERRIDE=FQ","FILING_STATUS=MR","SCALING_FORMAT=MLN","Sort=A","Dates=H","DateFormat=P","Fill=—","Direction=H","UseDPDF=Y")</f>
        <v>60879</v>
      </c>
    </row>
    <row r="9" spans="1:27" x14ac:dyDescent="0.25">
      <c r="A9" s="10" t="s">
        <v>1564</v>
      </c>
      <c r="B9" s="10" t="s">
        <v>764</v>
      </c>
      <c r="C9" s="13">
        <f>_xll.BDH("AMGN US Equity","BS_ST_BORROW","FQ4 2018","FQ4 2018","Currency=USD","Period=FQ","BEST_FPERIOD_OVERRIDE=FQ","FILING_STATUS=MR","SCALING_FORMAT=MLN","Sort=A","Dates=H","DateFormat=P","Fill=—","Direction=H","UseDPDF=Y")</f>
        <v>4419</v>
      </c>
      <c r="D9" s="13">
        <f>_xll.BDH("AMGN US Equity","BS_ST_BORROW","FQ1 2019","FQ1 2019","Currency=USD","Period=FQ","BEST_FPERIOD_OVERRIDE=FQ","FILING_STATUS=MR","SCALING_FORMAT=MLN","Sort=A","Dates=H","DateFormat=P","Fill=—","Direction=H","UseDPDF=Y")</f>
        <v>3825</v>
      </c>
      <c r="E9" s="13">
        <f>_xll.BDH("AMGN US Equity","BS_ST_BORROW","FQ2 2019","FQ2 2019","Currency=USD","Period=FQ","BEST_FPERIOD_OVERRIDE=FQ","FILING_STATUS=MR","SCALING_FORMAT=MLN","Sort=A","Dates=H","DateFormat=P","Fill=—","Direction=H","UseDPDF=Y")</f>
        <v>2950</v>
      </c>
      <c r="F9" s="13">
        <f>_xll.BDH("AMGN US Equity","BS_ST_BORROW","FQ3 2019","FQ3 2019","Currency=USD","Period=FQ","BEST_FPERIOD_OVERRIDE=FQ","FILING_STATUS=MR","SCALING_FORMAT=MLN","Sort=A","Dates=H","DateFormat=P","Fill=—","Direction=H","UseDPDF=Y")</f>
        <v>2184</v>
      </c>
      <c r="G9" s="13">
        <f>_xll.BDH("AMGN US Equity","BS_ST_BORROW","FQ4 2019","FQ4 2019","Currency=USD","Period=FQ","BEST_FPERIOD_OVERRIDE=FQ","FILING_STATUS=MR","SCALING_FORMAT=MLN","Sort=A","Dates=H","DateFormat=P","Fill=—","Direction=H","UseDPDF=Y")</f>
        <v>3093</v>
      </c>
      <c r="H9" s="13">
        <f>_xll.BDH("AMGN US Equity","BS_ST_BORROW","FQ1 2020","FQ1 2020","Currency=USD","Period=FQ","BEST_FPERIOD_OVERRIDE=FQ","FILING_STATUS=MR","SCALING_FORMAT=MLN","Sort=A","Dates=H","DateFormat=P","Fill=—","Direction=H","UseDPDF=Y")</f>
        <v>1840</v>
      </c>
      <c r="I9" s="13">
        <f>_xll.BDH("AMGN US Equity","BS_ST_BORROW","FQ2 2020","FQ2 2020","Currency=USD","Period=FQ","BEST_FPERIOD_OVERRIDE=FQ","FILING_STATUS=MR","SCALING_FORMAT=MLN","Sort=A","Dates=H","DateFormat=P","Fill=—","Direction=H","UseDPDF=Y")</f>
        <v>91</v>
      </c>
      <c r="J9" s="13">
        <f>_xll.BDH("AMGN US Equity","BS_ST_BORROW","FQ3 2020","FQ3 2020","Currency=USD","Period=FQ","BEST_FPERIOD_OVERRIDE=FQ","FILING_STATUS=MR","SCALING_FORMAT=MLN","Sort=A","Dates=H","DateFormat=P","Fill=—","Direction=H","UseDPDF=Y")</f>
        <v>91</v>
      </c>
      <c r="K9" s="13">
        <f>_xll.BDH("AMGN US Equity","BS_ST_BORROW","FQ4 2020","FQ4 2020","Currency=USD","Period=FQ","BEST_FPERIOD_OVERRIDE=FQ","FILING_STATUS=MR","SCALING_FORMAT=MLN","Sort=A","Dates=H","DateFormat=P","Fill=—","Direction=H","UseDPDF=Y")</f>
        <v>244</v>
      </c>
      <c r="L9" s="13">
        <f>_xll.BDH("AMGN US Equity","BS_ST_BORROW","FQ1 2021","FQ1 2021","Currency=USD","Period=FQ","BEST_FPERIOD_OVERRIDE=FQ","FILING_STATUS=MR","SCALING_FORMAT=MLN","Sort=A","Dates=H","DateFormat=P","Fill=—","Direction=H","UseDPDF=Y")</f>
        <v>1556</v>
      </c>
      <c r="M9" s="13">
        <f>_xll.BDH("AMGN US Equity","BS_ST_BORROW","FQ2 2021","FQ2 2021","Currency=USD","Period=FQ","BEST_FPERIOD_OVERRIDE=FQ","FILING_STATUS=MR","SCALING_FORMAT=MLN","Sort=A","Dates=H","DateFormat=P","Fill=—","Direction=H","UseDPDF=Y")</f>
        <v>4324</v>
      </c>
      <c r="N9" s="13">
        <f>_xll.BDH("AMGN US Equity","BS_ST_BORROW","FQ3 2021","FQ3 2021","Currency=USD","Period=FQ","BEST_FPERIOD_OVERRIDE=FQ","FILING_STATUS=MR","SCALING_FORMAT=MLN","Sort=A","Dates=H","DateFormat=P","Fill=—","Direction=H","UseDPDF=Y")</f>
        <v>4288</v>
      </c>
      <c r="O9" s="13">
        <f>_xll.BDH("AMGN US Equity","BS_ST_BORROW","FQ4 2021","FQ4 2021","Currency=USD","Period=FQ","BEST_FPERIOD_OVERRIDE=FQ","FILING_STATUS=MR","SCALING_FORMAT=MLN","Sort=A","Dates=H","DateFormat=P","Fill=—","Direction=H","UseDPDF=Y")</f>
        <v>232</v>
      </c>
      <c r="P9" s="13">
        <f>_xll.BDH("AMGN US Equity","BS_ST_BORROW","FQ1 2022","FQ1 2022","Currency=USD","Period=FQ","BEST_FPERIOD_OVERRIDE=FQ","FILING_STATUS=MR","SCALING_FORMAT=MLN","Sort=A","Dates=H","DateFormat=P","Fill=—","Direction=H","UseDPDF=Y")</f>
        <v>844</v>
      </c>
      <c r="Q9" s="13">
        <f>_xll.BDH("AMGN US Equity","BS_ST_BORROW","FQ2 2022","FQ2 2022","Currency=USD","Period=FQ","BEST_FPERIOD_OVERRIDE=FQ","FILING_STATUS=MR","SCALING_FORMAT=MLN","Sort=A","Dates=H","DateFormat=P","Fill=—","Direction=H","UseDPDF=Y")</f>
        <v>817</v>
      </c>
      <c r="R9" s="13">
        <f>_xll.BDH("AMGN US Equity","BS_ST_BORROW","FQ3 2022","FQ3 2022","Currency=USD","Period=FQ","BEST_FPERIOD_OVERRIDE=FQ","FILING_STATUS=MR","SCALING_FORMAT=MLN","Sort=A","Dates=H","DateFormat=P","Fill=—","Direction=H","UseDPDF=Y")</f>
        <v>1543</v>
      </c>
      <c r="S9" s="13">
        <f>_xll.BDH("AMGN US Equity","BS_ST_BORROW","FQ4 2022","FQ4 2022","Currency=USD","Period=FQ","BEST_FPERIOD_OVERRIDE=FQ","FILING_STATUS=MR","SCALING_FORMAT=MLN","Sort=A","Dates=H","DateFormat=P","Fill=—","Direction=H","UseDPDF=Y")</f>
        <v>1747</v>
      </c>
      <c r="T9" s="13">
        <f>_xll.BDH("AMGN US Equity","BS_ST_BORROW","FQ1 2023","FQ1 2023","Currency=USD","Period=FQ","BEST_FPERIOD_OVERRIDE=FQ","FILING_STATUS=MR","SCALING_FORMAT=MLN","Sort=A","Dates=H","DateFormat=P","Fill=—","Direction=H","UseDPDF=Y")</f>
        <v>834</v>
      </c>
      <c r="U9" s="13">
        <f>_xll.BDH("AMGN US Equity","BS_ST_BORROW","FQ2 2023","FQ2 2023","Currency=USD","Period=FQ","BEST_FPERIOD_OVERRIDE=FQ","FILING_STATUS=MR","SCALING_FORMAT=MLN","Sort=A","Dates=H","DateFormat=P","Fill=—","Direction=H","UseDPDF=Y")</f>
        <v>2167</v>
      </c>
      <c r="V9" s="13">
        <f>_xll.BDH("AMGN US Equity","BS_ST_BORROW","FQ3 2023","FQ3 2023","Currency=USD","Period=FQ","BEST_FPERIOD_OVERRIDE=FQ","FILING_STATUS=MR","SCALING_FORMAT=MLN","Sort=A","Dates=H","DateFormat=P","Fill=—","Direction=H","UseDPDF=Y")</f>
        <v>1428</v>
      </c>
      <c r="W9" s="13">
        <f>_xll.BDH("AMGN US Equity","BS_ST_BORROW","FQ4 2023","FQ4 2023","Currency=USD","Period=FQ","BEST_FPERIOD_OVERRIDE=FQ","FILING_STATUS=MR","SCALING_FORMAT=MLN","Sort=A","Dates=H","DateFormat=P","Fill=—","Direction=H","UseDPDF=Y")</f>
        <v>1562</v>
      </c>
      <c r="X9" s="13">
        <f>_xll.BDH("AMGN US Equity","BS_ST_BORROW","FQ1 2024","FQ1 2024","Currency=USD","Period=FQ","BEST_FPERIOD_OVERRIDE=FQ","FILING_STATUS=MR","SCALING_FORMAT=MLN","Sort=A","Dates=H","DateFormat=P","Fill=—","Direction=H","UseDPDF=Y")</f>
        <v>3959</v>
      </c>
      <c r="Y9" s="13">
        <f>_xll.BDH("AMGN US Equity","BS_ST_BORROW","FQ2 2024","FQ2 2024","Currency=USD","Period=FQ","BEST_FPERIOD_OVERRIDE=FQ","FILING_STATUS=MR","SCALING_FORMAT=MLN","Sort=A","Dates=H","DateFormat=P","Fill=—","Direction=H","UseDPDF=Y")</f>
        <v>5528</v>
      </c>
      <c r="Z9" s="13">
        <f>_xll.BDH("AMGN US Equity","BS_ST_BORROW","FQ3 2024","FQ3 2024","Currency=USD","Period=FQ","BEST_FPERIOD_OVERRIDE=FQ","FILING_STATUS=MR","SCALING_FORMAT=MLN","Sort=A","Dates=H","DateFormat=P","Fill=—","Direction=H","UseDPDF=Y")</f>
        <v>3544</v>
      </c>
      <c r="AA9" s="13">
        <f>_xll.BDH("AMGN US Equity","BS_ST_BORROW","FQ4 2024","FQ4 2024","Currency=USD","Period=FQ","BEST_FPERIOD_OVERRIDE=FQ","FILING_STATUS=MR","SCALING_FORMAT=MLN","Sort=A","Dates=H","DateFormat=P","Fill=—","Direction=H","UseDPDF=Y")</f>
        <v>3657</v>
      </c>
    </row>
    <row r="10" spans="1:27" x14ac:dyDescent="0.25">
      <c r="A10" s="10" t="s">
        <v>1565</v>
      </c>
      <c r="B10" s="10" t="s">
        <v>784</v>
      </c>
      <c r="C10" s="13">
        <f>_xll.BDH("AMGN US Equity","BS_LT_BORROW","FQ4 2018","FQ4 2018","Currency=USD","Period=FQ","BEST_FPERIOD_OVERRIDE=FQ","FILING_STATUS=MR","SCALING_FORMAT=MLN","Sort=A","Dates=H","DateFormat=P","Fill=—","Direction=H","UseDPDF=Y")</f>
        <v>29510</v>
      </c>
      <c r="D10" s="13">
        <f>_xll.BDH("AMGN US Equity","BS_LT_BORROW","FQ1 2019","FQ1 2019","Currency=USD","Period=FQ","BEST_FPERIOD_OVERRIDE=FQ","FILING_STATUS=MR","SCALING_FORMAT=MLN","Sort=A","Dates=H","DateFormat=P","Fill=—","Direction=H","UseDPDF=Y")</f>
        <v>29687</v>
      </c>
      <c r="E10" s="13">
        <f>_xll.BDH("AMGN US Equity","BS_LT_BORROW","FQ2 2019","FQ2 2019","Currency=USD","Period=FQ","BEST_FPERIOD_OVERRIDE=FQ","FILING_STATUS=MR","SCALING_FORMAT=MLN","Sort=A","Dates=H","DateFormat=P","Fill=—","Direction=H","UseDPDF=Y")</f>
        <v>28161</v>
      </c>
      <c r="F10" s="13">
        <f>_xll.BDH("AMGN US Equity","BS_LT_BORROW","FQ3 2019","FQ3 2019","Currency=USD","Period=FQ","BEST_FPERIOD_OVERRIDE=FQ","FILING_STATUS=MR","SCALING_FORMAT=MLN","Sort=A","Dates=H","DateFormat=P","Fill=—","Direction=H","UseDPDF=Y")</f>
        <v>28093</v>
      </c>
      <c r="G10" s="13">
        <f>_xll.BDH("AMGN US Equity","BS_LT_BORROW","FQ4 2019","FQ4 2019","Currency=USD","Period=FQ","BEST_FPERIOD_OVERRIDE=FQ","FILING_STATUS=MR","SCALING_FORMAT=MLN","Sort=A","Dates=H","DateFormat=P","Fill=—","Direction=H","UseDPDF=Y")</f>
        <v>27338</v>
      </c>
      <c r="H10" s="13">
        <f>_xll.BDH("AMGN US Equity","BS_LT_BORROW","FQ1 2020","FQ1 2020","Currency=USD","Period=FQ","BEST_FPERIOD_OVERRIDE=FQ","FILING_STATUS=MR","SCALING_FORMAT=MLN","Sort=A","Dates=H","DateFormat=P","Fill=—","Direction=H","UseDPDF=Y")</f>
        <v>30008</v>
      </c>
      <c r="I10" s="13">
        <f>_xll.BDH("AMGN US Equity","BS_LT_BORROW","FQ2 2020","FQ2 2020","Currency=USD","Period=FQ","BEST_FPERIOD_OVERRIDE=FQ","FILING_STATUS=MR","SCALING_FORMAT=MLN","Sort=A","Dates=H","DateFormat=P","Fill=—","Direction=H","UseDPDF=Y")</f>
        <v>34133</v>
      </c>
      <c r="J10" s="13">
        <f>_xll.BDH("AMGN US Equity","BS_LT_BORROW","FQ3 2020","FQ3 2020","Currency=USD","Period=FQ","BEST_FPERIOD_OVERRIDE=FQ","FILING_STATUS=MR","SCALING_FORMAT=MLN","Sort=A","Dates=H","DateFormat=P","Fill=—","Direction=H","UseDPDF=Y")</f>
        <v>34196</v>
      </c>
      <c r="K10" s="13">
        <f>_xll.BDH("AMGN US Equity","BS_LT_BORROW","FQ4 2020","FQ4 2020","Currency=USD","Period=FQ","BEST_FPERIOD_OVERRIDE=FQ","FILING_STATUS=MR","SCALING_FORMAT=MLN","Sort=A","Dates=H","DateFormat=P","Fill=—","Direction=H","UseDPDF=Y")</f>
        <v>33201</v>
      </c>
      <c r="L10" s="13">
        <f>_xll.BDH("AMGN US Equity","BS_LT_BORROW","FQ1 2021","FQ1 2021","Currency=USD","Period=FQ","BEST_FPERIOD_OVERRIDE=FQ","FILING_STATUS=MR","SCALING_FORMAT=MLN","Sort=A","Dates=H","DateFormat=P","Fill=—","Direction=H","UseDPDF=Y")</f>
        <v>31129</v>
      </c>
      <c r="M10" s="13">
        <f>_xll.BDH("AMGN US Equity","BS_LT_BORROW","FQ2 2021","FQ2 2021","Currency=USD","Period=FQ","BEST_FPERIOD_OVERRIDE=FQ","FILING_STATUS=MR","SCALING_FORMAT=MLN","Sort=A","Dates=H","DateFormat=P","Fill=—","Direction=H","UseDPDF=Y")</f>
        <v>28458</v>
      </c>
      <c r="N10" s="13">
        <f>_xll.BDH("AMGN US Equity","BS_LT_BORROW","FQ3 2021","FQ3 2021","Currency=USD","Period=FQ","BEST_FPERIOD_OVERRIDE=FQ","FILING_STATUS=MR","SCALING_FORMAT=MLN","Sort=A","Dates=H","DateFormat=P","Fill=—","Direction=H","UseDPDF=Y")</f>
        <v>33291</v>
      </c>
      <c r="O10" s="13">
        <f>_xll.BDH("AMGN US Equity","BS_LT_BORROW","FQ4 2021","FQ4 2021","Currency=USD","Period=FQ","BEST_FPERIOD_OVERRIDE=FQ","FILING_STATUS=MR","SCALING_FORMAT=MLN","Sort=A","Dates=H","DateFormat=P","Fill=—","Direction=H","UseDPDF=Y")</f>
        <v>33747</v>
      </c>
      <c r="P10" s="13">
        <f>_xll.BDH("AMGN US Equity","BS_LT_BORROW","FQ1 2022","FQ1 2022","Currency=USD","Period=FQ","BEST_FPERIOD_OVERRIDE=FQ","FILING_STATUS=MR","SCALING_FORMAT=MLN","Sort=A","Dates=H","DateFormat=P","Fill=—","Direction=H","UseDPDF=Y")</f>
        <v>36010</v>
      </c>
      <c r="Q10" s="13">
        <f>_xll.BDH("AMGN US Equity","BS_LT_BORROW","FQ2 2022","FQ2 2022","Currency=USD","Period=FQ","BEST_FPERIOD_OVERRIDE=FQ","FILING_STATUS=MR","SCALING_FORMAT=MLN","Sort=A","Dates=H","DateFormat=P","Fill=—","Direction=H","UseDPDF=Y")</f>
        <v>35705</v>
      </c>
      <c r="R10" s="13">
        <f>_xll.BDH("AMGN US Equity","BS_LT_BORROW","FQ3 2022","FQ3 2022","Currency=USD","Period=FQ","BEST_FPERIOD_OVERRIDE=FQ","FILING_STATUS=MR","SCALING_FORMAT=MLN","Sort=A","Dates=H","DateFormat=P","Fill=—","Direction=H","UseDPDF=Y")</f>
        <v>37161</v>
      </c>
      <c r="S10" s="13">
        <f>_xll.BDH("AMGN US Equity","BS_LT_BORROW","FQ4 2022","FQ4 2022","Currency=USD","Period=FQ","BEST_FPERIOD_OVERRIDE=FQ","FILING_STATUS=MR","SCALING_FORMAT=MLN","Sort=A","Dates=H","DateFormat=P","Fill=—","Direction=H","UseDPDF=Y")</f>
        <v>37893</v>
      </c>
      <c r="T10" s="13">
        <f>_xll.BDH("AMGN US Equity","BS_LT_BORROW","FQ1 2023","FQ1 2023","Currency=USD","Period=FQ","BEST_FPERIOD_OVERRIDE=FQ","FILING_STATUS=MR","SCALING_FORMAT=MLN","Sort=A","Dates=H","DateFormat=P","Fill=—","Direction=H","UseDPDF=Y")</f>
        <v>60761</v>
      </c>
      <c r="U10" s="13">
        <f>_xll.BDH("AMGN US Equity","BS_LT_BORROW","FQ2 2023","FQ2 2023","Currency=USD","Period=FQ","BEST_FPERIOD_OVERRIDE=FQ","FILING_STATUS=MR","SCALING_FORMAT=MLN","Sort=A","Dates=H","DateFormat=P","Fill=—","Direction=H","UseDPDF=Y")</f>
        <v>59377</v>
      </c>
      <c r="V10" s="13">
        <f>_xll.BDH("AMGN US Equity","BS_LT_BORROW","FQ3 2023","FQ3 2023","Currency=USD","Period=FQ","BEST_FPERIOD_OVERRIDE=FQ","FILING_STATUS=MR","SCALING_FORMAT=MLN","Sort=A","Dates=H","DateFormat=P","Fill=—","Direction=H","UseDPDF=Y")</f>
        <v>59040</v>
      </c>
      <c r="W10" s="13">
        <f>_xll.BDH("AMGN US Equity","BS_LT_BORROW","FQ4 2023","FQ4 2023","Currency=USD","Period=FQ","BEST_FPERIOD_OVERRIDE=FQ","FILING_STATUS=MR","SCALING_FORMAT=MLN","Sort=A","Dates=H","DateFormat=P","Fill=—","Direction=H","UseDPDF=Y")</f>
        <v>63861</v>
      </c>
      <c r="X10" s="13">
        <f>_xll.BDH("AMGN US Equity","BS_LT_BORROW","FQ1 2024","FQ1 2024","Currency=USD","Period=FQ","BEST_FPERIOD_OVERRIDE=FQ","FILING_STATUS=MR","SCALING_FORMAT=MLN","Sort=A","Dates=H","DateFormat=P","Fill=—","Direction=H","UseDPDF=Y")</f>
        <v>60061</v>
      </c>
      <c r="Y10" s="13">
        <f>_xll.BDH("AMGN US Equity","BS_LT_BORROW","FQ2 2024","FQ2 2024","Currency=USD","Period=FQ","BEST_FPERIOD_OVERRIDE=FQ","FILING_STATUS=MR","SCALING_FORMAT=MLN","Sort=A","Dates=H","DateFormat=P","Fill=—","Direction=H","UseDPDF=Y")</f>
        <v>57117</v>
      </c>
      <c r="Z10" s="13">
        <f>_xll.BDH("AMGN US Equity","BS_LT_BORROW","FQ3 2024","FQ3 2024","Currency=USD","Period=FQ","BEST_FPERIOD_OVERRIDE=FQ","FILING_STATUS=MR","SCALING_FORMAT=MLN","Sort=A","Dates=H","DateFormat=P","Fill=—","Direction=H","UseDPDF=Y")</f>
        <v>56854</v>
      </c>
      <c r="AA10" s="13">
        <f>_xll.BDH("AMGN US Equity","BS_LT_BORROW","FQ4 2024","FQ4 2024","Currency=USD","Period=FQ","BEST_FPERIOD_OVERRIDE=FQ","FILING_STATUS=MR","SCALING_FORMAT=MLN","Sort=A","Dates=H","DateFormat=P","Fill=—","Direction=H","UseDPDF=Y")</f>
        <v>57222</v>
      </c>
    </row>
    <row r="11" spans="1:27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10" t="s">
        <v>1566</v>
      </c>
      <c r="B12" s="10" t="s">
        <v>1567</v>
      </c>
      <c r="C12" s="14">
        <f>_xll.BDH("AMGN US Equity","TOT_DEBT_TO_EBITDA","FQ4 2018","FQ4 2018","Currency=USD","Period=FQ","BEST_FPERIOD_OVERRIDE=FQ","FILING_STATUS=MR","FA_ADJUSTED=GAAP","Sort=A","Dates=H","DateFormat=P","Fill=—","Direction=H","UseDPDF=Y")</f>
        <v>2.7789999999999999</v>
      </c>
      <c r="D12" s="14">
        <f>_xll.BDH("AMGN US Equity","TOT_DEBT_TO_EBITDA","FQ1 2019","FQ1 2019","Currency=USD","Period=FQ","BEST_FPERIOD_OVERRIDE=FQ","FILING_STATUS=MR","FA_ADJUSTED=GAAP","Sort=A","Dates=H","DateFormat=P","Fill=—","Direction=H","UseDPDF=Y")</f>
        <v>2.7606999999999999</v>
      </c>
      <c r="E12" s="14">
        <f>_xll.BDH("AMGN US Equity","TOT_DEBT_TO_EBITDA","FQ2 2019","FQ2 2019","Currency=USD","Period=FQ","BEST_FPERIOD_OVERRIDE=FQ","FILING_STATUS=MR","FA_ADJUSTED=GAAP","Sort=A","Dates=H","DateFormat=P","Fill=—","Direction=H","UseDPDF=Y")</f>
        <v>2.5912999999999999</v>
      </c>
      <c r="F12" s="14">
        <f>_xll.BDH("AMGN US Equity","TOT_DEBT_TO_EBITDA","FQ3 2019","FQ3 2019","Currency=USD","Period=FQ","BEST_FPERIOD_OVERRIDE=FQ","FILING_STATUS=MR","FA_ADJUSTED=GAAP","Sort=A","Dates=H","DateFormat=P","Fill=—","Direction=H","UseDPDF=Y")</f>
        <v>2.4883999999999999</v>
      </c>
      <c r="G12" s="14">
        <f>_xll.BDH("AMGN US Equity","TOT_DEBT_TO_EBITDA","FQ4 2019","FQ4 2019","Currency=USD","Period=FQ","BEST_FPERIOD_OVERRIDE=FQ","FILING_STATUS=MR","FA_ADJUSTED=GAAP","Sort=A","Dates=H","DateFormat=P","Fill=—","Direction=H","UseDPDF=Y")</f>
        <v>2.5251999999999999</v>
      </c>
      <c r="H12" s="14">
        <f>_xll.BDH("AMGN US Equity","TOT_DEBT_TO_EBITDA","FQ1 2020","FQ1 2020","Currency=USD","Period=FQ","BEST_FPERIOD_OVERRIDE=FQ","FILING_STATUS=MR","FA_ADJUSTED=GAAP","Sort=A","Dates=H","DateFormat=P","Fill=—","Direction=H","UseDPDF=Y")</f>
        <v>2.5901000000000001</v>
      </c>
      <c r="I12" s="14">
        <f>_xll.BDH("AMGN US Equity","TOT_DEBT_TO_EBITDA","FQ2 2020","FQ2 2020","Currency=USD","Period=FQ","BEST_FPERIOD_OVERRIDE=FQ","FILING_STATUS=MR","FA_ADJUSTED=GAAP","Sort=A","Dates=H","DateFormat=P","Fill=—","Direction=H","UseDPDF=Y")</f>
        <v>2.7761</v>
      </c>
      <c r="J12" s="14">
        <f>_xll.BDH("AMGN US Equity","TOT_DEBT_TO_EBITDA","FQ3 2020","FQ3 2020","Currency=USD","Period=FQ","BEST_FPERIOD_OVERRIDE=FQ","FILING_STATUS=MR","FA_ADJUSTED=GAAP","Sort=A","Dates=H","DateFormat=P","Fill=—","Direction=H","UseDPDF=Y")</f>
        <v>2.7090999999999998</v>
      </c>
      <c r="K12" s="14">
        <f>_xll.BDH("AMGN US Equity","TOT_DEBT_TO_EBITDA","FQ4 2020","FQ4 2020","Currency=USD","Period=FQ","BEST_FPERIOD_OVERRIDE=FQ","FILING_STATUS=MR","FA_ADJUSTED=GAAP","Sort=A","Dates=H","DateFormat=P","Fill=—","Direction=H","UseDPDF=Y")</f>
        <v>2.6252</v>
      </c>
      <c r="L12" s="14">
        <f>_xll.BDH("AMGN US Equity","TOT_DEBT_TO_EBITDA","FQ1 2021","FQ1 2021","Currency=USD","Period=FQ","BEST_FPERIOD_OVERRIDE=FQ","FILING_STATUS=MR","FA_ADJUSTED=GAAP","Sort=A","Dates=H","DateFormat=P","Fill=—","Direction=H","UseDPDF=Y")</f>
        <v>2.6236000000000002</v>
      </c>
      <c r="M12" s="14">
        <f>_xll.BDH("AMGN US Equity","TOT_DEBT_TO_EBITDA","FQ2 2021","FQ2 2021","Currency=USD","Period=FQ","BEST_FPERIOD_OVERRIDE=FQ","FILING_STATUS=MR","FA_ADJUSTED=GAAP","Sort=A","Dates=H","DateFormat=P","Fill=—","Direction=H","UseDPDF=Y")</f>
        <v>3.0108000000000001</v>
      </c>
      <c r="N12" s="14">
        <f>_xll.BDH("AMGN US Equity","TOT_DEBT_TO_EBITDA","FQ3 2021","FQ3 2021","Currency=USD","Period=FQ","BEST_FPERIOD_OVERRIDE=FQ","FILING_STATUS=MR","FA_ADJUSTED=GAAP","Sort=A","Dates=H","DateFormat=P","Fill=—","Direction=H","UseDPDF=Y")</f>
        <v>3.4918</v>
      </c>
      <c r="O12" s="14">
        <f>_xll.BDH("AMGN US Equity","TOT_DEBT_TO_EBITDA","FQ4 2021","FQ4 2021","Currency=USD","Period=FQ","BEST_FPERIOD_OVERRIDE=FQ","FILING_STATUS=MR","FA_ADJUSTED=GAAP","Sort=A","Dates=H","DateFormat=P","Fill=—","Direction=H","UseDPDF=Y")</f>
        <v>3.0785999999999998</v>
      </c>
      <c r="P12" s="14">
        <f>_xll.BDH("AMGN US Equity","TOT_DEBT_TO_EBITDA","FQ1 2022","FQ1 2022","Currency=USD","Period=FQ","BEST_FPERIOD_OVERRIDE=FQ","FILING_STATUS=MR","FA_ADJUSTED=GAAP","Sort=A","Dates=H","DateFormat=P","Fill=—","Direction=H","UseDPDF=Y")</f>
        <v>3.2305000000000001</v>
      </c>
      <c r="Q12" s="14">
        <f>_xll.BDH("AMGN US Equity","TOT_DEBT_TO_EBITDA","FQ2 2022","FQ2 2022","Currency=USD","Period=FQ","BEST_FPERIOD_OVERRIDE=FQ","FILING_STATUS=MR","FA_ADJUSTED=GAAP","Sort=A","Dates=H","DateFormat=P","Fill=—","Direction=H","UseDPDF=Y")</f>
        <v>2.8692000000000002</v>
      </c>
      <c r="R12" s="14">
        <f>_xll.BDH("AMGN US Equity","TOT_DEBT_TO_EBITDA","FQ3 2022","FQ3 2022","Currency=USD","Period=FQ","BEST_FPERIOD_OVERRIDE=FQ","FILING_STATUS=MR","FA_ADJUSTED=GAAP","Sort=A","Dates=H","DateFormat=P","Fill=—","Direction=H","UseDPDF=Y")</f>
        <v>2.9777</v>
      </c>
      <c r="S12" s="14">
        <f>_xll.BDH("AMGN US Equity","TOT_DEBT_TO_EBITDA","FQ4 2022","FQ4 2022","Currency=USD","Period=FQ","BEST_FPERIOD_OVERRIDE=FQ","FILING_STATUS=MR","FA_ADJUSTED=GAAP","Sort=A","Dates=H","DateFormat=P","Fill=—","Direction=H","UseDPDF=Y")</f>
        <v>3.0531999999999999</v>
      </c>
      <c r="T12" s="14">
        <f>_xll.BDH("AMGN US Equity","TOT_DEBT_TO_EBITDA","FQ1 2023","FQ1 2023","Currency=USD","Period=FQ","BEST_FPERIOD_OVERRIDE=FQ","FILING_STATUS=MR","FA_ADJUSTED=GAAP","Sort=A","Dates=H","DateFormat=P","Fill=—","Direction=H","UseDPDF=Y")</f>
        <v>4.9421999999999997</v>
      </c>
      <c r="U12" s="14">
        <f>_xll.BDH("AMGN US Equity","TOT_DEBT_TO_EBITDA","FQ2 2023","FQ2 2023","Currency=USD","Period=FQ","BEST_FPERIOD_OVERRIDE=FQ","FILING_STATUS=MR","FA_ADJUSTED=GAAP","Sort=A","Dates=H","DateFormat=P","Fill=—","Direction=H","UseDPDF=Y")</f>
        <v>4.72</v>
      </c>
      <c r="V12" s="14">
        <f>_xll.BDH("AMGN US Equity","TOT_DEBT_TO_EBITDA","FQ3 2023","FQ3 2023","Currency=USD","Period=FQ","BEST_FPERIOD_OVERRIDE=FQ","FILING_STATUS=MR","FA_ADJUSTED=GAAP","Sort=A","Dates=H","DateFormat=P","Fill=—","Direction=H","UseDPDF=Y")</f>
        <v>4.8536999999999999</v>
      </c>
      <c r="W12" s="14">
        <f>_xll.BDH("AMGN US Equity","TOT_DEBT_TO_EBITDA","FQ4 2023","FQ4 2023","Currency=USD","Period=FQ","BEST_FPERIOD_OVERRIDE=FQ","FILING_STATUS=MR","FA_ADJUSTED=GAAP","Sort=A","Dates=H","DateFormat=P","Fill=—","Direction=H","UseDPDF=Y")</f>
        <v>5.4664999999999999</v>
      </c>
      <c r="X12" s="14">
        <f>_xll.BDH("AMGN US Equity","TOT_DEBT_TO_EBITDA","FQ1 2024","FQ1 2024","Currency=USD","Period=FQ","BEST_FPERIOD_OVERRIDE=FQ","FILING_STATUS=MR","FA_ADJUSTED=GAAP","Sort=A","Dates=H","DateFormat=P","Fill=—","Direction=H","UseDPDF=Y")</f>
        <v>5.5491000000000001</v>
      </c>
      <c r="Y12" s="14">
        <f>_xll.BDH("AMGN US Equity","TOT_DEBT_TO_EBITDA","FQ2 2024","FQ2 2024","Currency=USD","Period=FQ","BEST_FPERIOD_OVERRIDE=FQ","FILING_STATUS=MR","FA_ADJUSTED=GAAP","Sort=A","Dates=H","DateFormat=P","Fill=—","Direction=H","UseDPDF=Y")</f>
        <v>5.5605000000000002</v>
      </c>
      <c r="Z12" s="14">
        <f>_xll.BDH("AMGN US Equity","TOT_DEBT_TO_EBITDA","FQ3 2024","FQ3 2024","Currency=USD","Period=FQ","BEST_FPERIOD_OVERRIDE=FQ","FILING_STATUS=MR","FA_ADJUSTED=GAAP","Sort=A","Dates=H","DateFormat=P","Fill=—","Direction=H","UseDPDF=Y")</f>
        <v>5.1215000000000002</v>
      </c>
      <c r="AA12" s="14">
        <f>_xll.BDH("AMGN US Equity","TOT_DEBT_TO_EBITDA","FQ4 2024","FQ4 2024","Currency=USD","Period=FQ","BEST_FPERIOD_OVERRIDE=FQ","FILING_STATUS=MR","FA_ADJUSTED=GAAP","Sort=A","Dates=H","DateFormat=P","Fill=—","Direction=H","UseDPDF=Y")</f>
        <v>4.7377000000000002</v>
      </c>
    </row>
    <row r="13" spans="1:27" x14ac:dyDescent="0.25">
      <c r="A13" s="10" t="s">
        <v>1568</v>
      </c>
      <c r="B13" s="10" t="s">
        <v>1569</v>
      </c>
      <c r="C13" s="14">
        <f>_xll.BDH("AMGN US Equity","NET_DEBT_TO_EBITDA","FQ4 2018","FQ4 2018","Currency=USD","Period=FQ","BEST_FPERIOD_OVERRIDE=FQ","FILING_STATUS=MR","FA_ADJUSTED=GAAP","Sort=A","Dates=H","DateFormat=P","Fill=—","Direction=H","UseDPDF=Y")</f>
        <v>0.37880000000000003</v>
      </c>
      <c r="D13" s="14">
        <f>_xll.BDH("AMGN US Equity","NET_DEBT_TO_EBITDA","FQ1 2019","FQ1 2019","Currency=USD","Period=FQ","BEST_FPERIOD_OVERRIDE=FQ","FILING_STATUS=MR","FA_ADJUSTED=GAAP","Sort=A","Dates=H","DateFormat=P","Fill=—","Direction=H","UseDPDF=Y")</f>
        <v>0.59399999999999997</v>
      </c>
      <c r="E13" s="14">
        <f>_xll.BDH("AMGN US Equity","NET_DEBT_TO_EBITDA","FQ2 2019","FQ2 2019","Currency=USD","Period=FQ","BEST_FPERIOD_OVERRIDE=FQ","FILING_STATUS=MR","FA_ADJUSTED=GAAP","Sort=A","Dates=H","DateFormat=P","Fill=—","Direction=H","UseDPDF=Y")</f>
        <v>0.77900000000000003</v>
      </c>
      <c r="F13" s="14">
        <f>_xll.BDH("AMGN US Equity","NET_DEBT_TO_EBITDA","FQ3 2019","FQ3 2019","Currency=USD","Period=FQ","BEST_FPERIOD_OVERRIDE=FQ","FILING_STATUS=MR","FA_ADJUSTED=GAAP","Sort=A","Dates=H","DateFormat=P","Fill=—","Direction=H","UseDPDF=Y")</f>
        <v>0.77449999999999997</v>
      </c>
      <c r="G13" s="14">
        <f>_xll.BDH("AMGN US Equity","NET_DEBT_TO_EBITDA","FQ4 2019","FQ4 2019","Currency=USD","Period=FQ","BEST_FPERIOD_OVERRIDE=FQ","FILING_STATUS=MR","FA_ADJUSTED=GAAP","Sort=A","Dates=H","DateFormat=P","Fill=—","Direction=H","UseDPDF=Y")</f>
        <v>1.7857000000000001</v>
      </c>
      <c r="H13" s="14">
        <f>_xll.BDH("AMGN US Equity","NET_DEBT_TO_EBITDA","FQ1 2020","FQ1 2020","Currency=USD","Period=FQ","BEST_FPERIOD_OVERRIDE=FQ","FILING_STATUS=MR","FA_ADJUSTED=GAAP","Sort=A","Dates=H","DateFormat=P","Fill=—","Direction=H","UseDPDF=Y")</f>
        <v>1.9384999999999999</v>
      </c>
      <c r="I13" s="14">
        <f>_xll.BDH("AMGN US Equity","NET_DEBT_TO_EBITDA","FQ2 2020","FQ2 2020","Currency=USD","Period=FQ","BEST_FPERIOD_OVERRIDE=FQ","FILING_STATUS=MR","FA_ADJUSTED=GAAP","Sort=A","Dates=H","DateFormat=P","Fill=—","Direction=H","UseDPDF=Y")</f>
        <v>1.8496999999999999</v>
      </c>
      <c r="J13" s="14">
        <f>_xll.BDH("AMGN US Equity","NET_DEBT_TO_EBITDA","FQ3 2020","FQ3 2020","Currency=USD","Period=FQ","BEST_FPERIOD_OVERRIDE=FQ","FILING_STATUS=MR","FA_ADJUSTED=GAAP","Sort=A","Dates=H","DateFormat=P","Fill=—","Direction=H","UseDPDF=Y")</f>
        <v>1.7324999999999999</v>
      </c>
      <c r="K13" s="14">
        <f>_xll.BDH("AMGN US Equity","NET_DEBT_TO_EBITDA","FQ4 2020","FQ4 2020","Currency=USD","Period=FQ","BEST_FPERIOD_OVERRIDE=FQ","FILING_STATUS=MR","FA_ADJUSTED=GAAP","Sort=A","Dates=H","DateFormat=P","Fill=—","Direction=H","UseDPDF=Y")</f>
        <v>1.7895000000000001</v>
      </c>
      <c r="L13" s="14">
        <f>_xll.BDH("AMGN US Equity","NET_DEBT_TO_EBITDA","FQ1 2021","FQ1 2021","Currency=USD","Period=FQ","BEST_FPERIOD_OVERRIDE=FQ","FILING_STATUS=MR","FA_ADJUSTED=GAAP","Sort=A","Dates=H","DateFormat=P","Fill=—","Direction=H","UseDPDF=Y")</f>
        <v>1.7755000000000001</v>
      </c>
      <c r="M13" s="14">
        <f>_xll.BDH("AMGN US Equity","NET_DEBT_TO_EBITDA","FQ2 2021","FQ2 2021","Currency=USD","Period=FQ","BEST_FPERIOD_OVERRIDE=FQ","FILING_STATUS=MR","FA_ADJUSTED=GAAP","Sort=A","Dates=H","DateFormat=P","Fill=—","Direction=H","UseDPDF=Y")</f>
        <v>2.2686000000000002</v>
      </c>
      <c r="N13" s="14">
        <f>_xll.BDH("AMGN US Equity","NET_DEBT_TO_EBITDA","FQ3 2021","FQ3 2021","Currency=USD","Period=FQ","BEST_FPERIOD_OVERRIDE=FQ","FILING_STATUS=MR","FA_ADJUSTED=GAAP","Sort=A","Dates=H","DateFormat=P","Fill=—","Direction=H","UseDPDF=Y")</f>
        <v>2.2911999999999999</v>
      </c>
      <c r="O13" s="14">
        <f>_xll.BDH("AMGN US Equity","NET_DEBT_TO_EBITDA","FQ4 2021","FQ4 2021","Currency=USD","Period=FQ","BEST_FPERIOD_OVERRIDE=FQ","FILING_STATUS=MR","FA_ADJUSTED=GAAP","Sort=A","Dates=H","DateFormat=P","Fill=—","Direction=H","UseDPDF=Y")</f>
        <v>2.3504999999999998</v>
      </c>
      <c r="P13" s="14">
        <f>_xll.BDH("AMGN US Equity","NET_DEBT_TO_EBITDA","FQ1 2022","FQ1 2022","Currency=USD","Period=FQ","BEST_FPERIOD_OVERRIDE=FQ","FILING_STATUS=MR","FA_ADJUSTED=GAAP","Sort=A","Dates=H","DateFormat=P","Fill=—","Direction=H","UseDPDF=Y")</f>
        <v>2.6568999999999998</v>
      </c>
      <c r="Q13" s="14">
        <f>_xll.BDH("AMGN US Equity","NET_DEBT_TO_EBITDA","FQ2 2022","FQ2 2022","Currency=USD","Period=FQ","BEST_FPERIOD_OVERRIDE=FQ","FILING_STATUS=MR","FA_ADJUSTED=GAAP","Sort=A","Dates=H","DateFormat=P","Fill=—","Direction=H","UseDPDF=Y")</f>
        <v>2.3048999999999999</v>
      </c>
      <c r="R13" s="14">
        <f>_xll.BDH("AMGN US Equity","NET_DEBT_TO_EBITDA","FQ3 2022","FQ3 2022","Currency=USD","Period=FQ","BEST_FPERIOD_OVERRIDE=FQ","FILING_STATUS=MR","FA_ADJUSTED=GAAP","Sort=A","Dates=H","DateFormat=P","Fill=—","Direction=H","UseDPDF=Y")</f>
        <v>2.0945999999999998</v>
      </c>
      <c r="S13" s="14">
        <f>_xll.BDH("AMGN US Equity","NET_DEBT_TO_EBITDA","FQ4 2022","FQ4 2022","Currency=USD","Period=FQ","BEST_FPERIOD_OVERRIDE=FQ","FILING_STATUS=MR","FA_ADJUSTED=GAAP","Sort=A","Dates=H","DateFormat=P","Fill=—","Direction=H","UseDPDF=Y")</f>
        <v>2.3365</v>
      </c>
      <c r="T13" s="14">
        <f>_xll.BDH("AMGN US Equity","NET_DEBT_TO_EBITDA","FQ1 2023","FQ1 2023","Currency=USD","Period=FQ","BEST_FPERIOD_OVERRIDE=FQ","FILING_STATUS=MR","FA_ADJUSTED=GAAP","Sort=A","Dates=H","DateFormat=P","Fill=—","Direction=H","UseDPDF=Y")</f>
        <v>2.4098999999999999</v>
      </c>
      <c r="U13" s="14">
        <f>_xll.BDH("AMGN US Equity","NET_DEBT_TO_EBITDA","FQ2 2023","FQ2 2023","Currency=USD","Period=FQ","BEST_FPERIOD_OVERRIDE=FQ","FILING_STATUS=MR","FA_ADJUSTED=GAAP","Sort=A","Dates=H","DateFormat=P","Fill=—","Direction=H","UseDPDF=Y")</f>
        <v>2.0933999999999999</v>
      </c>
      <c r="V13" s="14">
        <f>_xll.BDH("AMGN US Equity","NET_DEBT_TO_EBITDA","FQ3 2023","FQ3 2023","Currency=USD","Period=FQ","BEST_FPERIOD_OVERRIDE=FQ","FILING_STATUS=MR","FA_ADJUSTED=GAAP","Sort=A","Dates=H","DateFormat=P","Fill=—","Direction=H","UseDPDF=Y")</f>
        <v>2.0651000000000002</v>
      </c>
      <c r="W13" s="14">
        <f>_xll.BDH("AMGN US Equity","NET_DEBT_TO_EBITDA","FQ4 2023","FQ4 2023","Currency=USD","Period=FQ","BEST_FPERIOD_OVERRIDE=FQ","FILING_STATUS=MR","FA_ADJUSTED=GAAP","Sort=A","Dates=H","DateFormat=P","Fill=—","Direction=H","UseDPDF=Y")</f>
        <v>4.5521000000000003</v>
      </c>
      <c r="X13" s="14">
        <f>_xll.BDH("AMGN US Equity","NET_DEBT_TO_EBITDA","FQ1 2024","FQ1 2024","Currency=USD","Period=FQ","BEST_FPERIOD_OVERRIDE=FQ","FILING_STATUS=MR","FA_ADJUSTED=GAAP","Sort=A","Dates=H","DateFormat=P","Fill=—","Direction=H","UseDPDF=Y")</f>
        <v>4.7076000000000002</v>
      </c>
      <c r="Y13" s="14">
        <f>_xll.BDH("AMGN US Equity","NET_DEBT_TO_EBITDA","FQ2 2024","FQ2 2024","Currency=USD","Period=FQ","BEST_FPERIOD_OVERRIDE=FQ","FILING_STATUS=MR","FA_ADJUSTED=GAAP","Sort=A","Dates=H","DateFormat=P","Fill=—","Direction=H","UseDPDF=Y")</f>
        <v>4.7350000000000003</v>
      </c>
      <c r="Z13" s="14">
        <f>_xll.BDH("AMGN US Equity","NET_DEBT_TO_EBITDA","FQ3 2024","FQ3 2024","Currency=USD","Period=FQ","BEST_FPERIOD_OVERRIDE=FQ","FILING_STATUS=MR","FA_ADJUSTED=GAAP","Sort=A","Dates=H","DateFormat=P","Fill=—","Direction=H","UseDPDF=Y")</f>
        <v>4.3574000000000002</v>
      </c>
      <c r="AA13" s="14">
        <f>_xll.BDH("AMGN US Equity","NET_DEBT_TO_EBITDA","FQ4 2024","FQ4 2024","Currency=USD","Period=FQ","BEST_FPERIOD_OVERRIDE=FQ","FILING_STATUS=MR","FA_ADJUSTED=GAAP","Sort=A","Dates=H","DateFormat=P","Fill=—","Direction=H","UseDPDF=Y")</f>
        <v>3.8058999999999998</v>
      </c>
    </row>
    <row r="14" spans="1:27" x14ac:dyDescent="0.25">
      <c r="A14" s="10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5">
      <c r="A15" s="10" t="s">
        <v>1570</v>
      </c>
      <c r="B15" s="10" t="s">
        <v>1571</v>
      </c>
      <c r="C15" s="14">
        <f>_xll.BDH("AMGN US Equity","TOTAL_DEBT_TO_EBIT","FQ4 2018","FQ4 2018","Currency=USD","Period=FQ","BEST_FPERIOD_OVERRIDE=FQ","FILING_STATUS=MR","FA_ADJUSTED=GAAP","Sort=A","Dates=H","DateFormat=P","Fill=—","Direction=H","UseDPDF=Y")</f>
        <v>3.306</v>
      </c>
      <c r="D15" s="14">
        <f>_xll.BDH("AMGN US Equity","TOTAL_DEBT_TO_EBIT","FQ1 2019","FQ1 2019","Currency=USD","Period=FQ","BEST_FPERIOD_OVERRIDE=FQ","FILING_STATUS=MR","FA_ADJUSTED=GAAP","Sort=A","Dates=H","DateFormat=P","Fill=—","Direction=H","UseDPDF=Y")</f>
        <v>3.3428</v>
      </c>
      <c r="E15" s="14">
        <f>_xll.BDH("AMGN US Equity","TOTAL_DEBT_TO_EBIT","FQ2 2019","FQ2 2019","Currency=USD","Period=FQ","BEST_FPERIOD_OVERRIDE=FQ","FILING_STATUS=MR","FA_ADJUSTED=GAAP","Sort=A","Dates=H","DateFormat=P","Fill=—","Direction=H","UseDPDF=Y")</f>
        <v>3.1516999999999999</v>
      </c>
      <c r="F15" s="14">
        <f>_xll.BDH("AMGN US Equity","TOTAL_DEBT_TO_EBIT","FQ3 2019","FQ3 2019","Currency=USD","Period=FQ","BEST_FPERIOD_OVERRIDE=FQ","FILING_STATUS=MR","FA_ADJUSTED=GAAP","Sort=A","Dates=H","DateFormat=P","Fill=—","Direction=H","UseDPDF=Y")</f>
        <v>3.0204</v>
      </c>
      <c r="G15" s="14">
        <f>_xll.BDH("AMGN US Equity","TOTAL_DEBT_TO_EBIT","FQ4 2019","FQ4 2019","Currency=USD","Period=FQ","BEST_FPERIOD_OVERRIDE=FQ","FILING_STATUS=MR","FA_ADJUSTED=GAAP","Sort=A","Dates=H","DateFormat=P","Fill=—","Direction=H","UseDPDF=Y")</f>
        <v>3.1402999999999999</v>
      </c>
      <c r="H15" s="14">
        <f>_xll.BDH("AMGN US Equity","TOTAL_DEBT_TO_EBIT","FQ1 2020","FQ1 2020","Currency=USD","Period=FQ","BEST_FPERIOD_OVERRIDE=FQ","FILING_STATUS=MR","FA_ADJUSTED=GAAP","Sort=A","Dates=H","DateFormat=P","Fill=—","Direction=H","UseDPDF=Y")</f>
        <v>3.3323999999999998</v>
      </c>
      <c r="I15" s="14">
        <f>_xll.BDH("AMGN US Equity","TOTAL_DEBT_TO_EBIT","FQ2 2020","FQ2 2020","Currency=USD","Period=FQ","BEST_FPERIOD_OVERRIDE=FQ","FILING_STATUS=MR","FA_ADJUSTED=GAAP","Sort=A","Dates=H","DateFormat=P","Fill=—","Direction=H","UseDPDF=Y")</f>
        <v>3.7191999999999998</v>
      </c>
      <c r="J15" s="14">
        <f>_xll.BDH("AMGN US Equity","TOTAL_DEBT_TO_EBIT","FQ3 2020","FQ3 2020","Currency=USD","Period=FQ","BEST_FPERIOD_OVERRIDE=FQ","FILING_STATUS=MR","FA_ADJUSTED=GAAP","Sort=A","Dates=H","DateFormat=P","Fill=—","Direction=H","UseDPDF=Y")</f>
        <v>3.7353999999999998</v>
      </c>
      <c r="K15" s="14">
        <f>_xll.BDH("AMGN US Equity","TOTAL_DEBT_TO_EBIT","FQ4 2020","FQ4 2020","Currency=USD","Period=FQ","BEST_FPERIOD_OVERRIDE=FQ","FILING_STATUS=MR","FA_ADJUSTED=GAAP","Sort=A","Dates=H","DateFormat=P","Fill=—","Direction=H","UseDPDF=Y")</f>
        <v>3.6596000000000002</v>
      </c>
      <c r="L15" s="14">
        <f>_xll.BDH("AMGN US Equity","TOTAL_DEBT_TO_EBIT","FQ1 2021","FQ1 2021","Currency=USD","Period=FQ","BEST_FPERIOD_OVERRIDE=FQ","FILING_STATUS=MR","FA_ADJUSTED=GAAP","Sort=A","Dates=H","DateFormat=P","Fill=—","Direction=H","UseDPDF=Y")</f>
        <v>3.6671</v>
      </c>
      <c r="M15" s="14">
        <f>_xll.BDH("AMGN US Equity","TOTAL_DEBT_TO_EBIT","FQ2 2021","FQ2 2021","Currency=USD","Period=FQ","BEST_FPERIOD_OVERRIDE=FQ","FILING_STATUS=MR","FA_ADJUSTED=GAAP","Sort=A","Dates=H","DateFormat=P","Fill=—","Direction=H","UseDPDF=Y")</f>
        <v>4.4192999999999998</v>
      </c>
      <c r="N15" s="14">
        <f>_xll.BDH("AMGN US Equity","TOTAL_DEBT_TO_EBIT","FQ3 2021","FQ3 2021","Currency=USD","Period=FQ","BEST_FPERIOD_OVERRIDE=FQ","FILING_STATUS=MR","FA_ADJUSTED=GAAP","Sort=A","Dates=H","DateFormat=P","Fill=—","Direction=H","UseDPDF=Y")</f>
        <v>5.1177000000000001</v>
      </c>
      <c r="O15" s="14">
        <f>_xll.BDH("AMGN US Equity","TOTAL_DEBT_TO_EBIT","FQ4 2021","FQ4 2021","Currency=USD","Period=FQ","BEST_FPERIOD_OVERRIDE=FQ","FILING_STATUS=MR","FA_ADJUSTED=GAAP","Sort=A","Dates=H","DateFormat=P","Fill=—","Direction=H","UseDPDF=Y")</f>
        <v>4.4481000000000002</v>
      </c>
      <c r="P15" s="14">
        <f>_xll.BDH("AMGN US Equity","TOTAL_DEBT_TO_EBIT","FQ1 2022","FQ1 2022","Currency=USD","Period=FQ","BEST_FPERIOD_OVERRIDE=FQ","FILING_STATUS=MR","FA_ADJUSTED=GAAP","Sort=A","Dates=H","DateFormat=P","Fill=—","Direction=H","UseDPDF=Y")</f>
        <v>4.601</v>
      </c>
      <c r="Q15" s="14">
        <f>_xll.BDH("AMGN US Equity","TOTAL_DEBT_TO_EBIT","FQ2 2022","FQ2 2022","Currency=USD","Period=FQ","BEST_FPERIOD_OVERRIDE=FQ","FILING_STATUS=MR","FA_ADJUSTED=GAAP","Sort=A","Dates=H","DateFormat=P","Fill=—","Direction=H","UseDPDF=Y")</f>
        <v>3.9028</v>
      </c>
      <c r="R15" s="14">
        <f>_xll.BDH("AMGN US Equity","TOTAL_DEBT_TO_EBIT","FQ3 2022","FQ3 2022","Currency=USD","Period=FQ","BEST_FPERIOD_OVERRIDE=FQ","FILING_STATUS=MR","FA_ADJUSTED=GAAP","Sort=A","Dates=H","DateFormat=P","Fill=—","Direction=H","UseDPDF=Y")</f>
        <v>4.0148999999999999</v>
      </c>
      <c r="S15" s="14">
        <f>_xll.BDH("AMGN US Equity","TOTAL_DEBT_TO_EBIT","FQ4 2022","FQ4 2022","Currency=USD","Period=FQ","BEST_FPERIOD_OVERRIDE=FQ","FILING_STATUS=MR","FA_ADJUSTED=GAAP","Sort=A","Dates=H","DateFormat=P","Fill=—","Direction=H","UseDPDF=Y")</f>
        <v>4.1437999999999997</v>
      </c>
      <c r="T15" s="14">
        <f>_xll.BDH("AMGN US Equity","TOTAL_DEBT_TO_EBIT","FQ1 2023","FQ1 2023","Currency=USD","Period=FQ","BEST_FPERIOD_OVERRIDE=FQ","FILING_STATUS=MR","FA_ADJUSTED=GAAP","Sort=A","Dates=H","DateFormat=P","Fill=—","Direction=H","UseDPDF=Y")</f>
        <v>6.8537999999999997</v>
      </c>
      <c r="U15" s="14">
        <f>_xll.BDH("AMGN US Equity","TOTAL_DEBT_TO_EBIT","FQ2 2023","FQ2 2023","Currency=USD","Period=FQ","BEST_FPERIOD_OVERRIDE=FQ","FILING_STATUS=MR","FA_ADJUSTED=GAAP","Sort=A","Dates=H","DateFormat=P","Fill=—","Direction=H","UseDPDF=Y")</f>
        <v>6.4817</v>
      </c>
      <c r="V15" s="14">
        <f>_xll.BDH("AMGN US Equity","TOTAL_DEBT_TO_EBIT","FQ3 2023","FQ3 2023","Currency=USD","Period=FQ","BEST_FPERIOD_OVERRIDE=FQ","FILING_STATUS=MR","FA_ADJUSTED=GAAP","Sort=A","Dates=H","DateFormat=P","Fill=—","Direction=H","UseDPDF=Y")</f>
        <v>6.8278999999999996</v>
      </c>
      <c r="W15" s="14">
        <f>_xll.BDH("AMGN US Equity","TOTAL_DEBT_TO_EBIT","FQ4 2023","FQ4 2023","Currency=USD","Period=FQ","BEST_FPERIOD_OVERRIDE=FQ","FILING_STATUS=MR","FA_ADJUSTED=GAAP","Sort=A","Dates=H","DateFormat=P","Fill=—","Direction=H","UseDPDF=Y")</f>
        <v>8.2844999999999995</v>
      </c>
      <c r="X15" s="14">
        <f>_xll.BDH("AMGN US Equity","TOTAL_DEBT_TO_EBIT","FQ1 2024","FQ1 2024","Currency=USD","Period=FQ","BEST_FPERIOD_OVERRIDE=FQ","FILING_STATUS=MR","FA_ADJUSTED=GAAP","Sort=A","Dates=H","DateFormat=P","Fill=—","Direction=H","UseDPDF=Y")</f>
        <v>9.1890000000000001</v>
      </c>
      <c r="Y15" s="14">
        <f>_xll.BDH("AMGN US Equity","TOTAL_DEBT_TO_EBIT","FQ2 2024","FQ2 2024","Currency=USD","Period=FQ","BEST_FPERIOD_OVERRIDE=FQ","FILING_STATUS=MR","FA_ADJUSTED=GAAP","Sort=A","Dates=H","DateFormat=P","Fill=—","Direction=H","UseDPDF=Y")</f>
        <v>10.117100000000001</v>
      </c>
      <c r="Z15" s="14">
        <f>_xll.BDH("AMGN US Equity","TOTAL_DEBT_TO_EBIT","FQ3 2024","FQ3 2024","Currency=USD","Period=FQ","BEST_FPERIOD_OVERRIDE=FQ","FILING_STATUS=MR","FA_ADJUSTED=GAAP","Sort=A","Dates=H","DateFormat=P","Fill=—","Direction=H","UseDPDF=Y")</f>
        <v>9.7134</v>
      </c>
      <c r="AA15" s="14">
        <f>_xll.BDH("AMGN US Equity","TOTAL_DEBT_TO_EBIT","FQ4 2024","FQ4 2024","Currency=USD","Period=FQ","BEST_FPERIOD_OVERRIDE=FQ","FILING_STATUS=MR","FA_ADJUSTED=GAAP","Sort=A","Dates=H","DateFormat=P","Fill=—","Direction=H","UseDPDF=Y")</f>
        <v>8.3878000000000004</v>
      </c>
    </row>
    <row r="16" spans="1:27" x14ac:dyDescent="0.25">
      <c r="A16" s="10" t="s">
        <v>1572</v>
      </c>
      <c r="B16" s="10" t="s">
        <v>1573</v>
      </c>
      <c r="C16" s="14">
        <f>_xll.BDH("AMGN US Equity","NET_DEBT_TO_EBIT","FQ4 2018","FQ4 2018","Currency=USD","Period=FQ","BEST_FPERIOD_OVERRIDE=FQ","FILING_STATUS=MR","FA_ADJUSTED=GAAP","Sort=A","Dates=H","DateFormat=P","Fill=—","Direction=H","UseDPDF=Y")</f>
        <v>0.4506</v>
      </c>
      <c r="D16" s="14">
        <f>_xll.BDH("AMGN US Equity","NET_DEBT_TO_EBIT","FQ1 2019","FQ1 2019","Currency=USD","Period=FQ","BEST_FPERIOD_OVERRIDE=FQ","FILING_STATUS=MR","FA_ADJUSTED=GAAP","Sort=A","Dates=H","DateFormat=P","Fill=—","Direction=H","UseDPDF=Y")</f>
        <v>0.71930000000000005</v>
      </c>
      <c r="E16" s="14">
        <f>_xll.BDH("AMGN US Equity","NET_DEBT_TO_EBIT","FQ2 2019","FQ2 2019","Currency=USD","Period=FQ","BEST_FPERIOD_OVERRIDE=FQ","FILING_STATUS=MR","FA_ADJUSTED=GAAP","Sort=A","Dates=H","DateFormat=P","Fill=—","Direction=H","UseDPDF=Y")</f>
        <v>0.94750000000000001</v>
      </c>
      <c r="F16" s="14">
        <f>_xll.BDH("AMGN US Equity","NET_DEBT_TO_EBIT","FQ3 2019","FQ3 2019","Currency=USD","Period=FQ","BEST_FPERIOD_OVERRIDE=FQ","FILING_STATUS=MR","FA_ADJUSTED=GAAP","Sort=A","Dates=H","DateFormat=P","Fill=—","Direction=H","UseDPDF=Y")</f>
        <v>0.94010000000000005</v>
      </c>
      <c r="G16" s="14">
        <f>_xll.BDH("AMGN US Equity","NET_DEBT_TO_EBIT","FQ4 2019","FQ4 2019","Currency=USD","Period=FQ","BEST_FPERIOD_OVERRIDE=FQ","FILING_STATUS=MR","FA_ADJUSTED=GAAP","Sort=A","Dates=H","DateFormat=P","Fill=—","Direction=H","UseDPDF=Y")</f>
        <v>2.2208000000000001</v>
      </c>
      <c r="H16" s="14">
        <f>_xll.BDH("AMGN US Equity","NET_DEBT_TO_EBIT","FQ1 2020","FQ1 2020","Currency=USD","Period=FQ","BEST_FPERIOD_OVERRIDE=FQ","FILING_STATUS=MR","FA_ADJUSTED=GAAP","Sort=A","Dates=H","DateFormat=P","Fill=—","Direction=H","UseDPDF=Y")</f>
        <v>2.4941</v>
      </c>
      <c r="I16" s="14">
        <f>_xll.BDH("AMGN US Equity","NET_DEBT_TO_EBIT","FQ2 2020","FQ2 2020","Currency=USD","Period=FQ","BEST_FPERIOD_OVERRIDE=FQ","FILING_STATUS=MR","FA_ADJUSTED=GAAP","Sort=A","Dates=H","DateFormat=P","Fill=—","Direction=H","UseDPDF=Y")</f>
        <v>2.4780000000000002</v>
      </c>
      <c r="J16" s="14">
        <f>_xll.BDH("AMGN US Equity","NET_DEBT_TO_EBIT","FQ3 2020","FQ3 2020","Currency=USD","Period=FQ","BEST_FPERIOD_OVERRIDE=FQ","FILING_STATUS=MR","FA_ADJUSTED=GAAP","Sort=A","Dates=H","DateFormat=P","Fill=—","Direction=H","UseDPDF=Y")</f>
        <v>2.3887999999999998</v>
      </c>
      <c r="K16" s="14">
        <f>_xll.BDH("AMGN US Equity","NET_DEBT_TO_EBIT","FQ4 2020","FQ4 2020","Currency=USD","Period=FQ","BEST_FPERIOD_OVERRIDE=FQ","FILING_STATUS=MR","FA_ADJUSTED=GAAP","Sort=A","Dates=H","DateFormat=P","Fill=—","Direction=H","UseDPDF=Y")</f>
        <v>2.4946000000000002</v>
      </c>
      <c r="L16" s="14">
        <f>_xll.BDH("AMGN US Equity","NET_DEBT_TO_EBIT","FQ1 2021","FQ1 2021","Currency=USD","Period=FQ","BEST_FPERIOD_OVERRIDE=FQ","FILING_STATUS=MR","FA_ADJUSTED=GAAP","Sort=A","Dates=H","DateFormat=P","Fill=—","Direction=H","UseDPDF=Y")</f>
        <v>2.4817</v>
      </c>
      <c r="M16" s="14">
        <f>_xll.BDH("AMGN US Equity","NET_DEBT_TO_EBIT","FQ2 2021","FQ2 2021","Currency=USD","Period=FQ","BEST_FPERIOD_OVERRIDE=FQ","FILING_STATUS=MR","FA_ADJUSTED=GAAP","Sort=A","Dates=H","DateFormat=P","Fill=—","Direction=H","UseDPDF=Y")</f>
        <v>3.3296999999999999</v>
      </c>
      <c r="N16" s="14">
        <f>_xll.BDH("AMGN US Equity","NET_DEBT_TO_EBIT","FQ3 2021","FQ3 2021","Currency=USD","Period=FQ","BEST_FPERIOD_OVERRIDE=FQ","FILING_STATUS=MR","FA_ADJUSTED=GAAP","Sort=A","Dates=H","DateFormat=P","Fill=—","Direction=H","UseDPDF=Y")</f>
        <v>3.3580000000000001</v>
      </c>
      <c r="O16" s="14">
        <f>_xll.BDH("AMGN US Equity","NET_DEBT_TO_EBIT","FQ4 2021","FQ4 2021","Currency=USD","Period=FQ","BEST_FPERIOD_OVERRIDE=FQ","FILING_STATUS=MR","FA_ADJUSTED=GAAP","Sort=A","Dates=H","DateFormat=P","Fill=—","Direction=H","UseDPDF=Y")</f>
        <v>3.3959999999999999</v>
      </c>
      <c r="P16" s="14">
        <f>_xll.BDH("AMGN US Equity","NET_DEBT_TO_EBIT","FQ1 2022","FQ1 2022","Currency=USD","Period=FQ","BEST_FPERIOD_OVERRIDE=FQ","FILING_STATUS=MR","FA_ADJUSTED=GAAP","Sort=A","Dates=H","DateFormat=P","Fill=—","Direction=H","UseDPDF=Y")</f>
        <v>3.7839999999999998</v>
      </c>
      <c r="Q16" s="14">
        <f>_xll.BDH("AMGN US Equity","NET_DEBT_TO_EBIT","FQ2 2022","FQ2 2022","Currency=USD","Period=FQ","BEST_FPERIOD_OVERRIDE=FQ","FILING_STATUS=MR","FA_ADJUSTED=GAAP","Sort=A","Dates=H","DateFormat=P","Fill=—","Direction=H","UseDPDF=Y")</f>
        <v>3.1352000000000002</v>
      </c>
      <c r="R16" s="14">
        <f>_xll.BDH("AMGN US Equity","NET_DEBT_TO_EBIT","FQ3 2022","FQ3 2022","Currency=USD","Period=FQ","BEST_FPERIOD_OVERRIDE=FQ","FILING_STATUS=MR","FA_ADJUSTED=GAAP","Sort=A","Dates=H","DateFormat=P","Fill=—","Direction=H","UseDPDF=Y")</f>
        <v>2.8243</v>
      </c>
      <c r="S16" s="14">
        <f>_xll.BDH("AMGN US Equity","NET_DEBT_TO_EBIT","FQ4 2022","FQ4 2022","Currency=USD","Period=FQ","BEST_FPERIOD_OVERRIDE=FQ","FILING_STATUS=MR","FA_ADJUSTED=GAAP","Sort=A","Dates=H","DateFormat=P","Fill=—","Direction=H","UseDPDF=Y")</f>
        <v>3.1711</v>
      </c>
      <c r="T16" s="14">
        <f>_xll.BDH("AMGN US Equity","NET_DEBT_TO_EBIT","FQ1 2023","FQ1 2023","Currency=USD","Period=FQ","BEST_FPERIOD_OVERRIDE=FQ","FILING_STATUS=MR","FA_ADJUSTED=GAAP","Sort=A","Dates=H","DateFormat=P","Fill=—","Direction=H","UseDPDF=Y")</f>
        <v>3.3418999999999999</v>
      </c>
      <c r="U16" s="14">
        <f>_xll.BDH("AMGN US Equity","NET_DEBT_TO_EBIT","FQ2 2023","FQ2 2023","Currency=USD","Period=FQ","BEST_FPERIOD_OVERRIDE=FQ","FILING_STATUS=MR","FA_ADJUSTED=GAAP","Sort=A","Dates=H","DateFormat=P","Fill=—","Direction=H","UseDPDF=Y")</f>
        <v>2.8748</v>
      </c>
      <c r="V16" s="14">
        <f>_xll.BDH("AMGN US Equity","NET_DEBT_TO_EBIT","FQ3 2023","FQ3 2023","Currency=USD","Period=FQ","BEST_FPERIOD_OVERRIDE=FQ","FILING_STATUS=MR","FA_ADJUSTED=GAAP","Sort=A","Dates=H","DateFormat=P","Fill=—","Direction=H","UseDPDF=Y")</f>
        <v>2.9049999999999998</v>
      </c>
      <c r="W16" s="14">
        <f>_xll.BDH("AMGN US Equity","NET_DEBT_TO_EBIT","FQ4 2023","FQ4 2023","Currency=USD","Period=FQ","BEST_FPERIOD_OVERRIDE=FQ","FILING_STATUS=MR","FA_ADJUSTED=GAAP","Sort=A","Dates=H","DateFormat=P","Fill=—","Direction=H","UseDPDF=Y")</f>
        <v>6.8986999999999998</v>
      </c>
      <c r="X16" s="14">
        <f>_xll.BDH("AMGN US Equity","NET_DEBT_TO_EBIT","FQ1 2024","FQ1 2024","Currency=USD","Period=FQ","BEST_FPERIOD_OVERRIDE=FQ","FILING_STATUS=MR","FA_ADJUSTED=GAAP","Sort=A","Dates=H","DateFormat=P","Fill=—","Direction=H","UseDPDF=Y")</f>
        <v>7.7956000000000003</v>
      </c>
      <c r="Y16" s="14">
        <f>_xll.BDH("AMGN US Equity","NET_DEBT_TO_EBIT","FQ2 2024","FQ2 2024","Currency=USD","Period=FQ","BEST_FPERIOD_OVERRIDE=FQ","FILING_STATUS=MR","FA_ADJUSTED=GAAP","Sort=A","Dates=H","DateFormat=P","Fill=—","Direction=H","UseDPDF=Y")</f>
        <v>8.6150000000000002</v>
      </c>
      <c r="Z16" s="14">
        <f>_xll.BDH("AMGN US Equity","NET_DEBT_TO_EBIT","FQ3 2024","FQ3 2024","Currency=USD","Period=FQ","BEST_FPERIOD_OVERRIDE=FQ","FILING_STATUS=MR","FA_ADJUSTED=GAAP","Sort=A","Dates=H","DateFormat=P","Fill=—","Direction=H","UseDPDF=Y")</f>
        <v>8.2642000000000007</v>
      </c>
      <c r="AA16" s="14">
        <f>_xll.BDH("AMGN US Equity","NET_DEBT_TO_EBIT","FQ4 2024","FQ4 2024","Currency=USD","Period=FQ","BEST_FPERIOD_OVERRIDE=FQ","FILING_STATUS=MR","FA_ADJUSTED=GAAP","Sort=A","Dates=H","DateFormat=P","Fill=—","Direction=H","UseDPDF=Y")</f>
        <v>6.7382</v>
      </c>
    </row>
    <row r="17" spans="1:27" x14ac:dyDescent="0.25">
      <c r="A17" s="10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5">
      <c r="A18" s="10" t="s">
        <v>1574</v>
      </c>
      <c r="B18" s="10" t="s">
        <v>1575</v>
      </c>
      <c r="C18" s="14">
        <f>_xll.BDH("AMGN US Equity","EBITDA_TO_INTEREST_EXPN","FQ4 2018","FQ4 2018","Currency=USD","Period=FQ","BEST_FPERIOD_OVERRIDE=FQ","FILING_STATUS=MR","FA_ADJUSTED=GAAP","Sort=A","Dates=H","DateFormat=P","Fill=—","Direction=H","UseDPDF=Y")</f>
        <v>8.1591000000000005</v>
      </c>
      <c r="D18" s="14">
        <f>_xll.BDH("AMGN US Equity","EBITDA_TO_INTEREST_EXPN","FQ1 2019","FQ1 2019","Currency=USD","Period=FQ","BEST_FPERIOD_OVERRIDE=FQ","FILING_STATUS=MR","FA_ADJUSTED=GAAP","Sort=A","Dates=H","DateFormat=P","Fill=—","Direction=H","UseDPDF=Y")</f>
        <v>8.7667999999999999</v>
      </c>
      <c r="E18" s="14">
        <f>_xll.BDH("AMGN US Equity","EBITDA_TO_INTEREST_EXPN","FQ2 2019","FQ2 2019","Currency=USD","Period=FQ","BEST_FPERIOD_OVERRIDE=FQ","FILING_STATUS=MR","FA_ADJUSTED=GAAP","Sort=A","Dates=H","DateFormat=P","Fill=—","Direction=H","UseDPDF=Y")</f>
        <v>9.7018000000000004</v>
      </c>
      <c r="F18" s="14">
        <f>_xll.BDH("AMGN US Equity","EBITDA_TO_INTEREST_EXPN","FQ3 2019","FQ3 2019","Currency=USD","Period=FQ","BEST_FPERIOD_OVERRIDE=FQ","FILING_STATUS=MR","FA_ADJUSTED=GAAP","Sort=A","Dates=H","DateFormat=P","Fill=—","Direction=H","UseDPDF=Y")</f>
        <v>9.6677</v>
      </c>
      <c r="G18" s="14">
        <f>_xll.BDH("AMGN US Equity","EBITDA_TO_INTEREST_EXPN","FQ4 2019","FQ4 2019","Currency=USD","Period=FQ","BEST_FPERIOD_OVERRIDE=FQ","FILING_STATUS=MR","FA_ADJUSTED=GAAP","Sort=A","Dates=H","DateFormat=P","Fill=—","Direction=H","UseDPDF=Y")</f>
        <v>9.2924000000000007</v>
      </c>
      <c r="H18" s="14">
        <f>_xll.BDH("AMGN US Equity","EBITDA_TO_INTEREST_EXPN","FQ1 2020","FQ1 2020","Currency=USD","Period=FQ","BEST_FPERIOD_OVERRIDE=FQ","FILING_STATUS=MR","FA_ADJUSTED=GAAP","Sort=A","Dates=H","DateFormat=P","Fill=—","Direction=H","UseDPDF=Y")</f>
        <v>9.3987999999999996</v>
      </c>
      <c r="I18" s="14">
        <f>_xll.BDH("AMGN US Equity","EBITDA_TO_INTEREST_EXPN","FQ2 2020","FQ2 2020","Currency=USD","Period=FQ","BEST_FPERIOD_OVERRIDE=FQ","FILING_STATUS=MR","FA_ADJUSTED=GAAP","Sort=A","Dates=H","DateFormat=P","Fill=—","Direction=H","UseDPDF=Y")</f>
        <v>10.9899</v>
      </c>
      <c r="J18" s="14">
        <f>_xll.BDH("AMGN US Equity","EBITDA_TO_INTEREST_EXPN","FQ3 2020","FQ3 2020","Currency=USD","Period=FQ","BEST_FPERIOD_OVERRIDE=FQ","FILING_STATUS=MR","FA_ADJUSTED=GAAP","Sort=A","Dates=H","DateFormat=P","Fill=—","Direction=H","UseDPDF=Y")</f>
        <v>11.106</v>
      </c>
      <c r="K18" s="14">
        <f>_xll.BDH("AMGN US Equity","EBITDA_TO_INTEREST_EXPN","FQ4 2020","FQ4 2020","Currency=USD","Period=FQ","BEST_FPERIOD_OVERRIDE=FQ","FILING_STATUS=MR","FA_ADJUSTED=GAAP","Sort=A","Dates=H","DateFormat=P","Fill=—","Direction=H","UseDPDF=Y")</f>
        <v>9.0596999999999994</v>
      </c>
      <c r="L18" s="14">
        <f>_xll.BDH("AMGN US Equity","EBITDA_TO_INTEREST_EXPN","FQ1 2021","FQ1 2021","Currency=USD","Period=FQ","BEST_FPERIOD_OVERRIDE=FQ","FILING_STATUS=MR","FA_ADJUSTED=GAAP","Sort=A","Dates=H","DateFormat=P","Fill=—","Direction=H","UseDPDF=Y")</f>
        <v>10.421099999999999</v>
      </c>
      <c r="M18" s="14">
        <f>_xll.BDH("AMGN US Equity","EBITDA_TO_INTEREST_EXPN","FQ2 2021","FQ2 2021","Currency=USD","Period=FQ","BEST_FPERIOD_OVERRIDE=FQ","FILING_STATUS=MR","FA_ADJUSTED=GAAP","Sort=A","Dates=H","DateFormat=P","Fill=—","Direction=H","UseDPDF=Y")</f>
        <v>5.9893000000000001</v>
      </c>
      <c r="N18" s="14">
        <f>_xll.BDH("AMGN US Equity","EBITDA_TO_INTEREST_EXPN","FQ3 2021","FQ3 2021","Currency=USD","Period=FQ","BEST_FPERIOD_OVERRIDE=FQ","FILING_STATUS=MR","FA_ADJUSTED=GAAP","Sort=A","Dates=H","DateFormat=P","Fill=—","Direction=H","UseDPDF=Y")</f>
        <v>10.9054</v>
      </c>
      <c r="O18" s="14">
        <f>_xll.BDH("AMGN US Equity","EBITDA_TO_INTEREST_EXPN","FQ4 2021","FQ4 2021","Currency=USD","Period=FQ","BEST_FPERIOD_OVERRIDE=FQ","FILING_STATUS=MR","FA_ADJUSTED=GAAP","Sort=A","Dates=H","DateFormat=P","Fill=—","Direction=H","UseDPDF=Y")</f>
        <v>9.4208999999999996</v>
      </c>
      <c r="P18" s="14">
        <f>_xll.BDH("AMGN US Equity","EBITDA_TO_INTEREST_EXPN","FQ1 2022","FQ1 2022","Currency=USD","Period=FQ","BEST_FPERIOD_OVERRIDE=FQ","FILING_STATUS=MR","FA_ADJUSTED=GAAP","Sort=A","Dates=H","DateFormat=P","Fill=—","Direction=H","UseDPDF=Y")</f>
        <v>11.3254</v>
      </c>
      <c r="Q18" s="14">
        <f>_xll.BDH("AMGN US Equity","EBITDA_TO_INTEREST_EXPN","FQ2 2022","FQ2 2022","Currency=USD","Period=FQ","BEST_FPERIOD_OVERRIDE=FQ","FILING_STATUS=MR","FA_ADJUSTED=GAAP","Sort=A","Dates=H","DateFormat=P","Fill=—","Direction=H","UseDPDF=Y")</f>
        <v>9.1585000000000001</v>
      </c>
      <c r="R18" s="14">
        <f>_xll.BDH("AMGN US Equity","EBITDA_TO_INTEREST_EXPN","FQ3 2022","FQ3 2022","Currency=USD","Period=FQ","BEST_FPERIOD_OVERRIDE=FQ","FILING_STATUS=MR","FA_ADJUSTED=GAAP","Sort=A","Dates=H","DateFormat=P","Fill=—","Direction=H","UseDPDF=Y")</f>
        <v>9.5027000000000008</v>
      </c>
      <c r="S18" s="14">
        <f>_xll.BDH("AMGN US Equity","EBITDA_TO_INTEREST_EXPN","FQ4 2022","FQ4 2022","Currency=USD","Period=FQ","BEST_FPERIOD_OVERRIDE=FQ","FILING_STATUS=MR","FA_ADJUSTED=GAAP","Sort=A","Dates=H","DateFormat=P","Fill=—","Direction=H","UseDPDF=Y")</f>
        <v>7.5686999999999998</v>
      </c>
      <c r="T18" s="14">
        <f>_xll.BDH("AMGN US Equity","EBITDA_TO_INTEREST_EXPN","FQ1 2023","FQ1 2023","Currency=USD","Period=FQ","BEST_FPERIOD_OVERRIDE=FQ","FILING_STATUS=MR","FA_ADJUSTED=GAAP","Sort=A","Dates=H","DateFormat=P","Fill=—","Direction=H","UseDPDF=Y")</f>
        <v>5.1951999999999998</v>
      </c>
      <c r="U18" s="14">
        <f>_xll.BDH("AMGN US Equity","EBITDA_TO_INTEREST_EXPN","FQ2 2023","FQ2 2023","Currency=USD","Period=FQ","BEST_FPERIOD_OVERRIDE=FQ","FILING_STATUS=MR","FA_ADJUSTED=GAAP","Sort=A","Dates=H","DateFormat=P","Fill=—","Direction=H","UseDPDF=Y")</f>
        <v>4.7606000000000002</v>
      </c>
      <c r="V18" s="14">
        <f>_xll.BDH("AMGN US Equity","EBITDA_TO_INTEREST_EXPN","FQ3 2023","FQ3 2023","Currency=USD","Period=FQ","BEST_FPERIOD_OVERRIDE=FQ","FILING_STATUS=MR","FA_ADJUSTED=GAAP","Sort=A","Dates=H","DateFormat=P","Fill=—","Direction=H","UseDPDF=Y")</f>
        <v>3.8418999999999999</v>
      </c>
      <c r="W18" s="14">
        <f>_xll.BDH("AMGN US Equity","EBITDA_TO_INTEREST_EXPN","FQ4 2023","FQ4 2023","Currency=USD","Period=FQ","BEST_FPERIOD_OVERRIDE=FQ","FILING_STATUS=MR","FA_ADJUSTED=GAAP","Sort=A","Dates=H","DateFormat=P","Fill=—","Direction=H","UseDPDF=Y")</f>
        <v>3.2290000000000001</v>
      </c>
      <c r="X18" s="14">
        <f>_xll.BDH("AMGN US Equity","EBITDA_TO_INTEREST_EXPN","FQ1 2024","FQ1 2024","Currency=USD","Period=FQ","BEST_FPERIOD_OVERRIDE=FQ","FILING_STATUS=MR","FA_ADJUSTED=GAAP","Sort=A","Dates=H","DateFormat=P","Fill=—","Direction=H","UseDPDF=Y")</f>
        <v>2.9005000000000001</v>
      </c>
      <c r="Y18" s="14">
        <f>_xll.BDH("AMGN US Equity","EBITDA_TO_INTEREST_EXPN","FQ2 2024","FQ2 2024","Currency=USD","Period=FQ","BEST_FPERIOD_OVERRIDE=FQ","FILING_STATUS=MR","FA_ADJUSTED=GAAP","Sort=A","Dates=H","DateFormat=P","Fill=—","Direction=H","UseDPDF=Y")</f>
        <v>4.0952999999999999</v>
      </c>
      <c r="Z18" s="14">
        <f>_xll.BDH("AMGN US Equity","EBITDA_TO_INTEREST_EXPN","FQ3 2024","FQ3 2024","Currency=USD","Period=FQ","BEST_FPERIOD_OVERRIDE=FQ","FILING_STATUS=MR","FA_ADJUSTED=GAAP","Sort=A","Dates=H","DateFormat=P","Fill=—","Direction=H","UseDPDF=Y")</f>
        <v>4.4368999999999996</v>
      </c>
      <c r="AA18" s="14">
        <f>_xll.BDH("AMGN US Equity","EBITDA_TO_INTEREST_EXPN","FQ4 2024","FQ4 2024","Currency=USD","Period=FQ","BEST_FPERIOD_OVERRIDE=FQ","FILING_STATUS=MR","FA_ADJUSTED=GAAP","Sort=A","Dates=H","DateFormat=P","Fill=—","Direction=H","UseDPDF=Y")</f>
        <v>4.9638999999999998</v>
      </c>
    </row>
    <row r="19" spans="1:27" x14ac:dyDescent="0.25">
      <c r="A19" s="10" t="s">
        <v>1576</v>
      </c>
      <c r="B19" s="10" t="s">
        <v>1577</v>
      </c>
      <c r="C19" s="14">
        <f>_xll.BDH("AMGN US Equity","EBITDA_LES_CAP_EXPEND_TO_INT_EXP","FQ4 2018","FQ4 2018","Currency=USD","Period=FQ","BEST_FPERIOD_OVERRIDE=FQ","FILING_STATUS=MR","FA_ADJUSTED=GAAP","Sort=A","Dates=H","DateFormat=P","Fill=—","Direction=H","UseDPDF=Y")</f>
        <v>7.5198999999999998</v>
      </c>
      <c r="D19" s="14">
        <f>_xll.BDH("AMGN US Equity","EBITDA_LES_CAP_EXPEND_TO_INT_EXP","FQ1 2019","FQ1 2019","Currency=USD","Period=FQ","BEST_FPERIOD_OVERRIDE=FQ","FILING_STATUS=MR","FA_ADJUSTED=GAAP","Sort=A","Dates=H","DateFormat=P","Fill=—","Direction=H","UseDPDF=Y")</f>
        <v>8.4285999999999994</v>
      </c>
      <c r="E19" s="14">
        <f>_xll.BDH("AMGN US Equity","EBITDA_LES_CAP_EXPEND_TO_INT_EXP","FQ2 2019","FQ2 2019","Currency=USD","Period=FQ","BEST_FPERIOD_OVERRIDE=FQ","FILING_STATUS=MR","FA_ADJUSTED=GAAP","Sort=A","Dates=H","DateFormat=P","Fill=—","Direction=H","UseDPDF=Y")</f>
        <v>9.2681000000000004</v>
      </c>
      <c r="F19" s="14">
        <f>_xll.BDH("AMGN US Equity","EBITDA_LES_CAP_EXPEND_TO_INT_EXP","FQ3 2019","FQ3 2019","Currency=USD","Period=FQ","BEST_FPERIOD_OVERRIDE=FQ","FILING_STATUS=MR","FA_ADJUSTED=GAAP","Sort=A","Dates=H","DateFormat=P","Fill=—","Direction=H","UseDPDF=Y")</f>
        <v>9.1245999999999992</v>
      </c>
      <c r="G19" s="14">
        <f>_xll.BDH("AMGN US Equity","EBITDA_LES_CAP_EXPEND_TO_INT_EXP","FQ4 2019","FQ4 2019","Currency=USD","Period=FQ","BEST_FPERIOD_OVERRIDE=FQ","FILING_STATUS=MR","FA_ADJUSTED=GAAP","Sort=A","Dates=H","DateFormat=P","Fill=—","Direction=H","UseDPDF=Y")</f>
        <v>8.6677999999999997</v>
      </c>
      <c r="H19" s="14">
        <f>_xll.BDH("AMGN US Equity","EBITDA_LES_CAP_EXPEND_TO_INT_EXP","FQ1 2020","FQ1 2020","Currency=USD","Period=FQ","BEST_FPERIOD_OVERRIDE=FQ","FILING_STATUS=MR","FA_ADJUSTED=GAAP","Sort=A","Dates=H","DateFormat=P","Fill=—","Direction=H","UseDPDF=Y")</f>
        <v>8.9884000000000004</v>
      </c>
      <c r="I19" s="14">
        <f>_xll.BDH("AMGN US Equity","EBITDA_LES_CAP_EXPEND_TO_INT_EXP","FQ2 2020","FQ2 2020","Currency=USD","Period=FQ","BEST_FPERIOD_OVERRIDE=FQ","FILING_STATUS=MR","FA_ADJUSTED=GAAP","Sort=A","Dates=H","DateFormat=P","Fill=—","Direction=H","UseDPDF=Y")</f>
        <v>10.456099999999999</v>
      </c>
      <c r="J19" s="14">
        <f>_xll.BDH("AMGN US Equity","EBITDA_LES_CAP_EXPEND_TO_INT_EXP","FQ3 2020","FQ3 2020","Currency=USD","Period=FQ","BEST_FPERIOD_OVERRIDE=FQ","FILING_STATUS=MR","FA_ADJUSTED=GAAP","Sort=A","Dates=H","DateFormat=P","Fill=—","Direction=H","UseDPDF=Y")</f>
        <v>10.658899999999999</v>
      </c>
      <c r="K19" s="14">
        <f>_xll.BDH("AMGN US Equity","EBITDA_LES_CAP_EXPEND_TO_INT_EXP","FQ4 2020","FQ4 2020","Currency=USD","Period=FQ","BEST_FPERIOD_OVERRIDE=FQ","FILING_STATUS=MR","FA_ADJUSTED=GAAP","Sort=A","Dates=H","DateFormat=P","Fill=—","Direction=H","UseDPDF=Y")</f>
        <v>8.5157000000000007</v>
      </c>
      <c r="L19" s="14">
        <f>_xll.BDH("AMGN US Equity","EBITDA_LES_CAP_EXPEND_TO_INT_EXP","FQ1 2021","FQ1 2021","Currency=USD","Period=FQ","BEST_FPERIOD_OVERRIDE=FQ","FILING_STATUS=MR","FA_ADJUSTED=GAAP","Sort=A","Dates=H","DateFormat=P","Fill=—","Direction=H","UseDPDF=Y")</f>
        <v>9.8385999999999996</v>
      </c>
      <c r="M19" s="14">
        <f>_xll.BDH("AMGN US Equity","EBITDA_LES_CAP_EXPEND_TO_INT_EXP","FQ2 2021","FQ2 2021","Currency=USD","Period=FQ","BEST_FPERIOD_OVERRIDE=FQ","FILING_STATUS=MR","FA_ADJUSTED=GAAP","Sort=A","Dates=H","DateFormat=P","Fill=—","Direction=H","UseDPDF=Y")</f>
        <v>5.3310000000000004</v>
      </c>
      <c r="N19" s="14">
        <f>_xll.BDH("AMGN US Equity","EBITDA_LES_CAP_EXPEND_TO_INT_EXP","FQ3 2021","FQ3 2021","Currency=USD","Period=FQ","BEST_FPERIOD_OVERRIDE=FQ","FILING_STATUS=MR","FA_ADJUSTED=GAAP","Sort=A","Dates=H","DateFormat=P","Fill=—","Direction=H","UseDPDF=Y")</f>
        <v>10.0878</v>
      </c>
      <c r="O19" s="14">
        <f>_xll.BDH("AMGN US Equity","EBITDA_LES_CAP_EXPEND_TO_INT_EXP","FQ4 2021","FQ4 2021","Currency=USD","Period=FQ","BEST_FPERIOD_OVERRIDE=FQ","FILING_STATUS=MR","FA_ADJUSTED=GAAP","Sort=A","Dates=H","DateFormat=P","Fill=—","Direction=H","UseDPDF=Y")</f>
        <v>8.5641999999999996</v>
      </c>
      <c r="P19" s="14">
        <f>_xll.BDH("AMGN US Equity","EBITDA_LES_CAP_EXPEND_TO_INT_EXP","FQ1 2022","FQ1 2022","Currency=USD","Period=FQ","BEST_FPERIOD_OVERRIDE=FQ","FILING_STATUS=MR","FA_ADJUSTED=GAAP","Sort=A","Dates=H","DateFormat=P","Fill=—","Direction=H","UseDPDF=Y")</f>
        <v>10.6814</v>
      </c>
      <c r="Q19" s="14">
        <f>_xll.BDH("AMGN US Equity","EBITDA_LES_CAP_EXPEND_TO_INT_EXP","FQ2 2022","FQ2 2022","Currency=USD","Period=FQ","BEST_FPERIOD_OVERRIDE=FQ","FILING_STATUS=MR","FA_ADJUSTED=GAAP","Sort=A","Dates=H","DateFormat=P","Fill=—","Direction=H","UseDPDF=Y")</f>
        <v>8.4085000000000001</v>
      </c>
      <c r="R19" s="14">
        <f>_xll.BDH("AMGN US Equity","EBITDA_LES_CAP_EXPEND_TO_INT_EXP","FQ3 2022","FQ3 2022","Currency=USD","Period=FQ","BEST_FPERIOD_OVERRIDE=FQ","FILING_STATUS=MR","FA_ADJUSTED=GAAP","Sort=A","Dates=H","DateFormat=P","Fill=—","Direction=H","UseDPDF=Y")</f>
        <v>9.0678999999999998</v>
      </c>
      <c r="S19" s="14">
        <f>_xll.BDH("AMGN US Equity","EBITDA_LES_CAP_EXPEND_TO_INT_EXP","FQ4 2022","FQ4 2022","Currency=USD","Period=FQ","BEST_FPERIOD_OVERRIDE=FQ","FILING_STATUS=MR","FA_ADJUSTED=GAAP","Sort=A","Dates=H","DateFormat=P","Fill=—","Direction=H","UseDPDF=Y")</f>
        <v>6.7493999999999996</v>
      </c>
      <c r="T19" s="14">
        <f>_xll.BDH("AMGN US Equity","EBITDA_LES_CAP_EXPEND_TO_INT_EXP","FQ1 2023","FQ1 2023","Currency=USD","Period=FQ","BEST_FPERIOD_OVERRIDE=FQ","FILING_STATUS=MR","FA_ADJUSTED=GAAP","Sort=A","Dates=H","DateFormat=P","Fill=—","Direction=H","UseDPDF=Y")</f>
        <v>4.5617000000000001</v>
      </c>
      <c r="U19" s="14">
        <f>_xll.BDH("AMGN US Equity","EBITDA_LES_CAP_EXPEND_TO_INT_EXP","FQ2 2023","FQ2 2023","Currency=USD","Period=FQ","BEST_FPERIOD_OVERRIDE=FQ","FILING_STATUS=MR","FA_ADJUSTED=GAAP","Sort=A","Dates=H","DateFormat=P","Fill=—","Direction=H","UseDPDF=Y")</f>
        <v>4.4002999999999997</v>
      </c>
      <c r="V19" s="14">
        <f>_xll.BDH("AMGN US Equity","EBITDA_LES_CAP_EXPEND_TO_INT_EXP","FQ3 2023","FQ3 2023","Currency=USD","Period=FQ","BEST_FPERIOD_OVERRIDE=FQ","FILING_STATUS=MR","FA_ADJUSTED=GAAP","Sort=A","Dates=H","DateFormat=P","Fill=—","Direction=H","UseDPDF=Y")</f>
        <v>3.5152000000000001</v>
      </c>
      <c r="W19" s="14">
        <f>_xll.BDH("AMGN US Equity","EBITDA_LES_CAP_EXPEND_TO_INT_EXP","FQ4 2023","FQ4 2023","Currency=USD","Period=FQ","BEST_FPERIOD_OVERRIDE=FQ","FILING_STATUS=MR","FA_ADJUSTED=GAAP","Sort=A","Dates=H","DateFormat=P","Fill=—","Direction=H","UseDPDF=Y")</f>
        <v>2.9257</v>
      </c>
      <c r="X19" s="14">
        <f>_xll.BDH("AMGN US Equity","EBITDA_LES_CAP_EXPEND_TO_INT_EXP","FQ1 2024","FQ1 2024","Currency=USD","Period=FQ","BEST_FPERIOD_OVERRIDE=FQ","FILING_STATUS=MR","FA_ADJUSTED=GAAP","Sort=A","Dates=H","DateFormat=P","Fill=—","Direction=H","UseDPDF=Y")</f>
        <v>2.6214</v>
      </c>
      <c r="Y19" s="14">
        <f>_xll.BDH("AMGN US Equity","EBITDA_LES_CAP_EXPEND_TO_INT_EXP","FQ2 2024","FQ2 2024","Currency=USD","Period=FQ","BEST_FPERIOD_OVERRIDE=FQ","FILING_STATUS=MR","FA_ADJUSTED=GAAP","Sort=A","Dates=H","DateFormat=P","Fill=—","Direction=H","UseDPDF=Y")</f>
        <v>3.8007</v>
      </c>
      <c r="Z19" s="14">
        <f>_xll.BDH("AMGN US Equity","EBITDA_LES_CAP_EXPEND_TO_INT_EXP","FQ3 2024","FQ3 2024","Currency=USD","Period=FQ","BEST_FPERIOD_OVERRIDE=FQ","FILING_STATUS=MR","FA_ADJUSTED=GAAP","Sort=A","Dates=H","DateFormat=P","Fill=—","Direction=H","UseDPDF=Y")</f>
        <v>4.1056999999999997</v>
      </c>
      <c r="AA19" s="14">
        <f>_xll.BDH("AMGN US Equity","EBITDA_LES_CAP_EXPEND_TO_INT_EXP","FQ4 2024","FQ4 2024","Currency=USD","Period=FQ","BEST_FPERIOD_OVERRIDE=FQ","FILING_STATUS=MR","FA_ADJUSTED=GAAP","Sort=A","Dates=H","DateFormat=P","Fill=—","Direction=H","UseDPDF=Y")</f>
        <v>4.4672000000000001</v>
      </c>
    </row>
    <row r="20" spans="1:27" x14ac:dyDescent="0.25">
      <c r="A20" s="10" t="s">
        <v>1578</v>
      </c>
      <c r="B20" s="10" t="s">
        <v>1579</v>
      </c>
      <c r="C20" s="14">
        <f>_xll.BDH("AMGN US Equity","OPER_INC_TO_INT_EXP","FQ4 2018","FQ4 2018","Currency=USD","Period=FQ","BEST_FPERIOD_OVERRIDE=FQ","FILING_STATUS=MR","FA_ADJUSTED=GAAP","Sort=A","Dates=H","DateFormat=P","Fill=—","Direction=H","UseDPDF=Y")</f>
        <v>6.7670000000000003</v>
      </c>
      <c r="D20" s="14">
        <f>_xll.BDH("AMGN US Equity","OPER_INC_TO_INT_EXP","FQ1 2019","FQ1 2019","Currency=USD","Period=FQ","BEST_FPERIOD_OVERRIDE=FQ","FILING_STATUS=MR","FA_ADJUSTED=GAAP","Sort=A","Dates=H","DateFormat=P","Fill=—","Direction=H","UseDPDF=Y")</f>
        <v>7.2069999999999999</v>
      </c>
      <c r="E20" s="14">
        <f>_xll.BDH("AMGN US Equity","OPER_INC_TO_INT_EXP","FQ2 2019","FQ2 2019","Currency=USD","Period=FQ","BEST_FPERIOD_OVERRIDE=FQ","FILING_STATUS=MR","FA_ADJUSTED=GAAP","Sort=A","Dates=H","DateFormat=P","Fill=—","Direction=H","UseDPDF=Y")</f>
        <v>8.0663</v>
      </c>
      <c r="F20" s="14">
        <f>_xll.BDH("AMGN US Equity","OPER_INC_TO_INT_EXP","FQ3 2019","FQ3 2019","Currency=USD","Period=FQ","BEST_FPERIOD_OVERRIDE=FQ","FILING_STATUS=MR","FA_ADJUSTED=GAAP","Sort=A","Dates=H","DateFormat=P","Fill=—","Direction=H","UseDPDF=Y")</f>
        <v>7.9104999999999999</v>
      </c>
      <c r="G20" s="14">
        <f>_xll.BDH("AMGN US Equity","OPER_INC_TO_INT_EXP","FQ4 2019","FQ4 2019","Currency=USD","Period=FQ","BEST_FPERIOD_OVERRIDE=FQ","FILING_STATUS=MR","FA_ADJUSTED=GAAP","Sort=A","Dates=H","DateFormat=P","Fill=—","Direction=H","UseDPDF=Y")</f>
        <v>6.8040000000000003</v>
      </c>
      <c r="H20" s="14">
        <f>_xll.BDH("AMGN US Equity","OPER_INC_TO_INT_EXP","FQ1 2020","FQ1 2020","Currency=USD","Period=FQ","BEST_FPERIOD_OVERRIDE=FQ","FILING_STATUS=MR","FA_ADJUSTED=GAAP","Sort=A","Dates=H","DateFormat=P","Fill=—","Direction=H","UseDPDF=Y")</f>
        <v>6.8064</v>
      </c>
      <c r="I20" s="14">
        <f>_xll.BDH("AMGN US Equity","OPER_INC_TO_INT_EXP","FQ2 2020","FQ2 2020","Currency=USD","Period=FQ","BEST_FPERIOD_OVERRIDE=FQ","FILING_STATUS=MR","FA_ADJUSTED=GAAP","Sort=A","Dates=H","DateFormat=P","Fill=—","Direction=H","UseDPDF=Y")</f>
        <v>7.8479999999999999</v>
      </c>
      <c r="J20" s="14">
        <f>_xll.BDH("AMGN US Equity","OPER_INC_TO_INT_EXP","FQ3 2020","FQ3 2020","Currency=USD","Period=FQ","BEST_FPERIOD_OVERRIDE=FQ","FILING_STATUS=MR","FA_ADJUSTED=GAAP","Sort=A","Dates=H","DateFormat=P","Fill=—","Direction=H","UseDPDF=Y")</f>
        <v>8.1225000000000005</v>
      </c>
      <c r="K20" s="14">
        <f>_xll.BDH("AMGN US Equity","OPER_INC_TO_INT_EXP","FQ4 2020","FQ4 2020","Currency=USD","Period=FQ","BEST_FPERIOD_OVERRIDE=FQ","FILING_STATUS=MR","FA_ADJUSTED=GAAP","Sort=A","Dates=H","DateFormat=P","Fill=—","Direction=H","UseDPDF=Y")</f>
        <v>6.3144999999999998</v>
      </c>
      <c r="L20" s="14">
        <f>_xll.BDH("AMGN US Equity","OPER_INC_TO_INT_EXP","FQ1 2021","FQ1 2021","Currency=USD","Period=FQ","BEST_FPERIOD_OVERRIDE=FQ","FILING_STATUS=MR","FA_ADJUSTED=GAAP","Sort=A","Dates=H","DateFormat=P","Fill=—","Direction=H","UseDPDF=Y")</f>
        <v>7.4702000000000002</v>
      </c>
      <c r="M20" s="14">
        <f>_xll.BDH("AMGN US Equity","OPER_INC_TO_INT_EXP","FQ2 2021","FQ2 2021","Currency=USD","Period=FQ","BEST_FPERIOD_OVERRIDE=FQ","FILING_STATUS=MR","FA_ADJUSTED=GAAP","Sort=A","Dates=H","DateFormat=P","Fill=—","Direction=H","UseDPDF=Y")</f>
        <v>2.9466000000000001</v>
      </c>
      <c r="N20" s="14">
        <f>_xll.BDH("AMGN US Equity","OPER_INC_TO_INT_EXP","FQ3 2021","FQ3 2021","Currency=USD","Period=FQ","BEST_FPERIOD_OVERRIDE=FQ","FILING_STATUS=MR","FA_ADJUSTED=GAAP","Sort=A","Dates=H","DateFormat=P","Fill=—","Direction=H","UseDPDF=Y")</f>
        <v>8.0337999999999994</v>
      </c>
      <c r="O20" s="14">
        <f>_xll.BDH("AMGN US Equity","OPER_INC_TO_INT_EXP","FQ4 2021","FQ4 2021","Currency=USD","Period=FQ","BEST_FPERIOD_OVERRIDE=FQ","FILING_STATUS=MR","FA_ADJUSTED=GAAP","Sort=A","Dates=H","DateFormat=P","Fill=—","Direction=H","UseDPDF=Y")</f>
        <v>6.8776000000000002</v>
      </c>
      <c r="P20" s="14">
        <f>_xll.BDH("AMGN US Equity","OPER_INC_TO_INT_EXP","FQ1 2022","FQ1 2022","Currency=USD","Period=FQ","BEST_FPERIOD_OVERRIDE=FQ","FILING_STATUS=MR","FA_ADJUSTED=GAAP","Sort=A","Dates=H","DateFormat=P","Fill=—","Direction=H","UseDPDF=Y")</f>
        <v>8.4746000000000006</v>
      </c>
      <c r="Q20" s="14">
        <f>_xll.BDH("AMGN US Equity","OPER_INC_TO_INT_EXP","FQ2 2022","FQ2 2022","Currency=USD","Period=FQ","BEST_FPERIOD_OVERRIDE=FQ","FILING_STATUS=MR","FA_ADJUSTED=GAAP","Sort=A","Dates=H","DateFormat=P","Fill=—","Direction=H","UseDPDF=Y")</f>
        <v>6.6341000000000001</v>
      </c>
      <c r="R20" s="14">
        <f>_xll.BDH("AMGN US Equity","OPER_INC_TO_INT_EXP","FQ3 2022","FQ3 2022","Currency=USD","Period=FQ","BEST_FPERIOD_OVERRIDE=FQ","FILING_STATUS=MR","FA_ADJUSTED=GAAP","Sort=A","Dates=H","DateFormat=P","Fill=—","Direction=H","UseDPDF=Y")</f>
        <v>7.2282999999999999</v>
      </c>
      <c r="S20" s="14">
        <f>_xll.BDH("AMGN US Equity","OPER_INC_TO_INT_EXP","FQ4 2022","FQ4 2022","Currency=USD","Period=FQ","BEST_FPERIOD_OVERRIDE=FQ","FILING_STATUS=MR","FA_ADJUSTED=GAAP","Sort=A","Dates=H","DateFormat=P","Fill=—","Direction=H","UseDPDF=Y")</f>
        <v>5.3734999999999999</v>
      </c>
      <c r="T20" s="14">
        <f>_xll.BDH("AMGN US Equity","OPER_INC_TO_INT_EXP","FQ1 2023","FQ1 2023","Currency=USD","Period=FQ","BEST_FPERIOD_OVERRIDE=FQ","FILING_STATUS=MR","FA_ADJUSTED=GAAP","Sort=A","Dates=H","DateFormat=P","Fill=—","Direction=H","UseDPDF=Y")</f>
        <v>3.5377999999999998</v>
      </c>
      <c r="U20" s="14">
        <f>_xll.BDH("AMGN US Equity","OPER_INC_TO_INT_EXP","FQ2 2023","FQ2 2023","Currency=USD","Period=FQ","BEST_FPERIOD_OVERRIDE=FQ","FILING_STATUS=MR","FA_ADJUSTED=GAAP","Sort=A","Dates=H","DateFormat=P","Fill=—","Direction=H","UseDPDF=Y")</f>
        <v>3.5691000000000002</v>
      </c>
      <c r="V20" s="14">
        <f>_xll.BDH("AMGN US Equity","OPER_INC_TO_INT_EXP","FQ3 2023","FQ3 2023","Currency=USD","Period=FQ","BEST_FPERIOD_OVERRIDE=FQ","FILING_STATUS=MR","FA_ADJUSTED=GAAP","Sort=A","Dates=H","DateFormat=P","Fill=—","Direction=H","UseDPDF=Y")</f>
        <v>2.6627000000000001</v>
      </c>
      <c r="W20" s="14">
        <f>_xll.BDH("AMGN US Equity","OPER_INC_TO_INT_EXP","FQ4 2023","FQ4 2023","Currency=USD","Period=FQ","BEST_FPERIOD_OVERRIDE=FQ","FILING_STATUS=MR","FA_ADJUSTED=GAAP","Sort=A","Dates=H","DateFormat=P","Fill=—","Direction=H","UseDPDF=Y")</f>
        <v>1.5481</v>
      </c>
      <c r="X20" s="14">
        <f>_xll.BDH("AMGN US Equity","OPER_INC_TO_INT_EXP","FQ1 2024","FQ1 2024","Currency=USD","Period=FQ","BEST_FPERIOD_OVERRIDE=FQ","FILING_STATUS=MR","FA_ADJUSTED=GAAP","Sort=A","Dates=H","DateFormat=P","Fill=—","Direction=H","UseDPDF=Y")</f>
        <v>1.2027000000000001</v>
      </c>
      <c r="Y20" s="14">
        <f>_xll.BDH("AMGN US Equity","OPER_INC_TO_INT_EXP","FQ2 2024","FQ2 2024","Currency=USD","Period=FQ","BEST_FPERIOD_OVERRIDE=FQ","FILING_STATUS=MR","FA_ADJUSTED=GAAP","Sort=A","Dates=H","DateFormat=P","Fill=—","Direction=H","UseDPDF=Y")</f>
        <v>2.3626</v>
      </c>
      <c r="Z20" s="14">
        <f>_xll.BDH("AMGN US Equity","OPER_INC_TO_INT_EXP","FQ3 2024","FQ3 2024","Currency=USD","Period=FQ","BEST_FPERIOD_OVERRIDE=FQ","FILING_STATUS=MR","FA_ADJUSTED=GAAP","Sort=A","Dates=H","DateFormat=P","Fill=—","Direction=H","UseDPDF=Y")</f>
        <v>2.6379000000000001</v>
      </c>
      <c r="AA20" s="14">
        <f>_xll.BDH("AMGN US Equity","OPER_INC_TO_INT_EXP","FQ4 2024","FQ4 2024","Currency=USD","Period=FQ","BEST_FPERIOD_OVERRIDE=FQ","FILING_STATUS=MR","FA_ADJUSTED=GAAP","Sort=A","Dates=H","DateFormat=P","Fill=—","Direction=H","UseDPDF=Y")</f>
        <v>3.0937000000000001</v>
      </c>
    </row>
    <row r="21" spans="1:27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5">
      <c r="A23" s="10" t="s">
        <v>1580</v>
      </c>
      <c r="B23" s="10" t="s">
        <v>332</v>
      </c>
      <c r="C23" s="13">
        <f>_xll.BDH("AMGN US Equity","IS_INT_EXPENSE","FQ4 2018","FQ4 2018","Currency=USD","Period=FQ","BEST_FPERIOD_OVERRIDE=FQ","FILING_STATUS=MR","SCALING_FORMAT=MLN","FA_ADJUSTED=GAAP","Sort=A","Dates=H","DateFormat=P","Fill=—","Direction=H","UseDPDF=Y")</f>
        <v>352</v>
      </c>
      <c r="D23" s="13">
        <f>_xll.BDH("AMGN US Equity","IS_INT_EXPENSE","FQ1 2019","FQ1 2019","Currency=USD","Period=FQ","BEST_FPERIOD_OVERRIDE=FQ","FILING_STATUS=MR","SCALING_FORMAT=MLN","FA_ADJUSTED=GAAP","Sort=A","Dates=H","DateFormat=P","Fill=—","Direction=H","UseDPDF=Y")</f>
        <v>343</v>
      </c>
      <c r="E23" s="13">
        <f>_xll.BDH("AMGN US Equity","IS_INT_EXPENSE","FQ2 2019","FQ2 2019","Currency=USD","Period=FQ","BEST_FPERIOD_OVERRIDE=FQ","FILING_STATUS=MR","SCALING_FORMAT=MLN","FA_ADJUSTED=GAAP","Sort=A","Dates=H","DateFormat=P","Fill=—","Direction=H","UseDPDF=Y")</f>
        <v>332</v>
      </c>
      <c r="F23" s="13">
        <f>_xll.BDH("AMGN US Equity","IS_INT_EXPENSE","FQ3 2019","FQ3 2019","Currency=USD","Period=FQ","BEST_FPERIOD_OVERRIDE=FQ","FILING_STATUS=MR","SCALING_FORMAT=MLN","FA_ADJUSTED=GAAP","Sort=A","Dates=H","DateFormat=P","Fill=—","Direction=H","UseDPDF=Y")</f>
        <v>313</v>
      </c>
      <c r="G23" s="13">
        <f>_xll.BDH("AMGN US Equity","IS_INT_EXPENSE","FQ4 2019","FQ4 2019","Currency=USD","Period=FQ","BEST_FPERIOD_OVERRIDE=FQ","FILING_STATUS=MR","SCALING_FORMAT=MLN","FA_ADJUSTED=GAAP","Sort=A","Dates=H","DateFormat=P","Fill=—","Direction=H","UseDPDF=Y")</f>
        <v>301</v>
      </c>
      <c r="H23" s="13">
        <f>_xll.BDH("AMGN US Equity","IS_INT_EXPENSE","FQ1 2020","FQ1 2020","Currency=USD","Period=FQ","BEST_FPERIOD_OVERRIDE=FQ","FILING_STATUS=MR","SCALING_FORMAT=MLN","FA_ADJUSTED=GAAP","Sort=A","Dates=H","DateFormat=P","Fill=—","Direction=H","UseDPDF=Y")</f>
        <v>346</v>
      </c>
      <c r="I23" s="13">
        <f>_xll.BDH("AMGN US Equity","IS_INT_EXPENSE","FQ2 2020","FQ2 2020","Currency=USD","Period=FQ","BEST_FPERIOD_OVERRIDE=FQ","FILING_STATUS=MR","SCALING_FORMAT=MLN","FA_ADJUSTED=GAAP","Sort=A","Dates=H","DateFormat=P","Fill=—","Direction=H","UseDPDF=Y")</f>
        <v>296</v>
      </c>
      <c r="J23" s="13">
        <f>_xll.BDH("AMGN US Equity","IS_INT_EXPENSE","FQ3 2020","FQ3 2020","Currency=USD","Period=FQ","BEST_FPERIOD_OVERRIDE=FQ","FILING_STATUS=MR","SCALING_FORMAT=MLN","FA_ADJUSTED=GAAP","Sort=A","Dates=H","DateFormat=P","Fill=—","Direction=H","UseDPDF=Y")</f>
        <v>302</v>
      </c>
      <c r="K23" s="13">
        <f>_xll.BDH("AMGN US Equity","IS_INT_EXPENSE","FQ4 2020","FQ4 2020","Currency=USD","Period=FQ","BEST_FPERIOD_OVERRIDE=FQ","FILING_STATUS=MR","SCALING_FORMAT=MLN","FA_ADJUSTED=GAAP","Sort=A","Dates=H","DateFormat=P","Fill=—","Direction=H","UseDPDF=Y")</f>
        <v>318</v>
      </c>
      <c r="L23" s="13">
        <f>_xll.BDH("AMGN US Equity","IS_INT_EXPENSE","FQ1 2021","FQ1 2021","Currency=USD","Period=FQ","BEST_FPERIOD_OVERRIDE=FQ","FILING_STATUS=MR","SCALING_FORMAT=MLN","FA_ADJUSTED=GAAP","Sort=A","Dates=H","DateFormat=P","Fill=—","Direction=H","UseDPDF=Y")</f>
        <v>285</v>
      </c>
      <c r="M23" s="13">
        <f>_xll.BDH("AMGN US Equity","IS_INT_EXPENSE","FQ2 2021","FQ2 2021","Currency=USD","Period=FQ","BEST_FPERIOD_OVERRIDE=FQ","FILING_STATUS=MR","SCALING_FORMAT=MLN","FA_ADJUSTED=GAAP","Sort=A","Dates=H","DateFormat=P","Fill=—","Direction=H","UseDPDF=Y")</f>
        <v>281</v>
      </c>
      <c r="N23" s="13">
        <f>_xll.BDH("AMGN US Equity","IS_INT_EXPENSE","FQ3 2021","FQ3 2021","Currency=USD","Period=FQ","BEST_FPERIOD_OVERRIDE=FQ","FILING_STATUS=MR","SCALING_FORMAT=MLN","FA_ADJUSTED=GAAP","Sort=A","Dates=H","DateFormat=P","Fill=—","Direction=H","UseDPDF=Y")</f>
        <v>296</v>
      </c>
      <c r="O23" s="13">
        <f>_xll.BDH("AMGN US Equity","IS_INT_EXPENSE","FQ4 2021","FQ4 2021","Currency=USD","Period=FQ","BEST_FPERIOD_OVERRIDE=FQ","FILING_STATUS=MR","SCALING_FORMAT=MLN","FA_ADJUSTED=GAAP","Sort=A","Dates=H","DateFormat=P","Fill=—","Direction=H","UseDPDF=Y")</f>
        <v>335</v>
      </c>
      <c r="P23" s="13">
        <f>_xll.BDH("AMGN US Equity","IS_INT_EXPENSE","FQ1 2022","FQ1 2022","Currency=USD","Period=FQ","BEST_FPERIOD_OVERRIDE=FQ","FILING_STATUS=MR","SCALING_FORMAT=MLN","FA_ADJUSTED=GAAP","Sort=A","Dates=H","DateFormat=P","Fill=—","Direction=H","UseDPDF=Y")</f>
        <v>295</v>
      </c>
      <c r="Q23" s="13">
        <f>_xll.BDH("AMGN US Equity","IS_INT_EXPENSE","FQ2 2022","FQ2 2022","Currency=USD","Period=FQ","BEST_FPERIOD_OVERRIDE=FQ","FILING_STATUS=MR","SCALING_FORMAT=MLN","FA_ADJUSTED=GAAP","Sort=A","Dates=H","DateFormat=P","Fill=—","Direction=H","UseDPDF=Y")</f>
        <v>328</v>
      </c>
      <c r="R23" s="13">
        <f>_xll.BDH("AMGN US Equity","IS_INT_EXPENSE","FQ3 2022","FQ3 2022","Currency=USD","Period=FQ","BEST_FPERIOD_OVERRIDE=FQ","FILING_STATUS=MR","SCALING_FORMAT=MLN","FA_ADJUSTED=GAAP","Sort=A","Dates=H","DateFormat=P","Fill=—","Direction=H","UseDPDF=Y")</f>
        <v>368</v>
      </c>
      <c r="S23" s="13">
        <f>_xll.BDH("AMGN US Equity","IS_INT_EXPENSE","FQ4 2022","FQ4 2022","Currency=USD","Period=FQ","BEST_FPERIOD_OVERRIDE=FQ","FILING_STATUS=MR","SCALING_FORMAT=MLN","FA_ADJUSTED=GAAP","Sort=A","Dates=H","DateFormat=P","Fill=—","Direction=H","UseDPDF=Y")</f>
        <v>415</v>
      </c>
      <c r="T23" s="13">
        <f>_xll.BDH("AMGN US Equity","IS_INT_EXPENSE","FQ1 2023","FQ1 2023","Currency=USD","Period=FQ","BEST_FPERIOD_OVERRIDE=FQ","FILING_STATUS=MR","SCALING_FORMAT=MLN","FA_ADJUSTED=GAAP","Sort=A","Dates=H","DateFormat=P","Fill=—","Direction=H","UseDPDF=Y")</f>
        <v>543</v>
      </c>
      <c r="U23" s="13">
        <f>_xll.BDH("AMGN US Equity","IS_INT_EXPENSE","FQ2 2023","FQ2 2023","Currency=USD","Period=FQ","BEST_FPERIOD_OVERRIDE=FQ","FILING_STATUS=MR","SCALING_FORMAT=MLN","FA_ADJUSTED=GAAP","Sort=A","Dates=H","DateFormat=P","Fill=—","Direction=H","UseDPDF=Y")</f>
        <v>752</v>
      </c>
      <c r="V23" s="13">
        <f>_xll.BDH("AMGN US Equity","IS_INT_EXPENSE","FQ3 2023","FQ3 2023","Currency=USD","Period=FQ","BEST_FPERIOD_OVERRIDE=FQ","FILING_STATUS=MR","SCALING_FORMAT=MLN","FA_ADJUSTED=GAAP","Sort=A","Dates=H","DateFormat=P","Fill=—","Direction=H","UseDPDF=Y")</f>
        <v>759</v>
      </c>
      <c r="W23" s="13">
        <f>_xll.BDH("AMGN US Equity","IS_INT_EXPENSE","FQ4 2023","FQ4 2023","Currency=USD","Period=FQ","BEST_FPERIOD_OVERRIDE=FQ","FILING_STATUS=MR","SCALING_FORMAT=MLN","FA_ADJUSTED=GAAP","Sort=A","Dates=H","DateFormat=P","Fill=—","Direction=H","UseDPDF=Y")</f>
        <v>821</v>
      </c>
      <c r="X23" s="13">
        <f>_xll.BDH("AMGN US Equity","IS_INT_EXPENSE","FQ1 2024","FQ1 2024","Currency=USD","Period=FQ","BEST_FPERIOD_OVERRIDE=FQ","FILING_STATUS=MR","SCALING_FORMAT=MLN","FA_ADJUSTED=GAAP","Sort=A","Dates=H","DateFormat=P","Fill=—","Direction=H","UseDPDF=Y")</f>
        <v>824</v>
      </c>
      <c r="Y23" s="13">
        <f>_xll.BDH("AMGN US Equity","IS_INT_EXPENSE","FQ2 2024","FQ2 2024","Currency=USD","Period=FQ","BEST_FPERIOD_OVERRIDE=FQ","FILING_STATUS=MR","SCALING_FORMAT=MLN","FA_ADJUSTED=GAAP","Sort=A","Dates=H","DateFormat=P","Fill=—","Direction=H","UseDPDF=Y")</f>
        <v>808</v>
      </c>
      <c r="Z23" s="13">
        <f>_xll.BDH("AMGN US Equity","IS_INT_EXPENSE","FQ3 2024","FQ3 2024","Currency=USD","Period=FQ","BEST_FPERIOD_OVERRIDE=FQ","FILING_STATUS=MR","SCALING_FORMAT=MLN","FA_ADJUSTED=GAAP","Sort=A","Dates=H","DateFormat=P","Fill=—","Direction=H","UseDPDF=Y")</f>
        <v>776</v>
      </c>
      <c r="AA23" s="13">
        <f>_xll.BDH("AMGN US Equity","IS_INT_EXPENSE","FQ4 2024","FQ4 2024","Currency=USD","Period=FQ","BEST_FPERIOD_OVERRIDE=FQ","FILING_STATUS=MR","SCALING_FORMAT=MLN","FA_ADJUSTED=GAAP","Sort=A","Dates=H","DateFormat=P","Fill=—","Direction=H","UseDPDF=Y")</f>
        <v>747</v>
      </c>
    </row>
    <row r="24" spans="1:27" x14ac:dyDescent="0.25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5">
      <c r="A25" s="10" t="s">
        <v>1581</v>
      </c>
      <c r="B25" s="10" t="s">
        <v>1582</v>
      </c>
      <c r="C25" s="14">
        <f>_xll.BDH("AMGN US Equity","COM_EQY_TO_TOT_ASSET","FQ4 2018","FQ4 2018","Currency=USD","Period=FQ","BEST_FPERIOD_OVERRIDE=FQ","FILING_STATUS=MR","Sort=A","Dates=H","DateFormat=P","Fill=—","Direction=H","UseDPDF=Y")</f>
        <v>18.820799999999998</v>
      </c>
      <c r="D25" s="14">
        <f>_xll.BDH("AMGN US Equity","COM_EQY_TO_TOT_ASSET","FQ1 2019","FQ1 2019","Currency=USD","Period=FQ","BEST_FPERIOD_OVERRIDE=FQ","FILING_STATUS=MR","Sort=A","Dates=H","DateFormat=P","Fill=—","Direction=H","UseDPDF=Y")</f>
        <v>16.925799999999999</v>
      </c>
      <c r="E25" s="14">
        <f>_xll.BDH("AMGN US Equity","COM_EQY_TO_TOT_ASSET","FQ2 2019","FQ2 2019","Currency=USD","Period=FQ","BEST_FPERIOD_OVERRIDE=FQ","FILING_STATUS=MR","Sort=A","Dates=H","DateFormat=P","Fill=—","Direction=H","UseDPDF=Y")</f>
        <v>18.18</v>
      </c>
      <c r="F25" s="14">
        <f>_xll.BDH("AMGN US Equity","COM_EQY_TO_TOT_ASSET","FQ3 2019","FQ3 2019","Currency=USD","Period=FQ","BEST_FPERIOD_OVERRIDE=FQ","FILING_STATUS=MR","Sort=A","Dates=H","DateFormat=P","Fill=—","Direction=H","UseDPDF=Y")</f>
        <v>18.353899999999999</v>
      </c>
      <c r="G25" s="14">
        <f>_xll.BDH("AMGN US Equity","COM_EQY_TO_TOT_ASSET","FQ4 2019","FQ4 2019","Currency=USD","Period=FQ","BEST_FPERIOD_OVERRIDE=FQ","FILING_STATUS=MR","Sort=A","Dates=H","DateFormat=P","Fill=—","Direction=H","UseDPDF=Y")</f>
        <v>16.200800000000001</v>
      </c>
      <c r="H25" s="14">
        <f>_xll.BDH("AMGN US Equity","COM_EQY_TO_TOT_ASSET","FQ1 2020","FQ1 2020","Currency=USD","Period=FQ","BEST_FPERIOD_OVERRIDE=FQ","FILING_STATUS=MR","Sort=A","Dates=H","DateFormat=P","Fill=—","Direction=H","UseDPDF=Y")</f>
        <v>15.3805</v>
      </c>
      <c r="I25" s="14">
        <f>_xll.BDH("AMGN US Equity","COM_EQY_TO_TOT_ASSET","FQ2 2020","FQ2 2020","Currency=USD","Period=FQ","BEST_FPERIOD_OVERRIDE=FQ","FILING_STATUS=MR","Sort=A","Dates=H","DateFormat=P","Fill=—","Direction=H","UseDPDF=Y")</f>
        <v>16.395700000000001</v>
      </c>
      <c r="J25" s="14">
        <f>_xll.BDH("AMGN US Equity","COM_EQY_TO_TOT_ASSET","FQ3 2020","FQ3 2020","Currency=USD","Period=FQ","BEST_FPERIOD_OVERRIDE=FQ","FILING_STATUS=MR","Sort=A","Dates=H","DateFormat=P","Fill=—","Direction=H","UseDPDF=Y")</f>
        <v>16.954699999999999</v>
      </c>
      <c r="K25" s="14">
        <f>_xll.BDH("AMGN US Equity","COM_EQY_TO_TOT_ASSET","FQ4 2020","FQ4 2020","Currency=USD","Period=FQ","BEST_FPERIOD_OVERRIDE=FQ","FILING_STATUS=MR","Sort=A","Dates=H","DateFormat=P","Fill=—","Direction=H","UseDPDF=Y")</f>
        <v>14.9473</v>
      </c>
      <c r="L25" s="14">
        <f>_xll.BDH("AMGN US Equity","COM_EQY_TO_TOT_ASSET","FQ1 2021","FQ1 2021","Currency=USD","Period=FQ","BEST_FPERIOD_OVERRIDE=FQ","FILING_STATUS=MR","Sort=A","Dates=H","DateFormat=P","Fill=—","Direction=H","UseDPDF=Y")</f>
        <v>14.9251</v>
      </c>
      <c r="M25" s="14">
        <f>_xll.BDH("AMGN US Equity","COM_EQY_TO_TOT_ASSET","FQ2 2021","FQ2 2021","Currency=USD","Period=FQ","BEST_FPERIOD_OVERRIDE=FQ","FILING_STATUS=MR","Sort=A","Dates=H","DateFormat=P","Fill=—","Direction=H","UseDPDF=Y")</f>
        <v>13.7972</v>
      </c>
      <c r="N25" s="14">
        <f>_xll.BDH("AMGN US Equity","COM_EQY_TO_TOT_ASSET","FQ3 2021","FQ3 2021","Currency=USD","Period=FQ","BEST_FPERIOD_OVERRIDE=FQ","FILING_STATUS=MR","Sort=A","Dates=H","DateFormat=P","Fill=—","Direction=H","UseDPDF=Y")</f>
        <v>12.642899999999999</v>
      </c>
      <c r="O25" s="14">
        <f>_xll.BDH("AMGN US Equity","COM_EQY_TO_TOT_ASSET","FQ4 2021","FQ4 2021","Currency=USD","Period=FQ","BEST_FPERIOD_OVERRIDE=FQ","FILING_STATUS=MR","Sort=A","Dates=H","DateFormat=P","Fill=—","Direction=H","UseDPDF=Y")</f>
        <v>10.954000000000001</v>
      </c>
      <c r="P25" s="14">
        <f>_xll.BDH("AMGN US Equity","COM_EQY_TO_TOT_ASSET","FQ1 2022","FQ1 2022","Currency=USD","Period=FQ","BEST_FPERIOD_OVERRIDE=FQ","FILING_STATUS=MR","Sort=A","Dates=H","DateFormat=P","Fill=—","Direction=H","UseDPDF=Y")</f>
        <v>1.5474000000000001</v>
      </c>
      <c r="Q25" s="14">
        <f>_xll.BDH("AMGN US Equity","COM_EQY_TO_TOT_ASSET","FQ2 2022","FQ2 2022","Currency=USD","Period=FQ","BEST_FPERIOD_OVERRIDE=FQ","FILING_STATUS=MR","Sort=A","Dates=H","DateFormat=P","Fill=—","Direction=H","UseDPDF=Y")</f>
        <v>4.0796999999999999</v>
      </c>
      <c r="R25" s="14">
        <f>_xll.BDH("AMGN US Equity","COM_EQY_TO_TOT_ASSET","FQ3 2022","FQ3 2022","Currency=USD","Period=FQ","BEST_FPERIOD_OVERRIDE=FQ","FILING_STATUS=MR","Sort=A","Dates=H","DateFormat=P","Fill=—","Direction=H","UseDPDF=Y")</f>
        <v>5.7347000000000001</v>
      </c>
      <c r="S25" s="14">
        <f>_xll.BDH("AMGN US Equity","COM_EQY_TO_TOT_ASSET","FQ4 2022","FQ4 2022","Currency=USD","Period=FQ","BEST_FPERIOD_OVERRIDE=FQ","FILING_STATUS=MR","Sort=A","Dates=H","DateFormat=P","Fill=—","Direction=H","UseDPDF=Y")</f>
        <v>5.6218000000000004</v>
      </c>
      <c r="T25" s="14">
        <f>_xll.BDH("AMGN US Equity","COM_EQY_TO_TOT_ASSET","FQ1 2023","FQ1 2023","Currency=USD","Period=FQ","BEST_FPERIOD_OVERRIDE=FQ","FILING_STATUS=MR","Sort=A","Dates=H","DateFormat=P","Fill=—","Direction=H","UseDPDF=Y")</f>
        <v>6.0279999999999996</v>
      </c>
      <c r="U25" s="14">
        <f>_xll.BDH("AMGN US Equity","COM_EQY_TO_TOT_ASSET","FQ2 2023","FQ2 2023","Currency=USD","Period=FQ","BEST_FPERIOD_OVERRIDE=FQ","FILING_STATUS=MR","Sort=A","Dates=H","DateFormat=P","Fill=—","Direction=H","UseDPDF=Y")</f>
        <v>7.5119999999999996</v>
      </c>
      <c r="V25" s="14">
        <f>_xll.BDH("AMGN US Equity","COM_EQY_TO_TOT_ASSET","FQ3 2023","FQ3 2023","Currency=USD","Period=FQ","BEST_FPERIOD_OVERRIDE=FQ","FILING_STATUS=MR","Sort=A","Dates=H","DateFormat=P","Fill=—","Direction=H","UseDPDF=Y")</f>
        <v>8.4565000000000001</v>
      </c>
      <c r="W25" s="14">
        <f>_xll.BDH("AMGN US Equity","COM_EQY_TO_TOT_ASSET","FQ4 2023","FQ4 2023","Currency=USD","Period=FQ","BEST_FPERIOD_OVERRIDE=FQ","FILING_STATUS=MR","Sort=A","Dates=H","DateFormat=P","Fill=—","Direction=H","UseDPDF=Y")</f>
        <v>6.4146000000000001</v>
      </c>
      <c r="X25" s="14">
        <f>_xll.BDH("AMGN US Equity","COM_EQY_TO_TOT_ASSET","FQ1 2024","FQ1 2024","Currency=USD","Period=FQ","BEST_FPERIOD_OVERRIDE=FQ","FILING_STATUS=MR","Sort=A","Dates=H","DateFormat=P","Fill=—","Direction=H","UseDPDF=Y")</f>
        <v>5.4012000000000002</v>
      </c>
      <c r="Y25" s="14">
        <f>_xll.BDH("AMGN US Equity","COM_EQY_TO_TOT_ASSET","FQ2 2024","FQ2 2024","Currency=USD","Period=FQ","BEST_FPERIOD_OVERRIDE=FQ","FILING_STATUS=MR","Sort=A","Dates=H","DateFormat=P","Fill=—","Direction=H","UseDPDF=Y")</f>
        <v>6.5175999999999998</v>
      </c>
      <c r="Z25" s="14">
        <f>_xll.BDH("AMGN US Equity","COM_EQY_TO_TOT_ASSET","FQ3 2024","FQ3 2024","Currency=USD","Period=FQ","BEST_FPERIOD_OVERRIDE=FQ","FILING_STATUS=MR","Sort=A","Dates=H","DateFormat=P","Fill=—","Direction=H","UseDPDF=Y")</f>
        <v>8.2820999999999998</v>
      </c>
      <c r="AA25" s="14">
        <f>_xll.BDH("AMGN US Equity","COM_EQY_TO_TOT_ASSET","FQ4 2024","FQ4 2024","Currency=USD","Period=FQ","BEST_FPERIOD_OVERRIDE=FQ","FILING_STATUS=MR","Sort=A","Dates=H","DateFormat=P","Fill=—","Direction=H","UseDPDF=Y")</f>
        <v>6.3992000000000004</v>
      </c>
    </row>
    <row r="26" spans="1:27" x14ac:dyDescent="0.25">
      <c r="A26" s="10" t="s">
        <v>1583</v>
      </c>
      <c r="B26" s="10" t="s">
        <v>1584</v>
      </c>
      <c r="C26" s="14">
        <f>_xll.BDH("AMGN US Equity","LT_DEBT_TO_TOT_EQY","FQ4 2018","FQ4 2018","Currency=USD","Period=FQ","BEST_FPERIOD_OVERRIDE=FQ","FILING_STATUS=MR","Sort=A","Dates=H","DateFormat=P","Fill=—","Direction=H","UseDPDF=Y")</f>
        <v>236.08</v>
      </c>
      <c r="D26" s="14">
        <f>_xll.BDH("AMGN US Equity","LT_DEBT_TO_TOT_EQY","FQ1 2019","FQ1 2019","Currency=USD","Period=FQ","BEST_FPERIOD_OVERRIDE=FQ","FILING_STATUS=MR","Sort=A","Dates=H","DateFormat=P","Fill=—","Direction=H","UseDPDF=Y")</f>
        <v>274.06760000000003</v>
      </c>
      <c r="E26" s="14">
        <f>_xll.BDH("AMGN US Equity","LT_DEBT_TO_TOT_EQY","FQ2 2019","FQ2 2019","Currency=USD","Period=FQ","BEST_FPERIOD_OVERRIDE=FQ","FILING_STATUS=MR","Sort=A","Dates=H","DateFormat=P","Fill=—","Direction=H","UseDPDF=Y")</f>
        <v>260.89490000000001</v>
      </c>
      <c r="F26" s="14">
        <f>_xll.BDH("AMGN US Equity","LT_DEBT_TO_TOT_EQY","FQ3 2019","FQ3 2019","Currency=USD","Period=FQ","BEST_FPERIOD_OVERRIDE=FQ","FILING_STATUS=MR","Sort=A","Dates=H","DateFormat=P","Fill=—","Direction=H","UseDPDF=Y")</f>
        <v>257.09710000000001</v>
      </c>
      <c r="G26" s="14">
        <f>_xll.BDH("AMGN US Equity","LT_DEBT_TO_TOT_EQY","FQ4 2019","FQ4 2019","Currency=USD","Period=FQ","BEST_FPERIOD_OVERRIDE=FQ","FILING_STATUS=MR","Sort=A","Dates=H","DateFormat=P","Fill=—","Direction=H","UseDPDF=Y")</f>
        <v>282.62169999999998</v>
      </c>
      <c r="H26" s="14">
        <f>_xll.BDH("AMGN US Equity","LT_DEBT_TO_TOT_EQY","FQ1 2020","FQ1 2020","Currency=USD","Period=FQ","BEST_FPERIOD_OVERRIDE=FQ","FILING_STATUS=MR","Sort=A","Dates=H","DateFormat=P","Fill=—","Direction=H","UseDPDF=Y")</f>
        <v>316.3732</v>
      </c>
      <c r="I26" s="14">
        <f>_xll.BDH("AMGN US Equity","LT_DEBT_TO_TOT_EQY","FQ2 2020","FQ2 2020","Currency=USD","Period=FQ","BEST_FPERIOD_OVERRIDE=FQ","FILING_STATUS=MR","Sort=A","Dates=H","DateFormat=P","Fill=—","Direction=H","UseDPDF=Y")</f>
        <v>320.22699999999998</v>
      </c>
      <c r="J26" s="14">
        <f>_xll.BDH("AMGN US Equity","LT_DEBT_TO_TOT_EQY","FQ3 2020","FQ3 2020","Currency=USD","Period=FQ","BEST_FPERIOD_OVERRIDE=FQ","FILING_STATUS=MR","Sort=A","Dates=H","DateFormat=P","Fill=—","Direction=H","UseDPDF=Y")</f>
        <v>312.03579999999999</v>
      </c>
      <c r="K26" s="14">
        <f>_xll.BDH("AMGN US Equity","LT_DEBT_TO_TOT_EQY","FQ4 2020","FQ4 2020","Currency=USD","Period=FQ","BEST_FPERIOD_OVERRIDE=FQ","FILING_STATUS=MR","Sort=A","Dates=H","DateFormat=P","Fill=—","Direction=H","UseDPDF=Y")</f>
        <v>352.86430000000001</v>
      </c>
      <c r="L26" s="14">
        <f>_xll.BDH("AMGN US Equity","LT_DEBT_TO_TOT_EQY","FQ1 2021","FQ1 2021","Currency=USD","Period=FQ","BEST_FPERIOD_OVERRIDE=FQ","FILING_STATUS=MR","Sort=A","Dates=H","DateFormat=P","Fill=—","Direction=H","UseDPDF=Y")</f>
        <v>333.50119999999998</v>
      </c>
      <c r="M26" s="14">
        <f>_xll.BDH("AMGN US Equity","LT_DEBT_TO_TOT_EQY","FQ2 2021","FQ2 2021","Currency=USD","Period=FQ","BEST_FPERIOD_OVERRIDE=FQ","FILING_STATUS=MR","Sort=A","Dates=H","DateFormat=P","Fill=—","Direction=H","UseDPDF=Y")</f>
        <v>345.07089999999999</v>
      </c>
      <c r="N26" s="14">
        <f>_xll.BDH("AMGN US Equity","LT_DEBT_TO_TOT_EQY","FQ3 2021","FQ3 2021","Currency=USD","Period=FQ","BEST_FPERIOD_OVERRIDE=FQ","FILING_STATUS=MR","Sort=A","Dates=H","DateFormat=P","Fill=—","Direction=H","UseDPDF=Y")</f>
        <v>405.14789999999999</v>
      </c>
      <c r="O26" s="14">
        <f>_xll.BDH("AMGN US Equity","LT_DEBT_TO_TOT_EQY","FQ4 2021","FQ4 2021","Currency=USD","Period=FQ","BEST_FPERIOD_OVERRIDE=FQ","FILING_STATUS=MR","Sort=A","Dates=H","DateFormat=P","Fill=—","Direction=H","UseDPDF=Y")</f>
        <v>503.6866</v>
      </c>
      <c r="P26" s="14">
        <f>_xll.BDH("AMGN US Equity","LT_DEBT_TO_TOT_EQY","FQ1 2022","FQ1 2022","Currency=USD","Period=FQ","BEST_FPERIOD_OVERRIDE=FQ","FILING_STATUS=MR","Sort=A","Dates=H","DateFormat=P","Fill=—","Direction=H","UseDPDF=Y")</f>
        <v>3931.2226999999998</v>
      </c>
      <c r="Q26" s="14">
        <f>_xll.BDH("AMGN US Equity","LT_DEBT_TO_TOT_EQY","FQ2 2022","FQ2 2022","Currency=USD","Period=FQ","BEST_FPERIOD_OVERRIDE=FQ","FILING_STATUS=MR","Sort=A","Dates=H","DateFormat=P","Fill=—","Direction=H","UseDPDF=Y")</f>
        <v>1476.0232000000001</v>
      </c>
      <c r="R26" s="14">
        <f>_xll.BDH("AMGN US Equity","LT_DEBT_TO_TOT_EQY","FQ3 2022","FQ3 2022","Currency=USD","Period=FQ","BEST_FPERIOD_OVERRIDE=FQ","FILING_STATUS=MR","Sort=A","Dates=H","DateFormat=P","Fill=—","Direction=H","UseDPDF=Y")</f>
        <v>1017.2735</v>
      </c>
      <c r="S26" s="14">
        <f>_xll.BDH("AMGN US Equity","LT_DEBT_TO_TOT_EQY","FQ4 2022","FQ4 2022","Currency=USD","Period=FQ","BEST_FPERIOD_OVERRIDE=FQ","FILING_STATUS=MR","Sort=A","Dates=H","DateFormat=P","Fill=—","Direction=H","UseDPDF=Y")</f>
        <v>1035.0451</v>
      </c>
      <c r="T26" s="14">
        <f>_xll.BDH("AMGN US Equity","LT_DEBT_TO_TOT_EQY","FQ1 2023","FQ1 2023","Currency=USD","Period=FQ","BEST_FPERIOD_OVERRIDE=FQ","FILING_STATUS=MR","Sort=A","Dates=H","DateFormat=P","Fill=—","Direction=H","UseDPDF=Y")</f>
        <v>1136.1443999999999</v>
      </c>
      <c r="U26" s="14">
        <f>_xll.BDH("AMGN US Equity","LT_DEBT_TO_TOT_EQY","FQ2 2023","FQ2 2023","Currency=USD","Period=FQ","BEST_FPERIOD_OVERRIDE=FQ","FILING_STATUS=MR","Sort=A","Dates=H","DateFormat=P","Fill=—","Direction=H","UseDPDF=Y")</f>
        <v>875.63779999999997</v>
      </c>
      <c r="V26" s="14">
        <f>_xll.BDH("AMGN US Equity","LT_DEBT_TO_TOT_EQY","FQ3 2023","FQ3 2023","Currency=USD","Period=FQ","BEST_FPERIOD_OVERRIDE=FQ","FILING_STATUS=MR","Sort=A","Dates=H","DateFormat=P","Fill=—","Direction=H","UseDPDF=Y")</f>
        <v>771.15989999999999</v>
      </c>
      <c r="W26" s="14">
        <f>_xll.BDH("AMGN US Equity","LT_DEBT_TO_TOT_EQY","FQ4 2023","FQ4 2023","Currency=USD","Period=FQ","BEST_FPERIOD_OVERRIDE=FQ","FILING_STATUS=MR","Sort=A","Dates=H","DateFormat=P","Fill=—","Direction=H","UseDPDF=Y")</f>
        <v>1024.7272</v>
      </c>
      <c r="X26" s="14">
        <f>_xll.BDH("AMGN US Equity","LT_DEBT_TO_TOT_EQY","FQ1 2024","FQ1 2024","Currency=USD","Period=FQ","BEST_FPERIOD_OVERRIDE=FQ","FILING_STATUS=MR","Sort=A","Dates=H","DateFormat=P","Fill=—","Direction=H","UseDPDF=Y")</f>
        <v>1195.9577999999999</v>
      </c>
      <c r="Y26" s="14">
        <f>_xll.BDH("AMGN US Equity","LT_DEBT_TO_TOT_EQY","FQ2 2024","FQ2 2024","Currency=USD","Period=FQ","BEST_FPERIOD_OVERRIDE=FQ","FILING_STATUS=MR","Sort=A","Dates=H","DateFormat=P","Fill=—","Direction=H","UseDPDF=Y")</f>
        <v>964</v>
      </c>
      <c r="Z26" s="14">
        <f>_xll.BDH("AMGN US Equity","LT_DEBT_TO_TOT_EQY","FQ3 2024","FQ3 2024","Currency=USD","Period=FQ","BEST_FPERIOD_OVERRIDE=FQ","FILING_STATUS=MR","Sort=A","Dates=H","DateFormat=P","Fill=—","Direction=H","UseDPDF=Y")</f>
        <v>755.33410000000003</v>
      </c>
      <c r="AA26" s="14">
        <f>_xll.BDH("AMGN US Equity","LT_DEBT_TO_TOT_EQY","FQ4 2024","FQ4 2024","Currency=USD","Period=FQ","BEST_FPERIOD_OVERRIDE=FQ","FILING_STATUS=MR","Sort=A","Dates=H","DateFormat=P","Fill=—","Direction=H","UseDPDF=Y")</f>
        <v>973.66</v>
      </c>
    </row>
    <row r="27" spans="1:27" x14ac:dyDescent="0.25">
      <c r="A27" s="10" t="s">
        <v>1585</v>
      </c>
      <c r="B27" s="10" t="s">
        <v>1586</v>
      </c>
      <c r="C27" s="14">
        <f>_xll.BDH("AMGN US Equity","LT_DEBT_TO_TOT_CAP","FQ4 2018","FQ4 2018","Currency=USD","Period=FQ","BEST_FPERIOD_OVERRIDE=FQ","FILING_STATUS=MR","Sort=A","Dates=H","DateFormat=P","Fill=—","Direction=H","UseDPDF=Y")</f>
        <v>63.559399999999997</v>
      </c>
      <c r="D27" s="14">
        <f>_xll.BDH("AMGN US Equity","LT_DEBT_TO_TOT_CAP","FQ1 2019","FQ1 2019","Currency=USD","Period=FQ","BEST_FPERIOD_OVERRIDE=FQ","FILING_STATUS=MR","Sort=A","Dates=H","DateFormat=P","Fill=—","Direction=H","UseDPDF=Y")</f>
        <v>66.947100000000006</v>
      </c>
      <c r="E27" s="14">
        <f>_xll.BDH("AMGN US Equity","LT_DEBT_TO_TOT_CAP","FQ2 2019","FQ2 2019","Currency=USD","Period=FQ","BEST_FPERIOD_OVERRIDE=FQ","FILING_STATUS=MR","Sort=A","Dates=H","DateFormat=P","Fill=—","Direction=H","UseDPDF=Y")</f>
        <v>67.201999999999998</v>
      </c>
      <c r="F27" s="14">
        <f>_xll.BDH("AMGN US Equity","LT_DEBT_TO_TOT_CAP","FQ3 2019","FQ3 2019","Currency=USD","Period=FQ","BEST_FPERIOD_OVERRIDE=FQ","FILING_STATUS=MR","Sort=A","Dates=H","DateFormat=P","Fill=—","Direction=H","UseDPDF=Y")</f>
        <v>68.180300000000003</v>
      </c>
      <c r="G27" s="14">
        <f>_xll.BDH("AMGN US Equity","LT_DEBT_TO_TOT_CAP","FQ4 2019","FQ4 2019","Currency=USD","Period=FQ","BEST_FPERIOD_OVERRIDE=FQ","FILING_STATUS=MR","Sort=A","Dates=H","DateFormat=P","Fill=—","Direction=H","UseDPDF=Y")</f>
        <v>68.1678</v>
      </c>
      <c r="H27" s="14">
        <f>_xll.BDH("AMGN US Equity","LT_DEBT_TO_TOT_CAP","FQ1 2020","FQ1 2020","Currency=USD","Period=FQ","BEST_FPERIOD_OVERRIDE=FQ","FILING_STATUS=MR","Sort=A","Dates=H","DateFormat=P","Fill=—","Direction=H","UseDPDF=Y")</f>
        <v>72.6006</v>
      </c>
      <c r="I27" s="14">
        <f>_xll.BDH("AMGN US Equity","LT_DEBT_TO_TOT_CAP","FQ2 2020","FQ2 2020","Currency=USD","Period=FQ","BEST_FPERIOD_OVERRIDE=FQ","FILING_STATUS=MR","Sort=A","Dates=H","DateFormat=P","Fill=—","Direction=H","UseDPDF=Y")</f>
        <v>76.0488</v>
      </c>
      <c r="J27" s="14">
        <f>_xll.BDH("AMGN US Equity","LT_DEBT_TO_TOT_CAP","FQ3 2020","FQ3 2020","Currency=USD","Period=FQ","BEST_FPERIOD_OVERRIDE=FQ","FILING_STATUS=MR","Sort=A","Dates=H","DateFormat=P","Fill=—","Direction=H","UseDPDF=Y")</f>
        <v>75.578000000000003</v>
      </c>
      <c r="K27" s="14">
        <f>_xll.BDH("AMGN US Equity","LT_DEBT_TO_TOT_CAP","FQ4 2020","FQ4 2020","Currency=USD","Period=FQ","BEST_FPERIOD_OVERRIDE=FQ","FILING_STATUS=MR","Sort=A","Dates=H","DateFormat=P","Fill=—","Direction=H","UseDPDF=Y")</f>
        <v>77.474699999999999</v>
      </c>
      <c r="L27" s="14">
        <f>_xll.BDH("AMGN US Equity","LT_DEBT_TO_TOT_CAP","FQ1 2021","FQ1 2021","Currency=USD","Period=FQ","BEST_FPERIOD_OVERRIDE=FQ","FILING_STATUS=MR","Sort=A","Dates=H","DateFormat=P","Fill=—","Direction=H","UseDPDF=Y")</f>
        <v>74.083200000000005</v>
      </c>
      <c r="M27" s="14">
        <f>_xll.BDH("AMGN US Equity","LT_DEBT_TO_TOT_CAP","FQ2 2021","FQ2 2021","Currency=USD","Period=FQ","BEST_FPERIOD_OVERRIDE=FQ","FILING_STATUS=MR","Sort=A","Dates=H","DateFormat=P","Fill=—","Direction=H","UseDPDF=Y")</f>
        <v>69.360699999999994</v>
      </c>
      <c r="N27" s="14">
        <f>_xll.BDH("AMGN US Equity","LT_DEBT_TO_TOT_CAP","FQ3 2021","FQ3 2021","Currency=USD","Period=FQ","BEST_FPERIOD_OVERRIDE=FQ","FILING_STATUS=MR","Sort=A","Dates=H","DateFormat=P","Fill=—","Direction=H","UseDPDF=Y")</f>
        <v>72.694100000000006</v>
      </c>
      <c r="O27" s="14">
        <f>_xll.BDH("AMGN US Equity","LT_DEBT_TO_TOT_CAP","FQ4 2021","FQ4 2021","Currency=USD","Period=FQ","BEST_FPERIOD_OVERRIDE=FQ","FILING_STATUS=MR","Sort=A","Dates=H","DateFormat=P","Fill=—","Direction=H","UseDPDF=Y")</f>
        <v>82.959299999999999</v>
      </c>
      <c r="P27" s="14">
        <f>_xll.BDH("AMGN US Equity","LT_DEBT_TO_TOT_CAP","FQ1 2022","FQ1 2022","Currency=USD","Period=FQ","BEST_FPERIOD_OVERRIDE=FQ","FILING_STATUS=MR","Sort=A","Dates=H","DateFormat=P","Fill=—","Direction=H","UseDPDF=Y")</f>
        <v>95.340199999999996</v>
      </c>
      <c r="Q27" s="14">
        <f>_xll.BDH("AMGN US Equity","LT_DEBT_TO_TOT_CAP","FQ2 2022","FQ2 2022","Currency=USD","Period=FQ","BEST_FPERIOD_OVERRIDE=FQ","FILING_STATUS=MR","Sort=A","Dates=H","DateFormat=P","Fill=—","Direction=H","UseDPDF=Y")</f>
        <v>91.69</v>
      </c>
      <c r="R27" s="14">
        <f>_xll.BDH("AMGN US Equity","LT_DEBT_TO_TOT_CAP","FQ3 2022","FQ3 2022","Currency=USD","Period=FQ","BEST_FPERIOD_OVERRIDE=FQ","FILING_STATUS=MR","Sort=A","Dates=H","DateFormat=P","Fill=—","Direction=H","UseDPDF=Y")</f>
        <v>87.732799999999997</v>
      </c>
      <c r="S27" s="14">
        <f>_xll.BDH("AMGN US Equity","LT_DEBT_TO_TOT_CAP","FQ4 2022","FQ4 2022","Currency=USD","Period=FQ","BEST_FPERIOD_OVERRIDE=FQ","FILING_STATUS=MR","Sort=A","Dates=H","DateFormat=P","Fill=—","Direction=H","UseDPDF=Y")</f>
        <v>87.5107</v>
      </c>
      <c r="T27" s="14">
        <f>_xll.BDH("AMGN US Equity","LT_DEBT_TO_TOT_CAP","FQ1 2023","FQ1 2023","Currency=USD","Period=FQ","BEST_FPERIOD_OVERRIDE=FQ","FILING_STATUS=MR","Sort=A","Dates=H","DateFormat=P","Fill=—","Direction=H","UseDPDF=Y")</f>
        <v>90.765299999999996</v>
      </c>
      <c r="U27" s="14">
        <f>_xll.BDH("AMGN US Equity","LT_DEBT_TO_TOT_CAP","FQ2 2023","FQ2 2023","Currency=USD","Period=FQ","BEST_FPERIOD_OVERRIDE=FQ","FILING_STATUS=MR","Sort=A","Dates=H","DateFormat=P","Fill=—","Direction=H","UseDPDF=Y")</f>
        <v>86.903800000000004</v>
      </c>
      <c r="V27" s="14">
        <f>_xll.BDH("AMGN US Equity","LT_DEBT_TO_TOT_CAP","FQ3 2023","FQ3 2023","Currency=USD","Period=FQ","BEST_FPERIOD_OVERRIDE=FQ","FILING_STATUS=MR","Sort=A","Dates=H","DateFormat=P","Fill=—","Direction=H","UseDPDF=Y")</f>
        <v>86.665499999999994</v>
      </c>
      <c r="W27" s="14">
        <f>_xll.BDH("AMGN US Equity","LT_DEBT_TO_TOT_CAP","FQ4 2023","FQ4 2023","Currency=USD","Period=FQ","BEST_FPERIOD_OVERRIDE=FQ","FILING_STATUS=MR","Sort=A","Dates=H","DateFormat=P","Fill=—","Direction=H","UseDPDF=Y")</f>
        <v>89.122900000000001</v>
      </c>
      <c r="X27" s="14">
        <f>_xll.BDH("AMGN US Equity","LT_DEBT_TO_TOT_CAP","FQ1 2024","FQ1 2024","Currency=USD","Period=FQ","BEST_FPERIOD_OVERRIDE=FQ","FILING_STATUS=MR","Sort=A","Dates=H","DateFormat=P","Fill=—","Direction=H","UseDPDF=Y")</f>
        <v>86.992000000000004</v>
      </c>
      <c r="Y27" s="14">
        <f>_xll.BDH("AMGN US Equity","LT_DEBT_TO_TOT_CAP","FQ2 2024","FQ2 2024","Currency=USD","Period=FQ","BEST_FPERIOD_OVERRIDE=FQ","FILING_STATUS=MR","Sort=A","Dates=H","DateFormat=P","Fill=—","Direction=H","UseDPDF=Y")</f>
        <v>83.297399999999996</v>
      </c>
      <c r="Z27" s="14">
        <f>_xll.BDH("AMGN US Equity","LT_DEBT_TO_TOT_CAP","FQ3 2024","FQ3 2024","Currency=USD","Period=FQ","BEST_FPERIOD_OVERRIDE=FQ","FILING_STATUS=MR","Sort=A","Dates=H","DateFormat=P","Fill=—","Direction=H","UseDPDF=Y")</f>
        <v>83.701099999999997</v>
      </c>
      <c r="AA27" s="14">
        <f>_xll.BDH("AMGN US Equity","LT_DEBT_TO_TOT_CAP","FQ4 2024","FQ4 2024","Currency=USD","Period=FQ","BEST_FPERIOD_OVERRIDE=FQ","FILING_STATUS=MR","Sort=A","Dates=H","DateFormat=P","Fill=—","Direction=H","UseDPDF=Y")</f>
        <v>85.718100000000007</v>
      </c>
    </row>
    <row r="28" spans="1:27" x14ac:dyDescent="0.25">
      <c r="A28" s="10" t="s">
        <v>1587</v>
      </c>
      <c r="B28" s="10" t="s">
        <v>1588</v>
      </c>
      <c r="C28" s="14">
        <f>_xll.BDH("AMGN US Equity","LT_DEBT_TO_TOT_ASSET","FQ4 2018","FQ4 2018","Currency=USD","Period=FQ","BEST_FPERIOD_OVERRIDE=FQ","FILING_STATUS=MR","Sort=A","Dates=H","DateFormat=P","Fill=—","Direction=H","UseDPDF=Y")</f>
        <v>44.432099999999998</v>
      </c>
      <c r="D28" s="14">
        <f>_xll.BDH("AMGN US Equity","LT_DEBT_TO_TOT_ASSET","FQ1 2019","FQ1 2019","Currency=USD","Period=FQ","BEST_FPERIOD_OVERRIDE=FQ","FILING_STATUS=MR","Sort=A","Dates=H","DateFormat=P","Fill=—","Direction=H","UseDPDF=Y")</f>
        <v>46.388100000000001</v>
      </c>
      <c r="E28" s="14">
        <f>_xll.BDH("AMGN US Equity","LT_DEBT_TO_TOT_ASSET","FQ2 2019","FQ2 2019","Currency=USD","Period=FQ","BEST_FPERIOD_OVERRIDE=FQ","FILING_STATUS=MR","Sort=A","Dates=H","DateFormat=P","Fill=—","Direction=H","UseDPDF=Y")</f>
        <v>47.430700000000002</v>
      </c>
      <c r="F28" s="14">
        <f>_xll.BDH("AMGN US Equity","LT_DEBT_TO_TOT_ASSET","FQ3 2019","FQ3 2019","Currency=USD","Period=FQ","BEST_FPERIOD_OVERRIDE=FQ","FILING_STATUS=MR","Sort=A","Dates=H","DateFormat=P","Fill=—","Direction=H","UseDPDF=Y")</f>
        <v>47.187399999999997</v>
      </c>
      <c r="G28" s="14">
        <f>_xll.BDH("AMGN US Equity","LT_DEBT_TO_TOT_ASSET","FQ4 2019","FQ4 2019","Currency=USD","Period=FQ","BEST_FPERIOD_OVERRIDE=FQ","FILING_STATUS=MR","Sort=A","Dates=H","DateFormat=P","Fill=—","Direction=H","UseDPDF=Y")</f>
        <v>45.786900000000003</v>
      </c>
      <c r="H28" s="14">
        <f>_xll.BDH("AMGN US Equity","LT_DEBT_TO_TOT_ASSET","FQ1 2020","FQ1 2020","Currency=USD","Period=FQ","BEST_FPERIOD_OVERRIDE=FQ","FILING_STATUS=MR","Sort=A","Dates=H","DateFormat=P","Fill=—","Direction=H","UseDPDF=Y")</f>
        <v>48.659799999999997</v>
      </c>
      <c r="I28" s="14">
        <f>_xll.BDH("AMGN US Equity","LT_DEBT_TO_TOT_ASSET","FQ2 2020","FQ2 2020","Currency=USD","Period=FQ","BEST_FPERIOD_OVERRIDE=FQ","FILING_STATUS=MR","Sort=A","Dates=H","DateFormat=P","Fill=—","Direction=H","UseDPDF=Y")</f>
        <v>52.503399999999999</v>
      </c>
      <c r="J28" s="14">
        <f>_xll.BDH("AMGN US Equity","LT_DEBT_TO_TOT_ASSET","FQ3 2020","FQ3 2020","Currency=USD","Period=FQ","BEST_FPERIOD_OVERRIDE=FQ","FILING_STATUS=MR","Sort=A","Dates=H","DateFormat=P","Fill=—","Direction=H","UseDPDF=Y")</f>
        <v>52.904699999999998</v>
      </c>
      <c r="K28" s="14">
        <f>_xll.BDH("AMGN US Equity","LT_DEBT_TO_TOT_ASSET","FQ4 2020","FQ4 2020","Currency=USD","Period=FQ","BEST_FPERIOD_OVERRIDE=FQ","FILING_STATUS=MR","Sort=A","Dates=H","DateFormat=P","Fill=—","Direction=H","UseDPDF=Y")</f>
        <v>52.743499999999997</v>
      </c>
      <c r="L28" s="14">
        <f>_xll.BDH("AMGN US Equity","LT_DEBT_TO_TOT_ASSET","FQ1 2021","FQ1 2021","Currency=USD","Period=FQ","BEST_FPERIOD_OVERRIDE=FQ","FILING_STATUS=MR","Sort=A","Dates=H","DateFormat=P","Fill=—","Direction=H","UseDPDF=Y")</f>
        <v>49.775300000000001</v>
      </c>
      <c r="M28" s="14">
        <f>_xll.BDH("AMGN US Equity","LT_DEBT_TO_TOT_ASSET","FQ2 2021","FQ2 2021","Currency=USD","Period=FQ","BEST_FPERIOD_OVERRIDE=FQ","FILING_STATUS=MR","Sort=A","Dates=H","DateFormat=P","Fill=—","Direction=H","UseDPDF=Y")</f>
        <v>47.610100000000003</v>
      </c>
      <c r="N28" s="14">
        <f>_xll.BDH("AMGN US Equity","LT_DEBT_TO_TOT_ASSET","FQ3 2021","FQ3 2021","Currency=USD","Period=FQ","BEST_FPERIOD_OVERRIDE=FQ","FILING_STATUS=MR","Sort=A","Dates=H","DateFormat=P","Fill=—","Direction=H","UseDPDF=Y")</f>
        <v>51.2224</v>
      </c>
      <c r="O28" s="14">
        <f>_xll.BDH("AMGN US Equity","LT_DEBT_TO_TOT_ASSET","FQ4 2021","FQ4 2021","Currency=USD","Period=FQ","BEST_FPERIOD_OVERRIDE=FQ","FILING_STATUS=MR","Sort=A","Dates=H","DateFormat=P","Fill=—","Direction=H","UseDPDF=Y")</f>
        <v>55.173699999999997</v>
      </c>
      <c r="P28" s="14">
        <f>_xll.BDH("AMGN US Equity","LT_DEBT_TO_TOT_ASSET","FQ1 2022","FQ1 2022","Currency=USD","Period=FQ","BEST_FPERIOD_OVERRIDE=FQ","FILING_STATUS=MR","Sort=A","Dates=H","DateFormat=P","Fill=—","Direction=H","UseDPDF=Y")</f>
        <v>60.831800000000001</v>
      </c>
      <c r="Q28" s="14">
        <f>_xll.BDH("AMGN US Equity","LT_DEBT_TO_TOT_ASSET","FQ2 2022","FQ2 2022","Currency=USD","Period=FQ","BEST_FPERIOD_OVERRIDE=FQ","FILING_STATUS=MR","Sort=A","Dates=H","DateFormat=P","Fill=—","Direction=H","UseDPDF=Y")</f>
        <v>60.216900000000003</v>
      </c>
      <c r="R28" s="14">
        <f>_xll.BDH("AMGN US Equity","LT_DEBT_TO_TOT_ASSET","FQ3 2022","FQ3 2022","Currency=USD","Period=FQ","BEST_FPERIOD_OVERRIDE=FQ","FILING_STATUS=MR","Sort=A","Dates=H","DateFormat=P","Fill=—","Direction=H","UseDPDF=Y")</f>
        <v>58.337499999999999</v>
      </c>
      <c r="S28" s="14">
        <f>_xll.BDH("AMGN US Equity","LT_DEBT_TO_TOT_ASSET","FQ4 2022","FQ4 2022","Currency=USD","Period=FQ","BEST_FPERIOD_OVERRIDE=FQ","FILING_STATUS=MR","Sort=A","Dates=H","DateFormat=P","Fill=—","Direction=H","UseDPDF=Y")</f>
        <v>58.188600000000001</v>
      </c>
      <c r="T28" s="14">
        <f>_xll.BDH("AMGN US Equity","LT_DEBT_TO_TOT_ASSET","FQ1 2023","FQ1 2023","Currency=USD","Period=FQ","BEST_FPERIOD_OVERRIDE=FQ","FILING_STATUS=MR","Sort=A","Dates=H","DateFormat=P","Fill=—","Direction=H","UseDPDF=Y")</f>
        <v>68.486199999999997</v>
      </c>
      <c r="U28" s="14">
        <f>_xll.BDH("AMGN US Equity","LT_DEBT_TO_TOT_ASSET","FQ2 2023","FQ2 2023","Currency=USD","Period=FQ","BEST_FPERIOD_OVERRIDE=FQ","FILING_STATUS=MR","Sort=A","Dates=H","DateFormat=P","Fill=—","Direction=H","UseDPDF=Y")</f>
        <v>65.777799999999999</v>
      </c>
      <c r="V28" s="14">
        <f>_xll.BDH("AMGN US Equity","LT_DEBT_TO_TOT_ASSET","FQ3 2023","FQ3 2023","Currency=USD","Period=FQ","BEST_FPERIOD_OVERRIDE=FQ","FILING_STATUS=MR","Sort=A","Dates=H","DateFormat=P","Fill=—","Direction=H","UseDPDF=Y")</f>
        <v>65.213099999999997</v>
      </c>
      <c r="W28" s="14">
        <f>_xll.BDH("AMGN US Equity","LT_DEBT_TO_TOT_ASSET","FQ4 2023","FQ4 2023","Currency=USD","Period=FQ","BEST_FPERIOD_OVERRIDE=FQ","FILING_STATUS=MR","Sort=A","Dates=H","DateFormat=P","Fill=—","Direction=H","UseDPDF=Y")</f>
        <v>65.731700000000004</v>
      </c>
      <c r="X28" s="14">
        <f>_xll.BDH("AMGN US Equity","LT_DEBT_TO_TOT_ASSET","FQ1 2024","FQ1 2024","Currency=USD","Period=FQ","BEST_FPERIOD_OVERRIDE=FQ","FILING_STATUS=MR","Sort=A","Dates=H","DateFormat=P","Fill=—","Direction=H","UseDPDF=Y")</f>
        <v>64.595600000000005</v>
      </c>
      <c r="Y28" s="14">
        <f>_xll.BDH("AMGN US Equity","LT_DEBT_TO_TOT_ASSET","FQ2 2024","FQ2 2024","Currency=USD","Period=FQ","BEST_FPERIOD_OVERRIDE=FQ","FILING_STATUS=MR","Sort=A","Dates=H","DateFormat=P","Fill=—","Direction=H","UseDPDF=Y")</f>
        <v>62.830100000000002</v>
      </c>
      <c r="Z28" s="14">
        <f>_xll.BDH("AMGN US Equity","LT_DEBT_TO_TOT_ASSET","FQ3 2024","FQ3 2024","Currency=USD","Period=FQ","BEST_FPERIOD_OVERRIDE=FQ","FILING_STATUS=MR","Sort=A","Dates=H","DateFormat=P","Fill=—","Direction=H","UseDPDF=Y")</f>
        <v>62.557400000000001</v>
      </c>
      <c r="AA28" s="14">
        <f>_xll.BDH("AMGN US Equity","LT_DEBT_TO_TOT_ASSET","FQ4 2024","FQ4 2024","Currency=USD","Period=FQ","BEST_FPERIOD_OVERRIDE=FQ","FILING_STATUS=MR","Sort=A","Dates=H","DateFormat=P","Fill=—","Direction=H","UseDPDF=Y")</f>
        <v>62.306899999999999</v>
      </c>
    </row>
    <row r="29" spans="1:27" x14ac:dyDescent="0.25">
      <c r="A29" s="10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5">
      <c r="A30" s="10" t="s">
        <v>1589</v>
      </c>
      <c r="B30" s="10" t="s">
        <v>1590</v>
      </c>
      <c r="C30" s="14">
        <f>_xll.BDH("AMGN US Equity","TOT_DEBT_TO_TOT_EQY","FQ4 2018","FQ4 2018","Currency=USD","Period=FQ","BEST_FPERIOD_OVERRIDE=FQ","FILING_STATUS=MR","Sort=A","Dates=H","DateFormat=P","Fill=—","Direction=H","UseDPDF=Y")</f>
        <v>271.43200000000002</v>
      </c>
      <c r="D30" s="14">
        <f>_xll.BDH("AMGN US Equity","TOT_DEBT_TO_TOT_EQY","FQ1 2019","FQ1 2019","Currency=USD","Period=FQ","BEST_FPERIOD_OVERRIDE=FQ","FILING_STATUS=MR","Sort=A","Dates=H","DateFormat=P","Fill=—","Direction=H","UseDPDF=Y")</f>
        <v>309.37959999999998</v>
      </c>
      <c r="E30" s="14">
        <f>_xll.BDH("AMGN US Equity","TOT_DEBT_TO_TOT_EQY","FQ2 2019","FQ2 2019","Currency=USD","Period=FQ","BEST_FPERIOD_OVERRIDE=FQ","FILING_STATUS=MR","Sort=A","Dates=H","DateFormat=P","Fill=—","Direction=H","UseDPDF=Y")</f>
        <v>288.22489999999999</v>
      </c>
      <c r="F30" s="14">
        <f>_xll.BDH("AMGN US Equity","TOT_DEBT_TO_TOT_EQY","FQ3 2019","FQ3 2019","Currency=USD","Period=FQ","BEST_FPERIOD_OVERRIDE=FQ","FILING_STATUS=MR","Sort=A","Dates=H","DateFormat=P","Fill=—","Direction=H","UseDPDF=Y")</f>
        <v>277.08429999999998</v>
      </c>
      <c r="G30" s="14">
        <f>_xll.BDH("AMGN US Equity","TOT_DEBT_TO_TOT_EQY","FQ4 2019","FQ4 2019","Currency=USD","Period=FQ","BEST_FPERIOD_OVERRIDE=FQ","FILING_STATUS=MR","Sort=A","Dates=H","DateFormat=P","Fill=—","Direction=H","UseDPDF=Y")</f>
        <v>314.59730000000002</v>
      </c>
      <c r="H30" s="14">
        <f>_xll.BDH("AMGN US Equity","TOT_DEBT_TO_TOT_EQY","FQ1 2020","FQ1 2020","Currency=USD","Period=FQ","BEST_FPERIOD_OVERRIDE=FQ","FILING_STATUS=MR","Sort=A","Dates=H","DateFormat=P","Fill=—","Direction=H","UseDPDF=Y")</f>
        <v>335.77229999999997</v>
      </c>
      <c r="I30" s="14">
        <f>_xll.BDH("AMGN US Equity","TOT_DEBT_TO_TOT_EQY","FQ2 2020","FQ2 2020","Currency=USD","Period=FQ","BEST_FPERIOD_OVERRIDE=FQ","FILING_STATUS=MR","Sort=A","Dates=H","DateFormat=P","Fill=—","Direction=H","UseDPDF=Y")</f>
        <v>321.08080000000001</v>
      </c>
      <c r="J30" s="14">
        <f>_xll.BDH("AMGN US Equity","TOT_DEBT_TO_TOT_EQY","FQ3 2020","FQ3 2020","Currency=USD","Period=FQ","BEST_FPERIOD_OVERRIDE=FQ","FILING_STATUS=MR","Sort=A","Dates=H","DateFormat=P","Fill=—","Direction=H","UseDPDF=Y")</f>
        <v>312.86610000000002</v>
      </c>
      <c r="K30" s="14">
        <f>_xll.BDH("AMGN US Equity","TOT_DEBT_TO_TOT_EQY","FQ4 2020","FQ4 2020","Currency=USD","Period=FQ","BEST_FPERIOD_OVERRIDE=FQ","FILING_STATUS=MR","Sort=A","Dates=H","DateFormat=P","Fill=—","Direction=H","UseDPDF=Y")</f>
        <v>355.45749999999998</v>
      </c>
      <c r="L30" s="14">
        <f>_xll.BDH("AMGN US Equity","TOT_DEBT_TO_TOT_EQY","FQ1 2021","FQ1 2021","Currency=USD","Period=FQ","BEST_FPERIOD_OVERRIDE=FQ","FILING_STATUS=MR","Sort=A","Dates=H","DateFormat=P","Fill=—","Direction=H","UseDPDF=Y")</f>
        <v>350.17140000000001</v>
      </c>
      <c r="M30" s="14">
        <f>_xll.BDH("AMGN US Equity","TOT_DEBT_TO_TOT_EQY","FQ2 2021","FQ2 2021","Currency=USD","Period=FQ","BEST_FPERIOD_OVERRIDE=FQ","FILING_STATUS=MR","Sort=A","Dates=H","DateFormat=P","Fill=—","Direction=H","UseDPDF=Y")</f>
        <v>397.50209999999998</v>
      </c>
      <c r="N30" s="14">
        <f>_xll.BDH("AMGN US Equity","TOT_DEBT_TO_TOT_EQY","FQ3 2021","FQ3 2021","Currency=USD","Period=FQ","BEST_FPERIOD_OVERRIDE=FQ","FILING_STATUS=MR","Sort=A","Dates=H","DateFormat=P","Fill=—","Direction=H","UseDPDF=Y")</f>
        <v>457.33240000000001</v>
      </c>
      <c r="O30" s="14">
        <f>_xll.BDH("AMGN US Equity","TOT_DEBT_TO_TOT_EQY","FQ4 2021","FQ4 2021","Currency=USD","Period=FQ","BEST_FPERIOD_OVERRIDE=FQ","FILING_STATUS=MR","Sort=A","Dates=H","DateFormat=P","Fill=—","Direction=H","UseDPDF=Y")</f>
        <v>507.14929999999998</v>
      </c>
      <c r="P30" s="14">
        <f>_xll.BDH("AMGN US Equity","TOT_DEBT_TO_TOT_EQY","FQ1 2022","FQ1 2022","Currency=USD","Period=FQ","BEST_FPERIOD_OVERRIDE=FQ","FILING_STATUS=MR","Sort=A","Dates=H","DateFormat=P","Fill=—","Direction=H","UseDPDF=Y")</f>
        <v>4023.3624</v>
      </c>
      <c r="Q30" s="14">
        <f>_xll.BDH("AMGN US Equity","TOT_DEBT_TO_TOT_EQY","FQ2 2022","FQ2 2022","Currency=USD","Period=FQ","BEST_FPERIOD_OVERRIDE=FQ","FILING_STATUS=MR","Sort=A","Dates=H","DateFormat=P","Fill=—","Direction=H","UseDPDF=Y")</f>
        <v>1509.7973999999999</v>
      </c>
      <c r="R30" s="14">
        <f>_xll.BDH("AMGN US Equity","TOT_DEBT_TO_TOT_EQY","FQ3 2022","FQ3 2022","Currency=USD","Period=FQ","BEST_FPERIOD_OVERRIDE=FQ","FILING_STATUS=MR","Sort=A","Dates=H","DateFormat=P","Fill=—","Direction=H","UseDPDF=Y")</f>
        <v>1059.5127</v>
      </c>
      <c r="S30" s="14">
        <f>_xll.BDH("AMGN US Equity","TOT_DEBT_TO_TOT_EQY","FQ4 2022","FQ4 2022","Currency=USD","Period=FQ","BEST_FPERIOD_OVERRIDE=FQ","FILING_STATUS=MR","Sort=A","Dates=H","DateFormat=P","Fill=—","Direction=H","UseDPDF=Y")</f>
        <v>1082.7643</v>
      </c>
      <c r="T30" s="14">
        <f>_xll.BDH("AMGN US Equity","TOT_DEBT_TO_TOT_EQY","FQ1 2023","FQ1 2023","Currency=USD","Period=FQ","BEST_FPERIOD_OVERRIDE=FQ","FILING_STATUS=MR","Sort=A","Dates=H","DateFormat=P","Fill=—","Direction=H","UseDPDF=Y")</f>
        <v>1151.739</v>
      </c>
      <c r="U30" s="14">
        <f>_xll.BDH("AMGN US Equity","TOT_DEBT_TO_TOT_EQY","FQ2 2023","FQ2 2023","Currency=USD","Period=FQ","BEST_FPERIOD_OVERRIDE=FQ","FILING_STATUS=MR","Sort=A","Dates=H","DateFormat=P","Fill=—","Direction=H","UseDPDF=Y")</f>
        <v>907.59479999999996</v>
      </c>
      <c r="V30" s="14">
        <f>_xll.BDH("AMGN US Equity","TOT_DEBT_TO_TOT_EQY","FQ3 2023","FQ3 2023","Currency=USD","Period=FQ","BEST_FPERIOD_OVERRIDE=FQ","FILING_STATUS=MR","Sort=A","Dates=H","DateFormat=P","Fill=—","Direction=H","UseDPDF=Y")</f>
        <v>789.81190000000004</v>
      </c>
      <c r="W30" s="14">
        <f>_xll.BDH("AMGN US Equity","TOT_DEBT_TO_TOT_EQY","FQ4 2023","FQ4 2023","Currency=USD","Period=FQ","BEST_FPERIOD_OVERRIDE=FQ","FILING_STATUS=MR","Sort=A","Dates=H","DateFormat=P","Fill=—","Direction=H","UseDPDF=Y")</f>
        <v>1049.7914000000001</v>
      </c>
      <c r="X30" s="14">
        <f>_xll.BDH("AMGN US Equity","TOT_DEBT_TO_TOT_EQY","FQ1 2024","FQ1 2024","Currency=USD","Period=FQ","BEST_FPERIOD_OVERRIDE=FQ","FILING_STATUS=MR","Sort=A","Dates=H","DateFormat=P","Fill=—","Direction=H","UseDPDF=Y")</f>
        <v>1274.7909</v>
      </c>
      <c r="Y30" s="14">
        <f>_xll.BDH("AMGN US Equity","TOT_DEBT_TO_TOT_EQY","FQ2 2024","FQ2 2024","Currency=USD","Period=FQ","BEST_FPERIOD_OVERRIDE=FQ","FILING_STATUS=MR","Sort=A","Dates=H","DateFormat=P","Fill=—","Direction=H","UseDPDF=Y")</f>
        <v>1057.2996000000001</v>
      </c>
      <c r="Z30" s="14">
        <f>_xll.BDH("AMGN US Equity","TOT_DEBT_TO_TOT_EQY","FQ3 2024","FQ3 2024","Currency=USD","Period=FQ","BEST_FPERIOD_OVERRIDE=FQ","FILING_STATUS=MR","Sort=A","Dates=H","DateFormat=P","Fill=—","Direction=H","UseDPDF=Y")</f>
        <v>802.41800000000001</v>
      </c>
      <c r="AA30" s="14">
        <f>_xll.BDH("AMGN US Equity","TOT_DEBT_TO_TOT_EQY","FQ4 2024","FQ4 2024","Currency=USD","Period=FQ","BEST_FPERIOD_OVERRIDE=FQ","FILING_STATUS=MR","Sort=A","Dates=H","DateFormat=P","Fill=—","Direction=H","UseDPDF=Y")</f>
        <v>1035.8857</v>
      </c>
    </row>
    <row r="31" spans="1:27" x14ac:dyDescent="0.25">
      <c r="A31" s="10" t="s">
        <v>1591</v>
      </c>
      <c r="B31" s="10" t="s">
        <v>175</v>
      </c>
      <c r="C31" s="14">
        <f>_xll.BDH("AMGN US Equity","TOT_DEBT_TO_TOT_CAP","FQ4 2018","FQ4 2018","Currency=USD","Period=FQ","BEST_FPERIOD_OVERRIDE=FQ","FILING_STATUS=MR","Sort=A","Dates=H","DateFormat=P","Fill=—","Direction=H","UseDPDF=Y")</f>
        <v>73.077200000000005</v>
      </c>
      <c r="D31" s="14">
        <f>_xll.BDH("AMGN US Equity","TOT_DEBT_TO_TOT_CAP","FQ1 2019","FQ1 2019","Currency=USD","Period=FQ","BEST_FPERIOD_OVERRIDE=FQ","FILING_STATUS=MR","Sort=A","Dates=H","DateFormat=P","Fill=—","Direction=H","UseDPDF=Y")</f>
        <v>75.572800000000001</v>
      </c>
      <c r="E31" s="14">
        <f>_xll.BDH("AMGN US Equity","TOT_DEBT_TO_TOT_CAP","FQ2 2019","FQ2 2019","Currency=USD","Period=FQ","BEST_FPERIOD_OVERRIDE=FQ","FILING_STATUS=MR","Sort=A","Dates=H","DateFormat=P","Fill=—","Direction=H","UseDPDF=Y")</f>
        <v>74.241699999999994</v>
      </c>
      <c r="F31" s="14">
        <f>_xll.BDH("AMGN US Equity","TOT_DEBT_TO_TOT_CAP","FQ3 2019","FQ3 2019","Currency=USD","Period=FQ","BEST_FPERIOD_OVERRIDE=FQ","FILING_STATUS=MR","Sort=A","Dates=H","DateFormat=P","Fill=—","Direction=H","UseDPDF=Y")</f>
        <v>73.480699999999999</v>
      </c>
      <c r="G31" s="14">
        <f>_xll.BDH("AMGN US Equity","TOT_DEBT_TO_TOT_CAP","FQ4 2019","FQ4 2019","Currency=USD","Period=FQ","BEST_FPERIOD_OVERRIDE=FQ","FILING_STATUS=MR","Sort=A","Dates=H","DateFormat=P","Fill=—","Direction=H","UseDPDF=Y")</f>
        <v>75.880200000000002</v>
      </c>
      <c r="H31" s="14">
        <f>_xll.BDH("AMGN US Equity","TOT_DEBT_TO_TOT_CAP","FQ1 2020","FQ1 2020","Currency=USD","Period=FQ","BEST_FPERIOD_OVERRIDE=FQ","FILING_STATUS=MR","Sort=A","Dates=H","DateFormat=P","Fill=—","Direction=H","UseDPDF=Y")</f>
        <v>77.052199999999999</v>
      </c>
      <c r="I31" s="14">
        <f>_xll.BDH("AMGN US Equity","TOT_DEBT_TO_TOT_CAP","FQ2 2020","FQ2 2020","Currency=USD","Period=FQ","BEST_FPERIOD_OVERRIDE=FQ","FILING_STATUS=MR","Sort=A","Dates=H","DateFormat=P","Fill=—","Direction=H","UseDPDF=Y")</f>
        <v>76.251599999999996</v>
      </c>
      <c r="J31" s="14">
        <f>_xll.BDH("AMGN US Equity","TOT_DEBT_TO_TOT_CAP","FQ3 2020","FQ3 2020","Currency=USD","Period=FQ","BEST_FPERIOD_OVERRIDE=FQ","FILING_STATUS=MR","Sort=A","Dates=H","DateFormat=P","Fill=—","Direction=H","UseDPDF=Y")</f>
        <v>75.7791</v>
      </c>
      <c r="K31" s="14">
        <f>_xll.BDH("AMGN US Equity","TOT_DEBT_TO_TOT_CAP","FQ4 2020","FQ4 2020","Currency=USD","Period=FQ","BEST_FPERIOD_OVERRIDE=FQ","FILING_STATUS=MR","Sort=A","Dates=H","DateFormat=P","Fill=—","Direction=H","UseDPDF=Y")</f>
        <v>78.0441</v>
      </c>
      <c r="L31" s="14">
        <f>_xll.BDH("AMGN US Equity","TOT_DEBT_TO_TOT_CAP","FQ1 2021","FQ1 2021","Currency=USD","Period=FQ","BEST_FPERIOD_OVERRIDE=FQ","FILING_STATUS=MR","Sort=A","Dates=H","DateFormat=P","Fill=—","Direction=H","UseDPDF=Y")</f>
        <v>77.786199999999994</v>
      </c>
      <c r="M31" s="14">
        <f>_xll.BDH("AMGN US Equity","TOT_DEBT_TO_TOT_CAP","FQ2 2021","FQ2 2021","Currency=USD","Period=FQ","BEST_FPERIOD_OVERRIDE=FQ","FILING_STATUS=MR","Sort=A","Dates=H","DateFormat=P","Fill=—","Direction=H","UseDPDF=Y")</f>
        <v>79.899600000000007</v>
      </c>
      <c r="N31" s="14">
        <f>_xll.BDH("AMGN US Equity","TOT_DEBT_TO_TOT_CAP","FQ3 2021","FQ3 2021","Currency=USD","Period=FQ","BEST_FPERIOD_OVERRIDE=FQ","FILING_STATUS=MR","Sort=A","Dates=H","DateFormat=P","Fill=—","Direction=H","UseDPDF=Y")</f>
        <v>82.057400000000001</v>
      </c>
      <c r="O31" s="14">
        <f>_xll.BDH("AMGN US Equity","TOT_DEBT_TO_TOT_CAP","FQ4 2021","FQ4 2021","Currency=USD","Period=FQ","BEST_FPERIOD_OVERRIDE=FQ","FILING_STATUS=MR","Sort=A","Dates=H","DateFormat=P","Fill=—","Direction=H","UseDPDF=Y")</f>
        <v>83.529600000000002</v>
      </c>
      <c r="P31" s="14">
        <f>_xll.BDH("AMGN US Equity","TOT_DEBT_TO_TOT_CAP","FQ1 2022","FQ1 2022","Currency=USD","Period=FQ","BEST_FPERIOD_OVERRIDE=FQ","FILING_STATUS=MR","Sort=A","Dates=H","DateFormat=P","Fill=—","Direction=H","UseDPDF=Y")</f>
        <v>97.574799999999996</v>
      </c>
      <c r="Q31" s="14">
        <f>_xll.BDH("AMGN US Equity","TOT_DEBT_TO_TOT_CAP","FQ2 2022","FQ2 2022","Currency=USD","Period=FQ","BEST_FPERIOD_OVERRIDE=FQ","FILING_STATUS=MR","Sort=A","Dates=H","DateFormat=P","Fill=—","Direction=H","UseDPDF=Y")</f>
        <v>93.787999999999997</v>
      </c>
      <c r="R31" s="14">
        <f>_xll.BDH("AMGN US Equity","TOT_DEBT_TO_TOT_CAP","FQ3 2022","FQ3 2022","Currency=USD","Period=FQ","BEST_FPERIOD_OVERRIDE=FQ","FILING_STATUS=MR","Sort=A","Dates=H","DateFormat=P","Fill=—","Direction=H","UseDPDF=Y")</f>
        <v>91.375699999999995</v>
      </c>
      <c r="S31" s="14">
        <f>_xll.BDH("AMGN US Equity","TOT_DEBT_TO_TOT_CAP","FQ4 2022","FQ4 2022","Currency=USD","Period=FQ","BEST_FPERIOD_OVERRIDE=FQ","FILING_STATUS=MR","Sort=A","Dates=H","DateFormat=P","Fill=—","Direction=H","UseDPDF=Y")</f>
        <v>91.545199999999994</v>
      </c>
      <c r="T31" s="14">
        <f>_xll.BDH("AMGN US Equity","TOT_DEBT_TO_TOT_CAP","FQ1 2023","FQ1 2023","Currency=USD","Period=FQ","BEST_FPERIOD_OVERRIDE=FQ","FILING_STATUS=MR","Sort=A","Dates=H","DateFormat=P","Fill=—","Direction=H","UseDPDF=Y")</f>
        <v>92.011099999999999</v>
      </c>
      <c r="U31" s="14">
        <f>_xll.BDH("AMGN US Equity","TOT_DEBT_TO_TOT_CAP","FQ2 2023","FQ2 2023","Currency=USD","Period=FQ","BEST_FPERIOD_OVERRIDE=FQ","FILING_STATUS=MR","Sort=A","Dates=H","DateFormat=P","Fill=—","Direction=H","UseDPDF=Y")</f>
        <v>90.075400000000002</v>
      </c>
      <c r="V31" s="14">
        <f>_xll.BDH("AMGN US Equity","TOT_DEBT_TO_TOT_CAP","FQ3 2023","FQ3 2023","Currency=USD","Period=FQ","BEST_FPERIOD_OVERRIDE=FQ","FILING_STATUS=MR","Sort=A","Dates=H","DateFormat=P","Fill=—","Direction=H","UseDPDF=Y")</f>
        <v>88.761700000000005</v>
      </c>
      <c r="W31" s="14">
        <f>_xll.BDH("AMGN US Equity","TOT_DEBT_TO_TOT_CAP","FQ4 2023","FQ4 2023","Currency=USD","Period=FQ","BEST_FPERIOD_OVERRIDE=FQ","FILING_STATUS=MR","Sort=A","Dates=H","DateFormat=P","Fill=—","Direction=H","UseDPDF=Y")</f>
        <v>91.302800000000005</v>
      </c>
      <c r="X31" s="14">
        <f>_xll.BDH("AMGN US Equity","TOT_DEBT_TO_TOT_CAP","FQ1 2024","FQ1 2024","Currency=USD","Period=FQ","BEST_FPERIOD_OVERRIDE=FQ","FILING_STATUS=MR","Sort=A","Dates=H","DateFormat=P","Fill=—","Direction=H","UseDPDF=Y")</f>
        <v>92.726200000000006</v>
      </c>
      <c r="Y31" s="14">
        <f>_xll.BDH("AMGN US Equity","TOT_DEBT_TO_TOT_CAP","FQ2 2024","FQ2 2024","Currency=USD","Period=FQ","BEST_FPERIOD_OVERRIDE=FQ","FILING_STATUS=MR","Sort=A","Dates=H","DateFormat=P","Fill=—","Direction=H","UseDPDF=Y")</f>
        <v>91.359200000000001</v>
      </c>
      <c r="Z31" s="14">
        <f>_xll.BDH("AMGN US Equity","TOT_DEBT_TO_TOT_CAP","FQ3 2024","FQ3 2024","Currency=USD","Period=FQ","BEST_FPERIOD_OVERRIDE=FQ","FILING_STATUS=MR","Sort=A","Dates=H","DateFormat=P","Fill=—","Direction=H","UseDPDF=Y")</f>
        <v>88.918700000000001</v>
      </c>
      <c r="AA31" s="14">
        <f>_xll.BDH("AMGN US Equity","TOT_DEBT_TO_TOT_CAP","FQ4 2024","FQ4 2024","Currency=USD","Period=FQ","BEST_FPERIOD_OVERRIDE=FQ","FILING_STATUS=MR","Sort=A","Dates=H","DateFormat=P","Fill=—","Direction=H","UseDPDF=Y")</f>
        <v>91.196299999999994</v>
      </c>
    </row>
    <row r="32" spans="1:27" x14ac:dyDescent="0.25">
      <c r="A32" s="10" t="s">
        <v>1592</v>
      </c>
      <c r="B32" s="10" t="s">
        <v>1593</v>
      </c>
      <c r="C32" s="14">
        <f>_xll.BDH("AMGN US Equity","TOT_DEBT_TO_TOT_ASSET","FQ4 2018","FQ4 2018","Currency=USD","Period=FQ","BEST_FPERIOD_OVERRIDE=FQ","FILING_STATUS=MR","Sort=A","Dates=H","DateFormat=P","Fill=—","Direction=H","UseDPDF=Y")</f>
        <v>51.085599999999999</v>
      </c>
      <c r="D32" s="14">
        <f>_xll.BDH("AMGN US Equity","TOT_DEBT_TO_TOT_ASSET","FQ1 2019","FQ1 2019","Currency=USD","Period=FQ","BEST_FPERIOD_OVERRIDE=FQ","FILING_STATUS=MR","Sort=A","Dates=H","DateFormat=P","Fill=—","Direction=H","UseDPDF=Y")</f>
        <v>52.365000000000002</v>
      </c>
      <c r="E32" s="14">
        <f>_xll.BDH("AMGN US Equity","TOT_DEBT_TO_TOT_ASSET","FQ2 2019","FQ2 2019","Currency=USD","Period=FQ","BEST_FPERIOD_OVERRIDE=FQ","FILING_STATUS=MR","Sort=A","Dates=H","DateFormat=P","Fill=—","Direction=H","UseDPDF=Y")</f>
        <v>52.3992</v>
      </c>
      <c r="F32" s="14">
        <f>_xll.BDH("AMGN US Equity","TOT_DEBT_TO_TOT_ASSET","FQ3 2019","FQ3 2019","Currency=USD","Period=FQ","BEST_FPERIOD_OVERRIDE=FQ","FILING_STATUS=MR","Sort=A","Dates=H","DateFormat=P","Fill=—","Direction=H","UseDPDF=Y")</f>
        <v>50.855800000000002</v>
      </c>
      <c r="G32" s="14">
        <f>_xll.BDH("AMGN US Equity","TOT_DEBT_TO_TOT_ASSET","FQ4 2019","FQ4 2019","Currency=USD","Period=FQ","BEST_FPERIOD_OVERRIDE=FQ","FILING_STATUS=MR","Sort=A","Dates=H","DateFormat=P","Fill=—","Direction=H","UseDPDF=Y")</f>
        <v>50.967199999999998</v>
      </c>
      <c r="H32" s="14">
        <f>_xll.BDH("AMGN US Equity","TOT_DEBT_TO_TOT_ASSET","FQ1 2020","FQ1 2020","Currency=USD","Period=FQ","BEST_FPERIOD_OVERRIDE=FQ","FILING_STATUS=MR","Sort=A","Dates=H","DateFormat=P","Fill=—","Direction=H","UseDPDF=Y")</f>
        <v>51.643500000000003</v>
      </c>
      <c r="I32" s="14">
        <f>_xll.BDH("AMGN US Equity","TOT_DEBT_TO_TOT_ASSET","FQ2 2020","FQ2 2020","Currency=USD","Period=FQ","BEST_FPERIOD_OVERRIDE=FQ","FILING_STATUS=MR","Sort=A","Dates=H","DateFormat=P","Fill=—","Direction=H","UseDPDF=Y")</f>
        <v>52.6434</v>
      </c>
      <c r="J32" s="14">
        <f>_xll.BDH("AMGN US Equity","TOT_DEBT_TO_TOT_ASSET","FQ3 2020","FQ3 2020","Currency=USD","Period=FQ","BEST_FPERIOD_OVERRIDE=FQ","FILING_STATUS=MR","Sort=A","Dates=H","DateFormat=P","Fill=—","Direction=H","UseDPDF=Y")</f>
        <v>53.045499999999997</v>
      </c>
      <c r="K32" s="14">
        <f>_xll.BDH("AMGN US Equity","TOT_DEBT_TO_TOT_ASSET","FQ4 2020","FQ4 2020","Currency=USD","Period=FQ","BEST_FPERIOD_OVERRIDE=FQ","FILING_STATUS=MR","Sort=A","Dates=H","DateFormat=P","Fill=—","Direction=H","UseDPDF=Y")</f>
        <v>53.1312</v>
      </c>
      <c r="L32" s="14">
        <f>_xll.BDH("AMGN US Equity","TOT_DEBT_TO_TOT_ASSET","FQ1 2021","FQ1 2021","Currency=USD","Period=FQ","BEST_FPERIOD_OVERRIDE=FQ","FILING_STATUS=MR","Sort=A","Dates=H","DateFormat=P","Fill=—","Direction=H","UseDPDF=Y")</f>
        <v>52.263399999999997</v>
      </c>
      <c r="M32" s="14">
        <f>_xll.BDH("AMGN US Equity","TOT_DEBT_TO_TOT_ASSET","FQ2 2021","FQ2 2021","Currency=USD","Period=FQ","BEST_FPERIOD_OVERRIDE=FQ","FILING_STATUS=MR","Sort=A","Dates=H","DateFormat=P","Fill=—","Direction=H","UseDPDF=Y")</f>
        <v>54.844200000000001</v>
      </c>
      <c r="N32" s="14">
        <f>_xll.BDH("AMGN US Equity","TOT_DEBT_TO_TOT_ASSET","FQ3 2021","FQ3 2021","Currency=USD","Period=FQ","BEST_FPERIOD_OVERRIDE=FQ","FILING_STATUS=MR","Sort=A","Dates=H","DateFormat=P","Fill=—","Direction=H","UseDPDF=Y")</f>
        <v>57.820099999999996</v>
      </c>
      <c r="O32" s="14">
        <f>_xll.BDH("AMGN US Equity","TOT_DEBT_TO_TOT_ASSET","FQ4 2021","FQ4 2021","Currency=USD","Period=FQ","BEST_FPERIOD_OVERRIDE=FQ","FILING_STATUS=MR","Sort=A","Dates=H","DateFormat=P","Fill=—","Direction=H","UseDPDF=Y")</f>
        <v>55.552999999999997</v>
      </c>
      <c r="P32" s="14">
        <f>_xll.BDH("AMGN US Equity","TOT_DEBT_TO_TOT_ASSET","FQ1 2022","FQ1 2022","Currency=USD","Period=FQ","BEST_FPERIOD_OVERRIDE=FQ","FILING_STATUS=MR","Sort=A","Dates=H","DateFormat=P","Fill=—","Direction=H","UseDPDF=Y")</f>
        <v>62.257599999999996</v>
      </c>
      <c r="Q32" s="14">
        <f>_xll.BDH("AMGN US Equity","TOT_DEBT_TO_TOT_ASSET","FQ2 2022","FQ2 2022","Currency=USD","Period=FQ","BEST_FPERIOD_OVERRIDE=FQ","FILING_STATUS=MR","Sort=A","Dates=H","DateFormat=P","Fill=—","Direction=H","UseDPDF=Y")</f>
        <v>61.594799999999999</v>
      </c>
      <c r="R32" s="14">
        <f>_xll.BDH("AMGN US Equity","TOT_DEBT_TO_TOT_ASSET","FQ3 2022","FQ3 2022","Currency=USD","Period=FQ","BEST_FPERIOD_OVERRIDE=FQ","FILING_STATUS=MR","Sort=A","Dates=H","DateFormat=P","Fill=—","Direction=H","UseDPDF=Y")</f>
        <v>60.759799999999998</v>
      </c>
      <c r="S32" s="14">
        <f>_xll.BDH("AMGN US Equity","TOT_DEBT_TO_TOT_ASSET","FQ4 2022","FQ4 2022","Currency=USD","Period=FQ","BEST_FPERIOD_OVERRIDE=FQ","FILING_STATUS=MR","Sort=A","Dates=H","DateFormat=P","Fill=—","Direction=H","UseDPDF=Y")</f>
        <v>60.871299999999998</v>
      </c>
      <c r="T32" s="14">
        <f>_xll.BDH("AMGN US Equity","TOT_DEBT_TO_TOT_ASSET","FQ1 2023","FQ1 2023","Currency=USD","Period=FQ","BEST_FPERIOD_OVERRIDE=FQ","FILING_STATUS=MR","Sort=A","Dates=H","DateFormat=P","Fill=—","Direction=H","UseDPDF=Y")</f>
        <v>69.426299999999998</v>
      </c>
      <c r="U32" s="14">
        <f>_xll.BDH("AMGN US Equity","TOT_DEBT_TO_TOT_ASSET","FQ2 2023","FQ2 2023","Currency=USD","Period=FQ","BEST_FPERIOD_OVERRIDE=FQ","FILING_STATUS=MR","Sort=A","Dates=H","DateFormat=P","Fill=—","Direction=H","UseDPDF=Y")</f>
        <v>68.178399999999996</v>
      </c>
      <c r="V32" s="14">
        <f>_xll.BDH("AMGN US Equity","TOT_DEBT_TO_TOT_ASSET","FQ3 2023","FQ3 2023","Currency=USD","Period=FQ","BEST_FPERIOD_OVERRIDE=FQ","FILING_STATUS=MR","Sort=A","Dates=H","DateFormat=P","Fill=—","Direction=H","UseDPDF=Y")</f>
        <v>66.790400000000005</v>
      </c>
      <c r="W32" s="14">
        <f>_xll.BDH("AMGN US Equity","TOT_DEBT_TO_TOT_ASSET","FQ4 2023","FQ4 2023","Currency=USD","Period=FQ","BEST_FPERIOD_OVERRIDE=FQ","FILING_STATUS=MR","Sort=A","Dates=H","DateFormat=P","Fill=—","Direction=H","UseDPDF=Y")</f>
        <v>67.339500000000001</v>
      </c>
      <c r="X32" s="14">
        <f>_xll.BDH("AMGN US Equity","TOT_DEBT_TO_TOT_ASSET","FQ1 2024","FQ1 2024","Currency=USD","Period=FQ","BEST_FPERIOD_OVERRIDE=FQ","FILING_STATUS=MR","Sort=A","Dates=H","DateFormat=P","Fill=—","Direction=H","UseDPDF=Y")</f>
        <v>68.853499999999997</v>
      </c>
      <c r="Y32" s="14">
        <f>_xll.BDH("AMGN US Equity","TOT_DEBT_TO_TOT_ASSET","FQ2 2024","FQ2 2024","Currency=USD","Period=FQ","BEST_FPERIOD_OVERRIDE=FQ","FILING_STATUS=MR","Sort=A","Dates=H","DateFormat=P","Fill=—","Direction=H","UseDPDF=Y")</f>
        <v>68.911100000000005</v>
      </c>
      <c r="Z32" s="14">
        <f>_xll.BDH("AMGN US Equity","TOT_DEBT_TO_TOT_ASSET","FQ3 2024","FQ3 2024","Currency=USD","Period=FQ","BEST_FPERIOD_OVERRIDE=FQ","FILING_STATUS=MR","Sort=A","Dates=H","DateFormat=P","Fill=—","Direction=H","UseDPDF=Y")</f>
        <v>66.456900000000005</v>
      </c>
      <c r="AA32" s="14">
        <f>_xll.BDH("AMGN US Equity","TOT_DEBT_TO_TOT_ASSET","FQ4 2024","FQ4 2024","Currency=USD","Period=FQ","BEST_FPERIOD_OVERRIDE=FQ","FILING_STATUS=MR","Sort=A","Dates=H","DateFormat=P","Fill=—","Direction=H","UseDPDF=Y")</f>
        <v>66.288799999999995</v>
      </c>
    </row>
    <row r="33" spans="1:27" x14ac:dyDescent="0.25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5">
      <c r="A34" s="10" t="s">
        <v>1594</v>
      </c>
      <c r="B34" s="10" t="s">
        <v>845</v>
      </c>
      <c r="C34" s="14">
        <f>_xll.BDH("AMGN US Equity","NET_DEBT_TO_SHRHLDR_EQTY","FQ4 2018","FQ4 2018","Currency=USD","Period=FQ","BEST_FPERIOD_OVERRIDE=FQ","FILING_STATUS=MR","Sort=A","Dates=H","DateFormat=P","Fill=—","Direction=H","UseDPDF=Y")</f>
        <v>37</v>
      </c>
      <c r="D34" s="14">
        <f>_xll.BDH("AMGN US Equity","NET_DEBT_TO_SHRHLDR_EQTY","FQ1 2019","FQ1 2019","Currency=USD","Period=FQ","BEST_FPERIOD_OVERRIDE=FQ","FILING_STATUS=MR","Sort=A","Dates=H","DateFormat=P","Fill=—","Direction=H","UseDPDF=Y")</f>
        <v>66.571299999999994</v>
      </c>
      <c r="E34" s="14">
        <f>_xll.BDH("AMGN US Equity","NET_DEBT_TO_SHRHLDR_EQTY","FQ2 2019","FQ2 2019","Currency=USD","Period=FQ","BEST_FPERIOD_OVERRIDE=FQ","FILING_STATUS=MR","Sort=A","Dates=H","DateFormat=P","Fill=—","Direction=H","UseDPDF=Y")</f>
        <v>86.65</v>
      </c>
      <c r="F34" s="14">
        <f>_xll.BDH("AMGN US Equity","NET_DEBT_TO_SHRHLDR_EQTY","FQ3 2019","FQ3 2019","Currency=USD","Period=FQ","BEST_FPERIOD_OVERRIDE=FQ","FILING_STATUS=MR","Sort=A","Dates=H","DateFormat=P","Fill=—","Direction=H","UseDPDF=Y")</f>
        <v>86.245099999999994</v>
      </c>
      <c r="G34" s="14">
        <f>_xll.BDH("AMGN US Equity","NET_DEBT_TO_SHRHLDR_EQTY","FQ4 2019","FQ4 2019","Currency=USD","Period=FQ","BEST_FPERIOD_OVERRIDE=FQ","FILING_STATUS=MR","Sort=A","Dates=H","DateFormat=P","Fill=—","Direction=H","UseDPDF=Y")</f>
        <v>222.47489999999999</v>
      </c>
      <c r="H34" s="14">
        <f>_xll.BDH("AMGN US Equity","NET_DEBT_TO_SHRHLDR_EQTY","FQ1 2020","FQ1 2020","Currency=USD","Period=FQ","BEST_FPERIOD_OVERRIDE=FQ","FILING_STATUS=MR","Sort=A","Dates=H","DateFormat=P","Fill=—","Direction=H","UseDPDF=Y")</f>
        <v>251.3021</v>
      </c>
      <c r="I34" s="14">
        <f>_xll.BDH("AMGN US Equity","NET_DEBT_TO_SHRHLDR_EQTY","FQ2 2020","FQ2 2020","Currency=USD","Period=FQ","BEST_FPERIOD_OVERRIDE=FQ","FILING_STATUS=MR","Sort=A","Dates=H","DateFormat=P","Fill=—","Direction=H","UseDPDF=Y")</f>
        <v>213.93190000000001</v>
      </c>
      <c r="J34" s="14">
        <f>_xll.BDH("AMGN US Equity","NET_DEBT_TO_SHRHLDR_EQTY","FQ3 2020","FQ3 2020","Currency=USD","Period=FQ","BEST_FPERIOD_OVERRIDE=FQ","FILING_STATUS=MR","Sort=A","Dates=H","DateFormat=P","Fill=—","Direction=H","UseDPDF=Y")</f>
        <v>200.0821</v>
      </c>
      <c r="K34" s="14">
        <f>_xll.BDH("AMGN US Equity","NET_DEBT_TO_SHRHLDR_EQTY","FQ4 2020","FQ4 2020","Currency=USD","Period=FQ","BEST_FPERIOD_OVERRIDE=FQ","FILING_STATUS=MR","Sort=A","Dates=H","DateFormat=P","Fill=—","Direction=H","UseDPDF=Y")</f>
        <v>242.29990000000001</v>
      </c>
      <c r="L34" s="14">
        <f>_xll.BDH("AMGN US Equity","NET_DEBT_TO_SHRHLDR_EQTY","FQ1 2021","FQ1 2021","Currency=USD","Period=FQ","BEST_FPERIOD_OVERRIDE=FQ","FILING_STATUS=MR","Sort=A","Dates=H","DateFormat=P","Fill=—","Direction=H","UseDPDF=Y")</f>
        <v>236.97239999999999</v>
      </c>
      <c r="M34" s="14">
        <f>_xll.BDH("AMGN US Equity","NET_DEBT_TO_SHRHLDR_EQTY","FQ2 2021","FQ2 2021","Currency=USD","Period=FQ","BEST_FPERIOD_OVERRIDE=FQ","FILING_STATUS=MR","Sort=A","Dates=H","DateFormat=P","Fill=—","Direction=H","UseDPDF=Y")</f>
        <v>299.50279999999998</v>
      </c>
      <c r="N34" s="14">
        <f>_xll.BDH("AMGN US Equity","NET_DEBT_TO_SHRHLDR_EQTY","FQ3 2021","FQ3 2021","Currency=USD","Period=FQ","BEST_FPERIOD_OVERRIDE=FQ","FILING_STATUS=MR","Sort=A","Dates=H","DateFormat=P","Fill=—","Direction=H","UseDPDF=Y")</f>
        <v>300.08519999999999</v>
      </c>
      <c r="O34" s="14">
        <f>_xll.BDH("AMGN US Equity","NET_DEBT_TO_SHRHLDR_EQTY","FQ4 2021","FQ4 2021","Currency=USD","Period=FQ","BEST_FPERIOD_OVERRIDE=FQ","FILING_STATUS=MR","Sort=A","Dates=H","DateFormat=P","Fill=—","Direction=H","UseDPDF=Y")</f>
        <v>387.19400000000002</v>
      </c>
      <c r="P34" s="14">
        <f>_xll.BDH("AMGN US Equity","NET_DEBT_TO_SHRHLDR_EQTY","FQ1 2022","FQ1 2022","Currency=USD","Period=FQ","BEST_FPERIOD_OVERRIDE=FQ","FILING_STATUS=MR","Sort=A","Dates=H","DateFormat=P","Fill=—","Direction=H","UseDPDF=Y")</f>
        <v>3308.9520000000002</v>
      </c>
      <c r="Q34" s="14">
        <f>_xll.BDH("AMGN US Equity","NET_DEBT_TO_SHRHLDR_EQTY","FQ2 2022","FQ2 2022","Currency=USD","Period=FQ","BEST_FPERIOD_OVERRIDE=FQ","FILING_STATUS=MR","Sort=A","Dates=H","DateFormat=P","Fill=—","Direction=H","UseDPDF=Y")</f>
        <v>1212.8566000000001</v>
      </c>
      <c r="R34" s="14">
        <f>_xll.BDH("AMGN US Equity","NET_DEBT_TO_SHRHLDR_EQTY","FQ3 2022","FQ3 2022","Currency=USD","Period=FQ","BEST_FPERIOD_OVERRIDE=FQ","FILING_STATUS=MR","Sort=A","Dates=H","DateFormat=P","Fill=—","Direction=H","UseDPDF=Y")</f>
        <v>745.30520000000001</v>
      </c>
      <c r="S34" s="14">
        <f>_xll.BDH("AMGN US Equity","NET_DEBT_TO_SHRHLDR_EQTY","FQ4 2022","FQ4 2022","Currency=USD","Period=FQ","BEST_FPERIOD_OVERRIDE=FQ","FILING_STATUS=MR","Sort=A","Dates=H","DateFormat=P","Fill=—","Direction=H","UseDPDF=Y")</f>
        <v>828.59870000000001</v>
      </c>
      <c r="T34" s="14">
        <f>_xll.BDH("AMGN US Equity","NET_DEBT_TO_SHRHLDR_EQTY","FQ1 2023","FQ1 2023","Currency=USD","Period=FQ","BEST_FPERIOD_OVERRIDE=FQ","FILING_STATUS=MR","Sort=A","Dates=H","DateFormat=P","Fill=—","Direction=H","UseDPDF=Y")</f>
        <v>561.59310000000005</v>
      </c>
      <c r="U34" s="14">
        <f>_xll.BDH("AMGN US Equity","NET_DEBT_TO_SHRHLDR_EQTY","FQ2 2023","FQ2 2023","Currency=USD","Period=FQ","BEST_FPERIOD_OVERRIDE=FQ","FILING_STATUS=MR","Sort=A","Dates=H","DateFormat=P","Fill=—","Direction=H","UseDPDF=Y")</f>
        <v>402.53649999999999</v>
      </c>
      <c r="V34" s="14">
        <f>_xll.BDH("AMGN US Equity","NET_DEBT_TO_SHRHLDR_EQTY","FQ3 2023","FQ3 2023","Currency=USD","Period=FQ","BEST_FPERIOD_OVERRIDE=FQ","FILING_STATUS=MR","Sort=A","Dates=H","DateFormat=P","Fill=—","Direction=H","UseDPDF=Y")</f>
        <v>336.03710000000001</v>
      </c>
      <c r="W34" s="14">
        <f>_xll.BDH("AMGN US Equity","NET_DEBT_TO_SHRHLDR_EQTY","FQ4 2023","FQ4 2023","Currency=USD","Period=FQ","BEST_FPERIOD_OVERRIDE=FQ","FILING_STATUS=MR","Sort=A","Dates=H","DateFormat=P","Fill=—","Direction=H","UseDPDF=Y")</f>
        <v>874.1816</v>
      </c>
      <c r="X34" s="14">
        <f>_xll.BDH("AMGN US Equity","NET_DEBT_TO_SHRHLDR_EQTY","FQ1 2024","FQ1 2024","Currency=USD","Period=FQ","BEST_FPERIOD_OVERRIDE=FQ","FILING_STATUS=MR","Sort=A","Dates=H","DateFormat=P","Fill=—","Direction=H","UseDPDF=Y")</f>
        <v>1081.4815000000001</v>
      </c>
      <c r="Y34" s="14">
        <f>_xll.BDH("AMGN US Equity","NET_DEBT_TO_SHRHLDR_EQTY","FQ2 2024","FQ2 2024","Currency=USD","Period=FQ","BEST_FPERIOD_OVERRIDE=FQ","FILING_STATUS=MR","Sort=A","Dates=H","DateFormat=P","Fill=—","Direction=H","UseDPDF=Y")</f>
        <v>900.32069999999999</v>
      </c>
      <c r="Z34" s="14">
        <f>_xll.BDH("AMGN US Equity","NET_DEBT_TO_SHRHLDR_EQTY","FQ3 2024","FQ3 2024","Currency=USD","Period=FQ","BEST_FPERIOD_OVERRIDE=FQ","FILING_STATUS=MR","Sort=A","Dates=H","DateFormat=P","Fill=—","Direction=H","UseDPDF=Y")</f>
        <v>682.70230000000004</v>
      </c>
      <c r="AA34" s="14">
        <f>_xll.BDH("AMGN US Equity","NET_DEBT_TO_SHRHLDR_EQTY","FQ4 2024","FQ4 2024","Currency=USD","Period=FQ","BEST_FPERIOD_OVERRIDE=FQ","FILING_STATUS=MR","Sort=A","Dates=H","DateFormat=P","Fill=—","Direction=H","UseDPDF=Y")</f>
        <v>832.15930000000003</v>
      </c>
    </row>
    <row r="35" spans="1:27" x14ac:dyDescent="0.25">
      <c r="A35" s="10" t="s">
        <v>1595</v>
      </c>
      <c r="B35" s="10" t="s">
        <v>1596</v>
      </c>
      <c r="C35" s="14">
        <f>_xll.BDH("AMGN US Equity","NET_DEBT_PCT_OF_TOT_CAPITAL","FQ4 2018","FQ4 2018","Currency=USD","Period=FQ","BEST_FPERIOD_OVERRIDE=FQ","FILING_STATUS=MR","Sort=A","Dates=H","DateFormat=P","Fill=—","Direction=H","UseDPDF=Y")</f>
        <v>27.007300000000001</v>
      </c>
      <c r="D35" s="14">
        <f>_xll.BDH("AMGN US Equity","NET_DEBT_PCT_OF_TOT_CAPITAL","FQ1 2019","FQ1 2019","Currency=USD","Period=FQ","BEST_FPERIOD_OVERRIDE=FQ","FILING_STATUS=MR","Sort=A","Dates=H","DateFormat=P","Fill=—","Direction=H","UseDPDF=Y")</f>
        <v>39.965600000000002</v>
      </c>
      <c r="E35" s="14">
        <f>_xll.BDH("AMGN US Equity","NET_DEBT_PCT_OF_TOT_CAPITAL","FQ2 2019","FQ2 2019","Currency=USD","Period=FQ","BEST_FPERIOD_OVERRIDE=FQ","FILING_STATUS=MR","Sort=A","Dates=H","DateFormat=P","Fill=—","Direction=H","UseDPDF=Y")</f>
        <v>46.4238</v>
      </c>
      <c r="F35" s="14">
        <f>_xll.BDH("AMGN US Equity","NET_DEBT_PCT_OF_TOT_CAPITAL","FQ3 2019","FQ3 2019","Currency=USD","Period=FQ","BEST_FPERIOD_OVERRIDE=FQ","FILING_STATUS=MR","Sort=A","Dates=H","DateFormat=P","Fill=—","Direction=H","UseDPDF=Y")</f>
        <v>46.307299999999998</v>
      </c>
      <c r="G35" s="14">
        <f>_xll.BDH("AMGN US Equity","NET_DEBT_PCT_OF_TOT_CAPITAL","FQ4 2019","FQ4 2019","Currency=USD","Period=FQ","BEST_FPERIOD_OVERRIDE=FQ","FILING_STATUS=MR","Sort=A","Dates=H","DateFormat=P","Fill=—","Direction=H","UseDPDF=Y")</f>
        <v>68.989800000000002</v>
      </c>
      <c r="H35" s="14">
        <f>_xll.BDH("AMGN US Equity","NET_DEBT_PCT_OF_TOT_CAPITAL","FQ1 2020","FQ1 2020","Currency=USD","Period=FQ","BEST_FPERIOD_OVERRIDE=FQ","FILING_STATUS=MR","Sort=A","Dates=H","DateFormat=P","Fill=—","Direction=H","UseDPDF=Y")</f>
        <v>71.534499999999994</v>
      </c>
      <c r="I35" s="14">
        <f>_xll.BDH("AMGN US Equity","NET_DEBT_PCT_OF_TOT_CAPITAL","FQ2 2020","FQ2 2020","Currency=USD","Period=FQ","BEST_FPERIOD_OVERRIDE=FQ","FILING_STATUS=MR","Sort=A","Dates=H","DateFormat=P","Fill=—","Direction=H","UseDPDF=Y")</f>
        <v>68.146000000000001</v>
      </c>
      <c r="J35" s="14">
        <f>_xll.BDH("AMGN US Equity","NET_DEBT_PCT_OF_TOT_CAPITAL","FQ3 2020","FQ3 2020","Currency=USD","Period=FQ","BEST_FPERIOD_OVERRIDE=FQ","FILING_STATUS=MR","Sort=A","Dates=H","DateFormat=P","Fill=—","Direction=H","UseDPDF=Y")</f>
        <v>66.675799999999995</v>
      </c>
      <c r="K35" s="14">
        <f>_xll.BDH("AMGN US Equity","NET_DEBT_PCT_OF_TOT_CAPITAL","FQ4 2020","FQ4 2020","Currency=USD","Period=FQ","BEST_FPERIOD_OVERRIDE=FQ","FILING_STATUS=MR","Sort=A","Dates=H","DateFormat=P","Fill=—","Direction=H","UseDPDF=Y")</f>
        <v>70.785899999999998</v>
      </c>
      <c r="L35" s="14">
        <f>_xll.BDH("AMGN US Equity","NET_DEBT_PCT_OF_TOT_CAPITAL","FQ1 2021","FQ1 2021","Currency=USD","Period=FQ","BEST_FPERIOD_OVERRIDE=FQ","FILING_STATUS=MR","Sort=A","Dates=H","DateFormat=P","Fill=—","Direction=H","UseDPDF=Y")</f>
        <v>70.323999999999998</v>
      </c>
      <c r="M35" s="14">
        <f>_xll.BDH("AMGN US Equity","NET_DEBT_PCT_OF_TOT_CAPITAL","FQ2 2021","FQ2 2021","Currency=USD","Period=FQ","BEST_FPERIOD_OVERRIDE=FQ","FILING_STATUS=MR","Sort=A","Dates=H","DateFormat=P","Fill=—","Direction=H","UseDPDF=Y")</f>
        <v>74.968900000000005</v>
      </c>
      <c r="N35" s="14">
        <f>_xll.BDH("AMGN US Equity","NET_DEBT_PCT_OF_TOT_CAPITAL","FQ3 2021","FQ3 2021","Currency=USD","Period=FQ","BEST_FPERIOD_OVERRIDE=FQ","FILING_STATUS=MR","Sort=A","Dates=H","DateFormat=P","Fill=—","Direction=H","UseDPDF=Y")</f>
        <v>75.005300000000005</v>
      </c>
      <c r="O35" s="14">
        <f>_xll.BDH("AMGN US Equity","NET_DEBT_PCT_OF_TOT_CAPITAL","FQ4 2021","FQ4 2021","Currency=USD","Period=FQ","BEST_FPERIOD_OVERRIDE=FQ","FILING_STATUS=MR","Sort=A","Dates=H","DateFormat=P","Fill=—","Direction=H","UseDPDF=Y")</f>
        <v>79.474299999999999</v>
      </c>
      <c r="P35" s="14">
        <f>_xll.BDH("AMGN US Equity","NET_DEBT_PCT_OF_TOT_CAPITAL","FQ1 2022","FQ1 2022","Currency=USD","Period=FQ","BEST_FPERIOD_OVERRIDE=FQ","FILING_STATUS=MR","Sort=A","Dates=H","DateFormat=P","Fill=—","Direction=H","UseDPDF=Y")</f>
        <v>97.066500000000005</v>
      </c>
      <c r="Q35" s="14">
        <f>_xll.BDH("AMGN US Equity","NET_DEBT_PCT_OF_TOT_CAPITAL","FQ2 2022","FQ2 2022","Currency=USD","Period=FQ","BEST_FPERIOD_OVERRIDE=FQ","FILING_STATUS=MR","Sort=A","Dates=H","DateFormat=P","Fill=—","Direction=H","UseDPDF=Y")</f>
        <v>92.382999999999996</v>
      </c>
      <c r="R35" s="14">
        <f>_xll.BDH("AMGN US Equity","NET_DEBT_PCT_OF_TOT_CAPITAL","FQ3 2022","FQ3 2022","Currency=USD","Period=FQ","BEST_FPERIOD_OVERRIDE=FQ","FILING_STATUS=MR","Sort=A","Dates=H","DateFormat=P","Fill=—","Direction=H","UseDPDF=Y")</f>
        <v>88.17</v>
      </c>
      <c r="S35" s="14">
        <f>_xll.BDH("AMGN US Equity","NET_DEBT_PCT_OF_TOT_CAPITAL","FQ4 2022","FQ4 2022","Currency=USD","Period=FQ","BEST_FPERIOD_OVERRIDE=FQ","FILING_STATUS=MR","Sort=A","Dates=H","DateFormat=P","Fill=—","Direction=H","UseDPDF=Y")</f>
        <v>89.231099999999998</v>
      </c>
      <c r="T35" s="14">
        <f>_xll.BDH("AMGN US Equity","NET_DEBT_PCT_OF_TOT_CAPITAL","FQ1 2023","FQ1 2023","Currency=USD","Period=FQ","BEST_FPERIOD_OVERRIDE=FQ","FILING_STATUS=MR","Sort=A","Dates=H","DateFormat=P","Fill=—","Direction=H","UseDPDF=Y")</f>
        <v>84.885000000000005</v>
      </c>
      <c r="U35" s="14">
        <f>_xll.BDH("AMGN US Equity","NET_DEBT_PCT_OF_TOT_CAPITAL","FQ2 2023","FQ2 2023","Currency=USD","Period=FQ","BEST_FPERIOD_OVERRIDE=FQ","FILING_STATUS=MR","Sort=A","Dates=H","DateFormat=P","Fill=—","Direction=H","UseDPDF=Y")</f>
        <v>80.100899999999996</v>
      </c>
      <c r="V35" s="14">
        <f>_xll.BDH("AMGN US Equity","NET_DEBT_PCT_OF_TOT_CAPITAL","FQ3 2023","FQ3 2023","Currency=USD","Period=FQ","BEST_FPERIOD_OVERRIDE=FQ","FILING_STATUS=MR","Sort=A","Dates=H","DateFormat=P","Fill=—","Direction=H","UseDPDF=Y")</f>
        <v>77.066199999999995</v>
      </c>
      <c r="W35" s="14">
        <f>_xll.BDH("AMGN US Equity","NET_DEBT_PCT_OF_TOT_CAPITAL","FQ4 2023","FQ4 2023","Currency=USD","Period=FQ","BEST_FPERIOD_OVERRIDE=FQ","FILING_STATUS=MR","Sort=A","Dates=H","DateFormat=P","Fill=—","Direction=H","UseDPDF=Y")</f>
        <v>89.734999999999999</v>
      </c>
      <c r="X35" s="14">
        <f>_xll.BDH("AMGN US Equity","NET_DEBT_PCT_OF_TOT_CAPITAL","FQ1 2024","FQ1 2024","Currency=USD","Period=FQ","BEST_FPERIOD_OVERRIDE=FQ","FILING_STATUS=MR","Sort=A","Dates=H","DateFormat=P","Fill=—","Direction=H","UseDPDF=Y")</f>
        <v>91.536100000000005</v>
      </c>
      <c r="Y35" s="14">
        <f>_xll.BDH("AMGN US Equity","NET_DEBT_PCT_OF_TOT_CAPITAL","FQ2 2024","FQ2 2024","Currency=USD","Period=FQ","BEST_FPERIOD_OVERRIDE=FQ","FILING_STATUS=MR","Sort=A","Dates=H","DateFormat=P","Fill=—","Direction=H","UseDPDF=Y")</f>
        <v>90.003200000000007</v>
      </c>
      <c r="Z35" s="14">
        <f>_xll.BDH("AMGN US Equity","NET_DEBT_PCT_OF_TOT_CAPITAL","FQ3 2024","FQ3 2024","Currency=USD","Period=FQ","BEST_FPERIOD_OVERRIDE=FQ","FILING_STATUS=MR","Sort=A","Dates=H","DateFormat=P","Fill=—","Direction=H","UseDPDF=Y")</f>
        <v>87.223699999999994</v>
      </c>
      <c r="AA35" s="14">
        <f>_xll.BDH("AMGN US Equity","NET_DEBT_PCT_OF_TOT_CAPITAL","FQ4 2024","FQ4 2024","Currency=USD","Period=FQ","BEST_FPERIOD_OVERRIDE=FQ","FILING_STATUS=MR","Sort=A","Dates=H","DateFormat=P","Fill=—","Direction=H","UseDPDF=Y")</f>
        <v>89.272199999999998</v>
      </c>
    </row>
    <row r="36" spans="1:27" x14ac:dyDescent="0.25">
      <c r="A36" s="10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5">
      <c r="A37" s="10" t="s">
        <v>78</v>
      </c>
      <c r="B37" s="10" t="s">
        <v>78</v>
      </c>
      <c r="C37" s="13">
        <f>_xll.BDH("AMGN US Equity","EBITDA","FQ4 2018","FQ4 2018","Currency=USD","Period=FQ","BEST_FPERIOD_OVERRIDE=FQ","FILING_STATUS=MR","SCALING_FORMAT=MLN","FA_ADJUSTED=GAAP","Sort=A","Dates=H","DateFormat=P","Fill=—","Direction=H","UseDPDF=Y")</f>
        <v>2872</v>
      </c>
      <c r="D37" s="13">
        <f>_xll.BDH("AMGN US Equity","EBITDA","FQ1 2019","FQ1 2019","Currency=USD","Period=FQ","BEST_FPERIOD_OVERRIDE=FQ","FILING_STATUS=MR","SCALING_FORMAT=MLN","FA_ADJUSTED=GAAP","Sort=A","Dates=H","DateFormat=P","Fill=—","Direction=H","UseDPDF=Y")</f>
        <v>3007</v>
      </c>
      <c r="E37" s="13">
        <f>_xll.BDH("AMGN US Equity","EBITDA","FQ2 2019","FQ2 2019","Currency=USD","Period=FQ","BEST_FPERIOD_OVERRIDE=FQ","FILING_STATUS=MR","SCALING_FORMAT=MLN","FA_ADJUSTED=GAAP","Sort=A","Dates=H","DateFormat=P","Fill=—","Direction=H","UseDPDF=Y")</f>
        <v>3221</v>
      </c>
      <c r="F37" s="13">
        <f>_xll.BDH("AMGN US Equity","EBITDA","FQ3 2019","FQ3 2019","Currency=USD","Period=FQ","BEST_FPERIOD_OVERRIDE=FQ","FILING_STATUS=MR","SCALING_FORMAT=MLN","FA_ADJUSTED=GAAP","Sort=A","Dates=H","DateFormat=P","Fill=—","Direction=H","UseDPDF=Y")</f>
        <v>3026</v>
      </c>
      <c r="G37" s="13">
        <f>_xll.BDH("AMGN US Equity","EBITDA","FQ4 2019","FQ4 2019","Currency=USD","Period=FQ","BEST_FPERIOD_OVERRIDE=FQ","FILING_STATUS=MR","SCALING_FORMAT=MLN","FA_ADJUSTED=GAAP","Sort=A","Dates=H","DateFormat=P","Fill=—","Direction=H","UseDPDF=Y")</f>
        <v>2797</v>
      </c>
      <c r="H37" s="13">
        <f>_xll.BDH("AMGN US Equity","EBITDA","FQ1 2020","FQ1 2020","Currency=USD","Period=FQ","BEST_FPERIOD_OVERRIDE=FQ","FILING_STATUS=MR","SCALING_FORMAT=MLN","FA_ADJUSTED=GAAP","Sort=A","Dates=H","DateFormat=P","Fill=—","Direction=H","UseDPDF=Y")</f>
        <v>3252</v>
      </c>
      <c r="I37" s="13">
        <f>_xll.BDH("AMGN US Equity","EBITDA","FQ2 2020","FQ2 2020","Currency=USD","Period=FQ","BEST_FPERIOD_OVERRIDE=FQ","FILING_STATUS=MR","SCALING_FORMAT=MLN","FA_ADJUSTED=GAAP","Sort=A","Dates=H","DateFormat=P","Fill=—","Direction=H","UseDPDF=Y")</f>
        <v>3253</v>
      </c>
      <c r="J37" s="13">
        <f>_xll.BDH("AMGN US Equity","EBITDA","FQ3 2020","FQ3 2020","Currency=USD","Period=FQ","BEST_FPERIOD_OVERRIDE=FQ","FILING_STATUS=MR","SCALING_FORMAT=MLN","FA_ADJUSTED=GAAP","Sort=A","Dates=H","DateFormat=P","Fill=—","Direction=H","UseDPDF=Y")</f>
        <v>3354</v>
      </c>
      <c r="K37" s="13">
        <f>_xll.BDH("AMGN US Equity","EBITDA","FQ4 2020","FQ4 2020","Currency=USD","Period=FQ","BEST_FPERIOD_OVERRIDE=FQ","FILING_STATUS=MR","SCALING_FORMAT=MLN","FA_ADJUSTED=GAAP","Sort=A","Dates=H","DateFormat=P","Fill=—","Direction=H","UseDPDF=Y")</f>
        <v>2881</v>
      </c>
      <c r="L37" s="13">
        <f>_xll.BDH("AMGN US Equity","EBITDA","FQ1 2021","FQ1 2021","Currency=USD","Period=FQ","BEST_FPERIOD_OVERRIDE=FQ","FILING_STATUS=MR","SCALING_FORMAT=MLN","FA_ADJUSTED=GAAP","Sort=A","Dates=H","DateFormat=P","Fill=—","Direction=H","UseDPDF=Y")</f>
        <v>2970</v>
      </c>
      <c r="M37" s="13">
        <f>_xll.BDH("AMGN US Equity","EBITDA","FQ2 2021","FQ2 2021","Currency=USD","Period=FQ","BEST_FPERIOD_OVERRIDE=FQ","FILING_STATUS=MR","SCALING_FORMAT=MLN","FA_ADJUSTED=GAAP","Sort=A","Dates=H","DateFormat=P","Fill=—","Direction=H","UseDPDF=Y")</f>
        <v>1683</v>
      </c>
      <c r="N37" s="13">
        <f>_xll.BDH("AMGN US Equity","EBITDA","FQ3 2021","FQ3 2021","Currency=USD","Period=FQ","BEST_FPERIOD_OVERRIDE=FQ","FILING_STATUS=MR","SCALING_FORMAT=MLN","FA_ADJUSTED=GAAP","Sort=A","Dates=H","DateFormat=P","Fill=—","Direction=H","UseDPDF=Y")</f>
        <v>3228</v>
      </c>
      <c r="O37" s="13">
        <f>_xll.BDH("AMGN US Equity","EBITDA","FQ4 2021","FQ4 2021","Currency=USD","Period=FQ","BEST_FPERIOD_OVERRIDE=FQ","FILING_STATUS=MR","SCALING_FORMAT=MLN","FA_ADJUSTED=GAAP","Sort=A","Dates=H","DateFormat=P","Fill=—","Direction=H","UseDPDF=Y")</f>
        <v>3156</v>
      </c>
      <c r="P37" s="13">
        <f>_xll.BDH("AMGN US Equity","EBITDA","FQ1 2022","FQ1 2022","Currency=USD","Period=FQ","BEST_FPERIOD_OVERRIDE=FQ","FILING_STATUS=MR","SCALING_FORMAT=MLN","FA_ADJUSTED=GAAP","Sort=A","Dates=H","DateFormat=P","Fill=—","Direction=H","UseDPDF=Y")</f>
        <v>3341</v>
      </c>
      <c r="Q37" s="13">
        <f>_xll.BDH("AMGN US Equity","EBITDA","FQ2 2022","FQ2 2022","Currency=USD","Period=FQ","BEST_FPERIOD_OVERRIDE=FQ","FILING_STATUS=MR","SCALING_FORMAT=MLN","FA_ADJUSTED=GAAP","Sort=A","Dates=H","DateFormat=P","Fill=—","Direction=H","UseDPDF=Y")</f>
        <v>3004</v>
      </c>
      <c r="R37" s="13">
        <f>_xll.BDH("AMGN US Equity","EBITDA","FQ3 2022","FQ3 2022","Currency=USD","Period=FQ","BEST_FPERIOD_OVERRIDE=FQ","FILING_STATUS=MR","SCALING_FORMAT=MLN","FA_ADJUSTED=GAAP","Sort=A","Dates=H","DateFormat=P","Fill=—","Direction=H","UseDPDF=Y")</f>
        <v>3497</v>
      </c>
      <c r="S37" s="13">
        <f>_xll.BDH("AMGN US Equity","EBITDA","FQ4 2022","FQ4 2022","Currency=USD","Period=FQ","BEST_FPERIOD_OVERRIDE=FQ","FILING_STATUS=MR","SCALING_FORMAT=MLN","FA_ADJUSTED=GAAP","Sort=A","Dates=H","DateFormat=P","Fill=—","Direction=H","UseDPDF=Y")</f>
        <v>3141</v>
      </c>
      <c r="T37" s="13">
        <f>_xll.BDH("AMGN US Equity","EBITDA","FQ1 2023","FQ1 2023","Currency=USD","Period=FQ","BEST_FPERIOD_OVERRIDE=FQ","FILING_STATUS=MR","SCALING_FORMAT=MLN","FA_ADJUSTED=GAAP","Sort=A","Dates=H","DateFormat=P","Fill=—","Direction=H","UseDPDF=Y")</f>
        <v>2821</v>
      </c>
      <c r="U37" s="13">
        <f>_xll.BDH("AMGN US Equity","EBITDA","FQ2 2023","FQ2 2023","Currency=USD","Period=FQ","BEST_FPERIOD_OVERRIDE=FQ","FILING_STATUS=MR","SCALING_FORMAT=MLN","FA_ADJUSTED=GAAP","Sort=A","Dates=H","DateFormat=P","Fill=—","Direction=H","UseDPDF=Y")</f>
        <v>3580</v>
      </c>
      <c r="V37" s="13">
        <f>_xll.BDH("AMGN US Equity","EBITDA","FQ3 2023","FQ3 2023","Currency=USD","Period=FQ","BEST_FPERIOD_OVERRIDE=FQ","FILING_STATUS=MR","SCALING_FORMAT=MLN","FA_ADJUSTED=GAAP","Sort=A","Dates=H","DateFormat=P","Fill=—","Direction=H","UseDPDF=Y")</f>
        <v>2916</v>
      </c>
      <c r="W37" s="13">
        <f>_xll.BDH("AMGN US Equity","EBITDA","FQ4 2023","FQ4 2023","Currency=USD","Period=FQ","BEST_FPERIOD_OVERRIDE=FQ","FILING_STATUS=MR","SCALING_FORMAT=MLN","FA_ADJUSTED=GAAP","Sort=A","Dates=H","DateFormat=P","Fill=—","Direction=H","UseDPDF=Y")</f>
        <v>2651</v>
      </c>
      <c r="X37" s="13">
        <f>_xll.BDH("AMGN US Equity","EBITDA","FQ1 2024","FQ1 2024","Currency=USD","Period=FQ","BEST_FPERIOD_OVERRIDE=FQ","FILING_STATUS=MR","SCALING_FORMAT=MLN","FA_ADJUSTED=GAAP","Sort=A","Dates=H","DateFormat=P","Fill=—","Direction=H","UseDPDF=Y")</f>
        <v>2390</v>
      </c>
      <c r="Y37" s="13">
        <f>_xll.BDH("AMGN US Equity","EBITDA","FQ2 2024","FQ2 2024","Currency=USD","Period=FQ","BEST_FPERIOD_OVERRIDE=FQ","FILING_STATUS=MR","SCALING_FORMAT=MLN","FA_ADJUSTED=GAAP","Sort=A","Dates=H","DateFormat=P","Fill=—","Direction=H","UseDPDF=Y")</f>
        <v>3309</v>
      </c>
      <c r="Z37" s="13">
        <f>_xll.BDH("AMGN US Equity","EBITDA","FQ3 2024","FQ3 2024","Currency=USD","Period=FQ","BEST_FPERIOD_OVERRIDE=FQ","FILING_STATUS=MR","SCALING_FORMAT=MLN","FA_ADJUSTED=GAAP","Sort=A","Dates=H","DateFormat=P","Fill=—","Direction=H","UseDPDF=Y")</f>
        <v>3443</v>
      </c>
      <c r="AA37" s="13">
        <f>_xll.BDH("AMGN US Equity","EBITDA","FQ4 2024","FQ4 2024","Currency=USD","Period=FQ","BEST_FPERIOD_OVERRIDE=FQ","FILING_STATUS=MR","SCALING_FORMAT=MLN","FA_ADJUSTED=GAAP","Sort=A","Dates=H","DateFormat=P","Fill=—","Direction=H","UseDPDF=Y")</f>
        <v>3708</v>
      </c>
    </row>
    <row r="38" spans="1:27" x14ac:dyDescent="0.25">
      <c r="A38" s="10" t="s">
        <v>1597</v>
      </c>
      <c r="B38" s="10" t="s">
        <v>1598</v>
      </c>
      <c r="C38" s="13">
        <f>_xll.BDH("AMGN US Equity","EBITDA_AFTER_CAPEX","FQ4 2018","FQ4 2018","Currency=USD","Period=FQ","BEST_FPERIOD_OVERRIDE=FQ","FILING_STATUS=MR","SCALING_FORMAT=MLN","FA_ADJUSTED=GAAP","Sort=A","Dates=H","DateFormat=P","Fill=—","Direction=H","UseDPDF=Y")</f>
        <v>2647</v>
      </c>
      <c r="D38" s="13">
        <f>_xll.BDH("AMGN US Equity","EBITDA_AFTER_CAPEX","FQ1 2019","FQ1 2019","Currency=USD","Period=FQ","BEST_FPERIOD_OVERRIDE=FQ","FILING_STATUS=MR","SCALING_FORMAT=MLN","FA_ADJUSTED=GAAP","Sort=A","Dates=H","DateFormat=P","Fill=—","Direction=H","UseDPDF=Y")</f>
        <v>2891</v>
      </c>
      <c r="E38" s="13">
        <f>_xll.BDH("AMGN US Equity","EBITDA_AFTER_CAPEX","FQ2 2019","FQ2 2019","Currency=USD","Period=FQ","BEST_FPERIOD_OVERRIDE=FQ","FILING_STATUS=MR","SCALING_FORMAT=MLN","FA_ADJUSTED=GAAP","Sort=A","Dates=H","DateFormat=P","Fill=—","Direction=H","UseDPDF=Y")</f>
        <v>3077</v>
      </c>
      <c r="F38" s="13">
        <f>_xll.BDH("AMGN US Equity","EBITDA_AFTER_CAPEX","FQ3 2019","FQ3 2019","Currency=USD","Period=FQ","BEST_FPERIOD_OVERRIDE=FQ","FILING_STATUS=MR","SCALING_FORMAT=MLN","FA_ADJUSTED=GAAP","Sort=A","Dates=H","DateFormat=P","Fill=—","Direction=H","UseDPDF=Y")</f>
        <v>2856</v>
      </c>
      <c r="G38" s="13">
        <f>_xll.BDH("AMGN US Equity","EBITDA_AFTER_CAPEX","FQ4 2019","FQ4 2019","Currency=USD","Period=FQ","BEST_FPERIOD_OVERRIDE=FQ","FILING_STATUS=MR","SCALING_FORMAT=MLN","FA_ADJUSTED=GAAP","Sort=A","Dates=H","DateFormat=P","Fill=—","Direction=H","UseDPDF=Y")</f>
        <v>2609</v>
      </c>
      <c r="H38" s="13">
        <f>_xll.BDH("AMGN US Equity","EBITDA_AFTER_CAPEX","FQ1 2020","FQ1 2020","Currency=USD","Period=FQ","BEST_FPERIOD_OVERRIDE=FQ","FILING_STATUS=MR","SCALING_FORMAT=MLN","FA_ADJUSTED=GAAP","Sort=A","Dates=H","DateFormat=P","Fill=—","Direction=H","UseDPDF=Y")</f>
        <v>3110</v>
      </c>
      <c r="I38" s="13">
        <f>_xll.BDH("AMGN US Equity","EBITDA_AFTER_CAPEX","FQ2 2020","FQ2 2020","Currency=USD","Period=FQ","BEST_FPERIOD_OVERRIDE=FQ","FILING_STATUS=MR","SCALING_FORMAT=MLN","FA_ADJUSTED=GAAP","Sort=A","Dates=H","DateFormat=P","Fill=—","Direction=H","UseDPDF=Y")</f>
        <v>3095</v>
      </c>
      <c r="J38" s="13">
        <f>_xll.BDH("AMGN US Equity","EBITDA_AFTER_CAPEX","FQ3 2020","FQ3 2020","Currency=USD","Period=FQ","BEST_FPERIOD_OVERRIDE=FQ","FILING_STATUS=MR","SCALING_FORMAT=MLN","FA_ADJUSTED=GAAP","Sort=A","Dates=H","DateFormat=P","Fill=—","Direction=H","UseDPDF=Y")</f>
        <v>3219</v>
      </c>
      <c r="K38" s="13">
        <f>_xll.BDH("AMGN US Equity","EBITDA_AFTER_CAPEX","FQ4 2020","FQ4 2020","Currency=USD","Period=FQ","BEST_FPERIOD_OVERRIDE=FQ","FILING_STATUS=MR","SCALING_FORMAT=MLN","FA_ADJUSTED=GAAP","Sort=A","Dates=H","DateFormat=P","Fill=—","Direction=H","UseDPDF=Y")</f>
        <v>2708</v>
      </c>
      <c r="L38" s="13">
        <f>_xll.BDH("AMGN US Equity","EBITDA_AFTER_CAPEX","FQ1 2021","FQ1 2021","Currency=USD","Period=FQ","BEST_FPERIOD_OVERRIDE=FQ","FILING_STATUS=MR","SCALING_FORMAT=MLN","FA_ADJUSTED=GAAP","Sort=A","Dates=H","DateFormat=P","Fill=—","Direction=H","UseDPDF=Y")</f>
        <v>2804</v>
      </c>
      <c r="M38" s="13">
        <f>_xll.BDH("AMGN US Equity","EBITDA_AFTER_CAPEX","FQ2 2021","FQ2 2021","Currency=USD","Period=FQ","BEST_FPERIOD_OVERRIDE=FQ","FILING_STATUS=MR","SCALING_FORMAT=MLN","FA_ADJUSTED=GAAP","Sort=A","Dates=H","DateFormat=P","Fill=—","Direction=H","UseDPDF=Y")</f>
        <v>1498</v>
      </c>
      <c r="N38" s="13">
        <f>_xll.BDH("AMGN US Equity","EBITDA_AFTER_CAPEX","FQ3 2021","FQ3 2021","Currency=USD","Period=FQ","BEST_FPERIOD_OVERRIDE=FQ","FILING_STATUS=MR","SCALING_FORMAT=MLN","FA_ADJUSTED=GAAP","Sort=A","Dates=H","DateFormat=P","Fill=—","Direction=H","UseDPDF=Y")</f>
        <v>2986</v>
      </c>
      <c r="O38" s="13">
        <f>_xll.BDH("AMGN US Equity","EBITDA_AFTER_CAPEX","FQ4 2021","FQ4 2021","Currency=USD","Period=FQ","BEST_FPERIOD_OVERRIDE=FQ","FILING_STATUS=MR","SCALING_FORMAT=MLN","FA_ADJUSTED=GAAP","Sort=A","Dates=H","DateFormat=P","Fill=—","Direction=H","UseDPDF=Y")</f>
        <v>2869</v>
      </c>
      <c r="P38" s="13">
        <f>_xll.BDH("AMGN US Equity","EBITDA_AFTER_CAPEX","FQ1 2022","FQ1 2022","Currency=USD","Period=FQ","BEST_FPERIOD_OVERRIDE=FQ","FILING_STATUS=MR","SCALING_FORMAT=MLN","FA_ADJUSTED=GAAP","Sort=A","Dates=H","DateFormat=P","Fill=—","Direction=H","UseDPDF=Y")</f>
        <v>3151</v>
      </c>
      <c r="Q38" s="13">
        <f>_xll.BDH("AMGN US Equity","EBITDA_AFTER_CAPEX","FQ2 2022","FQ2 2022","Currency=USD","Period=FQ","BEST_FPERIOD_OVERRIDE=FQ","FILING_STATUS=MR","SCALING_FORMAT=MLN","FA_ADJUSTED=GAAP","Sort=A","Dates=H","DateFormat=P","Fill=—","Direction=H","UseDPDF=Y")</f>
        <v>2758</v>
      </c>
      <c r="R38" s="13">
        <f>_xll.BDH("AMGN US Equity","EBITDA_AFTER_CAPEX","FQ3 2022","FQ3 2022","Currency=USD","Period=FQ","BEST_FPERIOD_OVERRIDE=FQ","FILING_STATUS=MR","SCALING_FORMAT=MLN","FA_ADJUSTED=GAAP","Sort=A","Dates=H","DateFormat=P","Fill=—","Direction=H","UseDPDF=Y")</f>
        <v>3337</v>
      </c>
      <c r="S38" s="13">
        <f>_xll.BDH("AMGN US Equity","EBITDA_AFTER_CAPEX","FQ4 2022","FQ4 2022","Currency=USD","Period=FQ","BEST_FPERIOD_OVERRIDE=FQ","FILING_STATUS=MR","SCALING_FORMAT=MLN","FA_ADJUSTED=GAAP","Sort=A","Dates=H","DateFormat=P","Fill=—","Direction=H","UseDPDF=Y")</f>
        <v>2801</v>
      </c>
      <c r="T38" s="13">
        <f>_xll.BDH("AMGN US Equity","EBITDA_AFTER_CAPEX","FQ1 2023","FQ1 2023","Currency=USD","Period=FQ","BEST_FPERIOD_OVERRIDE=FQ","FILING_STATUS=MR","SCALING_FORMAT=MLN","FA_ADJUSTED=GAAP","Sort=A","Dates=H","DateFormat=P","Fill=—","Direction=H","UseDPDF=Y")</f>
        <v>2477</v>
      </c>
      <c r="U38" s="13">
        <f>_xll.BDH("AMGN US Equity","EBITDA_AFTER_CAPEX","FQ2 2023","FQ2 2023","Currency=USD","Period=FQ","BEST_FPERIOD_OVERRIDE=FQ","FILING_STATUS=MR","SCALING_FORMAT=MLN","FA_ADJUSTED=GAAP","Sort=A","Dates=H","DateFormat=P","Fill=—","Direction=H","UseDPDF=Y")</f>
        <v>3309</v>
      </c>
      <c r="V38" s="13">
        <f>_xll.BDH("AMGN US Equity","EBITDA_AFTER_CAPEX","FQ3 2023","FQ3 2023","Currency=USD","Period=FQ","BEST_FPERIOD_OVERRIDE=FQ","FILING_STATUS=MR","SCALING_FORMAT=MLN","FA_ADJUSTED=GAAP","Sort=A","Dates=H","DateFormat=P","Fill=—","Direction=H","UseDPDF=Y")</f>
        <v>2668</v>
      </c>
      <c r="W38" s="13">
        <f>_xll.BDH("AMGN US Equity","EBITDA_AFTER_CAPEX","FQ4 2023","FQ4 2023","Currency=USD","Period=FQ","BEST_FPERIOD_OVERRIDE=FQ","FILING_STATUS=MR","SCALING_FORMAT=MLN","FA_ADJUSTED=GAAP","Sort=A","Dates=H","DateFormat=P","Fill=—","Direction=H","UseDPDF=Y")</f>
        <v>2402</v>
      </c>
      <c r="X38" s="13">
        <f>_xll.BDH("AMGN US Equity","EBITDA_AFTER_CAPEX","FQ1 2024","FQ1 2024","Currency=USD","Period=FQ","BEST_FPERIOD_OVERRIDE=FQ","FILING_STATUS=MR","SCALING_FORMAT=MLN","FA_ADJUSTED=GAAP","Sort=A","Dates=H","DateFormat=P","Fill=—","Direction=H","UseDPDF=Y")</f>
        <v>2160</v>
      </c>
      <c r="Y38" s="13">
        <f>_xll.BDH("AMGN US Equity","EBITDA_AFTER_CAPEX","FQ2 2024","FQ2 2024","Currency=USD","Period=FQ","BEST_FPERIOD_OVERRIDE=FQ","FILING_STATUS=MR","SCALING_FORMAT=MLN","FA_ADJUSTED=GAAP","Sort=A","Dates=H","DateFormat=P","Fill=—","Direction=H","UseDPDF=Y")</f>
        <v>3071</v>
      </c>
      <c r="Z38" s="13">
        <f>_xll.BDH("AMGN US Equity","EBITDA_AFTER_CAPEX","FQ3 2024","FQ3 2024","Currency=USD","Period=FQ","BEST_FPERIOD_OVERRIDE=FQ","FILING_STATUS=MR","SCALING_FORMAT=MLN","FA_ADJUSTED=GAAP","Sort=A","Dates=H","DateFormat=P","Fill=—","Direction=H","UseDPDF=Y")</f>
        <v>3186</v>
      </c>
      <c r="AA38" s="13">
        <f>_xll.BDH("AMGN US Equity","EBITDA_AFTER_CAPEX","FQ4 2024","FQ4 2024","Currency=USD","Period=FQ","BEST_FPERIOD_OVERRIDE=FQ","FILING_STATUS=MR","SCALING_FORMAT=MLN","FA_ADJUSTED=GAAP","Sort=A","Dates=H","DateFormat=P","Fill=—","Direction=H","UseDPDF=Y")</f>
        <v>3337</v>
      </c>
    </row>
    <row r="39" spans="1:27" x14ac:dyDescent="0.25">
      <c r="A39" s="10" t="s">
        <v>141</v>
      </c>
      <c r="B39" s="10" t="s">
        <v>99</v>
      </c>
      <c r="C39" s="13">
        <f>_xll.BDH("AMGN US Equity","IS_OPER_INC","FQ4 2018","FQ4 2018","Currency=USD","Period=FQ","BEST_FPERIOD_OVERRIDE=FQ","FILING_STATUS=MR","SCALING_FORMAT=MLN","FA_ADJUSTED=GAAP","Sort=A","Dates=H","DateFormat=P","Fill=—","Direction=H","UseDPDF=Y")</f>
        <v>2382</v>
      </c>
      <c r="D39" s="13">
        <f>_xll.BDH("AMGN US Equity","IS_OPER_INC","FQ1 2019","FQ1 2019","Currency=USD","Period=FQ","BEST_FPERIOD_OVERRIDE=FQ","FILING_STATUS=MR","SCALING_FORMAT=MLN","FA_ADJUSTED=GAAP","Sort=A","Dates=H","DateFormat=P","Fill=—","Direction=H","UseDPDF=Y")</f>
        <v>2472</v>
      </c>
      <c r="E39" s="13">
        <f>_xll.BDH("AMGN US Equity","IS_OPER_INC","FQ2 2019","FQ2 2019","Currency=USD","Period=FQ","BEST_FPERIOD_OVERRIDE=FQ","FILING_STATUS=MR","SCALING_FORMAT=MLN","FA_ADJUSTED=GAAP","Sort=A","Dates=H","DateFormat=P","Fill=—","Direction=H","UseDPDF=Y")</f>
        <v>2678</v>
      </c>
      <c r="F39" s="13">
        <f>_xll.BDH("AMGN US Equity","IS_OPER_INC","FQ3 2019","FQ3 2019","Currency=USD","Period=FQ","BEST_FPERIOD_OVERRIDE=FQ","FILING_STATUS=MR","SCALING_FORMAT=MLN","FA_ADJUSTED=GAAP","Sort=A","Dates=H","DateFormat=P","Fill=—","Direction=H","UseDPDF=Y")</f>
        <v>2476</v>
      </c>
      <c r="G39" s="13">
        <f>_xll.BDH("AMGN US Equity","IS_OPER_INC","FQ4 2019","FQ4 2019","Currency=USD","Period=FQ","BEST_FPERIOD_OVERRIDE=FQ","FILING_STATUS=MR","SCALING_FORMAT=MLN","FA_ADJUSTED=GAAP","Sort=A","Dates=H","DateFormat=P","Fill=—","Direction=H","UseDPDF=Y")</f>
        <v>2048</v>
      </c>
      <c r="H39" s="13">
        <f>_xll.BDH("AMGN US Equity","IS_OPER_INC","FQ1 2020","FQ1 2020","Currency=USD","Period=FQ","BEST_FPERIOD_OVERRIDE=FQ","FILING_STATUS=MR","SCALING_FORMAT=MLN","FA_ADJUSTED=GAAP","Sort=A","Dates=H","DateFormat=P","Fill=—","Direction=H","UseDPDF=Y")</f>
        <v>2355</v>
      </c>
      <c r="I39" s="13">
        <f>_xll.BDH("AMGN US Equity","IS_OPER_INC","FQ2 2020","FQ2 2020","Currency=USD","Period=FQ","BEST_FPERIOD_OVERRIDE=FQ","FILING_STATUS=MR","SCALING_FORMAT=MLN","FA_ADJUSTED=GAAP","Sort=A","Dates=H","DateFormat=P","Fill=—","Direction=H","UseDPDF=Y")</f>
        <v>2323</v>
      </c>
      <c r="J39" s="13">
        <f>_xll.BDH("AMGN US Equity","IS_OPER_INC","FQ3 2020","FQ3 2020","Currency=USD","Period=FQ","BEST_FPERIOD_OVERRIDE=FQ","FILING_STATUS=MR","SCALING_FORMAT=MLN","FA_ADJUSTED=GAAP","Sort=A","Dates=H","DateFormat=P","Fill=—","Direction=H","UseDPDF=Y")</f>
        <v>2453</v>
      </c>
      <c r="K39" s="13">
        <f>_xll.BDH("AMGN US Equity","IS_OPER_INC","FQ4 2020","FQ4 2020","Currency=USD","Period=FQ","BEST_FPERIOD_OVERRIDE=FQ","FILING_STATUS=MR","SCALING_FORMAT=MLN","FA_ADJUSTED=GAAP","Sort=A","Dates=H","DateFormat=P","Fill=—","Direction=H","UseDPDF=Y")</f>
        <v>2008</v>
      </c>
      <c r="L39" s="13">
        <f>_xll.BDH("AMGN US Equity","IS_OPER_INC","FQ1 2021","FQ1 2021","Currency=USD","Period=FQ","BEST_FPERIOD_OVERRIDE=FQ","FILING_STATUS=MR","SCALING_FORMAT=MLN","FA_ADJUSTED=GAAP","Sort=A","Dates=H","DateFormat=P","Fill=—","Direction=H","UseDPDF=Y")</f>
        <v>2129</v>
      </c>
      <c r="M39" s="13">
        <f>_xll.BDH("AMGN US Equity","IS_OPER_INC","FQ2 2021","FQ2 2021","Currency=USD","Period=FQ","BEST_FPERIOD_OVERRIDE=FQ","FILING_STATUS=MR","SCALING_FORMAT=MLN","FA_ADJUSTED=GAAP","Sort=A","Dates=H","DateFormat=P","Fill=—","Direction=H","UseDPDF=Y")</f>
        <v>828</v>
      </c>
      <c r="N39" s="13">
        <f>_xll.BDH("AMGN US Equity","IS_OPER_INC","FQ3 2021","FQ3 2021","Currency=USD","Period=FQ","BEST_FPERIOD_OVERRIDE=FQ","FILING_STATUS=MR","SCALING_FORMAT=MLN","FA_ADJUSTED=GAAP","Sort=A","Dates=H","DateFormat=P","Fill=—","Direction=H","UseDPDF=Y")</f>
        <v>2378</v>
      </c>
      <c r="O39" s="13">
        <f>_xll.BDH("AMGN US Equity","IS_OPER_INC","FQ4 2021","FQ4 2021","Currency=USD","Period=FQ","BEST_FPERIOD_OVERRIDE=FQ","FILING_STATUS=MR","SCALING_FORMAT=MLN","FA_ADJUSTED=GAAP","Sort=A","Dates=H","DateFormat=P","Fill=—","Direction=H","UseDPDF=Y")</f>
        <v>2304</v>
      </c>
      <c r="P39" s="13">
        <f>_xll.BDH("AMGN US Equity","IS_OPER_INC","FQ1 2022","FQ1 2022","Currency=USD","Period=FQ","BEST_FPERIOD_OVERRIDE=FQ","FILING_STATUS=MR","SCALING_FORMAT=MLN","FA_ADJUSTED=GAAP","Sort=A","Dates=H","DateFormat=P","Fill=—","Direction=H","UseDPDF=Y")</f>
        <v>2500</v>
      </c>
      <c r="Q39" s="13">
        <f>_xll.BDH("AMGN US Equity","IS_OPER_INC","FQ2 2022","FQ2 2022","Currency=USD","Period=FQ","BEST_FPERIOD_OVERRIDE=FQ","FILING_STATUS=MR","SCALING_FORMAT=MLN","FA_ADJUSTED=GAAP","Sort=A","Dates=H","DateFormat=P","Fill=—","Direction=H","UseDPDF=Y")</f>
        <v>2176</v>
      </c>
      <c r="R39" s="13">
        <f>_xll.BDH("AMGN US Equity","IS_OPER_INC","FQ3 2022","FQ3 2022","Currency=USD","Period=FQ","BEST_FPERIOD_OVERRIDE=FQ","FILING_STATUS=MR","SCALING_FORMAT=MLN","FA_ADJUSTED=GAAP","Sort=A","Dates=H","DateFormat=P","Fill=—","Direction=H","UseDPDF=Y")</f>
        <v>2660</v>
      </c>
      <c r="S39" s="13">
        <f>_xll.BDH("AMGN US Equity","IS_OPER_INC","FQ4 2022","FQ4 2022","Currency=USD","Period=FQ","BEST_FPERIOD_OVERRIDE=FQ","FILING_STATUS=MR","SCALING_FORMAT=MLN","FA_ADJUSTED=GAAP","Sort=A","Dates=H","DateFormat=P","Fill=—","Direction=H","UseDPDF=Y")</f>
        <v>2230</v>
      </c>
      <c r="T39" s="13">
        <f>_xll.BDH("AMGN US Equity","IS_OPER_INC","FQ1 2023","FQ1 2023","Currency=USD","Period=FQ","BEST_FPERIOD_OVERRIDE=FQ","FILING_STATUS=MR","SCALING_FORMAT=MLN","FA_ADJUSTED=GAAP","Sort=A","Dates=H","DateFormat=P","Fill=—","Direction=H","UseDPDF=Y")</f>
        <v>1921</v>
      </c>
      <c r="U39" s="13">
        <f>_xll.BDH("AMGN US Equity","IS_OPER_INC","FQ2 2023","FQ2 2023","Currency=USD","Period=FQ","BEST_FPERIOD_OVERRIDE=FQ","FILING_STATUS=MR","SCALING_FORMAT=MLN","FA_ADJUSTED=GAAP","Sort=A","Dates=H","DateFormat=P","Fill=—","Direction=H","UseDPDF=Y")</f>
        <v>2684</v>
      </c>
      <c r="V39" s="13">
        <f>_xll.BDH("AMGN US Equity","IS_OPER_INC","FQ3 2023","FQ3 2023","Currency=USD","Period=FQ","BEST_FPERIOD_OVERRIDE=FQ","FILING_STATUS=MR","SCALING_FORMAT=MLN","FA_ADJUSTED=GAAP","Sort=A","Dates=H","DateFormat=P","Fill=—","Direction=H","UseDPDF=Y")</f>
        <v>2021</v>
      </c>
      <c r="W39" s="13">
        <f>_xll.BDH("AMGN US Equity","IS_OPER_INC","FQ4 2023","FQ4 2023","Currency=USD","Period=FQ","BEST_FPERIOD_OVERRIDE=FQ","FILING_STATUS=MR","SCALING_FORMAT=MLN","FA_ADJUSTED=GAAP","Sort=A","Dates=H","DateFormat=P","Fill=—","Direction=H","UseDPDF=Y")</f>
        <v>1271</v>
      </c>
      <c r="X39" s="13">
        <f>_xll.BDH("AMGN US Equity","IS_OPER_INC","FQ1 2024","FQ1 2024","Currency=USD","Period=FQ","BEST_FPERIOD_OVERRIDE=FQ","FILING_STATUS=MR","SCALING_FORMAT=MLN","FA_ADJUSTED=GAAP","Sort=A","Dates=H","DateFormat=P","Fill=—","Direction=H","UseDPDF=Y")</f>
        <v>991</v>
      </c>
      <c r="Y39" s="13">
        <f>_xll.BDH("AMGN US Equity","IS_OPER_INC","FQ2 2024","FQ2 2024","Currency=USD","Period=FQ","BEST_FPERIOD_OVERRIDE=FQ","FILING_STATUS=MR","SCALING_FORMAT=MLN","FA_ADJUSTED=GAAP","Sort=A","Dates=H","DateFormat=P","Fill=—","Direction=H","UseDPDF=Y")</f>
        <v>1909</v>
      </c>
      <c r="Z39" s="13">
        <f>_xll.BDH("AMGN US Equity","IS_OPER_INC","FQ3 2024","FQ3 2024","Currency=USD","Period=FQ","BEST_FPERIOD_OVERRIDE=FQ","FILING_STATUS=MR","SCALING_FORMAT=MLN","FA_ADJUSTED=GAAP","Sort=A","Dates=H","DateFormat=P","Fill=—","Direction=H","UseDPDF=Y")</f>
        <v>2047</v>
      </c>
      <c r="AA39" s="13">
        <f>_xll.BDH("AMGN US Equity","IS_OPER_INC","FQ4 2024","FQ4 2024","Currency=USD","Period=FQ","BEST_FPERIOD_OVERRIDE=FQ","FILING_STATUS=MR","SCALING_FORMAT=MLN","FA_ADJUSTED=GAAP","Sort=A","Dates=H","DateFormat=P","Fill=—","Direction=H","UseDPDF=Y")</f>
        <v>2311</v>
      </c>
    </row>
    <row r="40" spans="1:27" x14ac:dyDescent="0.25">
      <c r="A40" s="7" t="s">
        <v>90</v>
      </c>
      <c r="B40" s="7"/>
      <c r="C40" s="7" t="s">
        <v>5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40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1599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10" t="s">
        <v>195</v>
      </c>
      <c r="B6" s="10" t="s">
        <v>196</v>
      </c>
      <c r="C6" s="12" t="s">
        <v>1563</v>
      </c>
      <c r="D6" s="12" t="s">
        <v>197</v>
      </c>
      <c r="E6" s="12" t="s">
        <v>197</v>
      </c>
      <c r="F6" s="12" t="s">
        <v>197</v>
      </c>
      <c r="G6" s="12" t="s">
        <v>197</v>
      </c>
      <c r="H6" s="12" t="s">
        <v>197</v>
      </c>
      <c r="I6" s="12" t="s">
        <v>197</v>
      </c>
      <c r="J6" s="12" t="s">
        <v>197</v>
      </c>
      <c r="K6" s="12" t="s">
        <v>197</v>
      </c>
      <c r="L6" s="12" t="s">
        <v>197</v>
      </c>
      <c r="M6" s="12" t="s">
        <v>197</v>
      </c>
      <c r="N6" s="12" t="s">
        <v>197</v>
      </c>
      <c r="O6" s="12" t="s">
        <v>197</v>
      </c>
      <c r="P6" s="12" t="s">
        <v>197</v>
      </c>
      <c r="Q6" s="12" t="s">
        <v>197</v>
      </c>
      <c r="R6" s="12" t="s">
        <v>197</v>
      </c>
      <c r="S6" s="12" t="s">
        <v>197</v>
      </c>
      <c r="T6" s="12" t="s">
        <v>197</v>
      </c>
      <c r="U6" s="12" t="s">
        <v>197</v>
      </c>
      <c r="V6" s="12" t="s">
        <v>197</v>
      </c>
      <c r="W6" s="12" t="s">
        <v>197</v>
      </c>
      <c r="X6" s="12" t="s">
        <v>197</v>
      </c>
      <c r="Y6" s="12" t="s">
        <v>197</v>
      </c>
      <c r="Z6" s="12" t="s">
        <v>197</v>
      </c>
      <c r="AA6" s="12" t="s">
        <v>197</v>
      </c>
    </row>
    <row r="7" spans="1:27" x14ac:dyDescent="0.25">
      <c r="A7" s="10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1493</v>
      </c>
      <c r="B8" s="10" t="s">
        <v>291</v>
      </c>
      <c r="C8" s="13">
        <f>_xll.BDH("AMGN US Equity","TOT_DEBT_EX_OPERATING_LEA_LIABS","FQ4 2018","FQ4 2018","Currency=USD","Period=FQ","BEST_FPERIOD_OVERRIDE=FQ","FILING_STATUS=MR","SCALING_FORMAT=MLN","Sort=A","Dates=H","DateFormat=P","Fill=—","Direction=H","UseDPDF=Y")</f>
        <v>33929</v>
      </c>
      <c r="D8" s="13">
        <f>_xll.BDH("AMGN US Equity","TOT_DEBT_EX_OPERATING_LEA_LIABS","FQ1 2019","FQ1 2019","Currency=USD","Period=FQ","BEST_FPERIOD_OVERRIDE=FQ","FILING_STATUS=MR","SCALING_FORMAT=MLN","Sort=A","Dates=H","DateFormat=P","Fill=—","Direction=H","UseDPDF=Y")</f>
        <v>33024</v>
      </c>
      <c r="E8" s="13">
        <f>_xll.BDH("AMGN US Equity","TOT_DEBT_EX_OPERATING_LEA_LIABS","FQ2 2019","FQ2 2019","Currency=USD","Period=FQ","BEST_FPERIOD_OVERRIDE=FQ","FILING_STATUS=MR","SCALING_FORMAT=MLN","Sort=A","Dates=H","DateFormat=P","Fill=—","Direction=H","UseDPDF=Y")</f>
        <v>30614</v>
      </c>
      <c r="F8" s="13">
        <f>_xll.BDH("AMGN US Equity","TOT_DEBT_EX_OPERATING_LEA_LIABS","FQ3 2019","FQ3 2019","Currency=USD","Period=FQ","BEST_FPERIOD_OVERRIDE=FQ","FILING_STATUS=MR","SCALING_FORMAT=MLN","Sort=A","Dates=H","DateFormat=P","Fill=—","Direction=H","UseDPDF=Y")</f>
        <v>29791</v>
      </c>
      <c r="G8" s="13">
        <f>_xll.BDH("AMGN US Equity","TOT_DEBT_EX_OPERATING_LEA_LIABS","FQ4 2019","FQ4 2019","Currency=USD","Period=FQ","BEST_FPERIOD_OVERRIDE=FQ","FILING_STATUS=MR","SCALING_FORMAT=MLN","Sort=A","Dates=H","DateFormat=P","Fill=—","Direction=H","UseDPDF=Y")</f>
        <v>29903</v>
      </c>
      <c r="H8" s="13">
        <f>_xll.BDH("AMGN US Equity","TOT_DEBT_EX_OPERATING_LEA_LIABS","FQ1 2020","FQ1 2020","Currency=USD","Period=FQ","BEST_FPERIOD_OVERRIDE=FQ","FILING_STATUS=MR","SCALING_FORMAT=MLN","Sort=A","Dates=H","DateFormat=P","Fill=—","Direction=H","UseDPDF=Y")</f>
        <v>31848</v>
      </c>
      <c r="I8" s="13">
        <f>_xll.BDH("AMGN US Equity","TOT_DEBT_EX_OPERATING_LEA_LIABS","FQ2 2020","FQ2 2020","Currency=USD","Period=FQ","BEST_FPERIOD_OVERRIDE=FQ","FILING_STATUS=MR","SCALING_FORMAT=MLN","Sort=A","Dates=H","DateFormat=P","Fill=—","Direction=H","UseDPDF=Y")</f>
        <v>34224</v>
      </c>
      <c r="J8" s="13">
        <f>_xll.BDH("AMGN US Equity","TOT_DEBT_EX_OPERATING_LEA_LIABS","FQ3 2020","FQ3 2020","Currency=USD","Period=FQ","BEST_FPERIOD_OVERRIDE=FQ","FILING_STATUS=MR","SCALING_FORMAT=MLN","Sort=A","Dates=H","DateFormat=P","Fill=—","Direction=H","UseDPDF=Y")</f>
        <v>34287</v>
      </c>
      <c r="K8" s="13">
        <f>_xll.BDH("AMGN US Equity","TOT_DEBT_EX_OPERATING_LEA_LIABS","FQ4 2020","FQ4 2020","Currency=USD","Period=FQ","BEST_FPERIOD_OVERRIDE=FQ","FILING_STATUS=MR","SCALING_FORMAT=MLN","Sort=A","Dates=H","DateFormat=P","Fill=—","Direction=H","UseDPDF=Y")</f>
        <v>32986</v>
      </c>
      <c r="L8" s="13">
        <f>_xll.BDH("AMGN US Equity","TOT_DEBT_EX_OPERATING_LEA_LIABS","FQ1 2021","FQ1 2021","Currency=USD","Period=FQ","BEST_FPERIOD_OVERRIDE=FQ","FILING_STATUS=MR","SCALING_FORMAT=MLN","Sort=A","Dates=H","DateFormat=P","Fill=—","Direction=H","UseDPDF=Y")</f>
        <v>32685</v>
      </c>
      <c r="M8" s="13">
        <f>_xll.BDH("AMGN US Equity","TOT_DEBT_EX_OPERATING_LEA_LIABS","FQ2 2021","FQ2 2021","Currency=USD","Period=FQ","BEST_FPERIOD_OVERRIDE=FQ","FILING_STATUS=MR","SCALING_FORMAT=MLN","Sort=A","Dates=H","DateFormat=P","Fill=—","Direction=H","UseDPDF=Y")</f>
        <v>32782</v>
      </c>
      <c r="N8" s="13">
        <f>_xll.BDH("AMGN US Equity","TOT_DEBT_EX_OPERATING_LEA_LIABS","FQ3 2021","FQ3 2021","Currency=USD","Period=FQ","BEST_FPERIOD_OVERRIDE=FQ","FILING_STATUS=MR","SCALING_FORMAT=MLN","Sort=A","Dates=H","DateFormat=P","Fill=—","Direction=H","UseDPDF=Y")</f>
        <v>37579</v>
      </c>
      <c r="O8" s="13">
        <f>_xll.BDH("AMGN US Equity","TOT_DEBT_EX_OPERATING_LEA_LIABS","FQ4 2021","FQ4 2021","Currency=USD","Period=FQ","BEST_FPERIOD_OVERRIDE=FQ","FILING_STATUS=MR","SCALING_FORMAT=MLN","Sort=A","Dates=H","DateFormat=P","Fill=—","Direction=H","UseDPDF=Y")</f>
        <v>33309</v>
      </c>
      <c r="P8" s="13">
        <f>_xll.BDH("AMGN US Equity","TOT_DEBT_EX_OPERATING_LEA_LIABS","FQ1 2022","FQ1 2022","Currency=USD","Period=FQ","BEST_FPERIOD_OVERRIDE=FQ","FILING_STATUS=MR","SCALING_FORMAT=MLN","Sort=A","Dates=H","DateFormat=P","Fill=—","Direction=H","UseDPDF=Y")</f>
        <v>36854</v>
      </c>
      <c r="Q8" s="13">
        <f>_xll.BDH("AMGN US Equity","TOT_DEBT_EX_OPERATING_LEA_LIABS","FQ2 2022","FQ2 2022","Currency=USD","Period=FQ","BEST_FPERIOD_OVERRIDE=FQ","FILING_STATUS=MR","SCALING_FORMAT=MLN","Sort=A","Dates=H","DateFormat=P","Fill=—","Direction=H","UseDPDF=Y")</f>
        <v>36522</v>
      </c>
      <c r="R8" s="13">
        <f>_xll.BDH("AMGN US Equity","TOT_DEBT_EX_OPERATING_LEA_LIABS","FQ3 2022","FQ3 2022","Currency=USD","Period=FQ","BEST_FPERIOD_OVERRIDE=FQ","FILING_STATUS=MR","SCALING_FORMAT=MLN","Sort=A","Dates=H","DateFormat=P","Fill=—","Direction=H","UseDPDF=Y")</f>
        <v>38704</v>
      </c>
      <c r="S8" s="13">
        <f>_xll.BDH("AMGN US Equity","TOT_DEBT_EX_OPERATING_LEA_LIABS","FQ4 2022","FQ4 2022","Currency=USD","Period=FQ","BEST_FPERIOD_OVERRIDE=FQ","FILING_STATUS=MR","SCALING_FORMAT=MLN","Sort=A","Dates=H","DateFormat=P","Fill=—","Direction=H","UseDPDF=Y")</f>
        <v>38945</v>
      </c>
      <c r="T8" s="13">
        <f>_xll.BDH("AMGN US Equity","TOT_DEBT_EX_OPERATING_LEA_LIABS","FQ1 2023","FQ1 2023","Currency=USD","Period=FQ","BEST_FPERIOD_OVERRIDE=FQ","FILING_STATUS=MR","SCALING_FORMAT=MLN","Sort=A","Dates=H","DateFormat=P","Fill=—","Direction=H","UseDPDF=Y")</f>
        <v>61595</v>
      </c>
      <c r="U8" s="13">
        <f>_xll.BDH("AMGN US Equity","TOT_DEBT_EX_OPERATING_LEA_LIABS","FQ2 2023","FQ2 2023","Currency=USD","Period=FQ","BEST_FPERIOD_OVERRIDE=FQ","FILING_STATUS=MR","SCALING_FORMAT=MLN","Sort=A","Dates=H","DateFormat=P","Fill=—","Direction=H","UseDPDF=Y")</f>
        <v>61544</v>
      </c>
      <c r="V8" s="13">
        <f>_xll.BDH("AMGN US Equity","TOT_DEBT_EX_OPERATING_LEA_LIABS","FQ3 2023","FQ3 2023","Currency=USD","Period=FQ","BEST_FPERIOD_OVERRIDE=FQ","FILING_STATUS=MR","SCALING_FORMAT=MLN","Sort=A","Dates=H","DateFormat=P","Fill=—","Direction=H","UseDPDF=Y")</f>
        <v>60468</v>
      </c>
      <c r="W8" s="13">
        <f>_xll.BDH("AMGN US Equity","TOT_DEBT_EX_OPERATING_LEA_LIABS","FQ4 2023","FQ4 2023","Currency=USD","Period=FQ","BEST_FPERIOD_OVERRIDE=FQ","FILING_STATUS=MR","SCALING_FORMAT=MLN","Sort=A","Dates=H","DateFormat=P","Fill=—","Direction=H","UseDPDF=Y")</f>
        <v>64613</v>
      </c>
      <c r="X8" s="13">
        <f>_xll.BDH("AMGN US Equity","TOT_DEBT_EX_OPERATING_LEA_LIABS","FQ1 2024","FQ1 2024","Currency=USD","Period=FQ","BEST_FPERIOD_OVERRIDE=FQ","FILING_STATUS=MR","SCALING_FORMAT=MLN","Sort=A","Dates=H","DateFormat=P","Fill=—","Direction=H","UseDPDF=Y")</f>
        <v>64020</v>
      </c>
      <c r="Y8" s="13">
        <f>_xll.BDH("AMGN US Equity","TOT_DEBT_EX_OPERATING_LEA_LIABS","FQ2 2024","FQ2 2024","Currency=USD","Period=FQ","BEST_FPERIOD_OVERRIDE=FQ","FILING_STATUS=MR","SCALING_FORMAT=MLN","Sort=A","Dates=H","DateFormat=P","Fill=—","Direction=H","UseDPDF=Y")</f>
        <v>62645</v>
      </c>
      <c r="Z8" s="13">
        <f>_xll.BDH("AMGN US Equity","TOT_DEBT_EX_OPERATING_LEA_LIABS","FQ3 2024","FQ3 2024","Currency=USD","Period=FQ","BEST_FPERIOD_OVERRIDE=FQ","FILING_STATUS=MR","SCALING_FORMAT=MLN","Sort=A","Dates=H","DateFormat=P","Fill=—","Direction=H","UseDPDF=Y")</f>
        <v>60398</v>
      </c>
      <c r="AA8" s="13">
        <f>_xll.BDH("AMGN US Equity","TOT_DEBT_EX_OPERATING_LEA_LIABS","FQ4 2024","FQ4 2024","Currency=USD","Period=FQ","BEST_FPERIOD_OVERRIDE=FQ","FILING_STATUS=MR","SCALING_FORMAT=MLN","Sort=A","Dates=H","DateFormat=P","Fill=—","Direction=H","UseDPDF=Y")</f>
        <v>60099</v>
      </c>
    </row>
    <row r="9" spans="1:27" x14ac:dyDescent="0.25">
      <c r="A9" s="10" t="s">
        <v>1564</v>
      </c>
      <c r="B9" s="10" t="s">
        <v>1600</v>
      </c>
      <c r="C9" s="13">
        <f>_xll.BDH("AMGN US Equity","ST_DEBT_EX_OPERATING_LEASE_LIABS","FQ4 2018","FQ4 2018","Currency=USD","Period=FQ","BEST_FPERIOD_OVERRIDE=FQ","FILING_STATUS=MR","SCALING_FORMAT=MLN","Sort=A","Dates=H","DateFormat=P","Fill=—","Direction=H","UseDPDF=Y")</f>
        <v>4419</v>
      </c>
      <c r="D9" s="13">
        <f>_xll.BDH("AMGN US Equity","ST_DEBT_EX_OPERATING_LEASE_LIABS","FQ1 2019","FQ1 2019","Currency=USD","Period=FQ","BEST_FPERIOD_OVERRIDE=FQ","FILING_STATUS=MR","SCALING_FORMAT=MLN","Sort=A","Dates=H","DateFormat=P","Fill=—","Direction=H","UseDPDF=Y")</f>
        <v>3705</v>
      </c>
      <c r="E9" s="13">
        <f>_xll.BDH("AMGN US Equity","ST_DEBT_EX_OPERATING_LEASE_LIABS","FQ2 2019","FQ2 2019","Currency=USD","Period=FQ","BEST_FPERIOD_OVERRIDE=FQ","FILING_STATUS=MR","SCALING_FORMAT=MLN","Sort=A","Dates=H","DateFormat=P","Fill=—","Direction=H","UseDPDF=Y")</f>
        <v>2816</v>
      </c>
      <c r="F9" s="13">
        <f>_xll.BDH("AMGN US Equity","ST_DEBT_EX_OPERATING_LEASE_LIABS","FQ3 2019","FQ3 2019","Currency=USD","Period=FQ","BEST_FPERIOD_OVERRIDE=FQ","FILING_STATUS=MR","SCALING_FORMAT=MLN","Sort=A","Dates=H","DateFormat=P","Fill=—","Direction=H","UseDPDF=Y")</f>
        <v>2049</v>
      </c>
      <c r="G9" s="13">
        <f>_xll.BDH("AMGN US Equity","ST_DEBT_EX_OPERATING_LEASE_LIABS","FQ4 2019","FQ4 2019","Currency=USD","Period=FQ","BEST_FPERIOD_OVERRIDE=FQ","FILING_STATUS=MR","SCALING_FORMAT=MLN","Sort=A","Dates=H","DateFormat=P","Fill=—","Direction=H","UseDPDF=Y")</f>
        <v>2953</v>
      </c>
      <c r="H9" s="13">
        <f>_xll.BDH("AMGN US Equity","ST_DEBT_EX_OPERATING_LEASE_LIABS","FQ1 2020","FQ1 2020","Currency=USD","Period=FQ","BEST_FPERIOD_OVERRIDE=FQ","FILING_STATUS=MR","SCALING_FORMAT=MLN","Sort=A","Dates=H","DateFormat=P","Fill=—","Direction=H","UseDPDF=Y")</f>
        <v>1840</v>
      </c>
      <c r="I9" s="13">
        <f>_xll.BDH("AMGN US Equity","ST_DEBT_EX_OPERATING_LEASE_LIABS","FQ2 2020","FQ2 2020","Currency=USD","Period=FQ","BEST_FPERIOD_OVERRIDE=FQ","FILING_STATUS=MR","SCALING_FORMAT=MLN","Sort=A","Dates=H","DateFormat=P","Fill=—","Direction=H","UseDPDF=Y")</f>
        <v>91</v>
      </c>
      <c r="J9" s="13">
        <f>_xll.BDH("AMGN US Equity","ST_DEBT_EX_OPERATING_LEASE_LIABS","FQ3 2020","FQ3 2020","Currency=USD","Period=FQ","BEST_FPERIOD_OVERRIDE=FQ","FILING_STATUS=MR","SCALING_FORMAT=MLN","Sort=A","Dates=H","DateFormat=P","Fill=—","Direction=H","UseDPDF=Y")</f>
        <v>91</v>
      </c>
      <c r="K9" s="13">
        <f>_xll.BDH("AMGN US Equity","ST_DEBT_EX_OPERATING_LEASE_LIABS","FQ4 2020","FQ4 2020","Currency=USD","Period=FQ","BEST_FPERIOD_OVERRIDE=FQ","FILING_STATUS=MR","SCALING_FORMAT=MLN","Sort=A","Dates=H","DateFormat=P","Fill=—","Direction=H","UseDPDF=Y")</f>
        <v>91</v>
      </c>
      <c r="L9" s="13">
        <f>_xll.BDH("AMGN US Equity","ST_DEBT_EX_OPERATING_LEASE_LIABS","FQ1 2021","FQ1 2021","Currency=USD","Period=FQ","BEST_FPERIOD_OVERRIDE=FQ","FILING_STATUS=MR","SCALING_FORMAT=MLN","Sort=A","Dates=H","DateFormat=P","Fill=—","Direction=H","UseDPDF=Y")</f>
        <v>1556</v>
      </c>
      <c r="M9" s="13">
        <f>_xll.BDH("AMGN US Equity","ST_DEBT_EX_OPERATING_LEASE_LIABS","FQ2 2021","FQ2 2021","Currency=USD","Period=FQ","BEST_FPERIOD_OVERRIDE=FQ","FILING_STATUS=MR","SCALING_FORMAT=MLN","Sort=A","Dates=H","DateFormat=P","Fill=—","Direction=H","UseDPDF=Y")</f>
        <v>4324</v>
      </c>
      <c r="N9" s="13">
        <f>_xll.BDH("AMGN US Equity","ST_DEBT_EX_OPERATING_LEASE_LIABS","FQ3 2021","FQ3 2021","Currency=USD","Period=FQ","BEST_FPERIOD_OVERRIDE=FQ","FILING_STATUS=MR","SCALING_FORMAT=MLN","Sort=A","Dates=H","DateFormat=P","Fill=—","Direction=H","UseDPDF=Y")</f>
        <v>4288</v>
      </c>
      <c r="O9" s="13">
        <f>_xll.BDH("AMGN US Equity","ST_DEBT_EX_OPERATING_LEASE_LIABS","FQ4 2021","FQ4 2021","Currency=USD","Period=FQ","BEST_FPERIOD_OVERRIDE=FQ","FILING_STATUS=MR","SCALING_FORMAT=MLN","Sort=A","Dates=H","DateFormat=P","Fill=—","Direction=H","UseDPDF=Y")</f>
        <v>87</v>
      </c>
      <c r="P9" s="13">
        <f>_xll.BDH("AMGN US Equity","ST_DEBT_EX_OPERATING_LEASE_LIABS","FQ1 2022","FQ1 2022","Currency=USD","Period=FQ","BEST_FPERIOD_OVERRIDE=FQ","FILING_STATUS=MR","SCALING_FORMAT=MLN","Sort=A","Dates=H","DateFormat=P","Fill=—","Direction=H","UseDPDF=Y")</f>
        <v>844</v>
      </c>
      <c r="Q9" s="13">
        <f>_xll.BDH("AMGN US Equity","ST_DEBT_EX_OPERATING_LEASE_LIABS","FQ2 2022","FQ2 2022","Currency=USD","Period=FQ","BEST_FPERIOD_OVERRIDE=FQ","FILING_STATUS=MR","SCALING_FORMAT=MLN","Sort=A","Dates=H","DateFormat=P","Fill=—","Direction=H","UseDPDF=Y")</f>
        <v>817</v>
      </c>
      <c r="R9" s="13">
        <f>_xll.BDH("AMGN US Equity","ST_DEBT_EX_OPERATING_LEASE_LIABS","FQ3 2022","FQ3 2022","Currency=USD","Period=FQ","BEST_FPERIOD_OVERRIDE=FQ","FILING_STATUS=MR","SCALING_FORMAT=MLN","Sort=A","Dates=H","DateFormat=P","Fill=—","Direction=H","UseDPDF=Y")</f>
        <v>1543</v>
      </c>
      <c r="S9" s="13">
        <f>_xll.BDH("AMGN US Equity","ST_DEBT_EX_OPERATING_LEASE_LIABS","FQ4 2022","FQ4 2022","Currency=USD","Period=FQ","BEST_FPERIOD_OVERRIDE=FQ","FILING_STATUS=MR","SCALING_FORMAT=MLN","Sort=A","Dates=H","DateFormat=P","Fill=—","Direction=H","UseDPDF=Y")</f>
        <v>1591</v>
      </c>
      <c r="T9" s="13">
        <f>_xll.BDH("AMGN US Equity","ST_DEBT_EX_OPERATING_LEASE_LIABS","FQ1 2023","FQ1 2023","Currency=USD","Period=FQ","BEST_FPERIOD_OVERRIDE=FQ","FILING_STATUS=MR","SCALING_FORMAT=MLN","Sort=A","Dates=H","DateFormat=P","Fill=—","Direction=H","UseDPDF=Y")</f>
        <v>834</v>
      </c>
      <c r="U9" s="13">
        <f>_xll.BDH("AMGN US Equity","ST_DEBT_EX_OPERATING_LEASE_LIABS","FQ2 2023","FQ2 2023","Currency=USD","Period=FQ","BEST_FPERIOD_OVERRIDE=FQ","FILING_STATUS=MR","SCALING_FORMAT=MLN","Sort=A","Dates=H","DateFormat=P","Fill=—","Direction=H","UseDPDF=Y")</f>
        <v>2167</v>
      </c>
      <c r="V9" s="13">
        <f>_xll.BDH("AMGN US Equity","ST_DEBT_EX_OPERATING_LEASE_LIABS","FQ3 2023","FQ3 2023","Currency=USD","Period=FQ","BEST_FPERIOD_OVERRIDE=FQ","FILING_STATUS=MR","SCALING_FORMAT=MLN","Sort=A","Dates=H","DateFormat=P","Fill=—","Direction=H","UseDPDF=Y")</f>
        <v>1428</v>
      </c>
      <c r="W9" s="13">
        <f>_xll.BDH("AMGN US Equity","ST_DEBT_EX_OPERATING_LEASE_LIABS","FQ4 2023","FQ4 2023","Currency=USD","Period=FQ","BEST_FPERIOD_OVERRIDE=FQ","FILING_STATUS=MR","SCALING_FORMAT=MLN","Sort=A","Dates=H","DateFormat=P","Fill=—","Direction=H","UseDPDF=Y")</f>
        <v>1443</v>
      </c>
      <c r="X9" s="13">
        <f>_xll.BDH("AMGN US Equity","ST_DEBT_EX_OPERATING_LEASE_LIABS","FQ1 2024","FQ1 2024","Currency=USD","Period=FQ","BEST_FPERIOD_OVERRIDE=FQ","FILING_STATUS=MR","SCALING_FORMAT=MLN","Sort=A","Dates=H","DateFormat=P","Fill=—","Direction=H","UseDPDF=Y")</f>
        <v>3959</v>
      </c>
      <c r="Y9" s="13">
        <f>_xll.BDH("AMGN US Equity","ST_DEBT_EX_OPERATING_LEASE_LIABS","FQ2 2024","FQ2 2024","Currency=USD","Period=FQ","BEST_FPERIOD_OVERRIDE=FQ","FILING_STATUS=MR","SCALING_FORMAT=MLN","Sort=A","Dates=H","DateFormat=P","Fill=—","Direction=H","UseDPDF=Y")</f>
        <v>5528</v>
      </c>
      <c r="Z9" s="13">
        <f>_xll.BDH("AMGN US Equity","ST_DEBT_EX_OPERATING_LEASE_LIABS","FQ3 2024","FQ3 2024","Currency=USD","Period=FQ","BEST_FPERIOD_OVERRIDE=FQ","FILING_STATUS=MR","SCALING_FORMAT=MLN","Sort=A","Dates=H","DateFormat=P","Fill=—","Direction=H","UseDPDF=Y")</f>
        <v>3544</v>
      </c>
      <c r="AA9" s="13">
        <f>_xll.BDH("AMGN US Equity","ST_DEBT_EX_OPERATING_LEASE_LIABS","FQ4 2024","FQ4 2024","Currency=USD","Period=FQ","BEST_FPERIOD_OVERRIDE=FQ","FILING_STATUS=MR","SCALING_FORMAT=MLN","Sort=A","Dates=H","DateFormat=P","Fill=—","Direction=H","UseDPDF=Y")</f>
        <v>3550</v>
      </c>
    </row>
    <row r="10" spans="1:27" x14ac:dyDescent="0.25">
      <c r="A10" s="10" t="s">
        <v>1565</v>
      </c>
      <c r="B10" s="10" t="s">
        <v>1601</v>
      </c>
      <c r="C10" s="13">
        <f>_xll.BDH("AMGN US Equity","LT_DEBT_EX_OPERATING_LEASE_LIABS","FQ4 2018","FQ4 2018","Currency=USD","Period=FQ","BEST_FPERIOD_OVERRIDE=FQ","FILING_STATUS=MR","SCALING_FORMAT=MLN","Sort=A","Dates=H","DateFormat=P","Fill=—","Direction=H","UseDPDF=Y")</f>
        <v>29510</v>
      </c>
      <c r="D10" s="13">
        <f>_xll.BDH("AMGN US Equity","LT_DEBT_EX_OPERATING_LEASE_LIABS","FQ1 2019","FQ1 2019","Currency=USD","Period=FQ","BEST_FPERIOD_OVERRIDE=FQ","FILING_STATUS=MR","SCALING_FORMAT=MLN","Sort=A","Dates=H","DateFormat=P","Fill=—","Direction=H","UseDPDF=Y")</f>
        <v>29319</v>
      </c>
      <c r="E10" s="13">
        <f>_xll.BDH("AMGN US Equity","LT_DEBT_EX_OPERATING_LEASE_LIABS","FQ2 2019","FQ2 2019","Currency=USD","Period=FQ","BEST_FPERIOD_OVERRIDE=FQ","FILING_STATUS=MR","SCALING_FORMAT=MLN","Sort=A","Dates=H","DateFormat=P","Fill=—","Direction=H","UseDPDF=Y")</f>
        <v>27798</v>
      </c>
      <c r="F10" s="13">
        <f>_xll.BDH("AMGN US Equity","LT_DEBT_EX_OPERATING_LEASE_LIABS","FQ3 2019","FQ3 2019","Currency=USD","Period=FQ","BEST_FPERIOD_OVERRIDE=FQ","FILING_STATUS=MR","SCALING_FORMAT=MLN","Sort=A","Dates=H","DateFormat=P","Fill=—","Direction=H","UseDPDF=Y")</f>
        <v>27742</v>
      </c>
      <c r="G10" s="13">
        <f>_xll.BDH("AMGN US Equity","LT_DEBT_EX_OPERATING_LEASE_LIABS","FQ4 2019","FQ4 2019","Currency=USD","Period=FQ","BEST_FPERIOD_OVERRIDE=FQ","FILING_STATUS=MR","SCALING_FORMAT=MLN","Sort=A","Dates=H","DateFormat=P","Fill=—","Direction=H","UseDPDF=Y")</f>
        <v>26950</v>
      </c>
      <c r="H10" s="13">
        <f>_xll.BDH("AMGN US Equity","LT_DEBT_EX_OPERATING_LEASE_LIABS","FQ1 2020","FQ1 2020","Currency=USD","Period=FQ","BEST_FPERIOD_OVERRIDE=FQ","FILING_STATUS=MR","SCALING_FORMAT=MLN","Sort=A","Dates=H","DateFormat=P","Fill=—","Direction=H","UseDPDF=Y")</f>
        <v>30008</v>
      </c>
      <c r="I10" s="13">
        <f>_xll.BDH("AMGN US Equity","LT_DEBT_EX_OPERATING_LEASE_LIABS","FQ2 2020","FQ2 2020","Currency=USD","Period=FQ","BEST_FPERIOD_OVERRIDE=FQ","FILING_STATUS=MR","SCALING_FORMAT=MLN","Sort=A","Dates=H","DateFormat=P","Fill=—","Direction=H","UseDPDF=Y")</f>
        <v>34133</v>
      </c>
      <c r="J10" s="13">
        <f>_xll.BDH("AMGN US Equity","LT_DEBT_EX_OPERATING_LEASE_LIABS","FQ3 2020","FQ3 2020","Currency=USD","Period=FQ","BEST_FPERIOD_OVERRIDE=FQ","FILING_STATUS=MR","SCALING_FORMAT=MLN","Sort=A","Dates=H","DateFormat=P","Fill=—","Direction=H","UseDPDF=Y")</f>
        <v>34196</v>
      </c>
      <c r="K10" s="13">
        <f>_xll.BDH("AMGN US Equity","LT_DEBT_EX_OPERATING_LEASE_LIABS","FQ4 2020","FQ4 2020","Currency=USD","Period=FQ","BEST_FPERIOD_OVERRIDE=FQ","FILING_STATUS=MR","SCALING_FORMAT=MLN","Sort=A","Dates=H","DateFormat=P","Fill=—","Direction=H","UseDPDF=Y")</f>
        <v>32895</v>
      </c>
      <c r="L10" s="13">
        <f>_xll.BDH("AMGN US Equity","LT_DEBT_EX_OPERATING_LEASE_LIABS","FQ1 2021","FQ1 2021","Currency=USD","Period=FQ","BEST_FPERIOD_OVERRIDE=FQ","FILING_STATUS=MR","SCALING_FORMAT=MLN","Sort=A","Dates=H","DateFormat=P","Fill=—","Direction=H","UseDPDF=Y")</f>
        <v>31129</v>
      </c>
      <c r="M10" s="13">
        <f>_xll.BDH("AMGN US Equity","LT_DEBT_EX_OPERATING_LEASE_LIABS","FQ2 2021","FQ2 2021","Currency=USD","Period=FQ","BEST_FPERIOD_OVERRIDE=FQ","FILING_STATUS=MR","SCALING_FORMAT=MLN","Sort=A","Dates=H","DateFormat=P","Fill=—","Direction=H","UseDPDF=Y")</f>
        <v>28458</v>
      </c>
      <c r="N10" s="13">
        <f>_xll.BDH("AMGN US Equity","LT_DEBT_EX_OPERATING_LEASE_LIABS","FQ3 2021","FQ3 2021","Currency=USD","Period=FQ","BEST_FPERIOD_OVERRIDE=FQ","FILING_STATUS=MR","SCALING_FORMAT=MLN","Sort=A","Dates=H","DateFormat=P","Fill=—","Direction=H","UseDPDF=Y")</f>
        <v>33291</v>
      </c>
      <c r="O10" s="13">
        <f>_xll.BDH("AMGN US Equity","LT_DEBT_EX_OPERATING_LEASE_LIABS","FQ4 2021","FQ4 2021","Currency=USD","Period=FQ","BEST_FPERIOD_OVERRIDE=FQ","FILING_STATUS=MR","SCALING_FORMAT=MLN","Sort=A","Dates=H","DateFormat=P","Fill=—","Direction=H","UseDPDF=Y")</f>
        <v>33222</v>
      </c>
      <c r="P10" s="13">
        <f>_xll.BDH("AMGN US Equity","LT_DEBT_EX_OPERATING_LEASE_LIABS","FQ1 2022","FQ1 2022","Currency=USD","Period=FQ","BEST_FPERIOD_OVERRIDE=FQ","FILING_STATUS=MR","SCALING_FORMAT=MLN","Sort=A","Dates=H","DateFormat=P","Fill=—","Direction=H","UseDPDF=Y")</f>
        <v>36010</v>
      </c>
      <c r="Q10" s="13">
        <f>_xll.BDH("AMGN US Equity","LT_DEBT_EX_OPERATING_LEASE_LIABS","FQ2 2022","FQ2 2022","Currency=USD","Period=FQ","BEST_FPERIOD_OVERRIDE=FQ","FILING_STATUS=MR","SCALING_FORMAT=MLN","Sort=A","Dates=H","DateFormat=P","Fill=—","Direction=H","UseDPDF=Y")</f>
        <v>35705</v>
      </c>
      <c r="R10" s="13">
        <f>_xll.BDH("AMGN US Equity","LT_DEBT_EX_OPERATING_LEASE_LIABS","FQ3 2022","FQ3 2022","Currency=USD","Period=FQ","BEST_FPERIOD_OVERRIDE=FQ","FILING_STATUS=MR","SCALING_FORMAT=MLN","Sort=A","Dates=H","DateFormat=P","Fill=—","Direction=H","UseDPDF=Y")</f>
        <v>37161</v>
      </c>
      <c r="S10" s="13">
        <f>_xll.BDH("AMGN US Equity","LT_DEBT_EX_OPERATING_LEASE_LIABS","FQ4 2022","FQ4 2022","Currency=USD","Period=FQ","BEST_FPERIOD_OVERRIDE=FQ","FILING_STATUS=MR","SCALING_FORMAT=MLN","Sort=A","Dates=H","DateFormat=P","Fill=—","Direction=H","UseDPDF=Y")</f>
        <v>37354</v>
      </c>
      <c r="T10" s="13">
        <f>_xll.BDH("AMGN US Equity","LT_DEBT_EX_OPERATING_LEASE_LIABS","FQ1 2023","FQ1 2023","Currency=USD","Period=FQ","BEST_FPERIOD_OVERRIDE=FQ","FILING_STATUS=MR","SCALING_FORMAT=MLN","Sort=A","Dates=H","DateFormat=P","Fill=—","Direction=H","UseDPDF=Y")</f>
        <v>60761</v>
      </c>
      <c r="U10" s="13">
        <f>_xll.BDH("AMGN US Equity","LT_DEBT_EX_OPERATING_LEASE_LIABS","FQ2 2023","FQ2 2023","Currency=USD","Period=FQ","BEST_FPERIOD_OVERRIDE=FQ","FILING_STATUS=MR","SCALING_FORMAT=MLN","Sort=A","Dates=H","DateFormat=P","Fill=—","Direction=H","UseDPDF=Y")</f>
        <v>59377</v>
      </c>
      <c r="V10" s="13">
        <f>_xll.BDH("AMGN US Equity","LT_DEBT_EX_OPERATING_LEASE_LIABS","FQ3 2023","FQ3 2023","Currency=USD","Period=FQ","BEST_FPERIOD_OVERRIDE=FQ","FILING_STATUS=MR","SCALING_FORMAT=MLN","Sort=A","Dates=H","DateFormat=P","Fill=—","Direction=H","UseDPDF=Y")</f>
        <v>59040</v>
      </c>
      <c r="W10" s="13">
        <f>_xll.BDH("AMGN US Equity","LT_DEBT_EX_OPERATING_LEASE_LIABS","FQ4 2023","FQ4 2023","Currency=USD","Period=FQ","BEST_FPERIOD_OVERRIDE=FQ","FILING_STATUS=MR","SCALING_FORMAT=MLN","Sort=A","Dates=H","DateFormat=P","Fill=—","Direction=H","UseDPDF=Y")</f>
        <v>63170</v>
      </c>
      <c r="X10" s="13">
        <f>_xll.BDH("AMGN US Equity","LT_DEBT_EX_OPERATING_LEASE_LIABS","FQ1 2024","FQ1 2024","Currency=USD","Period=FQ","BEST_FPERIOD_OVERRIDE=FQ","FILING_STATUS=MR","SCALING_FORMAT=MLN","Sort=A","Dates=H","DateFormat=P","Fill=—","Direction=H","UseDPDF=Y")</f>
        <v>60061</v>
      </c>
      <c r="Y10" s="13">
        <f>_xll.BDH("AMGN US Equity","LT_DEBT_EX_OPERATING_LEASE_LIABS","FQ2 2024","FQ2 2024","Currency=USD","Period=FQ","BEST_FPERIOD_OVERRIDE=FQ","FILING_STATUS=MR","SCALING_FORMAT=MLN","Sort=A","Dates=H","DateFormat=P","Fill=—","Direction=H","UseDPDF=Y")</f>
        <v>57117</v>
      </c>
      <c r="Z10" s="13">
        <f>_xll.BDH("AMGN US Equity","LT_DEBT_EX_OPERATING_LEASE_LIABS","FQ3 2024","FQ3 2024","Currency=USD","Period=FQ","BEST_FPERIOD_OVERRIDE=FQ","FILING_STATUS=MR","SCALING_FORMAT=MLN","Sort=A","Dates=H","DateFormat=P","Fill=—","Direction=H","UseDPDF=Y")</f>
        <v>56854</v>
      </c>
      <c r="AA10" s="13">
        <f>_xll.BDH("AMGN US Equity","LT_DEBT_EX_OPERATING_LEASE_LIABS","FQ4 2024","FQ4 2024","Currency=USD","Period=FQ","BEST_FPERIOD_OVERRIDE=FQ","FILING_STATUS=MR","SCALING_FORMAT=MLN","Sort=A","Dates=H","DateFormat=P","Fill=—","Direction=H","UseDPDF=Y")</f>
        <v>56549</v>
      </c>
    </row>
    <row r="11" spans="1:27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10" t="s">
        <v>1566</v>
      </c>
      <c r="B12" s="10" t="s">
        <v>1602</v>
      </c>
      <c r="C12" s="14">
        <f>_xll.BDH("AMGN US Equity","TOT_DBT_TO_EBITDA_EX_OP_LEA_ACT","FQ4 2018","FQ4 2018","Currency=USD","Period=FQ","BEST_FPERIOD_OVERRIDE=FQ","FILING_STATUS=MR","FA_ADJUSTED=GAAP","Sort=A","Dates=H","DateFormat=P","Fill=—","Direction=H","UseDPDF=Y")</f>
        <v>2.7789999999999999</v>
      </c>
      <c r="D12" s="14">
        <f>_xll.BDH("AMGN US Equity","TOT_DBT_TO_EBITDA_EX_OP_LEA_ACT","FQ1 2019","FQ1 2019","Currency=USD","Period=FQ","BEST_FPERIOD_OVERRIDE=FQ","FILING_STATUS=MR","FA_ADJUSTED=GAAP","Sort=A","Dates=H","DateFormat=P","Fill=—","Direction=H","UseDPDF=Y")</f>
        <v>2.7568000000000001</v>
      </c>
      <c r="E12" s="14">
        <f>_xll.BDH("AMGN US Equity","TOT_DBT_TO_EBITDA_EX_OP_LEA_ACT","FQ2 2019","FQ2 2019","Currency=USD","Period=FQ","BEST_FPERIOD_OVERRIDE=FQ","FILING_STATUS=MR","FA_ADJUSTED=GAAP","Sort=A","Dates=H","DateFormat=P","Fill=—","Direction=H","UseDPDF=Y")</f>
        <v>2.5851999999999999</v>
      </c>
      <c r="F12" s="14">
        <f>_xll.BDH("AMGN US Equity","TOT_DBT_TO_EBITDA_EX_OP_LEA_ACT","FQ3 2019","FQ3 2019","Currency=USD","Period=FQ","BEST_FPERIOD_OVERRIDE=FQ","FILING_STATUS=MR","FA_ADJUSTED=GAAP","Sort=A","Dates=H","DateFormat=P","Fill=—","Direction=H","UseDPDF=Y")</f>
        <v>2.4822000000000002</v>
      </c>
      <c r="G12" s="14">
        <f>_xll.BDH("AMGN US Equity","TOT_DBT_TO_EBITDA_EX_OP_LEA_ACT","FQ4 2019","FQ4 2019","Currency=USD","Period=FQ","BEST_FPERIOD_OVERRIDE=FQ","FILING_STATUS=MR","FA_ADJUSTED=GAAP","Sort=A","Dates=H","DateFormat=P","Fill=—","Direction=H","UseDPDF=Y")</f>
        <v>2.5171000000000001</v>
      </c>
      <c r="H12" s="14">
        <f>_xll.BDH("AMGN US Equity","TOT_DBT_TO_EBITDA_EX_OP_LEA_ACT","FQ1 2020","FQ1 2020","Currency=USD","Period=FQ","BEST_FPERIOD_OVERRIDE=FQ","FILING_STATUS=MR","FA_ADJUSTED=GAAP","Sort=A","Dates=H","DateFormat=P","Fill=—","Direction=H","UseDPDF=Y")</f>
        <v>2.6179999999999999</v>
      </c>
      <c r="I12" s="14">
        <f>_xll.BDH("AMGN US Equity","TOT_DBT_TO_EBITDA_EX_OP_LEA_ACT","FQ2 2020","FQ2 2020","Currency=USD","Period=FQ","BEST_FPERIOD_OVERRIDE=FQ","FILING_STATUS=MR","FA_ADJUSTED=GAAP","Sort=A","Dates=H","DateFormat=P","Fill=—","Direction=H","UseDPDF=Y")</f>
        <v>2.7963</v>
      </c>
      <c r="J12" s="14">
        <f>_xll.BDH("AMGN US Equity","TOT_DBT_TO_EBITDA_EX_OP_LEA_ACT","FQ3 2020","FQ3 2020","Currency=USD","Period=FQ","BEST_FPERIOD_OVERRIDE=FQ","FILING_STATUS=MR","FA_ADJUSTED=GAAP","Sort=A","Dates=H","DateFormat=P","Fill=—","Direction=H","UseDPDF=Y")</f>
        <v>2.7191999999999998</v>
      </c>
      <c r="K12" s="14">
        <f>_xll.BDH("AMGN US Equity","TOT_DBT_TO_EBITDA_EX_OP_LEA_ACT","FQ4 2020","FQ4 2020","Currency=USD","Period=FQ","BEST_FPERIOD_OVERRIDE=FQ","FILING_STATUS=MR","FA_ADJUSTED=GAAP","Sort=A","Dates=H","DateFormat=P","Fill=—","Direction=H","UseDPDF=Y")</f>
        <v>2.5891999999999999</v>
      </c>
      <c r="L12" s="14">
        <f>_xll.BDH("AMGN US Equity","TOT_DBT_TO_EBITDA_EX_OP_LEA_ACT","FQ1 2021","FQ1 2021","Currency=USD","Period=FQ","BEST_FPERIOD_OVERRIDE=FQ","FILING_STATUS=MR","FA_ADJUSTED=GAAP","Sort=A","Dates=H","DateFormat=P","Fill=—","Direction=H","UseDPDF=Y")</f>
        <v>2.6236000000000002</v>
      </c>
      <c r="M12" s="14">
        <f>_xll.BDH("AMGN US Equity","TOT_DBT_TO_EBITDA_EX_OP_LEA_ACT","FQ2 2021","FQ2 2021","Currency=USD","Period=FQ","BEST_FPERIOD_OVERRIDE=FQ","FILING_STATUS=MR","FA_ADJUSTED=GAAP","Sort=A","Dates=H","DateFormat=P","Fill=—","Direction=H","UseDPDF=Y")</f>
        <v>3.0108000000000001</v>
      </c>
      <c r="N12" s="14">
        <f>_xll.BDH("AMGN US Equity","TOT_DBT_TO_EBITDA_EX_OP_LEA_ACT","FQ3 2021","FQ3 2021","Currency=USD","Period=FQ","BEST_FPERIOD_OVERRIDE=FQ","FILING_STATUS=MR","FA_ADJUSTED=GAAP","Sort=A","Dates=H","DateFormat=P","Fill=—","Direction=H","UseDPDF=Y")</f>
        <v>3.4918</v>
      </c>
      <c r="O12" s="14">
        <f>_xll.BDH("AMGN US Equity","TOT_DBT_TO_EBITDA_EX_OP_LEA_ACT","FQ4 2021","FQ4 2021","Currency=USD","Period=FQ","BEST_FPERIOD_OVERRIDE=FQ","FILING_STATUS=MR","FA_ADJUSTED=GAAP","Sort=A","Dates=H","DateFormat=P","Fill=—","Direction=H","UseDPDF=Y")</f>
        <v>3.0179</v>
      </c>
      <c r="P12" s="14">
        <f>_xll.BDH("AMGN US Equity","TOT_DBT_TO_EBITDA_EX_OP_LEA_ACT","FQ1 2022","FQ1 2022","Currency=USD","Period=FQ","BEST_FPERIOD_OVERRIDE=FQ","FILING_STATUS=MR","FA_ADJUSTED=GAAP","Sort=A","Dates=H","DateFormat=P","Fill=—","Direction=H","UseDPDF=Y")</f>
        <v>3.2305000000000001</v>
      </c>
      <c r="Q12" s="14">
        <f>_xll.BDH("AMGN US Equity","TOT_DBT_TO_EBITDA_EX_OP_LEA_ACT","FQ2 2022","FQ2 2022","Currency=USD","Period=FQ","BEST_FPERIOD_OVERRIDE=FQ","FILING_STATUS=MR","FA_ADJUSTED=GAAP","Sort=A","Dates=H","DateFormat=P","Fill=—","Direction=H","UseDPDF=Y")</f>
        <v>2.8692000000000002</v>
      </c>
      <c r="R12" s="14">
        <f>_xll.BDH("AMGN US Equity","TOT_DBT_TO_EBITDA_EX_OP_LEA_ACT","FQ3 2022","FQ3 2022","Currency=USD","Period=FQ","BEST_FPERIOD_OVERRIDE=FQ","FILING_STATUS=MR","FA_ADJUSTED=GAAP","Sort=A","Dates=H","DateFormat=P","Fill=—","Direction=H","UseDPDF=Y")</f>
        <v>2.9777</v>
      </c>
      <c r="S12" s="14">
        <f>_xll.BDH("AMGN US Equity","TOT_DBT_TO_EBITDA_EX_OP_LEA_ACT","FQ4 2022","FQ4 2022","Currency=USD","Period=FQ","BEST_FPERIOD_OVERRIDE=FQ","FILING_STATUS=MR","FA_ADJUSTED=GAAP","Sort=A","Dates=H","DateFormat=P","Fill=—","Direction=H","UseDPDF=Y")</f>
        <v>2.9996999999999998</v>
      </c>
      <c r="T12" s="14">
        <f>_xll.BDH("AMGN US Equity","TOT_DBT_TO_EBITDA_EX_OP_LEA_ACT","FQ1 2023","FQ1 2023","Currency=USD","Period=FQ","BEST_FPERIOD_OVERRIDE=FQ","FILING_STATUS=MR","FA_ADJUSTED=GAAP","Sort=A","Dates=H","DateFormat=P","Fill=—","Direction=H","UseDPDF=Y")</f>
        <v>4.9421999999999997</v>
      </c>
      <c r="U12" s="14">
        <f>_xll.BDH("AMGN US Equity","TOT_DBT_TO_EBITDA_EX_OP_LEA_ACT","FQ2 2023","FQ2 2023","Currency=USD","Period=FQ","BEST_FPERIOD_OVERRIDE=FQ","FILING_STATUS=MR","FA_ADJUSTED=GAAP","Sort=A","Dates=H","DateFormat=P","Fill=—","Direction=H","UseDPDF=Y")</f>
        <v>4.72</v>
      </c>
      <c r="V12" s="14">
        <f>_xll.BDH("AMGN US Equity","TOT_DBT_TO_EBITDA_EX_OP_LEA_ACT","FQ3 2023","FQ3 2023","Currency=USD","Period=FQ","BEST_FPERIOD_OVERRIDE=FQ","FILING_STATUS=MR","FA_ADJUSTED=GAAP","Sort=A","Dates=H","DateFormat=P","Fill=—","Direction=H","UseDPDF=Y")</f>
        <v>4.8536999999999999</v>
      </c>
      <c r="W12" s="14">
        <f>_xll.BDH("AMGN US Equity","TOT_DBT_TO_EBITDA_EX_OP_LEA_ACT","FQ4 2023","FQ4 2023","Currency=USD","Period=FQ","BEST_FPERIOD_OVERRIDE=FQ","FILING_STATUS=MR","FA_ADJUSTED=GAAP","Sort=A","Dates=H","DateFormat=P","Fill=—","Direction=H","UseDPDF=Y")</f>
        <v>5.3987999999999996</v>
      </c>
      <c r="X12" s="14">
        <f>_xll.BDH("AMGN US Equity","TOT_DBT_TO_EBITDA_EX_OP_LEA_ACT","FQ1 2024","FQ1 2024","Currency=USD","Period=FQ","BEST_FPERIOD_OVERRIDE=FQ","FILING_STATUS=MR","FA_ADJUSTED=GAAP","Sort=A","Dates=H","DateFormat=P","Fill=—","Direction=H","UseDPDF=Y")</f>
        <v>5.5491000000000001</v>
      </c>
      <c r="Y12" s="14">
        <f>_xll.BDH("AMGN US Equity","TOT_DBT_TO_EBITDA_EX_OP_LEA_ACT","FQ2 2024","FQ2 2024","Currency=USD","Period=FQ","BEST_FPERIOD_OVERRIDE=FQ","FILING_STATUS=MR","FA_ADJUSTED=GAAP","Sort=A","Dates=H","DateFormat=P","Fill=—","Direction=H","UseDPDF=Y")</f>
        <v>5.5605000000000002</v>
      </c>
      <c r="Z12" s="14">
        <f>_xll.BDH("AMGN US Equity","TOT_DBT_TO_EBITDA_EX_OP_LEA_ACT","FQ3 2024","FQ3 2024","Currency=USD","Period=FQ","BEST_FPERIOD_OVERRIDE=FQ","FILING_STATUS=MR","FA_ADJUSTED=GAAP","Sort=A","Dates=H","DateFormat=P","Fill=—","Direction=H","UseDPDF=Y")</f>
        <v>5.1215000000000002</v>
      </c>
      <c r="AA12" s="14">
        <f>_xll.BDH("AMGN US Equity","TOT_DBT_TO_EBITDA_EX_OP_LEA_ACT","FQ4 2024","FQ4 2024","Currency=USD","Period=FQ","BEST_FPERIOD_OVERRIDE=FQ","FILING_STATUS=MR","FA_ADJUSTED=GAAP","Sort=A","Dates=H","DateFormat=P","Fill=—","Direction=H","UseDPDF=Y")</f>
        <v>4.6769999999999996</v>
      </c>
    </row>
    <row r="13" spans="1:27" x14ac:dyDescent="0.25">
      <c r="A13" s="10" t="s">
        <v>1568</v>
      </c>
      <c r="B13" s="10" t="s">
        <v>1603</v>
      </c>
      <c r="C13" s="14">
        <f>_xll.BDH("AMGN US Equity","NET_DEBT_EBITDA_EX_OPER_LEA_ACT","FQ4 2018","FQ4 2018","Currency=USD","Period=FQ","BEST_FPERIOD_OVERRIDE=FQ","FILING_STATUS=MR","FA_ADJUSTED=GAAP","Sort=A","Dates=H","DateFormat=P","Fill=—","Direction=H","UseDPDF=Y")</f>
        <v>0.37880000000000003</v>
      </c>
      <c r="D13" s="14">
        <f>_xll.BDH("AMGN US Equity","NET_DEBT_EBITDA_EX_OPER_LEA_ACT","FQ1 2019","FQ1 2019","Currency=USD","Period=FQ","BEST_FPERIOD_OVERRIDE=FQ","FILING_STATUS=MR","FA_ADJUSTED=GAAP","Sort=A","Dates=H","DateFormat=P","Fill=—","Direction=H","UseDPDF=Y")</f>
        <v>0.56120000000000003</v>
      </c>
      <c r="E13" s="14">
        <f>_xll.BDH("AMGN US Equity","NET_DEBT_EBITDA_EX_OPER_LEA_ACT","FQ2 2019","FQ2 2019","Currency=USD","Period=FQ","BEST_FPERIOD_OVERRIDE=FQ","FILING_STATUS=MR","FA_ADJUSTED=GAAP","Sort=A","Dates=H","DateFormat=P","Fill=—","Direction=H","UseDPDF=Y")</f>
        <v>0.74780000000000002</v>
      </c>
      <c r="F13" s="14">
        <f>_xll.BDH("AMGN US Equity","NET_DEBT_EBITDA_EX_OPER_LEA_ACT","FQ3 2019","FQ3 2019","Currency=USD","Period=FQ","BEST_FPERIOD_OVERRIDE=FQ","FILING_STATUS=MR","FA_ADJUSTED=GAAP","Sort=A","Dates=H","DateFormat=P","Fill=—","Direction=H","UseDPDF=Y")</f>
        <v>0.74470000000000003</v>
      </c>
      <c r="G13" s="14">
        <f>_xll.BDH("AMGN US Equity","NET_DEBT_EBITDA_EX_OPER_LEA_ACT","FQ4 2019","FQ4 2019","Currency=USD","Period=FQ","BEST_FPERIOD_OVERRIDE=FQ","FILING_STATUS=MR","FA_ADJUSTED=GAAP","Sort=A","Dates=H","DateFormat=P","Fill=—","Direction=H","UseDPDF=Y")</f>
        <v>1.7669999999999999</v>
      </c>
      <c r="H13" s="14">
        <f>_xll.BDH("AMGN US Equity","NET_DEBT_EBITDA_EX_OPER_LEA_ACT","FQ1 2020","FQ1 2020","Currency=USD","Period=FQ","BEST_FPERIOD_OVERRIDE=FQ","FILING_STATUS=MR","FA_ADJUSTED=GAAP","Sort=A","Dates=H","DateFormat=P","Fill=—","Direction=H","UseDPDF=Y")</f>
        <v>1.9594</v>
      </c>
      <c r="I13" s="14">
        <f>_xll.BDH("AMGN US Equity","NET_DEBT_EBITDA_EX_OPER_LEA_ACT","FQ2 2020","FQ2 2020","Currency=USD","Period=FQ","BEST_FPERIOD_OVERRIDE=FQ","FILING_STATUS=MR","FA_ADJUSTED=GAAP","Sort=A","Dates=H","DateFormat=P","Fill=—","Direction=H","UseDPDF=Y")</f>
        <v>1.8631</v>
      </c>
      <c r="J13" s="14">
        <f>_xll.BDH("AMGN US Equity","NET_DEBT_EBITDA_EX_OPER_LEA_ACT","FQ3 2020","FQ3 2020","Currency=USD","Period=FQ","BEST_FPERIOD_OVERRIDE=FQ","FILING_STATUS=MR","FA_ADJUSTED=GAAP","Sort=A","Dates=H","DateFormat=P","Fill=—","Direction=H","UseDPDF=Y")</f>
        <v>1.7390000000000001</v>
      </c>
      <c r="K13" s="14">
        <f>_xll.BDH("AMGN US Equity","NET_DEBT_EBITDA_EX_OPER_LEA_ACT","FQ4 2020","FQ4 2020","Currency=USD","Period=FQ","BEST_FPERIOD_OVERRIDE=FQ","FILING_STATUS=MR","FA_ADJUSTED=GAAP","Sort=A","Dates=H","DateFormat=P","Fill=—","Direction=H","UseDPDF=Y")</f>
        <v>1.7535000000000001</v>
      </c>
      <c r="L13" s="14">
        <f>_xll.BDH("AMGN US Equity","NET_DEBT_EBITDA_EX_OPER_LEA_ACT","FQ1 2021","FQ1 2021","Currency=USD","Period=FQ","BEST_FPERIOD_OVERRIDE=FQ","FILING_STATUS=MR","FA_ADJUSTED=GAAP","Sort=A","Dates=H","DateFormat=P","Fill=—","Direction=H","UseDPDF=Y")</f>
        <v>1.7755000000000001</v>
      </c>
      <c r="M13" s="14">
        <f>_xll.BDH("AMGN US Equity","NET_DEBT_EBITDA_EX_OPER_LEA_ACT","FQ2 2021","FQ2 2021","Currency=USD","Period=FQ","BEST_FPERIOD_OVERRIDE=FQ","FILING_STATUS=MR","FA_ADJUSTED=GAAP","Sort=A","Dates=H","DateFormat=P","Fill=—","Direction=H","UseDPDF=Y")</f>
        <v>2.2686000000000002</v>
      </c>
      <c r="N13" s="14">
        <f>_xll.BDH("AMGN US Equity","NET_DEBT_EBITDA_EX_OPER_LEA_ACT","FQ3 2021","FQ3 2021","Currency=USD","Period=FQ","BEST_FPERIOD_OVERRIDE=FQ","FILING_STATUS=MR","FA_ADJUSTED=GAAP","Sort=A","Dates=H","DateFormat=P","Fill=—","Direction=H","UseDPDF=Y")</f>
        <v>2.2911999999999999</v>
      </c>
      <c r="O13" s="14">
        <f>_xll.BDH("AMGN US Equity","NET_DEBT_EBITDA_EX_OPER_LEA_ACT","FQ4 2021","FQ4 2021","Currency=USD","Period=FQ","BEST_FPERIOD_OVERRIDE=FQ","FILING_STATUS=MR","FA_ADJUSTED=GAAP","Sort=A","Dates=H","DateFormat=P","Fill=—","Direction=H","UseDPDF=Y")</f>
        <v>2.2898000000000001</v>
      </c>
      <c r="P13" s="14">
        <f>_xll.BDH("AMGN US Equity","NET_DEBT_EBITDA_EX_OPER_LEA_ACT","FQ1 2022","FQ1 2022","Currency=USD","Period=FQ","BEST_FPERIOD_OVERRIDE=FQ","FILING_STATUS=MR","FA_ADJUSTED=GAAP","Sort=A","Dates=H","DateFormat=P","Fill=—","Direction=H","UseDPDF=Y")</f>
        <v>2.6568999999999998</v>
      </c>
      <c r="Q13" s="14">
        <f>_xll.BDH("AMGN US Equity","NET_DEBT_EBITDA_EX_OPER_LEA_ACT","FQ2 2022","FQ2 2022","Currency=USD","Period=FQ","BEST_FPERIOD_OVERRIDE=FQ","FILING_STATUS=MR","FA_ADJUSTED=GAAP","Sort=A","Dates=H","DateFormat=P","Fill=—","Direction=H","UseDPDF=Y")</f>
        <v>2.3048999999999999</v>
      </c>
      <c r="R13" s="14">
        <f>_xll.BDH("AMGN US Equity","NET_DEBT_EBITDA_EX_OPER_LEA_ACT","FQ3 2022","FQ3 2022","Currency=USD","Period=FQ","BEST_FPERIOD_OVERRIDE=FQ","FILING_STATUS=MR","FA_ADJUSTED=GAAP","Sort=A","Dates=H","DateFormat=P","Fill=—","Direction=H","UseDPDF=Y")</f>
        <v>2.0945999999999998</v>
      </c>
      <c r="S13" s="14">
        <f>_xll.BDH("AMGN US Equity","NET_DEBT_EBITDA_EX_OPER_LEA_ACT","FQ4 2022","FQ4 2022","Currency=USD","Period=FQ","BEST_FPERIOD_OVERRIDE=FQ","FILING_STATUS=MR","FA_ADJUSTED=GAAP","Sort=A","Dates=H","DateFormat=P","Fill=—","Direction=H","UseDPDF=Y")</f>
        <v>2.2829999999999999</v>
      </c>
      <c r="T13" s="14">
        <f>_xll.BDH("AMGN US Equity","NET_DEBT_EBITDA_EX_OPER_LEA_ACT","FQ1 2023","FQ1 2023","Currency=USD","Period=FQ","BEST_FPERIOD_OVERRIDE=FQ","FILING_STATUS=MR","FA_ADJUSTED=GAAP","Sort=A","Dates=H","DateFormat=P","Fill=—","Direction=H","UseDPDF=Y")</f>
        <v>2.4098999999999999</v>
      </c>
      <c r="U13" s="14">
        <f>_xll.BDH("AMGN US Equity","NET_DEBT_EBITDA_EX_OPER_LEA_ACT","FQ2 2023","FQ2 2023","Currency=USD","Period=FQ","BEST_FPERIOD_OVERRIDE=FQ","FILING_STATUS=MR","FA_ADJUSTED=GAAP","Sort=A","Dates=H","DateFormat=P","Fill=—","Direction=H","UseDPDF=Y")</f>
        <v>2.0933999999999999</v>
      </c>
      <c r="V13" s="14">
        <f>_xll.BDH("AMGN US Equity","NET_DEBT_EBITDA_EX_OPER_LEA_ACT","FQ3 2023","FQ3 2023","Currency=USD","Period=FQ","BEST_FPERIOD_OVERRIDE=FQ","FILING_STATUS=MR","FA_ADJUSTED=GAAP","Sort=A","Dates=H","DateFormat=P","Fill=—","Direction=H","UseDPDF=Y")</f>
        <v>2.0651000000000002</v>
      </c>
      <c r="W13" s="14">
        <f>_xll.BDH("AMGN US Equity","NET_DEBT_EBITDA_EX_OPER_LEA_ACT","FQ4 2023","FQ4 2023","Currency=USD","Period=FQ","BEST_FPERIOD_OVERRIDE=FQ","FILING_STATUS=MR","FA_ADJUSTED=GAAP","Sort=A","Dates=H","DateFormat=P","Fill=—","Direction=H","UseDPDF=Y")</f>
        <v>4.4843999999999999</v>
      </c>
      <c r="X13" s="14">
        <f>_xll.BDH("AMGN US Equity","NET_DEBT_EBITDA_EX_OPER_LEA_ACT","FQ1 2024","FQ1 2024","Currency=USD","Period=FQ","BEST_FPERIOD_OVERRIDE=FQ","FILING_STATUS=MR","FA_ADJUSTED=GAAP","Sort=A","Dates=H","DateFormat=P","Fill=—","Direction=H","UseDPDF=Y")</f>
        <v>4.7076000000000002</v>
      </c>
      <c r="Y13" s="14">
        <f>_xll.BDH("AMGN US Equity","NET_DEBT_EBITDA_EX_OPER_LEA_ACT","FQ2 2024","FQ2 2024","Currency=USD","Period=FQ","BEST_FPERIOD_OVERRIDE=FQ","FILING_STATUS=MR","FA_ADJUSTED=GAAP","Sort=A","Dates=H","DateFormat=P","Fill=—","Direction=H","UseDPDF=Y")</f>
        <v>4.7350000000000003</v>
      </c>
      <c r="Z13" s="14">
        <f>_xll.BDH("AMGN US Equity","NET_DEBT_EBITDA_EX_OPER_LEA_ACT","FQ3 2024","FQ3 2024","Currency=USD","Period=FQ","BEST_FPERIOD_OVERRIDE=FQ","FILING_STATUS=MR","FA_ADJUSTED=GAAP","Sort=A","Dates=H","DateFormat=P","Fill=—","Direction=H","UseDPDF=Y")</f>
        <v>4.3574000000000002</v>
      </c>
      <c r="AA13" s="14">
        <f>_xll.BDH("AMGN US Equity","NET_DEBT_EBITDA_EX_OPER_LEA_ACT","FQ4 2024","FQ4 2024","Currency=USD","Period=FQ","BEST_FPERIOD_OVERRIDE=FQ","FILING_STATUS=MR","FA_ADJUSTED=GAAP","Sort=A","Dates=H","DateFormat=P","Fill=—","Direction=H","UseDPDF=Y")</f>
        <v>3.7452000000000001</v>
      </c>
    </row>
    <row r="14" spans="1:27" x14ac:dyDescent="0.25">
      <c r="A14" s="10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5">
      <c r="A15" s="10" t="s">
        <v>1570</v>
      </c>
      <c r="B15" s="10" t="s">
        <v>1604</v>
      </c>
      <c r="C15" s="14">
        <f>_xll.BDH("AMGN US Equity","TOT_DEBT_TO_EBIT_EX_OPER_LEA_ACT","FQ4 2018","FQ4 2018","Currency=USD","Period=FQ","BEST_FPERIOD_OVERRIDE=FQ","FILING_STATUS=MR","FA_ADJUSTED=GAAP","Sort=A","Dates=H","DateFormat=P","Fill=—","Direction=H","UseDPDF=Y")</f>
        <v>3.306</v>
      </c>
      <c r="D15" s="14">
        <f>_xll.BDH("AMGN US Equity","TOT_DEBT_TO_EBIT_EX_OPER_LEA_ACT","FQ1 2019","FQ1 2019","Currency=USD","Period=FQ","BEST_FPERIOD_OVERRIDE=FQ","FILING_STATUS=MR","FA_ADJUSTED=GAAP","Sort=A","Dates=H","DateFormat=P","Fill=—","Direction=H","UseDPDF=Y")</f>
        <v>3.2993999999999999</v>
      </c>
      <c r="E15" s="14">
        <f>_xll.BDH("AMGN US Equity","TOT_DEBT_TO_EBIT_EX_OPER_LEA_ACT","FQ2 2019","FQ2 2019","Currency=USD","Period=FQ","BEST_FPERIOD_OVERRIDE=FQ","FILING_STATUS=MR","FA_ADJUSTED=GAAP","Sort=A","Dates=H","DateFormat=P","Fill=—","Direction=H","UseDPDF=Y")</f>
        <v>3.1063999999999998</v>
      </c>
      <c r="F15" s="14">
        <f>_xll.BDH("AMGN US Equity","TOT_DEBT_TO_EBIT_EX_OPER_LEA_ACT","FQ3 2019","FQ3 2019","Currency=USD","Period=FQ","BEST_FPERIOD_OVERRIDE=FQ","FILING_STATUS=MR","FA_ADJUSTED=GAAP","Sort=A","Dates=H","DateFormat=P","Fill=—","Direction=H","UseDPDF=Y")</f>
        <v>2.9767000000000001</v>
      </c>
      <c r="G15" s="14">
        <f>_xll.BDH("AMGN US Equity","TOT_DEBT_TO_EBIT_EX_OPER_LEA_ACT","FQ4 2019","FQ4 2019","Currency=USD","Period=FQ","BEST_FPERIOD_OVERRIDE=FQ","FILING_STATUS=MR","FA_ADJUSTED=GAAP","Sort=A","Dates=H","DateFormat=P","Fill=—","Direction=H","UseDPDF=Y")</f>
        <v>3.0911</v>
      </c>
      <c r="H15" s="14">
        <f>_xll.BDH("AMGN US Equity","TOT_DEBT_TO_EBIT_EX_OPER_LEA_ACT","FQ1 2020","FQ1 2020","Currency=USD","Period=FQ","BEST_FPERIOD_OVERRIDE=FQ","FILING_STATUS=MR","FA_ADJUSTED=GAAP","Sort=A","Dates=H","DateFormat=P","Fill=—","Direction=H","UseDPDF=Y")</f>
        <v>3.3323999999999998</v>
      </c>
      <c r="I15" s="14">
        <f>_xll.BDH("AMGN US Equity","TOT_DEBT_TO_EBIT_EX_OPER_LEA_ACT","FQ2 2020","FQ2 2020","Currency=USD","Period=FQ","BEST_FPERIOD_OVERRIDE=FQ","FILING_STATUS=MR","FA_ADJUSTED=GAAP","Sort=A","Dates=H","DateFormat=P","Fill=—","Direction=H","UseDPDF=Y")</f>
        <v>3.7191999999999998</v>
      </c>
      <c r="J15" s="14">
        <f>_xll.BDH("AMGN US Equity","TOT_DEBT_TO_EBIT_EX_OPER_LEA_ACT","FQ3 2020","FQ3 2020","Currency=USD","Period=FQ","BEST_FPERIOD_OVERRIDE=FQ","FILING_STATUS=MR","FA_ADJUSTED=GAAP","Sort=A","Dates=H","DateFormat=P","Fill=—","Direction=H","UseDPDF=Y")</f>
        <v>3.7353999999999998</v>
      </c>
      <c r="K15" s="14">
        <f>_xll.BDH("AMGN US Equity","TOT_DEBT_TO_EBIT_EX_OPER_LEA_ACT","FQ4 2020","FQ4 2020","Currency=USD","Period=FQ","BEST_FPERIOD_OVERRIDE=FQ","FILING_STATUS=MR","FA_ADJUSTED=GAAP","Sort=A","Dates=H","DateFormat=P","Fill=—","Direction=H","UseDPDF=Y")</f>
        <v>3.6093999999999999</v>
      </c>
      <c r="L15" s="14">
        <f>_xll.BDH("AMGN US Equity","TOT_DEBT_TO_EBIT_EX_OPER_LEA_ACT","FQ1 2021","FQ1 2021","Currency=USD","Period=FQ","BEST_FPERIOD_OVERRIDE=FQ","FILING_STATUS=MR","FA_ADJUSTED=GAAP","Sort=A","Dates=H","DateFormat=P","Fill=—","Direction=H","UseDPDF=Y")</f>
        <v>3.6671</v>
      </c>
      <c r="M15" s="14">
        <f>_xll.BDH("AMGN US Equity","TOT_DEBT_TO_EBIT_EX_OPER_LEA_ACT","FQ2 2021","FQ2 2021","Currency=USD","Period=FQ","BEST_FPERIOD_OVERRIDE=FQ","FILING_STATUS=MR","FA_ADJUSTED=GAAP","Sort=A","Dates=H","DateFormat=P","Fill=—","Direction=H","UseDPDF=Y")</f>
        <v>4.4192999999999998</v>
      </c>
      <c r="N15" s="14">
        <f>_xll.BDH("AMGN US Equity","TOT_DEBT_TO_EBIT_EX_OPER_LEA_ACT","FQ3 2021","FQ3 2021","Currency=USD","Period=FQ","BEST_FPERIOD_OVERRIDE=FQ","FILING_STATUS=MR","FA_ADJUSTED=GAAP","Sort=A","Dates=H","DateFormat=P","Fill=—","Direction=H","UseDPDF=Y")</f>
        <v>5.1177000000000001</v>
      </c>
      <c r="O15" s="14">
        <f>_xll.BDH("AMGN US Equity","TOT_DEBT_TO_EBIT_EX_OPER_LEA_ACT","FQ4 2021","FQ4 2021","Currency=USD","Period=FQ","BEST_FPERIOD_OVERRIDE=FQ","FILING_STATUS=MR","FA_ADJUSTED=GAAP","Sort=A","Dates=H","DateFormat=P","Fill=—","Direction=H","UseDPDF=Y")</f>
        <v>4.3604000000000003</v>
      </c>
      <c r="P15" s="14">
        <f>_xll.BDH("AMGN US Equity","TOT_DEBT_TO_EBIT_EX_OPER_LEA_ACT","FQ1 2022","FQ1 2022","Currency=USD","Period=FQ","BEST_FPERIOD_OVERRIDE=FQ","FILING_STATUS=MR","FA_ADJUSTED=GAAP","Sort=A","Dates=H","DateFormat=P","Fill=—","Direction=H","UseDPDF=Y")</f>
        <v>4.601</v>
      </c>
      <c r="Q15" s="14">
        <f>_xll.BDH("AMGN US Equity","TOT_DEBT_TO_EBIT_EX_OPER_LEA_ACT","FQ2 2022","FQ2 2022","Currency=USD","Period=FQ","BEST_FPERIOD_OVERRIDE=FQ","FILING_STATUS=MR","FA_ADJUSTED=GAAP","Sort=A","Dates=H","DateFormat=P","Fill=—","Direction=H","UseDPDF=Y")</f>
        <v>3.9028</v>
      </c>
      <c r="R15" s="14">
        <f>_xll.BDH("AMGN US Equity","TOT_DEBT_TO_EBIT_EX_OPER_LEA_ACT","FQ3 2022","FQ3 2022","Currency=USD","Period=FQ","BEST_FPERIOD_OVERRIDE=FQ","FILING_STATUS=MR","FA_ADJUSTED=GAAP","Sort=A","Dates=H","DateFormat=P","Fill=—","Direction=H","UseDPDF=Y")</f>
        <v>4.0148999999999999</v>
      </c>
      <c r="S15" s="14">
        <f>_xll.BDH("AMGN US Equity","TOT_DEBT_TO_EBIT_EX_OPER_LEA_ACT","FQ4 2022","FQ4 2022","Currency=USD","Period=FQ","BEST_FPERIOD_OVERRIDE=FQ","FILING_STATUS=MR","FA_ADJUSTED=GAAP","Sort=A","Dates=H","DateFormat=P","Fill=—","Direction=H","UseDPDF=Y")</f>
        <v>4.0712000000000002</v>
      </c>
      <c r="T15" s="14">
        <f>_xll.BDH("AMGN US Equity","TOT_DEBT_TO_EBIT_EX_OPER_LEA_ACT","FQ1 2023","FQ1 2023","Currency=USD","Period=FQ","BEST_FPERIOD_OVERRIDE=FQ","FILING_STATUS=MR","FA_ADJUSTED=GAAP","Sort=A","Dates=H","DateFormat=P","Fill=—","Direction=H","UseDPDF=Y")</f>
        <v>6.8537999999999997</v>
      </c>
      <c r="U15" s="14">
        <f>_xll.BDH("AMGN US Equity","TOT_DEBT_TO_EBIT_EX_OPER_LEA_ACT","FQ2 2023","FQ2 2023","Currency=USD","Period=FQ","BEST_FPERIOD_OVERRIDE=FQ","FILING_STATUS=MR","FA_ADJUSTED=GAAP","Sort=A","Dates=H","DateFormat=P","Fill=—","Direction=H","UseDPDF=Y")</f>
        <v>6.4817</v>
      </c>
      <c r="V15" s="14">
        <f>_xll.BDH("AMGN US Equity","TOT_DEBT_TO_EBIT_EX_OPER_LEA_ACT","FQ3 2023","FQ3 2023","Currency=USD","Period=FQ","BEST_FPERIOD_OVERRIDE=FQ","FILING_STATUS=MR","FA_ADJUSTED=GAAP","Sort=A","Dates=H","DateFormat=P","Fill=—","Direction=H","UseDPDF=Y")</f>
        <v>6.8278999999999996</v>
      </c>
      <c r="W15" s="14">
        <f>_xll.BDH("AMGN US Equity","TOT_DEBT_TO_EBIT_EX_OPER_LEA_ACT","FQ4 2023","FQ4 2023","Currency=USD","Period=FQ","BEST_FPERIOD_OVERRIDE=FQ","FILING_STATUS=MR","FA_ADJUSTED=GAAP","Sort=A","Dates=H","DateFormat=P","Fill=—","Direction=H","UseDPDF=Y")</f>
        <v>8.1820000000000004</v>
      </c>
      <c r="X15" s="14">
        <f>_xll.BDH("AMGN US Equity","TOT_DEBT_TO_EBIT_EX_OPER_LEA_ACT","FQ1 2024","FQ1 2024","Currency=USD","Period=FQ","BEST_FPERIOD_OVERRIDE=FQ","FILING_STATUS=MR","FA_ADJUSTED=GAAP","Sort=A","Dates=H","DateFormat=P","Fill=—","Direction=H","UseDPDF=Y")</f>
        <v>9.1890000000000001</v>
      </c>
      <c r="Y15" s="14">
        <f>_xll.BDH("AMGN US Equity","TOT_DEBT_TO_EBIT_EX_OPER_LEA_ACT","FQ2 2024","FQ2 2024","Currency=USD","Period=FQ","BEST_FPERIOD_OVERRIDE=FQ","FILING_STATUS=MR","FA_ADJUSTED=GAAP","Sort=A","Dates=H","DateFormat=P","Fill=—","Direction=H","UseDPDF=Y")</f>
        <v>10.117100000000001</v>
      </c>
      <c r="Z15" s="14">
        <f>_xll.BDH("AMGN US Equity","TOT_DEBT_TO_EBIT_EX_OPER_LEA_ACT","FQ3 2024","FQ3 2024","Currency=USD","Period=FQ","BEST_FPERIOD_OVERRIDE=FQ","FILING_STATUS=MR","FA_ADJUSTED=GAAP","Sort=A","Dates=H","DateFormat=P","Fill=—","Direction=H","UseDPDF=Y")</f>
        <v>9.7134</v>
      </c>
      <c r="AA15" s="14">
        <f>_xll.BDH("AMGN US Equity","TOT_DEBT_TO_EBIT_EX_OPER_LEA_ACT","FQ4 2024","FQ4 2024","Currency=USD","Period=FQ","BEST_FPERIOD_OVERRIDE=FQ","FILING_STATUS=MR","FA_ADJUSTED=GAAP","Sort=A","Dates=H","DateFormat=P","Fill=—","Direction=H","UseDPDF=Y")</f>
        <v>8.2804000000000002</v>
      </c>
    </row>
    <row r="16" spans="1:27" x14ac:dyDescent="0.25">
      <c r="A16" s="10" t="s">
        <v>1572</v>
      </c>
      <c r="B16" s="10" t="s">
        <v>1605</v>
      </c>
      <c r="C16" s="14">
        <f>_xll.BDH("AMGN US Equity","NET_DEBT_TO_EBIT_EX_OPER_LEA_ACT","FQ4 2018","FQ4 2018","Currency=USD","Period=FQ","BEST_FPERIOD_OVERRIDE=FQ","FILING_STATUS=MR","FA_ADJUSTED=GAAP","Sort=A","Dates=H","DateFormat=P","Fill=—","Direction=H","UseDPDF=Y")</f>
        <v>0.4506</v>
      </c>
      <c r="D16" s="14">
        <f>_xll.BDH("AMGN US Equity","NET_DEBT_TO_EBIT_EX_OPER_LEA_ACT","FQ1 2019","FQ1 2019","Currency=USD","Period=FQ","BEST_FPERIOD_OVERRIDE=FQ","FILING_STATUS=MR","FA_ADJUSTED=GAAP","Sort=A","Dates=H","DateFormat=P","Fill=—","Direction=H","UseDPDF=Y")</f>
        <v>0.67169999999999996</v>
      </c>
      <c r="E16" s="14">
        <f>_xll.BDH("AMGN US Equity","NET_DEBT_TO_EBIT_EX_OPER_LEA_ACT","FQ2 2019","FQ2 2019","Currency=USD","Period=FQ","BEST_FPERIOD_OVERRIDE=FQ","FILING_STATUS=MR","FA_ADJUSTED=GAAP","Sort=A","Dates=H","DateFormat=P","Fill=—","Direction=H","UseDPDF=Y")</f>
        <v>0.89859999999999995</v>
      </c>
      <c r="F16" s="14">
        <f>_xll.BDH("AMGN US Equity","NET_DEBT_TO_EBIT_EX_OPER_LEA_ACT","FQ3 2019","FQ3 2019","Currency=USD","Period=FQ","BEST_FPERIOD_OVERRIDE=FQ","FILING_STATUS=MR","FA_ADJUSTED=GAAP","Sort=A","Dates=H","DateFormat=P","Fill=—","Direction=H","UseDPDF=Y")</f>
        <v>0.8931</v>
      </c>
      <c r="G16" s="14">
        <f>_xll.BDH("AMGN US Equity","NET_DEBT_TO_EBIT_EX_OPER_LEA_ACT","FQ4 2019","FQ4 2019","Currency=USD","Period=FQ","BEST_FPERIOD_OVERRIDE=FQ","FILING_STATUS=MR","FA_ADJUSTED=GAAP","Sort=A","Dates=H","DateFormat=P","Fill=—","Direction=H","UseDPDF=Y")</f>
        <v>2.1699000000000002</v>
      </c>
      <c r="H16" s="14">
        <f>_xll.BDH("AMGN US Equity","NET_DEBT_TO_EBIT_EX_OPER_LEA_ACT","FQ1 2020","FQ1 2020","Currency=USD","Period=FQ","BEST_FPERIOD_OVERRIDE=FQ","FILING_STATUS=MR","FA_ADJUSTED=GAAP","Sort=A","Dates=H","DateFormat=P","Fill=—","Direction=H","UseDPDF=Y")</f>
        <v>2.4941</v>
      </c>
      <c r="I16" s="14">
        <f>_xll.BDH("AMGN US Equity","NET_DEBT_TO_EBIT_EX_OPER_LEA_ACT","FQ2 2020","FQ2 2020","Currency=USD","Period=FQ","BEST_FPERIOD_OVERRIDE=FQ","FILING_STATUS=MR","FA_ADJUSTED=GAAP","Sort=A","Dates=H","DateFormat=P","Fill=—","Direction=H","UseDPDF=Y")</f>
        <v>2.4780000000000002</v>
      </c>
      <c r="J16" s="14">
        <f>_xll.BDH("AMGN US Equity","NET_DEBT_TO_EBIT_EX_OPER_LEA_ACT","FQ3 2020","FQ3 2020","Currency=USD","Period=FQ","BEST_FPERIOD_OVERRIDE=FQ","FILING_STATUS=MR","FA_ADJUSTED=GAAP","Sort=A","Dates=H","DateFormat=P","Fill=—","Direction=H","UseDPDF=Y")</f>
        <v>2.3887999999999998</v>
      </c>
      <c r="K16" s="14">
        <f>_xll.BDH("AMGN US Equity","NET_DEBT_TO_EBIT_EX_OPER_LEA_ACT","FQ4 2020","FQ4 2020","Currency=USD","Period=FQ","BEST_FPERIOD_OVERRIDE=FQ","FILING_STATUS=MR","FA_ADJUSTED=GAAP","Sort=A","Dates=H","DateFormat=P","Fill=—","Direction=H","UseDPDF=Y")</f>
        <v>2.4443999999999999</v>
      </c>
      <c r="L16" s="14">
        <f>_xll.BDH("AMGN US Equity","NET_DEBT_TO_EBIT_EX_OPER_LEA_ACT","FQ1 2021","FQ1 2021","Currency=USD","Period=FQ","BEST_FPERIOD_OVERRIDE=FQ","FILING_STATUS=MR","FA_ADJUSTED=GAAP","Sort=A","Dates=H","DateFormat=P","Fill=—","Direction=H","UseDPDF=Y")</f>
        <v>2.4817</v>
      </c>
      <c r="M16" s="14">
        <f>_xll.BDH("AMGN US Equity","NET_DEBT_TO_EBIT_EX_OPER_LEA_ACT","FQ2 2021","FQ2 2021","Currency=USD","Period=FQ","BEST_FPERIOD_OVERRIDE=FQ","FILING_STATUS=MR","FA_ADJUSTED=GAAP","Sort=A","Dates=H","DateFormat=P","Fill=—","Direction=H","UseDPDF=Y")</f>
        <v>3.3296999999999999</v>
      </c>
      <c r="N16" s="14">
        <f>_xll.BDH("AMGN US Equity","NET_DEBT_TO_EBIT_EX_OPER_LEA_ACT","FQ3 2021","FQ3 2021","Currency=USD","Period=FQ","BEST_FPERIOD_OVERRIDE=FQ","FILING_STATUS=MR","FA_ADJUSTED=GAAP","Sort=A","Dates=H","DateFormat=P","Fill=—","Direction=H","UseDPDF=Y")</f>
        <v>3.3580000000000001</v>
      </c>
      <c r="O16" s="14">
        <f>_xll.BDH("AMGN US Equity","NET_DEBT_TO_EBIT_EX_OPER_LEA_ACT","FQ4 2021","FQ4 2021","Currency=USD","Period=FQ","BEST_FPERIOD_OVERRIDE=FQ","FILING_STATUS=MR","FA_ADJUSTED=GAAP","Sort=A","Dates=H","DateFormat=P","Fill=—","Direction=H","UseDPDF=Y")</f>
        <v>3.3083</v>
      </c>
      <c r="P16" s="14">
        <f>_xll.BDH("AMGN US Equity","NET_DEBT_TO_EBIT_EX_OPER_LEA_ACT","FQ1 2022","FQ1 2022","Currency=USD","Period=FQ","BEST_FPERIOD_OVERRIDE=FQ","FILING_STATUS=MR","FA_ADJUSTED=GAAP","Sort=A","Dates=H","DateFormat=P","Fill=—","Direction=H","UseDPDF=Y")</f>
        <v>3.7839999999999998</v>
      </c>
      <c r="Q16" s="14">
        <f>_xll.BDH("AMGN US Equity","NET_DEBT_TO_EBIT_EX_OPER_LEA_ACT","FQ2 2022","FQ2 2022","Currency=USD","Period=FQ","BEST_FPERIOD_OVERRIDE=FQ","FILING_STATUS=MR","FA_ADJUSTED=GAAP","Sort=A","Dates=H","DateFormat=P","Fill=—","Direction=H","UseDPDF=Y")</f>
        <v>3.1352000000000002</v>
      </c>
      <c r="R16" s="14">
        <f>_xll.BDH("AMGN US Equity","NET_DEBT_TO_EBIT_EX_OPER_LEA_ACT","FQ3 2022","FQ3 2022","Currency=USD","Period=FQ","BEST_FPERIOD_OVERRIDE=FQ","FILING_STATUS=MR","FA_ADJUSTED=GAAP","Sort=A","Dates=H","DateFormat=P","Fill=—","Direction=H","UseDPDF=Y")</f>
        <v>2.8243</v>
      </c>
      <c r="S16" s="14">
        <f>_xll.BDH("AMGN US Equity","NET_DEBT_TO_EBIT_EX_OPER_LEA_ACT","FQ4 2022","FQ4 2022","Currency=USD","Period=FQ","BEST_FPERIOD_OVERRIDE=FQ","FILING_STATUS=MR","FA_ADJUSTED=GAAP","Sort=A","Dates=H","DateFormat=P","Fill=—","Direction=H","UseDPDF=Y")</f>
        <v>3.0985</v>
      </c>
      <c r="T16" s="14">
        <f>_xll.BDH("AMGN US Equity","NET_DEBT_TO_EBIT_EX_OPER_LEA_ACT","FQ1 2023","FQ1 2023","Currency=USD","Period=FQ","BEST_FPERIOD_OVERRIDE=FQ","FILING_STATUS=MR","FA_ADJUSTED=GAAP","Sort=A","Dates=H","DateFormat=P","Fill=—","Direction=H","UseDPDF=Y")</f>
        <v>3.3418999999999999</v>
      </c>
      <c r="U16" s="14">
        <f>_xll.BDH("AMGN US Equity","NET_DEBT_TO_EBIT_EX_OPER_LEA_ACT","FQ2 2023","FQ2 2023","Currency=USD","Period=FQ","BEST_FPERIOD_OVERRIDE=FQ","FILING_STATUS=MR","FA_ADJUSTED=GAAP","Sort=A","Dates=H","DateFormat=P","Fill=—","Direction=H","UseDPDF=Y")</f>
        <v>2.8748</v>
      </c>
      <c r="V16" s="14">
        <f>_xll.BDH("AMGN US Equity","NET_DEBT_TO_EBIT_EX_OPER_LEA_ACT","FQ3 2023","FQ3 2023","Currency=USD","Period=FQ","BEST_FPERIOD_OVERRIDE=FQ","FILING_STATUS=MR","FA_ADJUSTED=GAAP","Sort=A","Dates=H","DateFormat=P","Fill=—","Direction=H","UseDPDF=Y")</f>
        <v>2.9049999999999998</v>
      </c>
      <c r="W16" s="14">
        <f>_xll.BDH("AMGN US Equity","NET_DEBT_TO_EBIT_EX_OPER_LEA_ACT","FQ4 2023","FQ4 2023","Currency=USD","Period=FQ","BEST_FPERIOD_OVERRIDE=FQ","FILING_STATUS=MR","FA_ADJUSTED=GAAP","Sort=A","Dates=H","DateFormat=P","Fill=—","Direction=H","UseDPDF=Y")</f>
        <v>6.7961</v>
      </c>
      <c r="X16" s="14">
        <f>_xll.BDH("AMGN US Equity","NET_DEBT_TO_EBIT_EX_OPER_LEA_ACT","FQ1 2024","FQ1 2024","Currency=USD","Period=FQ","BEST_FPERIOD_OVERRIDE=FQ","FILING_STATUS=MR","FA_ADJUSTED=GAAP","Sort=A","Dates=H","DateFormat=P","Fill=—","Direction=H","UseDPDF=Y")</f>
        <v>7.7956000000000003</v>
      </c>
      <c r="Y16" s="14">
        <f>_xll.BDH("AMGN US Equity","NET_DEBT_TO_EBIT_EX_OPER_LEA_ACT","FQ2 2024","FQ2 2024","Currency=USD","Period=FQ","BEST_FPERIOD_OVERRIDE=FQ","FILING_STATUS=MR","FA_ADJUSTED=GAAP","Sort=A","Dates=H","DateFormat=P","Fill=—","Direction=H","UseDPDF=Y")</f>
        <v>8.6150000000000002</v>
      </c>
      <c r="Z16" s="14">
        <f>_xll.BDH("AMGN US Equity","NET_DEBT_TO_EBIT_EX_OPER_LEA_ACT","FQ3 2024","FQ3 2024","Currency=USD","Period=FQ","BEST_FPERIOD_OVERRIDE=FQ","FILING_STATUS=MR","FA_ADJUSTED=GAAP","Sort=A","Dates=H","DateFormat=P","Fill=—","Direction=H","UseDPDF=Y")</f>
        <v>8.2642000000000007</v>
      </c>
      <c r="AA16" s="14">
        <f>_xll.BDH("AMGN US Equity","NET_DEBT_TO_EBIT_EX_OPER_LEA_ACT","FQ4 2024","FQ4 2024","Currency=USD","Period=FQ","BEST_FPERIOD_OVERRIDE=FQ","FILING_STATUS=MR","FA_ADJUSTED=GAAP","Sort=A","Dates=H","DateFormat=P","Fill=—","Direction=H","UseDPDF=Y")</f>
        <v>6.6307999999999998</v>
      </c>
    </row>
    <row r="17" spans="1:27" x14ac:dyDescent="0.25">
      <c r="A17" s="10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5">
      <c r="A18" s="10" t="s">
        <v>1574</v>
      </c>
      <c r="B18" s="10" t="s">
        <v>1606</v>
      </c>
      <c r="C18" s="14">
        <f>_xll.BDH("AMGN US Equity","EBITDA_AFT_OP_LEA_EXP_TO_INT_EXP","FQ4 2018","FQ4 2018","Currency=USD","Period=FQ","BEST_FPERIOD_OVERRIDE=FQ","FILING_STATUS=MR","FA_ADJUSTED=GAAP","Sort=A","Dates=H","DateFormat=P","Fill=—","Direction=H","UseDPDF=Y")</f>
        <v>8.1591000000000005</v>
      </c>
      <c r="D18" s="14">
        <f>_xll.BDH("AMGN US Equity","EBITDA_AFT_OP_LEA_EXP_TO_INT_EXP","FQ1 2019","FQ1 2019","Currency=USD","Period=FQ","BEST_FPERIOD_OVERRIDE=FQ","FILING_STATUS=MR","FA_ADJUSTED=GAAP","Sort=A","Dates=H","DateFormat=P","Fill=—","Direction=H","UseDPDF=Y")</f>
        <v>8.6501000000000001</v>
      </c>
      <c r="E18" s="14">
        <f>_xll.BDH("AMGN US Equity","EBITDA_AFT_OP_LEA_EXP_TO_INT_EXP","FQ2 2019","FQ2 2019","Currency=USD","Period=FQ","BEST_FPERIOD_OVERRIDE=FQ","FILING_STATUS=MR","FA_ADJUSTED=GAAP","Sort=A","Dates=H","DateFormat=P","Fill=—","Direction=H","UseDPDF=Y")</f>
        <v>9.5753000000000004</v>
      </c>
      <c r="F18" s="14">
        <f>_xll.BDH("AMGN US Equity","EBITDA_AFT_OP_LEA_EXP_TO_INT_EXP","FQ3 2019","FQ3 2019","Currency=USD","Period=FQ","BEST_FPERIOD_OVERRIDE=FQ","FILING_STATUS=MR","FA_ADJUSTED=GAAP","Sort=A","Dates=H","DateFormat=P","Fill=—","Direction=H","UseDPDF=Y")</f>
        <v>9.5335000000000001</v>
      </c>
      <c r="G18" s="14">
        <f>_xll.BDH("AMGN US Equity","EBITDA_AFT_OP_LEA_EXP_TO_INT_EXP","FQ4 2019","FQ4 2019","Currency=USD","Period=FQ","BEST_FPERIOD_OVERRIDE=FQ","FILING_STATUS=MR","FA_ADJUSTED=GAAP","Sort=A","Dates=H","DateFormat=P","Fill=—","Direction=H","UseDPDF=Y")</f>
        <v>9.1362000000000005</v>
      </c>
      <c r="H18" s="14">
        <f>_xll.BDH("AMGN US Equity","EBITDA_AFT_OP_LEA_EXP_TO_INT_EXP","FQ1 2020","FQ1 2020","Currency=USD","Period=FQ","BEST_FPERIOD_OVERRIDE=FQ","FILING_STATUS=MR","FA_ADJUSTED=GAAP","Sort=A","Dates=H","DateFormat=P","Fill=—","Direction=H","UseDPDF=Y")</f>
        <v>9.3987999999999996</v>
      </c>
      <c r="I18" s="14">
        <f>_xll.BDH("AMGN US Equity","EBITDA_AFT_OP_LEA_EXP_TO_INT_EXP","FQ2 2020","FQ2 2020","Currency=USD","Period=FQ","BEST_FPERIOD_OVERRIDE=FQ","FILING_STATUS=MR","FA_ADJUSTED=GAAP","Sort=A","Dates=H","DateFormat=P","Fill=—","Direction=H","UseDPDF=Y")</f>
        <v>10.9899</v>
      </c>
      <c r="J18" s="14">
        <f>_xll.BDH("AMGN US Equity","EBITDA_AFT_OP_LEA_EXP_TO_INT_EXP","FQ3 2020","FQ3 2020","Currency=USD","Period=FQ","BEST_FPERIOD_OVERRIDE=FQ","FILING_STATUS=MR","FA_ADJUSTED=GAAP","Sort=A","Dates=H","DateFormat=P","Fill=—","Direction=H","UseDPDF=Y")</f>
        <v>11.106</v>
      </c>
      <c r="K18" s="14">
        <f>_xll.BDH("AMGN US Equity","EBITDA_AFT_OP_LEA_EXP_TO_INT_EXP","FQ4 2020","FQ4 2020","Currency=USD","Period=FQ","BEST_FPERIOD_OVERRIDE=FQ","FILING_STATUS=MR","FA_ADJUSTED=GAAP","Sort=A","Dates=H","DateFormat=P","Fill=—","Direction=H","UseDPDF=Y")</f>
        <v>9.0596999999999994</v>
      </c>
      <c r="L18" s="14">
        <f>_xll.BDH("AMGN US Equity","EBITDA_AFT_OP_LEA_EXP_TO_INT_EXP","FQ1 2021","FQ1 2021","Currency=USD","Period=FQ","BEST_FPERIOD_OVERRIDE=FQ","FILING_STATUS=MR","FA_ADJUSTED=GAAP","Sort=A","Dates=H","DateFormat=P","Fill=—","Direction=H","UseDPDF=Y")</f>
        <v>10.421099999999999</v>
      </c>
      <c r="M18" s="14">
        <f>_xll.BDH("AMGN US Equity","EBITDA_AFT_OP_LEA_EXP_TO_INT_EXP","FQ2 2021","FQ2 2021","Currency=USD","Period=FQ","BEST_FPERIOD_OVERRIDE=FQ","FILING_STATUS=MR","FA_ADJUSTED=GAAP","Sort=A","Dates=H","DateFormat=P","Fill=—","Direction=H","UseDPDF=Y")</f>
        <v>5.9893000000000001</v>
      </c>
      <c r="N18" s="14">
        <f>_xll.BDH("AMGN US Equity","EBITDA_AFT_OP_LEA_EXP_TO_INT_EXP","FQ3 2021","FQ3 2021","Currency=USD","Period=FQ","BEST_FPERIOD_OVERRIDE=FQ","FILING_STATUS=MR","FA_ADJUSTED=GAAP","Sort=A","Dates=H","DateFormat=P","Fill=—","Direction=H","UseDPDF=Y")</f>
        <v>10.9054</v>
      </c>
      <c r="O18" s="14">
        <f>_xll.BDH("AMGN US Equity","EBITDA_AFT_OP_LEA_EXP_TO_INT_EXP","FQ4 2021","FQ4 2021","Currency=USD","Period=FQ","BEST_FPERIOD_OVERRIDE=FQ","FILING_STATUS=MR","FA_ADJUSTED=GAAP","Sort=A","Dates=H","DateFormat=P","Fill=—","Direction=H","UseDPDF=Y")</f>
        <v>9.4208999999999996</v>
      </c>
      <c r="P18" s="14">
        <f>_xll.BDH("AMGN US Equity","EBITDA_AFT_OP_LEA_EXP_TO_INT_EXP","FQ1 2022","FQ1 2022","Currency=USD","Period=FQ","BEST_FPERIOD_OVERRIDE=FQ","FILING_STATUS=MR","FA_ADJUSTED=GAAP","Sort=A","Dates=H","DateFormat=P","Fill=—","Direction=H","UseDPDF=Y")</f>
        <v>11.3254</v>
      </c>
      <c r="Q18" s="14">
        <f>_xll.BDH("AMGN US Equity","EBITDA_AFT_OP_LEA_EXP_TO_INT_EXP","FQ2 2022","FQ2 2022","Currency=USD","Period=FQ","BEST_FPERIOD_OVERRIDE=FQ","FILING_STATUS=MR","FA_ADJUSTED=GAAP","Sort=A","Dates=H","DateFormat=P","Fill=—","Direction=H","UseDPDF=Y")</f>
        <v>9.1585000000000001</v>
      </c>
      <c r="R18" s="14">
        <f>_xll.BDH("AMGN US Equity","EBITDA_AFT_OP_LEA_EXP_TO_INT_EXP","FQ3 2022","FQ3 2022","Currency=USD","Period=FQ","BEST_FPERIOD_OVERRIDE=FQ","FILING_STATUS=MR","FA_ADJUSTED=GAAP","Sort=A","Dates=H","DateFormat=P","Fill=—","Direction=H","UseDPDF=Y")</f>
        <v>9.5027000000000008</v>
      </c>
      <c r="S18" s="14">
        <f>_xll.BDH("AMGN US Equity","EBITDA_AFT_OP_LEA_EXP_TO_INT_EXP","FQ4 2022","FQ4 2022","Currency=USD","Period=FQ","BEST_FPERIOD_OVERRIDE=FQ","FILING_STATUS=MR","FA_ADJUSTED=GAAP","Sort=A","Dates=H","DateFormat=P","Fill=—","Direction=H","UseDPDF=Y")</f>
        <v>7.5686999999999998</v>
      </c>
      <c r="T18" s="14">
        <f>_xll.BDH("AMGN US Equity","EBITDA_AFT_OP_LEA_EXP_TO_INT_EXP","FQ1 2023","FQ1 2023","Currency=USD","Period=FQ","BEST_FPERIOD_OVERRIDE=FQ","FILING_STATUS=MR","FA_ADJUSTED=GAAP","Sort=A","Dates=H","DateFormat=P","Fill=—","Direction=H","UseDPDF=Y")</f>
        <v>5.1951999999999998</v>
      </c>
      <c r="U18" s="14">
        <f>_xll.BDH("AMGN US Equity","EBITDA_AFT_OP_LEA_EXP_TO_INT_EXP","FQ2 2023","FQ2 2023","Currency=USD","Period=FQ","BEST_FPERIOD_OVERRIDE=FQ","FILING_STATUS=MR","FA_ADJUSTED=GAAP","Sort=A","Dates=H","DateFormat=P","Fill=—","Direction=H","UseDPDF=Y")</f>
        <v>4.7606000000000002</v>
      </c>
      <c r="V18" s="14">
        <f>_xll.BDH("AMGN US Equity","EBITDA_AFT_OP_LEA_EXP_TO_INT_EXP","FQ3 2023","FQ3 2023","Currency=USD","Period=FQ","BEST_FPERIOD_OVERRIDE=FQ","FILING_STATUS=MR","FA_ADJUSTED=GAAP","Sort=A","Dates=H","DateFormat=P","Fill=—","Direction=H","UseDPDF=Y")</f>
        <v>3.8418999999999999</v>
      </c>
      <c r="W18" s="14">
        <f>_xll.BDH("AMGN US Equity","EBITDA_AFT_OP_LEA_EXP_TO_INT_EXP","FQ4 2023","FQ4 2023","Currency=USD","Period=FQ","BEST_FPERIOD_OVERRIDE=FQ","FILING_STATUS=MR","FA_ADJUSTED=GAAP","Sort=A","Dates=H","DateFormat=P","Fill=—","Direction=H","UseDPDF=Y")</f>
        <v>3.2290000000000001</v>
      </c>
      <c r="X18" s="14">
        <f>_xll.BDH("AMGN US Equity","EBITDA_AFT_OP_LEA_EXP_TO_INT_EXP","FQ1 2024","FQ1 2024","Currency=USD","Period=FQ","BEST_FPERIOD_OVERRIDE=FQ","FILING_STATUS=MR","FA_ADJUSTED=GAAP","Sort=A","Dates=H","DateFormat=P","Fill=—","Direction=H","UseDPDF=Y")</f>
        <v>2.9005000000000001</v>
      </c>
      <c r="Y18" s="14">
        <f>_xll.BDH("AMGN US Equity","EBITDA_AFT_OP_LEA_EXP_TO_INT_EXP","FQ2 2024","FQ2 2024","Currency=USD","Period=FQ","BEST_FPERIOD_OVERRIDE=FQ","FILING_STATUS=MR","FA_ADJUSTED=GAAP","Sort=A","Dates=H","DateFormat=P","Fill=—","Direction=H","UseDPDF=Y")</f>
        <v>4.0952999999999999</v>
      </c>
      <c r="Z18" s="14">
        <f>_xll.BDH("AMGN US Equity","EBITDA_AFT_OP_LEA_EXP_TO_INT_EXP","FQ3 2024","FQ3 2024","Currency=USD","Period=FQ","BEST_FPERIOD_OVERRIDE=FQ","FILING_STATUS=MR","FA_ADJUSTED=GAAP","Sort=A","Dates=H","DateFormat=P","Fill=—","Direction=H","UseDPDF=Y")</f>
        <v>4.4368999999999996</v>
      </c>
      <c r="AA18" s="14">
        <f>_xll.BDH("AMGN US Equity","EBITDA_AFT_OP_LEA_EXP_TO_INT_EXP","FQ4 2024","FQ4 2024","Currency=USD","Period=FQ","BEST_FPERIOD_OVERRIDE=FQ","FILING_STATUS=MR","FA_ADJUSTED=GAAP","Sort=A","Dates=H","DateFormat=P","Fill=—","Direction=H","UseDPDF=Y")</f>
        <v>4.9638999999999998</v>
      </c>
    </row>
    <row r="19" spans="1:27" x14ac:dyDescent="0.25">
      <c r="A19" s="10" t="s">
        <v>1576</v>
      </c>
      <c r="B19" s="10" t="s">
        <v>1607</v>
      </c>
      <c r="C19" s="14">
        <f>_xll.BDH("AMGN US Equity","EBITDA_AFT_CAPEX_OP_LEA_EX_INT","FQ4 2018","FQ4 2018","Currency=USD","Period=FQ","BEST_FPERIOD_OVERRIDE=FQ","FILING_STATUS=MR","FA_ADJUSTED=GAAP","Sort=A","Dates=H","DateFormat=P","Fill=—","Direction=H","UseDPDF=Y")</f>
        <v>7.5198999999999998</v>
      </c>
      <c r="D19" s="14">
        <f>_xll.BDH("AMGN US Equity","EBITDA_AFT_CAPEX_OP_LEA_EX_INT","FQ1 2019","FQ1 2019","Currency=USD","Period=FQ","BEST_FPERIOD_OVERRIDE=FQ","FILING_STATUS=MR","FA_ADJUSTED=GAAP","Sort=A","Dates=H","DateFormat=P","Fill=—","Direction=H","UseDPDF=Y")</f>
        <v>8.3119999999999994</v>
      </c>
      <c r="E19" s="14">
        <f>_xll.BDH("AMGN US Equity","EBITDA_AFT_CAPEX_OP_LEA_EX_INT","FQ2 2019","FQ2 2019","Currency=USD","Period=FQ","BEST_FPERIOD_OVERRIDE=FQ","FILING_STATUS=MR","FA_ADJUSTED=GAAP","Sort=A","Dates=H","DateFormat=P","Fill=—","Direction=H","UseDPDF=Y")</f>
        <v>9.1416000000000004</v>
      </c>
      <c r="F19" s="14">
        <f>_xll.BDH("AMGN US Equity","EBITDA_AFT_CAPEX_OP_LEA_EX_INT","FQ3 2019","FQ3 2019","Currency=USD","Period=FQ","BEST_FPERIOD_OVERRIDE=FQ","FILING_STATUS=MR","FA_ADJUSTED=GAAP","Sort=A","Dates=H","DateFormat=P","Fill=—","Direction=H","UseDPDF=Y")</f>
        <v>8.9903999999999993</v>
      </c>
      <c r="G19" s="14">
        <f>_xll.BDH("AMGN US Equity","EBITDA_AFT_CAPEX_OP_LEA_EX_INT","FQ4 2019","FQ4 2019","Currency=USD","Period=FQ","BEST_FPERIOD_OVERRIDE=FQ","FILING_STATUS=MR","FA_ADJUSTED=GAAP","Sort=A","Dates=H","DateFormat=P","Fill=—","Direction=H","UseDPDF=Y")</f>
        <v>8.5115999999999996</v>
      </c>
      <c r="H19" s="14">
        <f>_xll.BDH("AMGN US Equity","EBITDA_AFT_CAPEX_OP_LEA_EX_INT","FQ1 2020","FQ1 2020","Currency=USD","Period=FQ","BEST_FPERIOD_OVERRIDE=FQ","FILING_STATUS=MR","FA_ADJUSTED=GAAP","Sort=A","Dates=H","DateFormat=P","Fill=—","Direction=H","UseDPDF=Y")</f>
        <v>8.9884000000000004</v>
      </c>
      <c r="I19" s="14">
        <f>_xll.BDH("AMGN US Equity","EBITDA_AFT_CAPEX_OP_LEA_EX_INT","FQ2 2020","FQ2 2020","Currency=USD","Period=FQ","BEST_FPERIOD_OVERRIDE=FQ","FILING_STATUS=MR","FA_ADJUSTED=GAAP","Sort=A","Dates=H","DateFormat=P","Fill=—","Direction=H","UseDPDF=Y")</f>
        <v>10.456099999999999</v>
      </c>
      <c r="J19" s="14">
        <f>_xll.BDH("AMGN US Equity","EBITDA_AFT_CAPEX_OP_LEA_EX_INT","FQ3 2020","FQ3 2020","Currency=USD","Period=FQ","BEST_FPERIOD_OVERRIDE=FQ","FILING_STATUS=MR","FA_ADJUSTED=GAAP","Sort=A","Dates=H","DateFormat=P","Fill=—","Direction=H","UseDPDF=Y")</f>
        <v>10.658899999999999</v>
      </c>
      <c r="K19" s="14">
        <f>_xll.BDH("AMGN US Equity","EBITDA_AFT_CAPEX_OP_LEA_EX_INT","FQ4 2020","FQ4 2020","Currency=USD","Period=FQ","BEST_FPERIOD_OVERRIDE=FQ","FILING_STATUS=MR","FA_ADJUSTED=GAAP","Sort=A","Dates=H","DateFormat=P","Fill=—","Direction=H","UseDPDF=Y")</f>
        <v>8.5157000000000007</v>
      </c>
      <c r="L19" s="14">
        <f>_xll.BDH("AMGN US Equity","EBITDA_AFT_CAPEX_OP_LEA_EX_INT","FQ1 2021","FQ1 2021","Currency=USD","Period=FQ","BEST_FPERIOD_OVERRIDE=FQ","FILING_STATUS=MR","FA_ADJUSTED=GAAP","Sort=A","Dates=H","DateFormat=P","Fill=—","Direction=H","UseDPDF=Y")</f>
        <v>9.8385999999999996</v>
      </c>
      <c r="M19" s="14">
        <f>_xll.BDH("AMGN US Equity","EBITDA_AFT_CAPEX_OP_LEA_EX_INT","FQ2 2021","FQ2 2021","Currency=USD","Period=FQ","BEST_FPERIOD_OVERRIDE=FQ","FILING_STATUS=MR","FA_ADJUSTED=GAAP","Sort=A","Dates=H","DateFormat=P","Fill=—","Direction=H","UseDPDF=Y")</f>
        <v>5.3310000000000004</v>
      </c>
      <c r="N19" s="14">
        <f>_xll.BDH("AMGN US Equity","EBITDA_AFT_CAPEX_OP_LEA_EX_INT","FQ3 2021","FQ3 2021","Currency=USD","Period=FQ","BEST_FPERIOD_OVERRIDE=FQ","FILING_STATUS=MR","FA_ADJUSTED=GAAP","Sort=A","Dates=H","DateFormat=P","Fill=—","Direction=H","UseDPDF=Y")</f>
        <v>10.0878</v>
      </c>
      <c r="O19" s="14">
        <f>_xll.BDH("AMGN US Equity","EBITDA_AFT_CAPEX_OP_LEA_EX_INT","FQ4 2021","FQ4 2021","Currency=USD","Period=FQ","BEST_FPERIOD_OVERRIDE=FQ","FILING_STATUS=MR","FA_ADJUSTED=GAAP","Sort=A","Dates=H","DateFormat=P","Fill=—","Direction=H","UseDPDF=Y")</f>
        <v>8.5641999999999996</v>
      </c>
      <c r="P19" s="14">
        <f>_xll.BDH("AMGN US Equity","EBITDA_AFT_CAPEX_OP_LEA_EX_INT","FQ1 2022","FQ1 2022","Currency=USD","Period=FQ","BEST_FPERIOD_OVERRIDE=FQ","FILING_STATUS=MR","FA_ADJUSTED=GAAP","Sort=A","Dates=H","DateFormat=P","Fill=—","Direction=H","UseDPDF=Y")</f>
        <v>10.6814</v>
      </c>
      <c r="Q19" s="14">
        <f>_xll.BDH("AMGN US Equity","EBITDA_AFT_CAPEX_OP_LEA_EX_INT","FQ2 2022","FQ2 2022","Currency=USD","Period=FQ","BEST_FPERIOD_OVERRIDE=FQ","FILING_STATUS=MR","FA_ADJUSTED=GAAP","Sort=A","Dates=H","DateFormat=P","Fill=—","Direction=H","UseDPDF=Y")</f>
        <v>8.4085000000000001</v>
      </c>
      <c r="R19" s="14">
        <f>_xll.BDH("AMGN US Equity","EBITDA_AFT_CAPEX_OP_LEA_EX_INT","FQ3 2022","FQ3 2022","Currency=USD","Period=FQ","BEST_FPERIOD_OVERRIDE=FQ","FILING_STATUS=MR","FA_ADJUSTED=GAAP","Sort=A","Dates=H","DateFormat=P","Fill=—","Direction=H","UseDPDF=Y")</f>
        <v>9.0678999999999998</v>
      </c>
      <c r="S19" s="14">
        <f>_xll.BDH("AMGN US Equity","EBITDA_AFT_CAPEX_OP_LEA_EX_INT","FQ4 2022","FQ4 2022","Currency=USD","Period=FQ","BEST_FPERIOD_OVERRIDE=FQ","FILING_STATUS=MR","FA_ADJUSTED=GAAP","Sort=A","Dates=H","DateFormat=P","Fill=—","Direction=H","UseDPDF=Y")</f>
        <v>6.7493999999999996</v>
      </c>
      <c r="T19" s="14">
        <f>_xll.BDH("AMGN US Equity","EBITDA_AFT_CAPEX_OP_LEA_EX_INT","FQ1 2023","FQ1 2023","Currency=USD","Period=FQ","BEST_FPERIOD_OVERRIDE=FQ","FILING_STATUS=MR","FA_ADJUSTED=GAAP","Sort=A","Dates=H","DateFormat=P","Fill=—","Direction=H","UseDPDF=Y")</f>
        <v>4.5617000000000001</v>
      </c>
      <c r="U19" s="14">
        <f>_xll.BDH("AMGN US Equity","EBITDA_AFT_CAPEX_OP_LEA_EX_INT","FQ2 2023","FQ2 2023","Currency=USD","Period=FQ","BEST_FPERIOD_OVERRIDE=FQ","FILING_STATUS=MR","FA_ADJUSTED=GAAP","Sort=A","Dates=H","DateFormat=P","Fill=—","Direction=H","UseDPDF=Y")</f>
        <v>4.4002999999999997</v>
      </c>
      <c r="V19" s="14">
        <f>_xll.BDH("AMGN US Equity","EBITDA_AFT_CAPEX_OP_LEA_EX_INT","FQ3 2023","FQ3 2023","Currency=USD","Period=FQ","BEST_FPERIOD_OVERRIDE=FQ","FILING_STATUS=MR","FA_ADJUSTED=GAAP","Sort=A","Dates=H","DateFormat=P","Fill=—","Direction=H","UseDPDF=Y")</f>
        <v>3.5152000000000001</v>
      </c>
      <c r="W19" s="14">
        <f>_xll.BDH("AMGN US Equity","EBITDA_AFT_CAPEX_OP_LEA_EX_INT","FQ4 2023","FQ4 2023","Currency=USD","Period=FQ","BEST_FPERIOD_OVERRIDE=FQ","FILING_STATUS=MR","FA_ADJUSTED=GAAP","Sort=A","Dates=H","DateFormat=P","Fill=—","Direction=H","UseDPDF=Y")</f>
        <v>2.9257</v>
      </c>
      <c r="X19" s="14">
        <f>_xll.BDH("AMGN US Equity","EBITDA_AFT_CAPEX_OP_LEA_EX_INT","FQ1 2024","FQ1 2024","Currency=USD","Period=FQ","BEST_FPERIOD_OVERRIDE=FQ","FILING_STATUS=MR","FA_ADJUSTED=GAAP","Sort=A","Dates=H","DateFormat=P","Fill=—","Direction=H","UseDPDF=Y")</f>
        <v>2.6214</v>
      </c>
      <c r="Y19" s="14">
        <f>_xll.BDH("AMGN US Equity","EBITDA_AFT_CAPEX_OP_LEA_EX_INT","FQ2 2024","FQ2 2024","Currency=USD","Period=FQ","BEST_FPERIOD_OVERRIDE=FQ","FILING_STATUS=MR","FA_ADJUSTED=GAAP","Sort=A","Dates=H","DateFormat=P","Fill=—","Direction=H","UseDPDF=Y")</f>
        <v>3.8007</v>
      </c>
      <c r="Z19" s="14">
        <f>_xll.BDH("AMGN US Equity","EBITDA_AFT_CAPEX_OP_LEA_EX_INT","FQ3 2024","FQ3 2024","Currency=USD","Period=FQ","BEST_FPERIOD_OVERRIDE=FQ","FILING_STATUS=MR","FA_ADJUSTED=GAAP","Sort=A","Dates=H","DateFormat=P","Fill=—","Direction=H","UseDPDF=Y")</f>
        <v>4.1056999999999997</v>
      </c>
      <c r="AA19" s="14">
        <f>_xll.BDH("AMGN US Equity","EBITDA_AFT_CAPEX_OP_LEA_EX_INT","FQ4 2024","FQ4 2024","Currency=USD","Period=FQ","BEST_FPERIOD_OVERRIDE=FQ","FILING_STATUS=MR","FA_ADJUSTED=GAAP","Sort=A","Dates=H","DateFormat=P","Fill=—","Direction=H","UseDPDF=Y")</f>
        <v>4.4672000000000001</v>
      </c>
    </row>
    <row r="20" spans="1:27" x14ac:dyDescent="0.25">
      <c r="A20" s="10" t="s">
        <v>1578</v>
      </c>
      <c r="B20" s="10" t="s">
        <v>1608</v>
      </c>
      <c r="C20" s="14">
        <f>_xll.BDH("AMGN US Equity","EBIT_AFT_OP_LEA_EXPN_TO_INT_EXPN","FQ4 2018","FQ4 2018","Currency=USD","Period=FQ","BEST_FPERIOD_OVERRIDE=FQ","FILING_STATUS=MR","FA_ADJUSTED=GAAP","Sort=A","Dates=H","DateFormat=P","Fill=—","Direction=H","UseDPDF=Y")</f>
        <v>6.7670000000000003</v>
      </c>
      <c r="D20" s="14">
        <f>_xll.BDH("AMGN US Equity","EBIT_AFT_OP_LEA_EXPN_TO_INT_EXPN","FQ1 2019","FQ1 2019","Currency=USD","Period=FQ","BEST_FPERIOD_OVERRIDE=FQ","FILING_STATUS=MR","FA_ADJUSTED=GAAP","Sort=A","Dates=H","DateFormat=P","Fill=—","Direction=H","UseDPDF=Y")</f>
        <v>7.2069999999999999</v>
      </c>
      <c r="E20" s="14">
        <f>_xll.BDH("AMGN US Equity","EBIT_AFT_OP_LEA_EXPN_TO_INT_EXPN","FQ2 2019","FQ2 2019","Currency=USD","Period=FQ","BEST_FPERIOD_OVERRIDE=FQ","FILING_STATUS=MR","FA_ADJUSTED=GAAP","Sort=A","Dates=H","DateFormat=P","Fill=—","Direction=H","UseDPDF=Y")</f>
        <v>8.0663</v>
      </c>
      <c r="F20" s="14">
        <f>_xll.BDH("AMGN US Equity","EBIT_AFT_OP_LEA_EXPN_TO_INT_EXPN","FQ3 2019","FQ3 2019","Currency=USD","Period=FQ","BEST_FPERIOD_OVERRIDE=FQ","FILING_STATUS=MR","FA_ADJUSTED=GAAP","Sort=A","Dates=H","DateFormat=P","Fill=—","Direction=H","UseDPDF=Y")</f>
        <v>7.9104999999999999</v>
      </c>
      <c r="G20" s="14">
        <f>_xll.BDH("AMGN US Equity","EBIT_AFT_OP_LEA_EXPN_TO_INT_EXPN","FQ4 2019","FQ4 2019","Currency=USD","Period=FQ","BEST_FPERIOD_OVERRIDE=FQ","FILING_STATUS=MR","FA_ADJUSTED=GAAP","Sort=A","Dates=H","DateFormat=P","Fill=—","Direction=H","UseDPDF=Y")</f>
        <v>6.8040000000000003</v>
      </c>
      <c r="H20" s="14">
        <f>_xll.BDH("AMGN US Equity","EBIT_AFT_OP_LEA_EXPN_TO_INT_EXPN","FQ1 2020","FQ1 2020","Currency=USD","Period=FQ","BEST_FPERIOD_OVERRIDE=FQ","FILING_STATUS=MR","FA_ADJUSTED=GAAP","Sort=A","Dates=H","DateFormat=P","Fill=—","Direction=H","UseDPDF=Y")</f>
        <v>6.8064</v>
      </c>
      <c r="I20" s="14">
        <f>_xll.BDH("AMGN US Equity","EBIT_AFT_OP_LEA_EXPN_TO_INT_EXPN","FQ2 2020","FQ2 2020","Currency=USD","Period=FQ","BEST_FPERIOD_OVERRIDE=FQ","FILING_STATUS=MR","FA_ADJUSTED=GAAP","Sort=A","Dates=H","DateFormat=P","Fill=—","Direction=H","UseDPDF=Y")</f>
        <v>7.8479999999999999</v>
      </c>
      <c r="J20" s="14">
        <f>_xll.BDH("AMGN US Equity","EBIT_AFT_OP_LEA_EXPN_TO_INT_EXPN","FQ3 2020","FQ3 2020","Currency=USD","Period=FQ","BEST_FPERIOD_OVERRIDE=FQ","FILING_STATUS=MR","FA_ADJUSTED=GAAP","Sort=A","Dates=H","DateFormat=P","Fill=—","Direction=H","UseDPDF=Y")</f>
        <v>8.1225000000000005</v>
      </c>
      <c r="K20" s="14">
        <f>_xll.BDH("AMGN US Equity","EBIT_AFT_OP_LEA_EXPN_TO_INT_EXPN","FQ4 2020","FQ4 2020","Currency=USD","Period=FQ","BEST_FPERIOD_OVERRIDE=FQ","FILING_STATUS=MR","FA_ADJUSTED=GAAP","Sort=A","Dates=H","DateFormat=P","Fill=—","Direction=H","UseDPDF=Y")</f>
        <v>6.3144999999999998</v>
      </c>
      <c r="L20" s="14">
        <f>_xll.BDH("AMGN US Equity","EBIT_AFT_OP_LEA_EXPN_TO_INT_EXPN","FQ1 2021","FQ1 2021","Currency=USD","Period=FQ","BEST_FPERIOD_OVERRIDE=FQ","FILING_STATUS=MR","FA_ADJUSTED=GAAP","Sort=A","Dates=H","DateFormat=P","Fill=—","Direction=H","UseDPDF=Y")</f>
        <v>7.4702000000000002</v>
      </c>
      <c r="M20" s="14">
        <f>_xll.BDH("AMGN US Equity","EBIT_AFT_OP_LEA_EXPN_TO_INT_EXPN","FQ2 2021","FQ2 2021","Currency=USD","Period=FQ","BEST_FPERIOD_OVERRIDE=FQ","FILING_STATUS=MR","FA_ADJUSTED=GAAP","Sort=A","Dates=H","DateFormat=P","Fill=—","Direction=H","UseDPDF=Y")</f>
        <v>2.9466000000000001</v>
      </c>
      <c r="N20" s="14">
        <f>_xll.BDH("AMGN US Equity","EBIT_AFT_OP_LEA_EXPN_TO_INT_EXPN","FQ3 2021","FQ3 2021","Currency=USD","Period=FQ","BEST_FPERIOD_OVERRIDE=FQ","FILING_STATUS=MR","FA_ADJUSTED=GAAP","Sort=A","Dates=H","DateFormat=P","Fill=—","Direction=H","UseDPDF=Y")</f>
        <v>8.0337999999999994</v>
      </c>
      <c r="O20" s="14">
        <f>_xll.BDH("AMGN US Equity","EBIT_AFT_OP_LEA_EXPN_TO_INT_EXPN","FQ4 2021","FQ4 2021","Currency=USD","Period=FQ","BEST_FPERIOD_OVERRIDE=FQ","FILING_STATUS=MR","FA_ADJUSTED=GAAP","Sort=A","Dates=H","DateFormat=P","Fill=—","Direction=H","UseDPDF=Y")</f>
        <v>6.8776000000000002</v>
      </c>
      <c r="P20" s="14">
        <f>_xll.BDH("AMGN US Equity","EBIT_AFT_OP_LEA_EXPN_TO_INT_EXPN","FQ1 2022","FQ1 2022","Currency=USD","Period=FQ","BEST_FPERIOD_OVERRIDE=FQ","FILING_STATUS=MR","FA_ADJUSTED=GAAP","Sort=A","Dates=H","DateFormat=P","Fill=—","Direction=H","UseDPDF=Y")</f>
        <v>8.4746000000000006</v>
      </c>
      <c r="Q20" s="14">
        <f>_xll.BDH("AMGN US Equity","EBIT_AFT_OP_LEA_EXPN_TO_INT_EXPN","FQ2 2022","FQ2 2022","Currency=USD","Period=FQ","BEST_FPERIOD_OVERRIDE=FQ","FILING_STATUS=MR","FA_ADJUSTED=GAAP","Sort=A","Dates=H","DateFormat=P","Fill=—","Direction=H","UseDPDF=Y")</f>
        <v>6.6341000000000001</v>
      </c>
      <c r="R20" s="14">
        <f>_xll.BDH("AMGN US Equity","EBIT_AFT_OP_LEA_EXPN_TO_INT_EXPN","FQ3 2022","FQ3 2022","Currency=USD","Period=FQ","BEST_FPERIOD_OVERRIDE=FQ","FILING_STATUS=MR","FA_ADJUSTED=GAAP","Sort=A","Dates=H","DateFormat=P","Fill=—","Direction=H","UseDPDF=Y")</f>
        <v>7.2282999999999999</v>
      </c>
      <c r="S20" s="14">
        <f>_xll.BDH("AMGN US Equity","EBIT_AFT_OP_LEA_EXPN_TO_INT_EXPN","FQ4 2022","FQ4 2022","Currency=USD","Period=FQ","BEST_FPERIOD_OVERRIDE=FQ","FILING_STATUS=MR","FA_ADJUSTED=GAAP","Sort=A","Dates=H","DateFormat=P","Fill=—","Direction=H","UseDPDF=Y")</f>
        <v>5.3734999999999999</v>
      </c>
      <c r="T20" s="14">
        <f>_xll.BDH("AMGN US Equity","EBIT_AFT_OP_LEA_EXPN_TO_INT_EXPN","FQ1 2023","FQ1 2023","Currency=USD","Period=FQ","BEST_FPERIOD_OVERRIDE=FQ","FILING_STATUS=MR","FA_ADJUSTED=GAAP","Sort=A","Dates=H","DateFormat=P","Fill=—","Direction=H","UseDPDF=Y")</f>
        <v>3.5377999999999998</v>
      </c>
      <c r="U20" s="14">
        <f>_xll.BDH("AMGN US Equity","EBIT_AFT_OP_LEA_EXPN_TO_INT_EXPN","FQ2 2023","FQ2 2023","Currency=USD","Period=FQ","BEST_FPERIOD_OVERRIDE=FQ","FILING_STATUS=MR","FA_ADJUSTED=GAAP","Sort=A","Dates=H","DateFormat=P","Fill=—","Direction=H","UseDPDF=Y")</f>
        <v>3.5691000000000002</v>
      </c>
      <c r="V20" s="14">
        <f>_xll.BDH("AMGN US Equity","EBIT_AFT_OP_LEA_EXPN_TO_INT_EXPN","FQ3 2023","FQ3 2023","Currency=USD","Period=FQ","BEST_FPERIOD_OVERRIDE=FQ","FILING_STATUS=MR","FA_ADJUSTED=GAAP","Sort=A","Dates=H","DateFormat=P","Fill=—","Direction=H","UseDPDF=Y")</f>
        <v>2.6627000000000001</v>
      </c>
      <c r="W20" s="14">
        <f>_xll.BDH("AMGN US Equity","EBIT_AFT_OP_LEA_EXPN_TO_INT_EXPN","FQ4 2023","FQ4 2023","Currency=USD","Period=FQ","BEST_FPERIOD_OVERRIDE=FQ","FILING_STATUS=MR","FA_ADJUSTED=GAAP","Sort=A","Dates=H","DateFormat=P","Fill=—","Direction=H","UseDPDF=Y")</f>
        <v>1.5481</v>
      </c>
      <c r="X20" s="14">
        <f>_xll.BDH("AMGN US Equity","EBIT_AFT_OP_LEA_EXPN_TO_INT_EXPN","FQ1 2024","FQ1 2024","Currency=USD","Period=FQ","BEST_FPERIOD_OVERRIDE=FQ","FILING_STATUS=MR","FA_ADJUSTED=GAAP","Sort=A","Dates=H","DateFormat=P","Fill=—","Direction=H","UseDPDF=Y")</f>
        <v>1.2027000000000001</v>
      </c>
      <c r="Y20" s="14">
        <f>_xll.BDH("AMGN US Equity","EBIT_AFT_OP_LEA_EXPN_TO_INT_EXPN","FQ2 2024","FQ2 2024","Currency=USD","Period=FQ","BEST_FPERIOD_OVERRIDE=FQ","FILING_STATUS=MR","FA_ADJUSTED=GAAP","Sort=A","Dates=H","DateFormat=P","Fill=—","Direction=H","UseDPDF=Y")</f>
        <v>2.3626</v>
      </c>
      <c r="Z20" s="14">
        <f>_xll.BDH("AMGN US Equity","EBIT_AFT_OP_LEA_EXPN_TO_INT_EXPN","FQ3 2024","FQ3 2024","Currency=USD","Period=FQ","BEST_FPERIOD_OVERRIDE=FQ","FILING_STATUS=MR","FA_ADJUSTED=GAAP","Sort=A","Dates=H","DateFormat=P","Fill=—","Direction=H","UseDPDF=Y")</f>
        <v>2.6379000000000001</v>
      </c>
      <c r="AA20" s="14">
        <f>_xll.BDH("AMGN US Equity","EBIT_AFT_OP_LEA_EXPN_TO_INT_EXPN","FQ4 2024","FQ4 2024","Currency=USD","Period=FQ","BEST_FPERIOD_OVERRIDE=FQ","FILING_STATUS=MR","FA_ADJUSTED=GAAP","Sort=A","Dates=H","DateFormat=P","Fill=—","Direction=H","UseDPDF=Y")</f>
        <v>3.0937000000000001</v>
      </c>
    </row>
    <row r="21" spans="1:27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5">
      <c r="A23" s="10" t="s">
        <v>1580</v>
      </c>
      <c r="B23" s="10" t="s">
        <v>1609</v>
      </c>
      <c r="C23" s="13">
        <f>_xll.BDH("AMGN US Equity","INT_EXPN_AFTER_OPERATING_LEA_ACT","FQ4 2018","FQ4 2018","Currency=USD","Period=FQ","BEST_FPERIOD_OVERRIDE=FQ","FILING_STATUS=MR","SCALING_FORMAT=MLN","FA_ADJUSTED=GAAP","Sort=A","Dates=H","DateFormat=P","Fill=—","Direction=H","UseDPDF=Y")</f>
        <v>352</v>
      </c>
      <c r="D23" s="13">
        <f>_xll.BDH("AMGN US Equity","INT_EXPN_AFTER_OPERATING_LEA_ACT","FQ1 2019","FQ1 2019","Currency=USD","Period=FQ","BEST_FPERIOD_OVERRIDE=FQ","FILING_STATUS=MR","SCALING_FORMAT=MLN","FA_ADJUSTED=GAAP","Sort=A","Dates=H","DateFormat=P","Fill=—","Direction=H","UseDPDF=Y")</f>
        <v>343</v>
      </c>
      <c r="E23" s="13">
        <f>_xll.BDH("AMGN US Equity","INT_EXPN_AFTER_OPERATING_LEA_ACT","FQ2 2019","FQ2 2019","Currency=USD","Period=FQ","BEST_FPERIOD_OVERRIDE=FQ","FILING_STATUS=MR","SCALING_FORMAT=MLN","FA_ADJUSTED=GAAP","Sort=A","Dates=H","DateFormat=P","Fill=—","Direction=H","UseDPDF=Y")</f>
        <v>332</v>
      </c>
      <c r="F23" s="13">
        <f>_xll.BDH("AMGN US Equity","INT_EXPN_AFTER_OPERATING_LEA_ACT","FQ3 2019","FQ3 2019","Currency=USD","Period=FQ","BEST_FPERIOD_OVERRIDE=FQ","FILING_STATUS=MR","SCALING_FORMAT=MLN","FA_ADJUSTED=GAAP","Sort=A","Dates=H","DateFormat=P","Fill=—","Direction=H","UseDPDF=Y")</f>
        <v>313</v>
      </c>
      <c r="G23" s="13">
        <f>_xll.BDH("AMGN US Equity","INT_EXPN_AFTER_OPERATING_LEA_ACT","FQ4 2019","FQ4 2019","Currency=USD","Period=FQ","BEST_FPERIOD_OVERRIDE=FQ","FILING_STATUS=MR","SCALING_FORMAT=MLN","FA_ADJUSTED=GAAP","Sort=A","Dates=H","DateFormat=P","Fill=—","Direction=H","UseDPDF=Y")</f>
        <v>301</v>
      </c>
      <c r="H23" s="13">
        <f>_xll.BDH("AMGN US Equity","INT_EXPN_AFTER_OPERATING_LEA_ACT","FQ1 2020","FQ1 2020","Currency=USD","Period=FQ","BEST_FPERIOD_OVERRIDE=FQ","FILING_STATUS=MR","SCALING_FORMAT=MLN","FA_ADJUSTED=GAAP","Sort=A","Dates=H","DateFormat=P","Fill=—","Direction=H","UseDPDF=Y")</f>
        <v>346</v>
      </c>
      <c r="I23" s="13">
        <f>_xll.BDH("AMGN US Equity","INT_EXPN_AFTER_OPERATING_LEA_ACT","FQ2 2020","FQ2 2020","Currency=USD","Period=FQ","BEST_FPERIOD_OVERRIDE=FQ","FILING_STATUS=MR","SCALING_FORMAT=MLN","FA_ADJUSTED=GAAP","Sort=A","Dates=H","DateFormat=P","Fill=—","Direction=H","UseDPDF=Y")</f>
        <v>296</v>
      </c>
      <c r="J23" s="13">
        <f>_xll.BDH("AMGN US Equity","INT_EXPN_AFTER_OPERATING_LEA_ACT","FQ3 2020","FQ3 2020","Currency=USD","Period=FQ","BEST_FPERIOD_OVERRIDE=FQ","FILING_STATUS=MR","SCALING_FORMAT=MLN","FA_ADJUSTED=GAAP","Sort=A","Dates=H","DateFormat=P","Fill=—","Direction=H","UseDPDF=Y")</f>
        <v>302</v>
      </c>
      <c r="K23" s="13">
        <f>_xll.BDH("AMGN US Equity","INT_EXPN_AFTER_OPERATING_LEA_ACT","FQ4 2020","FQ4 2020","Currency=USD","Period=FQ","BEST_FPERIOD_OVERRIDE=FQ","FILING_STATUS=MR","SCALING_FORMAT=MLN","FA_ADJUSTED=GAAP","Sort=A","Dates=H","DateFormat=P","Fill=—","Direction=H","UseDPDF=Y")</f>
        <v>318</v>
      </c>
      <c r="L23" s="13">
        <f>_xll.BDH("AMGN US Equity","INT_EXPN_AFTER_OPERATING_LEA_ACT","FQ1 2021","FQ1 2021","Currency=USD","Period=FQ","BEST_FPERIOD_OVERRIDE=FQ","FILING_STATUS=MR","SCALING_FORMAT=MLN","FA_ADJUSTED=GAAP","Sort=A","Dates=H","DateFormat=P","Fill=—","Direction=H","UseDPDF=Y")</f>
        <v>285</v>
      </c>
      <c r="M23" s="13">
        <f>_xll.BDH("AMGN US Equity","INT_EXPN_AFTER_OPERATING_LEA_ACT","FQ2 2021","FQ2 2021","Currency=USD","Period=FQ","BEST_FPERIOD_OVERRIDE=FQ","FILING_STATUS=MR","SCALING_FORMAT=MLN","FA_ADJUSTED=GAAP","Sort=A","Dates=H","DateFormat=P","Fill=—","Direction=H","UseDPDF=Y")</f>
        <v>281</v>
      </c>
      <c r="N23" s="13">
        <f>_xll.BDH("AMGN US Equity","INT_EXPN_AFTER_OPERATING_LEA_ACT","FQ3 2021","FQ3 2021","Currency=USD","Period=FQ","BEST_FPERIOD_OVERRIDE=FQ","FILING_STATUS=MR","SCALING_FORMAT=MLN","FA_ADJUSTED=GAAP","Sort=A","Dates=H","DateFormat=P","Fill=—","Direction=H","UseDPDF=Y")</f>
        <v>296</v>
      </c>
      <c r="O23" s="13">
        <f>_xll.BDH("AMGN US Equity","INT_EXPN_AFTER_OPERATING_LEA_ACT","FQ4 2021","FQ4 2021","Currency=USD","Period=FQ","BEST_FPERIOD_OVERRIDE=FQ","FILING_STATUS=MR","SCALING_FORMAT=MLN","FA_ADJUSTED=GAAP","Sort=A","Dates=H","DateFormat=P","Fill=—","Direction=H","UseDPDF=Y")</f>
        <v>335</v>
      </c>
      <c r="P23" s="13">
        <f>_xll.BDH("AMGN US Equity","INT_EXPN_AFTER_OPERATING_LEA_ACT","FQ1 2022","FQ1 2022","Currency=USD","Period=FQ","BEST_FPERIOD_OVERRIDE=FQ","FILING_STATUS=MR","SCALING_FORMAT=MLN","FA_ADJUSTED=GAAP","Sort=A","Dates=H","DateFormat=P","Fill=—","Direction=H","UseDPDF=Y")</f>
        <v>295</v>
      </c>
      <c r="Q23" s="13">
        <f>_xll.BDH("AMGN US Equity","INT_EXPN_AFTER_OPERATING_LEA_ACT","FQ2 2022","FQ2 2022","Currency=USD","Period=FQ","BEST_FPERIOD_OVERRIDE=FQ","FILING_STATUS=MR","SCALING_FORMAT=MLN","FA_ADJUSTED=GAAP","Sort=A","Dates=H","DateFormat=P","Fill=—","Direction=H","UseDPDF=Y")</f>
        <v>328</v>
      </c>
      <c r="R23" s="13">
        <f>_xll.BDH("AMGN US Equity","INT_EXPN_AFTER_OPERATING_LEA_ACT","FQ3 2022","FQ3 2022","Currency=USD","Period=FQ","BEST_FPERIOD_OVERRIDE=FQ","FILING_STATUS=MR","SCALING_FORMAT=MLN","FA_ADJUSTED=GAAP","Sort=A","Dates=H","DateFormat=P","Fill=—","Direction=H","UseDPDF=Y")</f>
        <v>368</v>
      </c>
      <c r="S23" s="13">
        <f>_xll.BDH("AMGN US Equity","INT_EXPN_AFTER_OPERATING_LEA_ACT","FQ4 2022","FQ4 2022","Currency=USD","Period=FQ","BEST_FPERIOD_OVERRIDE=FQ","FILING_STATUS=MR","SCALING_FORMAT=MLN","FA_ADJUSTED=GAAP","Sort=A","Dates=H","DateFormat=P","Fill=—","Direction=H","UseDPDF=Y")</f>
        <v>415</v>
      </c>
      <c r="T23" s="13">
        <f>_xll.BDH("AMGN US Equity","INT_EXPN_AFTER_OPERATING_LEA_ACT","FQ1 2023","FQ1 2023","Currency=USD","Period=FQ","BEST_FPERIOD_OVERRIDE=FQ","FILING_STATUS=MR","SCALING_FORMAT=MLN","FA_ADJUSTED=GAAP","Sort=A","Dates=H","DateFormat=P","Fill=—","Direction=H","UseDPDF=Y")</f>
        <v>543</v>
      </c>
      <c r="U23" s="13">
        <f>_xll.BDH("AMGN US Equity","INT_EXPN_AFTER_OPERATING_LEA_ACT","FQ2 2023","FQ2 2023","Currency=USD","Period=FQ","BEST_FPERIOD_OVERRIDE=FQ","FILING_STATUS=MR","SCALING_FORMAT=MLN","FA_ADJUSTED=GAAP","Sort=A","Dates=H","DateFormat=P","Fill=—","Direction=H","UseDPDF=Y")</f>
        <v>752</v>
      </c>
      <c r="V23" s="13">
        <f>_xll.BDH("AMGN US Equity","INT_EXPN_AFTER_OPERATING_LEA_ACT","FQ3 2023","FQ3 2023","Currency=USD","Period=FQ","BEST_FPERIOD_OVERRIDE=FQ","FILING_STATUS=MR","SCALING_FORMAT=MLN","FA_ADJUSTED=GAAP","Sort=A","Dates=H","DateFormat=P","Fill=—","Direction=H","UseDPDF=Y")</f>
        <v>759</v>
      </c>
      <c r="W23" s="13">
        <f>_xll.BDH("AMGN US Equity","INT_EXPN_AFTER_OPERATING_LEA_ACT","FQ4 2023","FQ4 2023","Currency=USD","Period=FQ","BEST_FPERIOD_OVERRIDE=FQ","FILING_STATUS=MR","SCALING_FORMAT=MLN","FA_ADJUSTED=GAAP","Sort=A","Dates=H","DateFormat=P","Fill=—","Direction=H","UseDPDF=Y")</f>
        <v>821</v>
      </c>
      <c r="X23" s="13">
        <f>_xll.BDH("AMGN US Equity","INT_EXPN_AFTER_OPERATING_LEA_ACT","FQ1 2024","FQ1 2024","Currency=USD","Period=FQ","BEST_FPERIOD_OVERRIDE=FQ","FILING_STATUS=MR","SCALING_FORMAT=MLN","FA_ADJUSTED=GAAP","Sort=A","Dates=H","DateFormat=P","Fill=—","Direction=H","UseDPDF=Y")</f>
        <v>824</v>
      </c>
      <c r="Y23" s="13">
        <f>_xll.BDH("AMGN US Equity","INT_EXPN_AFTER_OPERATING_LEA_ACT","FQ2 2024","FQ2 2024","Currency=USD","Period=FQ","BEST_FPERIOD_OVERRIDE=FQ","FILING_STATUS=MR","SCALING_FORMAT=MLN","FA_ADJUSTED=GAAP","Sort=A","Dates=H","DateFormat=P","Fill=—","Direction=H","UseDPDF=Y")</f>
        <v>808</v>
      </c>
      <c r="Z23" s="13">
        <f>_xll.BDH("AMGN US Equity","INT_EXPN_AFTER_OPERATING_LEA_ACT","FQ3 2024","FQ3 2024","Currency=USD","Period=FQ","BEST_FPERIOD_OVERRIDE=FQ","FILING_STATUS=MR","SCALING_FORMAT=MLN","FA_ADJUSTED=GAAP","Sort=A","Dates=H","DateFormat=P","Fill=—","Direction=H","UseDPDF=Y")</f>
        <v>776</v>
      </c>
      <c r="AA23" s="13">
        <f>_xll.BDH("AMGN US Equity","INT_EXPN_AFTER_OPERATING_LEA_ACT","FQ4 2024","FQ4 2024","Currency=USD","Period=FQ","BEST_FPERIOD_OVERRIDE=FQ","FILING_STATUS=MR","SCALING_FORMAT=MLN","FA_ADJUSTED=GAAP","Sort=A","Dates=H","DateFormat=P","Fill=—","Direction=H","UseDPDF=Y")</f>
        <v>747</v>
      </c>
    </row>
    <row r="24" spans="1:27" x14ac:dyDescent="0.25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5">
      <c r="A25" s="10" t="s">
        <v>1581</v>
      </c>
      <c r="B25" s="10" t="s">
        <v>1610</v>
      </c>
      <c r="C25" s="14">
        <f>_xll.BDH("AMGN US Equity","CE_TO_TOT_AST_LESS_OPER_LEA_AST","FQ4 2018","FQ4 2018","Currency=USD","Period=FQ","BEST_FPERIOD_OVERRIDE=FQ","FILING_STATUS=MR","Sort=A","Dates=H","DateFormat=P","Fill=—","Direction=H","UseDPDF=Y")</f>
        <v>18.820799999999998</v>
      </c>
      <c r="D25" s="14">
        <f>_xll.BDH("AMGN US Equity","CE_TO_TOT_AST_LESS_OPER_LEA_AST","FQ1 2019","FQ1 2019","Currency=USD","Period=FQ","BEST_FPERIOD_OVERRIDE=FQ","FILING_STATUS=MR","Sort=A","Dates=H","DateFormat=P","Fill=—","Direction=H","UseDPDF=Y")</f>
        <v>17.036799999999999</v>
      </c>
      <c r="E25" s="14">
        <f>_xll.BDH("AMGN US Equity","CE_TO_TOT_AST_LESS_OPER_LEA_AST","FQ2 2019","FQ2 2019","Currency=USD","Period=FQ","BEST_FPERIOD_OVERRIDE=FQ","FILING_STATUS=MR","Sort=A","Dates=H","DateFormat=P","Fill=—","Direction=H","UseDPDF=Y")</f>
        <v>18.3126</v>
      </c>
      <c r="F25" s="14">
        <f>_xll.BDH("AMGN US Equity","CE_TO_TOT_AST_LESS_OPER_LEA_AST","FQ3 2019","FQ3 2019","Currency=USD","Period=FQ","BEST_FPERIOD_OVERRIDE=FQ","FILING_STATUS=MR","Sort=A","Dates=H","DateFormat=P","Fill=—","Direction=H","UseDPDF=Y")</f>
        <v>18.4849</v>
      </c>
      <c r="G25" s="14">
        <f>_xll.BDH("AMGN US Equity","CE_TO_TOT_AST_LESS_OPER_LEA_AST","FQ4 2019","FQ4 2019","Currency=USD","Period=FQ","BEST_FPERIOD_OVERRIDE=FQ","FILING_STATUS=MR","Sort=A","Dates=H","DateFormat=P","Fill=—","Direction=H","UseDPDF=Y")</f>
        <v>16.329000000000001</v>
      </c>
      <c r="H25" s="14">
        <f>_xll.BDH("AMGN US Equity","CE_TO_TOT_AST_LESS_OPER_LEA_AST","FQ1 2020","FQ1 2020","Currency=USD","Period=FQ","BEST_FPERIOD_OVERRIDE=FQ","FILING_STATUS=MR","Sort=A","Dates=H","DateFormat=P","Fill=—","Direction=H","UseDPDF=Y")</f>
        <v>15.3805</v>
      </c>
      <c r="I25" s="14">
        <f>_xll.BDH("AMGN US Equity","CE_TO_TOT_AST_LESS_OPER_LEA_AST","FQ2 2020","FQ2 2020","Currency=USD","Period=FQ","BEST_FPERIOD_OVERRIDE=FQ","FILING_STATUS=MR","Sort=A","Dates=H","DateFormat=P","Fill=—","Direction=H","UseDPDF=Y")</f>
        <v>16.395700000000001</v>
      </c>
      <c r="J25" s="14">
        <f>_xll.BDH("AMGN US Equity","CE_TO_TOT_AST_LESS_OPER_LEA_AST","FQ3 2020","FQ3 2020","Currency=USD","Period=FQ","BEST_FPERIOD_OVERRIDE=FQ","FILING_STATUS=MR","Sort=A","Dates=H","DateFormat=P","Fill=—","Direction=H","UseDPDF=Y")</f>
        <v>16.954699999999999</v>
      </c>
      <c r="K25" s="14">
        <f>_xll.BDH("AMGN US Equity","CE_TO_TOT_AST_LESS_OPER_LEA_AST","FQ4 2020","FQ4 2020","Currency=USD","Period=FQ","BEST_FPERIOD_OVERRIDE=FQ","FILING_STATUS=MR","Sort=A","Dates=H","DateFormat=P","Fill=—","Direction=H","UseDPDF=Y")</f>
        <v>15.0448</v>
      </c>
      <c r="L25" s="14">
        <f>_xll.BDH("AMGN US Equity","CE_TO_TOT_AST_LESS_OPER_LEA_AST","FQ1 2021","FQ1 2021","Currency=USD","Period=FQ","BEST_FPERIOD_OVERRIDE=FQ","FILING_STATUS=MR","Sort=A","Dates=H","DateFormat=P","Fill=—","Direction=H","UseDPDF=Y")</f>
        <v>14.9251</v>
      </c>
      <c r="M25" s="14">
        <f>_xll.BDH("AMGN US Equity","CE_TO_TOT_AST_LESS_OPER_LEA_AST","FQ2 2021","FQ2 2021","Currency=USD","Period=FQ","BEST_FPERIOD_OVERRIDE=FQ","FILING_STATUS=MR","Sort=A","Dates=H","DateFormat=P","Fill=—","Direction=H","UseDPDF=Y")</f>
        <v>13.7972</v>
      </c>
      <c r="N25" s="14">
        <f>_xll.BDH("AMGN US Equity","CE_TO_TOT_AST_LESS_OPER_LEA_AST","FQ3 2021","FQ3 2021","Currency=USD","Period=FQ","BEST_FPERIOD_OVERRIDE=FQ","FILING_STATUS=MR","Sort=A","Dates=H","DateFormat=P","Fill=—","Direction=H","UseDPDF=Y")</f>
        <v>12.642899999999999</v>
      </c>
      <c r="O25" s="14">
        <f>_xll.BDH("AMGN US Equity","CE_TO_TOT_AST_LESS_OPER_LEA_AST","FQ4 2021","FQ4 2021","Currency=USD","Period=FQ","BEST_FPERIOD_OVERRIDE=FQ","FILING_STATUS=MR","Sort=A","Dates=H","DateFormat=P","Fill=—","Direction=H","UseDPDF=Y")</f>
        <v>11.0563</v>
      </c>
      <c r="P25" s="14">
        <f>_xll.BDH("AMGN US Equity","CE_TO_TOT_AST_LESS_OPER_LEA_AST","FQ1 2022","FQ1 2022","Currency=USD","Period=FQ","BEST_FPERIOD_OVERRIDE=FQ","FILING_STATUS=MR","Sort=A","Dates=H","DateFormat=P","Fill=—","Direction=H","UseDPDF=Y")</f>
        <v>1.5474000000000001</v>
      </c>
      <c r="Q25" s="14">
        <f>_xll.BDH("AMGN US Equity","CE_TO_TOT_AST_LESS_OPER_LEA_AST","FQ2 2022","FQ2 2022","Currency=USD","Period=FQ","BEST_FPERIOD_OVERRIDE=FQ","FILING_STATUS=MR","Sort=A","Dates=H","DateFormat=P","Fill=—","Direction=H","UseDPDF=Y")</f>
        <v>4.0796999999999999</v>
      </c>
      <c r="R25" s="14">
        <f>_xll.BDH("AMGN US Equity","CE_TO_TOT_AST_LESS_OPER_LEA_AST","FQ3 2022","FQ3 2022","Currency=USD","Period=FQ","BEST_FPERIOD_OVERRIDE=FQ","FILING_STATUS=MR","Sort=A","Dates=H","DateFormat=P","Fill=—","Direction=H","UseDPDF=Y")</f>
        <v>5.7347000000000001</v>
      </c>
      <c r="S25" s="14">
        <f>_xll.BDH("AMGN US Equity","CE_TO_TOT_AST_LESS_OPER_LEA_AST","FQ4 2022","FQ4 2022","Currency=USD","Period=FQ","BEST_FPERIOD_OVERRIDE=FQ","FILING_STATUS=MR","Sort=A","Dates=H","DateFormat=P","Fill=—","Direction=H","UseDPDF=Y")</f>
        <v>5.6722999999999999</v>
      </c>
      <c r="T25" s="14">
        <f>_xll.BDH("AMGN US Equity","CE_TO_TOT_AST_LESS_OPER_LEA_AST","FQ1 2023","FQ1 2023","Currency=USD","Period=FQ","BEST_FPERIOD_OVERRIDE=FQ","FILING_STATUS=MR","Sort=A","Dates=H","DateFormat=P","Fill=—","Direction=H","UseDPDF=Y")</f>
        <v>6.0279999999999996</v>
      </c>
      <c r="U25" s="14">
        <f>_xll.BDH("AMGN US Equity","CE_TO_TOT_AST_LESS_OPER_LEA_AST","FQ2 2023","FQ2 2023","Currency=USD","Period=FQ","BEST_FPERIOD_OVERRIDE=FQ","FILING_STATUS=MR","Sort=A","Dates=H","DateFormat=P","Fill=—","Direction=H","UseDPDF=Y")</f>
        <v>7.5119999999999996</v>
      </c>
      <c r="V25" s="14">
        <f>_xll.BDH("AMGN US Equity","CE_TO_TOT_AST_LESS_OPER_LEA_AST","FQ3 2023","FQ3 2023","Currency=USD","Period=FQ","BEST_FPERIOD_OVERRIDE=FQ","FILING_STATUS=MR","Sort=A","Dates=H","DateFormat=P","Fill=—","Direction=H","UseDPDF=Y")</f>
        <v>8.4565000000000001</v>
      </c>
      <c r="W25" s="14">
        <f>_xll.BDH("AMGN US Equity","CE_TO_TOT_AST_LESS_OPER_LEA_AST","FQ4 2023","FQ4 2023","Currency=USD","Period=FQ","BEST_FPERIOD_OVERRIDE=FQ","FILING_STATUS=MR","Sort=A","Dates=H","DateFormat=P","Fill=—","Direction=H","UseDPDF=Y")</f>
        <v>6.4577999999999998</v>
      </c>
      <c r="X25" s="14">
        <f>_xll.BDH("AMGN US Equity","CE_TO_TOT_AST_LESS_OPER_LEA_AST","FQ1 2024","FQ1 2024","Currency=USD","Period=FQ","BEST_FPERIOD_OVERRIDE=FQ","FILING_STATUS=MR","Sort=A","Dates=H","DateFormat=P","Fill=—","Direction=H","UseDPDF=Y")</f>
        <v>5.4012000000000002</v>
      </c>
      <c r="Y25" s="14">
        <f>_xll.BDH("AMGN US Equity","CE_TO_TOT_AST_LESS_OPER_LEA_AST","FQ2 2024","FQ2 2024","Currency=USD","Period=FQ","BEST_FPERIOD_OVERRIDE=FQ","FILING_STATUS=MR","Sort=A","Dates=H","DateFormat=P","Fill=—","Direction=H","UseDPDF=Y")</f>
        <v>6.5175999999999998</v>
      </c>
      <c r="Z25" s="14">
        <f>_xll.BDH("AMGN US Equity","CE_TO_TOT_AST_LESS_OPER_LEA_AST","FQ3 2024","FQ3 2024","Currency=USD","Period=FQ","BEST_FPERIOD_OVERRIDE=FQ","FILING_STATUS=MR","Sort=A","Dates=H","DateFormat=P","Fill=—","Direction=H","UseDPDF=Y")</f>
        <v>8.2820999999999998</v>
      </c>
      <c r="AA25" s="14">
        <f>_xll.BDH("AMGN US Equity","CE_TO_TOT_AST_LESS_OPER_LEA_AST","FQ4 2024","FQ4 2024","Currency=USD","Period=FQ","BEST_FPERIOD_OVERRIDE=FQ","FILING_STATUS=MR","Sort=A","Dates=H","DateFormat=P","Fill=—","Direction=H","UseDPDF=Y")</f>
        <v>6.4382999999999999</v>
      </c>
    </row>
    <row r="26" spans="1:27" x14ac:dyDescent="0.25">
      <c r="A26" s="10" t="s">
        <v>1583</v>
      </c>
      <c r="B26" s="10" t="s">
        <v>1611</v>
      </c>
      <c r="C26" s="14">
        <f>_xll.BDH("AMGN US Equity","LT_DBT_EX_OPER_LEA_LIABS_TO_EQTY","FQ4 2018","FQ4 2018","Currency=USD","Period=FQ","BEST_FPERIOD_OVERRIDE=FQ","FILING_STATUS=MR","Sort=A","Dates=H","DateFormat=P","Fill=—","Direction=H","UseDPDF=Y")</f>
        <v>236.08</v>
      </c>
      <c r="D26" s="14">
        <f>_xll.BDH("AMGN US Equity","LT_DBT_EX_OPER_LEA_LIABS_TO_EQTY","FQ1 2019","FQ1 2019","Currency=USD","Period=FQ","BEST_FPERIOD_OVERRIDE=FQ","FILING_STATUS=MR","Sort=A","Dates=H","DateFormat=P","Fill=—","Direction=H","UseDPDF=Y")</f>
        <v>270.67020000000002</v>
      </c>
      <c r="E26" s="14">
        <f>_xll.BDH("AMGN US Equity","LT_DBT_EX_OPER_LEA_LIABS_TO_EQTY","FQ2 2019","FQ2 2019","Currency=USD","Period=FQ","BEST_FPERIOD_OVERRIDE=FQ","FILING_STATUS=MR","Sort=A","Dates=H","DateFormat=P","Fill=—","Direction=H","UseDPDF=Y")</f>
        <v>257.53199999999998</v>
      </c>
      <c r="F26" s="14">
        <f>_xll.BDH("AMGN US Equity","LT_DBT_EX_OPER_LEA_LIABS_TO_EQTY","FQ3 2019","FQ3 2019","Currency=USD","Period=FQ","BEST_FPERIOD_OVERRIDE=FQ","FILING_STATUS=MR","Sort=A","Dates=H","DateFormat=P","Fill=—","Direction=H","UseDPDF=Y")</f>
        <v>253.88489999999999</v>
      </c>
      <c r="G26" s="14">
        <f>_xll.BDH("AMGN US Equity","LT_DBT_EX_OPER_LEA_LIABS_TO_EQTY","FQ4 2019","FQ4 2019","Currency=USD","Period=FQ","BEST_FPERIOD_OVERRIDE=FQ","FILING_STATUS=MR","Sort=A","Dates=H","DateFormat=P","Fill=—","Direction=H","UseDPDF=Y")</f>
        <v>278.61059999999998</v>
      </c>
      <c r="H26" s="14">
        <f>_xll.BDH("AMGN US Equity","LT_DBT_EX_OPER_LEA_LIABS_TO_EQTY","FQ1 2020","FQ1 2020","Currency=USD","Period=FQ","BEST_FPERIOD_OVERRIDE=FQ","FILING_STATUS=MR","Sort=A","Dates=H","DateFormat=P","Fill=—","Direction=H","UseDPDF=Y")</f>
        <v>316.3732</v>
      </c>
      <c r="I26" s="14">
        <f>_xll.BDH("AMGN US Equity","LT_DBT_EX_OPER_LEA_LIABS_TO_EQTY","FQ2 2020","FQ2 2020","Currency=USD","Period=FQ","BEST_FPERIOD_OVERRIDE=FQ","FILING_STATUS=MR","Sort=A","Dates=H","DateFormat=P","Fill=—","Direction=H","UseDPDF=Y")</f>
        <v>320.22699999999998</v>
      </c>
      <c r="J26" s="14">
        <f>_xll.BDH("AMGN US Equity","LT_DBT_EX_OPER_LEA_LIABS_TO_EQTY","FQ3 2020","FQ3 2020","Currency=USD","Period=FQ","BEST_FPERIOD_OVERRIDE=FQ","FILING_STATUS=MR","Sort=A","Dates=H","DateFormat=P","Fill=—","Direction=H","UseDPDF=Y")</f>
        <v>312.03579999999999</v>
      </c>
      <c r="K26" s="14">
        <f>_xll.BDH("AMGN US Equity","LT_DBT_EX_OPER_LEA_LIABS_TO_EQTY","FQ4 2020","FQ4 2020","Currency=USD","Period=FQ","BEST_FPERIOD_OVERRIDE=FQ","FILING_STATUS=MR","Sort=A","Dates=H","DateFormat=P","Fill=—","Direction=H","UseDPDF=Y")</f>
        <v>349.6121</v>
      </c>
      <c r="L26" s="14">
        <f>_xll.BDH("AMGN US Equity","LT_DBT_EX_OPER_LEA_LIABS_TO_EQTY","FQ1 2021","FQ1 2021","Currency=USD","Period=FQ","BEST_FPERIOD_OVERRIDE=FQ","FILING_STATUS=MR","Sort=A","Dates=H","DateFormat=P","Fill=—","Direction=H","UseDPDF=Y")</f>
        <v>333.50119999999998</v>
      </c>
      <c r="M26" s="14">
        <f>_xll.BDH("AMGN US Equity","LT_DBT_EX_OPER_LEA_LIABS_TO_EQTY","FQ2 2021","FQ2 2021","Currency=USD","Period=FQ","BEST_FPERIOD_OVERRIDE=FQ","FILING_STATUS=MR","Sort=A","Dates=H","DateFormat=P","Fill=—","Direction=H","UseDPDF=Y")</f>
        <v>345.07089999999999</v>
      </c>
      <c r="N26" s="14">
        <f>_xll.BDH("AMGN US Equity","LT_DBT_EX_OPER_LEA_LIABS_TO_EQTY","FQ3 2021","FQ3 2021","Currency=USD","Period=FQ","BEST_FPERIOD_OVERRIDE=FQ","FILING_STATUS=MR","Sort=A","Dates=H","DateFormat=P","Fill=—","Direction=H","UseDPDF=Y")</f>
        <v>405.14789999999999</v>
      </c>
      <c r="O26" s="14">
        <f>_xll.BDH("AMGN US Equity","LT_DBT_EX_OPER_LEA_LIABS_TO_EQTY","FQ4 2021","FQ4 2021","Currency=USD","Period=FQ","BEST_FPERIOD_OVERRIDE=FQ","FILING_STATUS=MR","Sort=A","Dates=H","DateFormat=P","Fill=—","Direction=H","UseDPDF=Y")</f>
        <v>495.85070000000002</v>
      </c>
      <c r="P26" s="14">
        <f>_xll.BDH("AMGN US Equity","LT_DBT_EX_OPER_LEA_LIABS_TO_EQTY","FQ1 2022","FQ1 2022","Currency=USD","Period=FQ","BEST_FPERIOD_OVERRIDE=FQ","FILING_STATUS=MR","Sort=A","Dates=H","DateFormat=P","Fill=—","Direction=H","UseDPDF=Y")</f>
        <v>3931.2226999999998</v>
      </c>
      <c r="Q26" s="14">
        <f>_xll.BDH("AMGN US Equity","LT_DBT_EX_OPER_LEA_LIABS_TO_EQTY","FQ2 2022","FQ2 2022","Currency=USD","Period=FQ","BEST_FPERIOD_OVERRIDE=FQ","FILING_STATUS=MR","Sort=A","Dates=H","DateFormat=P","Fill=—","Direction=H","UseDPDF=Y")</f>
        <v>1476.0232000000001</v>
      </c>
      <c r="R26" s="14">
        <f>_xll.BDH("AMGN US Equity","LT_DBT_EX_OPER_LEA_LIABS_TO_EQTY","FQ3 2022","FQ3 2022","Currency=USD","Period=FQ","BEST_FPERIOD_OVERRIDE=FQ","FILING_STATUS=MR","Sort=A","Dates=H","DateFormat=P","Fill=—","Direction=H","UseDPDF=Y")</f>
        <v>1017.2735</v>
      </c>
      <c r="S26" s="14">
        <f>_xll.BDH("AMGN US Equity","LT_DBT_EX_OPER_LEA_LIABS_TO_EQTY","FQ4 2022","FQ4 2022","Currency=USD","Period=FQ","BEST_FPERIOD_OVERRIDE=FQ","FILING_STATUS=MR","Sort=A","Dates=H","DateFormat=P","Fill=—","Direction=H","UseDPDF=Y")</f>
        <v>1020.3223</v>
      </c>
      <c r="T26" s="14">
        <f>_xll.BDH("AMGN US Equity","LT_DBT_EX_OPER_LEA_LIABS_TO_EQTY","FQ1 2023","FQ1 2023","Currency=USD","Period=FQ","BEST_FPERIOD_OVERRIDE=FQ","FILING_STATUS=MR","Sort=A","Dates=H","DateFormat=P","Fill=—","Direction=H","UseDPDF=Y")</f>
        <v>1136.1443999999999</v>
      </c>
      <c r="U26" s="14">
        <f>_xll.BDH("AMGN US Equity","LT_DBT_EX_OPER_LEA_LIABS_TO_EQTY","FQ2 2023","FQ2 2023","Currency=USD","Period=FQ","BEST_FPERIOD_OVERRIDE=FQ","FILING_STATUS=MR","Sort=A","Dates=H","DateFormat=P","Fill=—","Direction=H","UseDPDF=Y")</f>
        <v>875.63779999999997</v>
      </c>
      <c r="V26" s="14">
        <f>_xll.BDH("AMGN US Equity","LT_DBT_EX_OPER_LEA_LIABS_TO_EQTY","FQ3 2023","FQ3 2023","Currency=USD","Period=FQ","BEST_FPERIOD_OVERRIDE=FQ","FILING_STATUS=MR","Sort=A","Dates=H","DateFormat=P","Fill=—","Direction=H","UseDPDF=Y")</f>
        <v>771.15989999999999</v>
      </c>
      <c r="W26" s="14">
        <f>_xll.BDH("AMGN US Equity","LT_DBT_EX_OPER_LEA_LIABS_TO_EQTY","FQ4 2023","FQ4 2023","Currency=USD","Period=FQ","BEST_FPERIOD_OVERRIDE=FQ","FILING_STATUS=MR","Sort=A","Dates=H","DateFormat=P","Fill=—","Direction=H","UseDPDF=Y")</f>
        <v>1013.6393</v>
      </c>
      <c r="X26" s="14">
        <f>_xll.BDH("AMGN US Equity","LT_DBT_EX_OPER_LEA_LIABS_TO_EQTY","FQ1 2024","FQ1 2024","Currency=USD","Period=FQ","BEST_FPERIOD_OVERRIDE=FQ","FILING_STATUS=MR","Sort=A","Dates=H","DateFormat=P","Fill=—","Direction=H","UseDPDF=Y")</f>
        <v>1195.9577999999999</v>
      </c>
      <c r="Y26" s="14">
        <f>_xll.BDH("AMGN US Equity","LT_DBT_EX_OPER_LEA_LIABS_TO_EQTY","FQ2 2024","FQ2 2024","Currency=USD","Period=FQ","BEST_FPERIOD_OVERRIDE=FQ","FILING_STATUS=MR","Sort=A","Dates=H","DateFormat=P","Fill=—","Direction=H","UseDPDF=Y")</f>
        <v>964</v>
      </c>
      <c r="Z26" s="14">
        <f>_xll.BDH("AMGN US Equity","LT_DBT_EX_OPER_LEA_LIABS_TO_EQTY","FQ3 2024","FQ3 2024","Currency=USD","Period=FQ","BEST_FPERIOD_OVERRIDE=FQ","FILING_STATUS=MR","Sort=A","Dates=H","DateFormat=P","Fill=—","Direction=H","UseDPDF=Y")</f>
        <v>755.33410000000003</v>
      </c>
      <c r="AA26" s="14">
        <f>_xll.BDH("AMGN US Equity","LT_DBT_EX_OPER_LEA_LIABS_TO_EQTY","FQ4 2024","FQ4 2024","Currency=USD","Period=FQ","BEST_FPERIOD_OVERRIDE=FQ","FILING_STATUS=MR","Sort=A","Dates=H","DateFormat=P","Fill=—","Direction=H","UseDPDF=Y")</f>
        <v>962.20860000000005</v>
      </c>
    </row>
    <row r="27" spans="1:27" x14ac:dyDescent="0.25">
      <c r="A27" s="10" t="s">
        <v>1585</v>
      </c>
      <c r="B27" s="10" t="s">
        <v>1612</v>
      </c>
      <c r="C27" s="14">
        <f>_xll.BDH("AMGN US Equity","LT_DBT_TO_CPTL_EX_OPER_LEA_LIABS","FQ4 2018","FQ4 2018","Currency=USD","Period=FQ","BEST_FPERIOD_OVERRIDE=FQ","FILING_STATUS=MR","Sort=A","Dates=H","DateFormat=P","Fill=—","Direction=H","UseDPDF=Y")</f>
        <v>63.559399999999997</v>
      </c>
      <c r="D27" s="14">
        <f>_xll.BDH("AMGN US Equity","LT_DBT_TO_CPTL_EX_OPER_LEA_LIABS","FQ1 2019","FQ1 2019","Currency=USD","Period=FQ","BEST_FPERIOD_OVERRIDE=FQ","FILING_STATUS=MR","Sort=A","Dates=H","DateFormat=P","Fill=—","Direction=H","UseDPDF=Y")</f>
        <v>66.852900000000005</v>
      </c>
      <c r="E27" s="14">
        <f>_xll.BDH("AMGN US Equity","LT_DBT_TO_CPTL_EX_OPER_LEA_LIABS","FQ2 2019","FQ2 2019","Currency=USD","Period=FQ","BEST_FPERIOD_OVERRIDE=FQ","FILING_STATUS=MR","Sort=A","Dates=H","DateFormat=P","Fill=—","Direction=H","UseDPDF=Y")</f>
        <v>67.132000000000005</v>
      </c>
      <c r="F27" s="14">
        <f>_xll.BDH("AMGN US Equity","LT_DBT_TO_CPTL_EX_OPER_LEA_LIABS","FQ3 2019","FQ3 2019","Currency=USD","Period=FQ","BEST_FPERIOD_OVERRIDE=FQ","FILING_STATUS=MR","Sort=A","Dates=H","DateFormat=P","Fill=—","Direction=H","UseDPDF=Y")</f>
        <v>68.132000000000005</v>
      </c>
      <c r="G27" s="14">
        <f>_xll.BDH("AMGN US Equity","LT_DBT_TO_CPTL_EX_OPER_LEA_LIABS","FQ4 2019","FQ4 2019","Currency=USD","Period=FQ","BEST_FPERIOD_OVERRIDE=FQ","FILING_STATUS=MR","Sort=A","Dates=H","DateFormat=P","Fill=—","Direction=H","UseDPDF=Y")</f>
        <v>68.096800000000002</v>
      </c>
      <c r="H27" s="14">
        <f>_xll.BDH("AMGN US Equity","LT_DBT_TO_CPTL_EX_OPER_LEA_LIABS","FQ1 2020","FQ1 2020","Currency=USD","Period=FQ","BEST_FPERIOD_OVERRIDE=FQ","FILING_STATUS=MR","Sort=A","Dates=H","DateFormat=P","Fill=—","Direction=H","UseDPDF=Y")</f>
        <v>72.6006</v>
      </c>
      <c r="I27" s="14">
        <f>_xll.BDH("AMGN US Equity","LT_DBT_TO_CPTL_EX_OPER_LEA_LIABS","FQ2 2020","FQ2 2020","Currency=USD","Period=FQ","BEST_FPERIOD_OVERRIDE=FQ","FILING_STATUS=MR","Sort=A","Dates=H","DateFormat=P","Fill=—","Direction=H","UseDPDF=Y")</f>
        <v>76.0488</v>
      </c>
      <c r="J27" s="14">
        <f>_xll.BDH("AMGN US Equity","LT_DBT_TO_CPTL_EX_OPER_LEA_LIABS","FQ3 2020","FQ3 2020","Currency=USD","Period=FQ","BEST_FPERIOD_OVERRIDE=FQ","FILING_STATUS=MR","Sort=A","Dates=H","DateFormat=P","Fill=—","Direction=H","UseDPDF=Y")</f>
        <v>75.578000000000003</v>
      </c>
      <c r="K27" s="14">
        <f>_xll.BDH("AMGN US Equity","LT_DBT_TO_CPTL_EX_OPER_LEA_LIABS","FQ4 2020","FQ4 2020","Currency=USD","Period=FQ","BEST_FPERIOD_OVERRIDE=FQ","FILING_STATUS=MR","Sort=A","Dates=H","DateFormat=P","Fill=—","Direction=H","UseDPDF=Y")</f>
        <v>77.591700000000003</v>
      </c>
      <c r="L27" s="14">
        <f>_xll.BDH("AMGN US Equity","LT_DBT_TO_CPTL_EX_OPER_LEA_LIABS","FQ1 2021","FQ1 2021","Currency=USD","Period=FQ","BEST_FPERIOD_OVERRIDE=FQ","FILING_STATUS=MR","Sort=A","Dates=H","DateFormat=P","Fill=—","Direction=H","UseDPDF=Y")</f>
        <v>74.083200000000005</v>
      </c>
      <c r="M27" s="14">
        <f>_xll.BDH("AMGN US Equity","LT_DBT_TO_CPTL_EX_OPER_LEA_LIABS","FQ2 2021","FQ2 2021","Currency=USD","Period=FQ","BEST_FPERIOD_OVERRIDE=FQ","FILING_STATUS=MR","Sort=A","Dates=H","DateFormat=P","Fill=—","Direction=H","UseDPDF=Y")</f>
        <v>69.360699999999994</v>
      </c>
      <c r="N27" s="14">
        <f>_xll.BDH("AMGN US Equity","LT_DBT_TO_CPTL_EX_OPER_LEA_LIABS","FQ3 2021","FQ3 2021","Currency=USD","Period=FQ","BEST_FPERIOD_OVERRIDE=FQ","FILING_STATUS=MR","Sort=A","Dates=H","DateFormat=P","Fill=—","Direction=H","UseDPDF=Y")</f>
        <v>72.694100000000006</v>
      </c>
      <c r="O27" s="14">
        <f>_xll.BDH("AMGN US Equity","LT_DBT_TO_CPTL_EX_OPER_LEA_LIABS","FQ4 2021","FQ4 2021","Currency=USD","Period=FQ","BEST_FPERIOD_OVERRIDE=FQ","FILING_STATUS=MR","Sort=A","Dates=H","DateFormat=P","Fill=—","Direction=H","UseDPDF=Y")</f>
        <v>83.036299999999997</v>
      </c>
      <c r="P27" s="14">
        <f>_xll.BDH("AMGN US Equity","LT_DBT_TO_CPTL_EX_OPER_LEA_LIABS","FQ1 2022","FQ1 2022","Currency=USD","Period=FQ","BEST_FPERIOD_OVERRIDE=FQ","FILING_STATUS=MR","Sort=A","Dates=H","DateFormat=P","Fill=—","Direction=H","UseDPDF=Y")</f>
        <v>95.340199999999996</v>
      </c>
      <c r="Q27" s="14">
        <f>_xll.BDH("AMGN US Equity","LT_DBT_TO_CPTL_EX_OPER_LEA_LIABS","FQ2 2022","FQ2 2022","Currency=USD","Period=FQ","BEST_FPERIOD_OVERRIDE=FQ","FILING_STATUS=MR","Sort=A","Dates=H","DateFormat=P","Fill=—","Direction=H","UseDPDF=Y")</f>
        <v>91.69</v>
      </c>
      <c r="R27" s="14">
        <f>_xll.BDH("AMGN US Equity","LT_DBT_TO_CPTL_EX_OPER_LEA_LIABS","FQ3 2022","FQ3 2022","Currency=USD","Period=FQ","BEST_FPERIOD_OVERRIDE=FQ","FILING_STATUS=MR","Sort=A","Dates=H","DateFormat=P","Fill=—","Direction=H","UseDPDF=Y")</f>
        <v>87.732799999999997</v>
      </c>
      <c r="S27" s="14">
        <f>_xll.BDH("AMGN US Equity","LT_DBT_TO_CPTL_EX_OPER_LEA_LIABS","FQ4 2022","FQ4 2022","Currency=USD","Period=FQ","BEST_FPERIOD_OVERRIDE=FQ","FILING_STATUS=MR","Sort=A","Dates=H","DateFormat=P","Fill=—","Direction=H","UseDPDF=Y")</f>
        <v>87.673100000000005</v>
      </c>
      <c r="T27" s="14">
        <f>_xll.BDH("AMGN US Equity","LT_DBT_TO_CPTL_EX_OPER_LEA_LIABS","FQ1 2023","FQ1 2023","Currency=USD","Period=FQ","BEST_FPERIOD_OVERRIDE=FQ","FILING_STATUS=MR","Sort=A","Dates=H","DateFormat=P","Fill=—","Direction=H","UseDPDF=Y")</f>
        <v>90.765299999999996</v>
      </c>
      <c r="U27" s="14">
        <f>_xll.BDH("AMGN US Equity","LT_DBT_TO_CPTL_EX_OPER_LEA_LIABS","FQ2 2023","FQ2 2023","Currency=USD","Period=FQ","BEST_FPERIOD_OVERRIDE=FQ","FILING_STATUS=MR","Sort=A","Dates=H","DateFormat=P","Fill=—","Direction=H","UseDPDF=Y")</f>
        <v>86.903800000000004</v>
      </c>
      <c r="V27" s="14">
        <f>_xll.BDH("AMGN US Equity","LT_DBT_TO_CPTL_EX_OPER_LEA_LIABS","FQ3 2023","FQ3 2023","Currency=USD","Period=FQ","BEST_FPERIOD_OVERRIDE=FQ","FILING_STATUS=MR","Sort=A","Dates=H","DateFormat=P","Fill=—","Direction=H","UseDPDF=Y")</f>
        <v>86.665499999999994</v>
      </c>
      <c r="W27" s="14">
        <f>_xll.BDH("AMGN US Equity","LT_DBT_TO_CPTL_EX_OPER_LEA_LIABS","FQ4 2023","FQ4 2023","Currency=USD","Period=FQ","BEST_FPERIOD_OVERRIDE=FQ","FILING_STATUS=MR","Sort=A","Dates=H","DateFormat=P","Fill=—","Direction=H","UseDPDF=Y")</f>
        <v>89.166499999999999</v>
      </c>
      <c r="X27" s="14">
        <f>_xll.BDH("AMGN US Equity","LT_DBT_TO_CPTL_EX_OPER_LEA_LIABS","FQ1 2024","FQ1 2024","Currency=USD","Period=FQ","BEST_FPERIOD_OVERRIDE=FQ","FILING_STATUS=MR","Sort=A","Dates=H","DateFormat=P","Fill=—","Direction=H","UseDPDF=Y")</f>
        <v>86.992000000000004</v>
      </c>
      <c r="Y27" s="14">
        <f>_xll.BDH("AMGN US Equity","LT_DBT_TO_CPTL_EX_OPER_LEA_LIABS","FQ2 2024","FQ2 2024","Currency=USD","Period=FQ","BEST_FPERIOD_OVERRIDE=FQ","FILING_STATUS=MR","Sort=A","Dates=H","DateFormat=P","Fill=—","Direction=H","UseDPDF=Y")</f>
        <v>83.297399999999996</v>
      </c>
      <c r="Z27" s="14">
        <f>_xll.BDH("AMGN US Equity","LT_DBT_TO_CPTL_EX_OPER_LEA_LIABS","FQ3 2024","FQ3 2024","Currency=USD","Period=FQ","BEST_FPERIOD_OVERRIDE=FQ","FILING_STATUS=MR","Sort=A","Dates=H","DateFormat=P","Fill=—","Direction=H","UseDPDF=Y")</f>
        <v>83.701099999999997</v>
      </c>
      <c r="AA27" s="14">
        <f>_xll.BDH("AMGN US Equity","LT_DBT_TO_CPTL_EX_OPER_LEA_LIABS","FQ4 2024","FQ4 2024","Currency=USD","Period=FQ","BEST_FPERIOD_OVERRIDE=FQ","FILING_STATUS=MR","Sort=A","Dates=H","DateFormat=P","Fill=—","Direction=H","UseDPDF=Y")</f>
        <v>85.711500000000001</v>
      </c>
    </row>
    <row r="28" spans="1:27" x14ac:dyDescent="0.25">
      <c r="A28" s="10" t="s">
        <v>1587</v>
      </c>
      <c r="B28" s="10" t="s">
        <v>1613</v>
      </c>
      <c r="C28" s="14">
        <f>_xll.BDH("AMGN US Equity","LT_DBT_AST_EX_OP_LEA_LIAB_AST","FQ4 2018","FQ4 2018","Currency=USD","Period=FQ","BEST_FPERIOD_OVERRIDE=FQ","FILING_STATUS=MR","Sort=A","Dates=H","DateFormat=P","Fill=—","Direction=H","UseDPDF=Y")</f>
        <v>44.432099999999998</v>
      </c>
      <c r="D28" s="14">
        <f>_xll.BDH("AMGN US Equity","LT_DBT_AST_EX_OP_LEA_LIAB_AST","FQ1 2019","FQ1 2019","Currency=USD","Period=FQ","BEST_FPERIOD_OVERRIDE=FQ","FILING_STATUS=MR","Sort=A","Dates=H","DateFormat=P","Fill=—","Direction=H","UseDPDF=Y")</f>
        <v>46.113599999999998</v>
      </c>
      <c r="E28" s="14">
        <f>_xll.BDH("AMGN US Equity","LT_DBT_AST_EX_OP_LEA_LIAB_AST","FQ2 2019","FQ2 2019","Currency=USD","Period=FQ","BEST_FPERIOD_OVERRIDE=FQ","FILING_STATUS=MR","Sort=A","Dates=H","DateFormat=P","Fill=—","Direction=H","UseDPDF=Y")</f>
        <v>47.160800000000002</v>
      </c>
      <c r="F28" s="14">
        <f>_xll.BDH("AMGN US Equity","LT_DBT_AST_EX_OP_LEA_LIAB_AST","FQ3 2019","FQ3 2019","Currency=USD","Period=FQ","BEST_FPERIOD_OVERRIDE=FQ","FILING_STATUS=MR","Sort=A","Dates=H","DateFormat=P","Fill=—","Direction=H","UseDPDF=Y")</f>
        <v>46.930500000000002</v>
      </c>
      <c r="G28" s="14">
        <f>_xll.BDH("AMGN US Equity","LT_DBT_AST_EX_OP_LEA_LIAB_AST","FQ4 2019","FQ4 2019","Currency=USD","Period=FQ","BEST_FPERIOD_OVERRIDE=FQ","FILING_STATUS=MR","Sort=A","Dates=H","DateFormat=P","Fill=—","Direction=H","UseDPDF=Y")</f>
        <v>45.494399999999999</v>
      </c>
      <c r="H28" s="14">
        <f>_xll.BDH("AMGN US Equity","LT_DBT_AST_EX_OP_LEA_LIAB_AST","FQ1 2020","FQ1 2020","Currency=USD","Period=FQ","BEST_FPERIOD_OVERRIDE=FQ","FILING_STATUS=MR","Sort=A","Dates=H","DateFormat=P","Fill=—","Direction=H","UseDPDF=Y")</f>
        <v>48.659799999999997</v>
      </c>
      <c r="I28" s="14">
        <f>_xll.BDH("AMGN US Equity","LT_DBT_AST_EX_OP_LEA_LIAB_AST","FQ2 2020","FQ2 2020","Currency=USD","Period=FQ","BEST_FPERIOD_OVERRIDE=FQ","FILING_STATUS=MR","Sort=A","Dates=H","DateFormat=P","Fill=—","Direction=H","UseDPDF=Y")</f>
        <v>52.503399999999999</v>
      </c>
      <c r="J28" s="14">
        <f>_xll.BDH("AMGN US Equity","LT_DBT_AST_EX_OP_LEA_LIAB_AST","FQ3 2020","FQ3 2020","Currency=USD","Period=FQ","BEST_FPERIOD_OVERRIDE=FQ","FILING_STATUS=MR","Sort=A","Dates=H","DateFormat=P","Fill=—","Direction=H","UseDPDF=Y")</f>
        <v>52.904699999999998</v>
      </c>
      <c r="K28" s="14">
        <f>_xll.BDH("AMGN US Equity","LT_DBT_AST_EX_OP_LEA_LIAB_AST","FQ4 2020","FQ4 2020","Currency=USD","Period=FQ","BEST_FPERIOD_OVERRIDE=FQ","FILING_STATUS=MR","Sort=A","Dates=H","DateFormat=P","Fill=—","Direction=H","UseDPDF=Y")</f>
        <v>52.598300000000002</v>
      </c>
      <c r="L28" s="14">
        <f>_xll.BDH("AMGN US Equity","LT_DBT_AST_EX_OP_LEA_LIAB_AST","FQ1 2021","FQ1 2021","Currency=USD","Period=FQ","BEST_FPERIOD_OVERRIDE=FQ","FILING_STATUS=MR","Sort=A","Dates=H","DateFormat=P","Fill=—","Direction=H","UseDPDF=Y")</f>
        <v>49.775300000000001</v>
      </c>
      <c r="M28" s="14">
        <f>_xll.BDH("AMGN US Equity","LT_DBT_AST_EX_OP_LEA_LIAB_AST","FQ2 2021","FQ2 2021","Currency=USD","Period=FQ","BEST_FPERIOD_OVERRIDE=FQ","FILING_STATUS=MR","Sort=A","Dates=H","DateFormat=P","Fill=—","Direction=H","UseDPDF=Y")</f>
        <v>47.610100000000003</v>
      </c>
      <c r="N28" s="14">
        <f>_xll.BDH("AMGN US Equity","LT_DBT_AST_EX_OP_LEA_LIAB_AST","FQ3 2021","FQ3 2021","Currency=USD","Period=FQ","BEST_FPERIOD_OVERRIDE=FQ","FILING_STATUS=MR","Sort=A","Dates=H","DateFormat=P","Fill=—","Direction=H","UseDPDF=Y")</f>
        <v>51.2224</v>
      </c>
      <c r="O28" s="14">
        <f>_xll.BDH("AMGN US Equity","LT_DBT_AST_EX_OP_LEA_LIAB_AST","FQ4 2021","FQ4 2021","Currency=USD","Period=FQ","BEST_FPERIOD_OVERRIDE=FQ","FILING_STATUS=MR","Sort=A","Dates=H","DateFormat=P","Fill=—","Direction=H","UseDPDF=Y")</f>
        <v>54.822699999999998</v>
      </c>
      <c r="P28" s="14">
        <f>_xll.BDH("AMGN US Equity","LT_DBT_AST_EX_OP_LEA_LIAB_AST","FQ1 2022","FQ1 2022","Currency=USD","Period=FQ","BEST_FPERIOD_OVERRIDE=FQ","FILING_STATUS=MR","Sort=A","Dates=H","DateFormat=P","Fill=—","Direction=H","UseDPDF=Y")</f>
        <v>60.831800000000001</v>
      </c>
      <c r="Q28" s="14">
        <f>_xll.BDH("AMGN US Equity","LT_DBT_AST_EX_OP_LEA_LIAB_AST","FQ2 2022","FQ2 2022","Currency=USD","Period=FQ","BEST_FPERIOD_OVERRIDE=FQ","FILING_STATUS=MR","Sort=A","Dates=H","DateFormat=P","Fill=—","Direction=H","UseDPDF=Y")</f>
        <v>60.216900000000003</v>
      </c>
      <c r="R28" s="14">
        <f>_xll.BDH("AMGN US Equity","LT_DBT_AST_EX_OP_LEA_LIAB_AST","FQ3 2022","FQ3 2022","Currency=USD","Period=FQ","BEST_FPERIOD_OVERRIDE=FQ","FILING_STATUS=MR","Sort=A","Dates=H","DateFormat=P","Fill=—","Direction=H","UseDPDF=Y")</f>
        <v>58.337499999999999</v>
      </c>
      <c r="S28" s="14">
        <f>_xll.BDH("AMGN US Equity","LT_DBT_AST_EX_OP_LEA_LIAB_AST","FQ4 2022","FQ4 2022","Currency=USD","Period=FQ","BEST_FPERIOD_OVERRIDE=FQ","FILING_STATUS=MR","Sort=A","Dates=H","DateFormat=P","Fill=—","Direction=H","UseDPDF=Y")</f>
        <v>57.875500000000002</v>
      </c>
      <c r="T28" s="14">
        <f>_xll.BDH("AMGN US Equity","LT_DBT_AST_EX_OP_LEA_LIAB_AST","FQ1 2023","FQ1 2023","Currency=USD","Period=FQ","BEST_FPERIOD_OVERRIDE=FQ","FILING_STATUS=MR","Sort=A","Dates=H","DateFormat=P","Fill=—","Direction=H","UseDPDF=Y")</f>
        <v>68.486199999999997</v>
      </c>
      <c r="U28" s="14">
        <f>_xll.BDH("AMGN US Equity","LT_DBT_AST_EX_OP_LEA_LIAB_AST","FQ2 2023","FQ2 2023","Currency=USD","Period=FQ","BEST_FPERIOD_OVERRIDE=FQ","FILING_STATUS=MR","Sort=A","Dates=H","DateFormat=P","Fill=—","Direction=H","UseDPDF=Y")</f>
        <v>65.777799999999999</v>
      </c>
      <c r="V28" s="14">
        <f>_xll.BDH("AMGN US Equity","LT_DBT_AST_EX_OP_LEA_LIAB_AST","FQ3 2023","FQ3 2023","Currency=USD","Period=FQ","BEST_FPERIOD_OVERRIDE=FQ","FILING_STATUS=MR","Sort=A","Dates=H","DateFormat=P","Fill=—","Direction=H","UseDPDF=Y")</f>
        <v>65.213099999999997</v>
      </c>
      <c r="W28" s="14">
        <f>_xll.BDH("AMGN US Equity","LT_DBT_AST_EX_OP_LEA_LIAB_AST","FQ4 2023","FQ4 2023","Currency=USD","Period=FQ","BEST_FPERIOD_OVERRIDE=FQ","FILING_STATUS=MR","Sort=A","Dates=H","DateFormat=P","Fill=—","Direction=H","UseDPDF=Y")</f>
        <v>65.459100000000007</v>
      </c>
      <c r="X28" s="14">
        <f>_xll.BDH("AMGN US Equity","LT_DBT_AST_EX_OP_LEA_LIAB_AST","FQ1 2024","FQ1 2024","Currency=USD","Period=FQ","BEST_FPERIOD_OVERRIDE=FQ","FILING_STATUS=MR","Sort=A","Dates=H","DateFormat=P","Fill=—","Direction=H","UseDPDF=Y")</f>
        <v>64.595600000000005</v>
      </c>
      <c r="Y28" s="14">
        <f>_xll.BDH("AMGN US Equity","LT_DBT_AST_EX_OP_LEA_LIAB_AST","FQ2 2024","FQ2 2024","Currency=USD","Period=FQ","BEST_FPERIOD_OVERRIDE=FQ","FILING_STATUS=MR","Sort=A","Dates=H","DateFormat=P","Fill=—","Direction=H","UseDPDF=Y")</f>
        <v>62.830100000000002</v>
      </c>
      <c r="Z28" s="14">
        <f>_xll.BDH("AMGN US Equity","LT_DBT_AST_EX_OP_LEA_LIAB_AST","FQ3 2024","FQ3 2024","Currency=USD","Period=FQ","BEST_FPERIOD_OVERRIDE=FQ","FILING_STATUS=MR","Sort=A","Dates=H","DateFormat=P","Fill=—","Direction=H","UseDPDF=Y")</f>
        <v>62.557400000000001</v>
      </c>
      <c r="AA28" s="14">
        <f>_xll.BDH("AMGN US Equity","LT_DBT_AST_EX_OP_LEA_LIAB_AST","FQ4 2024","FQ4 2024","Currency=USD","Period=FQ","BEST_FPERIOD_OVERRIDE=FQ","FILING_STATUS=MR","Sort=A","Dates=H","DateFormat=P","Fill=—","Direction=H","UseDPDF=Y")</f>
        <v>61.949800000000003</v>
      </c>
    </row>
    <row r="29" spans="1:27" x14ac:dyDescent="0.25">
      <c r="A29" s="10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5">
      <c r="A30" s="10" t="s">
        <v>1589</v>
      </c>
      <c r="B30" s="10" t="s">
        <v>1614</v>
      </c>
      <c r="C30" s="14">
        <f>_xll.BDH("AMGN US Equity","TOT_DBT_EX_OP_LEA_LIABS_TO_EQTY","FQ4 2018","FQ4 2018","Currency=USD","Period=FQ","BEST_FPERIOD_OVERRIDE=FQ","FILING_STATUS=MR","Sort=A","Dates=H","DateFormat=P","Fill=—","Direction=H","UseDPDF=Y")</f>
        <v>271.43200000000002</v>
      </c>
      <c r="D30" s="14">
        <f>_xll.BDH("AMGN US Equity","TOT_DBT_EX_OP_LEA_LIABS_TO_EQTY","FQ1 2019","FQ1 2019","Currency=USD","Period=FQ","BEST_FPERIOD_OVERRIDE=FQ","FILING_STATUS=MR","Sort=A","Dates=H","DateFormat=P","Fill=—","Direction=H","UseDPDF=Y")</f>
        <v>304.87439999999998</v>
      </c>
      <c r="E30" s="14">
        <f>_xll.BDH("AMGN US Equity","TOT_DBT_EX_OP_LEA_LIABS_TO_EQTY","FQ2 2019","FQ2 2019","Currency=USD","Period=FQ","BEST_FPERIOD_OVERRIDE=FQ","FILING_STATUS=MR","Sort=A","Dates=H","DateFormat=P","Fill=—","Direction=H","UseDPDF=Y")</f>
        <v>283.62049999999999</v>
      </c>
      <c r="F30" s="14">
        <f>_xll.BDH("AMGN US Equity","TOT_DBT_EX_OP_LEA_LIABS_TO_EQTY","FQ3 2019","FQ3 2019","Currency=USD","Period=FQ","BEST_FPERIOD_OVERRIDE=FQ","FILING_STATUS=MR","Sort=A","Dates=H","DateFormat=P","Fill=—","Direction=H","UseDPDF=Y")</f>
        <v>272.63659999999999</v>
      </c>
      <c r="G30" s="14">
        <f>_xll.BDH("AMGN US Equity","TOT_DBT_EX_OP_LEA_LIABS_TO_EQTY","FQ4 2019","FQ4 2019","Currency=USD","Period=FQ","BEST_FPERIOD_OVERRIDE=FQ","FILING_STATUS=MR","Sort=A","Dates=H","DateFormat=P","Fill=—","Direction=H","UseDPDF=Y")</f>
        <v>309.1388</v>
      </c>
      <c r="H30" s="14">
        <f>_xll.BDH("AMGN US Equity","TOT_DBT_EX_OP_LEA_LIABS_TO_EQTY","FQ1 2020","FQ1 2020","Currency=USD","Period=FQ","BEST_FPERIOD_OVERRIDE=FQ","FILING_STATUS=MR","Sort=A","Dates=H","DateFormat=P","Fill=—","Direction=H","UseDPDF=Y")</f>
        <v>335.77229999999997</v>
      </c>
      <c r="I30" s="14">
        <f>_xll.BDH("AMGN US Equity","TOT_DBT_EX_OP_LEA_LIABS_TO_EQTY","FQ2 2020","FQ2 2020","Currency=USD","Period=FQ","BEST_FPERIOD_OVERRIDE=FQ","FILING_STATUS=MR","Sort=A","Dates=H","DateFormat=P","Fill=—","Direction=H","UseDPDF=Y")</f>
        <v>321.08080000000001</v>
      </c>
      <c r="J30" s="14">
        <f>_xll.BDH("AMGN US Equity","TOT_DBT_EX_OP_LEA_LIABS_TO_EQTY","FQ3 2020","FQ3 2020","Currency=USD","Period=FQ","BEST_FPERIOD_OVERRIDE=FQ","FILING_STATUS=MR","Sort=A","Dates=H","DateFormat=P","Fill=—","Direction=H","UseDPDF=Y")</f>
        <v>312.86610000000002</v>
      </c>
      <c r="K30" s="14">
        <f>_xll.BDH("AMGN US Equity","TOT_DBT_EX_OP_LEA_LIABS_TO_EQTY","FQ4 2020","FQ4 2020","Currency=USD","Period=FQ","BEST_FPERIOD_OVERRIDE=FQ","FILING_STATUS=MR","Sort=A","Dates=H","DateFormat=P","Fill=—","Direction=H","UseDPDF=Y")</f>
        <v>350.57920000000001</v>
      </c>
      <c r="L30" s="14">
        <f>_xll.BDH("AMGN US Equity","TOT_DBT_EX_OP_LEA_LIABS_TO_EQTY","FQ1 2021","FQ1 2021","Currency=USD","Period=FQ","BEST_FPERIOD_OVERRIDE=FQ","FILING_STATUS=MR","Sort=A","Dates=H","DateFormat=P","Fill=—","Direction=H","UseDPDF=Y")</f>
        <v>350.17140000000001</v>
      </c>
      <c r="M30" s="14">
        <f>_xll.BDH("AMGN US Equity","TOT_DBT_EX_OP_LEA_LIABS_TO_EQTY","FQ2 2021","FQ2 2021","Currency=USD","Period=FQ","BEST_FPERIOD_OVERRIDE=FQ","FILING_STATUS=MR","Sort=A","Dates=H","DateFormat=P","Fill=—","Direction=H","UseDPDF=Y")</f>
        <v>397.50209999999998</v>
      </c>
      <c r="N30" s="14">
        <f>_xll.BDH("AMGN US Equity","TOT_DBT_EX_OP_LEA_LIABS_TO_EQTY","FQ3 2021","FQ3 2021","Currency=USD","Period=FQ","BEST_FPERIOD_OVERRIDE=FQ","FILING_STATUS=MR","Sort=A","Dates=H","DateFormat=P","Fill=—","Direction=H","UseDPDF=Y")</f>
        <v>457.33240000000001</v>
      </c>
      <c r="O30" s="14">
        <f>_xll.BDH("AMGN US Equity","TOT_DBT_EX_OP_LEA_LIABS_TO_EQTY","FQ4 2021","FQ4 2021","Currency=USD","Period=FQ","BEST_FPERIOD_OVERRIDE=FQ","FILING_STATUS=MR","Sort=A","Dates=H","DateFormat=P","Fill=—","Direction=H","UseDPDF=Y")</f>
        <v>497.14929999999998</v>
      </c>
      <c r="P30" s="14">
        <f>_xll.BDH("AMGN US Equity","TOT_DBT_EX_OP_LEA_LIABS_TO_EQTY","FQ1 2022","FQ1 2022","Currency=USD","Period=FQ","BEST_FPERIOD_OVERRIDE=FQ","FILING_STATUS=MR","Sort=A","Dates=H","DateFormat=P","Fill=—","Direction=H","UseDPDF=Y")</f>
        <v>4023.3624</v>
      </c>
      <c r="Q30" s="14">
        <f>_xll.BDH("AMGN US Equity","TOT_DBT_EX_OP_LEA_LIABS_TO_EQTY","FQ2 2022","FQ2 2022","Currency=USD","Period=FQ","BEST_FPERIOD_OVERRIDE=FQ","FILING_STATUS=MR","Sort=A","Dates=H","DateFormat=P","Fill=—","Direction=H","UseDPDF=Y")</f>
        <v>1509.7973999999999</v>
      </c>
      <c r="R30" s="14">
        <f>_xll.BDH("AMGN US Equity","TOT_DBT_EX_OP_LEA_LIABS_TO_EQTY","FQ3 2022","FQ3 2022","Currency=USD","Period=FQ","BEST_FPERIOD_OVERRIDE=FQ","FILING_STATUS=MR","Sort=A","Dates=H","DateFormat=P","Fill=—","Direction=H","UseDPDF=Y")</f>
        <v>1059.5127</v>
      </c>
      <c r="S30" s="14">
        <f>_xll.BDH("AMGN US Equity","TOT_DBT_EX_OP_LEA_LIABS_TO_EQTY","FQ4 2022","FQ4 2022","Currency=USD","Period=FQ","BEST_FPERIOD_OVERRIDE=FQ","FILING_STATUS=MR","Sort=A","Dates=H","DateFormat=P","Fill=—","Direction=H","UseDPDF=Y")</f>
        <v>1063.7804000000001</v>
      </c>
      <c r="T30" s="14">
        <f>_xll.BDH("AMGN US Equity","TOT_DBT_EX_OP_LEA_LIABS_TO_EQTY","FQ1 2023","FQ1 2023","Currency=USD","Period=FQ","BEST_FPERIOD_OVERRIDE=FQ","FILING_STATUS=MR","Sort=A","Dates=H","DateFormat=P","Fill=—","Direction=H","UseDPDF=Y")</f>
        <v>1151.739</v>
      </c>
      <c r="U30" s="14">
        <f>_xll.BDH("AMGN US Equity","TOT_DBT_EX_OP_LEA_LIABS_TO_EQTY","FQ2 2023","FQ2 2023","Currency=USD","Period=FQ","BEST_FPERIOD_OVERRIDE=FQ","FILING_STATUS=MR","Sort=A","Dates=H","DateFormat=P","Fill=—","Direction=H","UseDPDF=Y")</f>
        <v>907.59479999999996</v>
      </c>
      <c r="V30" s="14">
        <f>_xll.BDH("AMGN US Equity","TOT_DBT_EX_OP_LEA_LIABS_TO_EQTY","FQ3 2023","FQ3 2023","Currency=USD","Period=FQ","BEST_FPERIOD_OVERRIDE=FQ","FILING_STATUS=MR","Sort=A","Dates=H","DateFormat=P","Fill=—","Direction=H","UseDPDF=Y")</f>
        <v>789.81190000000004</v>
      </c>
      <c r="W30" s="14">
        <f>_xll.BDH("AMGN US Equity","TOT_DBT_EX_OP_LEA_LIABS_TO_EQTY","FQ4 2023","FQ4 2023","Currency=USD","Period=FQ","BEST_FPERIOD_OVERRIDE=FQ","FILING_STATUS=MR","Sort=A","Dates=H","DateFormat=P","Fill=—","Direction=H","UseDPDF=Y")</f>
        <v>1036.7940000000001</v>
      </c>
      <c r="X30" s="14">
        <f>_xll.BDH("AMGN US Equity","TOT_DBT_EX_OP_LEA_LIABS_TO_EQTY","FQ1 2024","FQ1 2024","Currency=USD","Period=FQ","BEST_FPERIOD_OVERRIDE=FQ","FILING_STATUS=MR","Sort=A","Dates=H","DateFormat=P","Fill=—","Direction=H","UseDPDF=Y")</f>
        <v>1274.7909</v>
      </c>
      <c r="Y30" s="14">
        <f>_xll.BDH("AMGN US Equity","TOT_DBT_EX_OP_LEA_LIABS_TO_EQTY","FQ2 2024","FQ2 2024","Currency=USD","Period=FQ","BEST_FPERIOD_OVERRIDE=FQ","FILING_STATUS=MR","Sort=A","Dates=H","DateFormat=P","Fill=—","Direction=H","UseDPDF=Y")</f>
        <v>1057.2996000000001</v>
      </c>
      <c r="Z30" s="14">
        <f>_xll.BDH("AMGN US Equity","TOT_DBT_EX_OP_LEA_LIABS_TO_EQTY","FQ3 2024","FQ3 2024","Currency=USD","Period=FQ","BEST_FPERIOD_OVERRIDE=FQ","FILING_STATUS=MR","Sort=A","Dates=H","DateFormat=P","Fill=—","Direction=H","UseDPDF=Y")</f>
        <v>802.41800000000001</v>
      </c>
      <c r="AA30" s="14">
        <f>_xll.BDH("AMGN US Equity","TOT_DBT_EX_OP_LEA_LIABS_TO_EQTY","FQ4 2024","FQ4 2024","Currency=USD","Period=FQ","BEST_FPERIOD_OVERRIDE=FQ","FILING_STATUS=MR","Sort=A","Dates=H","DateFormat=P","Fill=—","Direction=H","UseDPDF=Y")</f>
        <v>1022.6136</v>
      </c>
    </row>
    <row r="31" spans="1:27" x14ac:dyDescent="0.25">
      <c r="A31" s="10" t="s">
        <v>1591</v>
      </c>
      <c r="B31" s="10" t="s">
        <v>294</v>
      </c>
      <c r="C31" s="14">
        <f>_xll.BDH("AMGN US Equity","TOT_DBT_TO_CPTL_EX_OP_LEA_LIABS","FQ4 2018","FQ4 2018","Currency=USD","Period=FQ","BEST_FPERIOD_OVERRIDE=FQ","FILING_STATUS=MR","Sort=A","Dates=H","DateFormat=P","Fill=—","Direction=H","UseDPDF=Y")</f>
        <v>73.077200000000005</v>
      </c>
      <c r="D31" s="14">
        <f>_xll.BDH("AMGN US Equity","TOT_DBT_TO_CPTL_EX_OP_LEA_LIABS","FQ1 2019","FQ1 2019","Currency=USD","Period=FQ","BEST_FPERIOD_OVERRIDE=FQ","FILING_STATUS=MR","Sort=A","Dates=H","DateFormat=P","Fill=—","Direction=H","UseDPDF=Y")</f>
        <v>75.301000000000002</v>
      </c>
      <c r="E31" s="14">
        <f>_xll.BDH("AMGN US Equity","TOT_DBT_TO_CPTL_EX_OP_LEA_LIABS","FQ2 2019","FQ2 2019","Currency=USD","Period=FQ","BEST_FPERIOD_OVERRIDE=FQ","FILING_STATUS=MR","Sort=A","Dates=H","DateFormat=P","Fill=—","Direction=H","UseDPDF=Y")</f>
        <v>73.932599999999994</v>
      </c>
      <c r="F31" s="14">
        <f>_xll.BDH("AMGN US Equity","TOT_DBT_TO_CPTL_EX_OP_LEA_LIABS","FQ3 2019","FQ3 2019","Currency=USD","Period=FQ","BEST_FPERIOD_OVERRIDE=FQ","FILING_STATUS=MR","Sort=A","Dates=H","DateFormat=P","Fill=—","Direction=H","UseDPDF=Y")</f>
        <v>73.164199999999994</v>
      </c>
      <c r="G31" s="14">
        <f>_xll.BDH("AMGN US Equity","TOT_DBT_TO_CPTL_EX_OP_LEA_LIABS","FQ4 2019","FQ4 2019","Currency=USD","Period=FQ","BEST_FPERIOD_OVERRIDE=FQ","FILING_STATUS=MR","Sort=A","Dates=H","DateFormat=P","Fill=—","Direction=H","UseDPDF=Y")</f>
        <v>75.558400000000006</v>
      </c>
      <c r="H31" s="14">
        <f>_xll.BDH("AMGN US Equity","TOT_DBT_TO_CPTL_EX_OP_LEA_LIABS","FQ1 2020","FQ1 2020","Currency=USD","Period=FQ","BEST_FPERIOD_OVERRIDE=FQ","FILING_STATUS=MR","Sort=A","Dates=H","DateFormat=P","Fill=—","Direction=H","UseDPDF=Y")</f>
        <v>77.052199999999999</v>
      </c>
      <c r="I31" s="14">
        <f>_xll.BDH("AMGN US Equity","TOT_DBT_TO_CPTL_EX_OP_LEA_LIABS","FQ2 2020","FQ2 2020","Currency=USD","Period=FQ","BEST_FPERIOD_OVERRIDE=FQ","FILING_STATUS=MR","Sort=A","Dates=H","DateFormat=P","Fill=—","Direction=H","UseDPDF=Y")</f>
        <v>76.251599999999996</v>
      </c>
      <c r="J31" s="14">
        <f>_xll.BDH("AMGN US Equity","TOT_DBT_TO_CPTL_EX_OP_LEA_LIABS","FQ3 2020","FQ3 2020","Currency=USD","Period=FQ","BEST_FPERIOD_OVERRIDE=FQ","FILING_STATUS=MR","Sort=A","Dates=H","DateFormat=P","Fill=—","Direction=H","UseDPDF=Y")</f>
        <v>75.7791</v>
      </c>
      <c r="K31" s="14">
        <f>_xll.BDH("AMGN US Equity","TOT_DBT_TO_CPTL_EX_OP_LEA_LIABS","FQ4 2020","FQ4 2020","Currency=USD","Period=FQ","BEST_FPERIOD_OVERRIDE=FQ","FILING_STATUS=MR","Sort=A","Dates=H","DateFormat=P","Fill=—","Direction=H","UseDPDF=Y")</f>
        <v>77.806299999999993</v>
      </c>
      <c r="L31" s="14">
        <f>_xll.BDH("AMGN US Equity","TOT_DBT_TO_CPTL_EX_OP_LEA_LIABS","FQ1 2021","FQ1 2021","Currency=USD","Period=FQ","BEST_FPERIOD_OVERRIDE=FQ","FILING_STATUS=MR","Sort=A","Dates=H","DateFormat=P","Fill=—","Direction=H","UseDPDF=Y")</f>
        <v>77.786199999999994</v>
      </c>
      <c r="M31" s="14">
        <f>_xll.BDH("AMGN US Equity","TOT_DBT_TO_CPTL_EX_OP_LEA_LIABS","FQ2 2021","FQ2 2021","Currency=USD","Period=FQ","BEST_FPERIOD_OVERRIDE=FQ","FILING_STATUS=MR","Sort=A","Dates=H","DateFormat=P","Fill=—","Direction=H","UseDPDF=Y")</f>
        <v>79.899600000000007</v>
      </c>
      <c r="N31" s="14">
        <f>_xll.BDH("AMGN US Equity","TOT_DBT_TO_CPTL_EX_OP_LEA_LIABS","FQ3 2021","FQ3 2021","Currency=USD","Period=FQ","BEST_FPERIOD_OVERRIDE=FQ","FILING_STATUS=MR","Sort=A","Dates=H","DateFormat=P","Fill=—","Direction=H","UseDPDF=Y")</f>
        <v>82.057400000000001</v>
      </c>
      <c r="O31" s="14">
        <f>_xll.BDH("AMGN US Equity","TOT_DBT_TO_CPTL_EX_OP_LEA_LIABS","FQ4 2021","FQ4 2021","Currency=USD","Period=FQ","BEST_FPERIOD_OVERRIDE=FQ","FILING_STATUS=MR","Sort=A","Dates=H","DateFormat=P","Fill=—","Direction=H","UseDPDF=Y")</f>
        <v>83.253799999999998</v>
      </c>
      <c r="P31" s="14">
        <f>_xll.BDH("AMGN US Equity","TOT_DBT_TO_CPTL_EX_OP_LEA_LIABS","FQ1 2022","FQ1 2022","Currency=USD","Period=FQ","BEST_FPERIOD_OVERRIDE=FQ","FILING_STATUS=MR","Sort=A","Dates=H","DateFormat=P","Fill=—","Direction=H","UseDPDF=Y")</f>
        <v>97.574799999999996</v>
      </c>
      <c r="Q31" s="14">
        <f>_xll.BDH("AMGN US Equity","TOT_DBT_TO_CPTL_EX_OP_LEA_LIABS","FQ2 2022","FQ2 2022","Currency=USD","Period=FQ","BEST_FPERIOD_OVERRIDE=FQ","FILING_STATUS=MR","Sort=A","Dates=H","DateFormat=P","Fill=—","Direction=H","UseDPDF=Y")</f>
        <v>93.787999999999997</v>
      </c>
      <c r="R31" s="14">
        <f>_xll.BDH("AMGN US Equity","TOT_DBT_TO_CPTL_EX_OP_LEA_LIABS","FQ3 2022","FQ3 2022","Currency=USD","Period=FQ","BEST_FPERIOD_OVERRIDE=FQ","FILING_STATUS=MR","Sort=A","Dates=H","DateFormat=P","Fill=—","Direction=H","UseDPDF=Y")</f>
        <v>91.375699999999995</v>
      </c>
      <c r="S31" s="14">
        <f>_xll.BDH("AMGN US Equity","TOT_DBT_TO_CPTL_EX_OP_LEA_LIABS","FQ4 2022","FQ4 2022","Currency=USD","Period=FQ","BEST_FPERIOD_OVERRIDE=FQ","FILING_STATUS=MR","Sort=A","Dates=H","DateFormat=P","Fill=—","Direction=H","UseDPDF=Y")</f>
        <v>91.407300000000006</v>
      </c>
      <c r="T31" s="14">
        <f>_xll.BDH("AMGN US Equity","TOT_DBT_TO_CPTL_EX_OP_LEA_LIABS","FQ1 2023","FQ1 2023","Currency=USD","Period=FQ","BEST_FPERIOD_OVERRIDE=FQ","FILING_STATUS=MR","Sort=A","Dates=H","DateFormat=P","Fill=—","Direction=H","UseDPDF=Y")</f>
        <v>92.011099999999999</v>
      </c>
      <c r="U31" s="14">
        <f>_xll.BDH("AMGN US Equity","TOT_DBT_TO_CPTL_EX_OP_LEA_LIABS","FQ2 2023","FQ2 2023","Currency=USD","Period=FQ","BEST_FPERIOD_OVERRIDE=FQ","FILING_STATUS=MR","Sort=A","Dates=H","DateFormat=P","Fill=—","Direction=H","UseDPDF=Y")</f>
        <v>90.075400000000002</v>
      </c>
      <c r="V31" s="14">
        <f>_xll.BDH("AMGN US Equity","TOT_DBT_TO_CPTL_EX_OP_LEA_LIABS","FQ3 2023","FQ3 2023","Currency=USD","Period=FQ","BEST_FPERIOD_OVERRIDE=FQ","FILING_STATUS=MR","Sort=A","Dates=H","DateFormat=P","Fill=—","Direction=H","UseDPDF=Y")</f>
        <v>88.761700000000005</v>
      </c>
      <c r="W31" s="14">
        <f>_xll.BDH("AMGN US Equity","TOT_DBT_TO_CPTL_EX_OP_LEA_LIABS","FQ4 2023","FQ4 2023","Currency=USD","Period=FQ","BEST_FPERIOD_OVERRIDE=FQ","FILING_STATUS=MR","Sort=A","Dates=H","DateFormat=P","Fill=—","Direction=H","UseDPDF=Y")</f>
        <v>91.203299999999999</v>
      </c>
      <c r="X31" s="14">
        <f>_xll.BDH("AMGN US Equity","TOT_DBT_TO_CPTL_EX_OP_LEA_LIABS","FQ1 2024","FQ1 2024","Currency=USD","Period=FQ","BEST_FPERIOD_OVERRIDE=FQ","FILING_STATUS=MR","Sort=A","Dates=H","DateFormat=P","Fill=—","Direction=H","UseDPDF=Y")</f>
        <v>92.726200000000006</v>
      </c>
      <c r="Y31" s="14">
        <f>_xll.BDH("AMGN US Equity","TOT_DBT_TO_CPTL_EX_OP_LEA_LIABS","FQ2 2024","FQ2 2024","Currency=USD","Period=FQ","BEST_FPERIOD_OVERRIDE=FQ","FILING_STATUS=MR","Sort=A","Dates=H","DateFormat=P","Fill=—","Direction=H","UseDPDF=Y")</f>
        <v>91.359200000000001</v>
      </c>
      <c r="Z31" s="14">
        <f>_xll.BDH("AMGN US Equity","TOT_DBT_TO_CPTL_EX_OP_LEA_LIABS","FQ3 2024","FQ3 2024","Currency=USD","Period=FQ","BEST_FPERIOD_OVERRIDE=FQ","FILING_STATUS=MR","Sort=A","Dates=H","DateFormat=P","Fill=—","Direction=H","UseDPDF=Y")</f>
        <v>88.918700000000001</v>
      </c>
      <c r="AA31" s="14">
        <f>_xll.BDH("AMGN US Equity","TOT_DBT_TO_CPTL_EX_OP_LEA_LIABS","FQ4 2024","FQ4 2024","Currency=USD","Period=FQ","BEST_FPERIOD_OVERRIDE=FQ","FILING_STATUS=MR","Sort=A","Dates=H","DateFormat=P","Fill=—","Direction=H","UseDPDF=Y")</f>
        <v>91.092200000000005</v>
      </c>
    </row>
    <row r="32" spans="1:27" x14ac:dyDescent="0.25">
      <c r="A32" s="10" t="s">
        <v>1592</v>
      </c>
      <c r="B32" s="10" t="s">
        <v>1615</v>
      </c>
      <c r="C32" s="14">
        <f>_xll.BDH("AMGN US Equity","TOT_DBT_AST_EX_OP_LEA_LIAB_AST","FQ4 2018","FQ4 2018","Currency=USD","Period=FQ","BEST_FPERIOD_OVERRIDE=FQ","FILING_STATUS=MR","Sort=A","Dates=H","DateFormat=P","Fill=—","Direction=H","UseDPDF=Y")</f>
        <v>51.085599999999999</v>
      </c>
      <c r="D32" s="14">
        <f>_xll.BDH("AMGN US Equity","TOT_DBT_AST_EX_OP_LEA_LIAB_AST","FQ1 2019","FQ1 2019","Currency=USD","Period=FQ","BEST_FPERIOD_OVERRIDE=FQ","FILING_STATUS=MR","Sort=A","Dates=H","DateFormat=P","Fill=—","Direction=H","UseDPDF=Y")</f>
        <v>51.940899999999999</v>
      </c>
      <c r="E32" s="14">
        <f>_xll.BDH("AMGN US Equity","TOT_DBT_AST_EX_OP_LEA_LIAB_AST","FQ2 2019","FQ2 2019","Currency=USD","Period=FQ","BEST_FPERIOD_OVERRIDE=FQ","FILING_STATUS=MR","Sort=A","Dates=H","DateFormat=P","Fill=—","Direction=H","UseDPDF=Y")</f>
        <v>51.938299999999998</v>
      </c>
      <c r="F32" s="14">
        <f>_xll.BDH("AMGN US Equity","TOT_DBT_AST_EX_OP_LEA_LIAB_AST","FQ3 2019","FQ3 2019","Currency=USD","Period=FQ","BEST_FPERIOD_OVERRIDE=FQ","FILING_STATUS=MR","Sort=A","Dates=H","DateFormat=P","Fill=—","Direction=H","UseDPDF=Y")</f>
        <v>50.396700000000003</v>
      </c>
      <c r="G32" s="14">
        <f>_xll.BDH("AMGN US Equity","TOT_DBT_AST_EX_OP_LEA_LIAB_AST","FQ4 2019","FQ4 2019","Currency=USD","Period=FQ","BEST_FPERIOD_OVERRIDE=FQ","FILING_STATUS=MR","Sort=A","Dates=H","DateFormat=P","Fill=—","Direction=H","UseDPDF=Y")</f>
        <v>50.479399999999998</v>
      </c>
      <c r="H32" s="14">
        <f>_xll.BDH("AMGN US Equity","TOT_DBT_AST_EX_OP_LEA_LIAB_AST","FQ1 2020","FQ1 2020","Currency=USD","Period=FQ","BEST_FPERIOD_OVERRIDE=FQ","FILING_STATUS=MR","Sort=A","Dates=H","DateFormat=P","Fill=—","Direction=H","UseDPDF=Y")</f>
        <v>51.643500000000003</v>
      </c>
      <c r="I32" s="14">
        <f>_xll.BDH("AMGN US Equity","TOT_DBT_AST_EX_OP_LEA_LIAB_AST","FQ2 2020","FQ2 2020","Currency=USD","Period=FQ","BEST_FPERIOD_OVERRIDE=FQ","FILING_STATUS=MR","Sort=A","Dates=H","DateFormat=P","Fill=—","Direction=H","UseDPDF=Y")</f>
        <v>52.6434</v>
      </c>
      <c r="J32" s="14">
        <f>_xll.BDH("AMGN US Equity","TOT_DBT_AST_EX_OP_LEA_LIAB_AST","FQ3 2020","FQ3 2020","Currency=USD","Period=FQ","BEST_FPERIOD_OVERRIDE=FQ","FILING_STATUS=MR","Sort=A","Dates=H","DateFormat=P","Fill=—","Direction=H","UseDPDF=Y")</f>
        <v>53.045499999999997</v>
      </c>
      <c r="K32" s="14">
        <f>_xll.BDH("AMGN US Equity","TOT_DBT_AST_EX_OP_LEA_LIAB_AST","FQ4 2020","FQ4 2020","Currency=USD","Period=FQ","BEST_FPERIOD_OVERRIDE=FQ","FILING_STATUS=MR","Sort=A","Dates=H","DateFormat=P","Fill=—","Direction=H","UseDPDF=Y")</f>
        <v>52.7438</v>
      </c>
      <c r="L32" s="14">
        <f>_xll.BDH("AMGN US Equity","TOT_DBT_AST_EX_OP_LEA_LIAB_AST","FQ1 2021","FQ1 2021","Currency=USD","Period=FQ","BEST_FPERIOD_OVERRIDE=FQ","FILING_STATUS=MR","Sort=A","Dates=H","DateFormat=P","Fill=—","Direction=H","UseDPDF=Y")</f>
        <v>52.263399999999997</v>
      </c>
      <c r="M32" s="14">
        <f>_xll.BDH("AMGN US Equity","TOT_DBT_AST_EX_OP_LEA_LIAB_AST","FQ2 2021","FQ2 2021","Currency=USD","Period=FQ","BEST_FPERIOD_OVERRIDE=FQ","FILING_STATUS=MR","Sort=A","Dates=H","DateFormat=P","Fill=—","Direction=H","UseDPDF=Y")</f>
        <v>54.844200000000001</v>
      </c>
      <c r="N32" s="14">
        <f>_xll.BDH("AMGN US Equity","TOT_DBT_AST_EX_OP_LEA_LIAB_AST","FQ3 2021","FQ3 2021","Currency=USD","Period=FQ","BEST_FPERIOD_OVERRIDE=FQ","FILING_STATUS=MR","Sort=A","Dates=H","DateFormat=P","Fill=—","Direction=H","UseDPDF=Y")</f>
        <v>57.820099999999996</v>
      </c>
      <c r="O32" s="14">
        <f>_xll.BDH("AMGN US Equity","TOT_DBT_AST_EX_OP_LEA_LIAB_AST","FQ4 2021","FQ4 2021","Currency=USD","Period=FQ","BEST_FPERIOD_OVERRIDE=FQ","FILING_STATUS=MR","Sort=A","Dates=H","DateFormat=P","Fill=—","Direction=H","UseDPDF=Y")</f>
        <v>54.966299999999997</v>
      </c>
      <c r="P32" s="14">
        <f>_xll.BDH("AMGN US Equity","TOT_DBT_AST_EX_OP_LEA_LIAB_AST","FQ1 2022","FQ1 2022","Currency=USD","Period=FQ","BEST_FPERIOD_OVERRIDE=FQ","FILING_STATUS=MR","Sort=A","Dates=H","DateFormat=P","Fill=—","Direction=H","UseDPDF=Y")</f>
        <v>62.257599999999996</v>
      </c>
      <c r="Q32" s="14">
        <f>_xll.BDH("AMGN US Equity","TOT_DBT_AST_EX_OP_LEA_LIAB_AST","FQ2 2022","FQ2 2022","Currency=USD","Period=FQ","BEST_FPERIOD_OVERRIDE=FQ","FILING_STATUS=MR","Sort=A","Dates=H","DateFormat=P","Fill=—","Direction=H","UseDPDF=Y")</f>
        <v>61.594799999999999</v>
      </c>
      <c r="R32" s="14">
        <f>_xll.BDH("AMGN US Equity","TOT_DBT_AST_EX_OP_LEA_LIAB_AST","FQ3 2022","FQ3 2022","Currency=USD","Period=FQ","BEST_FPERIOD_OVERRIDE=FQ","FILING_STATUS=MR","Sort=A","Dates=H","DateFormat=P","Fill=—","Direction=H","UseDPDF=Y")</f>
        <v>60.759799999999998</v>
      </c>
      <c r="S32" s="14">
        <f>_xll.BDH("AMGN US Equity","TOT_DBT_AST_EX_OP_LEA_LIAB_AST","FQ4 2022","FQ4 2022","Currency=USD","Period=FQ","BEST_FPERIOD_OVERRIDE=FQ","FILING_STATUS=MR","Sort=A","Dates=H","DateFormat=P","Fill=—","Direction=H","UseDPDF=Y")</f>
        <v>60.340600000000002</v>
      </c>
      <c r="T32" s="14">
        <f>_xll.BDH("AMGN US Equity","TOT_DBT_AST_EX_OP_LEA_LIAB_AST","FQ1 2023","FQ1 2023","Currency=USD","Period=FQ","BEST_FPERIOD_OVERRIDE=FQ","FILING_STATUS=MR","Sort=A","Dates=H","DateFormat=P","Fill=—","Direction=H","UseDPDF=Y")</f>
        <v>69.426299999999998</v>
      </c>
      <c r="U32" s="14">
        <f>_xll.BDH("AMGN US Equity","TOT_DBT_AST_EX_OP_LEA_LIAB_AST","FQ2 2023","FQ2 2023","Currency=USD","Period=FQ","BEST_FPERIOD_OVERRIDE=FQ","FILING_STATUS=MR","Sort=A","Dates=H","DateFormat=P","Fill=—","Direction=H","UseDPDF=Y")</f>
        <v>68.178399999999996</v>
      </c>
      <c r="V32" s="14">
        <f>_xll.BDH("AMGN US Equity","TOT_DBT_AST_EX_OP_LEA_LIAB_AST","FQ3 2023","FQ3 2023","Currency=USD","Period=FQ","BEST_FPERIOD_OVERRIDE=FQ","FILING_STATUS=MR","Sort=A","Dates=H","DateFormat=P","Fill=—","Direction=H","UseDPDF=Y")</f>
        <v>66.790400000000005</v>
      </c>
      <c r="W32" s="14">
        <f>_xll.BDH("AMGN US Equity","TOT_DBT_AST_EX_OP_LEA_LIAB_AST","FQ4 2023","FQ4 2023","Currency=USD","Period=FQ","BEST_FPERIOD_OVERRIDE=FQ","FILING_STATUS=MR","Sort=A","Dates=H","DateFormat=P","Fill=—","Direction=H","UseDPDF=Y")</f>
        <v>66.954400000000007</v>
      </c>
      <c r="X32" s="14">
        <f>_xll.BDH("AMGN US Equity","TOT_DBT_AST_EX_OP_LEA_LIAB_AST","FQ1 2024","FQ1 2024","Currency=USD","Period=FQ","BEST_FPERIOD_OVERRIDE=FQ","FILING_STATUS=MR","Sort=A","Dates=H","DateFormat=P","Fill=—","Direction=H","UseDPDF=Y")</f>
        <v>68.853499999999997</v>
      </c>
      <c r="Y32" s="14">
        <f>_xll.BDH("AMGN US Equity","TOT_DBT_AST_EX_OP_LEA_LIAB_AST","FQ2 2024","FQ2 2024","Currency=USD","Period=FQ","BEST_FPERIOD_OVERRIDE=FQ","FILING_STATUS=MR","Sort=A","Dates=H","DateFormat=P","Fill=—","Direction=H","UseDPDF=Y")</f>
        <v>68.911100000000005</v>
      </c>
      <c r="Z32" s="14">
        <f>_xll.BDH("AMGN US Equity","TOT_DBT_AST_EX_OP_LEA_LIAB_AST","FQ3 2024","FQ3 2024","Currency=USD","Period=FQ","BEST_FPERIOD_OVERRIDE=FQ","FILING_STATUS=MR","Sort=A","Dates=H","DateFormat=P","Fill=—","Direction=H","UseDPDF=Y")</f>
        <v>66.456900000000005</v>
      </c>
      <c r="AA32" s="14">
        <f>_xll.BDH("AMGN US Equity","TOT_DBT_AST_EX_OP_LEA_LIAB_AST","FQ4 2024","FQ4 2024","Currency=USD","Period=FQ","BEST_FPERIOD_OVERRIDE=FQ","FILING_STATUS=MR","Sort=A","Dates=H","DateFormat=P","Fill=—","Direction=H","UseDPDF=Y")</f>
        <v>65.838800000000006</v>
      </c>
    </row>
    <row r="33" spans="1:27" x14ac:dyDescent="0.25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5">
      <c r="A34" s="10" t="s">
        <v>1594</v>
      </c>
      <c r="B34" s="10" t="s">
        <v>1616</v>
      </c>
      <c r="C34" s="14">
        <f>_xll.BDH("AMGN US Equity","NET_DBT_EX_OPER_LEA_LIABS_EQTY","FQ4 2018","FQ4 2018","Currency=USD","Period=FQ","BEST_FPERIOD_OVERRIDE=FQ","FILING_STATUS=MR","Sort=A","Dates=H","DateFormat=P","Fill=—","Direction=H","UseDPDF=Y")</f>
        <v>37</v>
      </c>
      <c r="D34" s="14">
        <f>_xll.BDH("AMGN US Equity","NET_DBT_EX_OPER_LEA_LIABS_EQTY","FQ1 2019","FQ1 2019","Currency=USD","Period=FQ","BEST_FPERIOD_OVERRIDE=FQ","FILING_STATUS=MR","Sort=A","Dates=H","DateFormat=P","Fill=—","Direction=H","UseDPDF=Y")</f>
        <v>62.066099999999999</v>
      </c>
      <c r="E34" s="14">
        <f>_xll.BDH("AMGN US Equity","NET_DBT_EX_OPER_LEA_LIABS_EQTY","FQ2 2019","FQ2 2019","Currency=USD","Period=FQ","BEST_FPERIOD_OVERRIDE=FQ","FILING_STATUS=MR","Sort=A","Dates=H","DateFormat=P","Fill=—","Direction=H","UseDPDF=Y")</f>
        <v>82.045599999999993</v>
      </c>
      <c r="F34" s="14">
        <f>_xll.BDH("AMGN US Equity","NET_DBT_EX_OPER_LEA_LIABS_EQTY","FQ3 2019","FQ3 2019","Currency=USD","Period=FQ","BEST_FPERIOD_OVERRIDE=FQ","FILING_STATUS=MR","Sort=A","Dates=H","DateFormat=P","Fill=—","Direction=H","UseDPDF=Y")</f>
        <v>81.797399999999996</v>
      </c>
      <c r="G34" s="14">
        <f>_xll.BDH("AMGN US Equity","NET_DBT_EX_OPER_LEA_LIABS_EQTY","FQ4 2019","FQ4 2019","Currency=USD","Period=FQ","BEST_FPERIOD_OVERRIDE=FQ","FILING_STATUS=MR","Sort=A","Dates=H","DateFormat=P","Fill=—","Direction=H","UseDPDF=Y")</f>
        <v>217.0164</v>
      </c>
      <c r="H34" s="14">
        <f>_xll.BDH("AMGN US Equity","NET_DBT_EX_OPER_LEA_LIABS_EQTY","FQ1 2020","FQ1 2020","Currency=USD","Period=FQ","BEST_FPERIOD_OVERRIDE=FQ","FILING_STATUS=MR","Sort=A","Dates=H","DateFormat=P","Fill=—","Direction=H","UseDPDF=Y")</f>
        <v>251.3021</v>
      </c>
      <c r="I34" s="14">
        <f>_xll.BDH("AMGN US Equity","NET_DBT_EX_OPER_LEA_LIABS_EQTY","FQ2 2020","FQ2 2020","Currency=USD","Period=FQ","BEST_FPERIOD_OVERRIDE=FQ","FILING_STATUS=MR","Sort=A","Dates=H","DateFormat=P","Fill=—","Direction=H","UseDPDF=Y")</f>
        <v>213.93190000000001</v>
      </c>
      <c r="J34" s="14">
        <f>_xll.BDH("AMGN US Equity","NET_DBT_EX_OPER_LEA_LIABS_EQTY","FQ3 2020","FQ3 2020","Currency=USD","Period=FQ","BEST_FPERIOD_OVERRIDE=FQ","FILING_STATUS=MR","Sort=A","Dates=H","DateFormat=P","Fill=—","Direction=H","UseDPDF=Y")</f>
        <v>200.0821</v>
      </c>
      <c r="K34" s="14">
        <f>_xll.BDH("AMGN US Equity","NET_DBT_EX_OPER_LEA_LIABS_EQTY","FQ4 2020","FQ4 2020","Currency=USD","Period=FQ","BEST_FPERIOD_OVERRIDE=FQ","FILING_STATUS=MR","Sort=A","Dates=H","DateFormat=P","Fill=—","Direction=H","UseDPDF=Y")</f>
        <v>237.42160000000001</v>
      </c>
      <c r="L34" s="14">
        <f>_xll.BDH("AMGN US Equity","NET_DBT_EX_OPER_LEA_LIABS_EQTY","FQ1 2021","FQ1 2021","Currency=USD","Period=FQ","BEST_FPERIOD_OVERRIDE=FQ","FILING_STATUS=MR","Sort=A","Dates=H","DateFormat=P","Fill=—","Direction=H","UseDPDF=Y")</f>
        <v>236.97239999999999</v>
      </c>
      <c r="M34" s="14">
        <f>_xll.BDH("AMGN US Equity","NET_DBT_EX_OPER_LEA_LIABS_EQTY","FQ2 2021","FQ2 2021","Currency=USD","Period=FQ","BEST_FPERIOD_OVERRIDE=FQ","FILING_STATUS=MR","Sort=A","Dates=H","DateFormat=P","Fill=—","Direction=H","UseDPDF=Y")</f>
        <v>299.50279999999998</v>
      </c>
      <c r="N34" s="14">
        <f>_xll.BDH("AMGN US Equity","NET_DBT_EX_OPER_LEA_LIABS_EQTY","FQ3 2021","FQ3 2021","Currency=USD","Period=FQ","BEST_FPERIOD_OVERRIDE=FQ","FILING_STATUS=MR","Sort=A","Dates=H","DateFormat=P","Fill=—","Direction=H","UseDPDF=Y")</f>
        <v>300.08519999999999</v>
      </c>
      <c r="O34" s="14">
        <f>_xll.BDH("AMGN US Equity","NET_DBT_EX_OPER_LEA_LIABS_EQTY","FQ4 2021","FQ4 2021","Currency=USD","Period=FQ","BEST_FPERIOD_OVERRIDE=FQ","FILING_STATUS=MR","Sort=A","Dates=H","DateFormat=P","Fill=—","Direction=H","UseDPDF=Y")</f>
        <v>377.19400000000002</v>
      </c>
      <c r="P34" s="14">
        <f>_xll.BDH("AMGN US Equity","NET_DBT_EX_OPER_LEA_LIABS_EQTY","FQ1 2022","FQ1 2022","Currency=USD","Period=FQ","BEST_FPERIOD_OVERRIDE=FQ","FILING_STATUS=MR","Sort=A","Dates=H","DateFormat=P","Fill=—","Direction=H","UseDPDF=Y")</f>
        <v>3308.9520000000002</v>
      </c>
      <c r="Q34" s="14">
        <f>_xll.BDH("AMGN US Equity","NET_DBT_EX_OPER_LEA_LIABS_EQTY","FQ2 2022","FQ2 2022","Currency=USD","Period=FQ","BEST_FPERIOD_OVERRIDE=FQ","FILING_STATUS=MR","Sort=A","Dates=H","DateFormat=P","Fill=—","Direction=H","UseDPDF=Y")</f>
        <v>1212.8566000000001</v>
      </c>
      <c r="R34" s="14">
        <f>_xll.BDH("AMGN US Equity","NET_DBT_EX_OPER_LEA_LIABS_EQTY","FQ3 2022","FQ3 2022","Currency=USD","Period=FQ","BEST_FPERIOD_OVERRIDE=FQ","FILING_STATUS=MR","Sort=A","Dates=H","DateFormat=P","Fill=—","Direction=H","UseDPDF=Y")</f>
        <v>745.30520000000001</v>
      </c>
      <c r="S34" s="14">
        <f>_xll.BDH("AMGN US Equity","NET_DBT_EX_OPER_LEA_LIABS_EQTY","FQ4 2022","FQ4 2022","Currency=USD","Period=FQ","BEST_FPERIOD_OVERRIDE=FQ","FILING_STATUS=MR","Sort=A","Dates=H","DateFormat=P","Fill=—","Direction=H","UseDPDF=Y")</f>
        <v>809.61490000000003</v>
      </c>
      <c r="T34" s="14">
        <f>_xll.BDH("AMGN US Equity","NET_DBT_EX_OPER_LEA_LIABS_EQTY","FQ1 2023","FQ1 2023","Currency=USD","Period=FQ","BEST_FPERIOD_OVERRIDE=FQ","FILING_STATUS=MR","Sort=A","Dates=H","DateFormat=P","Fill=—","Direction=H","UseDPDF=Y")</f>
        <v>561.59310000000005</v>
      </c>
      <c r="U34" s="14">
        <f>_xll.BDH("AMGN US Equity","NET_DBT_EX_OPER_LEA_LIABS_EQTY","FQ2 2023","FQ2 2023","Currency=USD","Period=FQ","BEST_FPERIOD_OVERRIDE=FQ","FILING_STATUS=MR","Sort=A","Dates=H","DateFormat=P","Fill=—","Direction=H","UseDPDF=Y")</f>
        <v>402.53649999999999</v>
      </c>
      <c r="V34" s="14">
        <f>_xll.BDH("AMGN US Equity","NET_DBT_EX_OPER_LEA_LIABS_EQTY","FQ3 2023","FQ3 2023","Currency=USD","Period=FQ","BEST_FPERIOD_OVERRIDE=FQ","FILING_STATUS=MR","Sort=A","Dates=H","DateFormat=P","Fill=—","Direction=H","UseDPDF=Y")</f>
        <v>336.03710000000001</v>
      </c>
      <c r="W34" s="14">
        <f>_xll.BDH("AMGN US Equity","NET_DBT_EX_OPER_LEA_LIABS_EQTY","FQ4 2023","FQ4 2023","Currency=USD","Period=FQ","BEST_FPERIOD_OVERRIDE=FQ","FILING_STATUS=MR","Sort=A","Dates=H","DateFormat=P","Fill=—","Direction=H","UseDPDF=Y")</f>
        <v>861.18420000000003</v>
      </c>
      <c r="X34" s="14">
        <f>_xll.BDH("AMGN US Equity","NET_DBT_EX_OPER_LEA_LIABS_EQTY","FQ1 2024","FQ1 2024","Currency=USD","Period=FQ","BEST_FPERIOD_OVERRIDE=FQ","FILING_STATUS=MR","Sort=A","Dates=H","DateFormat=P","Fill=—","Direction=H","UseDPDF=Y")</f>
        <v>1081.4815000000001</v>
      </c>
      <c r="Y34" s="14">
        <f>_xll.BDH("AMGN US Equity","NET_DBT_EX_OPER_LEA_LIABS_EQTY","FQ2 2024","FQ2 2024","Currency=USD","Period=FQ","BEST_FPERIOD_OVERRIDE=FQ","FILING_STATUS=MR","Sort=A","Dates=H","DateFormat=P","Fill=—","Direction=H","UseDPDF=Y")</f>
        <v>900.32069999999999</v>
      </c>
      <c r="Z34" s="14">
        <f>_xll.BDH("AMGN US Equity","NET_DBT_EX_OPER_LEA_LIABS_EQTY","FQ3 2024","FQ3 2024","Currency=USD","Period=FQ","BEST_FPERIOD_OVERRIDE=FQ","FILING_STATUS=MR","Sort=A","Dates=H","DateFormat=P","Fill=—","Direction=H","UseDPDF=Y")</f>
        <v>682.70230000000004</v>
      </c>
      <c r="AA34" s="14">
        <f>_xll.BDH("AMGN US Equity","NET_DBT_EX_OPER_LEA_LIABS_EQTY","FQ4 2024","FQ4 2024","Currency=USD","Period=FQ","BEST_FPERIOD_OVERRIDE=FQ","FILING_STATUS=MR","Sort=A","Dates=H","DateFormat=P","Fill=—","Direction=H","UseDPDF=Y")</f>
        <v>818.88720000000001</v>
      </c>
    </row>
    <row r="35" spans="1:27" x14ac:dyDescent="0.25">
      <c r="A35" s="10" t="s">
        <v>1595</v>
      </c>
      <c r="B35" s="10" t="s">
        <v>1617</v>
      </c>
      <c r="C35" s="14">
        <f>_xll.BDH("AMGN US Equity","NET_DBT_CPTL_EX_OPER_LEA_LIABS","FQ4 2018","FQ4 2018","Currency=USD","Period=FQ","BEST_FPERIOD_OVERRIDE=FQ","FILING_STATUS=MR","Sort=A","Dates=H","DateFormat=P","Fill=—","Direction=H","UseDPDF=Y")</f>
        <v>27.007300000000001</v>
      </c>
      <c r="D35" s="14">
        <f>_xll.BDH("AMGN US Equity","NET_DBT_CPTL_EX_OPER_LEA_LIABS","FQ1 2019","FQ1 2019","Currency=USD","Period=FQ","BEST_FPERIOD_OVERRIDE=FQ","FILING_STATUS=MR","Sort=A","Dates=H","DateFormat=P","Fill=—","Direction=H","UseDPDF=Y")</f>
        <v>38.296799999999998</v>
      </c>
      <c r="E35" s="14">
        <f>_xll.BDH("AMGN US Equity","NET_DBT_CPTL_EX_OPER_LEA_LIABS","FQ2 2019","FQ2 2019","Currency=USD","Period=FQ","BEST_FPERIOD_OVERRIDE=FQ","FILING_STATUS=MR","Sort=A","Dates=H","DateFormat=P","Fill=—","Direction=H","UseDPDF=Y")</f>
        <v>45.0687</v>
      </c>
      <c r="F35" s="14">
        <f>_xll.BDH("AMGN US Equity","NET_DBT_CPTL_EX_OPER_LEA_LIABS","FQ3 2019","FQ3 2019","Currency=USD","Period=FQ","BEST_FPERIOD_OVERRIDE=FQ","FILING_STATUS=MR","Sort=A","Dates=H","DateFormat=P","Fill=—","Direction=H","UseDPDF=Y")</f>
        <v>44.993699999999997</v>
      </c>
      <c r="G35" s="14">
        <f>_xll.BDH("AMGN US Equity","NET_DBT_CPTL_EX_OPER_LEA_LIABS","FQ4 2019","FQ4 2019","Currency=USD","Period=FQ","BEST_FPERIOD_OVERRIDE=FQ","FILING_STATUS=MR","Sort=A","Dates=H","DateFormat=P","Fill=—","Direction=H","UseDPDF=Y")</f>
        <v>68.4559</v>
      </c>
      <c r="H35" s="14">
        <f>_xll.BDH("AMGN US Equity","NET_DBT_CPTL_EX_OPER_LEA_LIABS","FQ1 2020","FQ1 2020","Currency=USD","Period=FQ","BEST_FPERIOD_OVERRIDE=FQ","FILING_STATUS=MR","Sort=A","Dates=H","DateFormat=P","Fill=—","Direction=H","UseDPDF=Y")</f>
        <v>71.534499999999994</v>
      </c>
      <c r="I35" s="14">
        <f>_xll.BDH("AMGN US Equity","NET_DBT_CPTL_EX_OPER_LEA_LIABS","FQ2 2020","FQ2 2020","Currency=USD","Period=FQ","BEST_FPERIOD_OVERRIDE=FQ","FILING_STATUS=MR","Sort=A","Dates=H","DateFormat=P","Fill=—","Direction=H","UseDPDF=Y")</f>
        <v>68.146000000000001</v>
      </c>
      <c r="J35" s="14">
        <f>_xll.BDH("AMGN US Equity","NET_DBT_CPTL_EX_OPER_LEA_LIABS","FQ3 2020","FQ3 2020","Currency=USD","Period=FQ","BEST_FPERIOD_OVERRIDE=FQ","FILING_STATUS=MR","Sort=A","Dates=H","DateFormat=P","Fill=—","Direction=H","UseDPDF=Y")</f>
        <v>66.675799999999995</v>
      </c>
      <c r="K35" s="14">
        <f>_xll.BDH("AMGN US Equity","NET_DBT_CPTL_EX_OPER_LEA_LIABS","FQ4 2020","FQ4 2020","Currency=USD","Period=FQ","BEST_FPERIOD_OVERRIDE=FQ","FILING_STATUS=MR","Sort=A","Dates=H","DateFormat=P","Fill=—","Direction=H","UseDPDF=Y")</f>
        <v>70.363500000000002</v>
      </c>
      <c r="L35" s="14">
        <f>_xll.BDH("AMGN US Equity","NET_DBT_CPTL_EX_OPER_LEA_LIABS","FQ1 2021","FQ1 2021","Currency=USD","Period=FQ","BEST_FPERIOD_OVERRIDE=FQ","FILING_STATUS=MR","Sort=A","Dates=H","DateFormat=P","Fill=—","Direction=H","UseDPDF=Y")</f>
        <v>70.323999999999998</v>
      </c>
      <c r="M35" s="14">
        <f>_xll.BDH("AMGN US Equity","NET_DBT_CPTL_EX_OPER_LEA_LIABS","FQ2 2021","FQ2 2021","Currency=USD","Period=FQ","BEST_FPERIOD_OVERRIDE=FQ","FILING_STATUS=MR","Sort=A","Dates=H","DateFormat=P","Fill=—","Direction=H","UseDPDF=Y")</f>
        <v>74.968900000000005</v>
      </c>
      <c r="N35" s="14">
        <f>_xll.BDH("AMGN US Equity","NET_DBT_CPTL_EX_OPER_LEA_LIABS","FQ3 2021","FQ3 2021","Currency=USD","Period=FQ","BEST_FPERIOD_OVERRIDE=FQ","FILING_STATUS=MR","Sort=A","Dates=H","DateFormat=P","Fill=—","Direction=H","UseDPDF=Y")</f>
        <v>75.005300000000005</v>
      </c>
      <c r="O35" s="14">
        <f>_xll.BDH("AMGN US Equity","NET_DBT_CPTL_EX_OPER_LEA_LIABS","FQ4 2021","FQ4 2021","Currency=USD","Period=FQ","BEST_FPERIOD_OVERRIDE=FQ","FILING_STATUS=MR","Sort=A","Dates=H","DateFormat=P","Fill=—","Direction=H","UseDPDF=Y")</f>
        <v>79.044200000000004</v>
      </c>
      <c r="P35" s="14">
        <f>_xll.BDH("AMGN US Equity","NET_DBT_CPTL_EX_OPER_LEA_LIABS","FQ1 2022","FQ1 2022","Currency=USD","Period=FQ","BEST_FPERIOD_OVERRIDE=FQ","FILING_STATUS=MR","Sort=A","Dates=H","DateFormat=P","Fill=—","Direction=H","UseDPDF=Y")</f>
        <v>97.066500000000005</v>
      </c>
      <c r="Q35" s="14">
        <f>_xll.BDH("AMGN US Equity","NET_DBT_CPTL_EX_OPER_LEA_LIABS","FQ2 2022","FQ2 2022","Currency=USD","Period=FQ","BEST_FPERIOD_OVERRIDE=FQ","FILING_STATUS=MR","Sort=A","Dates=H","DateFormat=P","Fill=—","Direction=H","UseDPDF=Y")</f>
        <v>92.382999999999996</v>
      </c>
      <c r="R35" s="14">
        <f>_xll.BDH("AMGN US Equity","NET_DBT_CPTL_EX_OPER_LEA_LIABS","FQ3 2022","FQ3 2022","Currency=USD","Period=FQ","BEST_FPERIOD_OVERRIDE=FQ","FILING_STATUS=MR","Sort=A","Dates=H","DateFormat=P","Fill=—","Direction=H","UseDPDF=Y")</f>
        <v>88.17</v>
      </c>
      <c r="S35" s="14">
        <f>_xll.BDH("AMGN US Equity","NET_DBT_CPTL_EX_OPER_LEA_LIABS","FQ4 2022","FQ4 2022","Currency=USD","Period=FQ","BEST_FPERIOD_OVERRIDE=FQ","FILING_STATUS=MR","Sort=A","Dates=H","DateFormat=P","Fill=—","Direction=H","UseDPDF=Y")</f>
        <v>89.006299999999996</v>
      </c>
      <c r="T35" s="14">
        <f>_xll.BDH("AMGN US Equity","NET_DBT_CPTL_EX_OPER_LEA_LIABS","FQ1 2023","FQ1 2023","Currency=USD","Period=FQ","BEST_FPERIOD_OVERRIDE=FQ","FILING_STATUS=MR","Sort=A","Dates=H","DateFormat=P","Fill=—","Direction=H","UseDPDF=Y")</f>
        <v>84.885000000000005</v>
      </c>
      <c r="U35" s="14">
        <f>_xll.BDH("AMGN US Equity","NET_DBT_CPTL_EX_OPER_LEA_LIABS","FQ2 2023","FQ2 2023","Currency=USD","Period=FQ","BEST_FPERIOD_OVERRIDE=FQ","FILING_STATUS=MR","Sort=A","Dates=H","DateFormat=P","Fill=—","Direction=H","UseDPDF=Y")</f>
        <v>80.100899999999996</v>
      </c>
      <c r="V35" s="14">
        <f>_xll.BDH("AMGN US Equity","NET_DBT_CPTL_EX_OPER_LEA_LIABS","FQ3 2023","FQ3 2023","Currency=USD","Period=FQ","BEST_FPERIOD_OVERRIDE=FQ","FILING_STATUS=MR","Sort=A","Dates=H","DateFormat=P","Fill=—","Direction=H","UseDPDF=Y")</f>
        <v>77.066199999999995</v>
      </c>
      <c r="W35" s="14">
        <f>_xll.BDH("AMGN US Equity","NET_DBT_CPTL_EX_OPER_LEA_LIABS","FQ4 2023","FQ4 2023","Currency=USD","Period=FQ","BEST_FPERIOD_OVERRIDE=FQ","FILING_STATUS=MR","Sort=A","Dates=H","DateFormat=P","Fill=—","Direction=H","UseDPDF=Y")</f>
        <v>89.596199999999996</v>
      </c>
      <c r="X35" s="14">
        <f>_xll.BDH("AMGN US Equity","NET_DBT_CPTL_EX_OPER_LEA_LIABS","FQ1 2024","FQ1 2024","Currency=USD","Period=FQ","BEST_FPERIOD_OVERRIDE=FQ","FILING_STATUS=MR","Sort=A","Dates=H","DateFormat=P","Fill=—","Direction=H","UseDPDF=Y")</f>
        <v>91.536100000000005</v>
      </c>
      <c r="Y35" s="14">
        <f>_xll.BDH("AMGN US Equity","NET_DBT_CPTL_EX_OPER_LEA_LIABS","FQ2 2024","FQ2 2024","Currency=USD","Period=FQ","BEST_FPERIOD_OVERRIDE=FQ","FILING_STATUS=MR","Sort=A","Dates=H","DateFormat=P","Fill=—","Direction=H","UseDPDF=Y")</f>
        <v>90.003200000000007</v>
      </c>
      <c r="Z35" s="14">
        <f>_xll.BDH("AMGN US Equity","NET_DBT_CPTL_EX_OPER_LEA_LIABS","FQ3 2024","FQ3 2024","Currency=USD","Period=FQ","BEST_FPERIOD_OVERRIDE=FQ","FILING_STATUS=MR","Sort=A","Dates=H","DateFormat=P","Fill=—","Direction=H","UseDPDF=Y")</f>
        <v>87.223699999999994</v>
      </c>
      <c r="AA35" s="14">
        <f>_xll.BDH("AMGN US Equity","NET_DBT_CPTL_EX_OPER_LEA_LIABS","FQ4 2024","FQ4 2024","Currency=USD","Period=FQ","BEST_FPERIOD_OVERRIDE=FQ","FILING_STATUS=MR","Sort=A","Dates=H","DateFormat=P","Fill=—","Direction=H","UseDPDF=Y")</f>
        <v>89.1173</v>
      </c>
    </row>
    <row r="36" spans="1:27" x14ac:dyDescent="0.25">
      <c r="A36" s="10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5">
      <c r="A37" s="10" t="s">
        <v>78</v>
      </c>
      <c r="B37" s="10" t="s">
        <v>1618</v>
      </c>
      <c r="C37" s="13">
        <f>_xll.BDH("AMGN US Equity","EBITDA_AFTER_OPERATING_LEA_EXPN","FQ4 2018","FQ4 2018","Currency=USD","Period=FQ","BEST_FPERIOD_OVERRIDE=FQ","FILING_STATUS=MR","SCALING_FORMAT=MLN","FA_ADJUSTED=GAAP","Sort=A","Dates=H","DateFormat=P","Fill=—","Direction=H","UseDPDF=Y")</f>
        <v>2872</v>
      </c>
      <c r="D37" s="13">
        <f>_xll.BDH("AMGN US Equity","EBITDA_AFTER_OPERATING_LEA_EXPN","FQ1 2019","FQ1 2019","Currency=USD","Period=FQ","BEST_FPERIOD_OVERRIDE=FQ","FILING_STATUS=MR","SCALING_FORMAT=MLN","FA_ADJUSTED=GAAP","Sort=A","Dates=H","DateFormat=P","Fill=—","Direction=H","UseDPDF=Y")</f>
        <v>2967</v>
      </c>
      <c r="E37" s="13">
        <f>_xll.BDH("AMGN US Equity","EBITDA_AFTER_OPERATING_LEA_EXPN","FQ2 2019","FQ2 2019","Currency=USD","Period=FQ","BEST_FPERIOD_OVERRIDE=FQ","FILING_STATUS=MR","SCALING_FORMAT=MLN","FA_ADJUSTED=GAAP","Sort=A","Dates=H","DateFormat=P","Fill=—","Direction=H","UseDPDF=Y")</f>
        <v>3179</v>
      </c>
      <c r="F37" s="13">
        <f>_xll.BDH("AMGN US Equity","EBITDA_AFTER_OPERATING_LEA_EXPN","FQ3 2019","FQ3 2019","Currency=USD","Period=FQ","BEST_FPERIOD_OVERRIDE=FQ","FILING_STATUS=MR","SCALING_FORMAT=MLN","FA_ADJUSTED=GAAP","Sort=A","Dates=H","DateFormat=P","Fill=—","Direction=H","UseDPDF=Y")</f>
        <v>2984</v>
      </c>
      <c r="G37" s="13">
        <f>_xll.BDH("AMGN US Equity","EBITDA_AFTER_OPERATING_LEA_EXPN","FQ4 2019","FQ4 2019","Currency=USD","Period=FQ","BEST_FPERIOD_OVERRIDE=FQ","FILING_STATUS=MR","SCALING_FORMAT=MLN","FA_ADJUSTED=GAAP","Sort=A","Dates=H","DateFormat=P","Fill=—","Direction=H","UseDPDF=Y")</f>
        <v>2750</v>
      </c>
      <c r="H37" s="13">
        <f>_xll.BDH("AMGN US Equity","EBITDA_AFTER_OPERATING_LEA_EXPN","FQ1 2020","FQ1 2020","Currency=USD","Period=FQ","BEST_FPERIOD_OVERRIDE=FQ","FILING_STATUS=MR","SCALING_FORMAT=MLN","FA_ADJUSTED=GAAP","Sort=A","Dates=H","DateFormat=P","Fill=—","Direction=H","UseDPDF=Y")</f>
        <v>3252</v>
      </c>
      <c r="I37" s="13">
        <f>_xll.BDH("AMGN US Equity","EBITDA_AFTER_OPERATING_LEA_EXPN","FQ2 2020","FQ2 2020","Currency=USD","Period=FQ","BEST_FPERIOD_OVERRIDE=FQ","FILING_STATUS=MR","SCALING_FORMAT=MLN","FA_ADJUSTED=GAAP","Sort=A","Dates=H","DateFormat=P","Fill=—","Direction=H","UseDPDF=Y")</f>
        <v>3253</v>
      </c>
      <c r="J37" s="13">
        <f>_xll.BDH("AMGN US Equity","EBITDA_AFTER_OPERATING_LEA_EXPN","FQ3 2020","FQ3 2020","Currency=USD","Period=FQ","BEST_FPERIOD_OVERRIDE=FQ","FILING_STATUS=MR","SCALING_FORMAT=MLN","FA_ADJUSTED=GAAP","Sort=A","Dates=H","DateFormat=P","Fill=—","Direction=H","UseDPDF=Y")</f>
        <v>3354</v>
      </c>
      <c r="K37" s="13">
        <f>_xll.BDH("AMGN US Equity","EBITDA_AFTER_OPERATING_LEA_EXPN","FQ4 2020","FQ4 2020","Currency=USD","Period=FQ","BEST_FPERIOD_OVERRIDE=FQ","FILING_STATUS=MR","SCALING_FORMAT=MLN","FA_ADJUSTED=GAAP","Sort=A","Dates=H","DateFormat=P","Fill=—","Direction=H","UseDPDF=Y")</f>
        <v>2881</v>
      </c>
      <c r="L37" s="13">
        <f>_xll.BDH("AMGN US Equity","EBITDA_AFTER_OPERATING_LEA_EXPN","FQ1 2021","FQ1 2021","Currency=USD","Period=FQ","BEST_FPERIOD_OVERRIDE=FQ","FILING_STATUS=MR","SCALING_FORMAT=MLN","FA_ADJUSTED=GAAP","Sort=A","Dates=H","DateFormat=P","Fill=—","Direction=H","UseDPDF=Y")</f>
        <v>2970</v>
      </c>
      <c r="M37" s="13">
        <f>_xll.BDH("AMGN US Equity","EBITDA_AFTER_OPERATING_LEA_EXPN","FQ2 2021","FQ2 2021","Currency=USD","Period=FQ","BEST_FPERIOD_OVERRIDE=FQ","FILING_STATUS=MR","SCALING_FORMAT=MLN","FA_ADJUSTED=GAAP","Sort=A","Dates=H","DateFormat=P","Fill=—","Direction=H","UseDPDF=Y")</f>
        <v>1683</v>
      </c>
      <c r="N37" s="13">
        <f>_xll.BDH("AMGN US Equity","EBITDA_AFTER_OPERATING_LEA_EXPN","FQ3 2021","FQ3 2021","Currency=USD","Period=FQ","BEST_FPERIOD_OVERRIDE=FQ","FILING_STATUS=MR","SCALING_FORMAT=MLN","FA_ADJUSTED=GAAP","Sort=A","Dates=H","DateFormat=P","Fill=—","Direction=H","UseDPDF=Y")</f>
        <v>3228</v>
      </c>
      <c r="O37" s="13">
        <f>_xll.BDH("AMGN US Equity","EBITDA_AFTER_OPERATING_LEA_EXPN","FQ4 2021","FQ4 2021","Currency=USD","Period=FQ","BEST_FPERIOD_OVERRIDE=FQ","FILING_STATUS=MR","SCALING_FORMAT=MLN","FA_ADJUSTED=GAAP","Sort=A","Dates=H","DateFormat=P","Fill=—","Direction=H","UseDPDF=Y")</f>
        <v>3156</v>
      </c>
      <c r="P37" s="13">
        <f>_xll.BDH("AMGN US Equity","EBITDA_AFTER_OPERATING_LEA_EXPN","FQ1 2022","FQ1 2022","Currency=USD","Period=FQ","BEST_FPERIOD_OVERRIDE=FQ","FILING_STATUS=MR","SCALING_FORMAT=MLN","FA_ADJUSTED=GAAP","Sort=A","Dates=H","DateFormat=P","Fill=—","Direction=H","UseDPDF=Y")</f>
        <v>3341</v>
      </c>
      <c r="Q37" s="13">
        <f>_xll.BDH("AMGN US Equity","EBITDA_AFTER_OPERATING_LEA_EXPN","FQ2 2022","FQ2 2022","Currency=USD","Period=FQ","BEST_FPERIOD_OVERRIDE=FQ","FILING_STATUS=MR","SCALING_FORMAT=MLN","FA_ADJUSTED=GAAP","Sort=A","Dates=H","DateFormat=P","Fill=—","Direction=H","UseDPDF=Y")</f>
        <v>3004</v>
      </c>
      <c r="R37" s="13">
        <f>_xll.BDH("AMGN US Equity","EBITDA_AFTER_OPERATING_LEA_EXPN","FQ3 2022","FQ3 2022","Currency=USD","Period=FQ","BEST_FPERIOD_OVERRIDE=FQ","FILING_STATUS=MR","SCALING_FORMAT=MLN","FA_ADJUSTED=GAAP","Sort=A","Dates=H","DateFormat=P","Fill=—","Direction=H","UseDPDF=Y")</f>
        <v>3497</v>
      </c>
      <c r="S37" s="13">
        <f>_xll.BDH("AMGN US Equity","EBITDA_AFTER_OPERATING_LEA_EXPN","FQ4 2022","FQ4 2022","Currency=USD","Period=FQ","BEST_FPERIOD_OVERRIDE=FQ","FILING_STATUS=MR","SCALING_FORMAT=MLN","FA_ADJUSTED=GAAP","Sort=A","Dates=H","DateFormat=P","Fill=—","Direction=H","UseDPDF=Y")</f>
        <v>3141</v>
      </c>
      <c r="T37" s="13">
        <f>_xll.BDH("AMGN US Equity","EBITDA_AFTER_OPERATING_LEA_EXPN","FQ1 2023","FQ1 2023","Currency=USD","Period=FQ","BEST_FPERIOD_OVERRIDE=FQ","FILING_STATUS=MR","SCALING_FORMAT=MLN","FA_ADJUSTED=GAAP","Sort=A","Dates=H","DateFormat=P","Fill=—","Direction=H","UseDPDF=Y")</f>
        <v>2821</v>
      </c>
      <c r="U37" s="13">
        <f>_xll.BDH("AMGN US Equity","EBITDA_AFTER_OPERATING_LEA_EXPN","FQ2 2023","FQ2 2023","Currency=USD","Period=FQ","BEST_FPERIOD_OVERRIDE=FQ","FILING_STATUS=MR","SCALING_FORMAT=MLN","FA_ADJUSTED=GAAP","Sort=A","Dates=H","DateFormat=P","Fill=—","Direction=H","UseDPDF=Y")</f>
        <v>3580</v>
      </c>
      <c r="V37" s="13">
        <f>_xll.BDH("AMGN US Equity","EBITDA_AFTER_OPERATING_LEA_EXPN","FQ3 2023","FQ3 2023","Currency=USD","Period=FQ","BEST_FPERIOD_OVERRIDE=FQ","FILING_STATUS=MR","SCALING_FORMAT=MLN","FA_ADJUSTED=GAAP","Sort=A","Dates=H","DateFormat=P","Fill=—","Direction=H","UseDPDF=Y")</f>
        <v>2916</v>
      </c>
      <c r="W37" s="13">
        <f>_xll.BDH("AMGN US Equity","EBITDA_AFTER_OPERATING_LEA_EXPN","FQ4 2023","FQ4 2023","Currency=USD","Period=FQ","BEST_FPERIOD_OVERRIDE=FQ","FILING_STATUS=MR","SCALING_FORMAT=MLN","FA_ADJUSTED=GAAP","Sort=A","Dates=H","DateFormat=P","Fill=—","Direction=H","UseDPDF=Y")</f>
        <v>2651</v>
      </c>
      <c r="X37" s="13">
        <f>_xll.BDH("AMGN US Equity","EBITDA_AFTER_OPERATING_LEA_EXPN","FQ1 2024","FQ1 2024","Currency=USD","Period=FQ","BEST_FPERIOD_OVERRIDE=FQ","FILING_STATUS=MR","SCALING_FORMAT=MLN","FA_ADJUSTED=GAAP","Sort=A","Dates=H","DateFormat=P","Fill=—","Direction=H","UseDPDF=Y")</f>
        <v>2390</v>
      </c>
      <c r="Y37" s="13">
        <f>_xll.BDH("AMGN US Equity","EBITDA_AFTER_OPERATING_LEA_EXPN","FQ2 2024","FQ2 2024","Currency=USD","Period=FQ","BEST_FPERIOD_OVERRIDE=FQ","FILING_STATUS=MR","SCALING_FORMAT=MLN","FA_ADJUSTED=GAAP","Sort=A","Dates=H","DateFormat=P","Fill=—","Direction=H","UseDPDF=Y")</f>
        <v>3309</v>
      </c>
      <c r="Z37" s="13">
        <f>_xll.BDH("AMGN US Equity","EBITDA_AFTER_OPERATING_LEA_EXPN","FQ3 2024","FQ3 2024","Currency=USD","Period=FQ","BEST_FPERIOD_OVERRIDE=FQ","FILING_STATUS=MR","SCALING_FORMAT=MLN","FA_ADJUSTED=GAAP","Sort=A","Dates=H","DateFormat=P","Fill=—","Direction=H","UseDPDF=Y")</f>
        <v>3443</v>
      </c>
      <c r="AA37" s="13">
        <f>_xll.BDH("AMGN US Equity","EBITDA_AFTER_OPERATING_LEA_EXPN","FQ4 2024","FQ4 2024","Currency=USD","Period=FQ","BEST_FPERIOD_OVERRIDE=FQ","FILING_STATUS=MR","SCALING_FORMAT=MLN","FA_ADJUSTED=GAAP","Sort=A","Dates=H","DateFormat=P","Fill=—","Direction=H","UseDPDF=Y")</f>
        <v>3708</v>
      </c>
    </row>
    <row r="38" spans="1:27" x14ac:dyDescent="0.25">
      <c r="A38" s="10" t="s">
        <v>1597</v>
      </c>
      <c r="B38" s="10" t="s">
        <v>1619</v>
      </c>
      <c r="C38" s="13">
        <f>_xll.BDH("AMGN US Equity","EBITDA_AFT_CAPEX_AND_OP_LEA_EXPN","FQ4 2018","FQ4 2018","Currency=USD","Period=FQ","BEST_FPERIOD_OVERRIDE=FQ","FILING_STATUS=MR","SCALING_FORMAT=MLN","FA_ADJUSTED=GAAP","Sort=A","Dates=H","DateFormat=P","Fill=—","Direction=H","UseDPDF=Y")</f>
        <v>2647</v>
      </c>
      <c r="D38" s="13">
        <f>_xll.BDH("AMGN US Equity","EBITDA_AFT_CAPEX_AND_OP_LEA_EXPN","FQ1 2019","FQ1 2019","Currency=USD","Period=FQ","BEST_FPERIOD_OVERRIDE=FQ","FILING_STATUS=MR","SCALING_FORMAT=MLN","FA_ADJUSTED=GAAP","Sort=A","Dates=H","DateFormat=P","Fill=—","Direction=H","UseDPDF=Y")</f>
        <v>2851</v>
      </c>
      <c r="E38" s="13">
        <f>_xll.BDH("AMGN US Equity","EBITDA_AFT_CAPEX_AND_OP_LEA_EXPN","FQ2 2019","FQ2 2019","Currency=USD","Period=FQ","BEST_FPERIOD_OVERRIDE=FQ","FILING_STATUS=MR","SCALING_FORMAT=MLN","FA_ADJUSTED=GAAP","Sort=A","Dates=H","DateFormat=P","Fill=—","Direction=H","UseDPDF=Y")</f>
        <v>3035</v>
      </c>
      <c r="F38" s="13">
        <f>_xll.BDH("AMGN US Equity","EBITDA_AFT_CAPEX_AND_OP_LEA_EXPN","FQ3 2019","FQ3 2019","Currency=USD","Period=FQ","BEST_FPERIOD_OVERRIDE=FQ","FILING_STATUS=MR","SCALING_FORMAT=MLN","FA_ADJUSTED=GAAP","Sort=A","Dates=H","DateFormat=P","Fill=—","Direction=H","UseDPDF=Y")</f>
        <v>2814</v>
      </c>
      <c r="G38" s="13">
        <f>_xll.BDH("AMGN US Equity","EBITDA_AFT_CAPEX_AND_OP_LEA_EXPN","FQ4 2019","FQ4 2019","Currency=USD","Period=FQ","BEST_FPERIOD_OVERRIDE=FQ","FILING_STATUS=MR","SCALING_FORMAT=MLN","FA_ADJUSTED=GAAP","Sort=A","Dates=H","DateFormat=P","Fill=—","Direction=H","UseDPDF=Y")</f>
        <v>2562</v>
      </c>
      <c r="H38" s="13">
        <f>_xll.BDH("AMGN US Equity","EBITDA_AFT_CAPEX_AND_OP_LEA_EXPN","FQ1 2020","FQ1 2020","Currency=USD","Period=FQ","BEST_FPERIOD_OVERRIDE=FQ","FILING_STATUS=MR","SCALING_FORMAT=MLN","FA_ADJUSTED=GAAP","Sort=A","Dates=H","DateFormat=P","Fill=—","Direction=H","UseDPDF=Y")</f>
        <v>3110</v>
      </c>
      <c r="I38" s="13">
        <f>_xll.BDH("AMGN US Equity","EBITDA_AFT_CAPEX_AND_OP_LEA_EXPN","FQ2 2020","FQ2 2020","Currency=USD","Period=FQ","BEST_FPERIOD_OVERRIDE=FQ","FILING_STATUS=MR","SCALING_FORMAT=MLN","FA_ADJUSTED=GAAP","Sort=A","Dates=H","DateFormat=P","Fill=—","Direction=H","UseDPDF=Y")</f>
        <v>3095</v>
      </c>
      <c r="J38" s="13">
        <f>_xll.BDH("AMGN US Equity","EBITDA_AFT_CAPEX_AND_OP_LEA_EXPN","FQ3 2020","FQ3 2020","Currency=USD","Period=FQ","BEST_FPERIOD_OVERRIDE=FQ","FILING_STATUS=MR","SCALING_FORMAT=MLN","FA_ADJUSTED=GAAP","Sort=A","Dates=H","DateFormat=P","Fill=—","Direction=H","UseDPDF=Y")</f>
        <v>3219</v>
      </c>
      <c r="K38" s="13">
        <f>_xll.BDH("AMGN US Equity","EBITDA_AFT_CAPEX_AND_OP_LEA_EXPN","FQ4 2020","FQ4 2020","Currency=USD","Period=FQ","BEST_FPERIOD_OVERRIDE=FQ","FILING_STATUS=MR","SCALING_FORMAT=MLN","FA_ADJUSTED=GAAP","Sort=A","Dates=H","DateFormat=P","Fill=—","Direction=H","UseDPDF=Y")</f>
        <v>2708</v>
      </c>
      <c r="L38" s="13">
        <f>_xll.BDH("AMGN US Equity","EBITDA_AFT_CAPEX_AND_OP_LEA_EXPN","FQ1 2021","FQ1 2021","Currency=USD","Period=FQ","BEST_FPERIOD_OVERRIDE=FQ","FILING_STATUS=MR","SCALING_FORMAT=MLN","FA_ADJUSTED=GAAP","Sort=A","Dates=H","DateFormat=P","Fill=—","Direction=H","UseDPDF=Y")</f>
        <v>2804</v>
      </c>
      <c r="M38" s="13">
        <f>_xll.BDH("AMGN US Equity","EBITDA_AFT_CAPEX_AND_OP_LEA_EXPN","FQ2 2021","FQ2 2021","Currency=USD","Period=FQ","BEST_FPERIOD_OVERRIDE=FQ","FILING_STATUS=MR","SCALING_FORMAT=MLN","FA_ADJUSTED=GAAP","Sort=A","Dates=H","DateFormat=P","Fill=—","Direction=H","UseDPDF=Y")</f>
        <v>1498</v>
      </c>
      <c r="N38" s="13">
        <f>_xll.BDH("AMGN US Equity","EBITDA_AFT_CAPEX_AND_OP_LEA_EXPN","FQ3 2021","FQ3 2021","Currency=USD","Period=FQ","BEST_FPERIOD_OVERRIDE=FQ","FILING_STATUS=MR","SCALING_FORMAT=MLN","FA_ADJUSTED=GAAP","Sort=A","Dates=H","DateFormat=P","Fill=—","Direction=H","UseDPDF=Y")</f>
        <v>2986</v>
      </c>
      <c r="O38" s="13">
        <f>_xll.BDH("AMGN US Equity","EBITDA_AFT_CAPEX_AND_OP_LEA_EXPN","FQ4 2021","FQ4 2021","Currency=USD","Period=FQ","BEST_FPERIOD_OVERRIDE=FQ","FILING_STATUS=MR","SCALING_FORMAT=MLN","FA_ADJUSTED=GAAP","Sort=A","Dates=H","DateFormat=P","Fill=—","Direction=H","UseDPDF=Y")</f>
        <v>2869</v>
      </c>
      <c r="P38" s="13">
        <f>_xll.BDH("AMGN US Equity","EBITDA_AFT_CAPEX_AND_OP_LEA_EXPN","FQ1 2022","FQ1 2022","Currency=USD","Period=FQ","BEST_FPERIOD_OVERRIDE=FQ","FILING_STATUS=MR","SCALING_FORMAT=MLN","FA_ADJUSTED=GAAP","Sort=A","Dates=H","DateFormat=P","Fill=—","Direction=H","UseDPDF=Y")</f>
        <v>3151</v>
      </c>
      <c r="Q38" s="13">
        <f>_xll.BDH("AMGN US Equity","EBITDA_AFT_CAPEX_AND_OP_LEA_EXPN","FQ2 2022","FQ2 2022","Currency=USD","Period=FQ","BEST_FPERIOD_OVERRIDE=FQ","FILING_STATUS=MR","SCALING_FORMAT=MLN","FA_ADJUSTED=GAAP","Sort=A","Dates=H","DateFormat=P","Fill=—","Direction=H","UseDPDF=Y")</f>
        <v>2758</v>
      </c>
      <c r="R38" s="13">
        <f>_xll.BDH("AMGN US Equity","EBITDA_AFT_CAPEX_AND_OP_LEA_EXPN","FQ3 2022","FQ3 2022","Currency=USD","Period=FQ","BEST_FPERIOD_OVERRIDE=FQ","FILING_STATUS=MR","SCALING_FORMAT=MLN","FA_ADJUSTED=GAAP","Sort=A","Dates=H","DateFormat=P","Fill=—","Direction=H","UseDPDF=Y")</f>
        <v>3337</v>
      </c>
      <c r="S38" s="13">
        <f>_xll.BDH("AMGN US Equity","EBITDA_AFT_CAPEX_AND_OP_LEA_EXPN","FQ4 2022","FQ4 2022","Currency=USD","Period=FQ","BEST_FPERIOD_OVERRIDE=FQ","FILING_STATUS=MR","SCALING_FORMAT=MLN","FA_ADJUSTED=GAAP","Sort=A","Dates=H","DateFormat=P","Fill=—","Direction=H","UseDPDF=Y")</f>
        <v>2801</v>
      </c>
      <c r="T38" s="13">
        <f>_xll.BDH("AMGN US Equity","EBITDA_AFT_CAPEX_AND_OP_LEA_EXPN","FQ1 2023","FQ1 2023","Currency=USD","Period=FQ","BEST_FPERIOD_OVERRIDE=FQ","FILING_STATUS=MR","SCALING_FORMAT=MLN","FA_ADJUSTED=GAAP","Sort=A","Dates=H","DateFormat=P","Fill=—","Direction=H","UseDPDF=Y")</f>
        <v>2477</v>
      </c>
      <c r="U38" s="13">
        <f>_xll.BDH("AMGN US Equity","EBITDA_AFT_CAPEX_AND_OP_LEA_EXPN","FQ2 2023","FQ2 2023","Currency=USD","Period=FQ","BEST_FPERIOD_OVERRIDE=FQ","FILING_STATUS=MR","SCALING_FORMAT=MLN","FA_ADJUSTED=GAAP","Sort=A","Dates=H","DateFormat=P","Fill=—","Direction=H","UseDPDF=Y")</f>
        <v>3309</v>
      </c>
      <c r="V38" s="13">
        <f>_xll.BDH("AMGN US Equity","EBITDA_AFT_CAPEX_AND_OP_LEA_EXPN","FQ3 2023","FQ3 2023","Currency=USD","Period=FQ","BEST_FPERIOD_OVERRIDE=FQ","FILING_STATUS=MR","SCALING_FORMAT=MLN","FA_ADJUSTED=GAAP","Sort=A","Dates=H","DateFormat=P","Fill=—","Direction=H","UseDPDF=Y")</f>
        <v>2668</v>
      </c>
      <c r="W38" s="13">
        <f>_xll.BDH("AMGN US Equity","EBITDA_AFT_CAPEX_AND_OP_LEA_EXPN","FQ4 2023","FQ4 2023","Currency=USD","Period=FQ","BEST_FPERIOD_OVERRIDE=FQ","FILING_STATUS=MR","SCALING_FORMAT=MLN","FA_ADJUSTED=GAAP","Sort=A","Dates=H","DateFormat=P","Fill=—","Direction=H","UseDPDF=Y")</f>
        <v>2402</v>
      </c>
      <c r="X38" s="13">
        <f>_xll.BDH("AMGN US Equity","EBITDA_AFT_CAPEX_AND_OP_LEA_EXPN","FQ1 2024","FQ1 2024","Currency=USD","Period=FQ","BEST_FPERIOD_OVERRIDE=FQ","FILING_STATUS=MR","SCALING_FORMAT=MLN","FA_ADJUSTED=GAAP","Sort=A","Dates=H","DateFormat=P","Fill=—","Direction=H","UseDPDF=Y")</f>
        <v>2160</v>
      </c>
      <c r="Y38" s="13">
        <f>_xll.BDH("AMGN US Equity","EBITDA_AFT_CAPEX_AND_OP_LEA_EXPN","FQ2 2024","FQ2 2024","Currency=USD","Period=FQ","BEST_FPERIOD_OVERRIDE=FQ","FILING_STATUS=MR","SCALING_FORMAT=MLN","FA_ADJUSTED=GAAP","Sort=A","Dates=H","DateFormat=P","Fill=—","Direction=H","UseDPDF=Y")</f>
        <v>3071</v>
      </c>
      <c r="Z38" s="13">
        <f>_xll.BDH("AMGN US Equity","EBITDA_AFT_CAPEX_AND_OP_LEA_EXPN","FQ3 2024","FQ3 2024","Currency=USD","Period=FQ","BEST_FPERIOD_OVERRIDE=FQ","FILING_STATUS=MR","SCALING_FORMAT=MLN","FA_ADJUSTED=GAAP","Sort=A","Dates=H","DateFormat=P","Fill=—","Direction=H","UseDPDF=Y")</f>
        <v>3186</v>
      </c>
      <c r="AA38" s="13">
        <f>_xll.BDH("AMGN US Equity","EBITDA_AFT_CAPEX_AND_OP_LEA_EXPN","FQ4 2024","FQ4 2024","Currency=USD","Period=FQ","BEST_FPERIOD_OVERRIDE=FQ","FILING_STATUS=MR","SCALING_FORMAT=MLN","FA_ADJUSTED=GAAP","Sort=A","Dates=H","DateFormat=P","Fill=—","Direction=H","UseDPDF=Y")</f>
        <v>3337</v>
      </c>
    </row>
    <row r="39" spans="1:27" x14ac:dyDescent="0.25">
      <c r="A39" s="10" t="s">
        <v>141</v>
      </c>
      <c r="B39" s="10" t="s">
        <v>1620</v>
      </c>
      <c r="C39" s="13">
        <f>_xll.BDH("AMGN US Equity","EBIT_AFTER_OPERATING_LEASE","FQ4 2018","FQ4 2018","Currency=USD","Period=FQ","BEST_FPERIOD_OVERRIDE=FQ","FILING_STATUS=MR","SCALING_FORMAT=MLN","FA_ADJUSTED=GAAP","Sort=A","Dates=H","DateFormat=P","Fill=—","Direction=H","UseDPDF=Y")</f>
        <v>2382</v>
      </c>
      <c r="D39" s="13">
        <f>_xll.BDH("AMGN US Equity","EBIT_AFTER_OPERATING_LEASE","FQ1 2019","FQ1 2019","Currency=USD","Period=FQ","BEST_FPERIOD_OVERRIDE=FQ","FILING_STATUS=MR","SCALING_FORMAT=MLN","FA_ADJUSTED=GAAP","Sort=A","Dates=H","DateFormat=P","Fill=—","Direction=H","UseDPDF=Y")</f>
        <v>2472</v>
      </c>
      <c r="E39" s="13">
        <f>_xll.BDH("AMGN US Equity","EBIT_AFTER_OPERATING_LEASE","FQ2 2019","FQ2 2019","Currency=USD","Period=FQ","BEST_FPERIOD_OVERRIDE=FQ","FILING_STATUS=MR","SCALING_FORMAT=MLN","FA_ADJUSTED=GAAP","Sort=A","Dates=H","DateFormat=P","Fill=—","Direction=H","UseDPDF=Y")</f>
        <v>2678</v>
      </c>
      <c r="F39" s="13">
        <f>_xll.BDH("AMGN US Equity","EBIT_AFTER_OPERATING_LEASE","FQ3 2019","FQ3 2019","Currency=USD","Period=FQ","BEST_FPERIOD_OVERRIDE=FQ","FILING_STATUS=MR","SCALING_FORMAT=MLN","FA_ADJUSTED=GAAP","Sort=A","Dates=H","DateFormat=P","Fill=—","Direction=H","UseDPDF=Y")</f>
        <v>2476</v>
      </c>
      <c r="G39" s="13">
        <f>_xll.BDH("AMGN US Equity","EBIT_AFTER_OPERATING_LEASE","FQ4 2019","FQ4 2019","Currency=USD","Period=FQ","BEST_FPERIOD_OVERRIDE=FQ","FILING_STATUS=MR","SCALING_FORMAT=MLN","FA_ADJUSTED=GAAP","Sort=A","Dates=H","DateFormat=P","Fill=—","Direction=H","UseDPDF=Y")</f>
        <v>2048</v>
      </c>
      <c r="H39" s="13">
        <f>_xll.BDH("AMGN US Equity","EBIT_AFTER_OPERATING_LEASE","FQ1 2020","FQ1 2020","Currency=USD","Period=FQ","BEST_FPERIOD_OVERRIDE=FQ","FILING_STATUS=MR","SCALING_FORMAT=MLN","FA_ADJUSTED=GAAP","Sort=A","Dates=H","DateFormat=P","Fill=—","Direction=H","UseDPDF=Y")</f>
        <v>2355</v>
      </c>
      <c r="I39" s="13">
        <f>_xll.BDH("AMGN US Equity","EBIT_AFTER_OPERATING_LEASE","FQ2 2020","FQ2 2020","Currency=USD","Period=FQ","BEST_FPERIOD_OVERRIDE=FQ","FILING_STATUS=MR","SCALING_FORMAT=MLN","FA_ADJUSTED=GAAP","Sort=A","Dates=H","DateFormat=P","Fill=—","Direction=H","UseDPDF=Y")</f>
        <v>2323</v>
      </c>
      <c r="J39" s="13">
        <f>_xll.BDH("AMGN US Equity","EBIT_AFTER_OPERATING_LEASE","FQ3 2020","FQ3 2020","Currency=USD","Period=FQ","BEST_FPERIOD_OVERRIDE=FQ","FILING_STATUS=MR","SCALING_FORMAT=MLN","FA_ADJUSTED=GAAP","Sort=A","Dates=H","DateFormat=P","Fill=—","Direction=H","UseDPDF=Y")</f>
        <v>2453</v>
      </c>
      <c r="K39" s="13">
        <f>_xll.BDH("AMGN US Equity","EBIT_AFTER_OPERATING_LEASE","FQ4 2020","FQ4 2020","Currency=USD","Period=FQ","BEST_FPERIOD_OVERRIDE=FQ","FILING_STATUS=MR","SCALING_FORMAT=MLN","FA_ADJUSTED=GAAP","Sort=A","Dates=H","DateFormat=P","Fill=—","Direction=H","UseDPDF=Y")</f>
        <v>2008</v>
      </c>
      <c r="L39" s="13">
        <f>_xll.BDH("AMGN US Equity","EBIT_AFTER_OPERATING_LEASE","FQ1 2021","FQ1 2021","Currency=USD","Period=FQ","BEST_FPERIOD_OVERRIDE=FQ","FILING_STATUS=MR","SCALING_FORMAT=MLN","FA_ADJUSTED=GAAP","Sort=A","Dates=H","DateFormat=P","Fill=—","Direction=H","UseDPDF=Y")</f>
        <v>2129</v>
      </c>
      <c r="M39" s="13">
        <f>_xll.BDH("AMGN US Equity","EBIT_AFTER_OPERATING_LEASE","FQ2 2021","FQ2 2021","Currency=USD","Period=FQ","BEST_FPERIOD_OVERRIDE=FQ","FILING_STATUS=MR","SCALING_FORMAT=MLN","FA_ADJUSTED=GAAP","Sort=A","Dates=H","DateFormat=P","Fill=—","Direction=H","UseDPDF=Y")</f>
        <v>828</v>
      </c>
      <c r="N39" s="13">
        <f>_xll.BDH("AMGN US Equity","EBIT_AFTER_OPERATING_LEASE","FQ3 2021","FQ3 2021","Currency=USD","Period=FQ","BEST_FPERIOD_OVERRIDE=FQ","FILING_STATUS=MR","SCALING_FORMAT=MLN","FA_ADJUSTED=GAAP","Sort=A","Dates=H","DateFormat=P","Fill=—","Direction=H","UseDPDF=Y")</f>
        <v>2378</v>
      </c>
      <c r="O39" s="13">
        <f>_xll.BDH("AMGN US Equity","EBIT_AFTER_OPERATING_LEASE","FQ4 2021","FQ4 2021","Currency=USD","Period=FQ","BEST_FPERIOD_OVERRIDE=FQ","FILING_STATUS=MR","SCALING_FORMAT=MLN","FA_ADJUSTED=GAAP","Sort=A","Dates=H","DateFormat=P","Fill=—","Direction=H","UseDPDF=Y")</f>
        <v>2304</v>
      </c>
      <c r="P39" s="13">
        <f>_xll.BDH("AMGN US Equity","EBIT_AFTER_OPERATING_LEASE","FQ1 2022","FQ1 2022","Currency=USD","Period=FQ","BEST_FPERIOD_OVERRIDE=FQ","FILING_STATUS=MR","SCALING_FORMAT=MLN","FA_ADJUSTED=GAAP","Sort=A","Dates=H","DateFormat=P","Fill=—","Direction=H","UseDPDF=Y")</f>
        <v>2500</v>
      </c>
      <c r="Q39" s="13">
        <f>_xll.BDH("AMGN US Equity","EBIT_AFTER_OPERATING_LEASE","FQ2 2022","FQ2 2022","Currency=USD","Period=FQ","BEST_FPERIOD_OVERRIDE=FQ","FILING_STATUS=MR","SCALING_FORMAT=MLN","FA_ADJUSTED=GAAP","Sort=A","Dates=H","DateFormat=P","Fill=—","Direction=H","UseDPDF=Y")</f>
        <v>2176</v>
      </c>
      <c r="R39" s="13">
        <f>_xll.BDH("AMGN US Equity","EBIT_AFTER_OPERATING_LEASE","FQ3 2022","FQ3 2022","Currency=USD","Period=FQ","BEST_FPERIOD_OVERRIDE=FQ","FILING_STATUS=MR","SCALING_FORMAT=MLN","FA_ADJUSTED=GAAP","Sort=A","Dates=H","DateFormat=P","Fill=—","Direction=H","UseDPDF=Y")</f>
        <v>2660</v>
      </c>
      <c r="S39" s="13">
        <f>_xll.BDH("AMGN US Equity","EBIT_AFTER_OPERATING_LEASE","FQ4 2022","FQ4 2022","Currency=USD","Period=FQ","BEST_FPERIOD_OVERRIDE=FQ","FILING_STATUS=MR","SCALING_FORMAT=MLN","FA_ADJUSTED=GAAP","Sort=A","Dates=H","DateFormat=P","Fill=—","Direction=H","UseDPDF=Y")</f>
        <v>2230</v>
      </c>
      <c r="T39" s="13">
        <f>_xll.BDH("AMGN US Equity","EBIT_AFTER_OPERATING_LEASE","FQ1 2023","FQ1 2023","Currency=USD","Period=FQ","BEST_FPERIOD_OVERRIDE=FQ","FILING_STATUS=MR","SCALING_FORMAT=MLN","FA_ADJUSTED=GAAP","Sort=A","Dates=H","DateFormat=P","Fill=—","Direction=H","UseDPDF=Y")</f>
        <v>1921</v>
      </c>
      <c r="U39" s="13">
        <f>_xll.BDH("AMGN US Equity","EBIT_AFTER_OPERATING_LEASE","FQ2 2023","FQ2 2023","Currency=USD","Period=FQ","BEST_FPERIOD_OVERRIDE=FQ","FILING_STATUS=MR","SCALING_FORMAT=MLN","FA_ADJUSTED=GAAP","Sort=A","Dates=H","DateFormat=P","Fill=—","Direction=H","UseDPDF=Y")</f>
        <v>2684</v>
      </c>
      <c r="V39" s="13">
        <f>_xll.BDH("AMGN US Equity","EBIT_AFTER_OPERATING_LEASE","FQ3 2023","FQ3 2023","Currency=USD","Period=FQ","BEST_FPERIOD_OVERRIDE=FQ","FILING_STATUS=MR","SCALING_FORMAT=MLN","FA_ADJUSTED=GAAP","Sort=A","Dates=H","DateFormat=P","Fill=—","Direction=H","UseDPDF=Y")</f>
        <v>2021</v>
      </c>
      <c r="W39" s="13">
        <f>_xll.BDH("AMGN US Equity","EBIT_AFTER_OPERATING_LEASE","FQ4 2023","FQ4 2023","Currency=USD","Period=FQ","BEST_FPERIOD_OVERRIDE=FQ","FILING_STATUS=MR","SCALING_FORMAT=MLN","FA_ADJUSTED=GAAP","Sort=A","Dates=H","DateFormat=P","Fill=—","Direction=H","UseDPDF=Y")</f>
        <v>1271</v>
      </c>
      <c r="X39" s="13">
        <f>_xll.BDH("AMGN US Equity","EBIT_AFTER_OPERATING_LEASE","FQ1 2024","FQ1 2024","Currency=USD","Period=FQ","BEST_FPERIOD_OVERRIDE=FQ","FILING_STATUS=MR","SCALING_FORMAT=MLN","FA_ADJUSTED=GAAP","Sort=A","Dates=H","DateFormat=P","Fill=—","Direction=H","UseDPDF=Y")</f>
        <v>991</v>
      </c>
      <c r="Y39" s="13">
        <f>_xll.BDH("AMGN US Equity","EBIT_AFTER_OPERATING_LEASE","FQ2 2024","FQ2 2024","Currency=USD","Period=FQ","BEST_FPERIOD_OVERRIDE=FQ","FILING_STATUS=MR","SCALING_FORMAT=MLN","FA_ADJUSTED=GAAP","Sort=A","Dates=H","DateFormat=P","Fill=—","Direction=H","UseDPDF=Y")</f>
        <v>1909</v>
      </c>
      <c r="Z39" s="13">
        <f>_xll.BDH("AMGN US Equity","EBIT_AFTER_OPERATING_LEASE","FQ3 2024","FQ3 2024","Currency=USD","Period=FQ","BEST_FPERIOD_OVERRIDE=FQ","FILING_STATUS=MR","SCALING_FORMAT=MLN","FA_ADJUSTED=GAAP","Sort=A","Dates=H","DateFormat=P","Fill=—","Direction=H","UseDPDF=Y")</f>
        <v>2047</v>
      </c>
      <c r="AA39" s="13">
        <f>_xll.BDH("AMGN US Equity","EBIT_AFTER_OPERATING_LEASE","FQ4 2024","FQ4 2024","Currency=USD","Period=FQ","BEST_FPERIOD_OVERRIDE=FQ","FILING_STATUS=MR","SCALING_FORMAT=MLN","FA_ADJUSTED=GAAP","Sort=A","Dates=H","DateFormat=P","Fill=—","Direction=H","UseDPDF=Y")</f>
        <v>2311</v>
      </c>
    </row>
    <row r="40" spans="1:27" x14ac:dyDescent="0.25">
      <c r="A40" s="7" t="s">
        <v>90</v>
      </c>
      <c r="B40" s="7"/>
      <c r="C40" s="7" t="s">
        <v>5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29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1621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10" t="s">
        <v>1622</v>
      </c>
      <c r="B6" s="10" t="s">
        <v>1623</v>
      </c>
      <c r="C6" s="14">
        <f>_xll.BDH("AMGN US Equity","CASH_RATIO","FQ4 2018","FQ4 2018","Currency=USD","Period=FQ","BEST_FPERIOD_OVERRIDE=FQ","FILING_STATUS=MR","Sort=A","Dates=H","DateFormat=P","Fill=—","Direction=H","UseDPDF=Y")</f>
        <v>2.1726000000000001</v>
      </c>
      <c r="D6" s="14">
        <f>_xll.BDH("AMGN US Equity","CASH_RATIO","FQ1 2019","FQ1 2019","Currency=USD","Period=FQ","BEST_FPERIOD_OVERRIDE=FQ","FILING_STATUS=MR","Sort=A","Dates=H","DateFormat=P","Fill=—","Direction=H","UseDPDF=Y")</f>
        <v>2.0699999999999998</v>
      </c>
      <c r="E6" s="14">
        <f>_xll.BDH("AMGN US Equity","CASH_RATIO","FQ2 2019","FQ2 2019","Currency=USD","Period=FQ","BEST_FPERIOD_OVERRIDE=FQ","FILING_STATUS=MR","Sort=A","Dates=H","DateFormat=P","Fill=—","Direction=H","UseDPDF=Y")</f>
        <v>2.0484</v>
      </c>
      <c r="F6" s="14">
        <f>_xll.BDH("AMGN US Equity","CASH_RATIO","FQ3 2019","FQ3 2019","Currency=USD","Period=FQ","BEST_FPERIOD_OVERRIDE=FQ","FILING_STATUS=MR","Sort=A","Dates=H","DateFormat=P","Fill=—","Direction=H","UseDPDF=Y")</f>
        <v>1.9421999999999999</v>
      </c>
      <c r="G6" s="14">
        <f>_xll.BDH("AMGN US Equity","CASH_RATIO","FQ4 2019","FQ4 2019","Currency=USD","Period=FQ","BEST_FPERIOD_OVERRIDE=FQ","FILING_STATUS=MR","Sort=A","Dates=H","DateFormat=P","Fill=—","Direction=H","UseDPDF=Y")</f>
        <v>0.69430000000000003</v>
      </c>
      <c r="H6" s="14">
        <f>_xll.BDH("AMGN US Equity","CASH_RATIO","FQ1 2020","FQ1 2020","Currency=USD","Period=FQ","BEST_FPERIOD_OVERRIDE=FQ","FILING_STATUS=MR","Sort=A","Dates=H","DateFormat=P","Fill=—","Direction=H","UseDPDF=Y")</f>
        <v>0.6774</v>
      </c>
      <c r="I6" s="14">
        <f>_xll.BDH("AMGN US Equity","CASH_RATIO","FQ2 2020","FQ2 2020","Currency=USD","Period=FQ","BEST_FPERIOD_OVERRIDE=FQ","FILING_STATUS=MR","Sort=A","Dates=H","DateFormat=P","Fill=—","Direction=H","UseDPDF=Y")</f>
        <v>1.0852999999999999</v>
      </c>
      <c r="J6" s="14">
        <f>_xll.BDH("AMGN US Equity","CASH_RATIO","FQ3 2020","FQ3 2020","Currency=USD","Period=FQ","BEST_FPERIOD_OVERRIDE=FQ","FILING_STATUS=MR","Sort=A","Dates=H","DateFormat=P","Fill=—","Direction=H","UseDPDF=Y")</f>
        <v>1.2418</v>
      </c>
      <c r="K6" s="14">
        <f>_xll.BDH("AMGN US Equity","CASH_RATIO","FQ4 2020","FQ4 2020","Currency=USD","Period=FQ","BEST_FPERIOD_OVERRIDE=FQ","FILING_STATUS=MR","Sort=A","Dates=H","DateFormat=P","Fill=—","Direction=H","UseDPDF=Y")</f>
        <v>0.91369999999999996</v>
      </c>
      <c r="L6" s="14">
        <f>_xll.BDH("AMGN US Equity","CASH_RATIO","FQ1 2021","FQ1 2021","Currency=USD","Period=FQ","BEST_FPERIOD_OVERRIDE=FQ","FILING_STATUS=MR","Sort=A","Dates=H","DateFormat=P","Fill=—","Direction=H","UseDPDF=Y")</f>
        <v>0.82099999999999995</v>
      </c>
      <c r="M6" s="14">
        <f>_xll.BDH("AMGN US Equity","CASH_RATIO","FQ2 2021","FQ2 2021","Currency=USD","Period=FQ","BEST_FPERIOD_OVERRIDE=FQ","FILING_STATUS=MR","Sort=A","Dates=H","DateFormat=P","Fill=—","Direction=H","UseDPDF=Y")</f>
        <v>0.55410000000000004</v>
      </c>
      <c r="N6" s="14">
        <f>_xll.BDH("AMGN US Equity","CASH_RATIO","FQ3 2021","FQ3 2021","Currency=USD","Period=FQ","BEST_FPERIOD_OVERRIDE=FQ","FILING_STATUS=MR","Sort=A","Dates=H","DateFormat=P","Fill=—","Direction=H","UseDPDF=Y")</f>
        <v>0.87060000000000004</v>
      </c>
      <c r="O6" s="14">
        <f>_xll.BDH("AMGN US Equity","CASH_RATIO","FQ4 2021","FQ4 2021","Currency=USD","Period=FQ","BEST_FPERIOD_OVERRIDE=FQ","FILING_STATUS=MR","Sort=A","Dates=H","DateFormat=P","Fill=—","Direction=H","UseDPDF=Y")</f>
        <v>0.65959999999999996</v>
      </c>
      <c r="P6" s="14">
        <f>_xll.BDH("AMGN US Equity","CASH_RATIO","FQ1 2022","FQ1 2022","Currency=USD","Period=FQ","BEST_FPERIOD_OVERRIDE=FQ","FILING_STATUS=MR","Sort=A","Dates=H","DateFormat=P","Fill=—","Direction=H","UseDPDF=Y")</f>
        <v>0.50780000000000003</v>
      </c>
      <c r="Q6" s="14">
        <f>_xll.BDH("AMGN US Equity","CASH_RATIO","FQ2 2022","FQ2 2022","Currency=USD","Period=FQ","BEST_FPERIOD_OVERRIDE=FQ","FILING_STATUS=MR","Sort=A","Dates=H","DateFormat=P","Fill=—","Direction=H","UseDPDF=Y")</f>
        <v>0.56930000000000003</v>
      </c>
      <c r="R6" s="14">
        <f>_xll.BDH("AMGN US Equity","CASH_RATIO","FQ3 2022","FQ3 2022","Currency=USD","Period=FQ","BEST_FPERIOD_OVERRIDE=FQ","FILING_STATUS=MR","Sort=A","Dates=H","DateFormat=P","Fill=—","Direction=H","UseDPDF=Y")</f>
        <v>0.80089999999999995</v>
      </c>
      <c r="S6" s="14">
        <f>_xll.BDH("AMGN US Equity","CASH_RATIO","FQ4 2022","FQ4 2022","Currency=USD","Period=FQ","BEST_FPERIOD_OVERRIDE=FQ","FILING_STATUS=MR","Sort=A","Dates=H","DateFormat=P","Fill=—","Direction=H","UseDPDF=Y")</f>
        <v>0.59319999999999995</v>
      </c>
      <c r="T6" s="14">
        <f>_xll.BDH("AMGN US Equity","CASH_RATIO","FQ1 2023","FQ1 2023","Currency=USD","Period=FQ","BEST_FPERIOD_OVERRIDE=FQ","FILING_STATUS=MR","Sort=A","Dates=H","DateFormat=P","Fill=—","Direction=H","UseDPDF=Y")</f>
        <v>2.2202999999999999</v>
      </c>
      <c r="U6" s="14">
        <f>_xll.BDH("AMGN US Equity","CASH_RATIO","FQ2 2023","FQ2 2023","Currency=USD","Period=FQ","BEST_FPERIOD_OVERRIDE=FQ","FILING_STATUS=MR","Sort=A","Dates=H","DateFormat=P","Fill=—","Direction=H","UseDPDF=Y")</f>
        <v>2.0032000000000001</v>
      </c>
      <c r="V6" s="14">
        <f>_xll.BDH("AMGN US Equity","CASH_RATIO","FQ3 2023","FQ3 2023","Currency=USD","Period=FQ","BEST_FPERIOD_OVERRIDE=FQ","FILING_STATUS=MR","Sort=A","Dates=H","DateFormat=P","Fill=—","Direction=H","UseDPDF=Y")</f>
        <v>2.0491000000000001</v>
      </c>
      <c r="W6" s="14">
        <f>_xll.BDH("AMGN US Equity","CASH_RATIO","FQ4 2023","FQ4 2023","Currency=USD","Period=FQ","BEST_FPERIOD_OVERRIDE=FQ","FILING_STATUS=MR","Sort=A","Dates=H","DateFormat=P","Fill=—","Direction=H","UseDPDF=Y")</f>
        <v>0.59499999999999997</v>
      </c>
      <c r="X6" s="14">
        <f>_xll.BDH("AMGN US Equity","CASH_RATIO","FQ1 2024","FQ1 2024","Currency=USD","Period=FQ","BEST_FPERIOD_OVERRIDE=FQ","FILING_STATUS=MR","Sort=A","Dates=H","DateFormat=P","Fill=—","Direction=H","UseDPDF=Y")</f>
        <v>0.4924</v>
      </c>
      <c r="Y6" s="14">
        <f>_xll.BDH("AMGN US Equity","CASH_RATIO","FQ2 2024","FQ2 2024","Currency=USD","Period=FQ","BEST_FPERIOD_OVERRIDE=FQ","FILING_STATUS=MR","Sort=A","Dates=H","DateFormat=P","Fill=—","Direction=H","UseDPDF=Y")</f>
        <v>0.43230000000000002</v>
      </c>
      <c r="Z6" s="14">
        <f>_xll.BDH("AMGN US Equity","CASH_RATIO","FQ3 2024","FQ3 2024","Currency=USD","Period=FQ","BEST_FPERIOD_OVERRIDE=FQ","FILING_STATUS=MR","Sort=A","Dates=H","DateFormat=P","Fill=—","Direction=H","UseDPDF=Y")</f>
        <v>0.44359999999999999</v>
      </c>
      <c r="AA6" s="14">
        <f>_xll.BDH("AMGN US Equity","CASH_RATIO","FQ4 2024","FQ4 2024","Currency=USD","Period=FQ","BEST_FPERIOD_OVERRIDE=FQ","FILING_STATUS=MR","Sort=A","Dates=H","DateFormat=P","Fill=—","Direction=H","UseDPDF=Y")</f>
        <v>0.51829999999999998</v>
      </c>
    </row>
    <row r="7" spans="1:27" x14ac:dyDescent="0.25">
      <c r="A7" s="10" t="s">
        <v>848</v>
      </c>
      <c r="B7" s="10" t="s">
        <v>849</v>
      </c>
      <c r="C7" s="14">
        <f>_xll.BDH("AMGN US Equity","CUR_RATIO","FQ4 2018","FQ4 2018","Currency=USD","Period=FQ","BEST_FPERIOD_OVERRIDE=FQ","FILING_STATUS=MR","Sort=A","Dates=H","DateFormat=P","Fill=—","Direction=H","UseDPDF=Y")</f>
        <v>2.7890000000000001</v>
      </c>
      <c r="D7" s="14">
        <f>_xll.BDH("AMGN US Equity","CUR_RATIO","FQ1 2019","FQ1 2019","Currency=USD","Period=FQ","BEST_FPERIOD_OVERRIDE=FQ","FILING_STATUS=MR","Sort=A","Dates=H","DateFormat=P","Fill=—","Direction=H","UseDPDF=Y")</f>
        <v>2.7665000000000002</v>
      </c>
      <c r="E7" s="14">
        <f>_xll.BDH("AMGN US Equity","CUR_RATIO","FQ2 2019","FQ2 2019","Currency=USD","Period=FQ","BEST_FPERIOD_OVERRIDE=FQ","FILING_STATUS=MR","Sort=A","Dates=H","DateFormat=P","Fill=—","Direction=H","UseDPDF=Y")</f>
        <v>2.8946000000000001</v>
      </c>
      <c r="F7" s="14">
        <f>_xll.BDH("AMGN US Equity","CUR_RATIO","FQ3 2019","FQ3 2019","Currency=USD","Period=FQ","BEST_FPERIOD_OVERRIDE=FQ","FILING_STATUS=MR","Sort=A","Dates=H","DateFormat=P","Fill=—","Direction=H","UseDPDF=Y")</f>
        <v>2.8919999999999999</v>
      </c>
      <c r="G7" s="14">
        <f>_xll.BDH("AMGN US Equity","CUR_RATIO","FQ4 2019","FQ4 2019","Currency=USD","Period=FQ","BEST_FPERIOD_OVERRIDE=FQ","FILING_STATUS=MR","Sort=A","Dates=H","DateFormat=P","Fill=—","Direction=H","UseDPDF=Y")</f>
        <v>1.4367000000000001</v>
      </c>
      <c r="H7" s="14">
        <f>_xll.BDH("AMGN US Equity","CUR_RATIO","FQ1 2020","FQ1 2020","Currency=USD","Period=FQ","BEST_FPERIOD_OVERRIDE=FQ","FILING_STATUS=MR","Sort=A","Dates=H","DateFormat=P","Fill=—","Direction=H","UseDPDF=Y")</f>
        <v>1.5907</v>
      </c>
      <c r="I7" s="14">
        <f>_xll.BDH("AMGN US Equity","CUR_RATIO","FQ2 2020","FQ2 2020","Currency=USD","Period=FQ","BEST_FPERIOD_OVERRIDE=FQ","FILING_STATUS=MR","Sort=A","Dates=H","DateFormat=P","Fill=—","Direction=H","UseDPDF=Y")</f>
        <v>2.1757</v>
      </c>
      <c r="J7" s="14">
        <f>_xll.BDH("AMGN US Equity","CUR_RATIO","FQ3 2020","FQ3 2020","Currency=USD","Period=FQ","BEST_FPERIOD_OVERRIDE=FQ","FILING_STATUS=MR","Sort=A","Dates=H","DateFormat=P","Fill=—","Direction=H","UseDPDF=Y")</f>
        <v>2.2768000000000002</v>
      </c>
      <c r="K7" s="14">
        <f>_xll.BDH("AMGN US Equity","CUR_RATIO","FQ4 2020","FQ4 2020","Currency=USD","Period=FQ","BEST_FPERIOD_OVERRIDE=FQ","FILING_STATUS=MR","Sort=A","Dates=H","DateFormat=P","Fill=—","Direction=H","UseDPDF=Y")</f>
        <v>1.8145</v>
      </c>
      <c r="L7" s="14">
        <f>_xll.BDH("AMGN US Equity","CUR_RATIO","FQ1 2021","FQ1 2021","Currency=USD","Period=FQ","BEST_FPERIOD_OVERRIDE=FQ","FILING_STATUS=MR","Sort=A","Dates=H","DateFormat=P","Fill=—","Direction=H","UseDPDF=Y")</f>
        <v>1.6551</v>
      </c>
      <c r="M7" s="14">
        <f>_xll.BDH("AMGN US Equity","CUR_RATIO","FQ2 2021","FQ2 2021","Currency=USD","Period=FQ","BEST_FPERIOD_OVERRIDE=FQ","FILING_STATUS=MR","Sort=A","Dates=H","DateFormat=P","Fill=—","Direction=H","UseDPDF=Y")</f>
        <v>1.3095000000000001</v>
      </c>
      <c r="N7" s="14">
        <f>_xll.BDH("AMGN US Equity","CUR_RATIO","FQ3 2021","FQ3 2021","Currency=USD","Period=FQ","BEST_FPERIOD_OVERRIDE=FQ","FILING_STATUS=MR","Sort=A","Dates=H","DateFormat=P","Fill=—","Direction=H","UseDPDF=Y")</f>
        <v>1.6426000000000001</v>
      </c>
      <c r="O7" s="14">
        <f>_xll.BDH("AMGN US Equity","CUR_RATIO","FQ4 2021","FQ4 2021","Currency=USD","Period=FQ","BEST_FPERIOD_OVERRIDE=FQ","FILING_STATUS=MR","Sort=A","Dates=H","DateFormat=P","Fill=—","Direction=H","UseDPDF=Y")</f>
        <v>1.591</v>
      </c>
      <c r="P7" s="14">
        <f>_xll.BDH("AMGN US Equity","CUR_RATIO","FQ1 2022","FQ1 2022","Currency=USD","Period=FQ","BEST_FPERIOD_OVERRIDE=FQ","FILING_STATUS=MR","Sort=A","Dates=H","DateFormat=P","Fill=—","Direction=H","UseDPDF=Y")</f>
        <v>1.4372</v>
      </c>
      <c r="Q7" s="14">
        <f>_xll.BDH("AMGN US Equity","CUR_RATIO","FQ2 2022","FQ2 2022","Currency=USD","Period=FQ","BEST_FPERIOD_OVERRIDE=FQ","FILING_STATUS=MR","Sort=A","Dates=H","DateFormat=P","Fill=—","Direction=H","UseDPDF=Y")</f>
        <v>1.5313000000000001</v>
      </c>
      <c r="R7" s="14">
        <f>_xll.BDH("AMGN US Equity","CUR_RATIO","FQ3 2022","FQ3 2022","Currency=USD","Period=FQ","BEST_FPERIOD_OVERRIDE=FQ","FILING_STATUS=MR","Sort=A","Dates=H","DateFormat=P","Fill=—","Direction=H","UseDPDF=Y")</f>
        <v>1.679</v>
      </c>
      <c r="S7" s="14">
        <f>_xll.BDH("AMGN US Equity","CUR_RATIO","FQ4 2022","FQ4 2022","Currency=USD","Period=FQ","BEST_FPERIOD_OVERRIDE=FQ","FILING_STATUS=MR","Sort=A","Dates=H","DateFormat=P","Fill=—","Direction=H","UseDPDF=Y")</f>
        <v>1.4142999999999999</v>
      </c>
      <c r="T7" s="14">
        <f>_xll.BDH("AMGN US Equity","CUR_RATIO","FQ1 2023","FQ1 2023","Currency=USD","Period=FQ","BEST_FPERIOD_OVERRIDE=FQ","FILING_STATUS=MR","Sort=A","Dates=H","DateFormat=P","Fill=—","Direction=H","UseDPDF=Y")</f>
        <v>3.1448</v>
      </c>
      <c r="U7" s="14">
        <f>_xll.BDH("AMGN US Equity","CUR_RATIO","FQ2 2023","FQ2 2023","Currency=USD","Period=FQ","BEST_FPERIOD_OVERRIDE=FQ","FILING_STATUS=MR","Sort=A","Dates=H","DateFormat=P","Fill=—","Direction=H","UseDPDF=Y")</f>
        <v>2.7711999999999999</v>
      </c>
      <c r="V7" s="14">
        <f>_xll.BDH("AMGN US Equity","CUR_RATIO","FQ3 2023","FQ3 2023","Currency=USD","Period=FQ","BEST_FPERIOD_OVERRIDE=FQ","FILING_STATUS=MR","Sort=A","Dates=H","DateFormat=P","Fill=—","Direction=H","UseDPDF=Y")</f>
        <v>2.8593000000000002</v>
      </c>
      <c r="W7" s="14">
        <f>_xll.BDH("AMGN US Equity","CUR_RATIO","FQ4 2023","FQ4 2023","Currency=USD","Period=FQ","BEST_FPERIOD_OVERRIDE=FQ","FILING_STATUS=MR","Sort=A","Dates=H","DateFormat=P","Fill=—","Direction=H","UseDPDF=Y")</f>
        <v>1.6492</v>
      </c>
      <c r="X7" s="14">
        <f>_xll.BDH("AMGN US Equity","CUR_RATIO","FQ1 2024","FQ1 2024","Currency=USD","Period=FQ","BEST_FPERIOD_OVERRIDE=FQ","FILING_STATUS=MR","Sort=A","Dates=H","DateFormat=P","Fill=—","Direction=H","UseDPDF=Y")</f>
        <v>1.4218</v>
      </c>
      <c r="Y7" s="14">
        <f>_xll.BDH("AMGN US Equity","CUR_RATIO","FQ2 2024","FQ2 2024","Currency=USD","Period=FQ","BEST_FPERIOD_OVERRIDE=FQ","FILING_STATUS=MR","Sort=A","Dates=H","DateFormat=P","Fill=—","Direction=H","UseDPDF=Y")</f>
        <v>1.2644</v>
      </c>
      <c r="Z7" s="14">
        <f>_xll.BDH("AMGN US Equity","CUR_RATIO","FQ3 2024","FQ3 2024","Currency=USD","Period=FQ","BEST_FPERIOD_OVERRIDE=FQ","FILING_STATUS=MR","Sort=A","Dates=H","DateFormat=P","Fill=—","Direction=H","UseDPDF=Y")</f>
        <v>1.3177000000000001</v>
      </c>
      <c r="AA7" s="14">
        <f>_xll.BDH("AMGN US Equity","CUR_RATIO","FQ4 2024","FQ4 2024","Currency=USD","Period=FQ","BEST_FPERIOD_OVERRIDE=FQ","FILING_STATUS=MR","Sort=A","Dates=H","DateFormat=P","Fill=—","Direction=H","UseDPDF=Y")</f>
        <v>1.2567999999999999</v>
      </c>
    </row>
    <row r="8" spans="1:27" x14ac:dyDescent="0.25">
      <c r="A8" s="10" t="s">
        <v>1624</v>
      </c>
      <c r="B8" s="10" t="s">
        <v>1625</v>
      </c>
      <c r="C8" s="14">
        <f>_xll.BDH("AMGN US Equity","QUICK_RATIO","FQ4 2018","FQ4 2018","Currency=USD","Period=FQ","BEST_FPERIOD_OVERRIDE=FQ","FILING_STATUS=MR","Sort=A","Dates=H","DateFormat=P","Fill=—","Direction=H","UseDPDF=Y")</f>
        <v>2.4380000000000002</v>
      </c>
      <c r="D8" s="14">
        <f>_xll.BDH("AMGN US Equity","QUICK_RATIO","FQ1 2019","FQ1 2019","Currency=USD","Period=FQ","BEST_FPERIOD_OVERRIDE=FQ","FILING_STATUS=MR","Sort=A","Dates=H","DateFormat=P","Fill=—","Direction=H","UseDPDF=Y")</f>
        <v>2.3668</v>
      </c>
      <c r="E8" s="14">
        <f>_xll.BDH("AMGN US Equity","QUICK_RATIO","FQ2 2019","FQ2 2019","Currency=USD","Period=FQ","BEST_FPERIOD_OVERRIDE=FQ","FILING_STATUS=MR","Sort=A","Dates=H","DateFormat=P","Fill=—","Direction=H","UseDPDF=Y")</f>
        <v>2.4062000000000001</v>
      </c>
      <c r="F8" s="14">
        <f>_xll.BDH("AMGN US Equity","QUICK_RATIO","FQ3 2019","FQ3 2019","Currency=USD","Period=FQ","BEST_FPERIOD_OVERRIDE=FQ","FILING_STATUS=MR","Sort=A","Dates=H","DateFormat=P","Fill=—","Direction=H","UseDPDF=Y")</f>
        <v>2.278</v>
      </c>
      <c r="G8" s="14">
        <f>_xll.BDH("AMGN US Equity","QUICK_RATIO","FQ4 2019","FQ4 2019","Currency=USD","Period=FQ","BEST_FPERIOD_OVERRIDE=FQ","FILING_STATUS=MR","Sort=A","Dates=H","DateFormat=P","Fill=—","Direction=H","UseDPDF=Y")</f>
        <v>1.0104</v>
      </c>
      <c r="H8" s="14">
        <f>_xll.BDH("AMGN US Equity","QUICK_RATIO","FQ1 2020","FQ1 2020","Currency=USD","Period=FQ","BEST_FPERIOD_OVERRIDE=FQ","FILING_STATUS=MR","Sort=A","Dates=H","DateFormat=P","Fill=—","Direction=H","UseDPDF=Y")</f>
        <v>1.101</v>
      </c>
      <c r="I8" s="14">
        <f>_xll.BDH("AMGN US Equity","QUICK_RATIO","FQ2 2020","FQ2 2020","Currency=USD","Period=FQ","BEST_FPERIOD_OVERRIDE=FQ","FILING_STATUS=MR","Sort=A","Dates=H","DateFormat=P","Fill=—","Direction=H","UseDPDF=Y")</f>
        <v>1.5952999999999999</v>
      </c>
      <c r="J8" s="14">
        <f>_xll.BDH("AMGN US Equity","QUICK_RATIO","FQ3 2020","FQ3 2020","Currency=USD","Period=FQ","BEST_FPERIOD_OVERRIDE=FQ","FILING_STATUS=MR","Sort=A","Dates=H","DateFormat=P","Fill=—","Direction=H","UseDPDF=Y")</f>
        <v>1.6532</v>
      </c>
      <c r="K8" s="14">
        <f>_xll.BDH("AMGN US Equity","QUICK_RATIO","FQ4 2020","FQ4 2020","Currency=USD","Period=FQ","BEST_FPERIOD_OVERRIDE=FQ","FILING_STATUS=MR","Sort=A","Dates=H","DateFormat=P","Fill=—","Direction=H","UseDPDF=Y")</f>
        <v>1.302</v>
      </c>
      <c r="L8" s="14">
        <f>_xll.BDH("AMGN US Equity","QUICK_RATIO","FQ1 2021","FQ1 2021","Currency=USD","Period=FQ","BEST_FPERIOD_OVERRIDE=FQ","FILING_STATUS=MR","Sort=A","Dates=H","DateFormat=P","Fill=—","Direction=H","UseDPDF=Y")</f>
        <v>1.1647000000000001</v>
      </c>
      <c r="M8" s="14">
        <f>_xll.BDH("AMGN US Equity","QUICK_RATIO","FQ2 2021","FQ2 2021","Currency=USD","Period=FQ","BEST_FPERIOD_OVERRIDE=FQ","FILING_STATUS=MR","Sort=A","Dates=H","DateFormat=P","Fill=—","Direction=H","UseDPDF=Y")</f>
        <v>0.86119999999999997</v>
      </c>
      <c r="N8" s="14">
        <f>_xll.BDH("AMGN US Equity","QUICK_RATIO","FQ3 2021","FQ3 2021","Currency=USD","Period=FQ","BEST_FPERIOD_OVERRIDE=FQ","FILING_STATUS=MR","Sort=A","Dates=H","DateFormat=P","Fill=—","Direction=H","UseDPDF=Y")</f>
        <v>1.1916</v>
      </c>
      <c r="O8" s="14">
        <f>_xll.BDH("AMGN US Equity","QUICK_RATIO","FQ4 2021","FQ4 2021","Currency=USD","Period=FQ","BEST_FPERIOD_OVERRIDE=FQ","FILING_STATUS=MR","Sort=A","Dates=H","DateFormat=P","Fill=—","Direction=H","UseDPDF=Y")</f>
        <v>1.0613999999999999</v>
      </c>
      <c r="P8" s="14">
        <f>_xll.BDH("AMGN US Equity","QUICK_RATIO","FQ1 2022","FQ1 2022","Currency=USD","Period=FQ","BEST_FPERIOD_OVERRIDE=FQ","FILING_STATUS=MR","Sort=A","Dates=H","DateFormat=P","Fill=—","Direction=H","UseDPDF=Y")</f>
        <v>0.90180000000000005</v>
      </c>
      <c r="Q8" s="14">
        <f>_xll.BDH("AMGN US Equity","QUICK_RATIO","FQ2 2022","FQ2 2022","Currency=USD","Period=FQ","BEST_FPERIOD_OVERRIDE=FQ","FILING_STATUS=MR","Sort=A","Dates=H","DateFormat=P","Fill=—","Direction=H","UseDPDF=Y")</f>
        <v>0.99139999999999995</v>
      </c>
      <c r="R8" s="14">
        <f>_xll.BDH("AMGN US Equity","QUICK_RATIO","FQ3 2022","FQ3 2022","Currency=USD","Period=FQ","BEST_FPERIOD_OVERRIDE=FQ","FILING_STATUS=MR","Sort=A","Dates=H","DateFormat=P","Fill=—","Direction=H","UseDPDF=Y")</f>
        <v>1.1726000000000001</v>
      </c>
      <c r="S8" s="14">
        <f>_xll.BDH("AMGN US Equity","QUICK_RATIO","FQ4 2022","FQ4 2022","Currency=USD","Period=FQ","BEST_FPERIOD_OVERRIDE=FQ","FILING_STATUS=MR","Sort=A","Dates=H","DateFormat=P","Fill=—","Direction=H","UseDPDF=Y")</f>
        <v>0.94779999999999998</v>
      </c>
      <c r="T8" s="14">
        <f>_xll.BDH("AMGN US Equity","QUICK_RATIO","FQ1 2023","FQ1 2023","Currency=USD","Period=FQ","BEST_FPERIOD_OVERRIDE=FQ","FILING_STATUS=MR","Sort=A","Dates=H","DateFormat=P","Fill=—","Direction=H","UseDPDF=Y")</f>
        <v>2.6238000000000001</v>
      </c>
      <c r="U8" s="14">
        <f>_xll.BDH("AMGN US Equity","QUICK_RATIO","FQ2 2023","FQ2 2023","Currency=USD","Period=FQ","BEST_FPERIOD_OVERRIDE=FQ","FILING_STATUS=MR","Sort=A","Dates=H","DateFormat=P","Fill=—","Direction=H","UseDPDF=Y")</f>
        <v>2.3441999999999998</v>
      </c>
      <c r="V8" s="14">
        <f>_xll.BDH("AMGN US Equity","QUICK_RATIO","FQ3 2023","FQ3 2023","Currency=USD","Period=FQ","BEST_FPERIOD_OVERRIDE=FQ","FILING_STATUS=MR","Sort=A","Dates=H","DateFormat=P","Fill=—","Direction=H","UseDPDF=Y")</f>
        <v>2.4116</v>
      </c>
      <c r="W8" s="14">
        <f>_xll.BDH("AMGN US Equity","QUICK_RATIO","FQ4 2023","FQ4 2023","Currency=USD","Period=FQ","BEST_FPERIOD_OVERRIDE=FQ","FILING_STATUS=MR","Sort=A","Dates=H","DateFormat=P","Fill=—","Direction=H","UseDPDF=Y")</f>
        <v>0.99019999999999997</v>
      </c>
      <c r="X8" s="14">
        <f>_xll.BDH("AMGN US Equity","QUICK_RATIO","FQ1 2024","FQ1 2024","Currency=USD","Period=FQ","BEST_FPERIOD_OVERRIDE=FQ","FILING_STATUS=MR","Sort=A","Dates=H","DateFormat=P","Fill=—","Direction=H","UseDPDF=Y")</f>
        <v>0.83620000000000005</v>
      </c>
      <c r="Y8" s="14">
        <f>_xll.BDH("AMGN US Equity","QUICK_RATIO","FQ2 2024","FQ2 2024","Currency=USD","Period=FQ","BEST_FPERIOD_OVERRIDE=FQ","FILING_STATUS=MR","Sort=A","Dates=H","DateFormat=P","Fill=—","Direction=H","UseDPDF=Y")</f>
        <v>0.75449999999999995</v>
      </c>
      <c r="Z8" s="14">
        <f>_xll.BDH("AMGN US Equity","QUICK_RATIO","FQ3 2024","FQ3 2024","Currency=USD","Period=FQ","BEST_FPERIOD_OVERRIDE=FQ","FILING_STATUS=MR","Sort=A","Dates=H","DateFormat=P","Fill=—","Direction=H","UseDPDF=Y")</f>
        <v>0.80389999999999995</v>
      </c>
      <c r="AA8" s="14">
        <f>_xll.BDH("AMGN US Equity","QUICK_RATIO","FQ4 2024","FQ4 2024","Currency=USD","Period=FQ","BEST_FPERIOD_OVERRIDE=FQ","FILING_STATUS=MR","Sort=A","Dates=H","DateFormat=P","Fill=—","Direction=H","UseDPDF=Y")</f>
        <v>0.81189999999999996</v>
      </c>
    </row>
    <row r="9" spans="1:27" x14ac:dyDescent="0.25">
      <c r="A9" s="10" t="s">
        <v>1626</v>
      </c>
      <c r="B9" s="10" t="s">
        <v>1627</v>
      </c>
      <c r="C9" s="14">
        <f>_xll.BDH("AMGN US Equity","CFO_TO_AVG_CURRENT_LIABILITIES","FQ4 2018","FQ4 2018","Currency=USD","Period=FQ","BEST_FPERIOD_OVERRIDE=FQ","FILING_STATUS=MR","Sort=A","Dates=H","DateFormat=P","Fill=—","Direction=H","UseDPDF=Y")</f>
        <v>1.0037</v>
      </c>
      <c r="D9" s="14">
        <f>_xll.BDH("AMGN US Equity","CFO_TO_AVG_CURRENT_LIABILITIES","FQ1 2019","FQ1 2019","Currency=USD","Period=FQ","BEST_FPERIOD_OVERRIDE=FQ","FILING_STATUS=MR","Sort=A","Dates=H","DateFormat=P","Fill=—","Direction=H","UseDPDF=Y")</f>
        <v>0.89829999999999999</v>
      </c>
      <c r="E9" s="14">
        <f>_xll.BDH("AMGN US Equity","CFO_TO_AVG_CURRENT_LIABILITIES","FQ2 2019","FQ2 2019","Currency=USD","Period=FQ","BEST_FPERIOD_OVERRIDE=FQ","FILING_STATUS=MR","Sort=A","Dates=H","DateFormat=P","Fill=—","Direction=H","UseDPDF=Y")</f>
        <v>0.89119999999999999</v>
      </c>
      <c r="F9" s="14">
        <f>_xll.BDH("AMGN US Equity","CFO_TO_AVG_CURRENT_LIABILITIES","FQ3 2019","FQ3 2019","Currency=USD","Period=FQ","BEST_FPERIOD_OVERRIDE=FQ","FILING_STATUS=MR","Sort=A","Dates=H","DateFormat=P","Fill=—","Direction=H","UseDPDF=Y")</f>
        <v>0.84850000000000003</v>
      </c>
      <c r="G9" s="14">
        <f>_xll.BDH("AMGN US Equity","CFO_TO_AVG_CURRENT_LIABILITIES","FQ4 2019","FQ4 2019","Currency=USD","Period=FQ","BEST_FPERIOD_OVERRIDE=FQ","FILING_STATUS=MR","Sort=A","Dates=H","DateFormat=P","Fill=—","Direction=H","UseDPDF=Y")</f>
        <v>0.69520000000000004</v>
      </c>
      <c r="H9" s="14">
        <f>_xll.BDH("AMGN US Equity","CFO_TO_AVG_CURRENT_LIABILITIES","FQ1 2020","FQ1 2020","Currency=USD","Period=FQ","BEST_FPERIOD_OVERRIDE=FQ","FILING_STATUS=MR","Sort=A","Dates=H","DateFormat=P","Fill=—","Direction=H","UseDPDF=Y")</f>
        <v>0.76949999999999996</v>
      </c>
      <c r="I9" s="14">
        <f>_xll.BDH("AMGN US Equity","CFO_TO_AVG_CURRENT_LIABILITIES","FQ2 2020","FQ2 2020","Currency=USD","Period=FQ","BEST_FPERIOD_OVERRIDE=FQ","FILING_STATUS=MR","Sort=A","Dates=H","DateFormat=P","Fill=—","Direction=H","UseDPDF=Y")</f>
        <v>1.0279</v>
      </c>
      <c r="J9" s="14">
        <f>_xll.BDH("AMGN US Equity","CFO_TO_AVG_CURRENT_LIABILITIES","FQ3 2020","FQ3 2020","Currency=USD","Period=FQ","BEST_FPERIOD_OVERRIDE=FQ","FILING_STATUS=MR","Sort=A","Dates=H","DateFormat=P","Fill=—","Direction=H","UseDPDF=Y")</f>
        <v>1.0496000000000001</v>
      </c>
      <c r="K9" s="14">
        <f>_xll.BDH("AMGN US Equity","CFO_TO_AVG_CURRENT_LIABILITIES","FQ4 2020","FQ4 2020","Currency=USD","Period=FQ","BEST_FPERIOD_OVERRIDE=FQ","FILING_STATUS=MR","Sort=A","Dates=H","DateFormat=P","Fill=—","Direction=H","UseDPDF=Y")</f>
        <v>0.87860000000000005</v>
      </c>
      <c r="L9" s="14">
        <f>_xll.BDH("AMGN US Equity","CFO_TO_AVG_CURRENT_LIABILITIES","FQ1 2021","FQ1 2021","Currency=USD","Period=FQ","BEST_FPERIOD_OVERRIDE=FQ","FILING_STATUS=MR","Sort=A","Dates=H","DateFormat=P","Fill=—","Direction=H","UseDPDF=Y")</f>
        <v>0.86870000000000003</v>
      </c>
      <c r="M9" s="14">
        <f>_xll.BDH("AMGN US Equity","CFO_TO_AVG_CURRENT_LIABILITIES","FQ2 2021","FQ2 2021","Currency=USD","Period=FQ","BEST_FPERIOD_OVERRIDE=FQ","FILING_STATUS=MR","Sort=A","Dates=H","DateFormat=P","Fill=—","Direction=H","UseDPDF=Y")</f>
        <v>0.78190000000000004</v>
      </c>
      <c r="N9" s="14">
        <f>_xll.BDH("AMGN US Equity","CFO_TO_AVG_CURRENT_LIABILITIES","FQ3 2021","FQ3 2021","Currency=USD","Period=FQ","BEST_FPERIOD_OVERRIDE=FQ","FILING_STATUS=MR","Sort=A","Dates=H","DateFormat=P","Fill=—","Direction=H","UseDPDF=Y")</f>
        <v>0.71509999999999996</v>
      </c>
      <c r="O9" s="14">
        <f>_xll.BDH("AMGN US Equity","CFO_TO_AVG_CURRENT_LIABILITIES","FQ4 2021","FQ4 2021","Currency=USD","Period=FQ","BEST_FPERIOD_OVERRIDE=FQ","FILING_STATUS=MR","Sort=A","Dates=H","DateFormat=P","Fill=—","Direction=H","UseDPDF=Y")</f>
        <v>0.77700000000000002</v>
      </c>
      <c r="P9" s="14">
        <f>_xll.BDH("AMGN US Equity","CFO_TO_AVG_CURRENT_LIABILITIES","FQ1 2022","FQ1 2022","Currency=USD","Period=FQ","BEST_FPERIOD_OVERRIDE=FQ","FILING_STATUS=MR","Sort=A","Dates=H","DateFormat=P","Fill=—","Direction=H","UseDPDF=Y")</f>
        <v>0.7238</v>
      </c>
      <c r="Q9" s="14">
        <f>_xll.BDH("AMGN US Equity","CFO_TO_AVG_CURRENT_LIABILITIES","FQ2 2022","FQ2 2022","Currency=USD","Period=FQ","BEST_FPERIOD_OVERRIDE=FQ","FILING_STATUS=MR","Sort=A","Dates=H","DateFormat=P","Fill=—","Direction=H","UseDPDF=Y")</f>
        <v>0.68520000000000003</v>
      </c>
      <c r="R9" s="14">
        <f>_xll.BDH("AMGN US Equity","CFO_TO_AVG_CURRENT_LIABILITIES","FQ3 2022","FQ3 2022","Currency=USD","Period=FQ","BEST_FPERIOD_OVERRIDE=FQ","FILING_STATUS=MR","Sort=A","Dates=H","DateFormat=P","Fill=—","Direction=H","UseDPDF=Y")</f>
        <v>0.67730000000000001</v>
      </c>
      <c r="S9" s="14">
        <f>_xll.BDH("AMGN US Equity","CFO_TO_AVG_CURRENT_LIABILITIES","FQ4 2022","FQ4 2022","Currency=USD","Period=FQ","BEST_FPERIOD_OVERRIDE=FQ","FILING_STATUS=MR","Sort=A","Dates=H","DateFormat=P","Fill=—","Direction=H","UseDPDF=Y")</f>
        <v>0.6976</v>
      </c>
      <c r="T9" s="14">
        <f>_xll.BDH("AMGN US Equity","CFO_TO_AVG_CURRENT_LIABILITIES","FQ1 2023","FQ1 2023","Currency=USD","Period=FQ","BEST_FPERIOD_OVERRIDE=FQ","FILING_STATUS=MR","Sort=A","Dates=H","DateFormat=P","Fill=—","Direction=H","UseDPDF=Y")</f>
        <v>0.63619999999999999</v>
      </c>
      <c r="U9" s="14">
        <f>_xll.BDH("AMGN US Equity","CFO_TO_AVG_CURRENT_LIABILITIES","FQ2 2023","FQ2 2023","Currency=USD","Period=FQ","BEST_FPERIOD_OVERRIDE=FQ","FILING_STATUS=MR","Sort=A","Dates=H","DateFormat=P","Fill=—","Direction=H","UseDPDF=Y")</f>
        <v>0.72689999999999999</v>
      </c>
      <c r="V9" s="14">
        <f>_xll.BDH("AMGN US Equity","CFO_TO_AVG_CURRENT_LIABILITIES","FQ3 2023","FQ3 2023","Currency=USD","Period=FQ","BEST_FPERIOD_OVERRIDE=FQ","FILING_STATUS=MR","Sort=A","Dates=H","DateFormat=P","Fill=—","Direction=H","UseDPDF=Y")</f>
        <v>0.67649999999999999</v>
      </c>
      <c r="W9" s="14">
        <f>_xll.BDH("AMGN US Equity","CFO_TO_AVG_CURRENT_LIABILITIES","FQ4 2023","FQ4 2023","Currency=USD","Period=FQ","BEST_FPERIOD_OVERRIDE=FQ","FILING_STATUS=MR","Sort=A","Dates=H","DateFormat=P","Fill=—","Direction=H","UseDPDF=Y")</f>
        <v>0.49709999999999999</v>
      </c>
      <c r="X9" s="14">
        <f>_xll.BDH("AMGN US Equity","CFO_TO_AVG_CURRENT_LIABILITIES","FQ1 2024","FQ1 2024","Currency=USD","Period=FQ","BEST_FPERIOD_OVERRIDE=FQ","FILING_STATUS=MR","Sort=A","Dates=H","DateFormat=P","Fill=—","Direction=H","UseDPDF=Y")</f>
        <v>0.47720000000000001</v>
      </c>
      <c r="Y9" s="14">
        <f>_xll.BDH("AMGN US Equity","CFO_TO_AVG_CURRENT_LIABILITIES","FQ2 2024","FQ2 2024","Currency=USD","Period=FQ","BEST_FPERIOD_OVERRIDE=FQ","FILING_STATUS=MR","Sort=A","Dates=H","DateFormat=P","Fill=—","Direction=H","UseDPDF=Y")</f>
        <v>0.33389999999999997</v>
      </c>
      <c r="Z9" s="14">
        <f>_xll.BDH("AMGN US Equity","CFO_TO_AVG_CURRENT_LIABILITIES","FQ3 2024","FQ3 2024","Currency=USD","Period=FQ","BEST_FPERIOD_OVERRIDE=FQ","FILING_STATUS=MR","Sort=A","Dates=H","DateFormat=P","Fill=—","Direction=H","UseDPDF=Y")</f>
        <v>0.38950000000000001</v>
      </c>
      <c r="AA9" s="14">
        <f>_xll.BDH("AMGN US Equity","CFO_TO_AVG_CURRENT_LIABILITIES","FQ4 2024","FQ4 2024","Currency=USD","Period=FQ","BEST_FPERIOD_OVERRIDE=FQ","FILING_STATUS=MR","Sort=A","Dates=H","DateFormat=P","Fill=—","Direction=H","UseDPDF=Y")</f>
        <v>0.55389999999999995</v>
      </c>
    </row>
    <row r="10" spans="1:27" x14ac:dyDescent="0.25">
      <c r="A10" s="10" t="s">
        <v>1581</v>
      </c>
      <c r="B10" s="10" t="s">
        <v>1582</v>
      </c>
      <c r="C10" s="14">
        <f>_xll.BDH("AMGN US Equity","COM_EQY_TO_TOT_ASSET","FQ4 2018","FQ4 2018","Currency=USD","Period=FQ","BEST_FPERIOD_OVERRIDE=FQ","FILING_STATUS=MR","Sort=A","Dates=H","DateFormat=P","Fill=—","Direction=H","UseDPDF=Y")</f>
        <v>18.820799999999998</v>
      </c>
      <c r="D10" s="14">
        <f>_xll.BDH("AMGN US Equity","COM_EQY_TO_TOT_ASSET","FQ1 2019","FQ1 2019","Currency=USD","Period=FQ","BEST_FPERIOD_OVERRIDE=FQ","FILING_STATUS=MR","Sort=A","Dates=H","DateFormat=P","Fill=—","Direction=H","UseDPDF=Y")</f>
        <v>16.925799999999999</v>
      </c>
      <c r="E10" s="14">
        <f>_xll.BDH("AMGN US Equity","COM_EQY_TO_TOT_ASSET","FQ2 2019","FQ2 2019","Currency=USD","Period=FQ","BEST_FPERIOD_OVERRIDE=FQ","FILING_STATUS=MR","Sort=A","Dates=H","DateFormat=P","Fill=—","Direction=H","UseDPDF=Y")</f>
        <v>18.18</v>
      </c>
      <c r="F10" s="14">
        <f>_xll.BDH("AMGN US Equity","COM_EQY_TO_TOT_ASSET","FQ3 2019","FQ3 2019","Currency=USD","Period=FQ","BEST_FPERIOD_OVERRIDE=FQ","FILING_STATUS=MR","Sort=A","Dates=H","DateFormat=P","Fill=—","Direction=H","UseDPDF=Y")</f>
        <v>18.353899999999999</v>
      </c>
      <c r="G10" s="14">
        <f>_xll.BDH("AMGN US Equity","COM_EQY_TO_TOT_ASSET","FQ4 2019","FQ4 2019","Currency=USD","Period=FQ","BEST_FPERIOD_OVERRIDE=FQ","FILING_STATUS=MR","Sort=A","Dates=H","DateFormat=P","Fill=—","Direction=H","UseDPDF=Y")</f>
        <v>16.200800000000001</v>
      </c>
      <c r="H10" s="14">
        <f>_xll.BDH("AMGN US Equity","COM_EQY_TO_TOT_ASSET","FQ1 2020","FQ1 2020","Currency=USD","Period=FQ","BEST_FPERIOD_OVERRIDE=FQ","FILING_STATUS=MR","Sort=A","Dates=H","DateFormat=P","Fill=—","Direction=H","UseDPDF=Y")</f>
        <v>15.3805</v>
      </c>
      <c r="I10" s="14">
        <f>_xll.BDH("AMGN US Equity","COM_EQY_TO_TOT_ASSET","FQ2 2020","FQ2 2020","Currency=USD","Period=FQ","BEST_FPERIOD_OVERRIDE=FQ","FILING_STATUS=MR","Sort=A","Dates=H","DateFormat=P","Fill=—","Direction=H","UseDPDF=Y")</f>
        <v>16.395700000000001</v>
      </c>
      <c r="J10" s="14">
        <f>_xll.BDH("AMGN US Equity","COM_EQY_TO_TOT_ASSET","FQ3 2020","FQ3 2020","Currency=USD","Period=FQ","BEST_FPERIOD_OVERRIDE=FQ","FILING_STATUS=MR","Sort=A","Dates=H","DateFormat=P","Fill=—","Direction=H","UseDPDF=Y")</f>
        <v>16.954699999999999</v>
      </c>
      <c r="K10" s="14">
        <f>_xll.BDH("AMGN US Equity","COM_EQY_TO_TOT_ASSET","FQ4 2020","FQ4 2020","Currency=USD","Period=FQ","BEST_FPERIOD_OVERRIDE=FQ","FILING_STATUS=MR","Sort=A","Dates=H","DateFormat=P","Fill=—","Direction=H","UseDPDF=Y")</f>
        <v>14.9473</v>
      </c>
      <c r="L10" s="14">
        <f>_xll.BDH("AMGN US Equity","COM_EQY_TO_TOT_ASSET","FQ1 2021","FQ1 2021","Currency=USD","Period=FQ","BEST_FPERIOD_OVERRIDE=FQ","FILING_STATUS=MR","Sort=A","Dates=H","DateFormat=P","Fill=—","Direction=H","UseDPDF=Y")</f>
        <v>14.9251</v>
      </c>
      <c r="M10" s="14">
        <f>_xll.BDH("AMGN US Equity","COM_EQY_TO_TOT_ASSET","FQ2 2021","FQ2 2021","Currency=USD","Period=FQ","BEST_FPERIOD_OVERRIDE=FQ","FILING_STATUS=MR","Sort=A","Dates=H","DateFormat=P","Fill=—","Direction=H","UseDPDF=Y")</f>
        <v>13.7972</v>
      </c>
      <c r="N10" s="14">
        <f>_xll.BDH("AMGN US Equity","COM_EQY_TO_TOT_ASSET","FQ3 2021","FQ3 2021","Currency=USD","Period=FQ","BEST_FPERIOD_OVERRIDE=FQ","FILING_STATUS=MR","Sort=A","Dates=H","DateFormat=P","Fill=—","Direction=H","UseDPDF=Y")</f>
        <v>12.642899999999999</v>
      </c>
      <c r="O10" s="14">
        <f>_xll.BDH("AMGN US Equity","COM_EQY_TO_TOT_ASSET","FQ4 2021","FQ4 2021","Currency=USD","Period=FQ","BEST_FPERIOD_OVERRIDE=FQ","FILING_STATUS=MR","Sort=A","Dates=H","DateFormat=P","Fill=—","Direction=H","UseDPDF=Y")</f>
        <v>10.954000000000001</v>
      </c>
      <c r="P10" s="14">
        <f>_xll.BDH("AMGN US Equity","COM_EQY_TO_TOT_ASSET","FQ1 2022","FQ1 2022","Currency=USD","Period=FQ","BEST_FPERIOD_OVERRIDE=FQ","FILING_STATUS=MR","Sort=A","Dates=H","DateFormat=P","Fill=—","Direction=H","UseDPDF=Y")</f>
        <v>1.5474000000000001</v>
      </c>
      <c r="Q10" s="14">
        <f>_xll.BDH("AMGN US Equity","COM_EQY_TO_TOT_ASSET","FQ2 2022","FQ2 2022","Currency=USD","Period=FQ","BEST_FPERIOD_OVERRIDE=FQ","FILING_STATUS=MR","Sort=A","Dates=H","DateFormat=P","Fill=—","Direction=H","UseDPDF=Y")</f>
        <v>4.0796999999999999</v>
      </c>
      <c r="R10" s="14">
        <f>_xll.BDH("AMGN US Equity","COM_EQY_TO_TOT_ASSET","FQ3 2022","FQ3 2022","Currency=USD","Period=FQ","BEST_FPERIOD_OVERRIDE=FQ","FILING_STATUS=MR","Sort=A","Dates=H","DateFormat=P","Fill=—","Direction=H","UseDPDF=Y")</f>
        <v>5.7347000000000001</v>
      </c>
      <c r="S10" s="14">
        <f>_xll.BDH("AMGN US Equity","COM_EQY_TO_TOT_ASSET","FQ4 2022","FQ4 2022","Currency=USD","Period=FQ","BEST_FPERIOD_OVERRIDE=FQ","FILING_STATUS=MR","Sort=A","Dates=H","DateFormat=P","Fill=—","Direction=H","UseDPDF=Y")</f>
        <v>5.6218000000000004</v>
      </c>
      <c r="T10" s="14">
        <f>_xll.BDH("AMGN US Equity","COM_EQY_TO_TOT_ASSET","FQ1 2023","FQ1 2023","Currency=USD","Period=FQ","BEST_FPERIOD_OVERRIDE=FQ","FILING_STATUS=MR","Sort=A","Dates=H","DateFormat=P","Fill=—","Direction=H","UseDPDF=Y")</f>
        <v>6.0279999999999996</v>
      </c>
      <c r="U10" s="14">
        <f>_xll.BDH("AMGN US Equity","COM_EQY_TO_TOT_ASSET","FQ2 2023","FQ2 2023","Currency=USD","Period=FQ","BEST_FPERIOD_OVERRIDE=FQ","FILING_STATUS=MR","Sort=A","Dates=H","DateFormat=P","Fill=—","Direction=H","UseDPDF=Y")</f>
        <v>7.5119999999999996</v>
      </c>
      <c r="V10" s="14">
        <f>_xll.BDH("AMGN US Equity","COM_EQY_TO_TOT_ASSET","FQ3 2023","FQ3 2023","Currency=USD","Period=FQ","BEST_FPERIOD_OVERRIDE=FQ","FILING_STATUS=MR","Sort=A","Dates=H","DateFormat=P","Fill=—","Direction=H","UseDPDF=Y")</f>
        <v>8.4565000000000001</v>
      </c>
      <c r="W10" s="14">
        <f>_xll.BDH("AMGN US Equity","COM_EQY_TO_TOT_ASSET","FQ4 2023","FQ4 2023","Currency=USD","Period=FQ","BEST_FPERIOD_OVERRIDE=FQ","FILING_STATUS=MR","Sort=A","Dates=H","DateFormat=P","Fill=—","Direction=H","UseDPDF=Y")</f>
        <v>6.4146000000000001</v>
      </c>
      <c r="X10" s="14">
        <f>_xll.BDH("AMGN US Equity","COM_EQY_TO_TOT_ASSET","FQ1 2024","FQ1 2024","Currency=USD","Period=FQ","BEST_FPERIOD_OVERRIDE=FQ","FILING_STATUS=MR","Sort=A","Dates=H","DateFormat=P","Fill=—","Direction=H","UseDPDF=Y")</f>
        <v>5.4012000000000002</v>
      </c>
      <c r="Y10" s="14">
        <f>_xll.BDH("AMGN US Equity","COM_EQY_TO_TOT_ASSET","FQ2 2024","FQ2 2024","Currency=USD","Period=FQ","BEST_FPERIOD_OVERRIDE=FQ","FILING_STATUS=MR","Sort=A","Dates=H","DateFormat=P","Fill=—","Direction=H","UseDPDF=Y")</f>
        <v>6.5175999999999998</v>
      </c>
      <c r="Z10" s="14">
        <f>_xll.BDH("AMGN US Equity","COM_EQY_TO_TOT_ASSET","FQ3 2024","FQ3 2024","Currency=USD","Period=FQ","BEST_FPERIOD_OVERRIDE=FQ","FILING_STATUS=MR","Sort=A","Dates=H","DateFormat=P","Fill=—","Direction=H","UseDPDF=Y")</f>
        <v>8.2820999999999998</v>
      </c>
      <c r="AA10" s="14">
        <f>_xll.BDH("AMGN US Equity","COM_EQY_TO_TOT_ASSET","FQ4 2024","FQ4 2024","Currency=USD","Period=FQ","BEST_FPERIOD_OVERRIDE=FQ","FILING_STATUS=MR","Sort=A","Dates=H","DateFormat=P","Fill=—","Direction=H","UseDPDF=Y")</f>
        <v>6.3992000000000004</v>
      </c>
    </row>
    <row r="11" spans="1:27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10" t="s">
        <v>1583</v>
      </c>
      <c r="B12" s="10" t="s">
        <v>1584</v>
      </c>
      <c r="C12" s="14">
        <f>_xll.BDH("AMGN US Equity","LT_DEBT_TO_TOT_EQY","FQ4 2018","FQ4 2018","Currency=USD","Period=FQ","BEST_FPERIOD_OVERRIDE=FQ","FILING_STATUS=MR","Sort=A","Dates=H","DateFormat=P","Fill=—","Direction=H","UseDPDF=Y")</f>
        <v>236.08</v>
      </c>
      <c r="D12" s="14">
        <f>_xll.BDH("AMGN US Equity","LT_DEBT_TO_TOT_EQY","FQ1 2019","FQ1 2019","Currency=USD","Period=FQ","BEST_FPERIOD_OVERRIDE=FQ","FILING_STATUS=MR","Sort=A","Dates=H","DateFormat=P","Fill=—","Direction=H","UseDPDF=Y")</f>
        <v>274.06760000000003</v>
      </c>
      <c r="E12" s="14">
        <f>_xll.BDH("AMGN US Equity","LT_DEBT_TO_TOT_EQY","FQ2 2019","FQ2 2019","Currency=USD","Period=FQ","BEST_FPERIOD_OVERRIDE=FQ","FILING_STATUS=MR","Sort=A","Dates=H","DateFormat=P","Fill=—","Direction=H","UseDPDF=Y")</f>
        <v>260.89490000000001</v>
      </c>
      <c r="F12" s="14">
        <f>_xll.BDH("AMGN US Equity","LT_DEBT_TO_TOT_EQY","FQ3 2019","FQ3 2019","Currency=USD","Period=FQ","BEST_FPERIOD_OVERRIDE=FQ","FILING_STATUS=MR","Sort=A","Dates=H","DateFormat=P","Fill=—","Direction=H","UseDPDF=Y")</f>
        <v>257.09710000000001</v>
      </c>
      <c r="G12" s="14">
        <f>_xll.BDH("AMGN US Equity","LT_DEBT_TO_TOT_EQY","FQ4 2019","FQ4 2019","Currency=USD","Period=FQ","BEST_FPERIOD_OVERRIDE=FQ","FILING_STATUS=MR","Sort=A","Dates=H","DateFormat=P","Fill=—","Direction=H","UseDPDF=Y")</f>
        <v>282.62169999999998</v>
      </c>
      <c r="H12" s="14">
        <f>_xll.BDH("AMGN US Equity","LT_DEBT_TO_TOT_EQY","FQ1 2020","FQ1 2020","Currency=USD","Period=FQ","BEST_FPERIOD_OVERRIDE=FQ","FILING_STATUS=MR","Sort=A","Dates=H","DateFormat=P","Fill=—","Direction=H","UseDPDF=Y")</f>
        <v>316.3732</v>
      </c>
      <c r="I12" s="14">
        <f>_xll.BDH("AMGN US Equity","LT_DEBT_TO_TOT_EQY","FQ2 2020","FQ2 2020","Currency=USD","Period=FQ","BEST_FPERIOD_OVERRIDE=FQ","FILING_STATUS=MR","Sort=A","Dates=H","DateFormat=P","Fill=—","Direction=H","UseDPDF=Y")</f>
        <v>320.22699999999998</v>
      </c>
      <c r="J12" s="14">
        <f>_xll.BDH("AMGN US Equity","LT_DEBT_TO_TOT_EQY","FQ3 2020","FQ3 2020","Currency=USD","Period=FQ","BEST_FPERIOD_OVERRIDE=FQ","FILING_STATUS=MR","Sort=A","Dates=H","DateFormat=P","Fill=—","Direction=H","UseDPDF=Y")</f>
        <v>312.03579999999999</v>
      </c>
      <c r="K12" s="14">
        <f>_xll.BDH("AMGN US Equity","LT_DEBT_TO_TOT_EQY","FQ4 2020","FQ4 2020","Currency=USD","Period=FQ","BEST_FPERIOD_OVERRIDE=FQ","FILING_STATUS=MR","Sort=A","Dates=H","DateFormat=P","Fill=—","Direction=H","UseDPDF=Y")</f>
        <v>352.86430000000001</v>
      </c>
      <c r="L12" s="14">
        <f>_xll.BDH("AMGN US Equity","LT_DEBT_TO_TOT_EQY","FQ1 2021","FQ1 2021","Currency=USD","Period=FQ","BEST_FPERIOD_OVERRIDE=FQ","FILING_STATUS=MR","Sort=A","Dates=H","DateFormat=P","Fill=—","Direction=H","UseDPDF=Y")</f>
        <v>333.50119999999998</v>
      </c>
      <c r="M12" s="14">
        <f>_xll.BDH("AMGN US Equity","LT_DEBT_TO_TOT_EQY","FQ2 2021","FQ2 2021","Currency=USD","Period=FQ","BEST_FPERIOD_OVERRIDE=FQ","FILING_STATUS=MR","Sort=A","Dates=H","DateFormat=P","Fill=—","Direction=H","UseDPDF=Y")</f>
        <v>345.07089999999999</v>
      </c>
      <c r="N12" s="14">
        <f>_xll.BDH("AMGN US Equity","LT_DEBT_TO_TOT_EQY","FQ3 2021","FQ3 2021","Currency=USD","Period=FQ","BEST_FPERIOD_OVERRIDE=FQ","FILING_STATUS=MR","Sort=A","Dates=H","DateFormat=P","Fill=—","Direction=H","UseDPDF=Y")</f>
        <v>405.14789999999999</v>
      </c>
      <c r="O12" s="14">
        <f>_xll.BDH("AMGN US Equity","LT_DEBT_TO_TOT_EQY","FQ4 2021","FQ4 2021","Currency=USD","Period=FQ","BEST_FPERIOD_OVERRIDE=FQ","FILING_STATUS=MR","Sort=A","Dates=H","DateFormat=P","Fill=—","Direction=H","UseDPDF=Y")</f>
        <v>503.6866</v>
      </c>
      <c r="P12" s="14">
        <f>_xll.BDH("AMGN US Equity","LT_DEBT_TO_TOT_EQY","FQ1 2022","FQ1 2022","Currency=USD","Period=FQ","BEST_FPERIOD_OVERRIDE=FQ","FILING_STATUS=MR","Sort=A","Dates=H","DateFormat=P","Fill=—","Direction=H","UseDPDF=Y")</f>
        <v>3931.2226999999998</v>
      </c>
      <c r="Q12" s="14">
        <f>_xll.BDH("AMGN US Equity","LT_DEBT_TO_TOT_EQY","FQ2 2022","FQ2 2022","Currency=USD","Period=FQ","BEST_FPERIOD_OVERRIDE=FQ","FILING_STATUS=MR","Sort=A","Dates=H","DateFormat=P","Fill=—","Direction=H","UseDPDF=Y")</f>
        <v>1476.0232000000001</v>
      </c>
      <c r="R12" s="14">
        <f>_xll.BDH("AMGN US Equity","LT_DEBT_TO_TOT_EQY","FQ3 2022","FQ3 2022","Currency=USD","Period=FQ","BEST_FPERIOD_OVERRIDE=FQ","FILING_STATUS=MR","Sort=A","Dates=H","DateFormat=P","Fill=—","Direction=H","UseDPDF=Y")</f>
        <v>1017.2735</v>
      </c>
      <c r="S12" s="14">
        <f>_xll.BDH("AMGN US Equity","LT_DEBT_TO_TOT_EQY","FQ4 2022","FQ4 2022","Currency=USD","Period=FQ","BEST_FPERIOD_OVERRIDE=FQ","FILING_STATUS=MR","Sort=A","Dates=H","DateFormat=P","Fill=—","Direction=H","UseDPDF=Y")</f>
        <v>1035.0451</v>
      </c>
      <c r="T12" s="14">
        <f>_xll.BDH("AMGN US Equity","LT_DEBT_TO_TOT_EQY","FQ1 2023","FQ1 2023","Currency=USD","Period=FQ","BEST_FPERIOD_OVERRIDE=FQ","FILING_STATUS=MR","Sort=A","Dates=H","DateFormat=P","Fill=—","Direction=H","UseDPDF=Y")</f>
        <v>1136.1443999999999</v>
      </c>
      <c r="U12" s="14">
        <f>_xll.BDH("AMGN US Equity","LT_DEBT_TO_TOT_EQY","FQ2 2023","FQ2 2023","Currency=USD","Period=FQ","BEST_FPERIOD_OVERRIDE=FQ","FILING_STATUS=MR","Sort=A","Dates=H","DateFormat=P","Fill=—","Direction=H","UseDPDF=Y")</f>
        <v>875.63779999999997</v>
      </c>
      <c r="V12" s="14">
        <f>_xll.BDH("AMGN US Equity","LT_DEBT_TO_TOT_EQY","FQ3 2023","FQ3 2023","Currency=USD","Period=FQ","BEST_FPERIOD_OVERRIDE=FQ","FILING_STATUS=MR","Sort=A","Dates=H","DateFormat=P","Fill=—","Direction=H","UseDPDF=Y")</f>
        <v>771.15989999999999</v>
      </c>
      <c r="W12" s="14">
        <f>_xll.BDH("AMGN US Equity","LT_DEBT_TO_TOT_EQY","FQ4 2023","FQ4 2023","Currency=USD","Period=FQ","BEST_FPERIOD_OVERRIDE=FQ","FILING_STATUS=MR","Sort=A","Dates=H","DateFormat=P","Fill=—","Direction=H","UseDPDF=Y")</f>
        <v>1024.7272</v>
      </c>
      <c r="X12" s="14">
        <f>_xll.BDH("AMGN US Equity","LT_DEBT_TO_TOT_EQY","FQ1 2024","FQ1 2024","Currency=USD","Period=FQ","BEST_FPERIOD_OVERRIDE=FQ","FILING_STATUS=MR","Sort=A","Dates=H","DateFormat=P","Fill=—","Direction=H","UseDPDF=Y")</f>
        <v>1195.9577999999999</v>
      </c>
      <c r="Y12" s="14">
        <f>_xll.BDH("AMGN US Equity","LT_DEBT_TO_TOT_EQY","FQ2 2024","FQ2 2024","Currency=USD","Period=FQ","BEST_FPERIOD_OVERRIDE=FQ","FILING_STATUS=MR","Sort=A","Dates=H","DateFormat=P","Fill=—","Direction=H","UseDPDF=Y")</f>
        <v>964</v>
      </c>
      <c r="Z12" s="14">
        <f>_xll.BDH("AMGN US Equity","LT_DEBT_TO_TOT_EQY","FQ3 2024","FQ3 2024","Currency=USD","Period=FQ","BEST_FPERIOD_OVERRIDE=FQ","FILING_STATUS=MR","Sort=A","Dates=H","DateFormat=P","Fill=—","Direction=H","UseDPDF=Y")</f>
        <v>755.33410000000003</v>
      </c>
      <c r="AA12" s="14">
        <f>_xll.BDH("AMGN US Equity","LT_DEBT_TO_TOT_EQY","FQ4 2024","FQ4 2024","Currency=USD","Period=FQ","BEST_FPERIOD_OVERRIDE=FQ","FILING_STATUS=MR","Sort=A","Dates=H","DateFormat=P","Fill=—","Direction=H","UseDPDF=Y")</f>
        <v>973.66</v>
      </c>
    </row>
    <row r="13" spans="1:27" x14ac:dyDescent="0.25">
      <c r="A13" s="10" t="s">
        <v>1585</v>
      </c>
      <c r="B13" s="10" t="s">
        <v>1586</v>
      </c>
      <c r="C13" s="14">
        <f>_xll.BDH("AMGN US Equity","LT_DEBT_TO_TOT_CAP","FQ4 2018","FQ4 2018","Currency=USD","Period=FQ","BEST_FPERIOD_OVERRIDE=FQ","FILING_STATUS=MR","Sort=A","Dates=H","DateFormat=P","Fill=—","Direction=H","UseDPDF=Y")</f>
        <v>63.559399999999997</v>
      </c>
      <c r="D13" s="14">
        <f>_xll.BDH("AMGN US Equity","LT_DEBT_TO_TOT_CAP","FQ1 2019","FQ1 2019","Currency=USD","Period=FQ","BEST_FPERIOD_OVERRIDE=FQ","FILING_STATUS=MR","Sort=A","Dates=H","DateFormat=P","Fill=—","Direction=H","UseDPDF=Y")</f>
        <v>66.947100000000006</v>
      </c>
      <c r="E13" s="14">
        <f>_xll.BDH("AMGN US Equity","LT_DEBT_TO_TOT_CAP","FQ2 2019","FQ2 2019","Currency=USD","Period=FQ","BEST_FPERIOD_OVERRIDE=FQ","FILING_STATUS=MR","Sort=A","Dates=H","DateFormat=P","Fill=—","Direction=H","UseDPDF=Y")</f>
        <v>67.201999999999998</v>
      </c>
      <c r="F13" s="14">
        <f>_xll.BDH("AMGN US Equity","LT_DEBT_TO_TOT_CAP","FQ3 2019","FQ3 2019","Currency=USD","Period=FQ","BEST_FPERIOD_OVERRIDE=FQ","FILING_STATUS=MR","Sort=A","Dates=H","DateFormat=P","Fill=—","Direction=H","UseDPDF=Y")</f>
        <v>68.180300000000003</v>
      </c>
      <c r="G13" s="14">
        <f>_xll.BDH("AMGN US Equity","LT_DEBT_TO_TOT_CAP","FQ4 2019","FQ4 2019","Currency=USD","Period=FQ","BEST_FPERIOD_OVERRIDE=FQ","FILING_STATUS=MR","Sort=A","Dates=H","DateFormat=P","Fill=—","Direction=H","UseDPDF=Y")</f>
        <v>68.1678</v>
      </c>
      <c r="H13" s="14">
        <f>_xll.BDH("AMGN US Equity","LT_DEBT_TO_TOT_CAP","FQ1 2020","FQ1 2020","Currency=USD","Period=FQ","BEST_FPERIOD_OVERRIDE=FQ","FILING_STATUS=MR","Sort=A","Dates=H","DateFormat=P","Fill=—","Direction=H","UseDPDF=Y")</f>
        <v>72.6006</v>
      </c>
      <c r="I13" s="14">
        <f>_xll.BDH("AMGN US Equity","LT_DEBT_TO_TOT_CAP","FQ2 2020","FQ2 2020","Currency=USD","Period=FQ","BEST_FPERIOD_OVERRIDE=FQ","FILING_STATUS=MR","Sort=A","Dates=H","DateFormat=P","Fill=—","Direction=H","UseDPDF=Y")</f>
        <v>76.0488</v>
      </c>
      <c r="J13" s="14">
        <f>_xll.BDH("AMGN US Equity","LT_DEBT_TO_TOT_CAP","FQ3 2020","FQ3 2020","Currency=USD","Period=FQ","BEST_FPERIOD_OVERRIDE=FQ","FILING_STATUS=MR","Sort=A","Dates=H","DateFormat=P","Fill=—","Direction=H","UseDPDF=Y")</f>
        <v>75.578000000000003</v>
      </c>
      <c r="K13" s="14">
        <f>_xll.BDH("AMGN US Equity","LT_DEBT_TO_TOT_CAP","FQ4 2020","FQ4 2020","Currency=USD","Period=FQ","BEST_FPERIOD_OVERRIDE=FQ","FILING_STATUS=MR","Sort=A","Dates=H","DateFormat=P","Fill=—","Direction=H","UseDPDF=Y")</f>
        <v>77.474699999999999</v>
      </c>
      <c r="L13" s="14">
        <f>_xll.BDH("AMGN US Equity","LT_DEBT_TO_TOT_CAP","FQ1 2021","FQ1 2021","Currency=USD","Period=FQ","BEST_FPERIOD_OVERRIDE=FQ","FILING_STATUS=MR","Sort=A","Dates=H","DateFormat=P","Fill=—","Direction=H","UseDPDF=Y")</f>
        <v>74.083200000000005</v>
      </c>
      <c r="M13" s="14">
        <f>_xll.BDH("AMGN US Equity","LT_DEBT_TO_TOT_CAP","FQ2 2021","FQ2 2021","Currency=USD","Period=FQ","BEST_FPERIOD_OVERRIDE=FQ","FILING_STATUS=MR","Sort=A","Dates=H","DateFormat=P","Fill=—","Direction=H","UseDPDF=Y")</f>
        <v>69.360699999999994</v>
      </c>
      <c r="N13" s="14">
        <f>_xll.BDH("AMGN US Equity","LT_DEBT_TO_TOT_CAP","FQ3 2021","FQ3 2021","Currency=USD","Period=FQ","BEST_FPERIOD_OVERRIDE=FQ","FILING_STATUS=MR","Sort=A","Dates=H","DateFormat=P","Fill=—","Direction=H","UseDPDF=Y")</f>
        <v>72.694100000000006</v>
      </c>
      <c r="O13" s="14">
        <f>_xll.BDH("AMGN US Equity","LT_DEBT_TO_TOT_CAP","FQ4 2021","FQ4 2021","Currency=USD","Period=FQ","BEST_FPERIOD_OVERRIDE=FQ","FILING_STATUS=MR","Sort=A","Dates=H","DateFormat=P","Fill=—","Direction=H","UseDPDF=Y")</f>
        <v>82.959299999999999</v>
      </c>
      <c r="P13" s="14">
        <f>_xll.BDH("AMGN US Equity","LT_DEBT_TO_TOT_CAP","FQ1 2022","FQ1 2022","Currency=USD","Period=FQ","BEST_FPERIOD_OVERRIDE=FQ","FILING_STATUS=MR","Sort=A","Dates=H","DateFormat=P","Fill=—","Direction=H","UseDPDF=Y")</f>
        <v>95.340199999999996</v>
      </c>
      <c r="Q13" s="14">
        <f>_xll.BDH("AMGN US Equity","LT_DEBT_TO_TOT_CAP","FQ2 2022","FQ2 2022","Currency=USD","Period=FQ","BEST_FPERIOD_OVERRIDE=FQ","FILING_STATUS=MR","Sort=A","Dates=H","DateFormat=P","Fill=—","Direction=H","UseDPDF=Y")</f>
        <v>91.69</v>
      </c>
      <c r="R13" s="14">
        <f>_xll.BDH("AMGN US Equity","LT_DEBT_TO_TOT_CAP","FQ3 2022","FQ3 2022","Currency=USD","Period=FQ","BEST_FPERIOD_OVERRIDE=FQ","FILING_STATUS=MR","Sort=A","Dates=H","DateFormat=P","Fill=—","Direction=H","UseDPDF=Y")</f>
        <v>87.732799999999997</v>
      </c>
      <c r="S13" s="14">
        <f>_xll.BDH("AMGN US Equity","LT_DEBT_TO_TOT_CAP","FQ4 2022","FQ4 2022","Currency=USD","Period=FQ","BEST_FPERIOD_OVERRIDE=FQ","FILING_STATUS=MR","Sort=A","Dates=H","DateFormat=P","Fill=—","Direction=H","UseDPDF=Y")</f>
        <v>87.5107</v>
      </c>
      <c r="T13" s="14">
        <f>_xll.BDH("AMGN US Equity","LT_DEBT_TO_TOT_CAP","FQ1 2023","FQ1 2023","Currency=USD","Period=FQ","BEST_FPERIOD_OVERRIDE=FQ","FILING_STATUS=MR","Sort=A","Dates=H","DateFormat=P","Fill=—","Direction=H","UseDPDF=Y")</f>
        <v>90.765299999999996</v>
      </c>
      <c r="U13" s="14">
        <f>_xll.BDH("AMGN US Equity","LT_DEBT_TO_TOT_CAP","FQ2 2023","FQ2 2023","Currency=USD","Period=FQ","BEST_FPERIOD_OVERRIDE=FQ","FILING_STATUS=MR","Sort=A","Dates=H","DateFormat=P","Fill=—","Direction=H","UseDPDF=Y")</f>
        <v>86.903800000000004</v>
      </c>
      <c r="V13" s="14">
        <f>_xll.BDH("AMGN US Equity","LT_DEBT_TO_TOT_CAP","FQ3 2023","FQ3 2023","Currency=USD","Period=FQ","BEST_FPERIOD_OVERRIDE=FQ","FILING_STATUS=MR","Sort=A","Dates=H","DateFormat=P","Fill=—","Direction=H","UseDPDF=Y")</f>
        <v>86.665499999999994</v>
      </c>
      <c r="W13" s="14">
        <f>_xll.BDH("AMGN US Equity","LT_DEBT_TO_TOT_CAP","FQ4 2023","FQ4 2023","Currency=USD","Period=FQ","BEST_FPERIOD_OVERRIDE=FQ","FILING_STATUS=MR","Sort=A","Dates=H","DateFormat=P","Fill=—","Direction=H","UseDPDF=Y")</f>
        <v>89.122900000000001</v>
      </c>
      <c r="X13" s="14">
        <f>_xll.BDH("AMGN US Equity","LT_DEBT_TO_TOT_CAP","FQ1 2024","FQ1 2024","Currency=USD","Period=FQ","BEST_FPERIOD_OVERRIDE=FQ","FILING_STATUS=MR","Sort=A","Dates=H","DateFormat=P","Fill=—","Direction=H","UseDPDF=Y")</f>
        <v>86.992000000000004</v>
      </c>
      <c r="Y13" s="14">
        <f>_xll.BDH("AMGN US Equity","LT_DEBT_TO_TOT_CAP","FQ2 2024","FQ2 2024","Currency=USD","Period=FQ","BEST_FPERIOD_OVERRIDE=FQ","FILING_STATUS=MR","Sort=A","Dates=H","DateFormat=P","Fill=—","Direction=H","UseDPDF=Y")</f>
        <v>83.297399999999996</v>
      </c>
      <c r="Z13" s="14">
        <f>_xll.BDH("AMGN US Equity","LT_DEBT_TO_TOT_CAP","FQ3 2024","FQ3 2024","Currency=USD","Period=FQ","BEST_FPERIOD_OVERRIDE=FQ","FILING_STATUS=MR","Sort=A","Dates=H","DateFormat=P","Fill=—","Direction=H","UseDPDF=Y")</f>
        <v>83.701099999999997</v>
      </c>
      <c r="AA13" s="14">
        <f>_xll.BDH("AMGN US Equity","LT_DEBT_TO_TOT_CAP","FQ4 2024","FQ4 2024","Currency=USD","Period=FQ","BEST_FPERIOD_OVERRIDE=FQ","FILING_STATUS=MR","Sort=A","Dates=H","DateFormat=P","Fill=—","Direction=H","UseDPDF=Y")</f>
        <v>85.718100000000007</v>
      </c>
    </row>
    <row r="14" spans="1:27" x14ac:dyDescent="0.25">
      <c r="A14" s="10" t="s">
        <v>1587</v>
      </c>
      <c r="B14" s="10" t="s">
        <v>1588</v>
      </c>
      <c r="C14" s="14">
        <f>_xll.BDH("AMGN US Equity","LT_DEBT_TO_TOT_ASSET","FQ4 2018","FQ4 2018","Currency=USD","Period=FQ","BEST_FPERIOD_OVERRIDE=FQ","FILING_STATUS=MR","Sort=A","Dates=H","DateFormat=P","Fill=—","Direction=H","UseDPDF=Y")</f>
        <v>44.432099999999998</v>
      </c>
      <c r="D14" s="14">
        <f>_xll.BDH("AMGN US Equity","LT_DEBT_TO_TOT_ASSET","FQ1 2019","FQ1 2019","Currency=USD","Period=FQ","BEST_FPERIOD_OVERRIDE=FQ","FILING_STATUS=MR","Sort=A","Dates=H","DateFormat=P","Fill=—","Direction=H","UseDPDF=Y")</f>
        <v>46.388100000000001</v>
      </c>
      <c r="E14" s="14">
        <f>_xll.BDH("AMGN US Equity","LT_DEBT_TO_TOT_ASSET","FQ2 2019","FQ2 2019","Currency=USD","Period=FQ","BEST_FPERIOD_OVERRIDE=FQ","FILING_STATUS=MR","Sort=A","Dates=H","DateFormat=P","Fill=—","Direction=H","UseDPDF=Y")</f>
        <v>47.430700000000002</v>
      </c>
      <c r="F14" s="14">
        <f>_xll.BDH("AMGN US Equity","LT_DEBT_TO_TOT_ASSET","FQ3 2019","FQ3 2019","Currency=USD","Period=FQ","BEST_FPERIOD_OVERRIDE=FQ","FILING_STATUS=MR","Sort=A","Dates=H","DateFormat=P","Fill=—","Direction=H","UseDPDF=Y")</f>
        <v>47.187399999999997</v>
      </c>
      <c r="G14" s="14">
        <f>_xll.BDH("AMGN US Equity","LT_DEBT_TO_TOT_ASSET","FQ4 2019","FQ4 2019","Currency=USD","Period=FQ","BEST_FPERIOD_OVERRIDE=FQ","FILING_STATUS=MR","Sort=A","Dates=H","DateFormat=P","Fill=—","Direction=H","UseDPDF=Y")</f>
        <v>45.786900000000003</v>
      </c>
      <c r="H14" s="14">
        <f>_xll.BDH("AMGN US Equity","LT_DEBT_TO_TOT_ASSET","FQ1 2020","FQ1 2020","Currency=USD","Period=FQ","BEST_FPERIOD_OVERRIDE=FQ","FILING_STATUS=MR","Sort=A","Dates=H","DateFormat=P","Fill=—","Direction=H","UseDPDF=Y")</f>
        <v>48.659799999999997</v>
      </c>
      <c r="I14" s="14">
        <f>_xll.BDH("AMGN US Equity","LT_DEBT_TO_TOT_ASSET","FQ2 2020","FQ2 2020","Currency=USD","Period=FQ","BEST_FPERIOD_OVERRIDE=FQ","FILING_STATUS=MR","Sort=A","Dates=H","DateFormat=P","Fill=—","Direction=H","UseDPDF=Y")</f>
        <v>52.503399999999999</v>
      </c>
      <c r="J14" s="14">
        <f>_xll.BDH("AMGN US Equity","LT_DEBT_TO_TOT_ASSET","FQ3 2020","FQ3 2020","Currency=USD","Period=FQ","BEST_FPERIOD_OVERRIDE=FQ","FILING_STATUS=MR","Sort=A","Dates=H","DateFormat=P","Fill=—","Direction=H","UseDPDF=Y")</f>
        <v>52.904699999999998</v>
      </c>
      <c r="K14" s="14">
        <f>_xll.BDH("AMGN US Equity","LT_DEBT_TO_TOT_ASSET","FQ4 2020","FQ4 2020","Currency=USD","Period=FQ","BEST_FPERIOD_OVERRIDE=FQ","FILING_STATUS=MR","Sort=A","Dates=H","DateFormat=P","Fill=—","Direction=H","UseDPDF=Y")</f>
        <v>52.743499999999997</v>
      </c>
      <c r="L14" s="14">
        <f>_xll.BDH("AMGN US Equity","LT_DEBT_TO_TOT_ASSET","FQ1 2021","FQ1 2021","Currency=USD","Period=FQ","BEST_FPERIOD_OVERRIDE=FQ","FILING_STATUS=MR","Sort=A","Dates=H","DateFormat=P","Fill=—","Direction=H","UseDPDF=Y")</f>
        <v>49.775300000000001</v>
      </c>
      <c r="M14" s="14">
        <f>_xll.BDH("AMGN US Equity","LT_DEBT_TO_TOT_ASSET","FQ2 2021","FQ2 2021","Currency=USD","Period=FQ","BEST_FPERIOD_OVERRIDE=FQ","FILING_STATUS=MR","Sort=A","Dates=H","DateFormat=P","Fill=—","Direction=H","UseDPDF=Y")</f>
        <v>47.610100000000003</v>
      </c>
      <c r="N14" s="14">
        <f>_xll.BDH("AMGN US Equity","LT_DEBT_TO_TOT_ASSET","FQ3 2021","FQ3 2021","Currency=USD","Period=FQ","BEST_FPERIOD_OVERRIDE=FQ","FILING_STATUS=MR","Sort=A","Dates=H","DateFormat=P","Fill=—","Direction=H","UseDPDF=Y")</f>
        <v>51.2224</v>
      </c>
      <c r="O14" s="14">
        <f>_xll.BDH("AMGN US Equity","LT_DEBT_TO_TOT_ASSET","FQ4 2021","FQ4 2021","Currency=USD","Period=FQ","BEST_FPERIOD_OVERRIDE=FQ","FILING_STATUS=MR","Sort=A","Dates=H","DateFormat=P","Fill=—","Direction=H","UseDPDF=Y")</f>
        <v>55.173699999999997</v>
      </c>
      <c r="P14" s="14">
        <f>_xll.BDH("AMGN US Equity","LT_DEBT_TO_TOT_ASSET","FQ1 2022","FQ1 2022","Currency=USD","Period=FQ","BEST_FPERIOD_OVERRIDE=FQ","FILING_STATUS=MR","Sort=A","Dates=H","DateFormat=P","Fill=—","Direction=H","UseDPDF=Y")</f>
        <v>60.831800000000001</v>
      </c>
      <c r="Q14" s="14">
        <f>_xll.BDH("AMGN US Equity","LT_DEBT_TO_TOT_ASSET","FQ2 2022","FQ2 2022","Currency=USD","Period=FQ","BEST_FPERIOD_OVERRIDE=FQ","FILING_STATUS=MR","Sort=A","Dates=H","DateFormat=P","Fill=—","Direction=H","UseDPDF=Y")</f>
        <v>60.216900000000003</v>
      </c>
      <c r="R14" s="14">
        <f>_xll.BDH("AMGN US Equity","LT_DEBT_TO_TOT_ASSET","FQ3 2022","FQ3 2022","Currency=USD","Period=FQ","BEST_FPERIOD_OVERRIDE=FQ","FILING_STATUS=MR","Sort=A","Dates=H","DateFormat=P","Fill=—","Direction=H","UseDPDF=Y")</f>
        <v>58.337499999999999</v>
      </c>
      <c r="S14" s="14">
        <f>_xll.BDH("AMGN US Equity","LT_DEBT_TO_TOT_ASSET","FQ4 2022","FQ4 2022","Currency=USD","Period=FQ","BEST_FPERIOD_OVERRIDE=FQ","FILING_STATUS=MR","Sort=A","Dates=H","DateFormat=P","Fill=—","Direction=H","UseDPDF=Y")</f>
        <v>58.188600000000001</v>
      </c>
      <c r="T14" s="14">
        <f>_xll.BDH("AMGN US Equity","LT_DEBT_TO_TOT_ASSET","FQ1 2023","FQ1 2023","Currency=USD","Period=FQ","BEST_FPERIOD_OVERRIDE=FQ","FILING_STATUS=MR","Sort=A","Dates=H","DateFormat=P","Fill=—","Direction=H","UseDPDF=Y")</f>
        <v>68.486199999999997</v>
      </c>
      <c r="U14" s="14">
        <f>_xll.BDH("AMGN US Equity","LT_DEBT_TO_TOT_ASSET","FQ2 2023","FQ2 2023","Currency=USD","Period=FQ","BEST_FPERIOD_OVERRIDE=FQ","FILING_STATUS=MR","Sort=A","Dates=H","DateFormat=P","Fill=—","Direction=H","UseDPDF=Y")</f>
        <v>65.777799999999999</v>
      </c>
      <c r="V14" s="14">
        <f>_xll.BDH("AMGN US Equity","LT_DEBT_TO_TOT_ASSET","FQ3 2023","FQ3 2023","Currency=USD","Period=FQ","BEST_FPERIOD_OVERRIDE=FQ","FILING_STATUS=MR","Sort=A","Dates=H","DateFormat=P","Fill=—","Direction=H","UseDPDF=Y")</f>
        <v>65.213099999999997</v>
      </c>
      <c r="W14" s="14">
        <f>_xll.BDH("AMGN US Equity","LT_DEBT_TO_TOT_ASSET","FQ4 2023","FQ4 2023","Currency=USD","Period=FQ","BEST_FPERIOD_OVERRIDE=FQ","FILING_STATUS=MR","Sort=A","Dates=H","DateFormat=P","Fill=—","Direction=H","UseDPDF=Y")</f>
        <v>65.731700000000004</v>
      </c>
      <c r="X14" s="14">
        <f>_xll.BDH("AMGN US Equity","LT_DEBT_TO_TOT_ASSET","FQ1 2024","FQ1 2024","Currency=USD","Period=FQ","BEST_FPERIOD_OVERRIDE=FQ","FILING_STATUS=MR","Sort=A","Dates=H","DateFormat=P","Fill=—","Direction=H","UseDPDF=Y")</f>
        <v>64.595600000000005</v>
      </c>
      <c r="Y14" s="14">
        <f>_xll.BDH("AMGN US Equity","LT_DEBT_TO_TOT_ASSET","FQ2 2024","FQ2 2024","Currency=USD","Period=FQ","BEST_FPERIOD_OVERRIDE=FQ","FILING_STATUS=MR","Sort=A","Dates=H","DateFormat=P","Fill=—","Direction=H","UseDPDF=Y")</f>
        <v>62.830100000000002</v>
      </c>
      <c r="Z14" s="14">
        <f>_xll.BDH("AMGN US Equity","LT_DEBT_TO_TOT_ASSET","FQ3 2024","FQ3 2024","Currency=USD","Period=FQ","BEST_FPERIOD_OVERRIDE=FQ","FILING_STATUS=MR","Sort=A","Dates=H","DateFormat=P","Fill=—","Direction=H","UseDPDF=Y")</f>
        <v>62.557400000000001</v>
      </c>
      <c r="AA14" s="14">
        <f>_xll.BDH("AMGN US Equity","LT_DEBT_TO_TOT_ASSET","FQ4 2024","FQ4 2024","Currency=USD","Period=FQ","BEST_FPERIOD_OVERRIDE=FQ","FILING_STATUS=MR","Sort=A","Dates=H","DateFormat=P","Fill=—","Direction=H","UseDPDF=Y")</f>
        <v>62.306899999999999</v>
      </c>
    </row>
    <row r="15" spans="1:27" x14ac:dyDescent="0.25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5">
      <c r="A16" s="10" t="s">
        <v>1589</v>
      </c>
      <c r="B16" s="10" t="s">
        <v>1590</v>
      </c>
      <c r="C16" s="14">
        <f>_xll.BDH("AMGN US Equity","TOT_DEBT_TO_TOT_EQY","FQ4 2018","FQ4 2018","Currency=USD","Period=FQ","BEST_FPERIOD_OVERRIDE=FQ","FILING_STATUS=MR","Sort=A","Dates=H","DateFormat=P","Fill=—","Direction=H","UseDPDF=Y")</f>
        <v>271.43200000000002</v>
      </c>
      <c r="D16" s="14">
        <f>_xll.BDH("AMGN US Equity","TOT_DEBT_TO_TOT_EQY","FQ1 2019","FQ1 2019","Currency=USD","Period=FQ","BEST_FPERIOD_OVERRIDE=FQ","FILING_STATUS=MR","Sort=A","Dates=H","DateFormat=P","Fill=—","Direction=H","UseDPDF=Y")</f>
        <v>309.37959999999998</v>
      </c>
      <c r="E16" s="14">
        <f>_xll.BDH("AMGN US Equity","TOT_DEBT_TO_TOT_EQY","FQ2 2019","FQ2 2019","Currency=USD","Period=FQ","BEST_FPERIOD_OVERRIDE=FQ","FILING_STATUS=MR","Sort=A","Dates=H","DateFormat=P","Fill=—","Direction=H","UseDPDF=Y")</f>
        <v>288.22489999999999</v>
      </c>
      <c r="F16" s="14">
        <f>_xll.BDH("AMGN US Equity","TOT_DEBT_TO_TOT_EQY","FQ3 2019","FQ3 2019","Currency=USD","Period=FQ","BEST_FPERIOD_OVERRIDE=FQ","FILING_STATUS=MR","Sort=A","Dates=H","DateFormat=P","Fill=—","Direction=H","UseDPDF=Y")</f>
        <v>277.08429999999998</v>
      </c>
      <c r="G16" s="14">
        <f>_xll.BDH("AMGN US Equity","TOT_DEBT_TO_TOT_EQY","FQ4 2019","FQ4 2019","Currency=USD","Period=FQ","BEST_FPERIOD_OVERRIDE=FQ","FILING_STATUS=MR","Sort=A","Dates=H","DateFormat=P","Fill=—","Direction=H","UseDPDF=Y")</f>
        <v>314.59730000000002</v>
      </c>
      <c r="H16" s="14">
        <f>_xll.BDH("AMGN US Equity","TOT_DEBT_TO_TOT_EQY","FQ1 2020","FQ1 2020","Currency=USD","Period=FQ","BEST_FPERIOD_OVERRIDE=FQ","FILING_STATUS=MR","Sort=A","Dates=H","DateFormat=P","Fill=—","Direction=H","UseDPDF=Y")</f>
        <v>335.77229999999997</v>
      </c>
      <c r="I16" s="14">
        <f>_xll.BDH("AMGN US Equity","TOT_DEBT_TO_TOT_EQY","FQ2 2020","FQ2 2020","Currency=USD","Period=FQ","BEST_FPERIOD_OVERRIDE=FQ","FILING_STATUS=MR","Sort=A","Dates=H","DateFormat=P","Fill=—","Direction=H","UseDPDF=Y")</f>
        <v>321.08080000000001</v>
      </c>
      <c r="J16" s="14">
        <f>_xll.BDH("AMGN US Equity","TOT_DEBT_TO_TOT_EQY","FQ3 2020","FQ3 2020","Currency=USD","Period=FQ","BEST_FPERIOD_OVERRIDE=FQ","FILING_STATUS=MR","Sort=A","Dates=H","DateFormat=P","Fill=—","Direction=H","UseDPDF=Y")</f>
        <v>312.86610000000002</v>
      </c>
      <c r="K16" s="14">
        <f>_xll.BDH("AMGN US Equity","TOT_DEBT_TO_TOT_EQY","FQ4 2020","FQ4 2020","Currency=USD","Period=FQ","BEST_FPERIOD_OVERRIDE=FQ","FILING_STATUS=MR","Sort=A","Dates=H","DateFormat=P","Fill=—","Direction=H","UseDPDF=Y")</f>
        <v>355.45749999999998</v>
      </c>
      <c r="L16" s="14">
        <f>_xll.BDH("AMGN US Equity","TOT_DEBT_TO_TOT_EQY","FQ1 2021","FQ1 2021","Currency=USD","Period=FQ","BEST_FPERIOD_OVERRIDE=FQ","FILING_STATUS=MR","Sort=A","Dates=H","DateFormat=P","Fill=—","Direction=H","UseDPDF=Y")</f>
        <v>350.17140000000001</v>
      </c>
      <c r="M16" s="14">
        <f>_xll.BDH("AMGN US Equity","TOT_DEBT_TO_TOT_EQY","FQ2 2021","FQ2 2021","Currency=USD","Period=FQ","BEST_FPERIOD_OVERRIDE=FQ","FILING_STATUS=MR","Sort=A","Dates=H","DateFormat=P","Fill=—","Direction=H","UseDPDF=Y")</f>
        <v>397.50209999999998</v>
      </c>
      <c r="N16" s="14">
        <f>_xll.BDH("AMGN US Equity","TOT_DEBT_TO_TOT_EQY","FQ3 2021","FQ3 2021","Currency=USD","Period=FQ","BEST_FPERIOD_OVERRIDE=FQ","FILING_STATUS=MR","Sort=A","Dates=H","DateFormat=P","Fill=—","Direction=H","UseDPDF=Y")</f>
        <v>457.33240000000001</v>
      </c>
      <c r="O16" s="14">
        <f>_xll.BDH("AMGN US Equity","TOT_DEBT_TO_TOT_EQY","FQ4 2021","FQ4 2021","Currency=USD","Period=FQ","BEST_FPERIOD_OVERRIDE=FQ","FILING_STATUS=MR","Sort=A","Dates=H","DateFormat=P","Fill=—","Direction=H","UseDPDF=Y")</f>
        <v>507.14929999999998</v>
      </c>
      <c r="P16" s="14">
        <f>_xll.BDH("AMGN US Equity","TOT_DEBT_TO_TOT_EQY","FQ1 2022","FQ1 2022","Currency=USD","Period=FQ","BEST_FPERIOD_OVERRIDE=FQ","FILING_STATUS=MR","Sort=A","Dates=H","DateFormat=P","Fill=—","Direction=H","UseDPDF=Y")</f>
        <v>4023.3624</v>
      </c>
      <c r="Q16" s="14">
        <f>_xll.BDH("AMGN US Equity","TOT_DEBT_TO_TOT_EQY","FQ2 2022","FQ2 2022","Currency=USD","Period=FQ","BEST_FPERIOD_OVERRIDE=FQ","FILING_STATUS=MR","Sort=A","Dates=H","DateFormat=P","Fill=—","Direction=H","UseDPDF=Y")</f>
        <v>1509.7973999999999</v>
      </c>
      <c r="R16" s="14">
        <f>_xll.BDH("AMGN US Equity","TOT_DEBT_TO_TOT_EQY","FQ3 2022","FQ3 2022","Currency=USD","Period=FQ","BEST_FPERIOD_OVERRIDE=FQ","FILING_STATUS=MR","Sort=A","Dates=H","DateFormat=P","Fill=—","Direction=H","UseDPDF=Y")</f>
        <v>1059.5127</v>
      </c>
      <c r="S16" s="14">
        <f>_xll.BDH("AMGN US Equity","TOT_DEBT_TO_TOT_EQY","FQ4 2022","FQ4 2022","Currency=USD","Period=FQ","BEST_FPERIOD_OVERRIDE=FQ","FILING_STATUS=MR","Sort=A","Dates=H","DateFormat=P","Fill=—","Direction=H","UseDPDF=Y")</f>
        <v>1082.7643</v>
      </c>
      <c r="T16" s="14">
        <f>_xll.BDH("AMGN US Equity","TOT_DEBT_TO_TOT_EQY","FQ1 2023","FQ1 2023","Currency=USD","Period=FQ","BEST_FPERIOD_OVERRIDE=FQ","FILING_STATUS=MR","Sort=A","Dates=H","DateFormat=P","Fill=—","Direction=H","UseDPDF=Y")</f>
        <v>1151.739</v>
      </c>
      <c r="U16" s="14">
        <f>_xll.BDH("AMGN US Equity","TOT_DEBT_TO_TOT_EQY","FQ2 2023","FQ2 2023","Currency=USD","Period=FQ","BEST_FPERIOD_OVERRIDE=FQ","FILING_STATUS=MR","Sort=A","Dates=H","DateFormat=P","Fill=—","Direction=H","UseDPDF=Y")</f>
        <v>907.59479999999996</v>
      </c>
      <c r="V16" s="14">
        <f>_xll.BDH("AMGN US Equity","TOT_DEBT_TO_TOT_EQY","FQ3 2023","FQ3 2023","Currency=USD","Period=FQ","BEST_FPERIOD_OVERRIDE=FQ","FILING_STATUS=MR","Sort=A","Dates=H","DateFormat=P","Fill=—","Direction=H","UseDPDF=Y")</f>
        <v>789.81190000000004</v>
      </c>
      <c r="W16" s="14">
        <f>_xll.BDH("AMGN US Equity","TOT_DEBT_TO_TOT_EQY","FQ4 2023","FQ4 2023","Currency=USD","Period=FQ","BEST_FPERIOD_OVERRIDE=FQ","FILING_STATUS=MR","Sort=A","Dates=H","DateFormat=P","Fill=—","Direction=H","UseDPDF=Y")</f>
        <v>1049.7914000000001</v>
      </c>
      <c r="X16" s="14">
        <f>_xll.BDH("AMGN US Equity","TOT_DEBT_TO_TOT_EQY","FQ1 2024","FQ1 2024","Currency=USD","Period=FQ","BEST_FPERIOD_OVERRIDE=FQ","FILING_STATUS=MR","Sort=A","Dates=H","DateFormat=P","Fill=—","Direction=H","UseDPDF=Y")</f>
        <v>1274.7909</v>
      </c>
      <c r="Y16" s="14">
        <f>_xll.BDH("AMGN US Equity","TOT_DEBT_TO_TOT_EQY","FQ2 2024","FQ2 2024","Currency=USD","Period=FQ","BEST_FPERIOD_OVERRIDE=FQ","FILING_STATUS=MR","Sort=A","Dates=H","DateFormat=P","Fill=—","Direction=H","UseDPDF=Y")</f>
        <v>1057.2996000000001</v>
      </c>
      <c r="Z16" s="14">
        <f>_xll.BDH("AMGN US Equity","TOT_DEBT_TO_TOT_EQY","FQ3 2024","FQ3 2024","Currency=USD","Period=FQ","BEST_FPERIOD_OVERRIDE=FQ","FILING_STATUS=MR","Sort=A","Dates=H","DateFormat=P","Fill=—","Direction=H","UseDPDF=Y")</f>
        <v>802.41800000000001</v>
      </c>
      <c r="AA16" s="14">
        <f>_xll.BDH("AMGN US Equity","TOT_DEBT_TO_TOT_EQY","FQ4 2024","FQ4 2024","Currency=USD","Period=FQ","BEST_FPERIOD_OVERRIDE=FQ","FILING_STATUS=MR","Sort=A","Dates=H","DateFormat=P","Fill=—","Direction=H","UseDPDF=Y")</f>
        <v>1035.8857</v>
      </c>
    </row>
    <row r="17" spans="1:27" x14ac:dyDescent="0.25">
      <c r="A17" s="10" t="s">
        <v>1591</v>
      </c>
      <c r="B17" s="10" t="s">
        <v>175</v>
      </c>
      <c r="C17" s="14">
        <f>_xll.BDH("AMGN US Equity","TOT_DEBT_TO_TOT_CAP","FQ4 2018","FQ4 2018","Currency=USD","Period=FQ","BEST_FPERIOD_OVERRIDE=FQ","FILING_STATUS=MR","Sort=A","Dates=H","DateFormat=P","Fill=—","Direction=H","UseDPDF=Y")</f>
        <v>73.077200000000005</v>
      </c>
      <c r="D17" s="14">
        <f>_xll.BDH("AMGN US Equity","TOT_DEBT_TO_TOT_CAP","FQ1 2019","FQ1 2019","Currency=USD","Period=FQ","BEST_FPERIOD_OVERRIDE=FQ","FILING_STATUS=MR","Sort=A","Dates=H","DateFormat=P","Fill=—","Direction=H","UseDPDF=Y")</f>
        <v>75.572800000000001</v>
      </c>
      <c r="E17" s="14">
        <f>_xll.BDH("AMGN US Equity","TOT_DEBT_TO_TOT_CAP","FQ2 2019","FQ2 2019","Currency=USD","Period=FQ","BEST_FPERIOD_OVERRIDE=FQ","FILING_STATUS=MR","Sort=A","Dates=H","DateFormat=P","Fill=—","Direction=H","UseDPDF=Y")</f>
        <v>74.241699999999994</v>
      </c>
      <c r="F17" s="14">
        <f>_xll.BDH("AMGN US Equity","TOT_DEBT_TO_TOT_CAP","FQ3 2019","FQ3 2019","Currency=USD","Period=FQ","BEST_FPERIOD_OVERRIDE=FQ","FILING_STATUS=MR","Sort=A","Dates=H","DateFormat=P","Fill=—","Direction=H","UseDPDF=Y")</f>
        <v>73.480699999999999</v>
      </c>
      <c r="G17" s="14">
        <f>_xll.BDH("AMGN US Equity","TOT_DEBT_TO_TOT_CAP","FQ4 2019","FQ4 2019","Currency=USD","Period=FQ","BEST_FPERIOD_OVERRIDE=FQ","FILING_STATUS=MR","Sort=A","Dates=H","DateFormat=P","Fill=—","Direction=H","UseDPDF=Y")</f>
        <v>75.880200000000002</v>
      </c>
      <c r="H17" s="14">
        <f>_xll.BDH("AMGN US Equity","TOT_DEBT_TO_TOT_CAP","FQ1 2020","FQ1 2020","Currency=USD","Period=FQ","BEST_FPERIOD_OVERRIDE=FQ","FILING_STATUS=MR","Sort=A","Dates=H","DateFormat=P","Fill=—","Direction=H","UseDPDF=Y")</f>
        <v>77.052199999999999</v>
      </c>
      <c r="I17" s="14">
        <f>_xll.BDH("AMGN US Equity","TOT_DEBT_TO_TOT_CAP","FQ2 2020","FQ2 2020","Currency=USD","Period=FQ","BEST_FPERIOD_OVERRIDE=FQ","FILING_STATUS=MR","Sort=A","Dates=H","DateFormat=P","Fill=—","Direction=H","UseDPDF=Y")</f>
        <v>76.251599999999996</v>
      </c>
      <c r="J17" s="14">
        <f>_xll.BDH("AMGN US Equity","TOT_DEBT_TO_TOT_CAP","FQ3 2020","FQ3 2020","Currency=USD","Period=FQ","BEST_FPERIOD_OVERRIDE=FQ","FILING_STATUS=MR","Sort=A","Dates=H","DateFormat=P","Fill=—","Direction=H","UseDPDF=Y")</f>
        <v>75.7791</v>
      </c>
      <c r="K17" s="14">
        <f>_xll.BDH("AMGN US Equity","TOT_DEBT_TO_TOT_CAP","FQ4 2020","FQ4 2020","Currency=USD","Period=FQ","BEST_FPERIOD_OVERRIDE=FQ","FILING_STATUS=MR","Sort=A","Dates=H","DateFormat=P","Fill=—","Direction=H","UseDPDF=Y")</f>
        <v>78.0441</v>
      </c>
      <c r="L17" s="14">
        <f>_xll.BDH("AMGN US Equity","TOT_DEBT_TO_TOT_CAP","FQ1 2021","FQ1 2021","Currency=USD","Period=FQ","BEST_FPERIOD_OVERRIDE=FQ","FILING_STATUS=MR","Sort=A","Dates=H","DateFormat=P","Fill=—","Direction=H","UseDPDF=Y")</f>
        <v>77.786199999999994</v>
      </c>
      <c r="M17" s="14">
        <f>_xll.BDH("AMGN US Equity","TOT_DEBT_TO_TOT_CAP","FQ2 2021","FQ2 2021","Currency=USD","Period=FQ","BEST_FPERIOD_OVERRIDE=FQ","FILING_STATUS=MR","Sort=A","Dates=H","DateFormat=P","Fill=—","Direction=H","UseDPDF=Y")</f>
        <v>79.899600000000007</v>
      </c>
      <c r="N17" s="14">
        <f>_xll.BDH("AMGN US Equity","TOT_DEBT_TO_TOT_CAP","FQ3 2021","FQ3 2021","Currency=USD","Period=FQ","BEST_FPERIOD_OVERRIDE=FQ","FILING_STATUS=MR","Sort=A","Dates=H","DateFormat=P","Fill=—","Direction=H","UseDPDF=Y")</f>
        <v>82.057400000000001</v>
      </c>
      <c r="O17" s="14">
        <f>_xll.BDH("AMGN US Equity","TOT_DEBT_TO_TOT_CAP","FQ4 2021","FQ4 2021","Currency=USD","Period=FQ","BEST_FPERIOD_OVERRIDE=FQ","FILING_STATUS=MR","Sort=A","Dates=H","DateFormat=P","Fill=—","Direction=H","UseDPDF=Y")</f>
        <v>83.529600000000002</v>
      </c>
      <c r="P17" s="14">
        <f>_xll.BDH("AMGN US Equity","TOT_DEBT_TO_TOT_CAP","FQ1 2022","FQ1 2022","Currency=USD","Period=FQ","BEST_FPERIOD_OVERRIDE=FQ","FILING_STATUS=MR","Sort=A","Dates=H","DateFormat=P","Fill=—","Direction=H","UseDPDF=Y")</f>
        <v>97.574799999999996</v>
      </c>
      <c r="Q17" s="14">
        <f>_xll.BDH("AMGN US Equity","TOT_DEBT_TO_TOT_CAP","FQ2 2022","FQ2 2022","Currency=USD","Period=FQ","BEST_FPERIOD_OVERRIDE=FQ","FILING_STATUS=MR","Sort=A","Dates=H","DateFormat=P","Fill=—","Direction=H","UseDPDF=Y")</f>
        <v>93.787999999999997</v>
      </c>
      <c r="R17" s="14">
        <f>_xll.BDH("AMGN US Equity","TOT_DEBT_TO_TOT_CAP","FQ3 2022","FQ3 2022","Currency=USD","Period=FQ","BEST_FPERIOD_OVERRIDE=FQ","FILING_STATUS=MR","Sort=A","Dates=H","DateFormat=P","Fill=—","Direction=H","UseDPDF=Y")</f>
        <v>91.375699999999995</v>
      </c>
      <c r="S17" s="14">
        <f>_xll.BDH("AMGN US Equity","TOT_DEBT_TO_TOT_CAP","FQ4 2022","FQ4 2022","Currency=USD","Period=FQ","BEST_FPERIOD_OVERRIDE=FQ","FILING_STATUS=MR","Sort=A","Dates=H","DateFormat=P","Fill=—","Direction=H","UseDPDF=Y")</f>
        <v>91.545199999999994</v>
      </c>
      <c r="T17" s="14">
        <f>_xll.BDH("AMGN US Equity","TOT_DEBT_TO_TOT_CAP","FQ1 2023","FQ1 2023","Currency=USD","Period=FQ","BEST_FPERIOD_OVERRIDE=FQ","FILING_STATUS=MR","Sort=A","Dates=H","DateFormat=P","Fill=—","Direction=H","UseDPDF=Y")</f>
        <v>92.011099999999999</v>
      </c>
      <c r="U17" s="14">
        <f>_xll.BDH("AMGN US Equity","TOT_DEBT_TO_TOT_CAP","FQ2 2023","FQ2 2023","Currency=USD","Period=FQ","BEST_FPERIOD_OVERRIDE=FQ","FILING_STATUS=MR","Sort=A","Dates=H","DateFormat=P","Fill=—","Direction=H","UseDPDF=Y")</f>
        <v>90.075400000000002</v>
      </c>
      <c r="V17" s="14">
        <f>_xll.BDH("AMGN US Equity","TOT_DEBT_TO_TOT_CAP","FQ3 2023","FQ3 2023","Currency=USD","Period=FQ","BEST_FPERIOD_OVERRIDE=FQ","FILING_STATUS=MR","Sort=A","Dates=H","DateFormat=P","Fill=—","Direction=H","UseDPDF=Y")</f>
        <v>88.761700000000005</v>
      </c>
      <c r="W17" s="14">
        <f>_xll.BDH("AMGN US Equity","TOT_DEBT_TO_TOT_CAP","FQ4 2023","FQ4 2023","Currency=USD","Period=FQ","BEST_FPERIOD_OVERRIDE=FQ","FILING_STATUS=MR","Sort=A","Dates=H","DateFormat=P","Fill=—","Direction=H","UseDPDF=Y")</f>
        <v>91.302800000000005</v>
      </c>
      <c r="X17" s="14">
        <f>_xll.BDH("AMGN US Equity","TOT_DEBT_TO_TOT_CAP","FQ1 2024","FQ1 2024","Currency=USD","Period=FQ","BEST_FPERIOD_OVERRIDE=FQ","FILING_STATUS=MR","Sort=A","Dates=H","DateFormat=P","Fill=—","Direction=H","UseDPDF=Y")</f>
        <v>92.726200000000006</v>
      </c>
      <c r="Y17" s="14">
        <f>_xll.BDH("AMGN US Equity","TOT_DEBT_TO_TOT_CAP","FQ2 2024","FQ2 2024","Currency=USD","Period=FQ","BEST_FPERIOD_OVERRIDE=FQ","FILING_STATUS=MR","Sort=A","Dates=H","DateFormat=P","Fill=—","Direction=H","UseDPDF=Y")</f>
        <v>91.359200000000001</v>
      </c>
      <c r="Z17" s="14">
        <f>_xll.BDH("AMGN US Equity","TOT_DEBT_TO_TOT_CAP","FQ3 2024","FQ3 2024","Currency=USD","Period=FQ","BEST_FPERIOD_OVERRIDE=FQ","FILING_STATUS=MR","Sort=A","Dates=H","DateFormat=P","Fill=—","Direction=H","UseDPDF=Y")</f>
        <v>88.918700000000001</v>
      </c>
      <c r="AA17" s="14">
        <f>_xll.BDH("AMGN US Equity","TOT_DEBT_TO_TOT_CAP","FQ4 2024","FQ4 2024","Currency=USD","Period=FQ","BEST_FPERIOD_OVERRIDE=FQ","FILING_STATUS=MR","Sort=A","Dates=H","DateFormat=P","Fill=—","Direction=H","UseDPDF=Y")</f>
        <v>91.196299999999994</v>
      </c>
    </row>
    <row r="18" spans="1:27" x14ac:dyDescent="0.25">
      <c r="A18" s="10" t="s">
        <v>1592</v>
      </c>
      <c r="B18" s="10" t="s">
        <v>1593</v>
      </c>
      <c r="C18" s="14">
        <f>_xll.BDH("AMGN US Equity","TOT_DEBT_TO_TOT_ASSET","FQ4 2018","FQ4 2018","Currency=USD","Period=FQ","BEST_FPERIOD_OVERRIDE=FQ","FILING_STATUS=MR","Sort=A","Dates=H","DateFormat=P","Fill=—","Direction=H","UseDPDF=Y")</f>
        <v>51.085599999999999</v>
      </c>
      <c r="D18" s="14">
        <f>_xll.BDH("AMGN US Equity","TOT_DEBT_TO_TOT_ASSET","FQ1 2019","FQ1 2019","Currency=USD","Period=FQ","BEST_FPERIOD_OVERRIDE=FQ","FILING_STATUS=MR","Sort=A","Dates=H","DateFormat=P","Fill=—","Direction=H","UseDPDF=Y")</f>
        <v>52.365000000000002</v>
      </c>
      <c r="E18" s="14">
        <f>_xll.BDH("AMGN US Equity","TOT_DEBT_TO_TOT_ASSET","FQ2 2019","FQ2 2019","Currency=USD","Period=FQ","BEST_FPERIOD_OVERRIDE=FQ","FILING_STATUS=MR","Sort=A","Dates=H","DateFormat=P","Fill=—","Direction=H","UseDPDF=Y")</f>
        <v>52.3992</v>
      </c>
      <c r="F18" s="14">
        <f>_xll.BDH("AMGN US Equity","TOT_DEBT_TO_TOT_ASSET","FQ3 2019","FQ3 2019","Currency=USD","Period=FQ","BEST_FPERIOD_OVERRIDE=FQ","FILING_STATUS=MR","Sort=A","Dates=H","DateFormat=P","Fill=—","Direction=H","UseDPDF=Y")</f>
        <v>50.855800000000002</v>
      </c>
      <c r="G18" s="14">
        <f>_xll.BDH("AMGN US Equity","TOT_DEBT_TO_TOT_ASSET","FQ4 2019","FQ4 2019","Currency=USD","Period=FQ","BEST_FPERIOD_OVERRIDE=FQ","FILING_STATUS=MR","Sort=A","Dates=H","DateFormat=P","Fill=—","Direction=H","UseDPDF=Y")</f>
        <v>50.967199999999998</v>
      </c>
      <c r="H18" s="14">
        <f>_xll.BDH("AMGN US Equity","TOT_DEBT_TO_TOT_ASSET","FQ1 2020","FQ1 2020","Currency=USD","Period=FQ","BEST_FPERIOD_OVERRIDE=FQ","FILING_STATUS=MR","Sort=A","Dates=H","DateFormat=P","Fill=—","Direction=H","UseDPDF=Y")</f>
        <v>51.643500000000003</v>
      </c>
      <c r="I18" s="14">
        <f>_xll.BDH("AMGN US Equity","TOT_DEBT_TO_TOT_ASSET","FQ2 2020","FQ2 2020","Currency=USD","Period=FQ","BEST_FPERIOD_OVERRIDE=FQ","FILING_STATUS=MR","Sort=A","Dates=H","DateFormat=P","Fill=—","Direction=H","UseDPDF=Y")</f>
        <v>52.6434</v>
      </c>
      <c r="J18" s="14">
        <f>_xll.BDH("AMGN US Equity","TOT_DEBT_TO_TOT_ASSET","FQ3 2020","FQ3 2020","Currency=USD","Period=FQ","BEST_FPERIOD_OVERRIDE=FQ","FILING_STATUS=MR","Sort=A","Dates=H","DateFormat=P","Fill=—","Direction=H","UseDPDF=Y")</f>
        <v>53.045499999999997</v>
      </c>
      <c r="K18" s="14">
        <f>_xll.BDH("AMGN US Equity","TOT_DEBT_TO_TOT_ASSET","FQ4 2020","FQ4 2020","Currency=USD","Period=FQ","BEST_FPERIOD_OVERRIDE=FQ","FILING_STATUS=MR","Sort=A","Dates=H","DateFormat=P","Fill=—","Direction=H","UseDPDF=Y")</f>
        <v>53.1312</v>
      </c>
      <c r="L18" s="14">
        <f>_xll.BDH("AMGN US Equity","TOT_DEBT_TO_TOT_ASSET","FQ1 2021","FQ1 2021","Currency=USD","Period=FQ","BEST_FPERIOD_OVERRIDE=FQ","FILING_STATUS=MR","Sort=A","Dates=H","DateFormat=P","Fill=—","Direction=H","UseDPDF=Y")</f>
        <v>52.263399999999997</v>
      </c>
      <c r="M18" s="14">
        <f>_xll.BDH("AMGN US Equity","TOT_DEBT_TO_TOT_ASSET","FQ2 2021","FQ2 2021","Currency=USD","Period=FQ","BEST_FPERIOD_OVERRIDE=FQ","FILING_STATUS=MR","Sort=A","Dates=H","DateFormat=P","Fill=—","Direction=H","UseDPDF=Y")</f>
        <v>54.844200000000001</v>
      </c>
      <c r="N18" s="14">
        <f>_xll.BDH("AMGN US Equity","TOT_DEBT_TO_TOT_ASSET","FQ3 2021","FQ3 2021","Currency=USD","Period=FQ","BEST_FPERIOD_OVERRIDE=FQ","FILING_STATUS=MR","Sort=A","Dates=H","DateFormat=P","Fill=—","Direction=H","UseDPDF=Y")</f>
        <v>57.820099999999996</v>
      </c>
      <c r="O18" s="14">
        <f>_xll.BDH("AMGN US Equity","TOT_DEBT_TO_TOT_ASSET","FQ4 2021","FQ4 2021","Currency=USD","Period=FQ","BEST_FPERIOD_OVERRIDE=FQ","FILING_STATUS=MR","Sort=A","Dates=H","DateFormat=P","Fill=—","Direction=H","UseDPDF=Y")</f>
        <v>55.552999999999997</v>
      </c>
      <c r="P18" s="14">
        <f>_xll.BDH("AMGN US Equity","TOT_DEBT_TO_TOT_ASSET","FQ1 2022","FQ1 2022","Currency=USD","Period=FQ","BEST_FPERIOD_OVERRIDE=FQ","FILING_STATUS=MR","Sort=A","Dates=H","DateFormat=P","Fill=—","Direction=H","UseDPDF=Y")</f>
        <v>62.257599999999996</v>
      </c>
      <c r="Q18" s="14">
        <f>_xll.BDH("AMGN US Equity","TOT_DEBT_TO_TOT_ASSET","FQ2 2022","FQ2 2022","Currency=USD","Period=FQ","BEST_FPERIOD_OVERRIDE=FQ","FILING_STATUS=MR","Sort=A","Dates=H","DateFormat=P","Fill=—","Direction=H","UseDPDF=Y")</f>
        <v>61.594799999999999</v>
      </c>
      <c r="R18" s="14">
        <f>_xll.BDH("AMGN US Equity","TOT_DEBT_TO_TOT_ASSET","FQ3 2022","FQ3 2022","Currency=USD","Period=FQ","BEST_FPERIOD_OVERRIDE=FQ","FILING_STATUS=MR","Sort=A","Dates=H","DateFormat=P","Fill=—","Direction=H","UseDPDF=Y")</f>
        <v>60.759799999999998</v>
      </c>
      <c r="S18" s="14">
        <f>_xll.BDH("AMGN US Equity","TOT_DEBT_TO_TOT_ASSET","FQ4 2022","FQ4 2022","Currency=USD","Period=FQ","BEST_FPERIOD_OVERRIDE=FQ","FILING_STATUS=MR","Sort=A","Dates=H","DateFormat=P","Fill=—","Direction=H","UseDPDF=Y")</f>
        <v>60.871299999999998</v>
      </c>
      <c r="T18" s="14">
        <f>_xll.BDH("AMGN US Equity","TOT_DEBT_TO_TOT_ASSET","FQ1 2023","FQ1 2023","Currency=USD","Period=FQ","BEST_FPERIOD_OVERRIDE=FQ","FILING_STATUS=MR","Sort=A","Dates=H","DateFormat=P","Fill=—","Direction=H","UseDPDF=Y")</f>
        <v>69.426299999999998</v>
      </c>
      <c r="U18" s="14">
        <f>_xll.BDH("AMGN US Equity","TOT_DEBT_TO_TOT_ASSET","FQ2 2023","FQ2 2023","Currency=USD","Period=FQ","BEST_FPERIOD_OVERRIDE=FQ","FILING_STATUS=MR","Sort=A","Dates=H","DateFormat=P","Fill=—","Direction=H","UseDPDF=Y")</f>
        <v>68.178399999999996</v>
      </c>
      <c r="V18" s="14">
        <f>_xll.BDH("AMGN US Equity","TOT_DEBT_TO_TOT_ASSET","FQ3 2023","FQ3 2023","Currency=USD","Period=FQ","BEST_FPERIOD_OVERRIDE=FQ","FILING_STATUS=MR","Sort=A","Dates=H","DateFormat=P","Fill=—","Direction=H","UseDPDF=Y")</f>
        <v>66.790400000000005</v>
      </c>
      <c r="W18" s="14">
        <f>_xll.BDH("AMGN US Equity","TOT_DEBT_TO_TOT_ASSET","FQ4 2023","FQ4 2023","Currency=USD","Period=FQ","BEST_FPERIOD_OVERRIDE=FQ","FILING_STATUS=MR","Sort=A","Dates=H","DateFormat=P","Fill=—","Direction=H","UseDPDF=Y")</f>
        <v>67.339500000000001</v>
      </c>
      <c r="X18" s="14">
        <f>_xll.BDH("AMGN US Equity","TOT_DEBT_TO_TOT_ASSET","FQ1 2024","FQ1 2024","Currency=USD","Period=FQ","BEST_FPERIOD_OVERRIDE=FQ","FILING_STATUS=MR","Sort=A","Dates=H","DateFormat=P","Fill=—","Direction=H","UseDPDF=Y")</f>
        <v>68.853499999999997</v>
      </c>
      <c r="Y18" s="14">
        <f>_xll.BDH("AMGN US Equity","TOT_DEBT_TO_TOT_ASSET","FQ2 2024","FQ2 2024","Currency=USD","Period=FQ","BEST_FPERIOD_OVERRIDE=FQ","FILING_STATUS=MR","Sort=A","Dates=H","DateFormat=P","Fill=—","Direction=H","UseDPDF=Y")</f>
        <v>68.911100000000005</v>
      </c>
      <c r="Z18" s="14">
        <f>_xll.BDH("AMGN US Equity","TOT_DEBT_TO_TOT_ASSET","FQ3 2024","FQ3 2024","Currency=USD","Period=FQ","BEST_FPERIOD_OVERRIDE=FQ","FILING_STATUS=MR","Sort=A","Dates=H","DateFormat=P","Fill=—","Direction=H","UseDPDF=Y")</f>
        <v>66.456900000000005</v>
      </c>
      <c r="AA18" s="14">
        <f>_xll.BDH("AMGN US Equity","TOT_DEBT_TO_TOT_ASSET","FQ4 2024","FQ4 2024","Currency=USD","Period=FQ","BEST_FPERIOD_OVERRIDE=FQ","FILING_STATUS=MR","Sort=A","Dates=H","DateFormat=P","Fill=—","Direction=H","UseDPDF=Y")</f>
        <v>66.288799999999995</v>
      </c>
    </row>
    <row r="19" spans="1:27" x14ac:dyDescent="0.25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5">
      <c r="A20" s="10" t="s">
        <v>1628</v>
      </c>
      <c r="B20" s="10" t="s">
        <v>1629</v>
      </c>
      <c r="C20" s="14">
        <f>_xll.BDH("AMGN US Equity","CASH_FLOW_TO_TOT_LIAB","FQ4 2018","FQ4 2018","Currency=USD","Period=FQ","BEST_FPERIOD_OVERRIDE=FQ","FILING_STATUS=MR","Sort=A","Dates=H","DateFormat=P","Fill=—","Direction=H","UseDPDF=Y")</f>
        <v>20.9511</v>
      </c>
      <c r="D20" s="14">
        <f>_xll.BDH("AMGN US Equity","CASH_FLOW_TO_TOT_LIAB","FQ1 2019","FQ1 2019","Currency=USD","Period=FQ","BEST_FPERIOD_OVERRIDE=FQ","FILING_STATUS=MR","Sort=A","Dates=H","DateFormat=P","Fill=—","Direction=H","UseDPDF=Y")</f>
        <v>19.588100000000001</v>
      </c>
      <c r="E20" s="14">
        <f>_xll.BDH("AMGN US Equity","CASH_FLOW_TO_TOT_LIAB","FQ2 2019","FQ2 2019","Currency=USD","Period=FQ","BEST_FPERIOD_OVERRIDE=FQ","FILING_STATUS=MR","Sort=A","Dates=H","DateFormat=P","Fill=—","Direction=H","UseDPDF=Y")</f>
        <v>20.021000000000001</v>
      </c>
      <c r="F20" s="14">
        <f>_xll.BDH("AMGN US Equity","CASH_FLOW_TO_TOT_LIAB","FQ3 2019","FQ3 2019","Currency=USD","Period=FQ","BEST_FPERIOD_OVERRIDE=FQ","FILING_STATUS=MR","Sort=A","Dates=H","DateFormat=P","Fill=—","Direction=H","UseDPDF=Y")</f>
        <v>20.222999999999999</v>
      </c>
      <c r="G20" s="14">
        <f>_xll.BDH("AMGN US Equity","CASH_FLOW_TO_TOT_LIAB","FQ4 2019","FQ4 2019","Currency=USD","Period=FQ","BEST_FPERIOD_OVERRIDE=FQ","FILING_STATUS=MR","Sort=A","Dates=H","DateFormat=P","Fill=—","Direction=H","UseDPDF=Y")</f>
        <v>18.287600000000001</v>
      </c>
      <c r="H20" s="14">
        <f>_xll.BDH("AMGN US Equity","CASH_FLOW_TO_TOT_LIAB","FQ1 2020","FQ1 2020","Currency=USD","Period=FQ","BEST_FPERIOD_OVERRIDE=FQ","FILING_STATUS=MR","Sort=A","Dates=H","DateFormat=P","Fill=—","Direction=H","UseDPDF=Y")</f>
        <v>18.087900000000001</v>
      </c>
      <c r="I20" s="14">
        <f>_xll.BDH("AMGN US Equity","CASH_FLOW_TO_TOT_LIAB","FQ2 2020","FQ2 2020","Currency=USD","Period=FQ","BEST_FPERIOD_OVERRIDE=FQ","FILING_STATUS=MR","Sort=A","Dates=H","DateFormat=P","Fill=—","Direction=H","UseDPDF=Y")</f>
        <v>19.9937</v>
      </c>
      <c r="J20" s="14">
        <f>_xll.BDH("AMGN US Equity","CASH_FLOW_TO_TOT_LIAB","FQ3 2020","FQ3 2020","Currency=USD","Period=FQ","BEST_FPERIOD_OVERRIDE=FQ","FILING_STATUS=MR","Sort=A","Dates=H","DateFormat=P","Fill=—","Direction=H","UseDPDF=Y")</f>
        <v>20.228000000000002</v>
      </c>
      <c r="K20" s="14">
        <f>_xll.BDH("AMGN US Equity","CASH_FLOW_TO_TOT_LIAB","FQ4 2020","FQ4 2020","Currency=USD","Period=FQ","BEST_FPERIOD_OVERRIDE=FQ","FILING_STATUS=MR","Sort=A","Dates=H","DateFormat=P","Fill=—","Direction=H","UseDPDF=Y")</f>
        <v>20.091899999999999</v>
      </c>
      <c r="L20" s="14">
        <f>_xll.BDH("AMGN US Equity","CASH_FLOW_TO_TOT_LIAB","FQ1 2021","FQ1 2021","Currency=USD","Period=FQ","BEST_FPERIOD_OVERRIDE=FQ","FILING_STATUS=MR","Sort=A","Dates=H","DateFormat=P","Fill=—","Direction=H","UseDPDF=Y")</f>
        <v>20.1616</v>
      </c>
      <c r="M20" s="14">
        <f>_xll.BDH("AMGN US Equity","CASH_FLOW_TO_TOT_LIAB","FQ2 2021","FQ2 2021","Currency=USD","Period=FQ","BEST_FPERIOD_OVERRIDE=FQ","FILING_STATUS=MR","Sort=A","Dates=H","DateFormat=P","Fill=—","Direction=H","UseDPDF=Y")</f>
        <v>19.050599999999999</v>
      </c>
      <c r="N20" s="14">
        <f>_xll.BDH("AMGN US Equity","CASH_FLOW_TO_TOT_LIAB","FQ3 2021","FQ3 2021","Currency=USD","Period=FQ","BEST_FPERIOD_OVERRIDE=FQ","FILING_STATUS=MR","Sort=A","Dates=H","DateFormat=P","Fill=—","Direction=H","UseDPDF=Y")</f>
        <v>15.6158</v>
      </c>
      <c r="O20" s="14">
        <f>_xll.BDH("AMGN US Equity","CASH_FLOW_TO_TOT_LIAB","FQ4 2021","FQ4 2021","Currency=USD","Period=FQ","BEST_FPERIOD_OVERRIDE=FQ","FILING_STATUS=MR","Sort=A","Dates=H","DateFormat=P","Fill=—","Direction=H","UseDPDF=Y")</f>
        <v>17.003599999999999</v>
      </c>
      <c r="P20" s="14">
        <f>_xll.BDH("AMGN US Equity","CASH_FLOW_TO_TOT_LIAB","FQ1 2022","FQ1 2022","Currency=USD","Period=FQ","BEST_FPERIOD_OVERRIDE=FQ","FILING_STATUS=MR","Sort=A","Dates=H","DateFormat=P","Fill=—","Direction=H","UseDPDF=Y")</f>
        <v>15.993499999999999</v>
      </c>
      <c r="Q20" s="14">
        <f>_xll.BDH("AMGN US Equity","CASH_FLOW_TO_TOT_LIAB","FQ2 2022","FQ2 2022","Currency=USD","Period=FQ","BEST_FPERIOD_OVERRIDE=FQ","FILING_STATUS=MR","Sort=A","Dates=H","DateFormat=P","Fill=—","Direction=H","UseDPDF=Y")</f>
        <v>16.386800000000001</v>
      </c>
      <c r="R20" s="14">
        <f>_xll.BDH("AMGN US Equity","CASH_FLOW_TO_TOT_LIAB","FQ3 2022","FQ3 2022","Currency=USD","Period=FQ","BEST_FPERIOD_OVERRIDE=FQ","FILING_STATUS=MR","Sort=A","Dates=H","DateFormat=P","Fill=—","Direction=H","UseDPDF=Y")</f>
        <v>16.453800000000001</v>
      </c>
      <c r="S20" s="14">
        <f>_xll.BDH("AMGN US Equity","CASH_FLOW_TO_TOT_LIAB","FQ4 2022","FQ4 2022","Currency=USD","Period=FQ","BEST_FPERIOD_OVERRIDE=FQ","FILING_STATUS=MR","Sort=A","Dates=H","DateFormat=P","Fill=—","Direction=H","UseDPDF=Y")</f>
        <v>15.816800000000001</v>
      </c>
      <c r="T20" s="14">
        <f>_xll.BDH("AMGN US Equity","CASH_FLOW_TO_TOT_LIAB","FQ1 2023","FQ1 2023","Currency=USD","Period=FQ","BEST_FPERIOD_OVERRIDE=FQ","FILING_STATUS=MR","Sort=A","Dates=H","DateFormat=P","Fill=—","Direction=H","UseDPDF=Y")</f>
        <v>10.340400000000001</v>
      </c>
      <c r="U20" s="14">
        <f>_xll.BDH("AMGN US Equity","CASH_FLOW_TO_TOT_LIAB","FQ2 2023","FQ2 2023","Currency=USD","Period=FQ","BEST_FPERIOD_OVERRIDE=FQ","FILING_STATUS=MR","Sort=A","Dates=H","DateFormat=P","Fill=—","Direction=H","UseDPDF=Y")</f>
        <v>12.936</v>
      </c>
      <c r="V20" s="14">
        <f>_xll.BDH("AMGN US Equity","CASH_FLOW_TO_TOT_LIAB","FQ3 2023","FQ3 2023","Currency=USD","Period=FQ","BEST_FPERIOD_OVERRIDE=FQ","FILING_STATUS=MR","Sort=A","Dates=H","DateFormat=P","Fill=—","Direction=H","UseDPDF=Y")</f>
        <v>12.7682</v>
      </c>
      <c r="W20" s="14">
        <f>_xll.BDH("AMGN US Equity","CASH_FLOW_TO_TOT_LIAB","FQ4 2023","FQ4 2023","Currency=USD","Period=FQ","BEST_FPERIOD_OVERRIDE=FQ","FILING_STATUS=MR","Sort=A","Dates=H","DateFormat=P","Fill=—","Direction=H","UseDPDF=Y")</f>
        <v>9.3168000000000006</v>
      </c>
      <c r="X20" s="14">
        <f>_xll.BDH("AMGN US Equity","CASH_FLOW_TO_TOT_LIAB","FQ1 2024","FQ1 2024","Currency=USD","Period=FQ","BEST_FPERIOD_OVERRIDE=FQ","FILING_STATUS=MR","Sort=A","Dates=H","DateFormat=P","Fill=—","Direction=H","UseDPDF=Y")</f>
        <v>9.2043999999999997</v>
      </c>
      <c r="Y20" s="14">
        <f>_xll.BDH("AMGN US Equity","CASH_FLOW_TO_TOT_LIAB","FQ2 2024","FQ2 2024","Currency=USD","Period=FQ","BEST_FPERIOD_OVERRIDE=FQ","FILING_STATUS=MR","Sort=A","Dates=H","DateFormat=P","Fill=—","Direction=H","UseDPDF=Y")</f>
        <v>7.5850999999999997</v>
      </c>
      <c r="Z20" s="14">
        <f>_xll.BDH("AMGN US Equity","CASH_FLOW_TO_TOT_LIAB","FQ3 2024","FQ3 2024","Currency=USD","Period=FQ","BEST_FPERIOD_OVERRIDE=FQ","FILING_STATUS=MR","Sort=A","Dates=H","DateFormat=P","Fill=—","Direction=H","UseDPDF=Y")</f>
        <v>8.7059999999999995</v>
      </c>
      <c r="AA20" s="14">
        <f>_xll.BDH("AMGN US Equity","CASH_FLOW_TO_TOT_LIAB","FQ4 2024","FQ4 2024","Currency=USD","Period=FQ","BEST_FPERIOD_OVERRIDE=FQ","FILING_STATUS=MR","Sort=A","Dates=H","DateFormat=P","Fill=—","Direction=H","UseDPDF=Y")</f>
        <v>13.366400000000001</v>
      </c>
    </row>
    <row r="21" spans="1:27" x14ac:dyDescent="0.25">
      <c r="A21" s="10" t="s">
        <v>1630</v>
      </c>
      <c r="B21" s="10" t="s">
        <v>1631</v>
      </c>
      <c r="C21" s="14">
        <f>_xll.BDH("AMGN US Equity","CAP_EXPEND_RATIO","FQ4 2018","FQ4 2018","Currency=USD","Period=FQ","BEST_FPERIOD_OVERRIDE=FQ","FILING_STATUS=MR","Sort=A","Dates=H","DateFormat=P","Fill=—","Direction=H","UseDPDF=Y")</f>
        <v>14.195600000000001</v>
      </c>
      <c r="D21" s="14">
        <f>_xll.BDH("AMGN US Equity","CAP_EXPEND_RATIO","FQ1 2019","FQ1 2019","Currency=USD","Period=FQ","BEST_FPERIOD_OVERRIDE=FQ","FILING_STATUS=MR","Sort=A","Dates=H","DateFormat=P","Fill=—","Direction=H","UseDPDF=Y")</f>
        <v>15.905200000000001</v>
      </c>
      <c r="E21" s="14">
        <f>_xll.BDH("AMGN US Equity","CAP_EXPEND_RATIO","FQ2 2019","FQ2 2019","Currency=USD","Period=FQ","BEST_FPERIOD_OVERRIDE=FQ","FILING_STATUS=MR","Sort=A","Dates=H","DateFormat=P","Fill=—","Direction=H","UseDPDF=Y")</f>
        <v>9.8193999999999999</v>
      </c>
      <c r="F21" s="14">
        <f>_xll.BDH("AMGN US Equity","CAP_EXPEND_RATIO","FQ3 2019","FQ3 2019","Currency=USD","Period=FQ","BEST_FPERIOD_OVERRIDE=FQ","FILING_STATUS=MR","Sort=A","Dates=H","DateFormat=P","Fill=—","Direction=H","UseDPDF=Y")</f>
        <v>19.864699999999999</v>
      </c>
      <c r="G21" s="14">
        <f>_xll.BDH("AMGN US Equity","CAP_EXPEND_RATIO","FQ4 2019","FQ4 2019","Currency=USD","Period=FQ","BEST_FPERIOD_OVERRIDE=FQ","FILING_STATUS=MR","Sort=A","Dates=H","DateFormat=P","Fill=—","Direction=H","UseDPDF=Y")</f>
        <v>13.372299999999999</v>
      </c>
      <c r="H21" s="14">
        <f>_xll.BDH("AMGN US Equity","CAP_EXPEND_RATIO","FQ1 2020","FQ1 2020","Currency=USD","Period=FQ","BEST_FPERIOD_OVERRIDE=FQ","FILING_STATUS=MR","Sort=A","Dates=H","DateFormat=P","Fill=—","Direction=H","UseDPDF=Y")</f>
        <v>15.0282</v>
      </c>
      <c r="I21" s="14">
        <f>_xll.BDH("AMGN US Equity","CAP_EXPEND_RATIO","FQ2 2020","FQ2 2020","Currency=USD","Period=FQ","BEST_FPERIOD_OVERRIDE=FQ","FILING_STATUS=MR","Sort=A","Dates=H","DateFormat=P","Fill=—","Direction=H","UseDPDF=Y")</f>
        <v>17.987300000000001</v>
      </c>
      <c r="J21" s="14">
        <f>_xll.BDH("AMGN US Equity","CAP_EXPEND_RATIO","FQ3 2020","FQ3 2020","Currency=USD","Period=FQ","BEST_FPERIOD_OVERRIDE=FQ","FILING_STATUS=MR","Sort=A","Dates=H","DateFormat=P","Fill=—","Direction=H","UseDPDF=Y")</f>
        <v>24.9481</v>
      </c>
      <c r="K21" s="14">
        <f>_xll.BDH("AMGN US Equity","CAP_EXPEND_RATIO","FQ4 2020","FQ4 2020","Currency=USD","Period=FQ","BEST_FPERIOD_OVERRIDE=FQ","FILING_STATUS=MR","Sort=A","Dates=H","DateFormat=P","Fill=—","Direction=H","UseDPDF=Y")</f>
        <v>13.948</v>
      </c>
      <c r="L21" s="14">
        <f>_xll.BDH("AMGN US Equity","CAP_EXPEND_RATIO","FQ1 2021","FQ1 2021","Currency=USD","Period=FQ","BEST_FPERIOD_OVERRIDE=FQ","FILING_STATUS=MR","Sort=A","Dates=H","DateFormat=P","Fill=—","Direction=H","UseDPDF=Y")</f>
        <v>12.6747</v>
      </c>
      <c r="M21" s="14">
        <f>_xll.BDH("AMGN US Equity","CAP_EXPEND_RATIO","FQ2 2021","FQ2 2021","Currency=USD","Period=FQ","BEST_FPERIOD_OVERRIDE=FQ","FILING_STATUS=MR","Sort=A","Dates=H","DateFormat=P","Fill=—","Direction=H","UseDPDF=Y")</f>
        <v>10.437799999999999</v>
      </c>
      <c r="N21" s="14">
        <f>_xll.BDH("AMGN US Equity","CAP_EXPEND_RATIO","FQ3 2021","FQ3 2021","Currency=USD","Period=FQ","BEST_FPERIOD_OVERRIDE=FQ","FILING_STATUS=MR","Sort=A","Dates=H","DateFormat=P","Fill=—","Direction=H","UseDPDF=Y")</f>
        <v>9.9916999999999998</v>
      </c>
      <c r="O21" s="14">
        <f>_xll.BDH("AMGN US Equity","CAP_EXPEND_RATIO","FQ4 2021","FQ4 2021","Currency=USD","Period=FQ","BEST_FPERIOD_OVERRIDE=FQ","FILING_STATUS=MR","Sort=A","Dates=H","DateFormat=P","Fill=—","Direction=H","UseDPDF=Y")</f>
        <v>9.7840000000000007</v>
      </c>
      <c r="P21" s="14">
        <f>_xll.BDH("AMGN US Equity","CAP_EXPEND_RATIO","FQ1 2022","FQ1 2022","Currency=USD","Period=FQ","BEST_FPERIOD_OVERRIDE=FQ","FILING_STATUS=MR","Sort=A","Dates=H","DateFormat=P","Fill=—","Direction=H","UseDPDF=Y")</f>
        <v>11.3895</v>
      </c>
      <c r="Q21" s="14">
        <f>_xll.BDH("AMGN US Equity","CAP_EXPEND_RATIO","FQ2 2022","FQ2 2022","Currency=USD","Period=FQ","BEST_FPERIOD_OVERRIDE=FQ","FILING_STATUS=MR","Sort=A","Dates=H","DateFormat=P","Fill=—","Direction=H","UseDPDF=Y")</f>
        <v>7.8455000000000004</v>
      </c>
      <c r="R21" s="14">
        <f>_xll.BDH("AMGN US Equity","CAP_EXPEND_RATIO","FQ3 2022","FQ3 2022","Currency=USD","Period=FQ","BEST_FPERIOD_OVERRIDE=FQ","FILING_STATUS=MR","Sort=A","Dates=H","DateFormat=P","Fill=—","Direction=H","UseDPDF=Y")</f>
        <v>18.612500000000001</v>
      </c>
      <c r="S21" s="14">
        <f>_xll.BDH("AMGN US Equity","CAP_EXPEND_RATIO","FQ4 2022","FQ4 2022","Currency=USD","Period=FQ","BEST_FPERIOD_OVERRIDE=FQ","FILING_STATUS=MR","Sort=A","Dates=H","DateFormat=P","Fill=—","Direction=H","UseDPDF=Y")</f>
        <v>7.7911999999999999</v>
      </c>
      <c r="T21" s="14">
        <f>_xll.BDH("AMGN US Equity","CAP_EXPEND_RATIO","FQ1 2023","FQ1 2023","Currency=USD","Period=FQ","BEST_FPERIOD_OVERRIDE=FQ","FILING_STATUS=MR","Sort=A","Dates=H","DateFormat=P","Fill=—","Direction=H","UseDPDF=Y")</f>
        <v>3.093</v>
      </c>
      <c r="U21" s="14">
        <f>_xll.BDH("AMGN US Equity","CAP_EXPEND_RATIO","FQ2 2023","FQ2 2023","Currency=USD","Period=FQ","BEST_FPERIOD_OVERRIDE=FQ","FILING_STATUS=MR","Sort=A","Dates=H","DateFormat=P","Fill=—","Direction=H","UseDPDF=Y")</f>
        <v>15.1624</v>
      </c>
      <c r="V21" s="14">
        <f>_xll.BDH("AMGN US Equity","CAP_EXPEND_RATIO","FQ3 2023","FQ3 2023","Currency=USD","Period=FQ","BEST_FPERIOD_OVERRIDE=FQ","FILING_STATUS=MR","Sort=A","Dates=H","DateFormat=P","Fill=—","Direction=H","UseDPDF=Y")</f>
        <v>11.129</v>
      </c>
      <c r="W21" s="14">
        <f>_xll.BDH("AMGN US Equity","CAP_EXPEND_RATIO","FQ4 2023","FQ4 2023","Currency=USD","Period=FQ","BEST_FPERIOD_OVERRIDE=FQ","FILING_STATUS=MR","Sort=A","Dates=H","DateFormat=P","Fill=—","Direction=H","UseDPDF=Y")</f>
        <v>2.1606000000000001</v>
      </c>
      <c r="X21" s="14">
        <f>_xll.BDH("AMGN US Equity","CAP_EXPEND_RATIO","FQ1 2024","FQ1 2024","Currency=USD","Period=FQ","BEST_FPERIOD_OVERRIDE=FQ","FILING_STATUS=MR","Sort=A","Dates=H","DateFormat=P","Fill=—","Direction=H","UseDPDF=Y")</f>
        <v>2.9956999999999998</v>
      </c>
      <c r="Y21" s="14">
        <f>_xll.BDH("AMGN US Equity","CAP_EXPEND_RATIO","FQ2 2024","FQ2 2024","Currency=USD","Period=FQ","BEST_FPERIOD_OVERRIDE=FQ","FILING_STATUS=MR","Sort=A","Dates=H","DateFormat=P","Fill=—","Direction=H","UseDPDF=Y")</f>
        <v>10.331899999999999</v>
      </c>
      <c r="Z21" s="14">
        <f>_xll.BDH("AMGN US Equity","CAP_EXPEND_RATIO","FQ3 2024","FQ3 2024","Currency=USD","Period=FQ","BEST_FPERIOD_OVERRIDE=FQ","FILING_STATUS=MR","Sort=A","Dates=H","DateFormat=P","Fill=—","Direction=H","UseDPDF=Y")</f>
        <v>13.8949</v>
      </c>
      <c r="AA21" s="14">
        <f>_xll.BDH("AMGN US Equity","CAP_EXPEND_RATIO","FQ4 2024","FQ4 2024","Currency=USD","Period=FQ","BEST_FPERIOD_OVERRIDE=FQ","FILING_STATUS=MR","Sort=A","Dates=H","DateFormat=P","Fill=—","Direction=H","UseDPDF=Y")</f>
        <v>12.8598</v>
      </c>
    </row>
    <row r="22" spans="1:27" x14ac:dyDescent="0.25">
      <c r="A22" s="10" t="s">
        <v>1632</v>
      </c>
      <c r="B22" s="10" t="s">
        <v>1633</v>
      </c>
      <c r="C22" s="14">
        <f>_xll.BDH("AMGN US Equity","ALTMAN_Z_SCORE","FQ4 2018","FQ4 2018","Currency=USD","Period=FQ","BEST_FPERIOD_OVERRIDE=FQ","FILING_STATUS=MR","Sort=A","Dates=H","DateFormat=P","Fill=—","Direction=H","UseDPDF=Y")</f>
        <v>2.7673000000000001</v>
      </c>
      <c r="D22" s="14">
        <f>_xll.BDH("AMGN US Equity","ALTMAN_Z_SCORE","FQ1 2019","FQ1 2019","Currency=USD","Period=FQ","BEST_FPERIOD_OVERRIDE=FQ","FILING_STATUS=MR","Sort=A","Dates=H","DateFormat=P","Fill=—","Direction=H","UseDPDF=Y")</f>
        <v>2.6585000000000001</v>
      </c>
      <c r="E22" s="14">
        <f>_xll.BDH("AMGN US Equity","ALTMAN_Z_SCORE","FQ2 2019","FQ2 2019","Currency=USD","Period=FQ","BEST_FPERIOD_OVERRIDE=FQ","FILING_STATUS=MR","Sort=A","Dates=H","DateFormat=P","Fill=—","Direction=H","UseDPDF=Y")</f>
        <v>2.7654999999999998</v>
      </c>
      <c r="F22" s="14">
        <f>_xll.BDH("AMGN US Equity","ALTMAN_Z_SCORE","FQ3 2019","FQ3 2019","Currency=USD","Period=FQ","BEST_FPERIOD_OVERRIDE=FQ","FILING_STATUS=MR","Sort=A","Dates=H","DateFormat=P","Fill=—","Direction=H","UseDPDF=Y")</f>
        <v>2.8121999999999998</v>
      </c>
      <c r="G22" s="14">
        <f>_xll.BDH("AMGN US Equity","ALTMAN_Z_SCORE","FQ4 2019","FQ4 2019","Currency=USD","Period=FQ","BEST_FPERIOD_OVERRIDE=FQ","FILING_STATUS=MR","Sort=A","Dates=H","DateFormat=P","Fill=—","Direction=H","UseDPDF=Y")</f>
        <v>2.9740000000000002</v>
      </c>
      <c r="H22" s="14">
        <f>_xll.BDH("AMGN US Equity","ALTMAN_Z_SCORE","FQ1 2020","FQ1 2020","Currency=USD","Period=FQ","BEST_FPERIOD_OVERRIDE=FQ","FILING_STATUS=MR","Sort=A","Dates=H","DateFormat=P","Fill=—","Direction=H","UseDPDF=Y")</f>
        <v>2.5733000000000001</v>
      </c>
      <c r="I22" s="14">
        <f>_xll.BDH("AMGN US Equity","ALTMAN_Z_SCORE","FQ2 2020","FQ2 2020","Currency=USD","Period=FQ","BEST_FPERIOD_OVERRIDE=FQ","FILING_STATUS=MR","Sort=A","Dates=H","DateFormat=P","Fill=—","Direction=H","UseDPDF=Y")</f>
        <v>2.8062</v>
      </c>
      <c r="J22" s="14">
        <f>_xll.BDH("AMGN US Equity","ALTMAN_Z_SCORE","FQ3 2020","FQ3 2020","Currency=USD","Period=FQ","BEST_FPERIOD_OVERRIDE=FQ","FILING_STATUS=MR","Sort=A","Dates=H","DateFormat=P","Fill=—","Direction=H","UseDPDF=Y")</f>
        <v>2.9704999999999999</v>
      </c>
      <c r="K22" s="14">
        <f>_xll.BDH("AMGN US Equity","ALTMAN_Z_SCORE","FQ4 2020","FQ4 2020","Currency=USD","Period=FQ","BEST_FPERIOD_OVERRIDE=FQ","FILING_STATUS=MR","Sort=A","Dates=H","DateFormat=P","Fill=—","Direction=H","UseDPDF=Y")</f>
        <v>2.6682999999999999</v>
      </c>
      <c r="L22" s="14">
        <f>_xll.BDH("AMGN US Equity","ALTMAN_Z_SCORE","FQ1 2021","FQ1 2021","Currency=USD","Period=FQ","BEST_FPERIOD_OVERRIDE=FQ","FILING_STATUS=MR","Sort=A","Dates=H","DateFormat=P","Fill=—","Direction=H","UseDPDF=Y")</f>
        <v>2.6981999999999999</v>
      </c>
      <c r="M22" s="14">
        <f>_xll.BDH("AMGN US Equity","ALTMAN_Z_SCORE","FQ2 2021","FQ2 2021","Currency=USD","Period=FQ","BEST_FPERIOD_OVERRIDE=FQ","FILING_STATUS=MR","Sort=A","Dates=H","DateFormat=P","Fill=—","Direction=H","UseDPDF=Y")</f>
        <v>2.4201000000000001</v>
      </c>
      <c r="N22" s="14">
        <f>_xll.BDH("AMGN US Equity","ALTMAN_Z_SCORE","FQ3 2021","FQ3 2021","Currency=USD","Period=FQ","BEST_FPERIOD_OVERRIDE=FQ","FILING_STATUS=MR","Sort=A","Dates=H","DateFormat=P","Fill=—","Direction=H","UseDPDF=Y")</f>
        <v>2.0973999999999999</v>
      </c>
      <c r="O22" s="14">
        <f>_xll.BDH("AMGN US Equity","ALTMAN_Z_SCORE","FQ4 2021","FQ4 2021","Currency=USD","Period=FQ","BEST_FPERIOD_OVERRIDE=FQ","FILING_STATUS=MR","Sort=A","Dates=H","DateFormat=P","Fill=—","Direction=H","UseDPDF=Y")</f>
        <v>2.2124999999999999</v>
      </c>
      <c r="P22" s="14">
        <f>_xll.BDH("AMGN US Equity","ALTMAN_Z_SCORE","FQ1 2022","FQ1 2022","Currency=USD","Period=FQ","BEST_FPERIOD_OVERRIDE=FQ","FILING_STATUS=MR","Sort=A","Dates=H","DateFormat=P","Fill=—","Direction=H","UseDPDF=Y")</f>
        <v>1.996</v>
      </c>
      <c r="Q22" s="14">
        <f>_xll.BDH("AMGN US Equity","ALTMAN_Z_SCORE","FQ2 2022","FQ2 2022","Currency=USD","Period=FQ","BEST_FPERIOD_OVERRIDE=FQ","FILING_STATUS=MR","Sort=A","Dates=H","DateFormat=P","Fill=—","Direction=H","UseDPDF=Y")</f>
        <v>2.2155999999999998</v>
      </c>
      <c r="R22" s="14">
        <f>_xll.BDH("AMGN US Equity","ALTMAN_Z_SCORE","FQ3 2022","FQ3 2022","Currency=USD","Period=FQ","BEST_FPERIOD_OVERRIDE=FQ","FILING_STATUS=MR","Sort=A","Dates=H","DateFormat=P","Fill=—","Direction=H","UseDPDF=Y")</f>
        <v>2.0625</v>
      </c>
      <c r="S22" s="14">
        <f>_xll.BDH("AMGN US Equity","ALTMAN_Z_SCORE","FQ4 2022","FQ4 2022","Currency=USD","Period=FQ","BEST_FPERIOD_OVERRIDE=FQ","FILING_STATUS=MR","Sort=A","Dates=H","DateFormat=P","Fill=—","Direction=H","UseDPDF=Y")</f>
        <v>2.1326000000000001</v>
      </c>
      <c r="T22" s="14">
        <f>_xll.BDH("AMGN US Equity","ALTMAN_Z_SCORE","FQ1 2023","FQ1 2023","Currency=USD","Period=FQ","BEST_FPERIOD_OVERRIDE=FQ","FILING_STATUS=MR","Sort=A","Dates=H","DateFormat=P","Fill=—","Direction=H","UseDPDF=Y")</f>
        <v>1.8762000000000001</v>
      </c>
      <c r="U22" s="14">
        <f>_xll.BDH("AMGN US Equity","ALTMAN_Z_SCORE","FQ2 2023","FQ2 2023","Currency=USD","Period=FQ","BEST_FPERIOD_OVERRIDE=FQ","FILING_STATUS=MR","Sort=A","Dates=H","DateFormat=P","Fill=—","Direction=H","UseDPDF=Y")</f>
        <v>1.8258000000000001</v>
      </c>
      <c r="V22" s="14">
        <f>_xll.BDH("AMGN US Equity","ALTMAN_Z_SCORE","FQ3 2023","FQ3 2023","Currency=USD","Period=FQ","BEST_FPERIOD_OVERRIDE=FQ","FILING_STATUS=MR","Sort=A","Dates=H","DateFormat=P","Fill=—","Direction=H","UseDPDF=Y")</f>
        <v>1.9931000000000001</v>
      </c>
      <c r="W22" s="14">
        <f>_xll.BDH("AMGN US Equity","ALTMAN_Z_SCORE","FQ4 2023","FQ4 2023","Currency=USD","Period=FQ","BEST_FPERIOD_OVERRIDE=FQ","FILING_STATUS=MR","Sort=A","Dates=H","DateFormat=P","Fill=—","Direction=H","UseDPDF=Y")</f>
        <v>1.7017</v>
      </c>
      <c r="X22" s="14">
        <f>_xll.BDH("AMGN US Equity","ALTMAN_Z_SCORE","FQ1 2024","FQ1 2024","Currency=USD","Period=FQ","BEST_FPERIOD_OVERRIDE=FQ","FILING_STATUS=MR","Sort=A","Dates=H","DateFormat=P","Fill=—","Direction=H","UseDPDF=Y")</f>
        <v>1.585</v>
      </c>
      <c r="Y22" s="14">
        <f>_xll.BDH("AMGN US Equity","ALTMAN_Z_SCORE","FQ2 2024","FQ2 2024","Currency=USD","Period=FQ","BEST_FPERIOD_OVERRIDE=FQ","FILING_STATUS=MR","Sort=A","Dates=H","DateFormat=P","Fill=—","Direction=H","UseDPDF=Y")</f>
        <v>1.6635</v>
      </c>
      <c r="Z22" s="14">
        <f>_xll.BDH("AMGN US Equity","ALTMAN_Z_SCORE","FQ3 2024","FQ3 2024","Currency=USD","Period=FQ","BEST_FPERIOD_OVERRIDE=FQ","FILING_STATUS=MR","Sort=A","Dates=H","DateFormat=P","Fill=—","Direction=H","UseDPDF=Y")</f>
        <v>1.8248</v>
      </c>
      <c r="AA22" s="14">
        <f>_xll.BDH("AMGN US Equity","ALTMAN_Z_SCORE","FQ4 2024","FQ4 2024","Currency=USD","Period=FQ","BEST_FPERIOD_OVERRIDE=FQ","FILING_STATUS=MR","Sort=A","Dates=H","DateFormat=P","Fill=—","Direction=H","UseDPDF=Y")</f>
        <v>1.5464</v>
      </c>
    </row>
    <row r="23" spans="1:27" x14ac:dyDescent="0.25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5">
      <c r="A24" s="10" t="s">
        <v>966</v>
      </c>
      <c r="B24" s="10" t="s">
        <v>1634</v>
      </c>
      <c r="C24" s="13">
        <f>_xll.BDH("AMGN US Equity","BS_TOTAL_LINE_OF_CREDIT","FQ4 2018","FQ4 2018","Currency=USD","Period=FQ","BEST_FPERIOD_OVERRIDE=FQ","FILING_STATUS=MR","SCALING_FORMAT=MLN","Sort=A","Dates=H","DateFormat=P","Fill=—","Direction=H","UseDPDF=Y")</f>
        <v>2500</v>
      </c>
      <c r="D24" s="13" t="str">
        <f>_xll.BDH("AMGN US Equity","BS_TOTAL_LINE_OF_CREDIT","FQ1 2019","FQ1 2019","Currency=USD","Period=FQ","BEST_FPERIOD_OVERRIDE=FQ","FILING_STATUS=MR","SCALING_FORMAT=MLN","Sort=A","Dates=H","DateFormat=P","Fill=—","Direction=H","UseDPDF=Y")</f>
        <v>—</v>
      </c>
      <c r="E24" s="13" t="str">
        <f>_xll.BDH("AMGN US Equity","BS_TOTAL_LINE_OF_CREDIT","FQ2 2019","FQ2 2019","Currency=USD","Period=FQ","BEST_FPERIOD_OVERRIDE=FQ","FILING_STATUS=MR","SCALING_FORMAT=MLN","Sort=A","Dates=H","DateFormat=P","Fill=—","Direction=H","UseDPDF=Y")</f>
        <v>—</v>
      </c>
      <c r="F24" s="13" t="str">
        <f>_xll.BDH("AMGN US Equity","BS_TOTAL_LINE_OF_CREDIT","FQ3 2019","FQ3 2019","Currency=USD","Period=FQ","BEST_FPERIOD_OVERRIDE=FQ","FILING_STATUS=MR","SCALING_FORMAT=MLN","Sort=A","Dates=H","DateFormat=P","Fill=—","Direction=H","UseDPDF=Y")</f>
        <v>—</v>
      </c>
      <c r="G24" s="13">
        <f>_xll.BDH("AMGN US Equity","BS_TOTAL_LINE_OF_CREDIT","FQ4 2019","FQ4 2019","Currency=USD","Period=FQ","BEST_FPERIOD_OVERRIDE=FQ","FILING_STATUS=MR","SCALING_FORMAT=MLN","Sort=A","Dates=H","DateFormat=P","Fill=—","Direction=H","UseDPDF=Y")</f>
        <v>2500</v>
      </c>
      <c r="H24" s="13" t="str">
        <f>_xll.BDH("AMGN US Equity","BS_TOTAL_LINE_OF_CREDIT","FQ1 2020","FQ1 2020","Currency=USD","Period=FQ","BEST_FPERIOD_OVERRIDE=FQ","FILING_STATUS=MR","SCALING_FORMAT=MLN","Sort=A","Dates=H","DateFormat=P","Fill=—","Direction=H","UseDPDF=Y")</f>
        <v>—</v>
      </c>
      <c r="I24" s="13" t="str">
        <f>_xll.BDH("AMGN US Equity","BS_TOTAL_LINE_OF_CREDIT","FQ2 2020","FQ2 2020","Currency=USD","Period=FQ","BEST_FPERIOD_OVERRIDE=FQ","FILING_STATUS=MR","SCALING_FORMAT=MLN","Sort=A","Dates=H","DateFormat=P","Fill=—","Direction=H","UseDPDF=Y")</f>
        <v>—</v>
      </c>
      <c r="J24" s="13" t="str">
        <f>_xll.BDH("AMGN US Equity","BS_TOTAL_LINE_OF_CREDIT","FQ3 2020","FQ3 2020","Currency=USD","Period=FQ","BEST_FPERIOD_OVERRIDE=FQ","FILING_STATUS=MR","SCALING_FORMAT=MLN","Sort=A","Dates=H","DateFormat=P","Fill=—","Direction=H","UseDPDF=Y")</f>
        <v>—</v>
      </c>
      <c r="K24" s="13">
        <f>_xll.BDH("AMGN US Equity","BS_TOTAL_LINE_OF_CREDIT","FQ4 2020","FQ4 2020","Currency=USD","Period=FQ","BEST_FPERIOD_OVERRIDE=FQ","FILING_STATUS=MR","SCALING_FORMAT=MLN","Sort=A","Dates=H","DateFormat=P","Fill=—","Direction=H","UseDPDF=Y")</f>
        <v>2500</v>
      </c>
      <c r="L24" s="13" t="str">
        <f>_xll.BDH("AMGN US Equity","BS_TOTAL_LINE_OF_CREDIT","FQ1 2021","FQ1 2021","Currency=USD","Period=FQ","BEST_FPERIOD_OVERRIDE=FQ","FILING_STATUS=MR","SCALING_FORMAT=MLN","Sort=A","Dates=H","DateFormat=P","Fill=—","Direction=H","UseDPDF=Y")</f>
        <v>—</v>
      </c>
      <c r="M24" s="13" t="str">
        <f>_xll.BDH("AMGN US Equity","BS_TOTAL_LINE_OF_CREDIT","FQ2 2021","FQ2 2021","Currency=USD","Period=FQ","BEST_FPERIOD_OVERRIDE=FQ","FILING_STATUS=MR","SCALING_FORMAT=MLN","Sort=A","Dates=H","DateFormat=P","Fill=—","Direction=H","UseDPDF=Y")</f>
        <v>—</v>
      </c>
      <c r="N24" s="13" t="str">
        <f>_xll.BDH("AMGN US Equity","BS_TOTAL_LINE_OF_CREDIT","FQ3 2021","FQ3 2021","Currency=USD","Period=FQ","BEST_FPERIOD_OVERRIDE=FQ","FILING_STATUS=MR","SCALING_FORMAT=MLN","Sort=A","Dates=H","DateFormat=P","Fill=—","Direction=H","UseDPDF=Y")</f>
        <v>—</v>
      </c>
      <c r="O24" s="13">
        <f>_xll.BDH("AMGN US Equity","BS_TOTAL_LINE_OF_CREDIT","FQ4 2021","FQ4 2021","Currency=USD","Period=FQ","BEST_FPERIOD_OVERRIDE=FQ","FILING_STATUS=MR","SCALING_FORMAT=MLN","Sort=A","Dates=H","DateFormat=P","Fill=—","Direction=H","UseDPDF=Y")</f>
        <v>2500</v>
      </c>
      <c r="P24" s="13" t="str">
        <f>_xll.BDH("AMGN US Equity","BS_TOTAL_LINE_OF_CREDIT","FQ1 2022","FQ1 2022","Currency=USD","Period=FQ","BEST_FPERIOD_OVERRIDE=FQ","FILING_STATUS=MR","SCALING_FORMAT=MLN","Sort=A","Dates=H","DateFormat=P","Fill=—","Direction=H","UseDPDF=Y")</f>
        <v>—</v>
      </c>
      <c r="Q24" s="13" t="str">
        <f>_xll.BDH("AMGN US Equity","BS_TOTAL_LINE_OF_CREDIT","FQ2 2022","FQ2 2022","Currency=USD","Period=FQ","BEST_FPERIOD_OVERRIDE=FQ","FILING_STATUS=MR","SCALING_FORMAT=MLN","Sort=A","Dates=H","DateFormat=P","Fill=—","Direction=H","UseDPDF=Y")</f>
        <v>—</v>
      </c>
      <c r="R24" s="13" t="str">
        <f>_xll.BDH("AMGN US Equity","BS_TOTAL_LINE_OF_CREDIT","FQ3 2022","FQ3 2022","Currency=USD","Period=FQ","BEST_FPERIOD_OVERRIDE=FQ","FILING_STATUS=MR","SCALING_FORMAT=MLN","Sort=A","Dates=H","DateFormat=P","Fill=—","Direction=H","UseDPDF=Y")</f>
        <v>—</v>
      </c>
      <c r="S24" s="13">
        <f>_xll.BDH("AMGN US Equity","BS_TOTAL_LINE_OF_CREDIT","FQ4 2022","FQ4 2022","Currency=USD","Period=FQ","BEST_FPERIOD_OVERRIDE=FQ","FILING_STATUS=MR","SCALING_FORMAT=MLN","Sort=A","Dates=H","DateFormat=P","Fill=—","Direction=H","UseDPDF=Y")</f>
        <v>2500</v>
      </c>
      <c r="T24" s="13" t="str">
        <f>_xll.BDH("AMGN US Equity","BS_TOTAL_LINE_OF_CREDIT","FQ1 2023","FQ1 2023","Currency=USD","Period=FQ","BEST_FPERIOD_OVERRIDE=FQ","FILING_STATUS=MR","SCALING_FORMAT=MLN","Sort=A","Dates=H","DateFormat=P","Fill=—","Direction=H","UseDPDF=Y")</f>
        <v>—</v>
      </c>
      <c r="U24" s="13" t="str">
        <f>_xll.BDH("AMGN US Equity","BS_TOTAL_LINE_OF_CREDIT","FQ2 2023","FQ2 2023","Currency=USD","Period=FQ","BEST_FPERIOD_OVERRIDE=FQ","FILING_STATUS=MR","SCALING_FORMAT=MLN","Sort=A","Dates=H","DateFormat=P","Fill=—","Direction=H","UseDPDF=Y")</f>
        <v>—</v>
      </c>
      <c r="V24" s="13" t="str">
        <f>_xll.BDH("AMGN US Equity","BS_TOTAL_LINE_OF_CREDIT","FQ3 2023","FQ3 2023","Currency=USD","Period=FQ","BEST_FPERIOD_OVERRIDE=FQ","FILING_STATUS=MR","SCALING_FORMAT=MLN","Sort=A","Dates=H","DateFormat=P","Fill=—","Direction=H","UseDPDF=Y")</f>
        <v>—</v>
      </c>
      <c r="W24" s="13">
        <f>_xll.BDH("AMGN US Equity","BS_TOTAL_LINE_OF_CREDIT","FQ4 2023","FQ4 2023","Currency=USD","Period=FQ","BEST_FPERIOD_OVERRIDE=FQ","FILING_STATUS=MR","SCALING_FORMAT=MLN","Sort=A","Dates=H","DateFormat=P","Fill=—","Direction=H","UseDPDF=Y")</f>
        <v>2500</v>
      </c>
      <c r="X24" s="13" t="str">
        <f>_xll.BDH("AMGN US Equity","BS_TOTAL_LINE_OF_CREDIT","FQ1 2024","FQ1 2024","Currency=USD","Period=FQ","BEST_FPERIOD_OVERRIDE=FQ","FILING_STATUS=MR","SCALING_FORMAT=MLN","Sort=A","Dates=H","DateFormat=P","Fill=—","Direction=H","UseDPDF=Y")</f>
        <v>—</v>
      </c>
      <c r="Y24" s="13" t="str">
        <f>_xll.BDH("AMGN US Equity","BS_TOTAL_LINE_OF_CREDIT","FQ2 2024","FQ2 2024","Currency=USD","Period=FQ","BEST_FPERIOD_OVERRIDE=FQ","FILING_STATUS=MR","SCALING_FORMAT=MLN","Sort=A","Dates=H","DateFormat=P","Fill=—","Direction=H","UseDPDF=Y")</f>
        <v>—</v>
      </c>
      <c r="Z24" s="13" t="str">
        <f>_xll.BDH("AMGN US Equity","BS_TOTAL_LINE_OF_CREDIT","FQ3 2024","FQ3 2024","Currency=USD","Period=FQ","BEST_FPERIOD_OVERRIDE=FQ","FILING_STATUS=MR","SCALING_FORMAT=MLN","Sort=A","Dates=H","DateFormat=P","Fill=—","Direction=H","UseDPDF=Y")</f>
        <v>—</v>
      </c>
      <c r="AA24" s="13">
        <f>_xll.BDH("AMGN US Equity","BS_TOTAL_LINE_OF_CREDIT","FQ4 2024","FQ4 2024","Currency=USD","Period=FQ","BEST_FPERIOD_OVERRIDE=FQ","FILING_STATUS=MR","SCALING_FORMAT=MLN","Sort=A","Dates=H","DateFormat=P","Fill=—","Direction=H","UseDPDF=Y")</f>
        <v>2500</v>
      </c>
    </row>
    <row r="25" spans="1:27" x14ac:dyDescent="0.25">
      <c r="A25" s="10" t="s">
        <v>1635</v>
      </c>
      <c r="B25" s="10" t="s">
        <v>1636</v>
      </c>
      <c r="C25" s="13">
        <f>_xll.BDH("AMGN US Equity","BS_TOTAL_AVAIL_LINE_OF_CREDIT","FQ4 2018","FQ4 2018","Currency=USD","Period=FQ","BEST_FPERIOD_OVERRIDE=FQ","FILING_STATUS=MR","SCALING_FORMAT=MLN","Sort=A","Dates=H","DateFormat=P","Fill=—","Direction=H","UseDPDF=Y")</f>
        <v>2500</v>
      </c>
      <c r="D25" s="13" t="str">
        <f>_xll.BDH("AMGN US Equity","BS_TOTAL_AVAIL_LINE_OF_CREDIT","FQ1 2019","FQ1 2019","Currency=USD","Period=FQ","BEST_FPERIOD_OVERRIDE=FQ","FILING_STATUS=MR","SCALING_FORMAT=MLN","Sort=A","Dates=H","DateFormat=P","Fill=—","Direction=H","UseDPDF=Y")</f>
        <v>—</v>
      </c>
      <c r="E25" s="13" t="str">
        <f>_xll.BDH("AMGN US Equity","BS_TOTAL_AVAIL_LINE_OF_CREDIT","FQ2 2019","FQ2 2019","Currency=USD","Period=FQ","BEST_FPERIOD_OVERRIDE=FQ","FILING_STATUS=MR","SCALING_FORMAT=MLN","Sort=A","Dates=H","DateFormat=P","Fill=—","Direction=H","UseDPDF=Y")</f>
        <v>—</v>
      </c>
      <c r="F25" s="13" t="str">
        <f>_xll.BDH("AMGN US Equity","BS_TOTAL_AVAIL_LINE_OF_CREDIT","FQ3 2019","FQ3 2019","Currency=USD","Period=FQ","BEST_FPERIOD_OVERRIDE=FQ","FILING_STATUS=MR","SCALING_FORMAT=MLN","Sort=A","Dates=H","DateFormat=P","Fill=—","Direction=H","UseDPDF=Y")</f>
        <v>—</v>
      </c>
      <c r="G25" s="13">
        <f>_xll.BDH("AMGN US Equity","BS_TOTAL_AVAIL_LINE_OF_CREDIT","FQ4 2019","FQ4 2019","Currency=USD","Period=FQ","BEST_FPERIOD_OVERRIDE=FQ","FILING_STATUS=MR","SCALING_FORMAT=MLN","Sort=A","Dates=H","DateFormat=P","Fill=—","Direction=H","UseDPDF=Y")</f>
        <v>2500</v>
      </c>
      <c r="H25" s="13" t="str">
        <f>_xll.BDH("AMGN US Equity","BS_TOTAL_AVAIL_LINE_OF_CREDIT","FQ1 2020","FQ1 2020","Currency=USD","Period=FQ","BEST_FPERIOD_OVERRIDE=FQ","FILING_STATUS=MR","SCALING_FORMAT=MLN","Sort=A","Dates=H","DateFormat=P","Fill=—","Direction=H","UseDPDF=Y")</f>
        <v>—</v>
      </c>
      <c r="I25" s="13" t="str">
        <f>_xll.BDH("AMGN US Equity","BS_TOTAL_AVAIL_LINE_OF_CREDIT","FQ2 2020","FQ2 2020","Currency=USD","Period=FQ","BEST_FPERIOD_OVERRIDE=FQ","FILING_STATUS=MR","SCALING_FORMAT=MLN","Sort=A","Dates=H","DateFormat=P","Fill=—","Direction=H","UseDPDF=Y")</f>
        <v>—</v>
      </c>
      <c r="J25" s="13" t="str">
        <f>_xll.BDH("AMGN US Equity","BS_TOTAL_AVAIL_LINE_OF_CREDIT","FQ3 2020","FQ3 2020","Currency=USD","Period=FQ","BEST_FPERIOD_OVERRIDE=FQ","FILING_STATUS=MR","SCALING_FORMAT=MLN","Sort=A","Dates=H","DateFormat=P","Fill=—","Direction=H","UseDPDF=Y")</f>
        <v>—</v>
      </c>
      <c r="K25" s="13">
        <f>_xll.BDH("AMGN US Equity","BS_TOTAL_AVAIL_LINE_OF_CREDIT","FQ4 2020","FQ4 2020","Currency=USD","Period=FQ","BEST_FPERIOD_OVERRIDE=FQ","FILING_STATUS=MR","SCALING_FORMAT=MLN","Sort=A","Dates=H","DateFormat=P","Fill=—","Direction=H","UseDPDF=Y")</f>
        <v>2500</v>
      </c>
      <c r="L25" s="13" t="str">
        <f>_xll.BDH("AMGN US Equity","BS_TOTAL_AVAIL_LINE_OF_CREDIT","FQ1 2021","FQ1 2021","Currency=USD","Period=FQ","BEST_FPERIOD_OVERRIDE=FQ","FILING_STATUS=MR","SCALING_FORMAT=MLN","Sort=A","Dates=H","DateFormat=P","Fill=—","Direction=H","UseDPDF=Y")</f>
        <v>—</v>
      </c>
      <c r="M25" s="13" t="str">
        <f>_xll.BDH("AMGN US Equity","BS_TOTAL_AVAIL_LINE_OF_CREDIT","FQ2 2021","FQ2 2021","Currency=USD","Period=FQ","BEST_FPERIOD_OVERRIDE=FQ","FILING_STATUS=MR","SCALING_FORMAT=MLN","Sort=A","Dates=H","DateFormat=P","Fill=—","Direction=H","UseDPDF=Y")</f>
        <v>—</v>
      </c>
      <c r="N25" s="13" t="str">
        <f>_xll.BDH("AMGN US Equity","BS_TOTAL_AVAIL_LINE_OF_CREDIT","FQ3 2021","FQ3 2021","Currency=USD","Period=FQ","BEST_FPERIOD_OVERRIDE=FQ","FILING_STATUS=MR","SCALING_FORMAT=MLN","Sort=A","Dates=H","DateFormat=P","Fill=—","Direction=H","UseDPDF=Y")</f>
        <v>—</v>
      </c>
      <c r="O25" s="13">
        <f>_xll.BDH("AMGN US Equity","BS_TOTAL_AVAIL_LINE_OF_CREDIT","FQ4 2021","FQ4 2021","Currency=USD","Period=FQ","BEST_FPERIOD_OVERRIDE=FQ","FILING_STATUS=MR","SCALING_FORMAT=MLN","Sort=A","Dates=H","DateFormat=P","Fill=—","Direction=H","UseDPDF=Y")</f>
        <v>2500</v>
      </c>
      <c r="P25" s="13" t="str">
        <f>_xll.BDH("AMGN US Equity","BS_TOTAL_AVAIL_LINE_OF_CREDIT","FQ1 2022","FQ1 2022","Currency=USD","Period=FQ","BEST_FPERIOD_OVERRIDE=FQ","FILING_STATUS=MR","SCALING_FORMAT=MLN","Sort=A","Dates=H","DateFormat=P","Fill=—","Direction=H","UseDPDF=Y")</f>
        <v>—</v>
      </c>
      <c r="Q25" s="13" t="str">
        <f>_xll.BDH("AMGN US Equity","BS_TOTAL_AVAIL_LINE_OF_CREDIT","FQ2 2022","FQ2 2022","Currency=USD","Period=FQ","BEST_FPERIOD_OVERRIDE=FQ","FILING_STATUS=MR","SCALING_FORMAT=MLN","Sort=A","Dates=H","DateFormat=P","Fill=—","Direction=H","UseDPDF=Y")</f>
        <v>—</v>
      </c>
      <c r="R25" s="13" t="str">
        <f>_xll.BDH("AMGN US Equity","BS_TOTAL_AVAIL_LINE_OF_CREDIT","FQ3 2022","FQ3 2022","Currency=USD","Period=FQ","BEST_FPERIOD_OVERRIDE=FQ","FILING_STATUS=MR","SCALING_FORMAT=MLN","Sort=A","Dates=H","DateFormat=P","Fill=—","Direction=H","UseDPDF=Y")</f>
        <v>—</v>
      </c>
      <c r="S25" s="13">
        <f>_xll.BDH("AMGN US Equity","BS_TOTAL_AVAIL_LINE_OF_CREDIT","FQ4 2022","FQ4 2022","Currency=USD","Period=FQ","BEST_FPERIOD_OVERRIDE=FQ","FILING_STATUS=MR","SCALING_FORMAT=MLN","Sort=A","Dates=H","DateFormat=P","Fill=—","Direction=H","UseDPDF=Y")</f>
        <v>2500</v>
      </c>
      <c r="T25" s="13" t="str">
        <f>_xll.BDH("AMGN US Equity","BS_TOTAL_AVAIL_LINE_OF_CREDIT","FQ1 2023","FQ1 2023","Currency=USD","Period=FQ","BEST_FPERIOD_OVERRIDE=FQ","FILING_STATUS=MR","SCALING_FORMAT=MLN","Sort=A","Dates=H","DateFormat=P","Fill=—","Direction=H","UseDPDF=Y")</f>
        <v>—</v>
      </c>
      <c r="U25" s="13" t="str">
        <f>_xll.BDH("AMGN US Equity","BS_TOTAL_AVAIL_LINE_OF_CREDIT","FQ2 2023","FQ2 2023","Currency=USD","Period=FQ","BEST_FPERIOD_OVERRIDE=FQ","FILING_STATUS=MR","SCALING_FORMAT=MLN","Sort=A","Dates=H","DateFormat=P","Fill=—","Direction=H","UseDPDF=Y")</f>
        <v>—</v>
      </c>
      <c r="V25" s="13" t="str">
        <f>_xll.BDH("AMGN US Equity","BS_TOTAL_AVAIL_LINE_OF_CREDIT","FQ3 2023","FQ3 2023","Currency=USD","Period=FQ","BEST_FPERIOD_OVERRIDE=FQ","FILING_STATUS=MR","SCALING_FORMAT=MLN","Sort=A","Dates=H","DateFormat=P","Fill=—","Direction=H","UseDPDF=Y")</f>
        <v>—</v>
      </c>
      <c r="W25" s="13">
        <f>_xll.BDH("AMGN US Equity","BS_TOTAL_AVAIL_LINE_OF_CREDIT","FQ4 2023","FQ4 2023","Currency=USD","Period=FQ","BEST_FPERIOD_OVERRIDE=FQ","FILING_STATUS=MR","SCALING_FORMAT=MLN","Sort=A","Dates=H","DateFormat=P","Fill=—","Direction=H","UseDPDF=Y")</f>
        <v>2500</v>
      </c>
      <c r="X25" s="13" t="str">
        <f>_xll.BDH("AMGN US Equity","BS_TOTAL_AVAIL_LINE_OF_CREDIT","FQ1 2024","FQ1 2024","Currency=USD","Period=FQ","BEST_FPERIOD_OVERRIDE=FQ","FILING_STATUS=MR","SCALING_FORMAT=MLN","Sort=A","Dates=H","DateFormat=P","Fill=—","Direction=H","UseDPDF=Y")</f>
        <v>—</v>
      </c>
      <c r="Y25" s="13" t="str">
        <f>_xll.BDH("AMGN US Equity","BS_TOTAL_AVAIL_LINE_OF_CREDIT","FQ2 2024","FQ2 2024","Currency=USD","Period=FQ","BEST_FPERIOD_OVERRIDE=FQ","FILING_STATUS=MR","SCALING_FORMAT=MLN","Sort=A","Dates=H","DateFormat=P","Fill=—","Direction=H","UseDPDF=Y")</f>
        <v>—</v>
      </c>
      <c r="Z25" s="13" t="str">
        <f>_xll.BDH("AMGN US Equity","BS_TOTAL_AVAIL_LINE_OF_CREDIT","FQ3 2024","FQ3 2024","Currency=USD","Period=FQ","BEST_FPERIOD_OVERRIDE=FQ","FILING_STATUS=MR","SCALING_FORMAT=MLN","Sort=A","Dates=H","DateFormat=P","Fill=—","Direction=H","UseDPDF=Y")</f>
        <v>—</v>
      </c>
      <c r="AA25" s="13">
        <f>_xll.BDH("AMGN US Equity","BS_TOTAL_AVAIL_LINE_OF_CREDIT","FQ4 2024","FQ4 2024","Currency=USD","Period=FQ","BEST_FPERIOD_OVERRIDE=FQ","FILING_STATUS=MR","SCALING_FORMAT=MLN","Sort=A","Dates=H","DateFormat=P","Fill=—","Direction=H","UseDPDF=Y")</f>
        <v>2500</v>
      </c>
    </row>
    <row r="26" spans="1:27" x14ac:dyDescent="0.25">
      <c r="A26" s="10" t="s">
        <v>1637</v>
      </c>
      <c r="B26" s="10" t="s">
        <v>1638</v>
      </c>
      <c r="C26" s="13">
        <f>_xll.BDH("AMGN US Equity","LINE_OF_CREDIT_UTILIZED_AMOUNT","FQ4 2018","FQ4 2018","Currency=USD","Period=FQ","BEST_FPERIOD_OVERRIDE=FQ","FILING_STATUS=MR","SCALING_FORMAT=MLN","Sort=A","Dates=H","DateFormat=P","Fill=—","Direction=H","UseDPDF=Y")</f>
        <v>0</v>
      </c>
      <c r="D26" s="13" t="str">
        <f>_xll.BDH("AMGN US Equity","LINE_OF_CREDIT_UTILIZED_AMOUNT","FQ1 2019","FQ1 2019","Currency=USD","Period=FQ","BEST_FPERIOD_OVERRIDE=FQ","FILING_STATUS=MR","SCALING_FORMAT=MLN","Sort=A","Dates=H","DateFormat=P","Fill=—","Direction=H","UseDPDF=Y")</f>
        <v>—</v>
      </c>
      <c r="E26" s="13" t="str">
        <f>_xll.BDH("AMGN US Equity","LINE_OF_CREDIT_UTILIZED_AMOUNT","FQ2 2019","FQ2 2019","Currency=USD","Period=FQ","BEST_FPERIOD_OVERRIDE=FQ","FILING_STATUS=MR","SCALING_FORMAT=MLN","Sort=A","Dates=H","DateFormat=P","Fill=—","Direction=H","UseDPDF=Y")</f>
        <v>—</v>
      </c>
      <c r="F26" s="13" t="str">
        <f>_xll.BDH("AMGN US Equity","LINE_OF_CREDIT_UTILIZED_AMOUNT","FQ3 2019","FQ3 2019","Currency=USD","Period=FQ","BEST_FPERIOD_OVERRIDE=FQ","FILING_STATUS=MR","SCALING_FORMAT=MLN","Sort=A","Dates=H","DateFormat=P","Fill=—","Direction=H","UseDPDF=Y")</f>
        <v>—</v>
      </c>
      <c r="G26" s="13">
        <f>_xll.BDH("AMGN US Equity","LINE_OF_CREDIT_UTILIZED_AMOUNT","FQ4 2019","FQ4 2019","Currency=USD","Period=FQ","BEST_FPERIOD_OVERRIDE=FQ","FILING_STATUS=MR","SCALING_FORMAT=MLN","Sort=A","Dates=H","DateFormat=P","Fill=—","Direction=H","UseDPDF=Y")</f>
        <v>0</v>
      </c>
      <c r="H26" s="13" t="str">
        <f>_xll.BDH("AMGN US Equity","LINE_OF_CREDIT_UTILIZED_AMOUNT","FQ1 2020","FQ1 2020","Currency=USD","Period=FQ","BEST_FPERIOD_OVERRIDE=FQ","FILING_STATUS=MR","SCALING_FORMAT=MLN","Sort=A","Dates=H","DateFormat=P","Fill=—","Direction=H","UseDPDF=Y")</f>
        <v>—</v>
      </c>
      <c r="I26" s="13" t="str">
        <f>_xll.BDH("AMGN US Equity","LINE_OF_CREDIT_UTILIZED_AMOUNT","FQ2 2020","FQ2 2020","Currency=USD","Period=FQ","BEST_FPERIOD_OVERRIDE=FQ","FILING_STATUS=MR","SCALING_FORMAT=MLN","Sort=A","Dates=H","DateFormat=P","Fill=—","Direction=H","UseDPDF=Y")</f>
        <v>—</v>
      </c>
      <c r="J26" s="13" t="str">
        <f>_xll.BDH("AMGN US Equity","LINE_OF_CREDIT_UTILIZED_AMOUNT","FQ3 2020","FQ3 2020","Currency=USD","Period=FQ","BEST_FPERIOD_OVERRIDE=FQ","FILING_STATUS=MR","SCALING_FORMAT=MLN","Sort=A","Dates=H","DateFormat=P","Fill=—","Direction=H","UseDPDF=Y")</f>
        <v>—</v>
      </c>
      <c r="K26" s="13">
        <f>_xll.BDH("AMGN US Equity","LINE_OF_CREDIT_UTILIZED_AMOUNT","FQ4 2020","FQ4 2020","Currency=USD","Period=FQ","BEST_FPERIOD_OVERRIDE=FQ","FILING_STATUS=MR","SCALING_FORMAT=MLN","Sort=A","Dates=H","DateFormat=P","Fill=—","Direction=H","UseDPDF=Y")</f>
        <v>0</v>
      </c>
      <c r="L26" s="13" t="str">
        <f>_xll.BDH("AMGN US Equity","LINE_OF_CREDIT_UTILIZED_AMOUNT","FQ1 2021","FQ1 2021","Currency=USD","Period=FQ","BEST_FPERIOD_OVERRIDE=FQ","FILING_STATUS=MR","SCALING_FORMAT=MLN","Sort=A","Dates=H","DateFormat=P","Fill=—","Direction=H","UseDPDF=Y")</f>
        <v>—</v>
      </c>
      <c r="M26" s="13" t="str">
        <f>_xll.BDH("AMGN US Equity","LINE_OF_CREDIT_UTILIZED_AMOUNT","FQ2 2021","FQ2 2021","Currency=USD","Period=FQ","BEST_FPERIOD_OVERRIDE=FQ","FILING_STATUS=MR","SCALING_FORMAT=MLN","Sort=A","Dates=H","DateFormat=P","Fill=—","Direction=H","UseDPDF=Y")</f>
        <v>—</v>
      </c>
      <c r="N26" s="13" t="str">
        <f>_xll.BDH("AMGN US Equity","LINE_OF_CREDIT_UTILIZED_AMOUNT","FQ3 2021","FQ3 2021","Currency=USD","Period=FQ","BEST_FPERIOD_OVERRIDE=FQ","FILING_STATUS=MR","SCALING_FORMAT=MLN","Sort=A","Dates=H","DateFormat=P","Fill=—","Direction=H","UseDPDF=Y")</f>
        <v>—</v>
      </c>
      <c r="O26" s="13">
        <f>_xll.BDH("AMGN US Equity","LINE_OF_CREDIT_UTILIZED_AMOUNT","FQ4 2021","FQ4 2021","Currency=USD","Period=FQ","BEST_FPERIOD_OVERRIDE=FQ","FILING_STATUS=MR","SCALING_FORMAT=MLN","Sort=A","Dates=H","DateFormat=P","Fill=—","Direction=H","UseDPDF=Y")</f>
        <v>0</v>
      </c>
      <c r="P26" s="13" t="str">
        <f>_xll.BDH("AMGN US Equity","LINE_OF_CREDIT_UTILIZED_AMOUNT","FQ1 2022","FQ1 2022","Currency=USD","Period=FQ","BEST_FPERIOD_OVERRIDE=FQ","FILING_STATUS=MR","SCALING_FORMAT=MLN","Sort=A","Dates=H","DateFormat=P","Fill=—","Direction=H","UseDPDF=Y")</f>
        <v>—</v>
      </c>
      <c r="Q26" s="13" t="str">
        <f>_xll.BDH("AMGN US Equity","LINE_OF_CREDIT_UTILIZED_AMOUNT","FQ2 2022","FQ2 2022","Currency=USD","Period=FQ","BEST_FPERIOD_OVERRIDE=FQ","FILING_STATUS=MR","SCALING_FORMAT=MLN","Sort=A","Dates=H","DateFormat=P","Fill=—","Direction=H","UseDPDF=Y")</f>
        <v>—</v>
      </c>
      <c r="R26" s="13" t="str">
        <f>_xll.BDH("AMGN US Equity","LINE_OF_CREDIT_UTILIZED_AMOUNT","FQ3 2022","FQ3 2022","Currency=USD","Period=FQ","BEST_FPERIOD_OVERRIDE=FQ","FILING_STATUS=MR","SCALING_FORMAT=MLN","Sort=A","Dates=H","DateFormat=P","Fill=—","Direction=H","UseDPDF=Y")</f>
        <v>—</v>
      </c>
      <c r="S26" s="13">
        <f>_xll.BDH("AMGN US Equity","LINE_OF_CREDIT_UTILIZED_AMOUNT","FQ4 2022","FQ4 2022","Currency=USD","Period=FQ","BEST_FPERIOD_OVERRIDE=FQ","FILING_STATUS=MR","SCALING_FORMAT=MLN","Sort=A","Dates=H","DateFormat=P","Fill=—","Direction=H","UseDPDF=Y")</f>
        <v>0</v>
      </c>
      <c r="T26" s="13" t="str">
        <f>_xll.BDH("AMGN US Equity","LINE_OF_CREDIT_UTILIZED_AMOUNT","FQ1 2023","FQ1 2023","Currency=USD","Period=FQ","BEST_FPERIOD_OVERRIDE=FQ","FILING_STATUS=MR","SCALING_FORMAT=MLN","Sort=A","Dates=H","DateFormat=P","Fill=—","Direction=H","UseDPDF=Y")</f>
        <v>—</v>
      </c>
      <c r="U26" s="13" t="str">
        <f>_xll.BDH("AMGN US Equity","LINE_OF_CREDIT_UTILIZED_AMOUNT","FQ2 2023","FQ2 2023","Currency=USD","Period=FQ","BEST_FPERIOD_OVERRIDE=FQ","FILING_STATUS=MR","SCALING_FORMAT=MLN","Sort=A","Dates=H","DateFormat=P","Fill=—","Direction=H","UseDPDF=Y")</f>
        <v>—</v>
      </c>
      <c r="V26" s="13" t="str">
        <f>_xll.BDH("AMGN US Equity","LINE_OF_CREDIT_UTILIZED_AMOUNT","FQ3 2023","FQ3 2023","Currency=USD","Period=FQ","BEST_FPERIOD_OVERRIDE=FQ","FILING_STATUS=MR","SCALING_FORMAT=MLN","Sort=A","Dates=H","DateFormat=P","Fill=—","Direction=H","UseDPDF=Y")</f>
        <v>—</v>
      </c>
      <c r="W26" s="13">
        <f>_xll.BDH("AMGN US Equity","LINE_OF_CREDIT_UTILIZED_AMOUNT","FQ4 2023","FQ4 2023","Currency=USD","Period=FQ","BEST_FPERIOD_OVERRIDE=FQ","FILING_STATUS=MR","SCALING_FORMAT=MLN","Sort=A","Dates=H","DateFormat=P","Fill=—","Direction=H","UseDPDF=Y")</f>
        <v>0</v>
      </c>
      <c r="X26" s="13" t="str">
        <f>_xll.BDH("AMGN US Equity","LINE_OF_CREDIT_UTILIZED_AMOUNT","FQ1 2024","FQ1 2024","Currency=USD","Period=FQ","BEST_FPERIOD_OVERRIDE=FQ","FILING_STATUS=MR","SCALING_FORMAT=MLN","Sort=A","Dates=H","DateFormat=P","Fill=—","Direction=H","UseDPDF=Y")</f>
        <v>—</v>
      </c>
      <c r="Y26" s="13" t="str">
        <f>_xll.BDH("AMGN US Equity","LINE_OF_CREDIT_UTILIZED_AMOUNT","FQ2 2024","FQ2 2024","Currency=USD","Period=FQ","BEST_FPERIOD_OVERRIDE=FQ","FILING_STATUS=MR","SCALING_FORMAT=MLN","Sort=A","Dates=H","DateFormat=P","Fill=—","Direction=H","UseDPDF=Y")</f>
        <v>—</v>
      </c>
      <c r="Z26" s="13" t="str">
        <f>_xll.BDH("AMGN US Equity","LINE_OF_CREDIT_UTILIZED_AMOUNT","FQ3 2024","FQ3 2024","Currency=USD","Period=FQ","BEST_FPERIOD_OVERRIDE=FQ","FILING_STATUS=MR","SCALING_FORMAT=MLN","Sort=A","Dates=H","DateFormat=P","Fill=—","Direction=H","UseDPDF=Y")</f>
        <v>—</v>
      </c>
      <c r="AA26" s="13">
        <f>_xll.BDH("AMGN US Equity","LINE_OF_CREDIT_UTILIZED_AMOUNT","FQ4 2024","FQ4 2024","Currency=USD","Period=FQ","BEST_FPERIOD_OVERRIDE=FQ","FILING_STATUS=MR","SCALING_FORMAT=MLN","Sort=A","Dates=H","DateFormat=P","Fill=—","Direction=H","UseDPDF=Y")</f>
        <v>0</v>
      </c>
    </row>
    <row r="27" spans="1:27" x14ac:dyDescent="0.25">
      <c r="A27" s="10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x14ac:dyDescent="0.25">
      <c r="A28" s="10" t="s">
        <v>1639</v>
      </c>
      <c r="B28" s="10" t="s">
        <v>1640</v>
      </c>
      <c r="C28" s="13">
        <f>_xll.BDH("AMGN US Equity","BS_TOT_COM_PAPER_ISSUED","FQ4 2018","FQ4 2018","Currency=USD","Period=FQ","BEST_FPERIOD_OVERRIDE=FQ","FILING_STATUS=MR","SCALING_FORMAT=MLN","Sort=A","Dates=H","DateFormat=P","Fill=—","Direction=H","UseDPDF=Y")</f>
        <v>0</v>
      </c>
      <c r="D28" s="13" t="str">
        <f>_xll.BDH("AMGN US Equity","BS_TOT_COM_PAPER_ISSUED","FQ1 2019","FQ1 2019","Currency=USD","Period=FQ","BEST_FPERIOD_OVERRIDE=FQ","FILING_STATUS=MR","SCALING_FORMAT=MLN","Sort=A","Dates=H","DateFormat=P","Fill=—","Direction=H","UseDPDF=Y")</f>
        <v>—</v>
      </c>
      <c r="E28" s="13" t="str">
        <f>_xll.BDH("AMGN US Equity","BS_TOT_COM_PAPER_ISSUED","FQ2 2019","FQ2 2019","Currency=USD","Period=FQ","BEST_FPERIOD_OVERRIDE=FQ","FILING_STATUS=MR","SCALING_FORMAT=MLN","Sort=A","Dates=H","DateFormat=P","Fill=—","Direction=H","UseDPDF=Y")</f>
        <v>—</v>
      </c>
      <c r="F28" s="13" t="str">
        <f>_xll.BDH("AMGN US Equity","BS_TOT_COM_PAPER_ISSUED","FQ3 2019","FQ3 2019","Currency=USD","Period=FQ","BEST_FPERIOD_OVERRIDE=FQ","FILING_STATUS=MR","SCALING_FORMAT=MLN","Sort=A","Dates=H","DateFormat=P","Fill=—","Direction=H","UseDPDF=Y")</f>
        <v>—</v>
      </c>
      <c r="G28" s="13">
        <f>_xll.BDH("AMGN US Equity","BS_TOT_COM_PAPER_ISSUED","FQ4 2019","FQ4 2019","Currency=USD","Period=FQ","BEST_FPERIOD_OVERRIDE=FQ","FILING_STATUS=MR","SCALING_FORMAT=MLN","Sort=A","Dates=H","DateFormat=P","Fill=—","Direction=H","UseDPDF=Y")</f>
        <v>0</v>
      </c>
      <c r="H28" s="13" t="str">
        <f>_xll.BDH("AMGN US Equity","BS_TOT_COM_PAPER_ISSUED","FQ1 2020","FQ1 2020","Currency=USD","Period=FQ","BEST_FPERIOD_OVERRIDE=FQ","FILING_STATUS=MR","SCALING_FORMAT=MLN","Sort=A","Dates=H","DateFormat=P","Fill=—","Direction=H","UseDPDF=Y")</f>
        <v>—</v>
      </c>
      <c r="I28" s="13" t="str">
        <f>_xll.BDH("AMGN US Equity","BS_TOT_COM_PAPER_ISSUED","FQ2 2020","FQ2 2020","Currency=USD","Period=FQ","BEST_FPERIOD_OVERRIDE=FQ","FILING_STATUS=MR","SCALING_FORMAT=MLN","Sort=A","Dates=H","DateFormat=P","Fill=—","Direction=H","UseDPDF=Y")</f>
        <v>—</v>
      </c>
      <c r="J28" s="13" t="str">
        <f>_xll.BDH("AMGN US Equity","BS_TOT_COM_PAPER_ISSUED","FQ3 2020","FQ3 2020","Currency=USD","Period=FQ","BEST_FPERIOD_OVERRIDE=FQ","FILING_STATUS=MR","SCALING_FORMAT=MLN","Sort=A","Dates=H","DateFormat=P","Fill=—","Direction=H","UseDPDF=Y")</f>
        <v>—</v>
      </c>
      <c r="K28" s="13">
        <f>_xll.BDH("AMGN US Equity","BS_TOT_COM_PAPER_ISSUED","FQ4 2020","FQ4 2020","Currency=USD","Period=FQ","BEST_FPERIOD_OVERRIDE=FQ","FILING_STATUS=MR","SCALING_FORMAT=MLN","Sort=A","Dates=H","DateFormat=P","Fill=—","Direction=H","UseDPDF=Y")</f>
        <v>0</v>
      </c>
      <c r="L28" s="13" t="str">
        <f>_xll.BDH("AMGN US Equity","BS_TOT_COM_PAPER_ISSUED","FQ1 2021","FQ1 2021","Currency=USD","Period=FQ","BEST_FPERIOD_OVERRIDE=FQ","FILING_STATUS=MR","SCALING_FORMAT=MLN","Sort=A","Dates=H","DateFormat=P","Fill=—","Direction=H","UseDPDF=Y")</f>
        <v>—</v>
      </c>
      <c r="M28" s="13" t="str">
        <f>_xll.BDH("AMGN US Equity","BS_TOT_COM_PAPER_ISSUED","FQ2 2021","FQ2 2021","Currency=USD","Period=FQ","BEST_FPERIOD_OVERRIDE=FQ","FILING_STATUS=MR","SCALING_FORMAT=MLN","Sort=A","Dates=H","DateFormat=P","Fill=—","Direction=H","UseDPDF=Y")</f>
        <v>—</v>
      </c>
      <c r="N28" s="13" t="str">
        <f>_xll.BDH("AMGN US Equity","BS_TOT_COM_PAPER_ISSUED","FQ3 2021","FQ3 2021","Currency=USD","Period=FQ","BEST_FPERIOD_OVERRIDE=FQ","FILING_STATUS=MR","SCALING_FORMAT=MLN","Sort=A","Dates=H","DateFormat=P","Fill=—","Direction=H","UseDPDF=Y")</f>
        <v>—</v>
      </c>
      <c r="O28" s="13">
        <f>_xll.BDH("AMGN US Equity","BS_TOT_COM_PAPER_ISSUED","FQ4 2021","FQ4 2021","Currency=USD","Period=FQ","BEST_FPERIOD_OVERRIDE=FQ","FILING_STATUS=MR","SCALING_FORMAT=MLN","Sort=A","Dates=H","DateFormat=P","Fill=—","Direction=H","UseDPDF=Y")</f>
        <v>0</v>
      </c>
      <c r="P28" s="13" t="str">
        <f>_xll.BDH("AMGN US Equity","BS_TOT_COM_PAPER_ISSUED","FQ1 2022","FQ1 2022","Currency=USD","Period=FQ","BEST_FPERIOD_OVERRIDE=FQ","FILING_STATUS=MR","SCALING_FORMAT=MLN","Sort=A","Dates=H","DateFormat=P","Fill=—","Direction=H","UseDPDF=Y")</f>
        <v>—</v>
      </c>
      <c r="Q28" s="13" t="str">
        <f>_xll.BDH("AMGN US Equity","BS_TOT_COM_PAPER_ISSUED","FQ2 2022","FQ2 2022","Currency=USD","Period=FQ","BEST_FPERIOD_OVERRIDE=FQ","FILING_STATUS=MR","SCALING_FORMAT=MLN","Sort=A","Dates=H","DateFormat=P","Fill=—","Direction=H","UseDPDF=Y")</f>
        <v>—</v>
      </c>
      <c r="R28" s="13" t="str">
        <f>_xll.BDH("AMGN US Equity","BS_TOT_COM_PAPER_ISSUED","FQ3 2022","FQ3 2022","Currency=USD","Period=FQ","BEST_FPERIOD_OVERRIDE=FQ","FILING_STATUS=MR","SCALING_FORMAT=MLN","Sort=A","Dates=H","DateFormat=P","Fill=—","Direction=H","UseDPDF=Y")</f>
        <v>—</v>
      </c>
      <c r="S28" s="13">
        <f>_xll.BDH("AMGN US Equity","BS_TOT_COM_PAPER_ISSUED","FQ4 2022","FQ4 2022","Currency=USD","Period=FQ","BEST_FPERIOD_OVERRIDE=FQ","FILING_STATUS=MR","SCALING_FORMAT=MLN","Sort=A","Dates=H","DateFormat=P","Fill=—","Direction=H","UseDPDF=Y")</f>
        <v>0</v>
      </c>
      <c r="T28" s="13" t="str">
        <f>_xll.BDH("AMGN US Equity","BS_TOT_COM_PAPER_ISSUED","FQ1 2023","FQ1 2023","Currency=USD","Period=FQ","BEST_FPERIOD_OVERRIDE=FQ","FILING_STATUS=MR","SCALING_FORMAT=MLN","Sort=A","Dates=H","DateFormat=P","Fill=—","Direction=H","UseDPDF=Y")</f>
        <v>—</v>
      </c>
      <c r="U28" s="13" t="str">
        <f>_xll.BDH("AMGN US Equity","BS_TOT_COM_PAPER_ISSUED","FQ2 2023","FQ2 2023","Currency=USD","Period=FQ","BEST_FPERIOD_OVERRIDE=FQ","FILING_STATUS=MR","SCALING_FORMAT=MLN","Sort=A","Dates=H","DateFormat=P","Fill=—","Direction=H","UseDPDF=Y")</f>
        <v>—</v>
      </c>
      <c r="V28" s="13" t="str">
        <f>_xll.BDH("AMGN US Equity","BS_TOT_COM_PAPER_ISSUED","FQ3 2023","FQ3 2023","Currency=USD","Period=FQ","BEST_FPERIOD_OVERRIDE=FQ","FILING_STATUS=MR","SCALING_FORMAT=MLN","Sort=A","Dates=H","DateFormat=P","Fill=—","Direction=H","UseDPDF=Y")</f>
        <v>—</v>
      </c>
      <c r="W28" s="13">
        <f>_xll.BDH("AMGN US Equity","BS_TOT_COM_PAPER_ISSUED","FQ4 2023","FQ4 2023","Currency=USD","Period=FQ","BEST_FPERIOD_OVERRIDE=FQ","FILING_STATUS=MR","SCALING_FORMAT=MLN","Sort=A","Dates=H","DateFormat=P","Fill=—","Direction=H","UseDPDF=Y")</f>
        <v>0</v>
      </c>
      <c r="X28" s="13" t="str">
        <f>_xll.BDH("AMGN US Equity","BS_TOT_COM_PAPER_ISSUED","FQ1 2024","FQ1 2024","Currency=USD","Period=FQ","BEST_FPERIOD_OVERRIDE=FQ","FILING_STATUS=MR","SCALING_FORMAT=MLN","Sort=A","Dates=H","DateFormat=P","Fill=—","Direction=H","UseDPDF=Y")</f>
        <v>—</v>
      </c>
      <c r="Y28" s="13" t="str">
        <f>_xll.BDH("AMGN US Equity","BS_TOT_COM_PAPER_ISSUED","FQ2 2024","FQ2 2024","Currency=USD","Period=FQ","BEST_FPERIOD_OVERRIDE=FQ","FILING_STATUS=MR","SCALING_FORMAT=MLN","Sort=A","Dates=H","DateFormat=P","Fill=—","Direction=H","UseDPDF=Y")</f>
        <v>—</v>
      </c>
      <c r="Z28" s="13" t="str">
        <f>_xll.BDH("AMGN US Equity","BS_TOT_COM_PAPER_ISSUED","FQ3 2024","FQ3 2024","Currency=USD","Period=FQ","BEST_FPERIOD_OVERRIDE=FQ","FILING_STATUS=MR","SCALING_FORMAT=MLN","Sort=A","Dates=H","DateFormat=P","Fill=—","Direction=H","UseDPDF=Y")</f>
        <v>—</v>
      </c>
      <c r="AA28" s="13" t="str">
        <f>_xll.BDH("AMGN US Equity","BS_TOT_COM_PAPER_ISSUED","FQ4 2024","FQ4 2024","Currency=USD","Period=FQ","BEST_FPERIOD_OVERRIDE=FQ","FILING_STATUS=MR","SCALING_FORMAT=MLN","Sort=A","Dates=H","DateFormat=P","Fill=—","Direction=H","UseDPDF=Y")</f>
        <v>—</v>
      </c>
    </row>
    <row r="29" spans="1:27" x14ac:dyDescent="0.25">
      <c r="A29" s="7" t="s">
        <v>90</v>
      </c>
      <c r="B29" s="7"/>
      <c r="C29" s="7" t="s">
        <v>5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21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1641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1642</v>
      </c>
      <c r="B6" s="6" t="s">
        <v>1643</v>
      </c>
      <c r="C6" s="20">
        <f>_xll.BDH("AMGN US Equity","ACCT_RCV_TURN","FQ4 2018","FQ4 2018","Currency=USD","Period=FQ","BEST_FPERIOD_OVERRIDE=FQ","FILING_STATUS=MR","FA_ADJUSTED=GAAP","Sort=A","Dates=H","DateFormat=P","Fill=—","Direction=H","UseDPDF=Y")</f>
        <v>6.9669999999999996</v>
      </c>
      <c r="D6" s="20">
        <f>_xll.BDH("AMGN US Equity","ACCT_RCV_TURN","FQ1 2019","FQ1 2019","Currency=USD","Period=FQ","BEST_FPERIOD_OVERRIDE=FQ","FILING_STATUS=MR","FA_ADJUSTED=GAAP","Sort=A","Dates=H","DateFormat=P","Fill=—","Direction=H","UseDPDF=Y")</f>
        <v>6.4154999999999998</v>
      </c>
      <c r="E6" s="20">
        <f>_xll.BDH("AMGN US Equity","ACCT_RCV_TURN","FQ2 2019","FQ2 2019","Currency=USD","Period=FQ","BEST_FPERIOD_OVERRIDE=FQ","FILING_STATUS=MR","FA_ADJUSTED=GAAP","Sort=A","Dates=H","DateFormat=P","Fill=—","Direction=H","UseDPDF=Y")</f>
        <v>6.4508999999999999</v>
      </c>
      <c r="F6" s="20">
        <f>_xll.BDH("AMGN US Equity","ACCT_RCV_TURN","FQ3 2019","FQ3 2019","Currency=USD","Period=FQ","BEST_FPERIOD_OVERRIDE=FQ","FILING_STATUS=MR","FA_ADJUSTED=GAAP","Sort=A","Dates=H","DateFormat=P","Fill=—","Direction=H","UseDPDF=Y")</f>
        <v>6.6397000000000004</v>
      </c>
      <c r="G6" s="20">
        <f>_xll.BDH("AMGN US Equity","ACCT_RCV_TURN","FQ4 2019","FQ4 2019","Currency=USD","Period=FQ","BEST_FPERIOD_OVERRIDE=FQ","FILING_STATUS=MR","FA_ADJUSTED=GAAP","Sort=A","Dates=H","DateFormat=P","Fill=—","Direction=H","UseDPDF=Y")</f>
        <v>6.1181000000000001</v>
      </c>
      <c r="H6" s="20">
        <f>_xll.BDH("AMGN US Equity","ACCT_RCV_TURN","FQ1 2020","FQ1 2020","Currency=USD","Period=FQ","BEST_FPERIOD_OVERRIDE=FQ","FILING_STATUS=MR","FA_ADJUSTED=GAAP","Sort=A","Dates=H","DateFormat=P","Fill=—","Direction=H","UseDPDF=Y")</f>
        <v>5.4592000000000001</v>
      </c>
      <c r="I6" s="20">
        <f>_xll.BDH("AMGN US Equity","ACCT_RCV_TURN","FQ2 2020","FQ2 2020","Currency=USD","Period=FQ","BEST_FPERIOD_OVERRIDE=FQ","FILING_STATUS=MR","FA_ADJUSTED=GAAP","Sort=A","Dates=H","DateFormat=P","Fill=—","Direction=H","UseDPDF=Y")</f>
        <v>5.3018000000000001</v>
      </c>
      <c r="J6" s="20">
        <f>_xll.BDH("AMGN US Equity","ACCT_RCV_TURN","FQ3 2020","FQ3 2020","Currency=USD","Period=FQ","BEST_FPERIOD_OVERRIDE=FQ","FILING_STATUS=MR","FA_ADJUSTED=GAAP","Sort=A","Dates=H","DateFormat=P","Fill=—","Direction=H","UseDPDF=Y")</f>
        <v>6.4901</v>
      </c>
      <c r="K6" s="20">
        <f>_xll.BDH("AMGN US Equity","ACCT_RCV_TURN","FQ4 2020","FQ4 2020","Currency=USD","Period=FQ","BEST_FPERIOD_OVERRIDE=FQ","FILING_STATUS=MR","FA_ADJUSTED=GAAP","Sort=A","Dates=H","DateFormat=P","Fill=—","Direction=H","UseDPDF=Y")</f>
        <v>5.9249999999999998</v>
      </c>
      <c r="L6" s="20">
        <f>_xll.BDH("AMGN US Equity","ACCT_RCV_TURN","FQ1 2021","FQ1 2021","Currency=USD","Period=FQ","BEST_FPERIOD_OVERRIDE=FQ","FILING_STATUS=MR","FA_ADJUSTED=GAAP","Sort=A","Dates=H","DateFormat=P","Fill=—","Direction=H","UseDPDF=Y")</f>
        <v>5.3358999999999996</v>
      </c>
      <c r="M6" s="20">
        <f>_xll.BDH("AMGN US Equity","ACCT_RCV_TURN","FQ2 2021","FQ2 2021","Currency=USD","Period=FQ","BEST_FPERIOD_OVERRIDE=FQ","FILING_STATUS=MR","FA_ADJUSTED=GAAP","Sort=A","Dates=H","DateFormat=P","Fill=—","Direction=H","UseDPDF=Y")</f>
        <v>5.1769999999999996</v>
      </c>
      <c r="N6" s="20">
        <f>_xll.BDH("AMGN US Equity","ACCT_RCV_TURN","FQ3 2021","FQ3 2021","Currency=USD","Period=FQ","BEST_FPERIOD_OVERRIDE=FQ","FILING_STATUS=MR","FA_ADJUSTED=GAAP","Sort=A","Dates=H","DateFormat=P","Fill=—","Direction=H","UseDPDF=Y")</f>
        <v>5.8170999999999999</v>
      </c>
      <c r="O6" s="20">
        <f>_xll.BDH("AMGN US Equity","ACCT_RCV_TURN","FQ4 2021","FQ4 2021","Currency=USD","Period=FQ","BEST_FPERIOD_OVERRIDE=FQ","FILING_STATUS=MR","FA_ADJUSTED=GAAP","Sort=A","Dates=H","DateFormat=P","Fill=—","Direction=H","UseDPDF=Y")</f>
        <v>5.5156999999999998</v>
      </c>
      <c r="P6" s="20">
        <f>_xll.BDH("AMGN US Equity","ACCT_RCV_TURN","FQ1 2022","FQ1 2022","Currency=USD","Period=FQ","BEST_FPERIOD_OVERRIDE=FQ","FILING_STATUS=MR","FA_ADJUSTED=GAAP","Sort=A","Dates=H","DateFormat=P","Fill=—","Direction=H","UseDPDF=Y")</f>
        <v>5.5401999999999996</v>
      </c>
      <c r="Q6" s="20">
        <f>_xll.BDH("AMGN US Equity","ACCT_RCV_TURN","FQ2 2022","FQ2 2022","Currency=USD","Period=FQ","BEST_FPERIOD_OVERRIDE=FQ","FILING_STATUS=MR","FA_ADJUSTED=GAAP","Sort=A","Dates=H","DateFormat=P","Fill=—","Direction=H","UseDPDF=Y")</f>
        <v>5.3811999999999998</v>
      </c>
      <c r="R6" s="20">
        <f>_xll.BDH("AMGN US Equity","ACCT_RCV_TURN","FQ3 2022","FQ3 2022","Currency=USD","Period=FQ","BEST_FPERIOD_OVERRIDE=FQ","FILING_STATUS=MR","FA_ADJUSTED=GAAP","Sort=A","Dates=H","DateFormat=P","Fill=—","Direction=H","UseDPDF=Y")</f>
        <v>5.2184999999999997</v>
      </c>
      <c r="S6" s="20">
        <f>_xll.BDH("AMGN US Equity","ACCT_RCV_TURN","FQ4 2022","FQ4 2022","Currency=USD","Period=FQ","BEST_FPERIOD_OVERRIDE=FQ","FILING_STATUS=MR","FA_ADJUSTED=GAAP","Sort=A","Dates=H","DateFormat=P","Fill=—","Direction=H","UseDPDF=Y")</f>
        <v>5.0339999999999998</v>
      </c>
      <c r="T6" s="20">
        <f>_xll.BDH("AMGN US Equity","ACCT_RCV_TURN","FQ1 2023","FQ1 2023","Currency=USD","Period=FQ","BEST_FPERIOD_OVERRIDE=FQ","FILING_STATUS=MR","FA_ADJUSTED=GAAP","Sort=A","Dates=H","DateFormat=P","Fill=—","Direction=H","UseDPDF=Y")</f>
        <v>4.8441999999999998</v>
      </c>
      <c r="U6" s="20">
        <f>_xll.BDH("AMGN US Equity","ACCT_RCV_TURN","FQ2 2023","FQ2 2023","Currency=USD","Period=FQ","BEST_FPERIOD_OVERRIDE=FQ","FILING_STATUS=MR","FA_ADJUSTED=GAAP","Sort=A","Dates=H","DateFormat=P","Fill=—","Direction=H","UseDPDF=Y")</f>
        <v>4.7651000000000003</v>
      </c>
      <c r="V6" s="20">
        <f>_xll.BDH("AMGN US Equity","ACCT_RCV_TURN","FQ3 2023","FQ3 2023","Currency=USD","Period=FQ","BEST_FPERIOD_OVERRIDE=FQ","FILING_STATUS=MR","FA_ADJUSTED=GAAP","Sort=A","Dates=H","DateFormat=P","Fill=—","Direction=H","UseDPDF=Y")</f>
        <v>4.6783999999999999</v>
      </c>
      <c r="W6" s="20">
        <f>_xll.BDH("AMGN US Equity","ACCT_RCV_TURN","FQ4 2023","FQ4 2023","Currency=USD","Period=FQ","BEST_FPERIOD_OVERRIDE=FQ","FILING_STATUS=MR","FA_ADJUSTED=GAAP","Sort=A","Dates=H","DateFormat=P","Fill=—","Direction=H","UseDPDF=Y")</f>
        <v>4.3940000000000001</v>
      </c>
      <c r="X6" s="20">
        <f>_xll.BDH("AMGN US Equity","ACCT_RCV_TURN","FQ1 2024","FQ1 2024","Currency=USD","Period=FQ","BEST_FPERIOD_OVERRIDE=FQ","FILING_STATUS=MR","FA_ADJUSTED=GAAP","Sort=A","Dates=H","DateFormat=P","Fill=—","Direction=H","UseDPDF=Y")</f>
        <v>4.7206000000000001</v>
      </c>
      <c r="Y6" s="20">
        <f>_xll.BDH("AMGN US Equity","ACCT_RCV_TURN","FQ2 2024","FQ2 2024","Currency=USD","Period=FQ","BEST_FPERIOD_OVERRIDE=FQ","FILING_STATUS=MR","FA_ADJUSTED=GAAP","Sort=A","Dates=H","DateFormat=P","Fill=—","Direction=H","UseDPDF=Y")</f>
        <v>4.8471000000000002</v>
      </c>
      <c r="Z6" s="20">
        <f>_xll.BDH("AMGN US Equity","ACCT_RCV_TURN","FQ3 2024","FQ3 2024","Currency=USD","Period=FQ","BEST_FPERIOD_OVERRIDE=FQ","FILING_STATUS=MR","FA_ADJUSTED=GAAP","Sort=A","Dates=H","DateFormat=P","Fill=—","Direction=H","UseDPDF=Y")</f>
        <v>4.8334999999999999</v>
      </c>
      <c r="AA6" s="20">
        <f>_xll.BDH("AMGN US Equity","ACCT_RCV_TURN","FQ4 2024","FQ4 2024","Currency=USD","Period=FQ","BEST_FPERIOD_OVERRIDE=FQ","FILING_STATUS=MR","FA_ADJUSTED=GAAP","Sort=A","Dates=H","DateFormat=P","Fill=—","Direction=H","UseDPDF=Y")</f>
        <v>4.7579000000000002</v>
      </c>
    </row>
    <row r="7" spans="1:27" x14ac:dyDescent="0.25">
      <c r="A7" s="10" t="s">
        <v>1644</v>
      </c>
      <c r="B7" s="10" t="s">
        <v>1645</v>
      </c>
      <c r="C7" s="14">
        <f>_xll.BDH("AMGN US Equity","ACCT_RCV_DAYS","FQ4 2018","FQ4 2018","Currency=USD","Period=FQ","BEST_FPERIOD_OVERRIDE=FQ","FILING_STATUS=MR","FA_ADJUSTED=GAAP","Sort=A","Dates=H","DateFormat=P","Fill=—","Direction=H","UseDPDF=Y")</f>
        <v>52.389899999999997</v>
      </c>
      <c r="D7" s="14">
        <f>_xll.BDH("AMGN US Equity","ACCT_RCV_DAYS","FQ1 2019","FQ1 2019","Currency=USD","Period=FQ","BEST_FPERIOD_OVERRIDE=FQ","FILING_STATUS=MR","FA_ADJUSTED=GAAP","Sort=A","Dates=H","DateFormat=P","Fill=—","Direction=H","UseDPDF=Y")</f>
        <v>56.893900000000002</v>
      </c>
      <c r="E7" s="14">
        <f>_xll.BDH("AMGN US Equity","ACCT_RCV_DAYS","FQ2 2019","FQ2 2019","Currency=USD","Period=FQ","BEST_FPERIOD_OVERRIDE=FQ","FILING_STATUS=MR","FA_ADJUSTED=GAAP","Sort=A","Dates=H","DateFormat=P","Fill=—","Direction=H","UseDPDF=Y")</f>
        <v>56.581000000000003</v>
      </c>
      <c r="F7" s="14">
        <f>_xll.BDH("AMGN US Equity","ACCT_RCV_DAYS","FQ3 2019","FQ3 2019","Currency=USD","Period=FQ","BEST_FPERIOD_OVERRIDE=FQ","FILING_STATUS=MR","FA_ADJUSTED=GAAP","Sort=A","Dates=H","DateFormat=P","Fill=—","Direction=H","UseDPDF=Y")</f>
        <v>54.972299999999997</v>
      </c>
      <c r="G7" s="14">
        <f>_xll.BDH("AMGN US Equity","ACCT_RCV_DAYS","FQ4 2019","FQ4 2019","Currency=USD","Period=FQ","BEST_FPERIOD_OVERRIDE=FQ","FILING_STATUS=MR","FA_ADJUSTED=GAAP","Sort=A","Dates=H","DateFormat=P","Fill=—","Direction=H","UseDPDF=Y")</f>
        <v>59.658999999999999</v>
      </c>
      <c r="H7" s="14">
        <f>_xll.BDH("AMGN US Equity","ACCT_RCV_DAYS","FQ1 2020","FQ1 2020","Currency=USD","Period=FQ","BEST_FPERIOD_OVERRIDE=FQ","FILING_STATUS=MR","FA_ADJUSTED=GAAP","Sort=A","Dates=H","DateFormat=P","Fill=—","Direction=H","UseDPDF=Y")</f>
        <v>67.042500000000004</v>
      </c>
      <c r="I7" s="14">
        <f>_xll.BDH("AMGN US Equity","ACCT_RCV_DAYS","FQ2 2020","FQ2 2020","Currency=USD","Period=FQ","BEST_FPERIOD_OVERRIDE=FQ","FILING_STATUS=MR","FA_ADJUSTED=GAAP","Sort=A","Dates=H","DateFormat=P","Fill=—","Direction=H","UseDPDF=Y")</f>
        <v>69.032600000000002</v>
      </c>
      <c r="J7" s="14">
        <f>_xll.BDH("AMGN US Equity","ACCT_RCV_DAYS","FQ3 2020","FQ3 2020","Currency=USD","Period=FQ","BEST_FPERIOD_OVERRIDE=FQ","FILING_STATUS=MR","FA_ADJUSTED=GAAP","Sort=A","Dates=H","DateFormat=P","Fill=—","Direction=H","UseDPDF=Y")</f>
        <v>56.393300000000004</v>
      </c>
      <c r="K7" s="14">
        <f>_xll.BDH("AMGN US Equity","ACCT_RCV_DAYS","FQ4 2020","FQ4 2020","Currency=USD","Period=FQ","BEST_FPERIOD_OVERRIDE=FQ","FILING_STATUS=MR","FA_ADJUSTED=GAAP","Sort=A","Dates=H","DateFormat=P","Fill=—","Direction=H","UseDPDF=Y")</f>
        <v>61.772599999999997</v>
      </c>
      <c r="L7" s="14">
        <f>_xll.BDH("AMGN US Equity","ACCT_RCV_DAYS","FQ1 2021","FQ1 2021","Currency=USD","Period=FQ","BEST_FPERIOD_OVERRIDE=FQ","FILING_STATUS=MR","FA_ADJUSTED=GAAP","Sort=A","Dates=H","DateFormat=P","Fill=—","Direction=H","UseDPDF=Y")</f>
        <v>68.404899999999998</v>
      </c>
      <c r="M7" s="14">
        <f>_xll.BDH("AMGN US Equity","ACCT_RCV_DAYS","FQ2 2021","FQ2 2021","Currency=USD","Period=FQ","BEST_FPERIOD_OVERRIDE=FQ","FILING_STATUS=MR","FA_ADJUSTED=GAAP","Sort=A","Dates=H","DateFormat=P","Fill=—","Direction=H","UseDPDF=Y")</f>
        <v>70.503600000000006</v>
      </c>
      <c r="N7" s="14">
        <f>_xll.BDH("AMGN US Equity","ACCT_RCV_DAYS","FQ3 2021","FQ3 2021","Currency=USD","Period=FQ","BEST_FPERIOD_OVERRIDE=FQ","FILING_STATUS=MR","FA_ADJUSTED=GAAP","Sort=A","Dates=H","DateFormat=P","Fill=—","Direction=H","UseDPDF=Y")</f>
        <v>62.745699999999999</v>
      </c>
      <c r="O7" s="14">
        <f>_xll.BDH("AMGN US Equity","ACCT_RCV_DAYS","FQ4 2021","FQ4 2021","Currency=USD","Period=FQ","BEST_FPERIOD_OVERRIDE=FQ","FILING_STATUS=MR","FA_ADJUSTED=GAAP","Sort=A","Dates=H","DateFormat=P","Fill=—","Direction=H","UseDPDF=Y")</f>
        <v>66.174599999999998</v>
      </c>
      <c r="P7" s="14">
        <f>_xll.BDH("AMGN US Equity","ACCT_RCV_DAYS","FQ1 2022","FQ1 2022","Currency=USD","Period=FQ","BEST_FPERIOD_OVERRIDE=FQ","FILING_STATUS=MR","FA_ADJUSTED=GAAP","Sort=A","Dates=H","DateFormat=P","Fill=—","Direction=H","UseDPDF=Y")</f>
        <v>65.882000000000005</v>
      </c>
      <c r="Q7" s="14">
        <f>_xll.BDH("AMGN US Equity","ACCT_RCV_DAYS","FQ2 2022","FQ2 2022","Currency=USD","Period=FQ","BEST_FPERIOD_OVERRIDE=FQ","FILING_STATUS=MR","FA_ADJUSTED=GAAP","Sort=A","Dates=H","DateFormat=P","Fill=—","Direction=H","UseDPDF=Y")</f>
        <v>67.828800000000001</v>
      </c>
      <c r="R7" s="14">
        <f>_xll.BDH("AMGN US Equity","ACCT_RCV_DAYS","FQ3 2022","FQ3 2022","Currency=USD","Period=FQ","BEST_FPERIOD_OVERRIDE=FQ","FILING_STATUS=MR","FA_ADJUSTED=GAAP","Sort=A","Dates=H","DateFormat=P","Fill=—","Direction=H","UseDPDF=Y")</f>
        <v>69.943299999999994</v>
      </c>
      <c r="S7" s="14">
        <f>_xll.BDH("AMGN US Equity","ACCT_RCV_DAYS","FQ4 2022","FQ4 2022","Currency=USD","Period=FQ","BEST_FPERIOD_OVERRIDE=FQ","FILING_STATUS=MR","FA_ADJUSTED=GAAP","Sort=A","Dates=H","DateFormat=P","Fill=—","Direction=H","UseDPDF=Y")</f>
        <v>72.506399999999999</v>
      </c>
      <c r="T7" s="14">
        <f>_xll.BDH("AMGN US Equity","ACCT_RCV_DAYS","FQ1 2023","FQ1 2023","Currency=USD","Period=FQ","BEST_FPERIOD_OVERRIDE=FQ","FILING_STATUS=MR","FA_ADJUSTED=GAAP","Sort=A","Dates=H","DateFormat=P","Fill=—","Direction=H","UseDPDF=Y")</f>
        <v>75.348299999999995</v>
      </c>
      <c r="U7" s="14">
        <f>_xll.BDH("AMGN US Equity","ACCT_RCV_DAYS","FQ2 2023","FQ2 2023","Currency=USD","Period=FQ","BEST_FPERIOD_OVERRIDE=FQ","FILING_STATUS=MR","FA_ADJUSTED=GAAP","Sort=A","Dates=H","DateFormat=P","Fill=—","Direction=H","UseDPDF=Y")</f>
        <v>76.5989</v>
      </c>
      <c r="V7" s="14">
        <f>_xll.BDH("AMGN US Equity","ACCT_RCV_DAYS","FQ3 2023","FQ3 2023","Currency=USD","Period=FQ","BEST_FPERIOD_OVERRIDE=FQ","FILING_STATUS=MR","FA_ADJUSTED=GAAP","Sort=A","Dates=H","DateFormat=P","Fill=—","Direction=H","UseDPDF=Y")</f>
        <v>78.018000000000001</v>
      </c>
      <c r="W7" s="14">
        <f>_xll.BDH("AMGN US Equity","ACCT_RCV_DAYS","FQ4 2023","FQ4 2023","Currency=USD","Period=FQ","BEST_FPERIOD_OVERRIDE=FQ","FILING_STATUS=MR","FA_ADJUSTED=GAAP","Sort=A","Dates=H","DateFormat=P","Fill=—","Direction=H","UseDPDF=Y")</f>
        <v>83.066999999999993</v>
      </c>
      <c r="X7" s="14">
        <f>_xll.BDH("AMGN US Equity","ACCT_RCV_DAYS","FQ1 2024","FQ1 2024","Currency=USD","Period=FQ","BEST_FPERIOD_OVERRIDE=FQ","FILING_STATUS=MR","FA_ADJUSTED=GAAP","Sort=A","Dates=H","DateFormat=P","Fill=—","Direction=H","UseDPDF=Y")</f>
        <v>77.532700000000006</v>
      </c>
      <c r="Y7" s="14">
        <f>_xll.BDH("AMGN US Equity","ACCT_RCV_DAYS","FQ2 2024","FQ2 2024","Currency=USD","Period=FQ","BEST_FPERIOD_OVERRIDE=FQ","FILING_STATUS=MR","FA_ADJUSTED=GAAP","Sort=A","Dates=H","DateFormat=P","Fill=—","Direction=H","UseDPDF=Y")</f>
        <v>75.509500000000003</v>
      </c>
      <c r="Z7" s="14">
        <f>_xll.BDH("AMGN US Equity","ACCT_RCV_DAYS","FQ3 2024","FQ3 2024","Currency=USD","Period=FQ","BEST_FPERIOD_OVERRIDE=FQ","FILING_STATUS=MR","FA_ADJUSTED=GAAP","Sort=A","Dates=H","DateFormat=P","Fill=—","Direction=H","UseDPDF=Y")</f>
        <v>75.722200000000001</v>
      </c>
      <c r="AA7" s="14">
        <f>_xll.BDH("AMGN US Equity","ACCT_RCV_DAYS","FQ4 2024","FQ4 2024","Currency=USD","Period=FQ","BEST_FPERIOD_OVERRIDE=FQ","FILING_STATUS=MR","FA_ADJUSTED=GAAP","Sort=A","Dates=H","DateFormat=P","Fill=—","Direction=H","UseDPDF=Y")</f>
        <v>76.925299999999993</v>
      </c>
    </row>
    <row r="8" spans="1:27" x14ac:dyDescent="0.25">
      <c r="A8" s="6" t="s">
        <v>1646</v>
      </c>
      <c r="B8" s="6" t="s">
        <v>1647</v>
      </c>
      <c r="C8" s="20">
        <f>_xll.BDH("AMGN US Equity","INVENT_TURN","FQ4 2018","FQ4 2018","Currency=USD","Period=FQ","BEST_FPERIOD_OVERRIDE=FQ","FILING_STATUS=MR","FA_ADJUSTED=GAAP","Sort=A","Dates=H","DateFormat=P","Fill=—","Direction=H","UseDPDF=Y")</f>
        <v>1.4205000000000001</v>
      </c>
      <c r="D8" s="20">
        <f>_xll.BDH("AMGN US Equity","INVENT_TURN","FQ1 2019","FQ1 2019","Currency=USD","Period=FQ","BEST_FPERIOD_OVERRIDE=FQ","FILING_STATUS=MR","FA_ADJUSTED=GAAP","Sort=A","Dates=H","DateFormat=P","Fill=—","Direction=H","UseDPDF=Y")</f>
        <v>1.4115</v>
      </c>
      <c r="E8" s="20">
        <f>_xll.BDH("AMGN US Equity","INVENT_TURN","FQ2 2019","FQ2 2019","Currency=USD","Period=FQ","BEST_FPERIOD_OVERRIDE=FQ","FILING_STATUS=MR","FA_ADJUSTED=GAAP","Sort=A","Dates=H","DateFormat=P","Fill=—","Direction=H","UseDPDF=Y")</f>
        <v>1.3464</v>
      </c>
      <c r="F8" s="20">
        <f>_xll.BDH("AMGN US Equity","INVENT_TURN","FQ3 2019","FQ3 2019","Currency=USD","Period=FQ","BEST_FPERIOD_OVERRIDE=FQ","FILING_STATUS=MR","FA_ADJUSTED=GAAP","Sort=A","Dates=H","DateFormat=P","Fill=—","Direction=H","UseDPDF=Y")</f>
        <v>1.3414999999999999</v>
      </c>
      <c r="G8" s="20">
        <f>_xll.BDH("AMGN US Equity","INVENT_TURN","FQ4 2019","FQ4 2019","Currency=USD","Period=FQ","BEST_FPERIOD_OVERRIDE=FQ","FILING_STATUS=MR","FA_ADJUSTED=GAAP","Sort=A","Dates=H","DateFormat=P","Fill=—","Direction=H","UseDPDF=Y")</f>
        <v>1.3353999999999999</v>
      </c>
      <c r="H8" s="20">
        <f>_xll.BDH("AMGN US Equity","INVENT_TURN","FQ1 2020","FQ1 2020","Currency=USD","Period=FQ","BEST_FPERIOD_OVERRIDE=FQ","FILING_STATUS=MR","FA_ADJUSTED=GAAP","Sort=A","Dates=H","DateFormat=P","Fill=—","Direction=H","UseDPDF=Y")</f>
        <v>1.4374</v>
      </c>
      <c r="I8" s="20">
        <f>_xll.BDH("AMGN US Equity","INVENT_TURN","FQ2 2020","FQ2 2020","Currency=USD","Period=FQ","BEST_FPERIOD_OVERRIDE=FQ","FILING_STATUS=MR","FA_ADJUSTED=GAAP","Sort=A","Dates=H","DateFormat=P","Fill=—","Direction=H","UseDPDF=Y")</f>
        <v>1.508</v>
      </c>
      <c r="J8" s="20">
        <f>_xll.BDH("AMGN US Equity","INVENT_TURN","FQ3 2020","FQ3 2020","Currency=USD","Period=FQ","BEST_FPERIOD_OVERRIDE=FQ","FILING_STATUS=MR","FA_ADJUSTED=GAAP","Sort=A","Dates=H","DateFormat=P","Fill=—","Direction=H","UseDPDF=Y")</f>
        <v>1.6186</v>
      </c>
      <c r="K8" s="20">
        <f>_xll.BDH("AMGN US Equity","INVENT_TURN","FQ4 2020","FQ4 2020","Currency=USD","Period=FQ","BEST_FPERIOD_OVERRIDE=FQ","FILING_STATUS=MR","FA_ADJUSTED=GAAP","Sort=A","Dates=H","DateFormat=P","Fill=—","Direction=H","UseDPDF=Y")</f>
        <v>1.6475</v>
      </c>
      <c r="L8" s="20">
        <f>_xll.BDH("AMGN US Equity","INVENT_TURN","FQ1 2021","FQ1 2021","Currency=USD","Period=FQ","BEST_FPERIOD_OVERRIDE=FQ","FILING_STATUS=MR","FA_ADJUSTED=GAAP","Sort=A","Dates=H","DateFormat=P","Fill=—","Direction=H","UseDPDF=Y")</f>
        <v>1.5940000000000001</v>
      </c>
      <c r="M8" s="20">
        <f>_xll.BDH("AMGN US Equity","INVENT_TURN","FQ2 2021","FQ2 2021","Currency=USD","Period=FQ","BEST_FPERIOD_OVERRIDE=FQ","FILING_STATUS=MR","FA_ADJUSTED=GAAP","Sort=A","Dates=H","DateFormat=P","Fill=—","Direction=H","UseDPDF=Y")</f>
        <v>1.5801000000000001</v>
      </c>
      <c r="N8" s="20">
        <f>_xll.BDH("AMGN US Equity","INVENT_TURN","FQ3 2021","FQ3 2021","Currency=USD","Period=FQ","BEST_FPERIOD_OVERRIDE=FQ","FILING_STATUS=MR","FA_ADJUSTED=GAAP","Sort=A","Dates=H","DateFormat=P","Fill=—","Direction=H","UseDPDF=Y")</f>
        <v>1.5649</v>
      </c>
      <c r="O8" s="20">
        <f>_xll.BDH("AMGN US Equity","INVENT_TURN","FQ4 2021","FQ4 2021","Currency=USD","Period=FQ","BEST_FPERIOD_OVERRIDE=FQ","FILING_STATUS=MR","FA_ADJUSTED=GAAP","Sort=A","Dates=H","DateFormat=P","Fill=—","Direction=H","UseDPDF=Y")</f>
        <v>1.6176999999999999</v>
      </c>
      <c r="P8" s="20">
        <f>_xll.BDH("AMGN US Equity","INVENT_TURN","FQ1 2022","FQ1 2022","Currency=USD","Period=FQ","BEST_FPERIOD_OVERRIDE=FQ","FILING_STATUS=MR","FA_ADJUSTED=GAAP","Sort=A","Dates=H","DateFormat=P","Fill=—","Direction=H","UseDPDF=Y")</f>
        <v>1.5484</v>
      </c>
      <c r="Q8" s="20">
        <f>_xll.BDH("AMGN US Equity","INVENT_TURN","FQ2 2022","FQ2 2022","Currency=USD","Period=FQ","BEST_FPERIOD_OVERRIDE=FQ","FILING_STATUS=MR","FA_ADJUSTED=GAAP","Sort=A","Dates=H","DateFormat=P","Fill=—","Direction=H","UseDPDF=Y")</f>
        <v>1.4761</v>
      </c>
      <c r="R8" s="20">
        <f>_xll.BDH("AMGN US Equity","INVENT_TURN","FQ3 2022","FQ3 2022","Currency=USD","Period=FQ","BEST_FPERIOD_OVERRIDE=FQ","FILING_STATUS=MR","FA_ADJUSTED=GAAP","Sort=A","Dates=H","DateFormat=P","Fill=—","Direction=H","UseDPDF=Y")</f>
        <v>1.4316</v>
      </c>
      <c r="S8" s="20">
        <f>_xll.BDH("AMGN US Equity","INVENT_TURN","FQ4 2022","FQ4 2022","Currency=USD","Period=FQ","BEST_FPERIOD_OVERRIDE=FQ","FILING_STATUS=MR","FA_ADJUSTED=GAAP","Sort=A","Dates=H","DateFormat=P","Fill=—","Direction=H","UseDPDF=Y")</f>
        <v>1.421</v>
      </c>
      <c r="T8" s="20">
        <f>_xll.BDH("AMGN US Equity","INVENT_TURN","FQ1 2023","FQ1 2023","Currency=USD","Period=FQ","BEST_FPERIOD_OVERRIDE=FQ","FILING_STATUS=MR","FA_ADJUSTED=GAAP","Sort=A","Dates=H","DateFormat=P","Fill=—","Direction=H","UseDPDF=Y")</f>
        <v>1.3935</v>
      </c>
      <c r="U8" s="20">
        <f>_xll.BDH("AMGN US Equity","INVENT_TURN","FQ2 2023","FQ2 2023","Currency=USD","Period=FQ","BEST_FPERIOD_OVERRIDE=FQ","FILING_STATUS=MR","FA_ADJUSTED=GAAP","Sort=A","Dates=H","DateFormat=P","Fill=—","Direction=H","UseDPDF=Y")</f>
        <v>1.4410000000000001</v>
      </c>
      <c r="V8" s="20">
        <f>_xll.BDH("AMGN US Equity","INVENT_TURN","FQ3 2023","FQ3 2023","Currency=USD","Period=FQ","BEST_FPERIOD_OVERRIDE=FQ","FILING_STATUS=MR","FA_ADJUSTED=GAAP","Sort=A","Dates=H","DateFormat=P","Fill=—","Direction=H","UseDPDF=Y")</f>
        <v>1.4486000000000001</v>
      </c>
      <c r="W8" s="20">
        <f>_xll.BDH("AMGN US Equity","INVENT_TURN","FQ4 2023","FQ4 2023","Currency=USD","Period=FQ","BEST_FPERIOD_OVERRIDE=FQ","FILING_STATUS=MR","FA_ADJUSTED=GAAP","Sort=A","Dates=H","DateFormat=P","Fill=—","Direction=H","UseDPDF=Y")</f>
        <v>1.1698999999999999</v>
      </c>
      <c r="X8" s="20">
        <f>_xll.BDH("AMGN US Equity","INVENT_TURN","FQ1 2024","FQ1 2024","Currency=USD","Period=FQ","BEST_FPERIOD_OVERRIDE=FQ","FILING_STATUS=MR","FA_ADJUSTED=GAAP","Sort=A","Dates=H","DateFormat=P","Fill=—","Direction=H","UseDPDF=Y")</f>
        <v>1.4460999999999999</v>
      </c>
      <c r="Y8" s="20">
        <f>_xll.BDH("AMGN US Equity","INVENT_TURN","FQ2 2024","FQ2 2024","Currency=USD","Period=FQ","BEST_FPERIOD_OVERRIDE=FQ","FILING_STATUS=MR","FA_ADJUSTED=GAAP","Sort=A","Dates=H","DateFormat=P","Fill=—","Direction=H","UseDPDF=Y")</f>
        <v>1.7504</v>
      </c>
      <c r="Z8" s="20">
        <f>_xll.BDH("AMGN US Equity","INVENT_TURN","FQ3 2024","FQ3 2024","Currency=USD","Period=FQ","BEST_FPERIOD_OVERRIDE=FQ","FILING_STATUS=MR","FA_ADJUSTED=GAAP","Sort=A","Dates=H","DateFormat=P","Fill=—","Direction=H","UseDPDF=Y")</f>
        <v>2.0758999999999999</v>
      </c>
      <c r="AA8" s="20">
        <f>_xll.BDH("AMGN US Equity","INVENT_TURN","FQ4 2024","FQ4 2024","Currency=USD","Period=FQ","BEST_FPERIOD_OVERRIDE=FQ","FILING_STATUS=MR","FA_ADJUSTED=GAAP","Sort=A","Dates=H","DateFormat=P","Fill=—","Direction=H","UseDPDF=Y")</f>
        <v>1.5569999999999999</v>
      </c>
    </row>
    <row r="9" spans="1:27" x14ac:dyDescent="0.25">
      <c r="A9" s="10" t="s">
        <v>1648</v>
      </c>
      <c r="B9" s="10" t="s">
        <v>1649</v>
      </c>
      <c r="C9" s="14">
        <f>_xll.BDH("AMGN US Equity","INVENT_DAYS","FQ4 2018","FQ4 2018","Currency=USD","Period=FQ","BEST_FPERIOD_OVERRIDE=FQ","FILING_STATUS=MR","FA_ADJUSTED=GAAP","Sort=A","Dates=H","DateFormat=P","Fill=—","Direction=H","UseDPDF=Y")</f>
        <v>256.95069999999998</v>
      </c>
      <c r="D9" s="14">
        <f>_xll.BDH("AMGN US Equity","INVENT_DAYS","FQ1 2019","FQ1 2019","Currency=USD","Period=FQ","BEST_FPERIOD_OVERRIDE=FQ","FILING_STATUS=MR","FA_ADJUSTED=GAAP","Sort=A","Dates=H","DateFormat=P","Fill=—","Direction=H","UseDPDF=Y")</f>
        <v>258.58499999999998</v>
      </c>
      <c r="E9" s="14">
        <f>_xll.BDH("AMGN US Equity","INVENT_DAYS","FQ2 2019","FQ2 2019","Currency=USD","Period=FQ","BEST_FPERIOD_OVERRIDE=FQ","FILING_STATUS=MR","FA_ADJUSTED=GAAP","Sort=A","Dates=H","DateFormat=P","Fill=—","Direction=H","UseDPDF=Y")</f>
        <v>271.0994</v>
      </c>
      <c r="F9" s="14">
        <f>_xll.BDH("AMGN US Equity","INVENT_DAYS","FQ3 2019","FQ3 2019","Currency=USD","Period=FQ","BEST_FPERIOD_OVERRIDE=FQ","FILING_STATUS=MR","FA_ADJUSTED=GAAP","Sort=A","Dates=H","DateFormat=P","Fill=—","Direction=H","UseDPDF=Y")</f>
        <v>272.07670000000002</v>
      </c>
      <c r="G9" s="14">
        <f>_xll.BDH("AMGN US Equity","INVENT_DAYS","FQ4 2019","FQ4 2019","Currency=USD","Period=FQ","BEST_FPERIOD_OVERRIDE=FQ","FILING_STATUS=MR","FA_ADJUSTED=GAAP","Sort=A","Dates=H","DateFormat=P","Fill=—","Direction=H","UseDPDF=Y")</f>
        <v>273.33100000000002</v>
      </c>
      <c r="H9" s="14">
        <f>_xll.BDH("AMGN US Equity","INVENT_DAYS","FQ1 2020","FQ1 2020","Currency=USD","Period=FQ","BEST_FPERIOD_OVERRIDE=FQ","FILING_STATUS=MR","FA_ADJUSTED=GAAP","Sort=A","Dates=H","DateFormat=P","Fill=—","Direction=H","UseDPDF=Y")</f>
        <v>254.61859999999999</v>
      </c>
      <c r="I9" s="14">
        <f>_xll.BDH("AMGN US Equity","INVENT_DAYS","FQ2 2020","FQ2 2020","Currency=USD","Period=FQ","BEST_FPERIOD_OVERRIDE=FQ","FILING_STATUS=MR","FA_ADJUSTED=GAAP","Sort=A","Dates=H","DateFormat=P","Fill=—","Direction=H","UseDPDF=Y")</f>
        <v>242.70849999999999</v>
      </c>
      <c r="J9" s="14">
        <f>_xll.BDH("AMGN US Equity","INVENT_DAYS","FQ3 2020","FQ3 2020","Currency=USD","Period=FQ","BEST_FPERIOD_OVERRIDE=FQ","FILING_STATUS=MR","FA_ADJUSTED=GAAP","Sort=A","Dates=H","DateFormat=P","Fill=—","Direction=H","UseDPDF=Y")</f>
        <v>226.11439999999999</v>
      </c>
      <c r="K9" s="14">
        <f>_xll.BDH("AMGN US Equity","INVENT_DAYS","FQ4 2020","FQ4 2020","Currency=USD","Period=FQ","BEST_FPERIOD_OVERRIDE=FQ","FILING_STATUS=MR","FA_ADJUSTED=GAAP","Sort=A","Dates=H","DateFormat=P","Fill=—","Direction=H","UseDPDF=Y")</f>
        <v>222.16120000000001</v>
      </c>
      <c r="L9" s="14">
        <f>_xll.BDH("AMGN US Equity","INVENT_DAYS","FQ1 2021","FQ1 2021","Currency=USD","Period=FQ","BEST_FPERIOD_OVERRIDE=FQ","FILING_STATUS=MR","FA_ADJUSTED=GAAP","Sort=A","Dates=H","DateFormat=P","Fill=—","Direction=H","UseDPDF=Y")</f>
        <v>228.98750000000001</v>
      </c>
      <c r="M9" s="14">
        <f>_xll.BDH("AMGN US Equity","INVENT_DAYS","FQ2 2021","FQ2 2021","Currency=USD","Period=FQ","BEST_FPERIOD_OVERRIDE=FQ","FILING_STATUS=MR","FA_ADJUSTED=GAAP","Sort=A","Dates=H","DateFormat=P","Fill=—","Direction=H","UseDPDF=Y")</f>
        <v>230.9924</v>
      </c>
      <c r="N9" s="14">
        <f>_xll.BDH("AMGN US Equity","INVENT_DAYS","FQ3 2021","FQ3 2021","Currency=USD","Period=FQ","BEST_FPERIOD_OVERRIDE=FQ","FILING_STATUS=MR","FA_ADJUSTED=GAAP","Sort=A","Dates=H","DateFormat=P","Fill=—","Direction=H","UseDPDF=Y")</f>
        <v>233.2473</v>
      </c>
      <c r="O9" s="14">
        <f>_xll.BDH("AMGN US Equity","INVENT_DAYS","FQ4 2021","FQ4 2021","Currency=USD","Period=FQ","BEST_FPERIOD_OVERRIDE=FQ","FILING_STATUS=MR","FA_ADJUSTED=GAAP","Sort=A","Dates=H","DateFormat=P","Fill=—","Direction=H","UseDPDF=Y")</f>
        <v>225.6225</v>
      </c>
      <c r="P9" s="14">
        <f>_xll.BDH("AMGN US Equity","INVENT_DAYS","FQ1 2022","FQ1 2022","Currency=USD","Period=FQ","BEST_FPERIOD_OVERRIDE=FQ","FILING_STATUS=MR","FA_ADJUSTED=GAAP","Sort=A","Dates=H","DateFormat=P","Fill=—","Direction=H","UseDPDF=Y")</f>
        <v>235.72569999999999</v>
      </c>
      <c r="Q9" s="14">
        <f>_xll.BDH("AMGN US Equity","INVENT_DAYS","FQ2 2022","FQ2 2022","Currency=USD","Period=FQ","BEST_FPERIOD_OVERRIDE=FQ","FILING_STATUS=MR","FA_ADJUSTED=GAAP","Sort=A","Dates=H","DateFormat=P","Fill=—","Direction=H","UseDPDF=Y")</f>
        <v>247.2792</v>
      </c>
      <c r="R9" s="14">
        <f>_xll.BDH("AMGN US Equity","INVENT_DAYS","FQ3 2022","FQ3 2022","Currency=USD","Period=FQ","BEST_FPERIOD_OVERRIDE=FQ","FILING_STATUS=MR","FA_ADJUSTED=GAAP","Sort=A","Dates=H","DateFormat=P","Fill=—","Direction=H","UseDPDF=Y")</f>
        <v>254.96199999999999</v>
      </c>
      <c r="S9" s="14">
        <f>_xll.BDH("AMGN US Equity","INVENT_DAYS","FQ4 2022","FQ4 2022","Currency=USD","Period=FQ","BEST_FPERIOD_OVERRIDE=FQ","FILING_STATUS=MR","FA_ADJUSTED=GAAP","Sort=A","Dates=H","DateFormat=P","Fill=—","Direction=H","UseDPDF=Y")</f>
        <v>256.85610000000003</v>
      </c>
      <c r="T9" s="14">
        <f>_xll.BDH("AMGN US Equity","INVENT_DAYS","FQ1 2023","FQ1 2023","Currency=USD","Period=FQ","BEST_FPERIOD_OVERRIDE=FQ","FILING_STATUS=MR","FA_ADJUSTED=GAAP","Sort=A","Dates=H","DateFormat=P","Fill=—","Direction=H","UseDPDF=Y")</f>
        <v>261.92160000000001</v>
      </c>
      <c r="U9" s="14">
        <f>_xll.BDH("AMGN US Equity","INVENT_DAYS","FQ2 2023","FQ2 2023","Currency=USD","Period=FQ","BEST_FPERIOD_OVERRIDE=FQ","FILING_STATUS=MR","FA_ADJUSTED=GAAP","Sort=A","Dates=H","DateFormat=P","Fill=—","Direction=H","UseDPDF=Y")</f>
        <v>253.28919999999999</v>
      </c>
      <c r="V9" s="14">
        <f>_xll.BDH("AMGN US Equity","INVENT_DAYS","FQ3 2023","FQ3 2023","Currency=USD","Period=FQ","BEST_FPERIOD_OVERRIDE=FQ","FILING_STATUS=MR","FA_ADJUSTED=GAAP","Sort=A","Dates=H","DateFormat=P","Fill=—","Direction=H","UseDPDF=Y")</f>
        <v>251.96129999999999</v>
      </c>
      <c r="W9" s="14">
        <f>_xll.BDH("AMGN US Equity","INVENT_DAYS","FQ4 2023","FQ4 2023","Currency=USD","Period=FQ","BEST_FPERIOD_OVERRIDE=FQ","FILING_STATUS=MR","FA_ADJUSTED=GAAP","Sort=A","Dates=H","DateFormat=P","Fill=—","Direction=H","UseDPDF=Y")</f>
        <v>312.00569999999999</v>
      </c>
      <c r="X9" s="14">
        <f>_xll.BDH("AMGN US Equity","INVENT_DAYS","FQ1 2024","FQ1 2024","Currency=USD","Period=FQ","BEST_FPERIOD_OVERRIDE=FQ","FILING_STATUS=MR","FA_ADJUSTED=GAAP","Sort=A","Dates=H","DateFormat=P","Fill=—","Direction=H","UseDPDF=Y")</f>
        <v>253.09690000000001</v>
      </c>
      <c r="Y9" s="14">
        <f>_xll.BDH("AMGN US Equity","INVENT_DAYS","FQ2 2024","FQ2 2024","Currency=USD","Period=FQ","BEST_FPERIOD_OVERRIDE=FQ","FILING_STATUS=MR","FA_ADJUSTED=GAAP","Sort=A","Dates=H","DateFormat=P","Fill=—","Direction=H","UseDPDF=Y")</f>
        <v>209.09450000000001</v>
      </c>
      <c r="Z9" s="14">
        <f>_xll.BDH("AMGN US Equity","INVENT_DAYS","FQ3 2024","FQ3 2024","Currency=USD","Period=FQ","BEST_FPERIOD_OVERRIDE=FQ","FILING_STATUS=MR","FA_ADJUSTED=GAAP","Sort=A","Dates=H","DateFormat=P","Fill=—","Direction=H","UseDPDF=Y")</f>
        <v>176.3108</v>
      </c>
      <c r="AA9" s="14">
        <f>_xll.BDH("AMGN US Equity","INVENT_DAYS","FQ4 2024","FQ4 2024","Currency=USD","Period=FQ","BEST_FPERIOD_OVERRIDE=FQ","FILING_STATUS=MR","FA_ADJUSTED=GAAP","Sort=A","Dates=H","DateFormat=P","Fill=—","Direction=H","UseDPDF=Y")</f>
        <v>235.06209999999999</v>
      </c>
    </row>
    <row r="10" spans="1:27" x14ac:dyDescent="0.25">
      <c r="A10" s="6" t="s">
        <v>1650</v>
      </c>
      <c r="B10" s="6" t="s">
        <v>1651</v>
      </c>
      <c r="C10" s="20">
        <f>_xll.BDH("AMGN US Equity","ACCOUNTS_PAYABLE_TURNOVER","FQ4 2018","FQ4 2018","Currency=USD","Period=FQ","BEST_FPERIOD_OVERRIDE=FQ","FILING_STATUS=MR","FA_ADJUSTED=GAAP","Sort=A","Dates=H","DateFormat=P","Fill=—","Direction=H","UseDPDF=Y")</f>
        <v>3.2879999999999998</v>
      </c>
      <c r="D10" s="20">
        <f>_xll.BDH("AMGN US Equity","ACCOUNTS_PAYABLE_TURNOVER","FQ1 2019","FQ1 2019","Currency=USD","Period=FQ","BEST_FPERIOD_OVERRIDE=FQ","FILING_STATUS=MR","FA_ADJUSTED=GAAP","Sort=A","Dates=H","DateFormat=P","Fill=—","Direction=H","UseDPDF=Y")</f>
        <v>3.9228999999999998</v>
      </c>
      <c r="E10" s="20">
        <f>_xll.BDH("AMGN US Equity","ACCOUNTS_PAYABLE_TURNOVER","FQ2 2019","FQ2 2019","Currency=USD","Period=FQ","BEST_FPERIOD_OVERRIDE=FQ","FILING_STATUS=MR","FA_ADJUSTED=GAAP","Sort=A","Dates=H","DateFormat=P","Fill=—","Direction=H","UseDPDF=Y")</f>
        <v>4.2556000000000003</v>
      </c>
      <c r="F10" s="20">
        <f>_xll.BDH("AMGN US Equity","ACCOUNTS_PAYABLE_TURNOVER","FQ3 2019","FQ3 2019","Currency=USD","Period=FQ","BEST_FPERIOD_OVERRIDE=FQ","FILING_STATUS=MR","FA_ADJUSTED=GAAP","Sort=A","Dates=H","DateFormat=P","Fill=—","Direction=H","UseDPDF=Y")</f>
        <v>4.3234000000000004</v>
      </c>
      <c r="G10" s="20">
        <f>_xll.BDH("AMGN US Equity","ACCOUNTS_PAYABLE_TURNOVER","FQ4 2019","FQ4 2019","Currency=USD","Period=FQ","BEST_FPERIOD_OVERRIDE=FQ","FILING_STATUS=MR","FA_ADJUSTED=GAAP","Sort=A","Dates=H","DateFormat=P","Fill=—","Direction=H","UseDPDF=Y")</f>
        <v>3.879</v>
      </c>
      <c r="H10" s="20">
        <f>_xll.BDH("AMGN US Equity","ACCOUNTS_PAYABLE_TURNOVER","FQ1 2020","FQ1 2020","Currency=USD","Period=FQ","BEST_FPERIOD_OVERRIDE=FQ","FILING_STATUS=MR","FA_ADJUSTED=GAAP","Sort=A","Dates=H","DateFormat=P","Fill=—","Direction=H","UseDPDF=Y")</f>
        <v>4.5121000000000002</v>
      </c>
      <c r="I10" s="20">
        <f>_xll.BDH("AMGN US Equity","ACCOUNTS_PAYABLE_TURNOVER","FQ2 2020","FQ2 2020","Currency=USD","Period=FQ","BEST_FPERIOD_OVERRIDE=FQ","FILING_STATUS=MR","FA_ADJUSTED=GAAP","Sort=A","Dates=H","DateFormat=P","Fill=—","Direction=H","UseDPDF=Y")</f>
        <v>5.5359999999999996</v>
      </c>
      <c r="J10" s="20">
        <f>_xll.BDH("AMGN US Equity","ACCOUNTS_PAYABLE_TURNOVER","FQ3 2020","FQ3 2020","Currency=USD","Period=FQ","BEST_FPERIOD_OVERRIDE=FQ","FILING_STATUS=MR","FA_ADJUSTED=GAAP","Sort=A","Dates=H","DateFormat=P","Fill=—","Direction=H","UseDPDF=Y")</f>
        <v>6.0148000000000001</v>
      </c>
      <c r="K10" s="20">
        <f>_xll.BDH("AMGN US Equity","ACCOUNTS_PAYABLE_TURNOVER","FQ4 2020","FQ4 2020","Currency=USD","Period=FQ","BEST_FPERIOD_OVERRIDE=FQ","FILING_STATUS=MR","FA_ADJUSTED=GAAP","Sort=A","Dates=H","DateFormat=P","Fill=—","Direction=H","UseDPDF=Y")</f>
        <v>4.6332000000000004</v>
      </c>
      <c r="L10" s="20">
        <f>_xll.BDH("AMGN US Equity","ACCOUNTS_PAYABLE_TURNOVER","FQ1 2021","FQ1 2021","Currency=USD","Period=FQ","BEST_FPERIOD_OVERRIDE=FQ","FILING_STATUS=MR","FA_ADJUSTED=GAAP","Sort=A","Dates=H","DateFormat=P","Fill=—","Direction=H","UseDPDF=Y")</f>
        <v>4.7336999999999998</v>
      </c>
      <c r="M10" s="20">
        <f>_xll.BDH("AMGN US Equity","ACCOUNTS_PAYABLE_TURNOVER","FQ2 2021","FQ2 2021","Currency=USD","Period=FQ","BEST_FPERIOD_OVERRIDE=FQ","FILING_STATUS=MR","FA_ADJUSTED=GAAP","Sort=A","Dates=H","DateFormat=P","Fill=—","Direction=H","UseDPDF=Y")</f>
        <v>5.4058999999999999</v>
      </c>
      <c r="N10" s="20">
        <f>_xll.BDH("AMGN US Equity","ACCOUNTS_PAYABLE_TURNOVER","FQ3 2021","FQ3 2021","Currency=USD","Period=FQ","BEST_FPERIOD_OVERRIDE=FQ","FILING_STATUS=MR","FA_ADJUSTED=GAAP","Sort=A","Dates=H","DateFormat=P","Fill=—","Direction=H","UseDPDF=Y")</f>
        <v>5.6115000000000004</v>
      </c>
      <c r="O10" s="20">
        <f>_xll.BDH("AMGN US Equity","ACCOUNTS_PAYABLE_TURNOVER","FQ4 2021","FQ4 2021","Currency=USD","Period=FQ","BEST_FPERIOD_OVERRIDE=FQ","FILING_STATUS=MR","FA_ADJUSTED=GAAP","Sort=A","Dates=H","DateFormat=P","Fill=—","Direction=H","UseDPDF=Y")</f>
        <v>4.7699999999999996</v>
      </c>
      <c r="P10" s="20">
        <f>_xll.BDH("AMGN US Equity","ACCOUNTS_PAYABLE_TURNOVER","FQ1 2022","FQ1 2022","Currency=USD","Period=FQ","BEST_FPERIOD_OVERRIDE=FQ","FILING_STATUS=MR","FA_ADJUSTED=GAAP","Sort=A","Dates=H","DateFormat=P","Fill=—","Direction=H","UseDPDF=Y")</f>
        <v>4.9439000000000002</v>
      </c>
      <c r="Q10" s="20">
        <f>_xll.BDH("AMGN US Equity","ACCOUNTS_PAYABLE_TURNOVER","FQ2 2022","FQ2 2022","Currency=USD","Period=FQ","BEST_FPERIOD_OVERRIDE=FQ","FILING_STATUS=MR","FA_ADJUSTED=GAAP","Sort=A","Dates=H","DateFormat=P","Fill=—","Direction=H","UseDPDF=Y")</f>
        <v>5.3982999999999999</v>
      </c>
      <c r="R10" s="20">
        <f>_xll.BDH("AMGN US Equity","ACCOUNTS_PAYABLE_TURNOVER","FQ3 2022","FQ3 2022","Currency=USD","Period=FQ","BEST_FPERIOD_OVERRIDE=FQ","FILING_STATUS=MR","FA_ADJUSTED=GAAP","Sort=A","Dates=H","DateFormat=P","Fill=—","Direction=H","UseDPDF=Y")</f>
        <v>5.8795999999999999</v>
      </c>
      <c r="S10" s="20">
        <f>_xll.BDH("AMGN US Equity","ACCOUNTS_PAYABLE_TURNOVER","FQ4 2022","FQ4 2022","Currency=USD","Period=FQ","BEST_FPERIOD_OVERRIDE=FQ","FILING_STATUS=MR","FA_ADJUSTED=GAAP","Sort=A","Dates=H","DateFormat=P","Fill=—","Direction=H","UseDPDF=Y")</f>
        <v>4.9352999999999998</v>
      </c>
      <c r="T10" s="20">
        <f>_xll.BDH("AMGN US Equity","ACCOUNTS_PAYABLE_TURNOVER","FQ1 2023","FQ1 2023","Currency=USD","Period=FQ","BEST_FPERIOD_OVERRIDE=FQ","FILING_STATUS=MR","FA_ADJUSTED=GAAP","Sort=A","Dates=H","DateFormat=P","Fill=—","Direction=H","UseDPDF=Y")</f>
        <v>5.2625999999999999</v>
      </c>
      <c r="U10" s="20">
        <f>_xll.BDH("AMGN US Equity","ACCOUNTS_PAYABLE_TURNOVER","FQ2 2023","FQ2 2023","Currency=USD","Period=FQ","BEST_FPERIOD_OVERRIDE=FQ","FILING_STATUS=MR","FA_ADJUSTED=GAAP","Sort=A","Dates=H","DateFormat=P","Fill=—","Direction=H","UseDPDF=Y")</f>
        <v>5.9092000000000002</v>
      </c>
      <c r="V10" s="20">
        <f>_xll.BDH("AMGN US Equity","ACCOUNTS_PAYABLE_TURNOVER","FQ3 2023","FQ3 2023","Currency=USD","Period=FQ","BEST_FPERIOD_OVERRIDE=FQ","FILING_STATUS=MR","FA_ADJUSTED=GAAP","Sort=A","Dates=H","DateFormat=P","Fill=—","Direction=H","UseDPDF=Y")</f>
        <v>5.7416</v>
      </c>
      <c r="W10" s="20">
        <f>_xll.BDH("AMGN US Equity","ACCOUNTS_PAYABLE_TURNOVER","FQ4 2023","FQ4 2023","Currency=USD","Period=FQ","BEST_FPERIOD_OVERRIDE=FQ","FILING_STATUS=MR","FA_ADJUSTED=GAAP","Sort=A","Dates=H","DateFormat=P","Fill=—","Direction=H","UseDPDF=Y")</f>
        <v>8.2472999999999992</v>
      </c>
      <c r="X10" s="20">
        <f>_xll.BDH("AMGN US Equity","ACCOUNTS_PAYABLE_TURNOVER","FQ1 2024","FQ1 2024","Currency=USD","Period=FQ","BEST_FPERIOD_OVERRIDE=FQ","FILING_STATUS=MR","FA_ADJUSTED=GAAP","Sort=A","Dates=H","DateFormat=P","Fill=—","Direction=H","UseDPDF=Y")</f>
        <v>9.2563999999999993</v>
      </c>
      <c r="Y10" s="20">
        <f>_xll.BDH("AMGN US Equity","ACCOUNTS_PAYABLE_TURNOVER","FQ2 2024","FQ2 2024","Currency=USD","Period=FQ","BEST_FPERIOD_OVERRIDE=FQ","FILING_STATUS=MR","FA_ADJUSTED=GAAP","Sort=A","Dates=H","DateFormat=P","Fill=—","Direction=H","UseDPDF=Y")</f>
        <v>8.2615999999999996</v>
      </c>
      <c r="Z10" s="20">
        <f>_xll.BDH("AMGN US Equity","ACCOUNTS_PAYABLE_TURNOVER","FQ3 2024","FQ3 2024","Currency=USD","Period=FQ","BEST_FPERIOD_OVERRIDE=FQ","FILING_STATUS=MR","FA_ADJUSTED=GAAP","Sort=A","Dates=H","DateFormat=P","Fill=—","Direction=H","UseDPDF=Y")</f>
        <v>8.6699000000000002</v>
      </c>
      <c r="AA10" s="20">
        <f>_xll.BDH("AMGN US Equity","ACCOUNTS_PAYABLE_TURNOVER","FQ4 2024","FQ4 2024","Currency=USD","Period=FQ","BEST_FPERIOD_OVERRIDE=FQ","FILING_STATUS=MR","FA_ADJUSTED=GAAP","Sort=A","Dates=H","DateFormat=P","Fill=—","Direction=H","UseDPDF=Y")</f>
        <v>5.9108000000000001</v>
      </c>
    </row>
    <row r="11" spans="1:27" x14ac:dyDescent="0.25">
      <c r="A11" s="10" t="s">
        <v>1652</v>
      </c>
      <c r="B11" s="10" t="s">
        <v>1653</v>
      </c>
      <c r="C11" s="14">
        <f>_xll.BDH("AMGN US Equity","ACCOUNTS_PAYABLE_TURNOVER_DAYS","FQ4 2018","FQ4 2018","Currency=USD","Period=FQ","BEST_FPERIOD_OVERRIDE=FQ","FILING_STATUS=MR","FA_ADJUSTED=GAAP","Sort=A","Dates=H","DateFormat=P","Fill=—","Direction=H","UseDPDF=Y")</f>
        <v>111.00960000000001</v>
      </c>
      <c r="D11" s="14">
        <f>_xll.BDH("AMGN US Equity","ACCOUNTS_PAYABLE_TURNOVER_DAYS","FQ1 2019","FQ1 2019","Currency=USD","Period=FQ","BEST_FPERIOD_OVERRIDE=FQ","FILING_STATUS=MR","FA_ADJUSTED=GAAP","Sort=A","Dates=H","DateFormat=P","Fill=—","Direction=H","UseDPDF=Y")</f>
        <v>93.042599999999993</v>
      </c>
      <c r="E11" s="14">
        <f>_xll.BDH("AMGN US Equity","ACCOUNTS_PAYABLE_TURNOVER_DAYS","FQ2 2019","FQ2 2019","Currency=USD","Period=FQ","BEST_FPERIOD_OVERRIDE=FQ","FILING_STATUS=MR","FA_ADJUSTED=GAAP","Sort=A","Dates=H","DateFormat=P","Fill=—","Direction=H","UseDPDF=Y")</f>
        <v>85.770300000000006</v>
      </c>
      <c r="F11" s="14">
        <f>_xll.BDH("AMGN US Equity","ACCOUNTS_PAYABLE_TURNOVER_DAYS","FQ3 2019","FQ3 2019","Currency=USD","Period=FQ","BEST_FPERIOD_OVERRIDE=FQ","FILING_STATUS=MR","FA_ADJUSTED=GAAP","Sort=A","Dates=H","DateFormat=P","Fill=—","Direction=H","UseDPDF=Y")</f>
        <v>84.424300000000002</v>
      </c>
      <c r="G11" s="14">
        <f>_xll.BDH("AMGN US Equity","ACCOUNTS_PAYABLE_TURNOVER_DAYS","FQ4 2019","FQ4 2019","Currency=USD","Period=FQ","BEST_FPERIOD_OVERRIDE=FQ","FILING_STATUS=MR","FA_ADJUSTED=GAAP","Sort=A","Dates=H","DateFormat=P","Fill=—","Direction=H","UseDPDF=Y")</f>
        <v>94.096999999999994</v>
      </c>
      <c r="H11" s="14">
        <f>_xll.BDH("AMGN US Equity","ACCOUNTS_PAYABLE_TURNOVER_DAYS","FQ1 2020","FQ1 2020","Currency=USD","Period=FQ","BEST_FPERIOD_OVERRIDE=FQ","FILING_STATUS=MR","FA_ADJUSTED=GAAP","Sort=A","Dates=H","DateFormat=P","Fill=—","Direction=H","UseDPDF=Y")</f>
        <v>81.114400000000003</v>
      </c>
      <c r="I11" s="14">
        <f>_xll.BDH("AMGN US Equity","ACCOUNTS_PAYABLE_TURNOVER_DAYS","FQ2 2020","FQ2 2020","Currency=USD","Period=FQ","BEST_FPERIOD_OVERRIDE=FQ","FILING_STATUS=MR","FA_ADJUSTED=GAAP","Sort=A","Dates=H","DateFormat=P","Fill=—","Direction=H","UseDPDF=Y")</f>
        <v>66.112399999999994</v>
      </c>
      <c r="J11" s="14">
        <f>_xll.BDH("AMGN US Equity","ACCOUNTS_PAYABLE_TURNOVER_DAYS","FQ3 2020","FQ3 2020","Currency=USD","Period=FQ","BEST_FPERIOD_OVERRIDE=FQ","FILING_STATUS=MR","FA_ADJUSTED=GAAP","Sort=A","Dates=H","DateFormat=P","Fill=—","Direction=H","UseDPDF=Y")</f>
        <v>60.850200000000001</v>
      </c>
      <c r="K11" s="14">
        <f>_xll.BDH("AMGN US Equity","ACCOUNTS_PAYABLE_TURNOVER_DAYS","FQ4 2020","FQ4 2020","Currency=USD","Period=FQ","BEST_FPERIOD_OVERRIDE=FQ","FILING_STATUS=MR","FA_ADJUSTED=GAAP","Sort=A","Dates=H","DateFormat=P","Fill=—","Direction=H","UseDPDF=Y")</f>
        <v>78.994399999999999</v>
      </c>
      <c r="L11" s="14">
        <f>_xll.BDH("AMGN US Equity","ACCOUNTS_PAYABLE_TURNOVER_DAYS","FQ1 2021","FQ1 2021","Currency=USD","Period=FQ","BEST_FPERIOD_OVERRIDE=FQ","FILING_STATUS=MR","FA_ADJUSTED=GAAP","Sort=A","Dates=H","DateFormat=P","Fill=—","Direction=H","UseDPDF=Y")</f>
        <v>77.106300000000005</v>
      </c>
      <c r="M11" s="14">
        <f>_xll.BDH("AMGN US Equity","ACCOUNTS_PAYABLE_TURNOVER_DAYS","FQ2 2021","FQ2 2021","Currency=USD","Period=FQ","BEST_FPERIOD_OVERRIDE=FQ","FILING_STATUS=MR","FA_ADJUSTED=GAAP","Sort=A","Dates=H","DateFormat=P","Fill=—","Direction=H","UseDPDF=Y")</f>
        <v>67.519400000000005</v>
      </c>
      <c r="N11" s="14">
        <f>_xll.BDH("AMGN US Equity","ACCOUNTS_PAYABLE_TURNOVER_DAYS","FQ3 2021","FQ3 2021","Currency=USD","Period=FQ","BEST_FPERIOD_OVERRIDE=FQ","FILING_STATUS=MR","FA_ADJUSTED=GAAP","Sort=A","Dates=H","DateFormat=P","Fill=—","Direction=H","UseDPDF=Y")</f>
        <v>65.045100000000005</v>
      </c>
      <c r="O11" s="14">
        <f>_xll.BDH("AMGN US Equity","ACCOUNTS_PAYABLE_TURNOVER_DAYS","FQ4 2021","FQ4 2021","Currency=USD","Period=FQ","BEST_FPERIOD_OVERRIDE=FQ","FILING_STATUS=MR","FA_ADJUSTED=GAAP","Sort=A","Dates=H","DateFormat=P","Fill=—","Direction=H","UseDPDF=Y")</f>
        <v>76.519900000000007</v>
      </c>
      <c r="P11" s="14">
        <f>_xll.BDH("AMGN US Equity","ACCOUNTS_PAYABLE_TURNOVER_DAYS","FQ1 2022","FQ1 2022","Currency=USD","Period=FQ","BEST_FPERIOD_OVERRIDE=FQ","FILING_STATUS=MR","FA_ADJUSTED=GAAP","Sort=A","Dates=H","DateFormat=P","Fill=—","Direction=H","UseDPDF=Y")</f>
        <v>73.828199999999995</v>
      </c>
      <c r="Q11" s="14">
        <f>_xll.BDH("AMGN US Equity","ACCOUNTS_PAYABLE_TURNOVER_DAYS","FQ2 2022","FQ2 2022","Currency=USD","Period=FQ","BEST_FPERIOD_OVERRIDE=FQ","FILING_STATUS=MR","FA_ADJUSTED=GAAP","Sort=A","Dates=H","DateFormat=P","Fill=—","Direction=H","UseDPDF=Y")</f>
        <v>67.613399999999999</v>
      </c>
      <c r="R11" s="14">
        <f>_xll.BDH("AMGN US Equity","ACCOUNTS_PAYABLE_TURNOVER_DAYS","FQ3 2022","FQ3 2022","Currency=USD","Period=FQ","BEST_FPERIOD_OVERRIDE=FQ","FILING_STATUS=MR","FA_ADJUSTED=GAAP","Sort=A","Dates=H","DateFormat=P","Fill=—","Direction=H","UseDPDF=Y")</f>
        <v>62.079300000000003</v>
      </c>
      <c r="S11" s="14">
        <f>_xll.BDH("AMGN US Equity","ACCOUNTS_PAYABLE_TURNOVER_DAYS","FQ4 2022","FQ4 2022","Currency=USD","Period=FQ","BEST_FPERIOD_OVERRIDE=FQ","FILING_STATUS=MR","FA_ADJUSTED=GAAP","Sort=A","Dates=H","DateFormat=P","Fill=—","Direction=H","UseDPDF=Y")</f>
        <v>73.956599999999995</v>
      </c>
      <c r="T11" s="14">
        <f>_xll.BDH("AMGN US Equity","ACCOUNTS_PAYABLE_TURNOVER_DAYS","FQ1 2023","FQ1 2023","Currency=USD","Period=FQ","BEST_FPERIOD_OVERRIDE=FQ","FILING_STATUS=MR","FA_ADJUSTED=GAAP","Sort=A","Dates=H","DateFormat=P","Fill=—","Direction=H","UseDPDF=Y")</f>
        <v>69.357600000000005</v>
      </c>
      <c r="U11" s="14">
        <f>_xll.BDH("AMGN US Equity","ACCOUNTS_PAYABLE_TURNOVER_DAYS","FQ2 2023","FQ2 2023","Currency=USD","Period=FQ","BEST_FPERIOD_OVERRIDE=FQ","FILING_STATUS=MR","FA_ADJUSTED=GAAP","Sort=A","Dates=H","DateFormat=P","Fill=—","Direction=H","UseDPDF=Y")</f>
        <v>61.767699999999998</v>
      </c>
      <c r="V11" s="14">
        <f>_xll.BDH("AMGN US Equity","ACCOUNTS_PAYABLE_TURNOVER_DAYS","FQ3 2023","FQ3 2023","Currency=USD","Period=FQ","BEST_FPERIOD_OVERRIDE=FQ","FILING_STATUS=MR","FA_ADJUSTED=GAAP","Sort=A","Dates=H","DateFormat=P","Fill=—","Direction=H","UseDPDF=Y")</f>
        <v>63.570999999999998</v>
      </c>
      <c r="W11" s="14">
        <f>_xll.BDH("AMGN US Equity","ACCOUNTS_PAYABLE_TURNOVER_DAYS","FQ4 2023","FQ4 2023","Currency=USD","Period=FQ","BEST_FPERIOD_OVERRIDE=FQ","FILING_STATUS=MR","FA_ADJUSTED=GAAP","Sort=A","Dates=H","DateFormat=P","Fill=—","Direction=H","UseDPDF=Y")</f>
        <v>44.256799999999998</v>
      </c>
      <c r="X11" s="14">
        <f>_xll.BDH("AMGN US Equity","ACCOUNTS_PAYABLE_TURNOVER_DAYS","FQ1 2024","FQ1 2024","Currency=USD","Period=FQ","BEST_FPERIOD_OVERRIDE=FQ","FILING_STATUS=MR","FA_ADJUSTED=GAAP","Sort=A","Dates=H","DateFormat=P","Fill=—","Direction=H","UseDPDF=Y")</f>
        <v>39.54</v>
      </c>
      <c r="Y11" s="14">
        <f>_xll.BDH("AMGN US Equity","ACCOUNTS_PAYABLE_TURNOVER_DAYS","FQ2 2024","FQ2 2024","Currency=USD","Period=FQ","BEST_FPERIOD_OVERRIDE=FQ","FILING_STATUS=MR","FA_ADJUSTED=GAAP","Sort=A","Dates=H","DateFormat=P","Fill=—","Direction=H","UseDPDF=Y")</f>
        <v>44.301499999999997</v>
      </c>
      <c r="Z11" s="14">
        <f>_xll.BDH("AMGN US Equity","ACCOUNTS_PAYABLE_TURNOVER_DAYS","FQ3 2024","FQ3 2024","Currency=USD","Period=FQ","BEST_FPERIOD_OVERRIDE=FQ","FILING_STATUS=MR","FA_ADJUSTED=GAAP","Sort=A","Dates=H","DateFormat=P","Fill=—","Direction=H","UseDPDF=Y")</f>
        <v>42.215000000000003</v>
      </c>
      <c r="AA11" s="14">
        <f>_xll.BDH("AMGN US Equity","ACCOUNTS_PAYABLE_TURNOVER_DAYS","FQ4 2024","FQ4 2024","Currency=USD","Period=FQ","BEST_FPERIOD_OVERRIDE=FQ","FILING_STATUS=MR","FA_ADJUSTED=GAAP","Sort=A","Dates=H","DateFormat=P","Fill=—","Direction=H","UseDPDF=Y")</f>
        <v>61.920499999999997</v>
      </c>
    </row>
    <row r="12" spans="1:27" x14ac:dyDescent="0.25">
      <c r="A12" s="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x14ac:dyDescent="0.25">
      <c r="A13" s="6" t="s">
        <v>850</v>
      </c>
      <c r="B13" s="6" t="s">
        <v>851</v>
      </c>
      <c r="C13" s="20">
        <f>_xll.BDH("AMGN US Equity","CASH_CONVERSION_CYCLE","FQ4 2018","FQ4 2018","Currency=USD","Period=FQ","BEST_FPERIOD_OVERRIDE=FQ","FILING_STATUS=MR","FA_ADJUSTED=GAAP","Sort=A","Dates=H","DateFormat=P","Fill=—","Direction=H","UseDPDF=Y")</f>
        <v>198.33099999999999</v>
      </c>
      <c r="D13" s="20">
        <f>_xll.BDH("AMGN US Equity","CASH_CONVERSION_CYCLE","FQ1 2019","FQ1 2019","Currency=USD","Period=FQ","BEST_FPERIOD_OVERRIDE=FQ","FILING_STATUS=MR","FA_ADJUSTED=GAAP","Sort=A","Dates=H","DateFormat=P","Fill=—","Direction=H","UseDPDF=Y")</f>
        <v>222.43629999999999</v>
      </c>
      <c r="E13" s="20">
        <f>_xll.BDH("AMGN US Equity","CASH_CONVERSION_CYCLE","FQ2 2019","FQ2 2019","Currency=USD","Period=FQ","BEST_FPERIOD_OVERRIDE=FQ","FILING_STATUS=MR","FA_ADJUSTED=GAAP","Sort=A","Dates=H","DateFormat=P","Fill=—","Direction=H","UseDPDF=Y")</f>
        <v>241.9101</v>
      </c>
      <c r="F13" s="20">
        <f>_xll.BDH("AMGN US Equity","CASH_CONVERSION_CYCLE","FQ3 2019","FQ3 2019","Currency=USD","Period=FQ","BEST_FPERIOD_OVERRIDE=FQ","FILING_STATUS=MR","FA_ADJUSTED=GAAP","Sort=A","Dates=H","DateFormat=P","Fill=—","Direction=H","UseDPDF=Y")</f>
        <v>242.62469999999999</v>
      </c>
      <c r="G13" s="20">
        <f>_xll.BDH("AMGN US Equity","CASH_CONVERSION_CYCLE","FQ4 2019","FQ4 2019","Currency=USD","Period=FQ","BEST_FPERIOD_OVERRIDE=FQ","FILING_STATUS=MR","FA_ADJUSTED=GAAP","Sort=A","Dates=H","DateFormat=P","Fill=—","Direction=H","UseDPDF=Y")</f>
        <v>238.893</v>
      </c>
      <c r="H13" s="20">
        <f>_xll.BDH("AMGN US Equity","CASH_CONVERSION_CYCLE","FQ1 2020","FQ1 2020","Currency=USD","Period=FQ","BEST_FPERIOD_OVERRIDE=FQ","FILING_STATUS=MR","FA_ADJUSTED=GAAP","Sort=A","Dates=H","DateFormat=P","Fill=—","Direction=H","UseDPDF=Y")</f>
        <v>240.54669999999999</v>
      </c>
      <c r="I13" s="20">
        <f>_xll.BDH("AMGN US Equity","CASH_CONVERSION_CYCLE","FQ2 2020","FQ2 2020","Currency=USD","Period=FQ","BEST_FPERIOD_OVERRIDE=FQ","FILING_STATUS=MR","FA_ADJUSTED=GAAP","Sort=A","Dates=H","DateFormat=P","Fill=—","Direction=H","UseDPDF=Y")</f>
        <v>245.62870000000001</v>
      </c>
      <c r="J13" s="20">
        <f>_xll.BDH("AMGN US Equity","CASH_CONVERSION_CYCLE","FQ3 2020","FQ3 2020","Currency=USD","Period=FQ","BEST_FPERIOD_OVERRIDE=FQ","FILING_STATUS=MR","FA_ADJUSTED=GAAP","Sort=A","Dates=H","DateFormat=P","Fill=—","Direction=H","UseDPDF=Y")</f>
        <v>221.6575</v>
      </c>
      <c r="K13" s="20">
        <f>_xll.BDH("AMGN US Equity","CASH_CONVERSION_CYCLE","FQ4 2020","FQ4 2020","Currency=USD","Period=FQ","BEST_FPERIOD_OVERRIDE=FQ","FILING_STATUS=MR","FA_ADJUSTED=GAAP","Sort=A","Dates=H","DateFormat=P","Fill=—","Direction=H","UseDPDF=Y")</f>
        <v>204.93940000000001</v>
      </c>
      <c r="L13" s="20">
        <f>_xll.BDH("AMGN US Equity","CASH_CONVERSION_CYCLE","FQ1 2021","FQ1 2021","Currency=USD","Period=FQ","BEST_FPERIOD_OVERRIDE=FQ","FILING_STATUS=MR","FA_ADJUSTED=GAAP","Sort=A","Dates=H","DateFormat=P","Fill=—","Direction=H","UseDPDF=Y")</f>
        <v>220.2861</v>
      </c>
      <c r="M13" s="20">
        <f>_xll.BDH("AMGN US Equity","CASH_CONVERSION_CYCLE","FQ2 2021","FQ2 2021","Currency=USD","Period=FQ","BEST_FPERIOD_OVERRIDE=FQ","FILING_STATUS=MR","FA_ADJUSTED=GAAP","Sort=A","Dates=H","DateFormat=P","Fill=—","Direction=H","UseDPDF=Y")</f>
        <v>233.97659999999999</v>
      </c>
      <c r="N13" s="20">
        <f>_xll.BDH("AMGN US Equity","CASH_CONVERSION_CYCLE","FQ3 2021","FQ3 2021","Currency=USD","Period=FQ","BEST_FPERIOD_OVERRIDE=FQ","FILING_STATUS=MR","FA_ADJUSTED=GAAP","Sort=A","Dates=H","DateFormat=P","Fill=—","Direction=H","UseDPDF=Y")</f>
        <v>230.9479</v>
      </c>
      <c r="O13" s="20">
        <f>_xll.BDH("AMGN US Equity","CASH_CONVERSION_CYCLE","FQ4 2021","FQ4 2021","Currency=USD","Period=FQ","BEST_FPERIOD_OVERRIDE=FQ","FILING_STATUS=MR","FA_ADJUSTED=GAAP","Sort=A","Dates=H","DateFormat=P","Fill=—","Direction=H","UseDPDF=Y")</f>
        <v>215.27719999999999</v>
      </c>
      <c r="P13" s="20">
        <f>_xll.BDH("AMGN US Equity","CASH_CONVERSION_CYCLE","FQ1 2022","FQ1 2022","Currency=USD","Period=FQ","BEST_FPERIOD_OVERRIDE=FQ","FILING_STATUS=MR","FA_ADJUSTED=GAAP","Sort=A","Dates=H","DateFormat=P","Fill=—","Direction=H","UseDPDF=Y")</f>
        <v>227.77940000000001</v>
      </c>
      <c r="Q13" s="20">
        <f>_xll.BDH("AMGN US Equity","CASH_CONVERSION_CYCLE","FQ2 2022","FQ2 2022","Currency=USD","Period=FQ","BEST_FPERIOD_OVERRIDE=FQ","FILING_STATUS=MR","FA_ADJUSTED=GAAP","Sort=A","Dates=H","DateFormat=P","Fill=—","Direction=H","UseDPDF=Y")</f>
        <v>247.49469999999999</v>
      </c>
      <c r="R13" s="20">
        <f>_xll.BDH("AMGN US Equity","CASH_CONVERSION_CYCLE","FQ3 2022","FQ3 2022","Currency=USD","Period=FQ","BEST_FPERIOD_OVERRIDE=FQ","FILING_STATUS=MR","FA_ADJUSTED=GAAP","Sort=A","Dates=H","DateFormat=P","Fill=—","Direction=H","UseDPDF=Y")</f>
        <v>262.82600000000002</v>
      </c>
      <c r="S13" s="20">
        <f>_xll.BDH("AMGN US Equity","CASH_CONVERSION_CYCLE","FQ4 2022","FQ4 2022","Currency=USD","Period=FQ","BEST_FPERIOD_OVERRIDE=FQ","FILING_STATUS=MR","FA_ADJUSTED=GAAP","Sort=A","Dates=H","DateFormat=P","Fill=—","Direction=H","UseDPDF=Y")</f>
        <v>255.4059</v>
      </c>
      <c r="T13" s="20">
        <f>_xll.BDH("AMGN US Equity","CASH_CONVERSION_CYCLE","FQ1 2023","FQ1 2023","Currency=USD","Period=FQ","BEST_FPERIOD_OVERRIDE=FQ","FILING_STATUS=MR","FA_ADJUSTED=GAAP","Sort=A","Dates=H","DateFormat=P","Fill=—","Direction=H","UseDPDF=Y")</f>
        <v>267.91219999999998</v>
      </c>
      <c r="U13" s="20">
        <f>_xll.BDH("AMGN US Equity","CASH_CONVERSION_CYCLE","FQ2 2023","FQ2 2023","Currency=USD","Period=FQ","BEST_FPERIOD_OVERRIDE=FQ","FILING_STATUS=MR","FA_ADJUSTED=GAAP","Sort=A","Dates=H","DateFormat=P","Fill=—","Direction=H","UseDPDF=Y")</f>
        <v>268.12040000000002</v>
      </c>
      <c r="V13" s="20">
        <f>_xll.BDH("AMGN US Equity","CASH_CONVERSION_CYCLE","FQ3 2023","FQ3 2023","Currency=USD","Period=FQ","BEST_FPERIOD_OVERRIDE=FQ","FILING_STATUS=MR","FA_ADJUSTED=GAAP","Sort=A","Dates=H","DateFormat=P","Fill=—","Direction=H","UseDPDF=Y")</f>
        <v>266.40820000000002</v>
      </c>
      <c r="W13" s="20">
        <f>_xll.BDH("AMGN US Equity","CASH_CONVERSION_CYCLE","FQ4 2023","FQ4 2023","Currency=USD","Period=FQ","BEST_FPERIOD_OVERRIDE=FQ","FILING_STATUS=MR","FA_ADJUSTED=GAAP","Sort=A","Dates=H","DateFormat=P","Fill=—","Direction=H","UseDPDF=Y")</f>
        <v>350.81580000000002</v>
      </c>
      <c r="X13" s="20">
        <f>_xll.BDH("AMGN US Equity","CASH_CONVERSION_CYCLE","FQ1 2024","FQ1 2024","Currency=USD","Period=FQ","BEST_FPERIOD_OVERRIDE=FQ","FILING_STATUS=MR","FA_ADJUSTED=GAAP","Sort=A","Dates=H","DateFormat=P","Fill=—","Direction=H","UseDPDF=Y")</f>
        <v>291.08960000000002</v>
      </c>
      <c r="Y13" s="20">
        <f>_xll.BDH("AMGN US Equity","CASH_CONVERSION_CYCLE","FQ2 2024","FQ2 2024","Currency=USD","Period=FQ","BEST_FPERIOD_OVERRIDE=FQ","FILING_STATUS=MR","FA_ADJUSTED=GAAP","Sort=A","Dates=H","DateFormat=P","Fill=—","Direction=H","UseDPDF=Y")</f>
        <v>240.30250000000001</v>
      </c>
      <c r="Z13" s="20">
        <f>_xll.BDH("AMGN US Equity","CASH_CONVERSION_CYCLE","FQ3 2024","FQ3 2024","Currency=USD","Period=FQ","BEST_FPERIOD_OVERRIDE=FQ","FILING_STATUS=MR","FA_ADJUSTED=GAAP","Sort=A","Dates=H","DateFormat=P","Fill=—","Direction=H","UseDPDF=Y")</f>
        <v>209.81800000000001</v>
      </c>
      <c r="AA13" s="20">
        <f>_xll.BDH("AMGN US Equity","CASH_CONVERSION_CYCLE","FQ4 2024","FQ4 2024","Currency=USD","Period=FQ","BEST_FPERIOD_OVERRIDE=FQ","FILING_STATUS=MR","FA_ADJUSTED=GAAP","Sort=A","Dates=H","DateFormat=P","Fill=—","Direction=H","UseDPDF=Y")</f>
        <v>250.0668</v>
      </c>
    </row>
    <row r="14" spans="1:27" x14ac:dyDescent="0.25">
      <c r="A14" s="6" t="s">
        <v>1654</v>
      </c>
      <c r="B14" s="6" t="s">
        <v>1655</v>
      </c>
      <c r="C14" s="20">
        <f>_xll.BDH("AMGN US Equity","INV_TO_CASH_DAYS","FQ4 2018","FQ4 2018","Currency=USD","Period=FQ","BEST_FPERIOD_OVERRIDE=FQ","FILING_STATUS=MR","FA_ADJUSTED=GAAP","Sort=A","Dates=H","DateFormat=P","Fill=—","Direction=H","UseDPDF=Y")</f>
        <v>309.34059999999999</v>
      </c>
      <c r="D14" s="20">
        <f>_xll.BDH("AMGN US Equity","INV_TO_CASH_DAYS","FQ1 2019","FQ1 2019","Currency=USD","Period=FQ","BEST_FPERIOD_OVERRIDE=FQ","FILING_STATUS=MR","FA_ADJUSTED=GAAP","Sort=A","Dates=H","DateFormat=P","Fill=—","Direction=H","UseDPDF=Y")</f>
        <v>315.47890000000001</v>
      </c>
      <c r="E14" s="20">
        <f>_xll.BDH("AMGN US Equity","INV_TO_CASH_DAYS","FQ2 2019","FQ2 2019","Currency=USD","Period=FQ","BEST_FPERIOD_OVERRIDE=FQ","FILING_STATUS=MR","FA_ADJUSTED=GAAP","Sort=A","Dates=H","DateFormat=P","Fill=—","Direction=H","UseDPDF=Y")</f>
        <v>327.68040000000002</v>
      </c>
      <c r="F14" s="20">
        <f>_xll.BDH("AMGN US Equity","INV_TO_CASH_DAYS","FQ3 2019","FQ3 2019","Currency=USD","Period=FQ","BEST_FPERIOD_OVERRIDE=FQ","FILING_STATUS=MR","FA_ADJUSTED=GAAP","Sort=A","Dates=H","DateFormat=P","Fill=—","Direction=H","UseDPDF=Y")</f>
        <v>327.04899999999998</v>
      </c>
      <c r="G14" s="20">
        <f>_xll.BDH("AMGN US Equity","INV_TO_CASH_DAYS","FQ4 2019","FQ4 2019","Currency=USD","Period=FQ","BEST_FPERIOD_OVERRIDE=FQ","FILING_STATUS=MR","FA_ADJUSTED=GAAP","Sort=A","Dates=H","DateFormat=P","Fill=—","Direction=H","UseDPDF=Y")</f>
        <v>332.99</v>
      </c>
      <c r="H14" s="20">
        <f>_xll.BDH("AMGN US Equity","INV_TO_CASH_DAYS","FQ1 2020","FQ1 2020","Currency=USD","Period=FQ","BEST_FPERIOD_OVERRIDE=FQ","FILING_STATUS=MR","FA_ADJUSTED=GAAP","Sort=A","Dates=H","DateFormat=P","Fill=—","Direction=H","UseDPDF=Y")</f>
        <v>321.66109999999998</v>
      </c>
      <c r="I14" s="20">
        <f>_xll.BDH("AMGN US Equity","INV_TO_CASH_DAYS","FQ2 2020","FQ2 2020","Currency=USD","Period=FQ","BEST_FPERIOD_OVERRIDE=FQ","FILING_STATUS=MR","FA_ADJUSTED=GAAP","Sort=A","Dates=H","DateFormat=P","Fill=—","Direction=H","UseDPDF=Y")</f>
        <v>311.74110000000002</v>
      </c>
      <c r="J14" s="20">
        <f>_xll.BDH("AMGN US Equity","INV_TO_CASH_DAYS","FQ3 2020","FQ3 2020","Currency=USD","Period=FQ","BEST_FPERIOD_OVERRIDE=FQ","FILING_STATUS=MR","FA_ADJUSTED=GAAP","Sort=A","Dates=H","DateFormat=P","Fill=—","Direction=H","UseDPDF=Y")</f>
        <v>282.5077</v>
      </c>
      <c r="K14" s="20">
        <f>_xll.BDH("AMGN US Equity","INV_TO_CASH_DAYS","FQ4 2020","FQ4 2020","Currency=USD","Period=FQ","BEST_FPERIOD_OVERRIDE=FQ","FILING_STATUS=MR","FA_ADJUSTED=GAAP","Sort=A","Dates=H","DateFormat=P","Fill=—","Direction=H","UseDPDF=Y")</f>
        <v>283.93380000000002</v>
      </c>
      <c r="L14" s="20">
        <f>_xll.BDH("AMGN US Equity","INV_TO_CASH_DAYS","FQ1 2021","FQ1 2021","Currency=USD","Period=FQ","BEST_FPERIOD_OVERRIDE=FQ","FILING_STATUS=MR","FA_ADJUSTED=GAAP","Sort=A","Dates=H","DateFormat=P","Fill=—","Direction=H","UseDPDF=Y")</f>
        <v>297.39240000000001</v>
      </c>
      <c r="M14" s="20">
        <f>_xll.BDH("AMGN US Equity","INV_TO_CASH_DAYS","FQ2 2021","FQ2 2021","Currency=USD","Period=FQ","BEST_FPERIOD_OVERRIDE=FQ","FILING_STATUS=MR","FA_ADJUSTED=GAAP","Sort=A","Dates=H","DateFormat=P","Fill=—","Direction=H","UseDPDF=Y")</f>
        <v>301.49599999999998</v>
      </c>
      <c r="N14" s="20">
        <f>_xll.BDH("AMGN US Equity","INV_TO_CASH_DAYS","FQ3 2021","FQ3 2021","Currency=USD","Period=FQ","BEST_FPERIOD_OVERRIDE=FQ","FILING_STATUS=MR","FA_ADJUSTED=GAAP","Sort=A","Dates=H","DateFormat=P","Fill=—","Direction=H","UseDPDF=Y")</f>
        <v>295.99290000000002</v>
      </c>
      <c r="O14" s="20">
        <f>_xll.BDH("AMGN US Equity","INV_TO_CASH_DAYS","FQ4 2021","FQ4 2021","Currency=USD","Period=FQ","BEST_FPERIOD_OVERRIDE=FQ","FILING_STATUS=MR","FA_ADJUSTED=GAAP","Sort=A","Dates=H","DateFormat=P","Fill=—","Direction=H","UseDPDF=Y")</f>
        <v>291.7971</v>
      </c>
      <c r="P14" s="20">
        <f>_xll.BDH("AMGN US Equity","INV_TO_CASH_DAYS","FQ1 2022","FQ1 2022","Currency=USD","Period=FQ","BEST_FPERIOD_OVERRIDE=FQ","FILING_STATUS=MR","FA_ADJUSTED=GAAP","Sort=A","Dates=H","DateFormat=P","Fill=—","Direction=H","UseDPDF=Y")</f>
        <v>301.60759999999999</v>
      </c>
      <c r="Q14" s="20">
        <f>_xll.BDH("AMGN US Equity","INV_TO_CASH_DAYS","FQ2 2022","FQ2 2022","Currency=USD","Period=FQ","BEST_FPERIOD_OVERRIDE=FQ","FILING_STATUS=MR","FA_ADJUSTED=GAAP","Sort=A","Dates=H","DateFormat=P","Fill=—","Direction=H","UseDPDF=Y")</f>
        <v>315.108</v>
      </c>
      <c r="R14" s="20">
        <f>_xll.BDH("AMGN US Equity","INV_TO_CASH_DAYS","FQ3 2022","FQ3 2022","Currency=USD","Period=FQ","BEST_FPERIOD_OVERRIDE=FQ","FILING_STATUS=MR","FA_ADJUSTED=GAAP","Sort=A","Dates=H","DateFormat=P","Fill=—","Direction=H","UseDPDF=Y")</f>
        <v>324.90530000000001</v>
      </c>
      <c r="S14" s="20">
        <f>_xll.BDH("AMGN US Equity","INV_TO_CASH_DAYS","FQ4 2022","FQ4 2022","Currency=USD","Period=FQ","BEST_FPERIOD_OVERRIDE=FQ","FILING_STATUS=MR","FA_ADJUSTED=GAAP","Sort=A","Dates=H","DateFormat=P","Fill=—","Direction=H","UseDPDF=Y")</f>
        <v>329.36239999999998</v>
      </c>
      <c r="T14" s="20">
        <f>_xll.BDH("AMGN US Equity","INV_TO_CASH_DAYS","FQ1 2023","FQ1 2023","Currency=USD","Period=FQ","BEST_FPERIOD_OVERRIDE=FQ","FILING_STATUS=MR","FA_ADJUSTED=GAAP","Sort=A","Dates=H","DateFormat=P","Fill=—","Direction=H","UseDPDF=Y")</f>
        <v>337.26990000000001</v>
      </c>
      <c r="U14" s="20">
        <f>_xll.BDH("AMGN US Equity","INV_TO_CASH_DAYS","FQ2 2023","FQ2 2023","Currency=USD","Period=FQ","BEST_FPERIOD_OVERRIDE=FQ","FILING_STATUS=MR","FA_ADJUSTED=GAAP","Sort=A","Dates=H","DateFormat=P","Fill=—","Direction=H","UseDPDF=Y")</f>
        <v>329.88810000000001</v>
      </c>
      <c r="V14" s="20">
        <f>_xll.BDH("AMGN US Equity","INV_TO_CASH_DAYS","FQ3 2023","FQ3 2023","Currency=USD","Period=FQ","BEST_FPERIOD_OVERRIDE=FQ","FILING_STATUS=MR","FA_ADJUSTED=GAAP","Sort=A","Dates=H","DateFormat=P","Fill=—","Direction=H","UseDPDF=Y")</f>
        <v>329.97930000000002</v>
      </c>
      <c r="W14" s="20">
        <f>_xll.BDH("AMGN US Equity","INV_TO_CASH_DAYS","FQ4 2023","FQ4 2023","Currency=USD","Period=FQ","BEST_FPERIOD_OVERRIDE=FQ","FILING_STATUS=MR","FA_ADJUSTED=GAAP","Sort=A","Dates=H","DateFormat=P","Fill=—","Direction=H","UseDPDF=Y")</f>
        <v>395.07260000000002</v>
      </c>
      <c r="X14" s="20">
        <f>_xll.BDH("AMGN US Equity","INV_TO_CASH_DAYS","FQ1 2024","FQ1 2024","Currency=USD","Period=FQ","BEST_FPERIOD_OVERRIDE=FQ","FILING_STATUS=MR","FA_ADJUSTED=GAAP","Sort=A","Dates=H","DateFormat=P","Fill=—","Direction=H","UseDPDF=Y")</f>
        <v>330.62959999999998</v>
      </c>
      <c r="Y14" s="20">
        <f>_xll.BDH("AMGN US Equity","INV_TO_CASH_DAYS","FQ2 2024","FQ2 2024","Currency=USD","Period=FQ","BEST_FPERIOD_OVERRIDE=FQ","FILING_STATUS=MR","FA_ADJUSTED=GAAP","Sort=A","Dates=H","DateFormat=P","Fill=—","Direction=H","UseDPDF=Y")</f>
        <v>284.60399999999998</v>
      </c>
      <c r="Z14" s="20">
        <f>_xll.BDH("AMGN US Equity","INV_TO_CASH_DAYS","FQ3 2024","FQ3 2024","Currency=USD","Period=FQ","BEST_FPERIOD_OVERRIDE=FQ","FILING_STATUS=MR","FA_ADJUSTED=GAAP","Sort=A","Dates=H","DateFormat=P","Fill=—","Direction=H","UseDPDF=Y")</f>
        <v>252.03299999999999</v>
      </c>
      <c r="AA14" s="20">
        <f>_xll.BDH("AMGN US Equity","INV_TO_CASH_DAYS","FQ4 2024","FQ4 2024","Currency=USD","Period=FQ","BEST_FPERIOD_OVERRIDE=FQ","FILING_STATUS=MR","FA_ADJUSTED=GAAP","Sort=A","Dates=H","DateFormat=P","Fill=—","Direction=H","UseDPDF=Y")</f>
        <v>311.9873</v>
      </c>
    </row>
    <row r="15" spans="1:27" x14ac:dyDescent="0.25">
      <c r="A15" s="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x14ac:dyDescent="0.25">
      <c r="A16" s="6" t="s">
        <v>1656</v>
      </c>
      <c r="B16" s="6" t="s">
        <v>716</v>
      </c>
      <c r="C16" s="19">
        <f>_xll.BDH("AMGN US Equity","BS_INVENTORIES","FQ4 2018","FQ4 2018","Currency=USD","Period=FQ","BEST_FPERIOD_OVERRIDE=FQ","FILING_STATUS=MR","SCALING_FORMAT=MLN","Sort=A","Dates=H","DateFormat=P","Fill=—","Direction=H","UseDPDF=Y")</f>
        <v>2940</v>
      </c>
      <c r="D16" s="19">
        <f>_xll.BDH("AMGN US Equity","BS_INVENTORIES","FQ1 2019","FQ1 2019","Currency=USD","Period=FQ","BEST_FPERIOD_OVERRIDE=FQ","FILING_STATUS=MR","SCALING_FORMAT=MLN","Sort=A","Dates=H","DateFormat=P","Fill=—","Direction=H","UseDPDF=Y")</f>
        <v>3016</v>
      </c>
      <c r="E16" s="19">
        <f>_xll.BDH("AMGN US Equity","BS_INVENTORIES","FQ2 2019","FQ2 2019","Currency=USD","Period=FQ","BEST_FPERIOD_OVERRIDE=FQ","FILING_STATUS=MR","SCALING_FORMAT=MLN","Sort=A","Dates=H","DateFormat=P","Fill=—","Direction=H","UseDPDF=Y")</f>
        <v>3176</v>
      </c>
      <c r="F16" s="19">
        <f>_xll.BDH("AMGN US Equity","BS_INVENTORIES","FQ3 2019","FQ3 2019","Currency=USD","Period=FQ","BEST_FPERIOD_OVERRIDE=FQ","FILING_STATUS=MR","SCALING_FORMAT=MLN","Sort=A","Dates=H","DateFormat=P","Fill=—","Direction=H","UseDPDF=Y")</f>
        <v>3243</v>
      </c>
      <c r="G16" s="19">
        <f>_xll.BDH("AMGN US Equity","BS_INVENTORIES","FQ4 2019","FQ4 2019","Currency=USD","Period=FQ","BEST_FPERIOD_OVERRIDE=FQ","FILING_STATUS=MR","SCALING_FORMAT=MLN","Sort=A","Dates=H","DateFormat=P","Fill=—","Direction=H","UseDPDF=Y")</f>
        <v>3584</v>
      </c>
      <c r="H16" s="19">
        <f>_xll.BDH("AMGN US Equity","BS_INVENTORIES","FQ1 2020","FQ1 2020","Currency=USD","Period=FQ","BEST_FPERIOD_OVERRIDE=FQ","FILING_STATUS=MR","SCALING_FORMAT=MLN","Sort=A","Dates=H","DateFormat=P","Fill=—","Direction=H","UseDPDF=Y")</f>
        <v>3682</v>
      </c>
      <c r="I16" s="19">
        <f>_xll.BDH("AMGN US Equity","BS_INVENTORIES","FQ2 2020","FQ2 2020","Currency=USD","Period=FQ","BEST_FPERIOD_OVERRIDE=FQ","FILING_STATUS=MR","SCALING_FORMAT=MLN","Sort=A","Dates=H","DateFormat=P","Fill=—","Direction=H","UseDPDF=Y")</f>
        <v>3840</v>
      </c>
      <c r="J16" s="19">
        <f>_xll.BDH("AMGN US Equity","BS_INVENTORIES","FQ3 2020","FQ3 2020","Currency=USD","Period=FQ","BEST_FPERIOD_OVERRIDE=FQ","FILING_STATUS=MR","SCALING_FORMAT=MLN","Sort=A","Dates=H","DateFormat=P","Fill=—","Direction=H","UseDPDF=Y")</f>
        <v>3942</v>
      </c>
      <c r="K16" s="19">
        <f>_xll.BDH("AMGN US Equity","BS_INVENTORIES","FQ4 2020","FQ4 2020","Currency=USD","Period=FQ","BEST_FPERIOD_OVERRIDE=FQ","FILING_STATUS=MR","SCALING_FORMAT=MLN","Sort=A","Dates=H","DateFormat=P","Fill=—","Direction=H","UseDPDF=Y")</f>
        <v>3893</v>
      </c>
      <c r="L16" s="19">
        <f>_xll.BDH("AMGN US Equity","BS_INVENTORIES","FQ1 2021","FQ1 2021","Currency=USD","Period=FQ","BEST_FPERIOD_OVERRIDE=FQ","FILING_STATUS=MR","SCALING_FORMAT=MLN","Sort=A","Dates=H","DateFormat=P","Fill=—","Direction=H","UseDPDF=Y")</f>
        <v>4017</v>
      </c>
      <c r="M16" s="19">
        <f>_xll.BDH("AMGN US Equity","BS_INVENTORIES","FQ2 2021","FQ2 2021","Currency=USD","Period=FQ","BEST_FPERIOD_OVERRIDE=FQ","FILING_STATUS=MR","SCALING_FORMAT=MLN","Sort=A","Dates=H","DateFormat=P","Fill=—","Direction=H","UseDPDF=Y")</f>
        <v>4115</v>
      </c>
      <c r="N16" s="19">
        <f>_xll.BDH("AMGN US Equity","BS_INVENTORIES","FQ3 2021","FQ3 2021","Currency=USD","Period=FQ","BEST_FPERIOD_OVERRIDE=FQ","FILING_STATUS=MR","SCALING_FORMAT=MLN","Sort=A","Dates=H","DateFormat=P","Fill=—","Direction=H","UseDPDF=Y")</f>
        <v>4152</v>
      </c>
      <c r="O16" s="19">
        <f>_xll.BDH("AMGN US Equity","BS_INVENTORIES","FQ4 2021","FQ4 2021","Currency=USD","Period=FQ","BEST_FPERIOD_OVERRIDE=FQ","FILING_STATUS=MR","SCALING_FORMAT=MLN","Sort=A","Dates=H","DateFormat=P","Fill=—","Direction=H","UseDPDF=Y")</f>
        <v>4086</v>
      </c>
      <c r="P16" s="19">
        <f>_xll.BDH("AMGN US Equity","BS_INVENTORIES","FQ1 2022","FQ1 2022","Currency=USD","Period=FQ","BEST_FPERIOD_OVERRIDE=FQ","FILING_STATUS=MR","SCALING_FORMAT=MLN","Sort=A","Dates=H","DateFormat=P","Fill=—","Direction=H","UseDPDF=Y")</f>
        <v>4411</v>
      </c>
      <c r="Q16" s="19">
        <f>_xll.BDH("AMGN US Equity","BS_INVENTORIES","FQ2 2022","FQ2 2022","Currency=USD","Period=FQ","BEST_FPERIOD_OVERRIDE=FQ","FILING_STATUS=MR","SCALING_FORMAT=MLN","Sort=A","Dates=H","DateFormat=P","Fill=—","Direction=H","UseDPDF=Y")</f>
        <v>4554</v>
      </c>
      <c r="R16" s="19">
        <f>_xll.BDH("AMGN US Equity","BS_INVENTORIES","FQ3 2022","FQ3 2022","Currency=USD","Period=FQ","BEST_FPERIOD_OVERRIDE=FQ","FILING_STATUS=MR","SCALING_FORMAT=MLN","Sort=A","Dates=H","DateFormat=P","Fill=—","Direction=H","UseDPDF=Y")</f>
        <v>4757</v>
      </c>
      <c r="S16" s="19">
        <f>_xll.BDH("AMGN US Equity","BS_INVENTORIES","FQ4 2022","FQ4 2022","Currency=USD","Period=FQ","BEST_FPERIOD_OVERRIDE=FQ","FILING_STATUS=MR","SCALING_FORMAT=MLN","Sort=A","Dates=H","DateFormat=P","Fill=—","Direction=H","UseDPDF=Y")</f>
        <v>4930</v>
      </c>
      <c r="T16" s="19">
        <f>_xll.BDH("AMGN US Equity","BS_INVENTORIES","FQ1 2023","FQ1 2023","Currency=USD","Period=FQ","BEST_FPERIOD_OVERRIDE=FQ","FILING_STATUS=MR","SCALING_FORMAT=MLN","Sort=A","Dates=H","DateFormat=P","Fill=—","Direction=H","UseDPDF=Y")</f>
        <v>5011</v>
      </c>
      <c r="U16" s="19">
        <f>_xll.BDH("AMGN US Equity","BS_INVENTORIES","FQ2 2023","FQ2 2023","Currency=USD","Period=FQ","BEST_FPERIOD_OVERRIDE=FQ","FILING_STATUS=MR","SCALING_FORMAT=MLN","Sort=A","Dates=H","DateFormat=P","Fill=—","Direction=H","UseDPDF=Y")</f>
        <v>4978</v>
      </c>
      <c r="V16" s="19">
        <f>_xll.BDH("AMGN US Equity","BS_INVENTORIES","FQ3 2023","FQ3 2023","Currency=USD","Period=FQ","BEST_FPERIOD_OVERRIDE=FQ","FILING_STATUS=MR","SCALING_FORMAT=MLN","Sort=A","Dates=H","DateFormat=P","Fill=—","Direction=H","UseDPDF=Y")</f>
        <v>5026</v>
      </c>
      <c r="W16" s="19">
        <f>_xll.BDH("AMGN US Equity","BS_INVENTORIES","FQ4 2023","FQ4 2023","Currency=USD","Period=FQ","BEST_FPERIOD_OVERRIDE=FQ","FILING_STATUS=MR","SCALING_FORMAT=MLN","Sort=A","Dates=H","DateFormat=P","Fill=—","Direction=H","UseDPDF=Y")</f>
        <v>9518</v>
      </c>
      <c r="X16" s="19">
        <f>_xll.BDH("AMGN US Equity","BS_INVENTORIES","FQ1 2024","FQ1 2024","Currency=USD","Period=FQ","BEST_FPERIOD_OVERRIDE=FQ","FILING_STATUS=MR","SCALING_FORMAT=MLN","Sort=A","Dates=H","DateFormat=P","Fill=—","Direction=H","UseDPDF=Y")</f>
        <v>8724</v>
      </c>
      <c r="Y16" s="19">
        <f>_xll.BDH("AMGN US Equity","BS_INVENTORIES","FQ2 2024","FQ2 2024","Currency=USD","Period=FQ","BEST_FPERIOD_OVERRIDE=FQ","FILING_STATUS=MR","SCALING_FORMAT=MLN","Sort=A","Dates=H","DateFormat=P","Fill=—","Direction=H","UseDPDF=Y")</f>
        <v>7995</v>
      </c>
      <c r="Z16" s="19">
        <f>_xll.BDH("AMGN US Equity","BS_INVENTORIES","FQ3 2024","FQ3 2024","Currency=USD","Period=FQ","BEST_FPERIOD_OVERRIDE=FQ","FILING_STATUS=MR","SCALING_FORMAT=MLN","Sort=A","Dates=H","DateFormat=P","Fill=—","Direction=H","UseDPDF=Y")</f>
        <v>7362</v>
      </c>
      <c r="AA16" s="19">
        <f>_xll.BDH("AMGN US Equity","BS_INVENTORIES","FQ4 2024","FQ4 2024","Currency=USD","Period=FQ","BEST_FPERIOD_OVERRIDE=FQ","FILING_STATUS=MR","SCALING_FORMAT=MLN","Sort=A","Dates=H","DateFormat=P","Fill=—","Direction=H","UseDPDF=Y")</f>
        <v>6998</v>
      </c>
    </row>
    <row r="17" spans="1:27" x14ac:dyDescent="0.25">
      <c r="A17" s="10" t="s">
        <v>1657</v>
      </c>
      <c r="B17" s="10" t="s">
        <v>718</v>
      </c>
      <c r="C17" s="13">
        <f>_xll.BDH("AMGN US Equity","INVTRY_RAW_MATERIALS","FQ4 2018","FQ4 2018","Currency=USD","Period=FQ","BEST_FPERIOD_OVERRIDE=FQ","FILING_STATUS=MR","SCALING_FORMAT=MLN","Sort=A","Dates=H","DateFormat=P","Fill=—","Direction=H","UseDPDF=Y")</f>
        <v>257</v>
      </c>
      <c r="D17" s="13">
        <f>_xll.BDH("AMGN US Equity","INVTRY_RAW_MATERIALS","FQ1 2019","FQ1 2019","Currency=USD","Period=FQ","BEST_FPERIOD_OVERRIDE=FQ","FILING_STATUS=MR","SCALING_FORMAT=MLN","Sort=A","Dates=H","DateFormat=P","Fill=—","Direction=H","UseDPDF=Y")</f>
        <v>276</v>
      </c>
      <c r="E17" s="13">
        <f>_xll.BDH("AMGN US Equity","INVTRY_RAW_MATERIALS","FQ2 2019","FQ2 2019","Currency=USD","Period=FQ","BEST_FPERIOD_OVERRIDE=FQ","FILING_STATUS=MR","SCALING_FORMAT=MLN","Sort=A","Dates=H","DateFormat=P","Fill=—","Direction=H","UseDPDF=Y")</f>
        <v>294</v>
      </c>
      <c r="F17" s="13">
        <f>_xll.BDH("AMGN US Equity","INVTRY_RAW_MATERIALS","FQ3 2019","FQ3 2019","Currency=USD","Period=FQ","BEST_FPERIOD_OVERRIDE=FQ","FILING_STATUS=MR","SCALING_FORMAT=MLN","Sort=A","Dates=H","DateFormat=P","Fill=—","Direction=H","UseDPDF=Y")</f>
        <v>324</v>
      </c>
      <c r="G17" s="13">
        <f>_xll.BDH("AMGN US Equity","INVTRY_RAW_MATERIALS","FQ4 2019","FQ4 2019","Currency=USD","Period=FQ","BEST_FPERIOD_OVERRIDE=FQ","FILING_STATUS=MR","SCALING_FORMAT=MLN","Sort=A","Dates=H","DateFormat=P","Fill=—","Direction=H","UseDPDF=Y")</f>
        <v>358</v>
      </c>
      <c r="H17" s="13">
        <f>_xll.BDH("AMGN US Equity","INVTRY_RAW_MATERIALS","FQ1 2020","FQ1 2020","Currency=USD","Period=FQ","BEST_FPERIOD_OVERRIDE=FQ","FILING_STATUS=MR","SCALING_FORMAT=MLN","Sort=A","Dates=H","DateFormat=P","Fill=—","Direction=H","UseDPDF=Y")</f>
        <v>446</v>
      </c>
      <c r="I17" s="13">
        <f>_xll.BDH("AMGN US Equity","INVTRY_RAW_MATERIALS","FQ2 2020","FQ2 2020","Currency=USD","Period=FQ","BEST_FPERIOD_OVERRIDE=FQ","FILING_STATUS=MR","SCALING_FORMAT=MLN","Sort=A","Dates=H","DateFormat=P","Fill=—","Direction=H","UseDPDF=Y")</f>
        <v>463</v>
      </c>
      <c r="J17" s="13">
        <f>_xll.BDH("AMGN US Equity","INVTRY_RAW_MATERIALS","FQ3 2020","FQ3 2020","Currency=USD","Period=FQ","BEST_FPERIOD_OVERRIDE=FQ","FILING_STATUS=MR","SCALING_FORMAT=MLN","Sort=A","Dates=H","DateFormat=P","Fill=—","Direction=H","UseDPDF=Y")</f>
        <v>496</v>
      </c>
      <c r="K17" s="13">
        <f>_xll.BDH("AMGN US Equity","INVTRY_RAW_MATERIALS","FQ4 2020","FQ4 2020","Currency=USD","Period=FQ","BEST_FPERIOD_OVERRIDE=FQ","FILING_STATUS=MR","SCALING_FORMAT=MLN","Sort=A","Dates=H","DateFormat=P","Fill=—","Direction=H","UseDPDF=Y")</f>
        <v>486</v>
      </c>
      <c r="L17" s="13">
        <f>_xll.BDH("AMGN US Equity","INVTRY_RAW_MATERIALS","FQ1 2021","FQ1 2021","Currency=USD","Period=FQ","BEST_FPERIOD_OVERRIDE=FQ","FILING_STATUS=MR","SCALING_FORMAT=MLN","Sort=A","Dates=H","DateFormat=P","Fill=—","Direction=H","UseDPDF=Y")</f>
        <v>605</v>
      </c>
      <c r="M17" s="13">
        <f>_xll.BDH("AMGN US Equity","INVTRY_RAW_MATERIALS","FQ2 2021","FQ2 2021","Currency=USD","Period=FQ","BEST_FPERIOD_OVERRIDE=FQ","FILING_STATUS=MR","SCALING_FORMAT=MLN","Sort=A","Dates=H","DateFormat=P","Fill=—","Direction=H","UseDPDF=Y")</f>
        <v>641</v>
      </c>
      <c r="N17" s="13">
        <f>_xll.BDH("AMGN US Equity","INVTRY_RAW_MATERIALS","FQ3 2021","FQ3 2021","Currency=USD","Period=FQ","BEST_FPERIOD_OVERRIDE=FQ","FILING_STATUS=MR","SCALING_FORMAT=MLN","Sort=A","Dates=H","DateFormat=P","Fill=—","Direction=H","UseDPDF=Y")</f>
        <v>667</v>
      </c>
      <c r="O17" s="13">
        <f>_xll.BDH("AMGN US Equity","INVTRY_RAW_MATERIALS","FQ4 2021","FQ4 2021","Currency=USD","Period=FQ","BEST_FPERIOD_OVERRIDE=FQ","FILING_STATUS=MR","SCALING_FORMAT=MLN","Sort=A","Dates=H","DateFormat=P","Fill=—","Direction=H","UseDPDF=Y")</f>
        <v>647</v>
      </c>
      <c r="P17" s="13">
        <f>_xll.BDH("AMGN US Equity","INVTRY_RAW_MATERIALS","FQ1 2022","FQ1 2022","Currency=USD","Period=FQ","BEST_FPERIOD_OVERRIDE=FQ","FILING_STATUS=MR","SCALING_FORMAT=MLN","Sort=A","Dates=H","DateFormat=P","Fill=—","Direction=H","UseDPDF=Y")</f>
        <v>750</v>
      </c>
      <c r="Q17" s="13">
        <f>_xll.BDH("AMGN US Equity","INVTRY_RAW_MATERIALS","FQ2 2022","FQ2 2022","Currency=USD","Period=FQ","BEST_FPERIOD_OVERRIDE=FQ","FILING_STATUS=MR","SCALING_FORMAT=MLN","Sort=A","Dates=H","DateFormat=P","Fill=—","Direction=H","UseDPDF=Y")</f>
        <v>779</v>
      </c>
      <c r="R17" s="13">
        <f>_xll.BDH("AMGN US Equity","INVTRY_RAW_MATERIALS","FQ3 2022","FQ3 2022","Currency=USD","Period=FQ","BEST_FPERIOD_OVERRIDE=FQ","FILING_STATUS=MR","SCALING_FORMAT=MLN","Sort=A","Dates=H","DateFormat=P","Fill=—","Direction=H","UseDPDF=Y")</f>
        <v>801</v>
      </c>
      <c r="S17" s="13">
        <f>_xll.BDH("AMGN US Equity","INVTRY_RAW_MATERIALS","FQ4 2022","FQ4 2022","Currency=USD","Period=FQ","BEST_FPERIOD_OVERRIDE=FQ","FILING_STATUS=MR","SCALING_FORMAT=MLN","Sort=A","Dates=H","DateFormat=P","Fill=—","Direction=H","UseDPDF=Y")</f>
        <v>828</v>
      </c>
      <c r="T17" s="13">
        <f>_xll.BDH("AMGN US Equity","INVTRY_RAW_MATERIALS","FQ1 2023","FQ1 2023","Currency=USD","Period=FQ","BEST_FPERIOD_OVERRIDE=FQ","FILING_STATUS=MR","SCALING_FORMAT=MLN","Sort=A","Dates=H","DateFormat=P","Fill=—","Direction=H","UseDPDF=Y")</f>
        <v>903</v>
      </c>
      <c r="U17" s="13">
        <f>_xll.BDH("AMGN US Equity","INVTRY_RAW_MATERIALS","FQ2 2023","FQ2 2023","Currency=USD","Period=FQ","BEST_FPERIOD_OVERRIDE=FQ","FILING_STATUS=MR","SCALING_FORMAT=MLN","Sort=A","Dates=H","DateFormat=P","Fill=—","Direction=H","UseDPDF=Y")</f>
        <v>855</v>
      </c>
      <c r="V17" s="13">
        <f>_xll.BDH("AMGN US Equity","INVTRY_RAW_MATERIALS","FQ3 2023","FQ3 2023","Currency=USD","Period=FQ","BEST_FPERIOD_OVERRIDE=FQ","FILING_STATUS=MR","SCALING_FORMAT=MLN","Sort=A","Dates=H","DateFormat=P","Fill=—","Direction=H","UseDPDF=Y")</f>
        <v>849</v>
      </c>
      <c r="W17" s="13">
        <f>_xll.BDH("AMGN US Equity","INVTRY_RAW_MATERIALS","FQ4 2023","FQ4 2023","Currency=USD","Period=FQ","BEST_FPERIOD_OVERRIDE=FQ","FILING_STATUS=MR","SCALING_FORMAT=MLN","Sort=A","Dates=H","DateFormat=P","Fill=—","Direction=H","UseDPDF=Y")</f>
        <v>993</v>
      </c>
      <c r="X17" s="13">
        <f>_xll.BDH("AMGN US Equity","INVTRY_RAW_MATERIALS","FQ1 2024","FQ1 2024","Currency=USD","Period=FQ","BEST_FPERIOD_OVERRIDE=FQ","FILING_STATUS=MR","SCALING_FORMAT=MLN","Sort=A","Dates=H","DateFormat=P","Fill=—","Direction=H","UseDPDF=Y")</f>
        <v>928</v>
      </c>
      <c r="Y17" s="13">
        <f>_xll.BDH("AMGN US Equity","INVTRY_RAW_MATERIALS","FQ2 2024","FQ2 2024","Currency=USD","Period=FQ","BEST_FPERIOD_OVERRIDE=FQ","FILING_STATUS=MR","SCALING_FORMAT=MLN","Sort=A","Dates=H","DateFormat=P","Fill=—","Direction=H","UseDPDF=Y")</f>
        <v>884</v>
      </c>
      <c r="Z17" s="13">
        <f>_xll.BDH("AMGN US Equity","INVTRY_RAW_MATERIALS","FQ3 2024","FQ3 2024","Currency=USD","Period=FQ","BEST_FPERIOD_OVERRIDE=FQ","FILING_STATUS=MR","SCALING_FORMAT=MLN","Sort=A","Dates=H","DateFormat=P","Fill=—","Direction=H","UseDPDF=Y")</f>
        <v>788</v>
      </c>
      <c r="AA17" s="13">
        <f>_xll.BDH("AMGN US Equity","INVTRY_RAW_MATERIALS","FQ4 2024","FQ4 2024","Currency=USD","Period=FQ","BEST_FPERIOD_OVERRIDE=FQ","FILING_STATUS=MR","SCALING_FORMAT=MLN","Sort=A","Dates=H","DateFormat=P","Fill=—","Direction=H","UseDPDF=Y")</f>
        <v>818</v>
      </c>
    </row>
    <row r="18" spans="1:27" x14ac:dyDescent="0.25">
      <c r="A18" s="10" t="s">
        <v>1658</v>
      </c>
      <c r="B18" s="10" t="s">
        <v>720</v>
      </c>
      <c r="C18" s="13">
        <f>_xll.BDH("AMGN US Equity","INVTRY_IN_PROGRESS","FQ4 2018","FQ4 2018","Currency=USD","Period=FQ","BEST_FPERIOD_OVERRIDE=FQ","FILING_STATUS=MR","SCALING_FORMAT=MLN","Sort=A","Dates=H","DateFormat=P","Fill=—","Direction=H","UseDPDF=Y")</f>
        <v>1660</v>
      </c>
      <c r="D18" s="13">
        <f>_xll.BDH("AMGN US Equity","INVTRY_IN_PROGRESS","FQ1 2019","FQ1 2019","Currency=USD","Period=FQ","BEST_FPERIOD_OVERRIDE=FQ","FILING_STATUS=MR","SCALING_FORMAT=MLN","Sort=A","Dates=H","DateFormat=P","Fill=—","Direction=H","UseDPDF=Y")</f>
        <v>1770</v>
      </c>
      <c r="E18" s="13">
        <f>_xll.BDH("AMGN US Equity","INVTRY_IN_PROGRESS","FQ2 2019","FQ2 2019","Currency=USD","Period=FQ","BEST_FPERIOD_OVERRIDE=FQ","FILING_STATUS=MR","SCALING_FORMAT=MLN","Sort=A","Dates=H","DateFormat=P","Fill=—","Direction=H","UseDPDF=Y")</f>
        <v>1788</v>
      </c>
      <c r="F18" s="13">
        <f>_xll.BDH("AMGN US Equity","INVTRY_IN_PROGRESS","FQ3 2019","FQ3 2019","Currency=USD","Period=FQ","BEST_FPERIOD_OVERRIDE=FQ","FILING_STATUS=MR","SCALING_FORMAT=MLN","Sort=A","Dates=H","DateFormat=P","Fill=—","Direction=H","UseDPDF=Y")</f>
        <v>1923</v>
      </c>
      <c r="G18" s="13">
        <f>_xll.BDH("AMGN US Equity","INVTRY_IN_PROGRESS","FQ4 2019","FQ4 2019","Currency=USD","Period=FQ","BEST_FPERIOD_OVERRIDE=FQ","FILING_STATUS=MR","SCALING_FORMAT=MLN","Sort=A","Dates=H","DateFormat=P","Fill=—","Direction=H","UseDPDF=Y")</f>
        <v>2227</v>
      </c>
      <c r="H18" s="13">
        <f>_xll.BDH("AMGN US Equity","INVTRY_IN_PROGRESS","FQ1 2020","FQ1 2020","Currency=USD","Period=FQ","BEST_FPERIOD_OVERRIDE=FQ","FILING_STATUS=MR","SCALING_FORMAT=MLN","Sort=A","Dates=H","DateFormat=P","Fill=—","Direction=H","UseDPDF=Y")</f>
        <v>2192</v>
      </c>
      <c r="I18" s="13">
        <f>_xll.BDH("AMGN US Equity","INVTRY_IN_PROGRESS","FQ2 2020","FQ2 2020","Currency=USD","Period=FQ","BEST_FPERIOD_OVERRIDE=FQ","FILING_STATUS=MR","SCALING_FORMAT=MLN","Sort=A","Dates=H","DateFormat=P","Fill=—","Direction=H","UseDPDF=Y")</f>
        <v>2376</v>
      </c>
      <c r="J18" s="13">
        <f>_xll.BDH("AMGN US Equity","INVTRY_IN_PROGRESS","FQ3 2020","FQ3 2020","Currency=USD","Period=FQ","BEST_FPERIOD_OVERRIDE=FQ","FILING_STATUS=MR","SCALING_FORMAT=MLN","Sort=A","Dates=H","DateFormat=P","Fill=—","Direction=H","UseDPDF=Y")</f>
        <v>2551</v>
      </c>
      <c r="K18" s="13">
        <f>_xll.BDH("AMGN US Equity","INVTRY_IN_PROGRESS","FQ4 2020","FQ4 2020","Currency=USD","Period=FQ","BEST_FPERIOD_OVERRIDE=FQ","FILING_STATUS=MR","SCALING_FORMAT=MLN","Sort=A","Dates=H","DateFormat=P","Fill=—","Direction=H","UseDPDF=Y")</f>
        <v>2437</v>
      </c>
      <c r="L18" s="13">
        <f>_xll.BDH("AMGN US Equity","INVTRY_IN_PROGRESS","FQ1 2021","FQ1 2021","Currency=USD","Period=FQ","BEST_FPERIOD_OVERRIDE=FQ","FILING_STATUS=MR","SCALING_FORMAT=MLN","Sort=A","Dates=H","DateFormat=P","Fill=—","Direction=H","UseDPDF=Y")</f>
        <v>2463</v>
      </c>
      <c r="M18" s="13">
        <f>_xll.BDH("AMGN US Equity","INVTRY_IN_PROGRESS","FQ2 2021","FQ2 2021","Currency=USD","Period=FQ","BEST_FPERIOD_OVERRIDE=FQ","FILING_STATUS=MR","SCALING_FORMAT=MLN","Sort=A","Dates=H","DateFormat=P","Fill=—","Direction=H","UseDPDF=Y")</f>
        <v>2443</v>
      </c>
      <c r="N18" s="13">
        <f>_xll.BDH("AMGN US Equity","INVTRY_IN_PROGRESS","FQ3 2021","FQ3 2021","Currency=USD","Period=FQ","BEST_FPERIOD_OVERRIDE=FQ","FILING_STATUS=MR","SCALING_FORMAT=MLN","Sort=A","Dates=H","DateFormat=P","Fill=—","Direction=H","UseDPDF=Y")</f>
        <v>2313</v>
      </c>
      <c r="O18" s="13">
        <f>_xll.BDH("AMGN US Equity","INVTRY_IN_PROGRESS","FQ4 2021","FQ4 2021","Currency=USD","Period=FQ","BEST_FPERIOD_OVERRIDE=FQ","FILING_STATUS=MR","SCALING_FORMAT=MLN","Sort=A","Dates=H","DateFormat=P","Fill=—","Direction=H","UseDPDF=Y")</f>
        <v>2367</v>
      </c>
      <c r="P18" s="13">
        <f>_xll.BDH("AMGN US Equity","INVTRY_IN_PROGRESS","FQ1 2022","FQ1 2022","Currency=USD","Period=FQ","BEST_FPERIOD_OVERRIDE=FQ","FILING_STATUS=MR","SCALING_FORMAT=MLN","Sort=A","Dates=H","DateFormat=P","Fill=—","Direction=H","UseDPDF=Y")</f>
        <v>2582</v>
      </c>
      <c r="Q18" s="13">
        <f>_xll.BDH("AMGN US Equity","INVTRY_IN_PROGRESS","FQ2 2022","FQ2 2022","Currency=USD","Period=FQ","BEST_FPERIOD_OVERRIDE=FQ","FILING_STATUS=MR","SCALING_FORMAT=MLN","Sort=A","Dates=H","DateFormat=P","Fill=—","Direction=H","UseDPDF=Y")</f>
        <v>2763</v>
      </c>
      <c r="R18" s="13">
        <f>_xll.BDH("AMGN US Equity","INVTRY_IN_PROGRESS","FQ3 2022","FQ3 2022","Currency=USD","Period=FQ","BEST_FPERIOD_OVERRIDE=FQ","FILING_STATUS=MR","SCALING_FORMAT=MLN","Sort=A","Dates=H","DateFormat=P","Fill=—","Direction=H","UseDPDF=Y")</f>
        <v>2929</v>
      </c>
      <c r="S18" s="13">
        <f>_xll.BDH("AMGN US Equity","INVTRY_IN_PROGRESS","FQ4 2022","FQ4 2022","Currency=USD","Period=FQ","BEST_FPERIOD_OVERRIDE=FQ","FILING_STATUS=MR","SCALING_FORMAT=MLN","Sort=A","Dates=H","DateFormat=P","Fill=—","Direction=H","UseDPDF=Y")</f>
        <v>3098</v>
      </c>
      <c r="T18" s="13">
        <f>_xll.BDH("AMGN US Equity","INVTRY_IN_PROGRESS","FQ1 2023","FQ1 2023","Currency=USD","Period=FQ","BEST_FPERIOD_OVERRIDE=FQ","FILING_STATUS=MR","SCALING_FORMAT=MLN","Sort=A","Dates=H","DateFormat=P","Fill=—","Direction=H","UseDPDF=Y")</f>
        <v>2978</v>
      </c>
      <c r="U18" s="13">
        <f>_xll.BDH("AMGN US Equity","INVTRY_IN_PROGRESS","FQ2 2023","FQ2 2023","Currency=USD","Period=FQ","BEST_FPERIOD_OVERRIDE=FQ","FILING_STATUS=MR","SCALING_FORMAT=MLN","Sort=A","Dates=H","DateFormat=P","Fill=—","Direction=H","UseDPDF=Y")</f>
        <v>3048</v>
      </c>
      <c r="V18" s="13">
        <f>_xll.BDH("AMGN US Equity","INVTRY_IN_PROGRESS","FQ3 2023","FQ3 2023","Currency=USD","Period=FQ","BEST_FPERIOD_OVERRIDE=FQ","FILING_STATUS=MR","SCALING_FORMAT=MLN","Sort=A","Dates=H","DateFormat=P","Fill=—","Direction=H","UseDPDF=Y")</f>
        <v>2992</v>
      </c>
      <c r="W18" s="13">
        <f>_xll.BDH("AMGN US Equity","INVTRY_IN_PROGRESS","FQ4 2023","FQ4 2023","Currency=USD","Period=FQ","BEST_FPERIOD_OVERRIDE=FQ","FILING_STATUS=MR","SCALING_FORMAT=MLN","Sort=A","Dates=H","DateFormat=P","Fill=—","Direction=H","UseDPDF=Y")</f>
        <v>5747</v>
      </c>
      <c r="X18" s="13">
        <f>_xll.BDH("AMGN US Equity","INVTRY_IN_PROGRESS","FQ1 2024","FQ1 2024","Currency=USD","Period=FQ","BEST_FPERIOD_OVERRIDE=FQ","FILING_STATUS=MR","SCALING_FORMAT=MLN","Sort=A","Dates=H","DateFormat=P","Fill=—","Direction=H","UseDPDF=Y")</f>
        <v>5270</v>
      </c>
      <c r="Y18" s="13">
        <f>_xll.BDH("AMGN US Equity","INVTRY_IN_PROGRESS","FQ2 2024","FQ2 2024","Currency=USD","Period=FQ","BEST_FPERIOD_OVERRIDE=FQ","FILING_STATUS=MR","SCALING_FORMAT=MLN","Sort=A","Dates=H","DateFormat=P","Fill=—","Direction=H","UseDPDF=Y")</f>
        <v>4476</v>
      </c>
      <c r="Z18" s="13">
        <f>_xll.BDH("AMGN US Equity","INVTRY_IN_PROGRESS","FQ3 2024","FQ3 2024","Currency=USD","Period=FQ","BEST_FPERIOD_OVERRIDE=FQ","FILING_STATUS=MR","SCALING_FORMAT=MLN","Sort=A","Dates=H","DateFormat=P","Fill=—","Direction=H","UseDPDF=Y")</f>
        <v>4339</v>
      </c>
      <c r="AA18" s="13">
        <f>_xll.BDH("AMGN US Equity","INVTRY_IN_PROGRESS","FQ4 2024","FQ4 2024","Currency=USD","Period=FQ","BEST_FPERIOD_OVERRIDE=FQ","FILING_STATUS=MR","SCALING_FORMAT=MLN","Sort=A","Dates=H","DateFormat=P","Fill=—","Direction=H","UseDPDF=Y")</f>
        <v>4120</v>
      </c>
    </row>
    <row r="19" spans="1:27" x14ac:dyDescent="0.25">
      <c r="A19" s="10" t="s">
        <v>1659</v>
      </c>
      <c r="B19" s="10" t="s">
        <v>722</v>
      </c>
      <c r="C19" s="13">
        <f>_xll.BDH("AMGN US Equity","INVTRY_FINISHED_GOODS","FQ4 2018","FQ4 2018","Currency=USD","Period=FQ","BEST_FPERIOD_OVERRIDE=FQ","FILING_STATUS=MR","SCALING_FORMAT=MLN","Sort=A","Dates=H","DateFormat=P","Fill=—","Direction=H","UseDPDF=Y")</f>
        <v>1023</v>
      </c>
      <c r="D19" s="13">
        <f>_xll.BDH("AMGN US Equity","INVTRY_FINISHED_GOODS","FQ1 2019","FQ1 2019","Currency=USD","Period=FQ","BEST_FPERIOD_OVERRIDE=FQ","FILING_STATUS=MR","SCALING_FORMAT=MLN","Sort=A","Dates=H","DateFormat=P","Fill=—","Direction=H","UseDPDF=Y")</f>
        <v>970</v>
      </c>
      <c r="E19" s="13">
        <f>_xll.BDH("AMGN US Equity","INVTRY_FINISHED_GOODS","FQ2 2019","FQ2 2019","Currency=USD","Period=FQ","BEST_FPERIOD_OVERRIDE=FQ","FILING_STATUS=MR","SCALING_FORMAT=MLN","Sort=A","Dates=H","DateFormat=P","Fill=—","Direction=H","UseDPDF=Y")</f>
        <v>1094</v>
      </c>
      <c r="F19" s="13">
        <f>_xll.BDH("AMGN US Equity","INVTRY_FINISHED_GOODS","FQ3 2019","FQ3 2019","Currency=USD","Period=FQ","BEST_FPERIOD_OVERRIDE=FQ","FILING_STATUS=MR","SCALING_FORMAT=MLN","Sort=A","Dates=H","DateFormat=P","Fill=—","Direction=H","UseDPDF=Y")</f>
        <v>996</v>
      </c>
      <c r="G19" s="13">
        <f>_xll.BDH("AMGN US Equity","INVTRY_FINISHED_GOODS","FQ4 2019","FQ4 2019","Currency=USD","Period=FQ","BEST_FPERIOD_OVERRIDE=FQ","FILING_STATUS=MR","SCALING_FORMAT=MLN","Sort=A","Dates=H","DateFormat=P","Fill=—","Direction=H","UseDPDF=Y")</f>
        <v>999</v>
      </c>
      <c r="H19" s="13">
        <f>_xll.BDH("AMGN US Equity","INVTRY_FINISHED_GOODS","FQ1 2020","FQ1 2020","Currency=USD","Period=FQ","BEST_FPERIOD_OVERRIDE=FQ","FILING_STATUS=MR","SCALING_FORMAT=MLN","Sort=A","Dates=H","DateFormat=P","Fill=—","Direction=H","UseDPDF=Y")</f>
        <v>1044</v>
      </c>
      <c r="I19" s="13">
        <f>_xll.BDH("AMGN US Equity","INVTRY_FINISHED_GOODS","FQ2 2020","FQ2 2020","Currency=USD","Period=FQ","BEST_FPERIOD_OVERRIDE=FQ","FILING_STATUS=MR","SCALING_FORMAT=MLN","Sort=A","Dates=H","DateFormat=P","Fill=—","Direction=H","UseDPDF=Y")</f>
        <v>1001</v>
      </c>
      <c r="J19" s="13">
        <f>_xll.BDH("AMGN US Equity","INVTRY_FINISHED_GOODS","FQ3 2020","FQ3 2020","Currency=USD","Period=FQ","BEST_FPERIOD_OVERRIDE=FQ","FILING_STATUS=MR","SCALING_FORMAT=MLN","Sort=A","Dates=H","DateFormat=P","Fill=—","Direction=H","UseDPDF=Y")</f>
        <v>895</v>
      </c>
      <c r="K19" s="13">
        <f>_xll.BDH("AMGN US Equity","INVTRY_FINISHED_GOODS","FQ4 2020","FQ4 2020","Currency=USD","Period=FQ","BEST_FPERIOD_OVERRIDE=FQ","FILING_STATUS=MR","SCALING_FORMAT=MLN","Sort=A","Dates=H","DateFormat=P","Fill=—","Direction=H","UseDPDF=Y")</f>
        <v>970</v>
      </c>
      <c r="L19" s="13">
        <f>_xll.BDH("AMGN US Equity","INVTRY_FINISHED_GOODS","FQ1 2021","FQ1 2021","Currency=USD","Period=FQ","BEST_FPERIOD_OVERRIDE=FQ","FILING_STATUS=MR","SCALING_FORMAT=MLN","Sort=A","Dates=H","DateFormat=P","Fill=—","Direction=H","UseDPDF=Y")</f>
        <v>949</v>
      </c>
      <c r="M19" s="13">
        <f>_xll.BDH("AMGN US Equity","INVTRY_FINISHED_GOODS","FQ2 2021","FQ2 2021","Currency=USD","Period=FQ","BEST_FPERIOD_OVERRIDE=FQ","FILING_STATUS=MR","SCALING_FORMAT=MLN","Sort=A","Dates=H","DateFormat=P","Fill=—","Direction=H","UseDPDF=Y")</f>
        <v>1031</v>
      </c>
      <c r="N19" s="13">
        <f>_xll.BDH("AMGN US Equity","INVTRY_FINISHED_GOODS","FQ3 2021","FQ3 2021","Currency=USD","Period=FQ","BEST_FPERIOD_OVERRIDE=FQ","FILING_STATUS=MR","SCALING_FORMAT=MLN","Sort=A","Dates=H","DateFormat=P","Fill=—","Direction=H","UseDPDF=Y")</f>
        <v>1172</v>
      </c>
      <c r="O19" s="13">
        <f>_xll.BDH("AMGN US Equity","INVTRY_FINISHED_GOODS","FQ4 2021","FQ4 2021","Currency=USD","Period=FQ","BEST_FPERIOD_OVERRIDE=FQ","FILING_STATUS=MR","SCALING_FORMAT=MLN","Sort=A","Dates=H","DateFormat=P","Fill=—","Direction=H","UseDPDF=Y")</f>
        <v>1072</v>
      </c>
      <c r="P19" s="13">
        <f>_xll.BDH("AMGN US Equity","INVTRY_FINISHED_GOODS","FQ1 2022","FQ1 2022","Currency=USD","Period=FQ","BEST_FPERIOD_OVERRIDE=FQ","FILING_STATUS=MR","SCALING_FORMAT=MLN","Sort=A","Dates=H","DateFormat=P","Fill=—","Direction=H","UseDPDF=Y")</f>
        <v>1079</v>
      </c>
      <c r="Q19" s="13">
        <f>_xll.BDH("AMGN US Equity","INVTRY_FINISHED_GOODS","FQ2 2022","FQ2 2022","Currency=USD","Period=FQ","BEST_FPERIOD_OVERRIDE=FQ","FILING_STATUS=MR","SCALING_FORMAT=MLN","Sort=A","Dates=H","DateFormat=P","Fill=—","Direction=H","UseDPDF=Y")</f>
        <v>1012</v>
      </c>
      <c r="R19" s="13">
        <f>_xll.BDH("AMGN US Equity","INVTRY_FINISHED_GOODS","FQ3 2022","FQ3 2022","Currency=USD","Period=FQ","BEST_FPERIOD_OVERRIDE=FQ","FILING_STATUS=MR","SCALING_FORMAT=MLN","Sort=A","Dates=H","DateFormat=P","Fill=—","Direction=H","UseDPDF=Y")</f>
        <v>1027</v>
      </c>
      <c r="S19" s="13">
        <f>_xll.BDH("AMGN US Equity","INVTRY_FINISHED_GOODS","FQ4 2022","FQ4 2022","Currency=USD","Period=FQ","BEST_FPERIOD_OVERRIDE=FQ","FILING_STATUS=MR","SCALING_FORMAT=MLN","Sort=A","Dates=H","DateFormat=P","Fill=—","Direction=H","UseDPDF=Y")</f>
        <v>1004</v>
      </c>
      <c r="T19" s="13">
        <f>_xll.BDH("AMGN US Equity","INVTRY_FINISHED_GOODS","FQ1 2023","FQ1 2023","Currency=USD","Period=FQ","BEST_FPERIOD_OVERRIDE=FQ","FILING_STATUS=MR","SCALING_FORMAT=MLN","Sort=A","Dates=H","DateFormat=P","Fill=—","Direction=H","UseDPDF=Y")</f>
        <v>1130</v>
      </c>
      <c r="U19" s="13">
        <f>_xll.BDH("AMGN US Equity","INVTRY_FINISHED_GOODS","FQ2 2023","FQ2 2023","Currency=USD","Period=FQ","BEST_FPERIOD_OVERRIDE=FQ","FILING_STATUS=MR","SCALING_FORMAT=MLN","Sort=A","Dates=H","DateFormat=P","Fill=—","Direction=H","UseDPDF=Y")</f>
        <v>1075</v>
      </c>
      <c r="V19" s="13">
        <f>_xll.BDH("AMGN US Equity","INVTRY_FINISHED_GOODS","FQ3 2023","FQ3 2023","Currency=USD","Period=FQ","BEST_FPERIOD_OVERRIDE=FQ","FILING_STATUS=MR","SCALING_FORMAT=MLN","Sort=A","Dates=H","DateFormat=P","Fill=—","Direction=H","UseDPDF=Y")</f>
        <v>1185</v>
      </c>
      <c r="W19" s="13">
        <f>_xll.BDH("AMGN US Equity","INVTRY_FINISHED_GOODS","FQ4 2023","FQ4 2023","Currency=USD","Period=FQ","BEST_FPERIOD_OVERRIDE=FQ","FILING_STATUS=MR","SCALING_FORMAT=MLN","Sort=A","Dates=H","DateFormat=P","Fill=—","Direction=H","UseDPDF=Y")</f>
        <v>2778</v>
      </c>
      <c r="X19" s="13">
        <f>_xll.BDH("AMGN US Equity","INVTRY_FINISHED_GOODS","FQ1 2024","FQ1 2024","Currency=USD","Period=FQ","BEST_FPERIOD_OVERRIDE=FQ","FILING_STATUS=MR","SCALING_FORMAT=MLN","Sort=A","Dates=H","DateFormat=P","Fill=—","Direction=H","UseDPDF=Y")</f>
        <v>2526</v>
      </c>
      <c r="Y19" s="13">
        <f>_xll.BDH("AMGN US Equity","INVTRY_FINISHED_GOODS","FQ2 2024","FQ2 2024","Currency=USD","Period=FQ","BEST_FPERIOD_OVERRIDE=FQ","FILING_STATUS=MR","SCALING_FORMAT=MLN","Sort=A","Dates=H","DateFormat=P","Fill=—","Direction=H","UseDPDF=Y")</f>
        <v>2635</v>
      </c>
      <c r="Z19" s="13">
        <f>_xll.BDH("AMGN US Equity","INVTRY_FINISHED_GOODS","FQ3 2024","FQ3 2024","Currency=USD","Period=FQ","BEST_FPERIOD_OVERRIDE=FQ","FILING_STATUS=MR","SCALING_FORMAT=MLN","Sort=A","Dates=H","DateFormat=P","Fill=—","Direction=H","UseDPDF=Y")</f>
        <v>2235</v>
      </c>
      <c r="AA19" s="13">
        <f>_xll.BDH("AMGN US Equity","INVTRY_FINISHED_GOODS","FQ4 2024","FQ4 2024","Currency=USD","Period=FQ","BEST_FPERIOD_OVERRIDE=FQ","FILING_STATUS=MR","SCALING_FORMAT=MLN","Sort=A","Dates=H","DateFormat=P","Fill=—","Direction=H","UseDPDF=Y")</f>
        <v>2060</v>
      </c>
    </row>
    <row r="20" spans="1:27" x14ac:dyDescent="0.25">
      <c r="A20" s="10" t="s">
        <v>1660</v>
      </c>
      <c r="B20" s="10" t="s">
        <v>724</v>
      </c>
      <c r="C20" s="13">
        <f>_xll.BDH("AMGN US Equity","BS_OTHER_INV","FQ4 2018","FQ4 2018","Currency=USD","Period=FQ","BEST_FPERIOD_OVERRIDE=FQ","FILING_STATUS=MR","SCALING_FORMAT=MLN","Sort=A","Dates=H","DateFormat=P","Fill=—","Direction=H","UseDPDF=Y")</f>
        <v>0</v>
      </c>
      <c r="D20" s="13">
        <f>_xll.BDH("AMGN US Equity","BS_OTHER_INV","FQ1 2019","FQ1 2019","Currency=USD","Period=FQ","BEST_FPERIOD_OVERRIDE=FQ","FILING_STATUS=MR","SCALING_FORMAT=MLN","Sort=A","Dates=H","DateFormat=P","Fill=—","Direction=H","UseDPDF=Y")</f>
        <v>0</v>
      </c>
      <c r="E20" s="13">
        <f>_xll.BDH("AMGN US Equity","BS_OTHER_INV","FQ2 2019","FQ2 2019","Currency=USD","Period=FQ","BEST_FPERIOD_OVERRIDE=FQ","FILING_STATUS=MR","SCALING_FORMAT=MLN","Sort=A","Dates=H","DateFormat=P","Fill=—","Direction=H","UseDPDF=Y")</f>
        <v>0</v>
      </c>
      <c r="F20" s="13">
        <f>_xll.BDH("AMGN US Equity","BS_OTHER_INV","FQ3 2019","FQ3 2019","Currency=USD","Period=FQ","BEST_FPERIOD_OVERRIDE=FQ","FILING_STATUS=MR","SCALING_FORMAT=MLN","Sort=A","Dates=H","DateFormat=P","Fill=—","Direction=H","UseDPDF=Y")</f>
        <v>0</v>
      </c>
      <c r="G20" s="13">
        <f>_xll.BDH("AMGN US Equity","BS_OTHER_INV","FQ4 2019","FQ4 2019","Currency=USD","Period=FQ","BEST_FPERIOD_OVERRIDE=FQ","FILING_STATUS=MR","SCALING_FORMAT=MLN","Sort=A","Dates=H","DateFormat=P","Fill=—","Direction=H","UseDPDF=Y")</f>
        <v>0</v>
      </c>
      <c r="H20" s="13">
        <f>_xll.BDH("AMGN US Equity","BS_OTHER_INV","FQ1 2020","FQ1 2020","Currency=USD","Period=FQ","BEST_FPERIOD_OVERRIDE=FQ","FILING_STATUS=MR","SCALING_FORMAT=MLN","Sort=A","Dates=H","DateFormat=P","Fill=—","Direction=H","UseDPDF=Y")</f>
        <v>0</v>
      </c>
      <c r="I20" s="13">
        <f>_xll.BDH("AMGN US Equity","BS_OTHER_INV","FQ2 2020","FQ2 2020","Currency=USD","Period=FQ","BEST_FPERIOD_OVERRIDE=FQ","FILING_STATUS=MR","SCALING_FORMAT=MLN","Sort=A","Dates=H","DateFormat=P","Fill=—","Direction=H","UseDPDF=Y")</f>
        <v>0</v>
      </c>
      <c r="J20" s="13">
        <f>_xll.BDH("AMGN US Equity","BS_OTHER_INV","FQ3 2020","FQ3 2020","Currency=USD","Period=FQ","BEST_FPERIOD_OVERRIDE=FQ","FILING_STATUS=MR","SCALING_FORMAT=MLN","Sort=A","Dates=H","DateFormat=P","Fill=—","Direction=H","UseDPDF=Y")</f>
        <v>0</v>
      </c>
      <c r="K20" s="13">
        <f>_xll.BDH("AMGN US Equity","BS_OTHER_INV","FQ4 2020","FQ4 2020","Currency=USD","Period=FQ","BEST_FPERIOD_OVERRIDE=FQ","FILING_STATUS=MR","SCALING_FORMAT=MLN","Sort=A","Dates=H","DateFormat=P","Fill=—","Direction=H","UseDPDF=Y")</f>
        <v>0</v>
      </c>
      <c r="L20" s="13">
        <f>_xll.BDH("AMGN US Equity","BS_OTHER_INV","FQ1 2021","FQ1 2021","Currency=USD","Period=FQ","BEST_FPERIOD_OVERRIDE=FQ","FILING_STATUS=MR","SCALING_FORMAT=MLN","Sort=A","Dates=H","DateFormat=P","Fill=—","Direction=H","UseDPDF=Y")</f>
        <v>0</v>
      </c>
      <c r="M20" s="13">
        <f>_xll.BDH("AMGN US Equity","BS_OTHER_INV","FQ2 2021","FQ2 2021","Currency=USD","Period=FQ","BEST_FPERIOD_OVERRIDE=FQ","FILING_STATUS=MR","SCALING_FORMAT=MLN","Sort=A","Dates=H","DateFormat=P","Fill=—","Direction=H","UseDPDF=Y")</f>
        <v>0</v>
      </c>
      <c r="N20" s="13">
        <f>_xll.BDH("AMGN US Equity","BS_OTHER_INV","FQ3 2021","FQ3 2021","Currency=USD","Period=FQ","BEST_FPERIOD_OVERRIDE=FQ","FILING_STATUS=MR","SCALING_FORMAT=MLN","Sort=A","Dates=H","DateFormat=P","Fill=—","Direction=H","UseDPDF=Y")</f>
        <v>0</v>
      </c>
      <c r="O20" s="13">
        <f>_xll.BDH("AMGN US Equity","BS_OTHER_INV","FQ4 2021","FQ4 2021","Currency=USD","Period=FQ","BEST_FPERIOD_OVERRIDE=FQ","FILING_STATUS=MR","SCALING_FORMAT=MLN","Sort=A","Dates=H","DateFormat=P","Fill=—","Direction=H","UseDPDF=Y")</f>
        <v>0</v>
      </c>
      <c r="P20" s="13">
        <f>_xll.BDH("AMGN US Equity","BS_OTHER_INV","FQ1 2022","FQ1 2022","Currency=USD","Period=FQ","BEST_FPERIOD_OVERRIDE=FQ","FILING_STATUS=MR","SCALING_FORMAT=MLN","Sort=A","Dates=H","DateFormat=P","Fill=—","Direction=H","UseDPDF=Y")</f>
        <v>0</v>
      </c>
      <c r="Q20" s="13">
        <f>_xll.BDH("AMGN US Equity","BS_OTHER_INV","FQ2 2022","FQ2 2022","Currency=USD","Period=FQ","BEST_FPERIOD_OVERRIDE=FQ","FILING_STATUS=MR","SCALING_FORMAT=MLN","Sort=A","Dates=H","DateFormat=P","Fill=—","Direction=H","UseDPDF=Y")</f>
        <v>0</v>
      </c>
      <c r="R20" s="13">
        <f>_xll.BDH("AMGN US Equity","BS_OTHER_INV","FQ3 2022","FQ3 2022","Currency=USD","Period=FQ","BEST_FPERIOD_OVERRIDE=FQ","FILING_STATUS=MR","SCALING_FORMAT=MLN","Sort=A","Dates=H","DateFormat=P","Fill=—","Direction=H","UseDPDF=Y")</f>
        <v>0</v>
      </c>
      <c r="S20" s="13">
        <f>_xll.BDH("AMGN US Equity","BS_OTHER_INV","FQ4 2022","FQ4 2022","Currency=USD","Period=FQ","BEST_FPERIOD_OVERRIDE=FQ","FILING_STATUS=MR","SCALING_FORMAT=MLN","Sort=A","Dates=H","DateFormat=P","Fill=—","Direction=H","UseDPDF=Y")</f>
        <v>0</v>
      </c>
      <c r="T20" s="13">
        <f>_xll.BDH("AMGN US Equity","BS_OTHER_INV","FQ1 2023","FQ1 2023","Currency=USD","Period=FQ","BEST_FPERIOD_OVERRIDE=FQ","FILING_STATUS=MR","SCALING_FORMAT=MLN","Sort=A","Dates=H","DateFormat=P","Fill=—","Direction=H","UseDPDF=Y")</f>
        <v>0</v>
      </c>
      <c r="U20" s="13">
        <f>_xll.BDH("AMGN US Equity","BS_OTHER_INV","FQ2 2023","FQ2 2023","Currency=USD","Period=FQ","BEST_FPERIOD_OVERRIDE=FQ","FILING_STATUS=MR","SCALING_FORMAT=MLN","Sort=A","Dates=H","DateFormat=P","Fill=—","Direction=H","UseDPDF=Y")</f>
        <v>0</v>
      </c>
      <c r="V20" s="13">
        <f>_xll.BDH("AMGN US Equity","BS_OTHER_INV","FQ3 2023","FQ3 2023","Currency=USD","Period=FQ","BEST_FPERIOD_OVERRIDE=FQ","FILING_STATUS=MR","SCALING_FORMAT=MLN","Sort=A","Dates=H","DateFormat=P","Fill=—","Direction=H","UseDPDF=Y")</f>
        <v>0</v>
      </c>
      <c r="W20" s="13">
        <f>_xll.BDH("AMGN US Equity","BS_OTHER_INV","FQ4 2023","FQ4 2023","Currency=USD","Period=FQ","BEST_FPERIOD_OVERRIDE=FQ","FILING_STATUS=MR","SCALING_FORMAT=MLN","Sort=A","Dates=H","DateFormat=P","Fill=—","Direction=H","UseDPDF=Y")</f>
        <v>0</v>
      </c>
      <c r="X20" s="13">
        <f>_xll.BDH("AMGN US Equity","BS_OTHER_INV","FQ1 2024","FQ1 2024","Currency=USD","Period=FQ","BEST_FPERIOD_OVERRIDE=FQ","FILING_STATUS=MR","SCALING_FORMAT=MLN","Sort=A","Dates=H","DateFormat=P","Fill=—","Direction=H","UseDPDF=Y")</f>
        <v>0</v>
      </c>
      <c r="Y20" s="13">
        <f>_xll.BDH("AMGN US Equity","BS_OTHER_INV","FQ2 2024","FQ2 2024","Currency=USD","Period=FQ","BEST_FPERIOD_OVERRIDE=FQ","FILING_STATUS=MR","SCALING_FORMAT=MLN","Sort=A","Dates=H","DateFormat=P","Fill=—","Direction=H","UseDPDF=Y")</f>
        <v>0</v>
      </c>
      <c r="Z20" s="13">
        <f>_xll.BDH("AMGN US Equity","BS_OTHER_INV","FQ3 2024","FQ3 2024","Currency=USD","Period=FQ","BEST_FPERIOD_OVERRIDE=FQ","FILING_STATUS=MR","SCALING_FORMAT=MLN","Sort=A","Dates=H","DateFormat=P","Fill=—","Direction=H","UseDPDF=Y")</f>
        <v>0</v>
      </c>
      <c r="AA20" s="13">
        <f>_xll.BDH("AMGN US Equity","BS_OTHER_INV","FQ4 2024","FQ4 2024","Currency=USD","Period=FQ","BEST_FPERIOD_OVERRIDE=FQ","FILING_STATUS=MR","SCALING_FORMAT=MLN","Sort=A","Dates=H","DateFormat=P","Fill=—","Direction=H","UseDPDF=Y")</f>
        <v>0</v>
      </c>
    </row>
    <row r="21" spans="1:27" x14ac:dyDescent="0.25">
      <c r="A21" s="7" t="s">
        <v>90</v>
      </c>
      <c r="B21" s="7"/>
      <c r="C21" s="7" t="s">
        <v>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44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1661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94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31</v>
      </c>
      <c r="AA4" s="4" t="s">
        <v>32</v>
      </c>
    </row>
    <row r="5" spans="1:27" x14ac:dyDescent="0.25">
      <c r="A5" s="9" t="s">
        <v>34</v>
      </c>
      <c r="B5" s="9"/>
      <c r="C5" s="5" t="s">
        <v>96</v>
      </c>
      <c r="D5" s="5" t="s">
        <v>35</v>
      </c>
      <c r="E5" s="5" t="s">
        <v>36</v>
      </c>
      <c r="F5" s="5" t="s">
        <v>37</v>
      </c>
      <c r="G5" s="5" t="s">
        <v>38</v>
      </c>
      <c r="H5" s="5" t="s">
        <v>39</v>
      </c>
      <c r="I5" s="5" t="s">
        <v>40</v>
      </c>
      <c r="J5" s="5" t="s">
        <v>41</v>
      </c>
      <c r="K5" s="5" t="s">
        <v>42</v>
      </c>
      <c r="L5" s="5" t="s">
        <v>43</v>
      </c>
      <c r="M5" s="5" t="s">
        <v>44</v>
      </c>
      <c r="N5" s="5" t="s">
        <v>45</v>
      </c>
      <c r="O5" s="5" t="s">
        <v>46</v>
      </c>
      <c r="P5" s="5" t="s">
        <v>47</v>
      </c>
      <c r="Q5" s="5" t="s">
        <v>48</v>
      </c>
      <c r="R5" s="5" t="s">
        <v>49</v>
      </c>
      <c r="S5" s="5" t="s">
        <v>50</v>
      </c>
      <c r="T5" s="5" t="s">
        <v>51</v>
      </c>
      <c r="U5" s="5" t="s">
        <v>52</v>
      </c>
      <c r="V5" s="5" t="s">
        <v>53</v>
      </c>
      <c r="W5" s="5" t="s">
        <v>54</v>
      </c>
      <c r="X5" s="5" t="s">
        <v>55</v>
      </c>
      <c r="Y5" s="5" t="s">
        <v>56</v>
      </c>
      <c r="Z5" s="5" t="s">
        <v>57</v>
      </c>
      <c r="AA5" s="5" t="s">
        <v>58</v>
      </c>
    </row>
    <row r="6" spans="1:27" x14ac:dyDescent="0.25">
      <c r="A6" s="6" t="s">
        <v>1662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1663</v>
      </c>
      <c r="B7" s="10" t="s">
        <v>1664</v>
      </c>
      <c r="C7" s="13">
        <f>_xll.BDH("AMGN US Equity","TRAIL_12M_CASH_FROM_OPER","FQ1 2019","FQ1 2019","Currency=USD","Period=FQ","BEST_FPERIOD_OVERRIDE=FQ","FILING_STATUS=MR","SCALING_FORMAT=MLN","Sort=A","Dates=H","DateFormat=P","Fill=—","Direction=H","UseDPDF=Y")</f>
        <v>10414</v>
      </c>
      <c r="D7" s="13">
        <f>_xll.BDH("AMGN US Equity","TRAIL_12M_CASH_FROM_OPER","FQ2 2019","FQ2 2019","Currency=USD","Period=FQ","BEST_FPERIOD_OVERRIDE=FQ","FILING_STATUS=MR","SCALING_FORMAT=MLN","Sort=A","Dates=H","DateFormat=P","Fill=—","Direction=H","UseDPDF=Y")</f>
        <v>9726</v>
      </c>
      <c r="E7" s="13">
        <f>_xll.BDH("AMGN US Equity","TRAIL_12M_CASH_FROM_OPER","FQ3 2019","FQ3 2019","Currency=USD","Period=FQ","BEST_FPERIOD_OVERRIDE=FQ","FILING_STATUS=MR","SCALING_FORMAT=MLN","Sort=A","Dates=H","DateFormat=P","Fill=—","Direction=H","UseDPDF=Y")</f>
        <v>9830</v>
      </c>
      <c r="F7" s="13">
        <f>_xll.BDH("AMGN US Equity","TRAIL_12M_CASH_FROM_OPER","FQ4 2019","FQ4 2019","Currency=USD","Period=FQ","BEST_FPERIOD_OVERRIDE=FQ","FILING_STATUS=MR","SCALING_FORMAT=MLN","Sort=A","Dates=H","DateFormat=P","Fill=—","Direction=H","UseDPDF=Y")</f>
        <v>9150</v>
      </c>
      <c r="G7" s="13">
        <f>_xll.BDH("AMGN US Equity","TRAIL_12M_CASH_FROM_OPER","FQ1 2020","FQ1 2020","Currency=USD","Period=FQ","BEST_FPERIOD_OVERRIDE=FQ","FILING_STATUS=MR","SCALING_FORMAT=MLN","Sort=A","Dates=H","DateFormat=P","Fill=—","Direction=H","UseDPDF=Y")</f>
        <v>9439</v>
      </c>
      <c r="H7" s="13">
        <f>_xll.BDH("AMGN US Equity","TRAIL_12M_CASH_FROM_OPER","FQ2 2020","FQ2 2020","Currency=USD","Period=FQ","BEST_FPERIOD_OVERRIDE=FQ","FILING_STATUS=MR","SCALING_FORMAT=MLN","Sort=A","Dates=H","DateFormat=P","Fill=—","Direction=H","UseDPDF=Y")</f>
        <v>10867</v>
      </c>
      <c r="I7" s="13">
        <f>_xll.BDH("AMGN US Equity","TRAIL_12M_CASH_FROM_OPER","FQ3 2020","FQ3 2020","Currency=USD","Period=FQ","BEST_FPERIOD_OVERRIDE=FQ","FILING_STATUS=MR","SCALING_FORMAT=MLN","Sort=A","Dates=H","DateFormat=P","Fill=—","Direction=H","UseDPDF=Y")</f>
        <v>10858</v>
      </c>
      <c r="J7" s="13">
        <f>_xll.BDH("AMGN US Equity","TRAIL_12M_CASH_FROM_OPER","FQ4 2020","FQ4 2020","Currency=USD","Period=FQ","BEST_FPERIOD_OVERRIDE=FQ","FILING_STATUS=MR","SCALING_FORMAT=MLN","Sort=A","Dates=H","DateFormat=P","Fill=—","Direction=H","UseDPDF=Y")</f>
        <v>10757</v>
      </c>
      <c r="K7" s="13">
        <f>_xll.BDH("AMGN US Equity","TRAIL_12M_CASH_FROM_OPER","FQ1 2021","FQ1 2021","Currency=USD","Period=FQ","BEST_FPERIOD_OVERRIDE=FQ","FILING_STATUS=MR","SCALING_FORMAT=MLN","Sort=A","Dates=H","DateFormat=P","Fill=—","Direction=H","UseDPDF=Y")</f>
        <v>10727</v>
      </c>
      <c r="L7" s="13">
        <f>_xll.BDH("AMGN US Equity","TRAIL_12M_CASH_FROM_OPER","FQ2 2021","FQ2 2021","Currency=USD","Period=FQ","BEST_FPERIOD_OVERRIDE=FQ","FILING_STATUS=MR","SCALING_FORMAT=MLN","Sort=A","Dates=H","DateFormat=P","Fill=—","Direction=H","UseDPDF=Y")</f>
        <v>9816</v>
      </c>
      <c r="M7" s="13">
        <f>_xll.BDH("AMGN US Equity","TRAIL_12M_CASH_FROM_OPER","FQ3 2021","FQ3 2021","Currency=USD","Period=FQ","BEST_FPERIOD_OVERRIDE=FQ","FILING_STATUS=MR","SCALING_FORMAT=MLN","Sort=A","Dates=H","DateFormat=P","Fill=—","Direction=H","UseDPDF=Y")</f>
        <v>8866</v>
      </c>
      <c r="N7" s="13">
        <f>_xll.BDH("AMGN US Equity","TRAIL_12M_CASH_FROM_OPER","FQ4 2021","FQ4 2021","Currency=USD","Period=FQ","BEST_FPERIOD_OVERRIDE=FQ","FILING_STATUS=MR","SCALING_FORMAT=MLN","Sort=A","Dates=H","DateFormat=P","Fill=—","Direction=H","UseDPDF=Y")</f>
        <v>9261</v>
      </c>
      <c r="O7" s="13">
        <f>_xll.BDH("AMGN US Equity","TRAIL_12M_CASH_FROM_OPER","FQ1 2022","FQ1 2022","Currency=USD","Period=FQ","BEST_FPERIOD_OVERRIDE=FQ","FILING_STATUS=MR","SCALING_FORMAT=MLN","Sort=A","Dates=H","DateFormat=P","Fill=—","Direction=H","UseDPDF=Y")</f>
        <v>9321</v>
      </c>
      <c r="P7" s="13">
        <f>_xll.BDH("AMGN US Equity","TRAIL_12M_CASH_FROM_OPER","FQ2 2022","FQ2 2022","Currency=USD","Period=FQ","BEST_FPERIOD_OVERRIDE=FQ","FILING_STATUS=MR","SCALING_FORMAT=MLN","Sort=A","Dates=H","DateFormat=P","Fill=—","Direction=H","UseDPDF=Y")</f>
        <v>9320</v>
      </c>
      <c r="Q7" s="13">
        <f>_xll.BDH("AMGN US Equity","TRAIL_12M_CASH_FROM_OPER","FQ3 2022","FQ3 2022","Currency=USD","Period=FQ","BEST_FPERIOD_OVERRIDE=FQ","FILING_STATUS=MR","SCALING_FORMAT=MLN","Sort=A","Dates=H","DateFormat=P","Fill=—","Direction=H","UseDPDF=Y")</f>
        <v>9880</v>
      </c>
      <c r="R7" s="13">
        <f>_xll.BDH("AMGN US Equity","TRAIL_12M_CASH_FROM_OPER","FQ4 2022","FQ4 2022","Currency=USD","Period=FQ","BEST_FPERIOD_OVERRIDE=FQ","FILING_STATUS=MR","SCALING_FORMAT=MLN","Sort=A","Dates=H","DateFormat=P","Fill=—","Direction=H","UseDPDF=Y")</f>
        <v>9721</v>
      </c>
      <c r="S7" s="13">
        <f>_xll.BDH("AMGN US Equity","TRAIL_12M_CASH_FROM_OPER","FQ1 2023","FQ1 2023","Currency=USD","Period=FQ","BEST_FPERIOD_OVERRIDE=FQ","FILING_STATUS=MR","SCALING_FORMAT=MLN","Sort=A","Dates=H","DateFormat=P","Fill=—","Direction=H","UseDPDF=Y")</f>
        <v>8621</v>
      </c>
      <c r="T7" s="13">
        <f>_xll.BDH("AMGN US Equity","TRAIL_12M_CASH_FROM_OPER","FQ2 2023","FQ2 2023","Currency=USD","Period=FQ","BEST_FPERIOD_OVERRIDE=FQ","FILING_STATUS=MR","SCALING_FORMAT=MLN","Sort=A","Dates=H","DateFormat=P","Fill=—","Direction=H","UseDPDF=Y")</f>
        <v>10800</v>
      </c>
      <c r="U7" s="13">
        <f>_xll.BDH("AMGN US Equity","TRAIL_12M_CASH_FROM_OPER","FQ3 2023","FQ3 2023","Currency=USD","Period=FQ","BEST_FPERIOD_OVERRIDE=FQ","FILING_STATUS=MR","SCALING_FORMAT=MLN","Sort=A","Dates=H","DateFormat=P","Fill=—","Direction=H","UseDPDF=Y")</f>
        <v>10582</v>
      </c>
      <c r="V7" s="13">
        <f>_xll.BDH("AMGN US Equity","TRAIL_12M_CASH_FROM_OPER","FQ4 2023","FQ4 2023","Currency=USD","Period=FQ","BEST_FPERIOD_OVERRIDE=FQ","FILING_STATUS=MR","SCALING_FORMAT=MLN","Sort=A","Dates=H","DateFormat=P","Fill=—","Direction=H","UseDPDF=Y")</f>
        <v>8471</v>
      </c>
      <c r="W7" s="13">
        <f>_xll.BDH("AMGN US Equity","TRAIL_12M_CASH_FROM_OPER","FQ1 2024","FQ1 2024","Currency=USD","Period=FQ","BEST_FPERIOD_OVERRIDE=FQ","FILING_STATUS=MR","SCALING_FORMAT=MLN","Sort=A","Dates=H","DateFormat=P","Fill=—","Direction=H","UseDPDF=Y")</f>
        <v>8096</v>
      </c>
      <c r="X7" s="13">
        <f>_xll.BDH("AMGN US Equity","TRAIL_12M_CASH_FROM_OPER","FQ2 2024","FQ2 2024","Currency=USD","Period=FQ","BEST_FPERIOD_OVERRIDE=FQ","FILING_STATUS=MR","SCALING_FORMAT=MLN","Sort=A","Dates=H","DateFormat=P","Fill=—","Direction=H","UseDPDF=Y")</f>
        <v>6446</v>
      </c>
      <c r="Y7" s="13">
        <f>_xll.BDH("AMGN US Equity","TRAIL_12M_CASH_FROM_OPER","FQ3 2024","FQ3 2024","Currency=USD","Period=FQ","BEST_FPERIOD_OVERRIDE=FQ","FILING_STATUS=MR","SCALING_FORMAT=MLN","Sort=A","Dates=H","DateFormat=P","Fill=—","Direction=H","UseDPDF=Y")</f>
        <v>7257</v>
      </c>
      <c r="Z7" s="13">
        <f>_xll.BDH("AMGN US Equity","TRAIL_12M_CASH_FROM_OPER","FQ4 2024","FQ4 2024","Currency=USD","Period=FQ","BEST_FPERIOD_OVERRIDE=FQ","FILING_STATUS=MR","SCALING_FORMAT=MLN","Sort=A","Dates=H","DateFormat=P","Fill=—","Direction=H","UseDPDF=Y")</f>
        <v>11490</v>
      </c>
      <c r="AA7" s="13">
        <v>19740.12</v>
      </c>
    </row>
    <row r="8" spans="1:27" x14ac:dyDescent="0.25">
      <c r="A8" s="10" t="s">
        <v>1665</v>
      </c>
      <c r="B8" s="10" t="s">
        <v>1666</v>
      </c>
      <c r="C8" s="13">
        <f>_xll.BDH("AMGN US Equity","TRAIL_12M_CAP_EXPEND","FQ1 2019","FQ1 2019","Currency=USD","Period=FQ","BEST_FPERIOD_OVERRIDE=FQ","FILING_STATUS=MR","SCALING_FORMAT=MLN","Sort=A","Dates=H","DateFormat=P","Fill=—","Direction=H","UseDPDF=Y")</f>
        <v>-699</v>
      </c>
      <c r="D8" s="13">
        <f>_xll.BDH("AMGN US Equity","TRAIL_12M_CAP_EXPEND","FQ2 2019","FQ2 2019","Currency=USD","Period=FQ","BEST_FPERIOD_OVERRIDE=FQ","FILING_STATUS=MR","SCALING_FORMAT=MLN","Sort=A","Dates=H","DateFormat=P","Fill=—","Direction=H","UseDPDF=Y")</f>
        <v>-656</v>
      </c>
      <c r="E8" s="13">
        <f>_xll.BDH("AMGN US Equity","TRAIL_12M_CAP_EXPEND","FQ3 2019","FQ3 2019","Currency=USD","Period=FQ","BEST_FPERIOD_OVERRIDE=FQ","FILING_STATUS=MR","SCALING_FORMAT=MLN","Sort=A","Dates=H","DateFormat=P","Fill=—","Direction=H","UseDPDF=Y")</f>
        <v>-655</v>
      </c>
      <c r="F8" s="13">
        <f>_xll.BDH("AMGN US Equity","TRAIL_12M_CAP_EXPEND","FQ4 2019","FQ4 2019","Currency=USD","Period=FQ","BEST_FPERIOD_OVERRIDE=FQ","FILING_STATUS=MR","SCALING_FORMAT=MLN","Sort=A","Dates=H","DateFormat=P","Fill=—","Direction=H","UseDPDF=Y")</f>
        <v>-618</v>
      </c>
      <c r="G8" s="13">
        <f>_xll.BDH("AMGN US Equity","TRAIL_12M_CAP_EXPEND","FQ1 2020","FQ1 2020","Currency=USD","Period=FQ","BEST_FPERIOD_OVERRIDE=FQ","FILING_STATUS=MR","SCALING_FORMAT=MLN","Sort=A","Dates=H","DateFormat=P","Fill=—","Direction=H","UseDPDF=Y")</f>
        <v>-644</v>
      </c>
      <c r="H8" s="13">
        <f>_xll.BDH("AMGN US Equity","TRAIL_12M_CAP_EXPEND","FQ2 2020","FQ2 2020","Currency=USD","Period=FQ","BEST_FPERIOD_OVERRIDE=FQ","FILING_STATUS=MR","SCALING_FORMAT=MLN","Sort=A","Dates=H","DateFormat=P","Fill=—","Direction=H","UseDPDF=Y")</f>
        <v>-658</v>
      </c>
      <c r="I8" s="13">
        <f>_xll.BDH("AMGN US Equity","TRAIL_12M_CAP_EXPEND","FQ3 2020","FQ3 2020","Currency=USD","Period=FQ","BEST_FPERIOD_OVERRIDE=FQ","FILING_STATUS=MR","SCALING_FORMAT=MLN","Sort=A","Dates=H","DateFormat=P","Fill=—","Direction=H","UseDPDF=Y")</f>
        <v>-623</v>
      </c>
      <c r="J8" s="13">
        <f>_xll.BDH("AMGN US Equity","TRAIL_12M_CAP_EXPEND","FQ4 2020","FQ4 2020","Currency=USD","Period=FQ","BEST_FPERIOD_OVERRIDE=FQ","FILING_STATUS=MR","SCALING_FORMAT=MLN","Sort=A","Dates=H","DateFormat=P","Fill=—","Direction=H","UseDPDF=Y")</f>
        <v>-608</v>
      </c>
      <c r="K8" s="13">
        <f>_xll.BDH("AMGN US Equity","TRAIL_12M_CAP_EXPEND","FQ1 2021","FQ1 2021","Currency=USD","Period=FQ","BEST_FPERIOD_OVERRIDE=FQ","FILING_STATUS=MR","SCALING_FORMAT=MLN","Sort=A","Dates=H","DateFormat=P","Fill=—","Direction=H","UseDPDF=Y")</f>
        <v>-632</v>
      </c>
      <c r="L8" s="13">
        <f>_xll.BDH("AMGN US Equity","TRAIL_12M_CAP_EXPEND","FQ2 2021","FQ2 2021","Currency=USD","Period=FQ","BEST_FPERIOD_OVERRIDE=FQ","FILING_STATUS=MR","SCALING_FORMAT=MLN","Sort=A","Dates=H","DateFormat=P","Fill=—","Direction=H","UseDPDF=Y")</f>
        <v>-659</v>
      </c>
      <c r="M8" s="13">
        <f>_xll.BDH("AMGN US Equity","TRAIL_12M_CAP_EXPEND","FQ3 2021","FQ3 2021","Currency=USD","Period=FQ","BEST_FPERIOD_OVERRIDE=FQ","FILING_STATUS=MR","SCALING_FORMAT=MLN","Sort=A","Dates=H","DateFormat=P","Fill=—","Direction=H","UseDPDF=Y")</f>
        <v>-766</v>
      </c>
      <c r="N8" s="13">
        <f>_xll.BDH("AMGN US Equity","TRAIL_12M_CAP_EXPEND","FQ4 2021","FQ4 2021","Currency=USD","Period=FQ","BEST_FPERIOD_OVERRIDE=FQ","FILING_STATUS=MR","SCALING_FORMAT=MLN","Sort=A","Dates=H","DateFormat=P","Fill=—","Direction=H","UseDPDF=Y")</f>
        <v>-880</v>
      </c>
      <c r="O8" s="13">
        <f>_xll.BDH("AMGN US Equity","TRAIL_12M_CAP_EXPEND","FQ1 2022","FQ1 2022","Currency=USD","Period=FQ","BEST_FPERIOD_OVERRIDE=FQ","FILING_STATUS=MR","SCALING_FORMAT=MLN","Sort=A","Dates=H","DateFormat=P","Fill=—","Direction=H","UseDPDF=Y")</f>
        <v>-904</v>
      </c>
      <c r="P8" s="13">
        <f>_xll.BDH("AMGN US Equity","TRAIL_12M_CAP_EXPEND","FQ2 2022","FQ2 2022","Currency=USD","Period=FQ","BEST_FPERIOD_OVERRIDE=FQ","FILING_STATUS=MR","SCALING_FORMAT=MLN","Sort=A","Dates=H","DateFormat=P","Fill=—","Direction=H","UseDPDF=Y")</f>
        <v>-965</v>
      </c>
      <c r="Q8" s="13">
        <f>_xll.BDH("AMGN US Equity","TRAIL_12M_CAP_EXPEND","FQ3 2022","FQ3 2022","Currency=USD","Period=FQ","BEST_FPERIOD_OVERRIDE=FQ","FILING_STATUS=MR","SCALING_FORMAT=MLN","Sort=A","Dates=H","DateFormat=P","Fill=—","Direction=H","UseDPDF=Y")</f>
        <v>-883</v>
      </c>
      <c r="R8" s="13">
        <f>_xll.BDH("AMGN US Equity","TRAIL_12M_CAP_EXPEND","FQ4 2022","FQ4 2022","Currency=USD","Period=FQ","BEST_FPERIOD_OVERRIDE=FQ","FILING_STATUS=MR","SCALING_FORMAT=MLN","Sort=A","Dates=H","DateFormat=P","Fill=—","Direction=H","UseDPDF=Y")</f>
        <v>-936</v>
      </c>
      <c r="S8" s="13">
        <f>_xll.BDH("AMGN US Equity","TRAIL_12M_CAP_EXPEND","FQ1 2023","FQ1 2023","Currency=USD","Period=FQ","BEST_FPERIOD_OVERRIDE=FQ","FILING_STATUS=MR","SCALING_FORMAT=MLN","Sort=A","Dates=H","DateFormat=P","Fill=—","Direction=H","UseDPDF=Y")</f>
        <v>-1090</v>
      </c>
      <c r="T8" s="13">
        <f>_xll.BDH("AMGN US Equity","TRAIL_12M_CAP_EXPEND","FQ2 2023","FQ2 2023","Currency=USD","Period=FQ","BEST_FPERIOD_OVERRIDE=FQ","FILING_STATUS=MR","SCALING_FORMAT=MLN","Sort=A","Dates=H","DateFormat=P","Fill=—","Direction=H","UseDPDF=Y")</f>
        <v>-1115</v>
      </c>
      <c r="U8" s="13">
        <f>_xll.BDH("AMGN US Equity","TRAIL_12M_CAP_EXPEND","FQ3 2023","FQ3 2023","Currency=USD","Period=FQ","BEST_FPERIOD_OVERRIDE=FQ","FILING_STATUS=MR","SCALING_FORMAT=MLN","Sort=A","Dates=H","DateFormat=P","Fill=—","Direction=H","UseDPDF=Y")</f>
        <v>-1203</v>
      </c>
      <c r="V8" s="13">
        <f>_xll.BDH("AMGN US Equity","TRAIL_12M_CAP_EXPEND","FQ4 2023","FQ4 2023","Currency=USD","Period=FQ","BEST_FPERIOD_OVERRIDE=FQ","FILING_STATUS=MR","SCALING_FORMAT=MLN","Sort=A","Dates=H","DateFormat=P","Fill=—","Direction=H","UseDPDF=Y")</f>
        <v>-1112</v>
      </c>
      <c r="W8" s="13">
        <f>_xll.BDH("AMGN US Equity","TRAIL_12M_CAP_EXPEND","FQ1 2024","FQ1 2024","Currency=USD","Period=FQ","BEST_FPERIOD_OVERRIDE=FQ","FILING_STATUS=MR","SCALING_FORMAT=MLN","Sort=A","Dates=H","DateFormat=P","Fill=—","Direction=H","UseDPDF=Y")</f>
        <v>-998</v>
      </c>
      <c r="X8" s="13">
        <f>_xll.BDH("AMGN US Equity","TRAIL_12M_CAP_EXPEND","FQ2 2024","FQ2 2024","Currency=USD","Period=FQ","BEST_FPERIOD_OVERRIDE=FQ","FILING_STATUS=MR","SCALING_FORMAT=MLN","Sort=A","Dates=H","DateFormat=P","Fill=—","Direction=H","UseDPDF=Y")</f>
        <v>-965</v>
      </c>
      <c r="Y8" s="13">
        <f>_xll.BDH("AMGN US Equity","TRAIL_12M_CAP_EXPEND","FQ3 2024","FQ3 2024","Currency=USD","Period=FQ","BEST_FPERIOD_OVERRIDE=FQ","FILING_STATUS=MR","SCALING_FORMAT=MLN","Sort=A","Dates=H","DateFormat=P","Fill=—","Direction=H","UseDPDF=Y")</f>
        <v>-974</v>
      </c>
      <c r="Z8" s="13">
        <f>_xll.BDH("AMGN US Equity","TRAIL_12M_CAP_EXPEND","FQ4 2024","FQ4 2024","Currency=USD","Period=FQ","BEST_FPERIOD_OVERRIDE=FQ","FILING_STATUS=MR","SCALING_FORMAT=MLN","Sort=A","Dates=H","DateFormat=P","Fill=—","Direction=H","UseDPDF=Y")</f>
        <v>-1096</v>
      </c>
      <c r="AA8" s="13"/>
    </row>
    <row r="9" spans="1:27" x14ac:dyDescent="0.25">
      <c r="A9" s="6" t="s">
        <v>88</v>
      </c>
      <c r="B9" s="6" t="s">
        <v>1667</v>
      </c>
      <c r="C9" s="19">
        <f>_xll.BDH("AMGN US Equity","TRAIL_12M_FREE_CASH_FLOW","FQ1 2019","FQ1 2019","Currency=USD","Period=FQ","BEST_FPERIOD_OVERRIDE=FQ","FILING_STATUS=MR","SCALING_FORMAT=MLN","Sort=A","Dates=H","DateFormat=P","Fill=—","Direction=H","UseDPDF=Y")</f>
        <v>9715</v>
      </c>
      <c r="D9" s="19">
        <f>_xll.BDH("AMGN US Equity","TRAIL_12M_FREE_CASH_FLOW","FQ2 2019","FQ2 2019","Currency=USD","Period=FQ","BEST_FPERIOD_OVERRIDE=FQ","FILING_STATUS=MR","SCALING_FORMAT=MLN","Sort=A","Dates=H","DateFormat=P","Fill=—","Direction=H","UseDPDF=Y")</f>
        <v>9070</v>
      </c>
      <c r="E9" s="19">
        <f>_xll.BDH("AMGN US Equity","TRAIL_12M_FREE_CASH_FLOW","FQ3 2019","FQ3 2019","Currency=USD","Period=FQ","BEST_FPERIOD_OVERRIDE=FQ","FILING_STATUS=MR","SCALING_FORMAT=MLN","Sort=A","Dates=H","DateFormat=P","Fill=—","Direction=H","UseDPDF=Y")</f>
        <v>9175</v>
      </c>
      <c r="F9" s="19">
        <f>_xll.BDH("AMGN US Equity","TRAIL_12M_FREE_CASH_FLOW","FQ4 2019","FQ4 2019","Currency=USD","Period=FQ","BEST_FPERIOD_OVERRIDE=FQ","FILING_STATUS=MR","SCALING_FORMAT=MLN","Sort=A","Dates=H","DateFormat=P","Fill=—","Direction=H","UseDPDF=Y")</f>
        <v>8532</v>
      </c>
      <c r="G9" s="19">
        <f>_xll.BDH("AMGN US Equity","TRAIL_12M_FREE_CASH_FLOW","FQ1 2020","FQ1 2020","Currency=USD","Period=FQ","BEST_FPERIOD_OVERRIDE=FQ","FILING_STATUS=MR","SCALING_FORMAT=MLN","Sort=A","Dates=H","DateFormat=P","Fill=—","Direction=H","UseDPDF=Y")</f>
        <v>8795</v>
      </c>
      <c r="H9" s="19">
        <f>_xll.BDH("AMGN US Equity","TRAIL_12M_FREE_CASH_FLOW","FQ2 2020","FQ2 2020","Currency=USD","Period=FQ","BEST_FPERIOD_OVERRIDE=FQ","FILING_STATUS=MR","SCALING_FORMAT=MLN","Sort=A","Dates=H","DateFormat=P","Fill=—","Direction=H","UseDPDF=Y")</f>
        <v>10209</v>
      </c>
      <c r="I9" s="19">
        <f>_xll.BDH("AMGN US Equity","TRAIL_12M_FREE_CASH_FLOW","FQ3 2020","FQ3 2020","Currency=USD","Period=FQ","BEST_FPERIOD_OVERRIDE=FQ","FILING_STATUS=MR","SCALING_FORMAT=MLN","Sort=A","Dates=H","DateFormat=P","Fill=—","Direction=H","UseDPDF=Y")</f>
        <v>10235</v>
      </c>
      <c r="J9" s="19">
        <f>_xll.BDH("AMGN US Equity","TRAIL_12M_FREE_CASH_FLOW","FQ4 2020","FQ4 2020","Currency=USD","Period=FQ","BEST_FPERIOD_OVERRIDE=FQ","FILING_STATUS=MR","SCALING_FORMAT=MLN","Sort=A","Dates=H","DateFormat=P","Fill=—","Direction=H","UseDPDF=Y")</f>
        <v>10149</v>
      </c>
      <c r="K9" s="19">
        <f>_xll.BDH("AMGN US Equity","TRAIL_12M_FREE_CASH_FLOW","FQ1 2021","FQ1 2021","Currency=USD","Period=FQ","BEST_FPERIOD_OVERRIDE=FQ","FILING_STATUS=MR","SCALING_FORMAT=MLN","Sort=A","Dates=H","DateFormat=P","Fill=—","Direction=H","UseDPDF=Y")</f>
        <v>10095</v>
      </c>
      <c r="L9" s="19">
        <f>_xll.BDH("AMGN US Equity","TRAIL_12M_FREE_CASH_FLOW","FQ2 2021","FQ2 2021","Currency=USD","Period=FQ","BEST_FPERIOD_OVERRIDE=FQ","FILING_STATUS=MR","SCALING_FORMAT=MLN","Sort=A","Dates=H","DateFormat=P","Fill=—","Direction=H","UseDPDF=Y")</f>
        <v>9157</v>
      </c>
      <c r="M9" s="19">
        <f>_xll.BDH("AMGN US Equity","TRAIL_12M_FREE_CASH_FLOW","FQ3 2021","FQ3 2021","Currency=USD","Period=FQ","BEST_FPERIOD_OVERRIDE=FQ","FILING_STATUS=MR","SCALING_FORMAT=MLN","Sort=A","Dates=H","DateFormat=P","Fill=—","Direction=H","UseDPDF=Y")</f>
        <v>8100</v>
      </c>
      <c r="N9" s="19">
        <f>_xll.BDH("AMGN US Equity","TRAIL_12M_FREE_CASH_FLOW","FQ4 2021","FQ4 2021","Currency=USD","Period=FQ","BEST_FPERIOD_OVERRIDE=FQ","FILING_STATUS=MR","SCALING_FORMAT=MLN","Sort=A","Dates=H","DateFormat=P","Fill=—","Direction=H","UseDPDF=Y")</f>
        <v>8381</v>
      </c>
      <c r="O9" s="19">
        <f>_xll.BDH("AMGN US Equity","TRAIL_12M_FREE_CASH_FLOW","FQ1 2022","FQ1 2022","Currency=USD","Period=FQ","BEST_FPERIOD_OVERRIDE=FQ","FILING_STATUS=MR","SCALING_FORMAT=MLN","Sort=A","Dates=H","DateFormat=P","Fill=—","Direction=H","UseDPDF=Y")</f>
        <v>8417</v>
      </c>
      <c r="P9" s="19">
        <f>_xll.BDH("AMGN US Equity","TRAIL_12M_FREE_CASH_FLOW","FQ2 2022","FQ2 2022","Currency=USD","Period=FQ","BEST_FPERIOD_OVERRIDE=FQ","FILING_STATUS=MR","SCALING_FORMAT=MLN","Sort=A","Dates=H","DateFormat=P","Fill=—","Direction=H","UseDPDF=Y")</f>
        <v>8355</v>
      </c>
      <c r="Q9" s="19">
        <f>_xll.BDH("AMGN US Equity","TRAIL_12M_FREE_CASH_FLOW","FQ3 2022","FQ3 2022","Currency=USD","Period=FQ","BEST_FPERIOD_OVERRIDE=FQ","FILING_STATUS=MR","SCALING_FORMAT=MLN","Sort=A","Dates=H","DateFormat=P","Fill=—","Direction=H","UseDPDF=Y")</f>
        <v>8997</v>
      </c>
      <c r="R9" s="19">
        <f>_xll.BDH("AMGN US Equity","TRAIL_12M_FREE_CASH_FLOW","FQ4 2022","FQ4 2022","Currency=USD","Period=FQ","BEST_FPERIOD_OVERRIDE=FQ","FILING_STATUS=MR","SCALING_FORMAT=MLN","Sort=A","Dates=H","DateFormat=P","Fill=—","Direction=H","UseDPDF=Y")</f>
        <v>8785</v>
      </c>
      <c r="S9" s="19">
        <f>_xll.BDH("AMGN US Equity","TRAIL_12M_FREE_CASH_FLOW","FQ1 2023","FQ1 2023","Currency=USD","Period=FQ","BEST_FPERIOD_OVERRIDE=FQ","FILING_STATUS=MR","SCALING_FORMAT=MLN","Sort=A","Dates=H","DateFormat=P","Fill=—","Direction=H","UseDPDF=Y")</f>
        <v>7531</v>
      </c>
      <c r="T9" s="19">
        <f>_xll.BDH("AMGN US Equity","TRAIL_12M_FREE_CASH_FLOW","FQ2 2023","FQ2 2023","Currency=USD","Period=FQ","BEST_FPERIOD_OVERRIDE=FQ","FILING_STATUS=MR","SCALING_FORMAT=MLN","Sort=A","Dates=H","DateFormat=P","Fill=—","Direction=H","UseDPDF=Y")</f>
        <v>9685</v>
      </c>
      <c r="U9" s="19">
        <f>_xll.BDH("AMGN US Equity","TRAIL_12M_FREE_CASH_FLOW","FQ3 2023","FQ3 2023","Currency=USD","Period=FQ","BEST_FPERIOD_OVERRIDE=FQ","FILING_STATUS=MR","SCALING_FORMAT=MLN","Sort=A","Dates=H","DateFormat=P","Fill=—","Direction=H","UseDPDF=Y")</f>
        <v>9379</v>
      </c>
      <c r="V9" s="19">
        <f>_xll.BDH("AMGN US Equity","TRAIL_12M_FREE_CASH_FLOW","FQ4 2023","FQ4 2023","Currency=USD","Period=FQ","BEST_FPERIOD_OVERRIDE=FQ","FILING_STATUS=MR","SCALING_FORMAT=MLN","Sort=A","Dates=H","DateFormat=P","Fill=—","Direction=H","UseDPDF=Y")</f>
        <v>7359</v>
      </c>
      <c r="W9" s="19">
        <f>_xll.BDH("AMGN US Equity","TRAIL_12M_FREE_CASH_FLOW","FQ1 2024","FQ1 2024","Currency=USD","Period=FQ","BEST_FPERIOD_OVERRIDE=FQ","FILING_STATUS=MR","SCALING_FORMAT=MLN","Sort=A","Dates=H","DateFormat=P","Fill=—","Direction=H","UseDPDF=Y")</f>
        <v>7098</v>
      </c>
      <c r="X9" s="19">
        <f>_xll.BDH("AMGN US Equity","TRAIL_12M_FREE_CASH_FLOW","FQ2 2024","FQ2 2024","Currency=USD","Period=FQ","BEST_FPERIOD_OVERRIDE=FQ","FILING_STATUS=MR","SCALING_FORMAT=MLN","Sort=A","Dates=H","DateFormat=P","Fill=—","Direction=H","UseDPDF=Y")</f>
        <v>5481</v>
      </c>
      <c r="Y9" s="19">
        <f>_xll.BDH("AMGN US Equity","TRAIL_12M_FREE_CASH_FLOW","FQ3 2024","FQ3 2024","Currency=USD","Period=FQ","BEST_FPERIOD_OVERRIDE=FQ","FILING_STATUS=MR","SCALING_FORMAT=MLN","Sort=A","Dates=H","DateFormat=P","Fill=—","Direction=H","UseDPDF=Y")</f>
        <v>6283</v>
      </c>
      <c r="Z9" s="19">
        <f>_xll.BDH("AMGN US Equity","TRAIL_12M_FREE_CASH_FLOW","FQ4 2024","FQ4 2024","Currency=USD","Period=FQ","BEST_FPERIOD_OVERRIDE=FQ","FILING_STATUS=MR","SCALING_FORMAT=MLN","Sort=A","Dates=H","DateFormat=P","Fill=—","Direction=H","UseDPDF=Y")</f>
        <v>10394</v>
      </c>
      <c r="AA9" s="19">
        <v>17620.431</v>
      </c>
    </row>
    <row r="10" spans="1:27" x14ac:dyDescent="0.25">
      <c r="A10" s="11" t="s">
        <v>60</v>
      </c>
      <c r="B10" s="11" t="s">
        <v>61</v>
      </c>
      <c r="C10" s="25">
        <f>_xll.BDH("AMGN US Equity","HISTORICAL_MARKET_CAP","FQ1 2019","FQ1 2019","Currency=USD","Period=FQ","BEST_FPERIOD_OVERRIDE=FQ","FILING_STATUS=MR","SCALING_FORMAT=MLN","Sort=A","Dates=H","DateFormat=P","Fill=—","Direction=H","UseDPDF=Y")</f>
        <v>116723.712</v>
      </c>
      <c r="D10" s="25">
        <f>_xll.BDH("AMGN US Equity","HISTORICAL_MARKET_CAP","FQ2 2019","FQ2 2019","Currency=USD","Period=FQ","BEST_FPERIOD_OVERRIDE=FQ","FILING_STATUS=MR","SCALING_FORMAT=MLN","Sort=A","Dates=H","DateFormat=P","Fill=—","Direction=H","UseDPDF=Y")</f>
        <v>110954.988</v>
      </c>
      <c r="E10" s="25">
        <f>_xll.BDH("AMGN US Equity","HISTORICAL_MARKET_CAP","FQ3 2019","FQ3 2019","Currency=USD","Period=FQ","BEST_FPERIOD_OVERRIDE=FQ","FILING_STATUS=MR","SCALING_FORMAT=MLN","Sort=A","Dates=H","DateFormat=P","Fill=—","Direction=H","UseDPDF=Y")</f>
        <v>115370.662</v>
      </c>
      <c r="F10" s="25">
        <f>_xll.BDH("AMGN US Equity","HISTORICAL_MARKET_CAP","FQ4 2019","FQ4 2019","Currency=USD","Period=FQ","BEST_FPERIOD_OVERRIDE=FQ","FILING_STATUS=MR","SCALING_FORMAT=MLN","Sort=A","Dates=H","DateFormat=P","Fill=—","Direction=H","UseDPDF=Y")</f>
        <v>142568.79800000001</v>
      </c>
      <c r="G10" s="25">
        <f>_xll.BDH("AMGN US Equity","HISTORICAL_MARKET_CAP","FQ1 2020","FQ1 2020","Currency=USD","Period=FQ","BEST_FPERIOD_OVERRIDE=FQ","FILING_STATUS=MR","SCALING_FORMAT=MLN","Sort=A","Dates=H","DateFormat=P","Fill=—","Direction=H","UseDPDF=Y")</f>
        <v>119205.24</v>
      </c>
      <c r="H10" s="25">
        <f>_xll.BDH("AMGN US Equity","HISTORICAL_MARKET_CAP","FQ2 2020","FQ2 2020","Currency=USD","Period=FQ","BEST_FPERIOD_OVERRIDE=FQ","FILING_STATUS=MR","SCALING_FORMAT=MLN","Sort=A","Dates=H","DateFormat=P","Fill=—","Direction=H","UseDPDF=Y")</f>
        <v>138308.304</v>
      </c>
      <c r="I10" s="25">
        <f>_xll.BDH("AMGN US Equity","HISTORICAL_MARKET_CAP","FQ3 2020","FQ3 2020","Currency=USD","Period=FQ","BEST_FPERIOD_OVERRIDE=FQ","FILING_STATUS=MR","SCALING_FORMAT=MLN","Sort=A","Dates=H","DateFormat=P","Fill=—","Direction=H","UseDPDF=Y")</f>
        <v>148302.35999999999</v>
      </c>
      <c r="J10" s="25">
        <f>_xll.BDH("AMGN US Equity","HISTORICAL_MARKET_CAP","FQ4 2020","FQ4 2020","Currency=USD","Period=FQ","BEST_FPERIOD_OVERRIDE=FQ","FILING_STATUS=MR","SCALING_FORMAT=MLN","Sort=A","Dates=H","DateFormat=P","Fill=—","Direction=H","UseDPDF=Y")</f>
        <v>132962.736</v>
      </c>
      <c r="K10" s="25">
        <f>_xll.BDH("AMGN US Equity","HISTORICAL_MARKET_CAP","FQ1 2021","FQ1 2021","Currency=USD","Period=FQ","BEST_FPERIOD_OVERRIDE=FQ","FILING_STATUS=MR","SCALING_FORMAT=MLN","Sort=A","Dates=H","DateFormat=P","Fill=—","Direction=H","UseDPDF=Y")</f>
        <v>143140.39300000001</v>
      </c>
      <c r="L10" s="25">
        <f>_xll.BDH("AMGN US Equity","HISTORICAL_MARKET_CAP","FQ2 2021","FQ2 2021","Currency=USD","Period=FQ","BEST_FPERIOD_OVERRIDE=FQ","FILING_STATUS=MR","SCALING_FORMAT=MLN","Sort=A","Dates=H","DateFormat=P","Fill=—","Direction=H","UseDPDF=Y")</f>
        <v>138840</v>
      </c>
      <c r="M10" s="25">
        <f>_xll.BDH("AMGN US Equity","HISTORICAL_MARKET_CAP","FQ3 2021","FQ3 2021","Currency=USD","Period=FQ","BEST_FPERIOD_OVERRIDE=FQ","FILING_STATUS=MR","SCALING_FORMAT=MLN","Sort=A","Dates=H","DateFormat=P","Fill=—","Direction=H","UseDPDF=Y")</f>
        <v>120147.25</v>
      </c>
      <c r="N10" s="25">
        <f>_xll.BDH("AMGN US Equity","HISTORICAL_MARKET_CAP","FQ4 2021","FQ4 2021","Currency=USD","Period=FQ","BEST_FPERIOD_OVERRIDE=FQ","FILING_STATUS=MR","SCALING_FORMAT=MLN","Sort=A","Dates=H","DateFormat=P","Fill=—","Direction=H","UseDPDF=Y")</f>
        <v>120133.98</v>
      </c>
      <c r="O10" s="25">
        <f>_xll.BDH("AMGN US Equity","HISTORICAL_MARKET_CAP","FQ1 2022","FQ1 2022","Currency=USD","Period=FQ","BEST_FPERIOD_OVERRIDE=FQ","FILING_STATUS=MR","SCALING_FORMAT=MLN","Sort=A","Dates=H","DateFormat=P","Fill=—","Direction=H","UseDPDF=Y")</f>
        <v>129180.24400000001</v>
      </c>
      <c r="P10" s="25">
        <f>_xll.BDH("AMGN US Equity","HISTORICAL_MARKET_CAP","FQ2 2022","FQ2 2022","Currency=USD","Period=FQ","BEST_FPERIOD_OVERRIDE=FQ","FILING_STATUS=MR","SCALING_FORMAT=MLN","Sort=A","Dates=H","DateFormat=P","Fill=—","Direction=H","UseDPDF=Y")</f>
        <v>130141.17</v>
      </c>
      <c r="Q10" s="25">
        <f>_xll.BDH("AMGN US Equity","HISTORICAL_MARKET_CAP","FQ3 2022","FQ3 2022","Currency=USD","Period=FQ","BEST_FPERIOD_OVERRIDE=FQ","FILING_STATUS=MR","SCALING_FORMAT=MLN","Sort=A","Dates=H","DateFormat=P","Fill=—","Direction=H","UseDPDF=Y")</f>
        <v>120250.9</v>
      </c>
      <c r="R10" s="25">
        <f>_xll.BDH("AMGN US Equity","HISTORICAL_MARKET_CAP","FQ4 2022","FQ4 2022","Currency=USD","Period=FQ","BEST_FPERIOD_OVERRIDE=FQ","FILING_STATUS=MR","SCALING_FORMAT=MLN","Sort=A","Dates=H","DateFormat=P","Fill=—","Direction=H","UseDPDF=Y")</f>
        <v>140249.76</v>
      </c>
      <c r="S10" s="25">
        <f>_xll.BDH("AMGN US Equity","HISTORICAL_MARKET_CAP","FQ1 2023","FQ1 2023","Currency=USD","Period=FQ","BEST_FPERIOD_OVERRIDE=FQ","FILING_STATUS=MR","SCALING_FORMAT=MLN","Sort=A","Dates=H","DateFormat=P","Fill=—","Direction=H","UseDPDF=Y")</f>
        <v>129167.02499999999</v>
      </c>
      <c r="T10" s="25">
        <f>_xll.BDH("AMGN US Equity","HISTORICAL_MARKET_CAP","FQ2 2023","FQ2 2023","Currency=USD","Period=FQ","BEST_FPERIOD_OVERRIDE=FQ","FILING_STATUS=MR","SCALING_FORMAT=MLN","Sort=A","Dates=H","DateFormat=P","Fill=—","Direction=H","UseDPDF=Y")</f>
        <v>118758.49800000001</v>
      </c>
      <c r="U10" s="25">
        <f>_xll.BDH("AMGN US Equity","HISTORICAL_MARKET_CAP","FQ3 2023","FQ3 2023","Currency=USD","Period=FQ","BEST_FPERIOD_OVERRIDE=FQ","FILING_STATUS=MR","SCALING_FORMAT=MLN","Sort=A","Dates=H","DateFormat=P","Fill=—","Direction=H","UseDPDF=Y")</f>
        <v>143813.476</v>
      </c>
      <c r="V10" s="25">
        <f>_xll.BDH("AMGN US Equity","HISTORICAL_MARKET_CAP","FQ4 2023","FQ4 2023","Currency=USD","Period=FQ","BEST_FPERIOD_OVERRIDE=FQ","FILING_STATUS=MR","SCALING_FORMAT=MLN","Sort=A","Dates=H","DateFormat=P","Fill=—","Direction=H","UseDPDF=Y")</f>
        <v>154205.908</v>
      </c>
      <c r="W10" s="25">
        <f>_xll.BDH("AMGN US Equity","HISTORICAL_MARKET_CAP","FQ1 2024","FQ1 2024","Currency=USD","Period=FQ","BEST_FPERIOD_OVERRIDE=FQ","FILING_STATUS=MR","SCALING_FORMAT=MLN","Sort=A","Dates=H","DateFormat=P","Fill=—","Direction=H","UseDPDF=Y")</f>
        <v>152509.24799999999</v>
      </c>
      <c r="X10" s="25">
        <f>_xll.BDH("AMGN US Equity","HISTORICAL_MARKET_CAP","FQ2 2024","FQ2 2024","Currency=USD","Period=FQ","BEST_FPERIOD_OVERRIDE=FQ","FILING_STATUS=MR","SCALING_FORMAT=MLN","Sort=A","Dates=H","DateFormat=P","Fill=—","Direction=H","UseDPDF=Y")</f>
        <v>167848.14</v>
      </c>
      <c r="Y10" s="25">
        <f>_xll.BDH("AMGN US Equity","HISTORICAL_MARKET_CAP","FQ3 2024","FQ3 2024","Currency=USD","Period=FQ","BEST_FPERIOD_OVERRIDE=FQ","FILING_STATUS=MR","SCALING_FORMAT=MLN","Sort=A","Dates=H","DateFormat=P","Fill=—","Direction=H","UseDPDF=Y")</f>
        <v>173187.875</v>
      </c>
      <c r="Z10" s="25">
        <f>_xll.BDH("AMGN US Equity","HISTORICAL_MARKET_CAP","FQ4 2024","FQ4 2024","Currency=USD","Period=FQ","BEST_FPERIOD_OVERRIDE=FQ","FILING_STATUS=MR","SCALING_FORMAT=MLN","Sort=A","Dates=H","DateFormat=P","Fill=—","Direction=H","UseDPDF=Y")</f>
        <v>139937.61600000001</v>
      </c>
      <c r="AA10" s="25"/>
    </row>
    <row r="11" spans="1:27" x14ac:dyDescent="0.25">
      <c r="A11" s="6" t="s">
        <v>1668</v>
      </c>
      <c r="B11" s="6" t="s">
        <v>1669</v>
      </c>
      <c r="C11" s="20">
        <f>_xll.BDH("AMGN US Equity","FREE_CASH_FLOW_YIELD","FQ1 2019","FQ1 2019","Currency=USD","Period=FQ","BEST_FPERIOD_OVERRIDE=FQ","FILING_STATUS=MR","Sort=A","Dates=H","DateFormat=P","Fill=—","Direction=H","UseDPDF=Y")</f>
        <v>7.9923000000000002</v>
      </c>
      <c r="D11" s="20">
        <f>_xll.BDH("AMGN US Equity","FREE_CASH_FLOW_YIELD","FQ2 2019","FQ2 2019","Currency=USD","Period=FQ","BEST_FPERIOD_OVERRIDE=FQ","FILING_STATUS=MR","Sort=A","Dates=H","DateFormat=P","Fill=—","Direction=H","UseDPDF=Y")</f>
        <v>7.7907999999999999</v>
      </c>
      <c r="E11" s="20">
        <f>_xll.BDH("AMGN US Equity","FREE_CASH_FLOW_YIELD","FQ3 2019","FQ3 2019","Currency=USD","Period=FQ","BEST_FPERIOD_OVERRIDE=FQ","FILING_STATUS=MR","Sort=A","Dates=H","DateFormat=P","Fill=—","Direction=H","UseDPDF=Y")</f>
        <v>7.7005999999999997</v>
      </c>
      <c r="F11" s="20">
        <f>_xll.BDH("AMGN US Equity","FREE_CASH_FLOW_YIELD","FQ4 2019","FQ4 2019","Currency=USD","Period=FQ","BEST_FPERIOD_OVERRIDE=FQ","FILING_STATUS=MR","Sort=A","Dates=H","DateFormat=P","Fill=—","Direction=H","UseDPDF=Y")</f>
        <v>5.8689999999999998</v>
      </c>
      <c r="G11" s="20">
        <f>_xll.BDH("AMGN US Equity","FREE_CASH_FLOW_YIELD","FQ1 2020","FQ1 2020","Currency=USD","Period=FQ","BEST_FPERIOD_OVERRIDE=FQ","FILING_STATUS=MR","Sort=A","Dates=H","DateFormat=P","Fill=—","Direction=H","UseDPDF=Y")</f>
        <v>7.2732000000000001</v>
      </c>
      <c r="H11" s="20">
        <f>_xll.BDH("AMGN US Equity","FREE_CASH_FLOW_YIELD","FQ2 2020","FQ2 2020","Currency=USD","Period=FQ","BEST_FPERIOD_OVERRIDE=FQ","FILING_STATUS=MR","Sort=A","Dates=H","DateFormat=P","Fill=—","Direction=H","UseDPDF=Y")</f>
        <v>7.2998000000000003</v>
      </c>
      <c r="I11" s="20">
        <f>_xll.BDH("AMGN US Equity","FREE_CASH_FLOW_YIELD","FQ3 2020","FQ3 2020","Currency=USD","Period=FQ","BEST_FPERIOD_OVERRIDE=FQ","FILING_STATUS=MR","Sort=A","Dates=H","DateFormat=P","Fill=—","Direction=H","UseDPDF=Y")</f>
        <v>6.8421000000000003</v>
      </c>
      <c r="J11" s="20">
        <f>_xll.BDH("AMGN US Equity","FREE_CASH_FLOW_YIELD","FQ4 2020","FQ4 2020","Currency=USD","Period=FQ","BEST_FPERIOD_OVERRIDE=FQ","FILING_STATUS=MR","Sort=A","Dates=H","DateFormat=P","Fill=—","Direction=H","UseDPDF=Y")</f>
        <v>7.5343</v>
      </c>
      <c r="K11" s="20">
        <f>_xll.BDH("AMGN US Equity","FREE_CASH_FLOW_YIELD","FQ1 2021","FQ1 2021","Currency=USD","Period=FQ","BEST_FPERIOD_OVERRIDE=FQ","FILING_STATUS=MR","Sort=A","Dates=H","DateFormat=P","Fill=—","Direction=H","UseDPDF=Y")</f>
        <v>6.9551999999999996</v>
      </c>
      <c r="L11" s="20">
        <f>_xll.BDH("AMGN US Equity","FREE_CASH_FLOW_YIELD","FQ2 2021","FQ2 2021","Currency=USD","Period=FQ","BEST_FPERIOD_OVERRIDE=FQ","FILING_STATUS=MR","Sort=A","Dates=H","DateFormat=P","Fill=—","Direction=H","UseDPDF=Y")</f>
        <v>6.4770000000000003</v>
      </c>
      <c r="M11" s="20">
        <f>_xll.BDH("AMGN US Equity","FREE_CASH_FLOW_YIELD","FQ3 2021","FQ3 2021","Currency=USD","Period=FQ","BEST_FPERIOD_OVERRIDE=FQ","FILING_STATUS=MR","Sort=A","Dates=H","DateFormat=P","Fill=—","Direction=H","UseDPDF=Y")</f>
        <v>6.6302000000000003</v>
      </c>
      <c r="N11" s="20">
        <f>_xll.BDH("AMGN US Equity","FREE_CASH_FLOW_YIELD","FQ4 2021","FQ4 2021","Currency=USD","Period=FQ","BEST_FPERIOD_OVERRIDE=FQ","FILING_STATUS=MR","Sort=A","Dates=H","DateFormat=P","Fill=—","Direction=H","UseDPDF=Y")</f>
        <v>6.5472999999999999</v>
      </c>
      <c r="O11" s="20">
        <f>_xll.BDH("AMGN US Equity","FREE_CASH_FLOW_YIELD","FQ1 2022","FQ1 2022","Currency=USD","Period=FQ","BEST_FPERIOD_OVERRIDE=FQ","FILING_STATUS=MR","Sort=A","Dates=H","DateFormat=P","Fill=—","Direction=H","UseDPDF=Y")</f>
        <v>6.1917</v>
      </c>
      <c r="P11" s="20">
        <f>_xll.BDH("AMGN US Equity","FREE_CASH_FLOW_YIELD","FQ2 2022","FQ2 2022","Currency=USD","Period=FQ","BEST_FPERIOD_OVERRIDE=FQ","FILING_STATUS=MR","Sort=A","Dates=H","DateFormat=P","Fill=—","Direction=H","UseDPDF=Y")</f>
        <v>6.1954000000000002</v>
      </c>
      <c r="Q11" s="20">
        <f>_xll.BDH("AMGN US Equity","FREE_CASH_FLOW_YIELD","FQ3 2022","FQ3 2022","Currency=USD","Period=FQ","BEST_FPERIOD_OVERRIDE=FQ","FILING_STATUS=MR","Sort=A","Dates=H","DateFormat=P","Fill=—","Direction=H","UseDPDF=Y")</f>
        <v>7.3216000000000001</v>
      </c>
      <c r="R11" s="20">
        <f>_xll.BDH("AMGN US Equity","FREE_CASH_FLOW_YIELD","FQ4 2022","FQ4 2022","Currency=USD","Period=FQ","BEST_FPERIOD_OVERRIDE=FQ","FILING_STATUS=MR","Sort=A","Dates=H","DateFormat=P","Fill=—","Direction=H","UseDPDF=Y")</f>
        <v>6.2187999999999999</v>
      </c>
      <c r="S11" s="20">
        <f>_xll.BDH("AMGN US Equity","FREE_CASH_FLOW_YIELD","FQ1 2023","FQ1 2023","Currency=USD","Period=FQ","BEST_FPERIOD_OVERRIDE=FQ","FILING_STATUS=MR","Sort=A","Dates=H","DateFormat=P","Fill=—","Direction=H","UseDPDF=Y")</f>
        <v>5.8238000000000003</v>
      </c>
      <c r="T11" s="20">
        <f>_xll.BDH("AMGN US Equity","FREE_CASH_FLOW_YIELD","FQ2 2023","FQ2 2023","Currency=USD","Period=FQ","BEST_FPERIOD_OVERRIDE=FQ","FILING_STATUS=MR","Sort=A","Dates=H","DateFormat=P","Fill=—","Direction=H","UseDPDF=Y")</f>
        <v>8.1547999999999998</v>
      </c>
      <c r="U11" s="20">
        <f>_xll.BDH("AMGN US Equity","FREE_CASH_FLOW_YIELD","FQ3 2023","FQ3 2023","Currency=USD","Period=FQ","BEST_FPERIOD_OVERRIDE=FQ","FILING_STATUS=MR","Sort=A","Dates=H","DateFormat=P","Fill=—","Direction=H","UseDPDF=Y")</f>
        <v>6.5237999999999996</v>
      </c>
      <c r="V11" s="20">
        <f>_xll.BDH("AMGN US Equity","FREE_CASH_FLOW_YIELD","FQ4 2023","FQ4 2023","Currency=USD","Period=FQ","BEST_FPERIOD_OVERRIDE=FQ","FILING_STATUS=MR","Sort=A","Dates=H","DateFormat=P","Fill=—","Direction=H","UseDPDF=Y")</f>
        <v>4.7766000000000002</v>
      </c>
      <c r="W11" s="20">
        <f>_xll.BDH("AMGN US Equity","FREE_CASH_FLOW_YIELD","FQ1 2024","FQ1 2024","Currency=USD","Period=FQ","BEST_FPERIOD_OVERRIDE=FQ","FILING_STATUS=MR","Sort=A","Dates=H","DateFormat=P","Fill=—","Direction=H","UseDPDF=Y")</f>
        <v>4.6657999999999999</v>
      </c>
      <c r="X11" s="20">
        <f>_xll.BDH("AMGN US Equity","FREE_CASH_FLOW_YIELD","FQ2 2024","FQ2 2024","Currency=USD","Period=FQ","BEST_FPERIOD_OVERRIDE=FQ","FILING_STATUS=MR","Sort=A","Dates=H","DateFormat=P","Fill=—","Direction=H","UseDPDF=Y")</f>
        <v>3.2734000000000001</v>
      </c>
      <c r="Y11" s="20">
        <f>_xll.BDH("AMGN US Equity","FREE_CASH_FLOW_YIELD","FQ3 2024","FQ3 2024","Currency=USD","Period=FQ","BEST_FPERIOD_OVERRIDE=FQ","FILING_STATUS=MR","Sort=A","Dates=H","DateFormat=P","Fill=—","Direction=H","UseDPDF=Y")</f>
        <v>3.6322999999999999</v>
      </c>
      <c r="Z11" s="20">
        <f>_xll.BDH("AMGN US Equity","FREE_CASH_FLOW_YIELD","FQ4 2024","FQ4 2024","Currency=USD","Period=FQ","BEST_FPERIOD_OVERRIDE=FQ","FILING_STATUS=MR","Sort=A","Dates=H","DateFormat=P","Fill=—","Direction=H","UseDPDF=Y")</f>
        <v>7.4268000000000001</v>
      </c>
      <c r="AA11" s="20"/>
    </row>
    <row r="12" spans="1:27" x14ac:dyDescent="0.25">
      <c r="A12" s="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x14ac:dyDescent="0.25">
      <c r="A13" s="10" t="s">
        <v>1411</v>
      </c>
      <c r="B13" s="10" t="s">
        <v>1670</v>
      </c>
      <c r="C13" s="13">
        <f>_xll.BDH("AMGN US Equity","T12M_DVDS_PAID","FQ1 2019","FQ1 2019","Currency=USD","Period=FQ","BEST_FPERIOD_OVERRIDE=FQ","FILING_STATUS=MR","SCALING_FORMAT=MLN","Sort=A","Dates=H","DateFormat=P","Fill=—","Direction=H","UseDPDF=Y")</f>
        <v>-3457</v>
      </c>
      <c r="D13" s="13">
        <f>_xll.BDH("AMGN US Equity","T12M_DVDS_PAID","FQ2 2019","FQ2 2019","Currency=USD","Period=FQ","BEST_FPERIOD_OVERRIDE=FQ","FILING_STATUS=MR","SCALING_FORMAT=MLN","Sort=A","Dates=H","DateFormat=P","Fill=—","Direction=H","UseDPDF=Y")</f>
        <v>-3472</v>
      </c>
      <c r="E13" s="13">
        <f>_xll.BDH("AMGN US Equity","T12M_DVDS_PAID","FQ3 2019","FQ3 2019","Currency=USD","Period=FQ","BEST_FPERIOD_OVERRIDE=FQ","FILING_STATUS=MR","SCALING_FORMAT=MLN","Sort=A","Dates=H","DateFormat=P","Fill=—","Direction=H","UseDPDF=Y")</f>
        <v>-3489</v>
      </c>
      <c r="F13" s="13">
        <f>_xll.BDH("AMGN US Equity","T12M_DVDS_PAID","FQ4 2019","FQ4 2019","Currency=USD","Period=FQ","BEST_FPERIOD_OVERRIDE=FQ","FILING_STATUS=MR","SCALING_FORMAT=MLN","Sort=A","Dates=H","DateFormat=P","Fill=—","Direction=H","UseDPDF=Y")</f>
        <v>-3509</v>
      </c>
      <c r="G13" s="13">
        <f>_xll.BDH("AMGN US Equity","T12M_DVDS_PAID","FQ1 2020","FQ1 2020","Currency=USD","Period=FQ","BEST_FPERIOD_OVERRIDE=FQ","FILING_STATUS=MR","SCALING_FORMAT=MLN","Sort=A","Dates=H","DateFormat=P","Fill=—","Direction=H","UseDPDF=Y")</f>
        <v>-3553</v>
      </c>
      <c r="H13" s="13">
        <f>_xll.BDH("AMGN US Equity","T12M_DVDS_PAID","FQ2 2020","FQ2 2020","Currency=USD","Period=FQ","BEST_FPERIOD_OVERRIDE=FQ","FILING_STATUS=MR","SCALING_FORMAT=MLN","Sort=A","Dates=H","DateFormat=P","Fill=—","Direction=H","UseDPDF=Y")</f>
        <v>-3615</v>
      </c>
      <c r="I13" s="13">
        <f>_xll.BDH("AMGN US Equity","T12M_DVDS_PAID","FQ3 2020","FQ3 2020","Currency=USD","Period=FQ","BEST_FPERIOD_OVERRIDE=FQ","FILING_STATUS=MR","SCALING_FORMAT=MLN","Sort=A","Dates=H","DateFormat=P","Fill=—","Direction=H","UseDPDF=Y")</f>
        <v>-3683</v>
      </c>
      <c r="J13" s="13">
        <f>_xll.BDH("AMGN US Equity","T12M_DVDS_PAID","FQ4 2020","FQ4 2020","Currency=USD","Period=FQ","BEST_FPERIOD_OVERRIDE=FQ","FILING_STATUS=MR","SCALING_FORMAT=MLN","Sort=A","Dates=H","DateFormat=P","Fill=—","Direction=H","UseDPDF=Y")</f>
        <v>-3755</v>
      </c>
      <c r="K13" s="13">
        <f>_xll.BDH("AMGN US Equity","T12M_DVDS_PAID","FQ1 2021","FQ1 2021","Currency=USD","Period=FQ","BEST_FPERIOD_OVERRIDE=FQ","FILING_STATUS=MR","SCALING_FORMAT=MLN","Sort=A","Dates=H","DateFormat=P","Fill=—","Direction=H","UseDPDF=Y")</f>
        <v>-3826</v>
      </c>
      <c r="L13" s="13">
        <f>_xll.BDH("AMGN US Equity","T12M_DVDS_PAID","FQ2 2021","FQ2 2021","Currency=USD","Period=FQ","BEST_FPERIOD_OVERRIDE=FQ","FILING_STATUS=MR","SCALING_FORMAT=MLN","Sort=A","Dates=H","DateFormat=P","Fill=—","Direction=H","UseDPDF=Y")</f>
        <v>-3892</v>
      </c>
      <c r="M13" s="13">
        <f>_xll.BDH("AMGN US Equity","T12M_DVDS_PAID","FQ3 2021","FQ3 2021","Currency=USD","Period=FQ","BEST_FPERIOD_OVERRIDE=FQ","FILING_STATUS=MR","SCALING_FORMAT=MLN","Sort=A","Dates=H","DateFormat=P","Fill=—","Direction=H","UseDPDF=Y")</f>
        <v>-3955</v>
      </c>
      <c r="N13" s="13">
        <f>_xll.BDH("AMGN US Equity","T12M_DVDS_PAID","FQ4 2021","FQ4 2021","Currency=USD","Period=FQ","BEST_FPERIOD_OVERRIDE=FQ","FILING_STATUS=MR","SCALING_FORMAT=MLN","Sort=A","Dates=H","DateFormat=P","Fill=—","Direction=H","UseDPDF=Y")</f>
        <v>-4013</v>
      </c>
      <c r="O13" s="13">
        <f>_xll.BDH("AMGN US Equity","T12M_DVDS_PAID","FQ1 2022","FQ1 2022","Currency=USD","Period=FQ","BEST_FPERIOD_OVERRIDE=FQ","FILING_STATUS=MR","SCALING_FORMAT=MLN","Sort=A","Dates=H","DateFormat=P","Fill=—","Direction=H","UseDPDF=Y")</f>
        <v>-4077</v>
      </c>
      <c r="P13" s="13">
        <f>_xll.BDH("AMGN US Equity","T12M_DVDS_PAID","FQ2 2022","FQ2 2022","Currency=USD","Period=FQ","BEST_FPERIOD_OVERRIDE=FQ","FILING_STATUS=MR","SCALING_FORMAT=MLN","Sort=A","Dates=H","DateFormat=P","Fill=—","Direction=H","UseDPDF=Y")</f>
        <v>-4107</v>
      </c>
      <c r="Q13" s="13">
        <f>_xll.BDH("AMGN US Equity","T12M_DVDS_PAID","FQ3 2022","FQ3 2022","Currency=USD","Period=FQ","BEST_FPERIOD_OVERRIDE=FQ","FILING_STATUS=MR","SCALING_FORMAT=MLN","Sort=A","Dates=H","DateFormat=P","Fill=—","Direction=H","UseDPDF=Y")</f>
        <v>-4146</v>
      </c>
      <c r="R13" s="13">
        <f>_xll.BDH("AMGN US Equity","T12M_DVDS_PAID","FQ4 2022","FQ4 2022","Currency=USD","Period=FQ","BEST_FPERIOD_OVERRIDE=FQ","FILING_STATUS=MR","SCALING_FORMAT=MLN","Sort=A","Dates=H","DateFormat=P","Fill=—","Direction=H","UseDPDF=Y")</f>
        <v>-4196</v>
      </c>
      <c r="S13" s="13">
        <f>_xll.BDH("AMGN US Equity","T12M_DVDS_PAID","FQ1 2023","FQ1 2023","Currency=USD","Period=FQ","BEST_FPERIOD_OVERRIDE=FQ","FILING_STATUS=MR","SCALING_FORMAT=MLN","Sort=A","Dates=H","DateFormat=P","Fill=—","Direction=H","UseDPDF=Y")</f>
        <v>-4253</v>
      </c>
      <c r="T13" s="13">
        <f>_xll.BDH("AMGN US Equity","T12M_DVDS_PAID","FQ2 2023","FQ2 2023","Currency=USD","Period=FQ","BEST_FPERIOD_OVERRIDE=FQ","FILING_STATUS=MR","SCALING_FORMAT=MLN","Sort=A","Dates=H","DateFormat=P","Fill=—","Direction=H","UseDPDF=Y")</f>
        <v>-4354</v>
      </c>
      <c r="U13" s="13">
        <f>_xll.BDH("AMGN US Equity","T12M_DVDS_PAID","FQ3 2023","FQ3 2023","Currency=USD","Period=FQ","BEST_FPERIOD_OVERRIDE=FQ","FILING_STATUS=MR","SCALING_FORMAT=MLN","Sort=A","Dates=H","DateFormat=P","Fill=—","Direction=H","UseDPDF=Y")</f>
        <v>-4456</v>
      </c>
      <c r="V13" s="13">
        <f>_xll.BDH("AMGN US Equity","T12M_DVDS_PAID","FQ4 2023","FQ4 2023","Currency=USD","Period=FQ","BEST_FPERIOD_OVERRIDE=FQ","FILING_STATUS=MR","SCALING_FORMAT=MLN","Sort=A","Dates=H","DateFormat=P","Fill=—","Direction=H","UseDPDF=Y")</f>
        <v>-4556</v>
      </c>
      <c r="W13" s="13">
        <f>_xll.BDH("AMGN US Equity","T12M_DVDS_PAID","FQ1 2024","FQ1 2024","Currency=USD","Period=FQ","BEST_FPERIOD_OVERRIDE=FQ","FILING_STATUS=MR","SCALING_FORMAT=MLN","Sort=A","Dates=H","DateFormat=P","Fill=—","Direction=H","UseDPDF=Y")</f>
        <v>-4627</v>
      </c>
      <c r="X13" s="13">
        <f>_xll.BDH("AMGN US Equity","T12M_DVDS_PAID","FQ2 2024","FQ2 2024","Currency=USD","Period=FQ","BEST_FPERIOD_OVERRIDE=FQ","FILING_STATUS=MR","SCALING_FORMAT=MLN","Sort=A","Dates=H","DateFormat=P","Fill=—","Direction=H","UseDPDF=Y")</f>
        <v>-4697</v>
      </c>
      <c r="Y13" s="13">
        <f>_xll.BDH("AMGN US Equity","T12M_DVDS_PAID","FQ3 2024","FQ3 2024","Currency=USD","Period=FQ","BEST_FPERIOD_OVERRIDE=FQ","FILING_STATUS=MR","SCALING_FORMAT=MLN","Sort=A","Dates=H","DateFormat=P","Fill=—","Direction=H","UseDPDF=Y")</f>
        <v>-4767</v>
      </c>
      <c r="Z13" s="13">
        <f>_xll.BDH("AMGN US Equity","T12M_DVDS_PAID","FQ4 2024","FQ4 2024","Currency=USD","Period=FQ","BEST_FPERIOD_OVERRIDE=FQ","FILING_STATUS=MR","SCALING_FORMAT=MLN","Sort=A","Dates=H","DateFormat=P","Fill=—","Direction=H","UseDPDF=Y")</f>
        <v>-4832</v>
      </c>
      <c r="AA13" s="13"/>
    </row>
    <row r="14" spans="1:27" x14ac:dyDescent="0.25">
      <c r="A14" s="10" t="s">
        <v>1671</v>
      </c>
      <c r="B14" s="10" t="s">
        <v>1672</v>
      </c>
      <c r="C14" s="13">
        <f>_xll.BDH("AMGN US Equity","T12M_NET_CAPITAL_STOCK","FQ1 2019","FQ1 2019","Currency=USD","Period=FQ","BEST_FPERIOD_OVERRIDE=FQ","FILING_STATUS=MR","SCALING_FORMAT=MLN","Sort=A","Dates=H","DateFormat=P","Fill=—","Direction=H","UseDPDF=Y")</f>
        <v>-10255</v>
      </c>
      <c r="D14" s="13">
        <f>_xll.BDH("AMGN US Equity","T12M_NET_CAPITAL_STOCK","FQ2 2019","FQ2 2019","Currency=USD","Period=FQ","BEST_FPERIOD_OVERRIDE=FQ","FILING_STATUS=MR","SCALING_FORMAT=MLN","Sort=A","Dates=H","DateFormat=P","Fill=—","Direction=H","UseDPDF=Y")</f>
        <v>-9426</v>
      </c>
      <c r="E14" s="13">
        <f>_xll.BDH("AMGN US Equity","T12M_NET_CAPITAL_STOCK","FQ3 2019","FQ3 2019","Currency=USD","Period=FQ","BEST_FPERIOD_OVERRIDE=FQ","FILING_STATUS=MR","SCALING_FORMAT=MLN","Sort=A","Dates=H","DateFormat=P","Fill=—","Direction=H","UseDPDF=Y")</f>
        <v>-8858</v>
      </c>
      <c r="F14" s="13">
        <f>_xll.BDH("AMGN US Equity","T12M_NET_CAPITAL_STOCK","FQ4 2019","FQ4 2019","Currency=USD","Period=FQ","BEST_FPERIOD_OVERRIDE=FQ","FILING_STATUS=MR","SCALING_FORMAT=MLN","Sort=A","Dates=H","DateFormat=P","Fill=—","Direction=H","UseDPDF=Y")</f>
        <v>-7839</v>
      </c>
      <c r="G14" s="13">
        <f>_xll.BDH("AMGN US Equity","T12M_NET_CAPITAL_STOCK","FQ1 2020","FQ1 2020","Currency=USD","Period=FQ","BEST_FPERIOD_OVERRIDE=FQ","FILING_STATUS=MR","SCALING_FORMAT=MLN","Sort=A","Dates=H","DateFormat=P","Fill=—","Direction=H","UseDPDF=Y")</f>
        <v>-5768</v>
      </c>
      <c r="H14" s="13">
        <f>_xll.BDH("AMGN US Equity","T12M_NET_CAPITAL_STOCK","FQ2 2020","FQ2 2020","Currency=USD","Period=FQ","BEST_FPERIOD_OVERRIDE=FQ","FILING_STATUS=MR","SCALING_FORMAT=MLN","Sort=A","Dates=H","DateFormat=P","Fill=—","Direction=H","UseDPDF=Y")</f>
        <v>-3908</v>
      </c>
      <c r="I14" s="13">
        <f>_xll.BDH("AMGN US Equity","T12M_NET_CAPITAL_STOCK","FQ3 2020","FQ3 2020","Currency=USD","Period=FQ","BEST_FPERIOD_OVERRIDE=FQ","FILING_STATUS=MR","SCALING_FORMAT=MLN","Sort=A","Dates=H","DateFormat=P","Fill=—","Direction=H","UseDPDF=Y")</f>
        <v>-3512</v>
      </c>
      <c r="J14" s="13">
        <f>_xll.BDH("AMGN US Equity","T12M_NET_CAPITAL_STOCK","FQ4 2020","FQ4 2020","Currency=USD","Period=FQ","BEST_FPERIOD_OVERRIDE=FQ","FILING_STATUS=MR","SCALING_FORMAT=MLN","Sort=A","Dates=H","DateFormat=P","Fill=—","Direction=H","UseDPDF=Y")</f>
        <v>-3486</v>
      </c>
      <c r="K14" s="13">
        <f>_xll.BDH("AMGN US Equity","T12M_NET_CAPITAL_STOCK","FQ1 2021","FQ1 2021","Currency=USD","Period=FQ","BEST_FPERIOD_OVERRIDE=FQ","FILING_STATUS=MR","SCALING_FORMAT=MLN","Sort=A","Dates=H","DateFormat=P","Fill=—","Direction=H","UseDPDF=Y")</f>
        <v>-3396</v>
      </c>
      <c r="L14" s="13">
        <f>_xll.BDH("AMGN US Equity","T12M_NET_CAPITAL_STOCK","FQ2 2021","FQ2 2021","Currency=USD","Period=FQ","BEST_FPERIOD_OVERRIDE=FQ","FILING_STATUS=MR","SCALING_FORMAT=MLN","Sort=A","Dates=H","DateFormat=P","Fill=—","Direction=H","UseDPDF=Y")</f>
        <v>-4422</v>
      </c>
      <c r="M14" s="13">
        <f>_xll.BDH("AMGN US Equity","T12M_NET_CAPITAL_STOCK","FQ3 2021","FQ3 2021","Currency=USD","Period=FQ","BEST_FPERIOD_OVERRIDE=FQ","FILING_STATUS=MR","SCALING_FORMAT=MLN","Sort=A","Dates=H","DateFormat=P","Fill=—","Direction=H","UseDPDF=Y")</f>
        <v>-4737</v>
      </c>
      <c r="N14" s="13">
        <f>_xll.BDH("AMGN US Equity","T12M_NET_CAPITAL_STOCK","FQ4 2021","FQ4 2021","Currency=USD","Period=FQ","BEST_FPERIOD_OVERRIDE=FQ","FILING_STATUS=MR","SCALING_FORMAT=MLN","Sort=A","Dates=H","DateFormat=P","Fill=—","Direction=H","UseDPDF=Y")</f>
        <v>-4975</v>
      </c>
      <c r="O14" s="13">
        <f>_xll.BDH("AMGN US Equity","T12M_NET_CAPITAL_STOCK","FQ1 2022","FQ1 2022","Currency=USD","Period=FQ","BEST_FPERIOD_OVERRIDE=FQ","FILING_STATUS=MR","SCALING_FORMAT=MLN","Sort=A","Dates=H","DateFormat=P","Fill=—","Direction=H","UseDPDF=Y")</f>
        <v>-10464</v>
      </c>
      <c r="P14" s="13">
        <f>_xll.BDH("AMGN US Equity","T12M_NET_CAPITAL_STOCK","FQ2 2022","FQ2 2022","Currency=USD","Period=FQ","BEST_FPERIOD_OVERRIDE=FQ","FILING_STATUS=MR","SCALING_FORMAT=MLN","Sort=A","Dates=H","DateFormat=P","Fill=—","Direction=H","UseDPDF=Y")</f>
        <v>-8883</v>
      </c>
      <c r="Q14" s="13">
        <f>_xll.BDH("AMGN US Equity","T12M_NET_CAPITAL_STOCK","FQ3 2022","FQ3 2022","Currency=USD","Period=FQ","BEST_FPERIOD_OVERRIDE=FQ","FILING_STATUS=MR","SCALING_FORMAT=MLN","Sort=A","Dates=H","DateFormat=P","Fill=—","Direction=H","UseDPDF=Y")</f>
        <v>-7803</v>
      </c>
      <c r="R14" s="13">
        <f>_xll.BDH("AMGN US Equity","T12M_NET_CAPITAL_STOCK","FQ4 2022","FQ4 2022","Currency=USD","Period=FQ","BEST_FPERIOD_OVERRIDE=FQ","FILING_STATUS=MR","SCALING_FORMAT=MLN","Sort=A","Dates=H","DateFormat=P","Fill=—","Direction=H","UseDPDF=Y")</f>
        <v>-6360</v>
      </c>
      <c r="S14" s="13">
        <f>_xll.BDH("AMGN US Equity","T12M_NET_CAPITAL_STOCK","FQ1 2023","FQ1 2023","Currency=USD","Period=FQ","BEST_FPERIOD_OVERRIDE=FQ","FILING_STATUS=MR","SCALING_FORMAT=MLN","Sort=A","Dates=H","DateFormat=P","Fill=—","Direction=H","UseDPDF=Y")</f>
        <v>0</v>
      </c>
      <c r="T14" s="13">
        <f>_xll.BDH("AMGN US Equity","T12M_NET_CAPITAL_STOCK","FQ2 2023","FQ2 2023","Currency=USD","Period=FQ","BEST_FPERIOD_OVERRIDE=FQ","FILING_STATUS=MR","SCALING_FORMAT=MLN","Sort=A","Dates=H","DateFormat=P","Fill=—","Direction=H","UseDPDF=Y")</f>
        <v>0</v>
      </c>
      <c r="U14" s="13">
        <f>_xll.BDH("AMGN US Equity","T12M_NET_CAPITAL_STOCK","FQ3 2023","FQ3 2023","Currency=USD","Period=FQ","BEST_FPERIOD_OVERRIDE=FQ","FILING_STATUS=MR","SCALING_FORMAT=MLN","Sort=A","Dates=H","DateFormat=P","Fill=—","Direction=H","UseDPDF=Y")</f>
        <v>0</v>
      </c>
      <c r="V14" s="13">
        <f>_xll.BDH("AMGN US Equity","T12M_NET_CAPITAL_STOCK","FQ4 2023","FQ4 2023","Currency=USD","Period=FQ","BEST_FPERIOD_OVERRIDE=FQ","FILING_STATUS=MR","SCALING_FORMAT=MLN","Sort=A","Dates=H","DateFormat=P","Fill=—","Direction=H","UseDPDF=Y")</f>
        <v>0</v>
      </c>
      <c r="W14" s="13">
        <f>_xll.BDH("AMGN US Equity","T12M_NET_CAPITAL_STOCK","FQ1 2024","FQ1 2024","Currency=USD","Period=FQ","BEST_FPERIOD_OVERRIDE=FQ","FILING_STATUS=MR","SCALING_FORMAT=MLN","Sort=A","Dates=H","DateFormat=P","Fill=—","Direction=H","UseDPDF=Y")</f>
        <v>0</v>
      </c>
      <c r="X14" s="13">
        <f>_xll.BDH("AMGN US Equity","T12M_NET_CAPITAL_STOCK","FQ2 2024","FQ2 2024","Currency=USD","Period=FQ","BEST_FPERIOD_OVERRIDE=FQ","FILING_STATUS=MR","SCALING_FORMAT=MLN","Sort=A","Dates=H","DateFormat=P","Fill=—","Direction=H","UseDPDF=Y")</f>
        <v>0</v>
      </c>
      <c r="Y14" s="13">
        <f>_xll.BDH("AMGN US Equity","T12M_NET_CAPITAL_STOCK","FQ3 2024","FQ3 2024","Currency=USD","Period=FQ","BEST_FPERIOD_OVERRIDE=FQ","FILING_STATUS=MR","SCALING_FORMAT=MLN","Sort=A","Dates=H","DateFormat=P","Fill=—","Direction=H","UseDPDF=Y")</f>
        <v>0</v>
      </c>
      <c r="Z14" s="13">
        <f>_xll.BDH("AMGN US Equity","T12M_NET_CAPITAL_STOCK","FQ4 2024","FQ4 2024","Currency=USD","Period=FQ","BEST_FPERIOD_OVERRIDE=FQ","FILING_STATUS=MR","SCALING_FORMAT=MLN","Sort=A","Dates=H","DateFormat=P","Fill=—","Direction=H","UseDPDF=Y")</f>
        <v>-200</v>
      </c>
      <c r="AA14" s="13"/>
    </row>
    <row r="15" spans="1:27" x14ac:dyDescent="0.25">
      <c r="A15" s="10" t="s">
        <v>1673</v>
      </c>
      <c r="B15" s="10" t="s">
        <v>1674</v>
      </c>
      <c r="C15" s="13" t="str">
        <f>_xll.BDH("AMGN US Equity","T12M_CHG_ST_BORROWINGS","FQ1 2019","FQ1 2019","Currency=USD","Period=FQ","BEST_FPERIOD_OVERRIDE=FQ","FILING_STATUS=MR","SCALING_FORMAT=MLN","Sort=A","Dates=H","DateFormat=P","Fill=—","Direction=H","UseDPDF=Y")</f>
        <v>—</v>
      </c>
      <c r="D15" s="13">
        <f>_xll.BDH("AMGN US Equity","T12M_CHG_ST_BORROWINGS","FQ2 2019","FQ2 2019","Currency=USD","Period=FQ","BEST_FPERIOD_OVERRIDE=FQ","FILING_STATUS=MR","SCALING_FORMAT=MLN","Sort=A","Dates=H","DateFormat=P","Fill=—","Direction=H","UseDPDF=Y")</f>
        <v>0</v>
      </c>
      <c r="E15" s="13">
        <f>_xll.BDH("AMGN US Equity","T12M_CHG_ST_BORROWINGS","FQ3 2019","FQ3 2019","Currency=USD","Period=FQ","BEST_FPERIOD_OVERRIDE=FQ","FILING_STATUS=MR","SCALING_FORMAT=MLN","Sort=A","Dates=H","DateFormat=P","Fill=—","Direction=H","UseDPDF=Y")</f>
        <v>0</v>
      </c>
      <c r="F15" s="13">
        <f>_xll.BDH("AMGN US Equity","T12M_CHG_ST_BORROWINGS","FQ4 2019","FQ4 2019","Currency=USD","Period=FQ","BEST_FPERIOD_OVERRIDE=FQ","FILING_STATUS=MR","SCALING_FORMAT=MLN","Sort=A","Dates=H","DateFormat=P","Fill=—","Direction=H","UseDPDF=Y")</f>
        <v>0</v>
      </c>
      <c r="G15" s="13">
        <f>_xll.BDH("AMGN US Equity","T12M_CHG_ST_BORROWINGS","FQ1 2020","FQ1 2020","Currency=USD","Period=FQ","BEST_FPERIOD_OVERRIDE=FQ","FILING_STATUS=MR","SCALING_FORMAT=MLN","Sort=A","Dates=H","DateFormat=P","Fill=—","Direction=H","UseDPDF=Y")</f>
        <v>0</v>
      </c>
      <c r="H15" s="13">
        <f>_xll.BDH("AMGN US Equity","T12M_CHG_ST_BORROWINGS","FQ2 2020","FQ2 2020","Currency=USD","Period=FQ","BEST_FPERIOD_OVERRIDE=FQ","FILING_STATUS=MR","SCALING_FORMAT=MLN","Sort=A","Dates=H","DateFormat=P","Fill=—","Direction=H","UseDPDF=Y")</f>
        <v>0</v>
      </c>
      <c r="I15" s="13">
        <f>_xll.BDH("AMGN US Equity","T12M_CHG_ST_BORROWINGS","FQ3 2020","FQ3 2020","Currency=USD","Period=FQ","BEST_FPERIOD_OVERRIDE=FQ","FILING_STATUS=MR","SCALING_FORMAT=MLN","Sort=A","Dates=H","DateFormat=P","Fill=—","Direction=H","UseDPDF=Y")</f>
        <v>0</v>
      </c>
      <c r="J15" s="13">
        <f>_xll.BDH("AMGN US Equity","T12M_CHG_ST_BORROWINGS","FQ4 2020","FQ4 2020","Currency=USD","Period=FQ","BEST_FPERIOD_OVERRIDE=FQ","FILING_STATUS=MR","SCALING_FORMAT=MLN","Sort=A","Dates=H","DateFormat=P","Fill=—","Direction=H","UseDPDF=Y")</f>
        <v>0</v>
      </c>
      <c r="K15" s="13">
        <f>_xll.BDH("AMGN US Equity","T12M_CHG_ST_BORROWINGS","FQ1 2021","FQ1 2021","Currency=USD","Period=FQ","BEST_FPERIOD_OVERRIDE=FQ","FILING_STATUS=MR","SCALING_FORMAT=MLN","Sort=A","Dates=H","DateFormat=P","Fill=—","Direction=H","UseDPDF=Y")</f>
        <v>0</v>
      </c>
      <c r="L15" s="13">
        <f>_xll.BDH("AMGN US Equity","T12M_CHG_ST_BORROWINGS","FQ2 2021","FQ2 2021","Currency=USD","Period=FQ","BEST_FPERIOD_OVERRIDE=FQ","FILING_STATUS=MR","SCALING_FORMAT=MLN","Sort=A","Dates=H","DateFormat=P","Fill=—","Direction=H","UseDPDF=Y")</f>
        <v>0</v>
      </c>
      <c r="M15" s="13">
        <f>_xll.BDH("AMGN US Equity","T12M_CHG_ST_BORROWINGS","FQ3 2021","FQ3 2021","Currency=USD","Period=FQ","BEST_FPERIOD_OVERRIDE=FQ","FILING_STATUS=MR","SCALING_FORMAT=MLN","Sort=A","Dates=H","DateFormat=P","Fill=—","Direction=H","UseDPDF=Y")</f>
        <v>0</v>
      </c>
      <c r="N15" s="13">
        <f>_xll.BDH("AMGN US Equity","T12M_CHG_ST_BORROWINGS","FQ4 2021","FQ4 2021","Currency=USD","Period=FQ","BEST_FPERIOD_OVERRIDE=FQ","FILING_STATUS=MR","SCALING_FORMAT=MLN","Sort=A","Dates=H","DateFormat=P","Fill=—","Direction=H","UseDPDF=Y")</f>
        <v>0</v>
      </c>
      <c r="O15" s="13">
        <f>_xll.BDH("AMGN US Equity","T12M_CHG_ST_BORROWINGS","FQ1 2022","FQ1 2022","Currency=USD","Period=FQ","BEST_FPERIOD_OVERRIDE=FQ","FILING_STATUS=MR","SCALING_FORMAT=MLN","Sort=A","Dates=H","DateFormat=P","Fill=—","Direction=H","UseDPDF=Y")</f>
        <v>0</v>
      </c>
      <c r="P15" s="13">
        <f>_xll.BDH("AMGN US Equity","T12M_CHG_ST_BORROWINGS","FQ2 2022","FQ2 2022","Currency=USD","Period=FQ","BEST_FPERIOD_OVERRIDE=FQ","FILING_STATUS=MR","SCALING_FORMAT=MLN","Sort=A","Dates=H","DateFormat=P","Fill=—","Direction=H","UseDPDF=Y")</f>
        <v>0</v>
      </c>
      <c r="Q15" s="13">
        <f>_xll.BDH("AMGN US Equity","T12M_CHG_ST_BORROWINGS","FQ3 2022","FQ3 2022","Currency=USD","Period=FQ","BEST_FPERIOD_OVERRIDE=FQ","FILING_STATUS=MR","SCALING_FORMAT=MLN","Sort=A","Dates=H","DateFormat=P","Fill=—","Direction=H","UseDPDF=Y")</f>
        <v>0</v>
      </c>
      <c r="R15" s="13">
        <f>_xll.BDH("AMGN US Equity","T12M_CHG_ST_BORROWINGS","FQ4 2022","FQ4 2022","Currency=USD","Period=FQ","BEST_FPERIOD_OVERRIDE=FQ","FILING_STATUS=MR","SCALING_FORMAT=MLN","Sort=A","Dates=H","DateFormat=P","Fill=—","Direction=H","UseDPDF=Y")</f>
        <v>0</v>
      </c>
      <c r="S15" s="13">
        <f>_xll.BDH("AMGN US Equity","T12M_CHG_ST_BORROWINGS","FQ1 2023","FQ1 2023","Currency=USD","Period=FQ","BEST_FPERIOD_OVERRIDE=FQ","FILING_STATUS=MR","SCALING_FORMAT=MLN","Sort=A","Dates=H","DateFormat=P","Fill=—","Direction=H","UseDPDF=Y")</f>
        <v>0</v>
      </c>
      <c r="T15" s="13">
        <f>_xll.BDH("AMGN US Equity","T12M_CHG_ST_BORROWINGS","FQ2 2023","FQ2 2023","Currency=USD","Period=FQ","BEST_FPERIOD_OVERRIDE=FQ","FILING_STATUS=MR","SCALING_FORMAT=MLN","Sort=A","Dates=H","DateFormat=P","Fill=—","Direction=H","UseDPDF=Y")</f>
        <v>0</v>
      </c>
      <c r="U15" s="13">
        <f>_xll.BDH("AMGN US Equity","T12M_CHG_ST_BORROWINGS","FQ3 2023","FQ3 2023","Currency=USD","Period=FQ","BEST_FPERIOD_OVERRIDE=FQ","FILING_STATUS=MR","SCALING_FORMAT=MLN","Sort=A","Dates=H","DateFormat=P","Fill=—","Direction=H","UseDPDF=Y")</f>
        <v>0</v>
      </c>
      <c r="V15" s="13">
        <f>_xll.BDH("AMGN US Equity","T12M_CHG_ST_BORROWINGS","FQ4 2023","FQ4 2023","Currency=USD","Period=FQ","BEST_FPERIOD_OVERRIDE=FQ","FILING_STATUS=MR","SCALING_FORMAT=MLN","Sort=A","Dates=H","DateFormat=P","Fill=—","Direction=H","UseDPDF=Y")</f>
        <v>0</v>
      </c>
      <c r="W15" s="13">
        <f>_xll.BDH("AMGN US Equity","T12M_CHG_ST_BORROWINGS","FQ1 2024","FQ1 2024","Currency=USD","Period=FQ","BEST_FPERIOD_OVERRIDE=FQ","FILING_STATUS=MR","SCALING_FORMAT=MLN","Sort=A","Dates=H","DateFormat=P","Fill=—","Direction=H","UseDPDF=Y")</f>
        <v>0</v>
      </c>
      <c r="X15" s="13">
        <f>_xll.BDH("AMGN US Equity","T12M_CHG_ST_BORROWINGS","FQ2 2024","FQ2 2024","Currency=USD","Period=FQ","BEST_FPERIOD_OVERRIDE=FQ","FILING_STATUS=MR","SCALING_FORMAT=MLN","Sort=A","Dates=H","DateFormat=P","Fill=—","Direction=H","UseDPDF=Y")</f>
        <v>0</v>
      </c>
      <c r="Y15" s="13">
        <f>_xll.BDH("AMGN US Equity","T12M_CHG_ST_BORROWINGS","FQ3 2024","FQ3 2024","Currency=USD","Period=FQ","BEST_FPERIOD_OVERRIDE=FQ","FILING_STATUS=MR","SCALING_FORMAT=MLN","Sort=A","Dates=H","DateFormat=P","Fill=—","Direction=H","UseDPDF=Y")</f>
        <v>0</v>
      </c>
      <c r="Z15" s="13">
        <f>_xll.BDH("AMGN US Equity","T12M_CHG_ST_BORROWINGS","FQ4 2024","FQ4 2024","Currency=USD","Period=FQ","BEST_FPERIOD_OVERRIDE=FQ","FILING_STATUS=MR","SCALING_FORMAT=MLN","Sort=A","Dates=H","DateFormat=P","Fill=—","Direction=H","UseDPDF=Y")</f>
        <v>0</v>
      </c>
      <c r="AA15" s="13"/>
    </row>
    <row r="16" spans="1:27" x14ac:dyDescent="0.25">
      <c r="A16" s="10" t="s">
        <v>1675</v>
      </c>
      <c r="B16" s="10" t="s">
        <v>1676</v>
      </c>
      <c r="C16" s="13">
        <f>_xll.BDH("AMGN US Equity","T12M_CHG_LT_DEBT","FQ1 2019","FQ1 2019","Currency=USD","Period=FQ","BEST_FPERIOD_OVERRIDE=FQ","FILING_STATUS=MR","SCALING_FORMAT=MLN","Sort=A","Dates=H","DateFormat=P","Fill=—","Direction=H","UseDPDF=Y")</f>
        <v>-2121</v>
      </c>
      <c r="D16" s="13">
        <f>_xll.BDH("AMGN US Equity","T12M_CHG_LT_DEBT","FQ2 2019","FQ2 2019","Currency=USD","Period=FQ","BEST_FPERIOD_OVERRIDE=FQ","FILING_STATUS=MR","SCALING_FORMAT=MLN","Sort=A","Dates=H","DateFormat=P","Fill=—","Direction=H","UseDPDF=Y")</f>
        <v>-4271</v>
      </c>
      <c r="E16" s="13">
        <f>_xll.BDH("AMGN US Equity","T12M_CHG_LT_DEBT","FQ3 2019","FQ3 2019","Currency=USD","Period=FQ","BEST_FPERIOD_OVERRIDE=FQ","FILING_STATUS=MR","SCALING_FORMAT=MLN","Sort=A","Dates=H","DateFormat=P","Fill=—","Direction=H","UseDPDF=Y")</f>
        <v>-5135</v>
      </c>
      <c r="F16" s="13">
        <f>_xll.BDH("AMGN US Equity","T12M_CHG_LT_DEBT","FQ4 2019","FQ4 2019","Currency=USD","Period=FQ","BEST_FPERIOD_OVERRIDE=FQ","FILING_STATUS=MR","SCALING_FORMAT=MLN","Sort=A","Dates=H","DateFormat=P","Fill=—","Direction=H","UseDPDF=Y")</f>
        <v>-4514</v>
      </c>
      <c r="G16" s="13">
        <f>_xll.BDH("AMGN US Equity","T12M_CHG_LT_DEBT","FQ1 2020","FQ1 2020","Currency=USD","Period=FQ","BEST_FPERIOD_OVERRIDE=FQ","FILING_STATUS=MR","SCALING_FORMAT=MLN","Sort=A","Dates=H","DateFormat=P","Fill=—","Direction=H","UseDPDF=Y")</f>
        <v>-1801</v>
      </c>
      <c r="H16" s="13">
        <f>_xll.BDH("AMGN US Equity","T12M_CHG_LT_DEBT","FQ2 2020","FQ2 2020","Currency=USD","Period=FQ","BEST_FPERIOD_OVERRIDE=FQ","FILING_STATUS=MR","SCALING_FORMAT=MLN","Sort=A","Dates=H","DateFormat=P","Fill=—","Direction=H","UseDPDF=Y")</f>
        <v>3138</v>
      </c>
      <c r="I16" s="13">
        <f>_xll.BDH("AMGN US Equity","T12M_CHG_LT_DEBT","FQ3 2020","FQ3 2020","Currency=USD","Period=FQ","BEST_FPERIOD_OVERRIDE=FQ","FILING_STATUS=MR","SCALING_FORMAT=MLN","Sort=A","Dates=H","DateFormat=P","Fill=—","Direction=H","UseDPDF=Y")</f>
        <v>3914</v>
      </c>
      <c r="J16" s="13">
        <f>_xll.BDH("AMGN US Equity","T12M_CHG_LT_DEBT","FQ4 2020","FQ4 2020","Currency=USD","Period=FQ","BEST_FPERIOD_OVERRIDE=FQ","FILING_STATUS=MR","SCALING_FORMAT=MLN","Sort=A","Dates=H","DateFormat=P","Fill=—","Direction=H","UseDPDF=Y")</f>
        <v>2464</v>
      </c>
      <c r="K16" s="13">
        <f>_xll.BDH("AMGN US Equity","T12M_CHG_LT_DEBT","FQ1 2021","FQ1 2021","Currency=USD","Period=FQ","BEST_FPERIOD_OVERRIDE=FQ","FILING_STATUS=MR","SCALING_FORMAT=MLN","Sort=A","Dates=H","DateFormat=P","Fill=—","Direction=H","UseDPDF=Y")</f>
        <v>751</v>
      </c>
      <c r="L16" s="13">
        <f>_xll.BDH("AMGN US Equity","T12M_CHG_LT_DEBT","FQ2 2021","FQ2 2021","Currency=USD","Period=FQ","BEST_FPERIOD_OVERRIDE=FQ","FILING_STATUS=MR","SCALING_FORMAT=MLN","Sort=A","Dates=H","DateFormat=P","Fill=—","Direction=H","UseDPDF=Y")</f>
        <v>-1538</v>
      </c>
      <c r="M16" s="13">
        <f>_xll.BDH("AMGN US Equity","T12M_CHG_LT_DEBT","FQ3 2021","FQ3 2021","Currency=USD","Period=FQ","BEST_FPERIOD_OVERRIDE=FQ","FILING_STATUS=MR","SCALING_FORMAT=MLN","Sort=A","Dates=H","DateFormat=P","Fill=—","Direction=H","UseDPDF=Y")</f>
        <v>3496</v>
      </c>
      <c r="N16" s="13">
        <f>_xll.BDH("AMGN US Equity","T12M_CHG_LT_DEBT","FQ4 2021","FQ4 2021","Currency=USD","Period=FQ","BEST_FPERIOD_OVERRIDE=FQ","FILING_STATUS=MR","SCALING_FORMAT=MLN","Sort=A","Dates=H","DateFormat=P","Fill=—","Direction=H","UseDPDF=Y")</f>
        <v>795</v>
      </c>
      <c r="O16" s="13">
        <f>_xll.BDH("AMGN US Equity","T12M_CHG_LT_DEBT","FQ1 2022","FQ1 2022","Currency=USD","Period=FQ","BEST_FPERIOD_OVERRIDE=FQ","FILING_STATUS=MR","SCALING_FORMAT=MLN","Sort=A","Dates=H","DateFormat=P","Fill=—","Direction=H","UseDPDF=Y")</f>
        <v>4747</v>
      </c>
      <c r="P16" s="13">
        <f>_xll.BDH("AMGN US Equity","T12M_CHG_LT_DEBT","FQ2 2022","FQ2 2022","Currency=USD","Period=FQ","BEST_FPERIOD_OVERRIDE=FQ","FILING_STATUS=MR","SCALING_FORMAT=MLN","Sort=A","Dates=H","DateFormat=P","Fill=—","Direction=H","UseDPDF=Y")</f>
        <v>4749</v>
      </c>
      <c r="Q16" s="13">
        <f>_xll.BDH("AMGN US Equity","T12M_CHG_LT_DEBT","FQ3 2022","FQ3 2022","Currency=USD","Period=FQ","BEST_FPERIOD_OVERRIDE=FQ","FILING_STATUS=MR","SCALING_FORMAT=MLN","Sort=A","Dates=H","DateFormat=P","Fill=—","Direction=H","UseDPDF=Y")</f>
        <v>2787</v>
      </c>
      <c r="R16" s="13">
        <f>_xll.BDH("AMGN US Equity","T12M_CHG_LT_DEBT","FQ4 2022","FQ4 2022","Currency=USD","Period=FQ","BEST_FPERIOD_OVERRIDE=FQ","FILING_STATUS=MR","SCALING_FORMAT=MLN","Sort=A","Dates=H","DateFormat=P","Fill=—","Direction=H","UseDPDF=Y")</f>
        <v>6919</v>
      </c>
      <c r="S16" s="13">
        <f>_xll.BDH("AMGN US Equity","T12M_CHG_LT_DEBT","FQ1 2023","FQ1 2023","Currency=USD","Period=FQ","BEST_FPERIOD_OVERRIDE=FQ","FILING_STATUS=MR","SCALING_FORMAT=MLN","Sort=A","Dates=H","DateFormat=P","Fill=—","Direction=H","UseDPDF=Y")</f>
        <v>25641</v>
      </c>
      <c r="T16" s="13">
        <f>_xll.BDH("AMGN US Equity","T12M_CHG_LT_DEBT","FQ2 2023","FQ2 2023","Currency=USD","Period=FQ","BEST_FPERIOD_OVERRIDE=FQ","FILING_STATUS=MR","SCALING_FORMAT=MLN","Sort=A","Dates=H","DateFormat=P","Fill=—","Direction=H","UseDPDF=Y")</f>
        <v>25621</v>
      </c>
      <c r="U16" s="13">
        <f>_xll.BDH("AMGN US Equity","T12M_CHG_LT_DEBT","FQ3 2023","FQ3 2023","Currency=USD","Period=FQ","BEST_FPERIOD_OVERRIDE=FQ","FILING_STATUS=MR","SCALING_FORMAT=MLN","Sort=A","Dates=H","DateFormat=P","Fill=—","Direction=H","UseDPDF=Y")</f>
        <v>22308</v>
      </c>
      <c r="V16" s="13">
        <f>_xll.BDH("AMGN US Equity","T12M_CHG_LT_DEBT","FQ4 2023","FQ4 2023","Currency=USD","Period=FQ","BEST_FPERIOD_OVERRIDE=FQ","FILING_STATUS=MR","SCALING_FORMAT=MLN","Sort=A","Dates=H","DateFormat=P","Fill=—","Direction=H","UseDPDF=Y")</f>
        <v>25676</v>
      </c>
      <c r="W16" s="13">
        <f>_xll.BDH("AMGN US Equity","T12M_CHG_LT_DEBT","FQ1 2024","FQ1 2024","Currency=USD","Period=FQ","BEST_FPERIOD_OVERRIDE=FQ","FILING_STATUS=MR","SCALING_FORMAT=MLN","Sort=A","Dates=H","DateFormat=P","Fill=—","Direction=H","UseDPDF=Y")</f>
        <v>2592</v>
      </c>
      <c r="X16" s="13">
        <f>_xll.BDH("AMGN US Equity","T12M_CHG_LT_DEBT","FQ2 2024","FQ2 2024","Currency=USD","Period=FQ","BEST_FPERIOD_OVERRIDE=FQ","FILING_STATUS=MR","SCALING_FORMAT=MLN","Sort=A","Dates=H","DateFormat=P","Fill=—","Direction=H","UseDPDF=Y")</f>
        <v>1210</v>
      </c>
      <c r="Y16" s="13">
        <f>_xll.BDH("AMGN US Equity","T12M_CHG_LT_DEBT","FQ3 2024","FQ3 2024","Currency=USD","Period=FQ","BEST_FPERIOD_OVERRIDE=FQ","FILING_STATUS=MR","SCALING_FORMAT=MLN","Sort=A","Dates=H","DateFormat=P","Fill=—","Direction=H","UseDPDF=Y")</f>
        <v>-251</v>
      </c>
      <c r="Z16" s="13">
        <f>_xll.BDH("AMGN US Equity","T12M_CHG_LT_DEBT","FQ4 2024","FQ4 2024","Currency=USD","Period=FQ","BEST_FPERIOD_OVERRIDE=FQ","FILING_STATUS=MR","SCALING_FORMAT=MLN","Sort=A","Dates=H","DateFormat=P","Fill=—","Direction=H","UseDPDF=Y")</f>
        <v>-4259</v>
      </c>
      <c r="AA16" s="13"/>
    </row>
    <row r="17" spans="1:27" x14ac:dyDescent="0.25">
      <c r="A17" s="10" t="s">
        <v>1419</v>
      </c>
      <c r="B17" s="10" t="s">
        <v>1677</v>
      </c>
      <c r="C17" s="13">
        <f>_xll.BDH("AMGN US Equity","T12_OTHER_CFF","FQ1 2019","FQ1 2019","Currency=USD","Period=FQ","BEST_FPERIOD_OVERRIDE=FQ","FILING_STATUS=MR","SCALING_FORMAT=MLN","Sort=A","Dates=H","DateFormat=P","Fill=—","Direction=H","UseDPDF=Y")</f>
        <v>48</v>
      </c>
      <c r="D17" s="13">
        <f>_xll.BDH("AMGN US Equity","T12_OTHER_CFF","FQ2 2019","FQ2 2019","Currency=USD","Period=FQ","BEST_FPERIOD_OVERRIDE=FQ","FILING_STATUS=MR","SCALING_FORMAT=MLN","Sort=A","Dates=H","DateFormat=P","Fill=—","Direction=H","UseDPDF=Y")</f>
        <v>42</v>
      </c>
      <c r="E17" s="13">
        <f>_xll.BDH("AMGN US Equity","T12_OTHER_CFF","FQ3 2019","FQ3 2019","Currency=USD","Period=FQ","BEST_FPERIOD_OVERRIDE=FQ","FILING_STATUS=MR","SCALING_FORMAT=MLN","Sort=A","Dates=H","DateFormat=P","Fill=—","Direction=H","UseDPDF=Y")</f>
        <v>76</v>
      </c>
      <c r="F17" s="13">
        <f>_xll.BDH("AMGN US Equity","T12_OTHER_CFF","FQ4 2019","FQ4 2019","Currency=USD","Period=FQ","BEST_FPERIOD_OVERRIDE=FQ","FILING_STATUS=MR","SCALING_FORMAT=MLN","Sort=A","Dates=H","DateFormat=P","Fill=—","Direction=H","UseDPDF=Y")</f>
        <v>95</v>
      </c>
      <c r="G17" s="13">
        <f>_xll.BDH("AMGN US Equity","T12_OTHER_CFF","FQ1 2020","FQ1 2020","Currency=USD","Period=FQ","BEST_FPERIOD_OVERRIDE=FQ","FILING_STATUS=MR","SCALING_FORMAT=MLN","Sort=A","Dates=H","DateFormat=P","Fill=—","Direction=H","UseDPDF=Y")</f>
        <v>88</v>
      </c>
      <c r="H17" s="13">
        <f>_xll.BDH("AMGN US Equity","T12_OTHER_CFF","FQ2 2020","FQ2 2020","Currency=USD","Period=FQ","BEST_FPERIOD_OVERRIDE=FQ","FILING_STATUS=MR","SCALING_FORMAT=MLN","Sort=A","Dates=H","DateFormat=P","Fill=—","Direction=H","UseDPDF=Y")</f>
        <v>118</v>
      </c>
      <c r="I17" s="13">
        <f>_xll.BDH("AMGN US Equity","T12_OTHER_CFF","FQ3 2020","FQ3 2020","Currency=USD","Period=FQ","BEST_FPERIOD_OVERRIDE=FQ","FILING_STATUS=MR","SCALING_FORMAT=MLN","Sort=A","Dates=H","DateFormat=P","Fill=—","Direction=H","UseDPDF=Y")</f>
        <v>75</v>
      </c>
      <c r="J17" s="13">
        <f>_xll.BDH("AMGN US Equity","T12_OTHER_CFF","FQ4 2020","FQ4 2020","Currency=USD","Period=FQ","BEST_FPERIOD_OVERRIDE=FQ","FILING_STATUS=MR","SCALING_FORMAT=MLN","Sort=A","Dates=H","DateFormat=P","Fill=—","Direction=H","UseDPDF=Y")</f>
        <v>-90</v>
      </c>
      <c r="K17" s="13">
        <f>_xll.BDH("AMGN US Equity","T12_OTHER_CFF","FQ1 2021","FQ1 2021","Currency=USD","Period=FQ","BEST_FPERIOD_OVERRIDE=FQ","FILING_STATUS=MR","SCALING_FORMAT=MLN","Sort=A","Dates=H","DateFormat=P","Fill=—","Direction=H","UseDPDF=Y")</f>
        <v>-81</v>
      </c>
      <c r="L17" s="13">
        <f>_xll.BDH("AMGN US Equity","T12_OTHER_CFF","FQ2 2021","FQ2 2021","Currency=USD","Period=FQ","BEST_FPERIOD_OVERRIDE=FQ","FILING_STATUS=MR","SCALING_FORMAT=MLN","Sort=A","Dates=H","DateFormat=P","Fill=—","Direction=H","UseDPDF=Y")</f>
        <v>-97</v>
      </c>
      <c r="M17" s="13">
        <f>_xll.BDH("AMGN US Equity","T12_OTHER_CFF","FQ3 2021","FQ3 2021","Currency=USD","Period=FQ","BEST_FPERIOD_OVERRIDE=FQ","FILING_STATUS=MR","SCALING_FORMAT=MLN","Sort=A","Dates=H","DateFormat=P","Fill=—","Direction=H","UseDPDF=Y")</f>
        <v>-107</v>
      </c>
      <c r="N17" s="13">
        <f>_xll.BDH("AMGN US Equity","T12_OTHER_CFF","FQ4 2021","FQ4 2021","Currency=USD","Period=FQ","BEST_FPERIOD_OVERRIDE=FQ","FILING_STATUS=MR","SCALING_FORMAT=MLN","Sort=A","Dates=H","DateFormat=P","Fill=—","Direction=H","UseDPDF=Y")</f>
        <v>-78</v>
      </c>
      <c r="O17" s="13">
        <f>_xll.BDH("AMGN US Equity","T12_OTHER_CFF","FQ1 2022","FQ1 2022","Currency=USD","Period=FQ","BEST_FPERIOD_OVERRIDE=FQ","FILING_STATUS=MR","SCALING_FORMAT=MLN","Sort=A","Dates=H","DateFormat=P","Fill=—","Direction=H","UseDPDF=Y")</f>
        <v>-52</v>
      </c>
      <c r="P17" s="13">
        <f>_xll.BDH("AMGN US Equity","T12_OTHER_CFF","FQ2 2022","FQ2 2022","Currency=USD","Period=FQ","BEST_FPERIOD_OVERRIDE=FQ","FILING_STATUS=MR","SCALING_FORMAT=MLN","Sort=A","Dates=H","DateFormat=P","Fill=—","Direction=H","UseDPDF=Y")</f>
        <v>-45</v>
      </c>
      <c r="Q17" s="13">
        <f>_xll.BDH("AMGN US Equity","T12_OTHER_CFF","FQ3 2022","FQ3 2022","Currency=USD","Period=FQ","BEST_FPERIOD_OVERRIDE=FQ","FILING_STATUS=MR","SCALING_FORMAT=MLN","Sort=A","Dates=H","DateFormat=P","Fill=—","Direction=H","UseDPDF=Y")</f>
        <v>-384</v>
      </c>
      <c r="R17" s="13">
        <f>_xll.BDH("AMGN US Equity","T12_OTHER_CFF","FQ4 2022","FQ4 2022","Currency=USD","Period=FQ","BEST_FPERIOD_OVERRIDE=FQ","FILING_STATUS=MR","SCALING_FORMAT=MLN","Sort=A","Dates=H","DateFormat=P","Fill=—","Direction=H","UseDPDF=Y")</f>
        <v>-400</v>
      </c>
      <c r="S17" s="13">
        <f>_xll.BDH("AMGN US Equity","T12_OTHER_CFF","FQ1 2023","FQ1 2023","Currency=USD","Period=FQ","BEST_FPERIOD_OVERRIDE=FQ","FILING_STATUS=MR","SCALING_FORMAT=MLN","Sort=A","Dates=H","DateFormat=P","Fill=—","Direction=H","UseDPDF=Y")</f>
        <v>-402</v>
      </c>
      <c r="T17" s="13">
        <f>_xll.BDH("AMGN US Equity","T12_OTHER_CFF","FQ2 2023","FQ2 2023","Currency=USD","Period=FQ","BEST_FPERIOD_OVERRIDE=FQ","FILING_STATUS=MR","SCALING_FORMAT=MLN","Sort=A","Dates=H","DateFormat=P","Fill=—","Direction=H","UseDPDF=Y")</f>
        <v>-429</v>
      </c>
      <c r="U17" s="13">
        <f>_xll.BDH("AMGN US Equity","T12_OTHER_CFF","FQ3 2023","FQ3 2023","Currency=USD","Period=FQ","BEST_FPERIOD_OVERRIDE=FQ","FILING_STATUS=MR","SCALING_FORMAT=MLN","Sort=A","Dates=H","DateFormat=P","Fill=—","Direction=H","UseDPDF=Y")</f>
        <v>-607</v>
      </c>
      <c r="V17" s="13">
        <f>_xll.BDH("AMGN US Equity","T12_OTHER_CFF","FQ4 2023","FQ4 2023","Currency=USD","Period=FQ","BEST_FPERIOD_OVERRIDE=FQ","FILING_STATUS=MR","SCALING_FORMAT=MLN","Sort=A","Dates=H","DateFormat=P","Fill=—","Direction=H","UseDPDF=Y")</f>
        <v>-72</v>
      </c>
      <c r="W17" s="13">
        <f>_xll.BDH("AMGN US Equity","T12_OTHER_CFF","FQ1 2024","FQ1 2024","Currency=USD","Period=FQ","BEST_FPERIOD_OVERRIDE=FQ","FILING_STATUS=MR","SCALING_FORMAT=MLN","Sort=A","Dates=H","DateFormat=P","Fill=—","Direction=H","UseDPDF=Y")</f>
        <v>-134</v>
      </c>
      <c r="X17" s="13">
        <f>_xll.BDH("AMGN US Equity","T12_OTHER_CFF","FQ2 2024","FQ2 2024","Currency=USD","Period=FQ","BEST_FPERIOD_OVERRIDE=FQ","FILING_STATUS=MR","SCALING_FORMAT=MLN","Sort=A","Dates=H","DateFormat=P","Fill=—","Direction=H","UseDPDF=Y")</f>
        <v>-121</v>
      </c>
      <c r="Y17" s="13">
        <f>_xll.BDH("AMGN US Equity","T12_OTHER_CFF","FQ3 2024","FQ3 2024","Currency=USD","Period=FQ","BEST_FPERIOD_OVERRIDE=FQ","FILING_STATUS=MR","SCALING_FORMAT=MLN","Sort=A","Dates=H","DateFormat=P","Fill=—","Direction=H","UseDPDF=Y")</f>
        <v>-236</v>
      </c>
      <c r="Z17" s="13">
        <f>_xll.BDH("AMGN US Equity","T12_OTHER_CFF","FQ4 2024","FQ4 2024","Currency=USD","Period=FQ","BEST_FPERIOD_OVERRIDE=FQ","FILING_STATUS=MR","SCALING_FORMAT=MLN","Sort=A","Dates=H","DateFormat=P","Fill=—","Direction=H","UseDPDF=Y")</f>
        <v>-124</v>
      </c>
      <c r="AA17" s="13"/>
    </row>
    <row r="18" spans="1:27" x14ac:dyDescent="0.25">
      <c r="A18" s="6" t="s">
        <v>1678</v>
      </c>
      <c r="B18" s="6" t="s">
        <v>1679</v>
      </c>
      <c r="C18" s="19">
        <f>_xll.BDH("AMGN US Equity","T12_CFF","FQ1 2019","FQ1 2019","Currency=USD","Period=FQ","BEST_FPERIOD_OVERRIDE=FQ","FILING_STATUS=MR","SCALING_FORMAT=MLN","Sort=A","Dates=H","DateFormat=P","Fill=—","Direction=H","UseDPDF=Y")</f>
        <v>-15785</v>
      </c>
      <c r="D18" s="19">
        <f>_xll.BDH("AMGN US Equity","T12_CFF","FQ2 2019","FQ2 2019","Currency=USD","Period=FQ","BEST_FPERIOD_OVERRIDE=FQ","FILING_STATUS=MR","SCALING_FORMAT=MLN","Sort=A","Dates=H","DateFormat=P","Fill=—","Direction=H","UseDPDF=Y")</f>
        <v>-17127</v>
      </c>
      <c r="E18" s="19">
        <f>_xll.BDH("AMGN US Equity","T12_CFF","FQ3 2019","FQ3 2019","Currency=USD","Period=FQ","BEST_FPERIOD_OVERRIDE=FQ","FILING_STATUS=MR","SCALING_FORMAT=MLN","Sort=A","Dates=H","DateFormat=P","Fill=—","Direction=H","UseDPDF=Y")</f>
        <v>-17406</v>
      </c>
      <c r="F18" s="19">
        <f>_xll.BDH("AMGN US Equity","T12_CFF","FQ4 2019","FQ4 2019","Currency=USD","Period=FQ","BEST_FPERIOD_OVERRIDE=FQ","FILING_STATUS=MR","SCALING_FORMAT=MLN","Sort=A","Dates=H","DateFormat=P","Fill=—","Direction=H","UseDPDF=Y")</f>
        <v>-15767</v>
      </c>
      <c r="G18" s="19">
        <f>_xll.BDH("AMGN US Equity","T12_CFF","FQ1 2020","FQ1 2020","Currency=USD","Period=FQ","BEST_FPERIOD_OVERRIDE=FQ","FILING_STATUS=MR","SCALING_FORMAT=MLN","Sort=A","Dates=H","DateFormat=P","Fill=—","Direction=H","UseDPDF=Y")</f>
        <v>-11034</v>
      </c>
      <c r="H18" s="19">
        <f>_xll.BDH("AMGN US Equity","T12_CFF","FQ2 2020","FQ2 2020","Currency=USD","Period=FQ","BEST_FPERIOD_OVERRIDE=FQ","FILING_STATUS=MR","SCALING_FORMAT=MLN","Sort=A","Dates=H","DateFormat=P","Fill=—","Direction=H","UseDPDF=Y")</f>
        <v>-4267</v>
      </c>
      <c r="I18" s="19">
        <f>_xll.BDH("AMGN US Equity","T12_CFF","FQ3 2020","FQ3 2020","Currency=USD","Period=FQ","BEST_FPERIOD_OVERRIDE=FQ","FILING_STATUS=MR","SCALING_FORMAT=MLN","Sort=A","Dates=H","DateFormat=P","Fill=—","Direction=H","UseDPDF=Y")</f>
        <v>-3206</v>
      </c>
      <c r="J18" s="19">
        <f>_xll.BDH("AMGN US Equity","T12_CFF","FQ4 2020","FQ4 2020","Currency=USD","Period=FQ","BEST_FPERIOD_OVERRIDE=FQ","FILING_STATUS=MR","SCALING_FORMAT=MLN","Sort=A","Dates=H","DateFormat=P","Fill=—","Direction=H","UseDPDF=Y")</f>
        <v>-4867</v>
      </c>
      <c r="K18" s="19">
        <f>_xll.BDH("AMGN US Equity","T12_CFF","FQ1 2021","FQ1 2021","Currency=USD","Period=FQ","BEST_FPERIOD_OVERRIDE=FQ","FILING_STATUS=MR","SCALING_FORMAT=MLN","Sort=A","Dates=H","DateFormat=P","Fill=—","Direction=H","UseDPDF=Y")</f>
        <v>-6552</v>
      </c>
      <c r="L18" s="19">
        <f>_xll.BDH("AMGN US Equity","T12_CFF","FQ2 2021","FQ2 2021","Currency=USD","Period=FQ","BEST_FPERIOD_OVERRIDE=FQ","FILING_STATUS=MR","SCALING_FORMAT=MLN","Sort=A","Dates=H","DateFormat=P","Fill=—","Direction=H","UseDPDF=Y")</f>
        <v>-9949</v>
      </c>
      <c r="M18" s="19">
        <f>_xll.BDH("AMGN US Equity","T12_CFF","FQ3 2021","FQ3 2021","Currency=USD","Period=FQ","BEST_FPERIOD_OVERRIDE=FQ","FILING_STATUS=MR","SCALING_FORMAT=MLN","Sort=A","Dates=H","DateFormat=P","Fill=—","Direction=H","UseDPDF=Y")</f>
        <v>-5303</v>
      </c>
      <c r="N18" s="19">
        <f>_xll.BDH("AMGN US Equity","T12_CFF","FQ4 2021","FQ4 2021","Currency=USD","Period=FQ","BEST_FPERIOD_OVERRIDE=FQ","FILING_STATUS=MR","SCALING_FORMAT=MLN","Sort=A","Dates=H","DateFormat=P","Fill=—","Direction=H","UseDPDF=Y")</f>
        <v>-8271</v>
      </c>
      <c r="O18" s="19">
        <f>_xll.BDH("AMGN US Equity","T12_CFF","FQ1 2022","FQ1 2022","Currency=USD","Period=FQ","BEST_FPERIOD_OVERRIDE=FQ","FILING_STATUS=MR","SCALING_FORMAT=MLN","Sort=A","Dates=H","DateFormat=P","Fill=—","Direction=H","UseDPDF=Y")</f>
        <v>-9846</v>
      </c>
      <c r="P18" s="19">
        <f>_xll.BDH("AMGN US Equity","T12_CFF","FQ2 2022","FQ2 2022","Currency=USD","Period=FQ","BEST_FPERIOD_OVERRIDE=FQ","FILING_STATUS=MR","SCALING_FORMAT=MLN","Sort=A","Dates=H","DateFormat=P","Fill=—","Direction=H","UseDPDF=Y")</f>
        <v>-8286</v>
      </c>
      <c r="Q18" s="19">
        <f>_xll.BDH("AMGN US Equity","T12_CFF","FQ3 2022","FQ3 2022","Currency=USD","Period=FQ","BEST_FPERIOD_OVERRIDE=FQ","FILING_STATUS=MR","SCALING_FORMAT=MLN","Sort=A","Dates=H","DateFormat=P","Fill=—","Direction=H","UseDPDF=Y")</f>
        <v>-9546</v>
      </c>
      <c r="R18" s="19">
        <f>_xll.BDH("AMGN US Equity","T12_CFF","FQ4 2022","FQ4 2022","Currency=USD","Period=FQ","BEST_FPERIOD_OVERRIDE=FQ","FILING_STATUS=MR","SCALING_FORMAT=MLN","Sort=A","Dates=H","DateFormat=P","Fill=—","Direction=H","UseDPDF=Y")</f>
        <v>-4037</v>
      </c>
      <c r="S18" s="19">
        <f>_xll.BDH("AMGN US Equity","T12_CFF","FQ1 2023","FQ1 2023","Currency=USD","Period=FQ","BEST_FPERIOD_OVERRIDE=FQ","FILING_STATUS=MR","SCALING_FORMAT=MLN","Sort=A","Dates=H","DateFormat=P","Fill=—","Direction=H","UseDPDF=Y")</f>
        <v>20986</v>
      </c>
      <c r="T18" s="19">
        <f>_xll.BDH("AMGN US Equity","T12_CFF","FQ2 2023","FQ2 2023","Currency=USD","Period=FQ","BEST_FPERIOD_OVERRIDE=FQ","FILING_STATUS=MR","SCALING_FORMAT=MLN","Sort=A","Dates=H","DateFormat=P","Fill=—","Direction=H","UseDPDF=Y")</f>
        <v>20838</v>
      </c>
      <c r="U18" s="19">
        <f>_xll.BDH("AMGN US Equity","T12_CFF","FQ3 2023","FQ3 2023","Currency=USD","Period=FQ","BEST_FPERIOD_OVERRIDE=FQ","FILING_STATUS=MR","SCALING_FORMAT=MLN","Sort=A","Dates=H","DateFormat=P","Fill=—","Direction=H","UseDPDF=Y")</f>
        <v>17245</v>
      </c>
      <c r="V18" s="19">
        <f>_xll.BDH("AMGN US Equity","T12_CFF","FQ4 2023","FQ4 2023","Currency=USD","Period=FQ","BEST_FPERIOD_OVERRIDE=FQ","FILING_STATUS=MR","SCALING_FORMAT=MLN","Sort=A","Dates=H","DateFormat=P","Fill=—","Direction=H","UseDPDF=Y")</f>
        <v>21048</v>
      </c>
      <c r="W18" s="19">
        <f>_xll.BDH("AMGN US Equity","T12_CFF","FQ1 2024","FQ1 2024","Currency=USD","Period=FQ","BEST_FPERIOD_OVERRIDE=FQ","FILING_STATUS=MR","SCALING_FORMAT=MLN","Sort=A","Dates=H","DateFormat=P","Fill=—","Direction=H","UseDPDF=Y")</f>
        <v>-2169</v>
      </c>
      <c r="X18" s="19">
        <f>_xll.BDH("AMGN US Equity","T12_CFF","FQ2 2024","FQ2 2024","Currency=USD","Period=FQ","BEST_FPERIOD_OVERRIDE=FQ","FILING_STATUS=MR","SCALING_FORMAT=MLN","Sort=A","Dates=H","DateFormat=P","Fill=—","Direction=H","UseDPDF=Y")</f>
        <v>-3608</v>
      </c>
      <c r="Y18" s="19">
        <f>_xll.BDH("AMGN US Equity","T12_CFF","FQ3 2024","FQ3 2024","Currency=USD","Period=FQ","BEST_FPERIOD_OVERRIDE=FQ","FILING_STATUS=MR","SCALING_FORMAT=MLN","Sort=A","Dates=H","DateFormat=P","Fill=—","Direction=H","UseDPDF=Y")</f>
        <v>-5254</v>
      </c>
      <c r="Z18" s="19">
        <f>_xll.BDH("AMGN US Equity","T12_CFF","FQ4 2024","FQ4 2024","Currency=USD","Period=FQ","BEST_FPERIOD_OVERRIDE=FQ","FILING_STATUS=MR","SCALING_FORMAT=MLN","Sort=A","Dates=H","DateFormat=P","Fill=—","Direction=H","UseDPDF=Y")</f>
        <v>-9415</v>
      </c>
      <c r="AA18" s="19"/>
    </row>
    <row r="19" spans="1:27" x14ac:dyDescent="0.25">
      <c r="A19" s="11" t="s">
        <v>60</v>
      </c>
      <c r="B19" s="11" t="s">
        <v>61</v>
      </c>
      <c r="C19" s="25">
        <f>_xll.BDH("AMGN US Equity","HISTORICAL_MARKET_CAP","FQ1 2019","FQ1 2019","Currency=USD","Period=FQ","BEST_FPERIOD_OVERRIDE=FQ","FILING_STATUS=MR","SCALING_FORMAT=MLN","Sort=A","Dates=H","DateFormat=P","Fill=—","Direction=H","UseDPDF=Y")</f>
        <v>116723.712</v>
      </c>
      <c r="D19" s="25">
        <f>_xll.BDH("AMGN US Equity","HISTORICAL_MARKET_CAP","FQ2 2019","FQ2 2019","Currency=USD","Period=FQ","BEST_FPERIOD_OVERRIDE=FQ","FILING_STATUS=MR","SCALING_FORMAT=MLN","Sort=A","Dates=H","DateFormat=P","Fill=—","Direction=H","UseDPDF=Y")</f>
        <v>110954.988</v>
      </c>
      <c r="E19" s="25">
        <f>_xll.BDH("AMGN US Equity","HISTORICAL_MARKET_CAP","FQ3 2019","FQ3 2019","Currency=USD","Period=FQ","BEST_FPERIOD_OVERRIDE=FQ","FILING_STATUS=MR","SCALING_FORMAT=MLN","Sort=A","Dates=H","DateFormat=P","Fill=—","Direction=H","UseDPDF=Y")</f>
        <v>115370.662</v>
      </c>
      <c r="F19" s="25">
        <f>_xll.BDH("AMGN US Equity","HISTORICAL_MARKET_CAP","FQ4 2019","FQ4 2019","Currency=USD","Period=FQ","BEST_FPERIOD_OVERRIDE=FQ","FILING_STATUS=MR","SCALING_FORMAT=MLN","Sort=A","Dates=H","DateFormat=P","Fill=—","Direction=H","UseDPDF=Y")</f>
        <v>142568.79800000001</v>
      </c>
      <c r="G19" s="25">
        <f>_xll.BDH("AMGN US Equity","HISTORICAL_MARKET_CAP","FQ1 2020","FQ1 2020","Currency=USD","Period=FQ","BEST_FPERIOD_OVERRIDE=FQ","FILING_STATUS=MR","SCALING_FORMAT=MLN","Sort=A","Dates=H","DateFormat=P","Fill=—","Direction=H","UseDPDF=Y")</f>
        <v>119205.24</v>
      </c>
      <c r="H19" s="25">
        <f>_xll.BDH("AMGN US Equity","HISTORICAL_MARKET_CAP","FQ2 2020","FQ2 2020","Currency=USD","Period=FQ","BEST_FPERIOD_OVERRIDE=FQ","FILING_STATUS=MR","SCALING_FORMAT=MLN","Sort=A","Dates=H","DateFormat=P","Fill=—","Direction=H","UseDPDF=Y")</f>
        <v>138308.304</v>
      </c>
      <c r="I19" s="25">
        <f>_xll.BDH("AMGN US Equity","HISTORICAL_MARKET_CAP","FQ3 2020","FQ3 2020","Currency=USD","Period=FQ","BEST_FPERIOD_OVERRIDE=FQ","FILING_STATUS=MR","SCALING_FORMAT=MLN","Sort=A","Dates=H","DateFormat=P","Fill=—","Direction=H","UseDPDF=Y")</f>
        <v>148302.35999999999</v>
      </c>
      <c r="J19" s="25">
        <f>_xll.BDH("AMGN US Equity","HISTORICAL_MARKET_CAP","FQ4 2020","FQ4 2020","Currency=USD","Period=FQ","BEST_FPERIOD_OVERRIDE=FQ","FILING_STATUS=MR","SCALING_FORMAT=MLN","Sort=A","Dates=H","DateFormat=P","Fill=—","Direction=H","UseDPDF=Y")</f>
        <v>132962.736</v>
      </c>
      <c r="K19" s="25">
        <f>_xll.BDH("AMGN US Equity","HISTORICAL_MARKET_CAP","FQ1 2021","FQ1 2021","Currency=USD","Period=FQ","BEST_FPERIOD_OVERRIDE=FQ","FILING_STATUS=MR","SCALING_FORMAT=MLN","Sort=A","Dates=H","DateFormat=P","Fill=—","Direction=H","UseDPDF=Y")</f>
        <v>143140.39300000001</v>
      </c>
      <c r="L19" s="25">
        <f>_xll.BDH("AMGN US Equity","HISTORICAL_MARKET_CAP","FQ2 2021","FQ2 2021","Currency=USD","Period=FQ","BEST_FPERIOD_OVERRIDE=FQ","FILING_STATUS=MR","SCALING_FORMAT=MLN","Sort=A","Dates=H","DateFormat=P","Fill=—","Direction=H","UseDPDF=Y")</f>
        <v>138840</v>
      </c>
      <c r="M19" s="25">
        <f>_xll.BDH("AMGN US Equity","HISTORICAL_MARKET_CAP","FQ3 2021","FQ3 2021","Currency=USD","Period=FQ","BEST_FPERIOD_OVERRIDE=FQ","FILING_STATUS=MR","SCALING_FORMAT=MLN","Sort=A","Dates=H","DateFormat=P","Fill=—","Direction=H","UseDPDF=Y")</f>
        <v>120147.25</v>
      </c>
      <c r="N19" s="25">
        <f>_xll.BDH("AMGN US Equity","HISTORICAL_MARKET_CAP","FQ4 2021","FQ4 2021","Currency=USD","Period=FQ","BEST_FPERIOD_OVERRIDE=FQ","FILING_STATUS=MR","SCALING_FORMAT=MLN","Sort=A","Dates=H","DateFormat=P","Fill=—","Direction=H","UseDPDF=Y")</f>
        <v>120133.98</v>
      </c>
      <c r="O19" s="25">
        <f>_xll.BDH("AMGN US Equity","HISTORICAL_MARKET_CAP","FQ1 2022","FQ1 2022","Currency=USD","Period=FQ","BEST_FPERIOD_OVERRIDE=FQ","FILING_STATUS=MR","SCALING_FORMAT=MLN","Sort=A","Dates=H","DateFormat=P","Fill=—","Direction=H","UseDPDF=Y")</f>
        <v>129180.24400000001</v>
      </c>
      <c r="P19" s="25">
        <f>_xll.BDH("AMGN US Equity","HISTORICAL_MARKET_CAP","FQ2 2022","FQ2 2022","Currency=USD","Period=FQ","BEST_FPERIOD_OVERRIDE=FQ","FILING_STATUS=MR","SCALING_FORMAT=MLN","Sort=A","Dates=H","DateFormat=P","Fill=—","Direction=H","UseDPDF=Y")</f>
        <v>130141.17</v>
      </c>
      <c r="Q19" s="25">
        <f>_xll.BDH("AMGN US Equity","HISTORICAL_MARKET_CAP","FQ3 2022","FQ3 2022","Currency=USD","Period=FQ","BEST_FPERIOD_OVERRIDE=FQ","FILING_STATUS=MR","SCALING_FORMAT=MLN","Sort=A","Dates=H","DateFormat=P","Fill=—","Direction=H","UseDPDF=Y")</f>
        <v>120250.9</v>
      </c>
      <c r="R19" s="25">
        <f>_xll.BDH("AMGN US Equity","HISTORICAL_MARKET_CAP","FQ4 2022","FQ4 2022","Currency=USD","Period=FQ","BEST_FPERIOD_OVERRIDE=FQ","FILING_STATUS=MR","SCALING_FORMAT=MLN","Sort=A","Dates=H","DateFormat=P","Fill=—","Direction=H","UseDPDF=Y")</f>
        <v>140249.76</v>
      </c>
      <c r="S19" s="25">
        <f>_xll.BDH("AMGN US Equity","HISTORICAL_MARKET_CAP","FQ1 2023","FQ1 2023","Currency=USD","Period=FQ","BEST_FPERIOD_OVERRIDE=FQ","FILING_STATUS=MR","SCALING_FORMAT=MLN","Sort=A","Dates=H","DateFormat=P","Fill=—","Direction=H","UseDPDF=Y")</f>
        <v>129167.02499999999</v>
      </c>
      <c r="T19" s="25">
        <f>_xll.BDH("AMGN US Equity","HISTORICAL_MARKET_CAP","FQ2 2023","FQ2 2023","Currency=USD","Period=FQ","BEST_FPERIOD_OVERRIDE=FQ","FILING_STATUS=MR","SCALING_FORMAT=MLN","Sort=A","Dates=H","DateFormat=P","Fill=—","Direction=H","UseDPDF=Y")</f>
        <v>118758.49800000001</v>
      </c>
      <c r="U19" s="25">
        <f>_xll.BDH("AMGN US Equity","HISTORICAL_MARKET_CAP","FQ3 2023","FQ3 2023","Currency=USD","Period=FQ","BEST_FPERIOD_OVERRIDE=FQ","FILING_STATUS=MR","SCALING_FORMAT=MLN","Sort=A","Dates=H","DateFormat=P","Fill=—","Direction=H","UseDPDF=Y")</f>
        <v>143813.476</v>
      </c>
      <c r="V19" s="25">
        <f>_xll.BDH("AMGN US Equity","HISTORICAL_MARKET_CAP","FQ4 2023","FQ4 2023","Currency=USD","Period=FQ","BEST_FPERIOD_OVERRIDE=FQ","FILING_STATUS=MR","SCALING_FORMAT=MLN","Sort=A","Dates=H","DateFormat=P","Fill=—","Direction=H","UseDPDF=Y")</f>
        <v>154205.908</v>
      </c>
      <c r="W19" s="25">
        <f>_xll.BDH("AMGN US Equity","HISTORICAL_MARKET_CAP","FQ1 2024","FQ1 2024","Currency=USD","Period=FQ","BEST_FPERIOD_OVERRIDE=FQ","FILING_STATUS=MR","SCALING_FORMAT=MLN","Sort=A","Dates=H","DateFormat=P","Fill=—","Direction=H","UseDPDF=Y")</f>
        <v>152509.24799999999</v>
      </c>
      <c r="X19" s="25">
        <f>_xll.BDH("AMGN US Equity","HISTORICAL_MARKET_CAP","FQ2 2024","FQ2 2024","Currency=USD","Period=FQ","BEST_FPERIOD_OVERRIDE=FQ","FILING_STATUS=MR","SCALING_FORMAT=MLN","Sort=A","Dates=H","DateFormat=P","Fill=—","Direction=H","UseDPDF=Y")</f>
        <v>167848.14</v>
      </c>
      <c r="Y19" s="25">
        <f>_xll.BDH("AMGN US Equity","HISTORICAL_MARKET_CAP","FQ3 2024","FQ3 2024","Currency=USD","Period=FQ","BEST_FPERIOD_OVERRIDE=FQ","FILING_STATUS=MR","SCALING_FORMAT=MLN","Sort=A","Dates=H","DateFormat=P","Fill=—","Direction=H","UseDPDF=Y")</f>
        <v>173187.875</v>
      </c>
      <c r="Z19" s="25">
        <f>_xll.BDH("AMGN US Equity","HISTORICAL_MARKET_CAP","FQ4 2024","FQ4 2024","Currency=USD","Period=FQ","BEST_FPERIOD_OVERRIDE=FQ","FILING_STATUS=MR","SCALING_FORMAT=MLN","Sort=A","Dates=H","DateFormat=P","Fill=—","Direction=H","UseDPDF=Y")</f>
        <v>139937.61600000001</v>
      </c>
      <c r="AA19" s="25"/>
    </row>
    <row r="20" spans="1:27" x14ac:dyDescent="0.25">
      <c r="A20" s="6" t="s">
        <v>1680</v>
      </c>
      <c r="B20" s="6" t="s">
        <v>1681</v>
      </c>
      <c r="C20" s="20">
        <f>_xll.BDH("AMGN US Equity","SHAREHOLDER_YIELD_CFF","FQ1 2019","FQ1 2019","Currency=USD","Period=FQ","BEST_FPERIOD_OVERRIDE=FQ","FILING_STATUS=MR","Sort=A","Dates=H","DateFormat=P","Fill=—","Direction=H","UseDPDF=Y")</f>
        <v>13.523400000000001</v>
      </c>
      <c r="D20" s="20">
        <f>_xll.BDH("AMGN US Equity","SHAREHOLDER_YIELD_CFF","FQ2 2019","FQ2 2019","Currency=USD","Period=FQ","BEST_FPERIOD_OVERRIDE=FQ","FILING_STATUS=MR","Sort=A","Dates=H","DateFormat=P","Fill=—","Direction=H","UseDPDF=Y")</f>
        <v>15.436</v>
      </c>
      <c r="E20" s="20">
        <f>_xll.BDH("AMGN US Equity","SHAREHOLDER_YIELD_CFF","FQ3 2019","FQ3 2019","Currency=USD","Period=FQ","BEST_FPERIOD_OVERRIDE=FQ","FILING_STATUS=MR","Sort=A","Dates=H","DateFormat=P","Fill=—","Direction=H","UseDPDF=Y")</f>
        <v>15.087</v>
      </c>
      <c r="F20" s="20">
        <f>_xll.BDH("AMGN US Equity","SHAREHOLDER_YIELD_CFF","FQ4 2019","FQ4 2019","Currency=USD","Period=FQ","BEST_FPERIOD_OVERRIDE=FQ","FILING_STATUS=MR","Sort=A","Dates=H","DateFormat=P","Fill=—","Direction=H","UseDPDF=Y")</f>
        <v>11.059200000000001</v>
      </c>
      <c r="G20" s="20">
        <f>_xll.BDH("AMGN US Equity","SHAREHOLDER_YIELD_CFF","FQ1 2020","FQ1 2020","Currency=USD","Period=FQ","BEST_FPERIOD_OVERRIDE=FQ","FILING_STATUS=MR","Sort=A","Dates=H","DateFormat=P","Fill=—","Direction=H","UseDPDF=Y")</f>
        <v>9.2562999999999995</v>
      </c>
      <c r="H20" s="20">
        <f>_xll.BDH("AMGN US Equity","SHAREHOLDER_YIELD_CFF","FQ2 2020","FQ2 2020","Currency=USD","Period=FQ","BEST_FPERIOD_OVERRIDE=FQ","FILING_STATUS=MR","Sort=A","Dates=H","DateFormat=P","Fill=—","Direction=H","UseDPDF=Y")</f>
        <v>3.0851000000000002</v>
      </c>
      <c r="I20" s="20">
        <f>_xll.BDH("AMGN US Equity","SHAREHOLDER_YIELD_CFF","FQ3 2020","FQ3 2020","Currency=USD","Period=FQ","BEST_FPERIOD_OVERRIDE=FQ","FILING_STATUS=MR","Sort=A","Dates=H","DateFormat=P","Fill=—","Direction=H","UseDPDF=Y")</f>
        <v>2.1617999999999999</v>
      </c>
      <c r="J20" s="20">
        <f>_xll.BDH("AMGN US Equity","SHAREHOLDER_YIELD_CFF","FQ4 2020","FQ4 2020","Currency=USD","Period=FQ","BEST_FPERIOD_OVERRIDE=FQ","FILING_STATUS=MR","Sort=A","Dates=H","DateFormat=P","Fill=—","Direction=H","UseDPDF=Y")</f>
        <v>3.6604000000000001</v>
      </c>
      <c r="K20" s="20">
        <f>_xll.BDH("AMGN US Equity","SHAREHOLDER_YIELD_CFF","FQ1 2021","FQ1 2021","Currency=USD","Period=FQ","BEST_FPERIOD_OVERRIDE=FQ","FILING_STATUS=MR","Sort=A","Dates=H","DateFormat=P","Fill=—","Direction=H","UseDPDF=Y")</f>
        <v>4.5773000000000001</v>
      </c>
      <c r="L20" s="20">
        <f>_xll.BDH("AMGN US Equity","SHAREHOLDER_YIELD_CFF","FQ2 2021","FQ2 2021","Currency=USD","Period=FQ","BEST_FPERIOD_OVERRIDE=FQ","FILING_STATUS=MR","Sort=A","Dates=H","DateFormat=P","Fill=—","Direction=H","UseDPDF=Y")</f>
        <v>7.1657999999999999</v>
      </c>
      <c r="M20" s="20">
        <f>_xll.BDH("AMGN US Equity","SHAREHOLDER_YIELD_CFF","FQ3 2021","FQ3 2021","Currency=USD","Period=FQ","BEST_FPERIOD_OVERRIDE=FQ","FILING_STATUS=MR","Sort=A","Dates=H","DateFormat=P","Fill=—","Direction=H","UseDPDF=Y")</f>
        <v>4.4138000000000002</v>
      </c>
      <c r="N20" s="20">
        <f>_xll.BDH("AMGN US Equity","SHAREHOLDER_YIELD_CFF","FQ4 2021","FQ4 2021","Currency=USD","Period=FQ","BEST_FPERIOD_OVERRIDE=FQ","FILING_STATUS=MR","Sort=A","Dates=H","DateFormat=P","Fill=—","Direction=H","UseDPDF=Y")</f>
        <v>6.8848000000000003</v>
      </c>
      <c r="O20" s="20">
        <f>_xll.BDH("AMGN US Equity","SHAREHOLDER_YIELD_CFF","FQ1 2022","FQ1 2022","Currency=USD","Period=FQ","BEST_FPERIOD_OVERRIDE=FQ","FILING_STATUS=MR","Sort=A","Dates=H","DateFormat=P","Fill=—","Direction=H","UseDPDF=Y")</f>
        <v>7.6219000000000001</v>
      </c>
      <c r="P20" s="20">
        <f>_xll.BDH("AMGN US Equity","SHAREHOLDER_YIELD_CFF","FQ2 2022","FQ2 2022","Currency=USD","Period=FQ","BEST_FPERIOD_OVERRIDE=FQ","FILING_STATUS=MR","Sort=A","Dates=H","DateFormat=P","Fill=—","Direction=H","UseDPDF=Y")</f>
        <v>6.3669000000000002</v>
      </c>
      <c r="Q20" s="20">
        <f>_xll.BDH("AMGN US Equity","SHAREHOLDER_YIELD_CFF","FQ3 2022","FQ3 2022","Currency=USD","Period=FQ","BEST_FPERIOD_OVERRIDE=FQ","FILING_STATUS=MR","Sort=A","Dates=H","DateFormat=P","Fill=—","Direction=H","UseDPDF=Y")</f>
        <v>7.9383999999999997</v>
      </c>
      <c r="R20" s="20">
        <f>_xll.BDH("AMGN US Equity","SHAREHOLDER_YIELD_CFF","FQ4 2022","FQ4 2022","Currency=USD","Period=FQ","BEST_FPERIOD_OVERRIDE=FQ","FILING_STATUS=MR","Sort=A","Dates=H","DateFormat=P","Fill=—","Direction=H","UseDPDF=Y")</f>
        <v>2.8784000000000001</v>
      </c>
      <c r="S20" s="20">
        <f>_xll.BDH("AMGN US Equity","SHAREHOLDER_YIELD_CFF","FQ1 2023","FQ1 2023","Currency=USD","Period=FQ","BEST_FPERIOD_OVERRIDE=FQ","FILING_STATUS=MR","Sort=A","Dates=H","DateFormat=P","Fill=—","Direction=H","UseDPDF=Y")</f>
        <v>-16.247199999999999</v>
      </c>
      <c r="T20" s="20">
        <f>_xll.BDH("AMGN US Equity","SHAREHOLDER_YIELD_CFF","FQ2 2023","FQ2 2023","Currency=USD","Period=FQ","BEST_FPERIOD_OVERRIDE=FQ","FILING_STATUS=MR","Sort=A","Dates=H","DateFormat=P","Fill=—","Direction=H","UseDPDF=Y")</f>
        <v>-17.546500000000002</v>
      </c>
      <c r="U20" s="20">
        <f>_xll.BDH("AMGN US Equity","SHAREHOLDER_YIELD_CFF","FQ3 2023","FQ3 2023","Currency=USD","Period=FQ","BEST_FPERIOD_OVERRIDE=FQ","FILING_STATUS=MR","Sort=A","Dates=H","DateFormat=P","Fill=—","Direction=H","UseDPDF=Y")</f>
        <v>-11.991199999999999</v>
      </c>
      <c r="V20" s="20">
        <f>_xll.BDH("AMGN US Equity","SHAREHOLDER_YIELD_CFF","FQ4 2023","FQ4 2023","Currency=USD","Period=FQ","BEST_FPERIOD_OVERRIDE=FQ","FILING_STATUS=MR","Sort=A","Dates=H","DateFormat=P","Fill=—","Direction=H","UseDPDF=Y")</f>
        <v>-13.6493</v>
      </c>
      <c r="W20" s="20">
        <f>_xll.BDH("AMGN US Equity","SHAREHOLDER_YIELD_CFF","FQ1 2024","FQ1 2024","Currency=USD","Period=FQ","BEST_FPERIOD_OVERRIDE=FQ","FILING_STATUS=MR","Sort=A","Dates=H","DateFormat=P","Fill=—","Direction=H","UseDPDF=Y")</f>
        <v>1.4221999999999999</v>
      </c>
      <c r="X20" s="20">
        <f>_xll.BDH("AMGN US Equity","SHAREHOLDER_YIELD_CFF","FQ2 2024","FQ2 2024","Currency=USD","Period=FQ","BEST_FPERIOD_OVERRIDE=FQ","FILING_STATUS=MR","Sort=A","Dates=H","DateFormat=P","Fill=—","Direction=H","UseDPDF=Y")</f>
        <v>2.1496</v>
      </c>
      <c r="Y20" s="20">
        <f>_xll.BDH("AMGN US Equity","SHAREHOLDER_YIELD_CFF","FQ3 2024","FQ3 2024","Currency=USD","Period=FQ","BEST_FPERIOD_OVERRIDE=FQ","FILING_STATUS=MR","Sort=A","Dates=H","DateFormat=P","Fill=—","Direction=H","UseDPDF=Y")</f>
        <v>3.0337000000000001</v>
      </c>
      <c r="Z20" s="20">
        <f>_xll.BDH("AMGN US Equity","SHAREHOLDER_YIELD_CFF","FQ4 2024","FQ4 2024","Currency=USD","Period=FQ","BEST_FPERIOD_OVERRIDE=FQ","FILING_STATUS=MR","Sort=A","Dates=H","DateFormat=P","Fill=—","Direction=H","UseDPDF=Y")</f>
        <v>6.7279999999999998</v>
      </c>
      <c r="AA20" s="20"/>
    </row>
    <row r="21" spans="1:27" x14ac:dyDescent="0.25">
      <c r="A21" s="6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x14ac:dyDescent="0.25">
      <c r="A22" s="10" t="s">
        <v>1682</v>
      </c>
      <c r="B22" s="10" t="s">
        <v>1670</v>
      </c>
      <c r="C22" s="13">
        <f>_xll.BDH("AMGN US Equity","T12M_DVDS_PAID","FQ1 2019","FQ1 2019","Currency=USD","Period=FQ","BEST_FPERIOD_OVERRIDE=FQ","FILING_STATUS=MR","SCALING_FORMAT=MLN","Sort=A","Dates=H","DateFormat=P","Fill=—","Direction=H","UseDPDF=Y")</f>
        <v>-3457</v>
      </c>
      <c r="D22" s="13">
        <f>_xll.BDH("AMGN US Equity","T12M_DVDS_PAID","FQ2 2019","FQ2 2019","Currency=USD","Period=FQ","BEST_FPERIOD_OVERRIDE=FQ","FILING_STATUS=MR","SCALING_FORMAT=MLN","Sort=A","Dates=H","DateFormat=P","Fill=—","Direction=H","UseDPDF=Y")</f>
        <v>-3472</v>
      </c>
      <c r="E22" s="13">
        <f>_xll.BDH("AMGN US Equity","T12M_DVDS_PAID","FQ3 2019","FQ3 2019","Currency=USD","Period=FQ","BEST_FPERIOD_OVERRIDE=FQ","FILING_STATUS=MR","SCALING_FORMAT=MLN","Sort=A","Dates=H","DateFormat=P","Fill=—","Direction=H","UseDPDF=Y")</f>
        <v>-3489</v>
      </c>
      <c r="F22" s="13">
        <f>_xll.BDH("AMGN US Equity","T12M_DVDS_PAID","FQ4 2019","FQ4 2019","Currency=USD","Period=FQ","BEST_FPERIOD_OVERRIDE=FQ","FILING_STATUS=MR","SCALING_FORMAT=MLN","Sort=A","Dates=H","DateFormat=P","Fill=—","Direction=H","UseDPDF=Y")</f>
        <v>-3509</v>
      </c>
      <c r="G22" s="13">
        <f>_xll.BDH("AMGN US Equity","T12M_DVDS_PAID","FQ1 2020","FQ1 2020","Currency=USD","Period=FQ","BEST_FPERIOD_OVERRIDE=FQ","FILING_STATUS=MR","SCALING_FORMAT=MLN","Sort=A","Dates=H","DateFormat=P","Fill=—","Direction=H","UseDPDF=Y")</f>
        <v>-3553</v>
      </c>
      <c r="H22" s="13">
        <f>_xll.BDH("AMGN US Equity","T12M_DVDS_PAID","FQ2 2020","FQ2 2020","Currency=USD","Period=FQ","BEST_FPERIOD_OVERRIDE=FQ","FILING_STATUS=MR","SCALING_FORMAT=MLN","Sort=A","Dates=H","DateFormat=P","Fill=—","Direction=H","UseDPDF=Y")</f>
        <v>-3615</v>
      </c>
      <c r="I22" s="13">
        <f>_xll.BDH("AMGN US Equity","T12M_DVDS_PAID","FQ3 2020","FQ3 2020","Currency=USD","Period=FQ","BEST_FPERIOD_OVERRIDE=FQ","FILING_STATUS=MR","SCALING_FORMAT=MLN","Sort=A","Dates=H","DateFormat=P","Fill=—","Direction=H","UseDPDF=Y")</f>
        <v>-3683</v>
      </c>
      <c r="J22" s="13">
        <f>_xll.BDH("AMGN US Equity","T12M_DVDS_PAID","FQ4 2020","FQ4 2020","Currency=USD","Period=FQ","BEST_FPERIOD_OVERRIDE=FQ","FILING_STATUS=MR","SCALING_FORMAT=MLN","Sort=A","Dates=H","DateFormat=P","Fill=—","Direction=H","UseDPDF=Y")</f>
        <v>-3755</v>
      </c>
      <c r="K22" s="13">
        <f>_xll.BDH("AMGN US Equity","T12M_DVDS_PAID","FQ1 2021","FQ1 2021","Currency=USD","Period=FQ","BEST_FPERIOD_OVERRIDE=FQ","FILING_STATUS=MR","SCALING_FORMAT=MLN","Sort=A","Dates=H","DateFormat=P","Fill=—","Direction=H","UseDPDF=Y")</f>
        <v>-3826</v>
      </c>
      <c r="L22" s="13">
        <f>_xll.BDH("AMGN US Equity","T12M_DVDS_PAID","FQ2 2021","FQ2 2021","Currency=USD","Period=FQ","BEST_FPERIOD_OVERRIDE=FQ","FILING_STATUS=MR","SCALING_FORMAT=MLN","Sort=A","Dates=H","DateFormat=P","Fill=—","Direction=H","UseDPDF=Y")</f>
        <v>-3892</v>
      </c>
      <c r="M22" s="13">
        <f>_xll.BDH("AMGN US Equity","T12M_DVDS_PAID","FQ3 2021","FQ3 2021","Currency=USD","Period=FQ","BEST_FPERIOD_OVERRIDE=FQ","FILING_STATUS=MR","SCALING_FORMAT=MLN","Sort=A","Dates=H","DateFormat=P","Fill=—","Direction=H","UseDPDF=Y")</f>
        <v>-3955</v>
      </c>
      <c r="N22" s="13">
        <f>_xll.BDH("AMGN US Equity","T12M_DVDS_PAID","FQ4 2021","FQ4 2021","Currency=USD","Period=FQ","BEST_FPERIOD_OVERRIDE=FQ","FILING_STATUS=MR","SCALING_FORMAT=MLN","Sort=A","Dates=H","DateFormat=P","Fill=—","Direction=H","UseDPDF=Y")</f>
        <v>-4013</v>
      </c>
      <c r="O22" s="13">
        <f>_xll.BDH("AMGN US Equity","T12M_DVDS_PAID","FQ1 2022","FQ1 2022","Currency=USD","Period=FQ","BEST_FPERIOD_OVERRIDE=FQ","FILING_STATUS=MR","SCALING_FORMAT=MLN","Sort=A","Dates=H","DateFormat=P","Fill=—","Direction=H","UseDPDF=Y")</f>
        <v>-4077</v>
      </c>
      <c r="P22" s="13">
        <f>_xll.BDH("AMGN US Equity","T12M_DVDS_PAID","FQ2 2022","FQ2 2022","Currency=USD","Period=FQ","BEST_FPERIOD_OVERRIDE=FQ","FILING_STATUS=MR","SCALING_FORMAT=MLN","Sort=A","Dates=H","DateFormat=P","Fill=—","Direction=H","UseDPDF=Y")</f>
        <v>-4107</v>
      </c>
      <c r="Q22" s="13">
        <f>_xll.BDH("AMGN US Equity","T12M_DVDS_PAID","FQ3 2022","FQ3 2022","Currency=USD","Period=FQ","BEST_FPERIOD_OVERRIDE=FQ","FILING_STATUS=MR","SCALING_FORMAT=MLN","Sort=A","Dates=H","DateFormat=P","Fill=—","Direction=H","UseDPDF=Y")</f>
        <v>-4146</v>
      </c>
      <c r="R22" s="13">
        <f>_xll.BDH("AMGN US Equity","T12M_DVDS_PAID","FQ4 2022","FQ4 2022","Currency=USD","Period=FQ","BEST_FPERIOD_OVERRIDE=FQ","FILING_STATUS=MR","SCALING_FORMAT=MLN","Sort=A","Dates=H","DateFormat=P","Fill=—","Direction=H","UseDPDF=Y")</f>
        <v>-4196</v>
      </c>
      <c r="S22" s="13">
        <f>_xll.BDH("AMGN US Equity","T12M_DVDS_PAID","FQ1 2023","FQ1 2023","Currency=USD","Period=FQ","BEST_FPERIOD_OVERRIDE=FQ","FILING_STATUS=MR","SCALING_FORMAT=MLN","Sort=A","Dates=H","DateFormat=P","Fill=—","Direction=H","UseDPDF=Y")</f>
        <v>-4253</v>
      </c>
      <c r="T22" s="13">
        <f>_xll.BDH("AMGN US Equity","T12M_DVDS_PAID","FQ2 2023","FQ2 2023","Currency=USD","Period=FQ","BEST_FPERIOD_OVERRIDE=FQ","FILING_STATUS=MR","SCALING_FORMAT=MLN","Sort=A","Dates=H","DateFormat=P","Fill=—","Direction=H","UseDPDF=Y")</f>
        <v>-4354</v>
      </c>
      <c r="U22" s="13">
        <f>_xll.BDH("AMGN US Equity","T12M_DVDS_PAID","FQ3 2023","FQ3 2023","Currency=USD","Period=FQ","BEST_FPERIOD_OVERRIDE=FQ","FILING_STATUS=MR","SCALING_FORMAT=MLN","Sort=A","Dates=H","DateFormat=P","Fill=—","Direction=H","UseDPDF=Y")</f>
        <v>-4456</v>
      </c>
      <c r="V22" s="13">
        <f>_xll.BDH("AMGN US Equity","T12M_DVDS_PAID","FQ4 2023","FQ4 2023","Currency=USD","Period=FQ","BEST_FPERIOD_OVERRIDE=FQ","FILING_STATUS=MR","SCALING_FORMAT=MLN","Sort=A","Dates=H","DateFormat=P","Fill=—","Direction=H","UseDPDF=Y")</f>
        <v>-4556</v>
      </c>
      <c r="W22" s="13">
        <f>_xll.BDH("AMGN US Equity","T12M_DVDS_PAID","FQ1 2024","FQ1 2024","Currency=USD","Period=FQ","BEST_FPERIOD_OVERRIDE=FQ","FILING_STATUS=MR","SCALING_FORMAT=MLN","Sort=A","Dates=H","DateFormat=P","Fill=—","Direction=H","UseDPDF=Y")</f>
        <v>-4627</v>
      </c>
      <c r="X22" s="13">
        <f>_xll.BDH("AMGN US Equity","T12M_DVDS_PAID","FQ2 2024","FQ2 2024","Currency=USD","Period=FQ","BEST_FPERIOD_OVERRIDE=FQ","FILING_STATUS=MR","SCALING_FORMAT=MLN","Sort=A","Dates=H","DateFormat=P","Fill=—","Direction=H","UseDPDF=Y")</f>
        <v>-4697</v>
      </c>
      <c r="Y22" s="13">
        <f>_xll.BDH("AMGN US Equity","T12M_DVDS_PAID","FQ3 2024","FQ3 2024","Currency=USD","Period=FQ","BEST_FPERIOD_OVERRIDE=FQ","FILING_STATUS=MR","SCALING_FORMAT=MLN","Sort=A","Dates=H","DateFormat=P","Fill=—","Direction=H","UseDPDF=Y")</f>
        <v>-4767</v>
      </c>
      <c r="Z22" s="13">
        <f>_xll.BDH("AMGN US Equity","T12M_DVDS_PAID","FQ4 2024","FQ4 2024","Currency=USD","Period=FQ","BEST_FPERIOD_OVERRIDE=FQ","FILING_STATUS=MR","SCALING_FORMAT=MLN","Sort=A","Dates=H","DateFormat=P","Fill=—","Direction=H","UseDPDF=Y")</f>
        <v>-4832</v>
      </c>
      <c r="AA22" s="13"/>
    </row>
    <row r="23" spans="1:27" x14ac:dyDescent="0.25">
      <c r="A23" s="10" t="s">
        <v>1683</v>
      </c>
      <c r="B23" s="10" t="s">
        <v>1672</v>
      </c>
      <c r="C23" s="13">
        <f>_xll.BDH("AMGN US Equity","T12M_NET_CAPITAL_STOCK","FQ1 2019","FQ1 2019","Currency=USD","Period=FQ","BEST_FPERIOD_OVERRIDE=FQ","FILING_STATUS=MR","SCALING_FORMAT=MLN","Sort=A","Dates=H","DateFormat=P","Fill=—","Direction=H","UseDPDF=Y")</f>
        <v>-10255</v>
      </c>
      <c r="D23" s="13">
        <f>_xll.BDH("AMGN US Equity","T12M_NET_CAPITAL_STOCK","FQ2 2019","FQ2 2019","Currency=USD","Period=FQ","BEST_FPERIOD_OVERRIDE=FQ","FILING_STATUS=MR","SCALING_FORMAT=MLN","Sort=A","Dates=H","DateFormat=P","Fill=—","Direction=H","UseDPDF=Y")</f>
        <v>-9426</v>
      </c>
      <c r="E23" s="13">
        <f>_xll.BDH("AMGN US Equity","T12M_NET_CAPITAL_STOCK","FQ3 2019","FQ3 2019","Currency=USD","Period=FQ","BEST_FPERIOD_OVERRIDE=FQ","FILING_STATUS=MR","SCALING_FORMAT=MLN","Sort=A","Dates=H","DateFormat=P","Fill=—","Direction=H","UseDPDF=Y")</f>
        <v>-8858</v>
      </c>
      <c r="F23" s="13">
        <f>_xll.BDH("AMGN US Equity","T12M_NET_CAPITAL_STOCK","FQ4 2019","FQ4 2019","Currency=USD","Period=FQ","BEST_FPERIOD_OVERRIDE=FQ","FILING_STATUS=MR","SCALING_FORMAT=MLN","Sort=A","Dates=H","DateFormat=P","Fill=—","Direction=H","UseDPDF=Y")</f>
        <v>-7839</v>
      </c>
      <c r="G23" s="13">
        <f>_xll.BDH("AMGN US Equity","T12M_NET_CAPITAL_STOCK","FQ1 2020","FQ1 2020","Currency=USD","Period=FQ","BEST_FPERIOD_OVERRIDE=FQ","FILING_STATUS=MR","SCALING_FORMAT=MLN","Sort=A","Dates=H","DateFormat=P","Fill=—","Direction=H","UseDPDF=Y")</f>
        <v>-5768</v>
      </c>
      <c r="H23" s="13">
        <f>_xll.BDH("AMGN US Equity","T12M_NET_CAPITAL_STOCK","FQ2 2020","FQ2 2020","Currency=USD","Period=FQ","BEST_FPERIOD_OVERRIDE=FQ","FILING_STATUS=MR","SCALING_FORMAT=MLN","Sort=A","Dates=H","DateFormat=P","Fill=—","Direction=H","UseDPDF=Y")</f>
        <v>-3908</v>
      </c>
      <c r="I23" s="13">
        <f>_xll.BDH("AMGN US Equity","T12M_NET_CAPITAL_STOCK","FQ3 2020","FQ3 2020","Currency=USD","Period=FQ","BEST_FPERIOD_OVERRIDE=FQ","FILING_STATUS=MR","SCALING_FORMAT=MLN","Sort=A","Dates=H","DateFormat=P","Fill=—","Direction=H","UseDPDF=Y")</f>
        <v>-3512</v>
      </c>
      <c r="J23" s="13">
        <f>_xll.BDH("AMGN US Equity","T12M_NET_CAPITAL_STOCK","FQ4 2020","FQ4 2020","Currency=USD","Period=FQ","BEST_FPERIOD_OVERRIDE=FQ","FILING_STATUS=MR","SCALING_FORMAT=MLN","Sort=A","Dates=H","DateFormat=P","Fill=—","Direction=H","UseDPDF=Y")</f>
        <v>-3486</v>
      </c>
      <c r="K23" s="13">
        <f>_xll.BDH("AMGN US Equity","T12M_NET_CAPITAL_STOCK","FQ1 2021","FQ1 2021","Currency=USD","Period=FQ","BEST_FPERIOD_OVERRIDE=FQ","FILING_STATUS=MR","SCALING_FORMAT=MLN","Sort=A","Dates=H","DateFormat=P","Fill=—","Direction=H","UseDPDF=Y")</f>
        <v>-3396</v>
      </c>
      <c r="L23" s="13">
        <f>_xll.BDH("AMGN US Equity","T12M_NET_CAPITAL_STOCK","FQ2 2021","FQ2 2021","Currency=USD","Period=FQ","BEST_FPERIOD_OVERRIDE=FQ","FILING_STATUS=MR","SCALING_FORMAT=MLN","Sort=A","Dates=H","DateFormat=P","Fill=—","Direction=H","UseDPDF=Y")</f>
        <v>-4422</v>
      </c>
      <c r="M23" s="13">
        <f>_xll.BDH("AMGN US Equity","T12M_NET_CAPITAL_STOCK","FQ3 2021","FQ3 2021","Currency=USD","Period=FQ","BEST_FPERIOD_OVERRIDE=FQ","FILING_STATUS=MR","SCALING_FORMAT=MLN","Sort=A","Dates=H","DateFormat=P","Fill=—","Direction=H","UseDPDF=Y")</f>
        <v>-4737</v>
      </c>
      <c r="N23" s="13">
        <f>_xll.BDH("AMGN US Equity","T12M_NET_CAPITAL_STOCK","FQ4 2021","FQ4 2021","Currency=USD","Period=FQ","BEST_FPERIOD_OVERRIDE=FQ","FILING_STATUS=MR","SCALING_FORMAT=MLN","Sort=A","Dates=H","DateFormat=P","Fill=—","Direction=H","UseDPDF=Y")</f>
        <v>-4975</v>
      </c>
      <c r="O23" s="13">
        <f>_xll.BDH("AMGN US Equity","T12M_NET_CAPITAL_STOCK","FQ1 2022","FQ1 2022","Currency=USD","Period=FQ","BEST_FPERIOD_OVERRIDE=FQ","FILING_STATUS=MR","SCALING_FORMAT=MLN","Sort=A","Dates=H","DateFormat=P","Fill=—","Direction=H","UseDPDF=Y")</f>
        <v>-10464</v>
      </c>
      <c r="P23" s="13">
        <f>_xll.BDH("AMGN US Equity","T12M_NET_CAPITAL_STOCK","FQ2 2022","FQ2 2022","Currency=USD","Period=FQ","BEST_FPERIOD_OVERRIDE=FQ","FILING_STATUS=MR","SCALING_FORMAT=MLN","Sort=A","Dates=H","DateFormat=P","Fill=—","Direction=H","UseDPDF=Y")</f>
        <v>-8883</v>
      </c>
      <c r="Q23" s="13">
        <f>_xll.BDH("AMGN US Equity","T12M_NET_CAPITAL_STOCK","FQ3 2022","FQ3 2022","Currency=USD","Period=FQ","BEST_FPERIOD_OVERRIDE=FQ","FILING_STATUS=MR","SCALING_FORMAT=MLN","Sort=A","Dates=H","DateFormat=P","Fill=—","Direction=H","UseDPDF=Y")</f>
        <v>-7803</v>
      </c>
      <c r="R23" s="13">
        <f>_xll.BDH("AMGN US Equity","T12M_NET_CAPITAL_STOCK","FQ4 2022","FQ4 2022","Currency=USD","Period=FQ","BEST_FPERIOD_OVERRIDE=FQ","FILING_STATUS=MR","SCALING_FORMAT=MLN","Sort=A","Dates=H","DateFormat=P","Fill=—","Direction=H","UseDPDF=Y")</f>
        <v>-6360</v>
      </c>
      <c r="S23" s="13">
        <f>_xll.BDH("AMGN US Equity","T12M_NET_CAPITAL_STOCK","FQ1 2023","FQ1 2023","Currency=USD","Period=FQ","BEST_FPERIOD_OVERRIDE=FQ","FILING_STATUS=MR","SCALING_FORMAT=MLN","Sort=A","Dates=H","DateFormat=P","Fill=—","Direction=H","UseDPDF=Y")</f>
        <v>0</v>
      </c>
      <c r="T23" s="13">
        <f>_xll.BDH("AMGN US Equity","T12M_NET_CAPITAL_STOCK","FQ2 2023","FQ2 2023","Currency=USD","Period=FQ","BEST_FPERIOD_OVERRIDE=FQ","FILING_STATUS=MR","SCALING_FORMAT=MLN","Sort=A","Dates=H","DateFormat=P","Fill=—","Direction=H","UseDPDF=Y")</f>
        <v>0</v>
      </c>
      <c r="U23" s="13">
        <f>_xll.BDH("AMGN US Equity","T12M_NET_CAPITAL_STOCK","FQ3 2023","FQ3 2023","Currency=USD","Period=FQ","BEST_FPERIOD_OVERRIDE=FQ","FILING_STATUS=MR","SCALING_FORMAT=MLN","Sort=A","Dates=H","DateFormat=P","Fill=—","Direction=H","UseDPDF=Y")</f>
        <v>0</v>
      </c>
      <c r="V23" s="13">
        <f>_xll.BDH("AMGN US Equity","T12M_NET_CAPITAL_STOCK","FQ4 2023","FQ4 2023","Currency=USD","Period=FQ","BEST_FPERIOD_OVERRIDE=FQ","FILING_STATUS=MR","SCALING_FORMAT=MLN","Sort=A","Dates=H","DateFormat=P","Fill=—","Direction=H","UseDPDF=Y")</f>
        <v>0</v>
      </c>
      <c r="W23" s="13">
        <f>_xll.BDH("AMGN US Equity","T12M_NET_CAPITAL_STOCK","FQ1 2024","FQ1 2024","Currency=USD","Period=FQ","BEST_FPERIOD_OVERRIDE=FQ","FILING_STATUS=MR","SCALING_FORMAT=MLN","Sort=A","Dates=H","DateFormat=P","Fill=—","Direction=H","UseDPDF=Y")</f>
        <v>0</v>
      </c>
      <c r="X23" s="13">
        <f>_xll.BDH("AMGN US Equity","T12M_NET_CAPITAL_STOCK","FQ2 2024","FQ2 2024","Currency=USD","Period=FQ","BEST_FPERIOD_OVERRIDE=FQ","FILING_STATUS=MR","SCALING_FORMAT=MLN","Sort=A","Dates=H","DateFormat=P","Fill=—","Direction=H","UseDPDF=Y")</f>
        <v>0</v>
      </c>
      <c r="Y23" s="13">
        <f>_xll.BDH("AMGN US Equity","T12M_NET_CAPITAL_STOCK","FQ3 2024","FQ3 2024","Currency=USD","Period=FQ","BEST_FPERIOD_OVERRIDE=FQ","FILING_STATUS=MR","SCALING_FORMAT=MLN","Sort=A","Dates=H","DateFormat=P","Fill=—","Direction=H","UseDPDF=Y")</f>
        <v>0</v>
      </c>
      <c r="Z23" s="13">
        <f>_xll.BDH("AMGN US Equity","T12M_NET_CAPITAL_STOCK","FQ4 2024","FQ4 2024","Currency=USD","Period=FQ","BEST_FPERIOD_OVERRIDE=FQ","FILING_STATUS=MR","SCALING_FORMAT=MLN","Sort=A","Dates=H","DateFormat=P","Fill=—","Direction=H","UseDPDF=Y")</f>
        <v>-200</v>
      </c>
      <c r="AA23" s="13"/>
    </row>
    <row r="24" spans="1:27" x14ac:dyDescent="0.25">
      <c r="A24" s="6" t="s">
        <v>1684</v>
      </c>
      <c r="B24" s="6" t="s">
        <v>1685</v>
      </c>
      <c r="C24" s="19">
        <f>_xll.BDH("AMGN US Equity","RETURNED_CAPITAL_EX_DEBT","FQ1 2019","FQ1 2019","Currency=USD","Period=FQ","BEST_FPERIOD_OVERRIDE=FQ","FILING_STATUS=MR","SCALING_FORMAT=MLN","Sort=A","Dates=H","DateFormat=P","Fill=—","Direction=H","UseDPDF=Y")</f>
        <v>13712</v>
      </c>
      <c r="D24" s="19">
        <f>_xll.BDH("AMGN US Equity","RETURNED_CAPITAL_EX_DEBT","FQ2 2019","FQ2 2019","Currency=USD","Period=FQ","BEST_FPERIOD_OVERRIDE=FQ","FILING_STATUS=MR","SCALING_FORMAT=MLN","Sort=A","Dates=H","DateFormat=P","Fill=—","Direction=H","UseDPDF=Y")</f>
        <v>12898</v>
      </c>
      <c r="E24" s="19">
        <f>_xll.BDH("AMGN US Equity","RETURNED_CAPITAL_EX_DEBT","FQ3 2019","FQ3 2019","Currency=USD","Period=FQ","BEST_FPERIOD_OVERRIDE=FQ","FILING_STATUS=MR","SCALING_FORMAT=MLN","Sort=A","Dates=H","DateFormat=P","Fill=—","Direction=H","UseDPDF=Y")</f>
        <v>12347</v>
      </c>
      <c r="F24" s="19">
        <f>_xll.BDH("AMGN US Equity","RETURNED_CAPITAL_EX_DEBT","FQ4 2019","FQ4 2019","Currency=USD","Period=FQ","BEST_FPERIOD_OVERRIDE=FQ","FILING_STATUS=MR","SCALING_FORMAT=MLN","Sort=A","Dates=H","DateFormat=P","Fill=—","Direction=H","UseDPDF=Y")</f>
        <v>11348</v>
      </c>
      <c r="G24" s="19">
        <f>_xll.BDH("AMGN US Equity","RETURNED_CAPITAL_EX_DEBT","FQ1 2020","FQ1 2020","Currency=USD","Period=FQ","BEST_FPERIOD_OVERRIDE=FQ","FILING_STATUS=MR","SCALING_FORMAT=MLN","Sort=A","Dates=H","DateFormat=P","Fill=—","Direction=H","UseDPDF=Y")</f>
        <v>9321</v>
      </c>
      <c r="H24" s="19">
        <f>_xll.BDH("AMGN US Equity","RETURNED_CAPITAL_EX_DEBT","FQ2 2020","FQ2 2020","Currency=USD","Period=FQ","BEST_FPERIOD_OVERRIDE=FQ","FILING_STATUS=MR","SCALING_FORMAT=MLN","Sort=A","Dates=H","DateFormat=P","Fill=—","Direction=H","UseDPDF=Y")</f>
        <v>7523</v>
      </c>
      <c r="I24" s="19">
        <f>_xll.BDH("AMGN US Equity","RETURNED_CAPITAL_EX_DEBT","FQ3 2020","FQ3 2020","Currency=USD","Period=FQ","BEST_FPERIOD_OVERRIDE=FQ","FILING_STATUS=MR","SCALING_FORMAT=MLN","Sort=A","Dates=H","DateFormat=P","Fill=—","Direction=H","UseDPDF=Y")</f>
        <v>7195</v>
      </c>
      <c r="J24" s="19">
        <f>_xll.BDH("AMGN US Equity","RETURNED_CAPITAL_EX_DEBT","FQ4 2020","FQ4 2020","Currency=USD","Period=FQ","BEST_FPERIOD_OVERRIDE=FQ","FILING_STATUS=MR","SCALING_FORMAT=MLN","Sort=A","Dates=H","DateFormat=P","Fill=—","Direction=H","UseDPDF=Y")</f>
        <v>7241</v>
      </c>
      <c r="K24" s="19">
        <f>_xll.BDH("AMGN US Equity","RETURNED_CAPITAL_EX_DEBT","FQ1 2021","FQ1 2021","Currency=USD","Period=FQ","BEST_FPERIOD_OVERRIDE=FQ","FILING_STATUS=MR","SCALING_FORMAT=MLN","Sort=A","Dates=H","DateFormat=P","Fill=—","Direction=H","UseDPDF=Y")</f>
        <v>7222</v>
      </c>
      <c r="L24" s="19">
        <f>_xll.BDH("AMGN US Equity","RETURNED_CAPITAL_EX_DEBT","FQ2 2021","FQ2 2021","Currency=USD","Period=FQ","BEST_FPERIOD_OVERRIDE=FQ","FILING_STATUS=MR","SCALING_FORMAT=MLN","Sort=A","Dates=H","DateFormat=P","Fill=—","Direction=H","UseDPDF=Y")</f>
        <v>8314</v>
      </c>
      <c r="M24" s="19">
        <f>_xll.BDH("AMGN US Equity","RETURNED_CAPITAL_EX_DEBT","FQ3 2021","FQ3 2021","Currency=USD","Period=FQ","BEST_FPERIOD_OVERRIDE=FQ","FILING_STATUS=MR","SCALING_FORMAT=MLN","Sort=A","Dates=H","DateFormat=P","Fill=—","Direction=H","UseDPDF=Y")</f>
        <v>8692</v>
      </c>
      <c r="N24" s="19">
        <f>_xll.BDH("AMGN US Equity","RETURNED_CAPITAL_EX_DEBT","FQ4 2021","FQ4 2021","Currency=USD","Period=FQ","BEST_FPERIOD_OVERRIDE=FQ","FILING_STATUS=MR","SCALING_FORMAT=MLN","Sort=A","Dates=H","DateFormat=P","Fill=—","Direction=H","UseDPDF=Y")</f>
        <v>8988</v>
      </c>
      <c r="O24" s="19">
        <f>_xll.BDH("AMGN US Equity","RETURNED_CAPITAL_EX_DEBT","FQ1 2022","FQ1 2022","Currency=USD","Period=FQ","BEST_FPERIOD_OVERRIDE=FQ","FILING_STATUS=MR","SCALING_FORMAT=MLN","Sort=A","Dates=H","DateFormat=P","Fill=—","Direction=H","UseDPDF=Y")</f>
        <v>14541</v>
      </c>
      <c r="P24" s="19">
        <f>_xll.BDH("AMGN US Equity","RETURNED_CAPITAL_EX_DEBT","FQ2 2022","FQ2 2022","Currency=USD","Period=FQ","BEST_FPERIOD_OVERRIDE=FQ","FILING_STATUS=MR","SCALING_FORMAT=MLN","Sort=A","Dates=H","DateFormat=P","Fill=—","Direction=H","UseDPDF=Y")</f>
        <v>12990</v>
      </c>
      <c r="Q24" s="19">
        <f>_xll.BDH("AMGN US Equity","RETURNED_CAPITAL_EX_DEBT","FQ3 2022","FQ3 2022","Currency=USD","Period=FQ","BEST_FPERIOD_OVERRIDE=FQ","FILING_STATUS=MR","SCALING_FORMAT=MLN","Sort=A","Dates=H","DateFormat=P","Fill=—","Direction=H","UseDPDF=Y")</f>
        <v>11949</v>
      </c>
      <c r="R24" s="19">
        <f>_xll.BDH("AMGN US Equity","RETURNED_CAPITAL_EX_DEBT","FQ4 2022","FQ4 2022","Currency=USD","Period=FQ","BEST_FPERIOD_OVERRIDE=FQ","FILING_STATUS=MR","SCALING_FORMAT=MLN","Sort=A","Dates=H","DateFormat=P","Fill=—","Direction=H","UseDPDF=Y")</f>
        <v>10556</v>
      </c>
      <c r="S24" s="19">
        <f>_xll.BDH("AMGN US Equity","RETURNED_CAPITAL_EX_DEBT","FQ1 2023","FQ1 2023","Currency=USD","Period=FQ","BEST_FPERIOD_OVERRIDE=FQ","FILING_STATUS=MR","SCALING_FORMAT=MLN","Sort=A","Dates=H","DateFormat=P","Fill=—","Direction=H","UseDPDF=Y")</f>
        <v>4253</v>
      </c>
      <c r="T24" s="19">
        <f>_xll.BDH("AMGN US Equity","RETURNED_CAPITAL_EX_DEBT","FQ2 2023","FQ2 2023","Currency=USD","Period=FQ","BEST_FPERIOD_OVERRIDE=FQ","FILING_STATUS=MR","SCALING_FORMAT=MLN","Sort=A","Dates=H","DateFormat=P","Fill=—","Direction=H","UseDPDF=Y")</f>
        <v>4354</v>
      </c>
      <c r="U24" s="19">
        <f>_xll.BDH("AMGN US Equity","RETURNED_CAPITAL_EX_DEBT","FQ3 2023","FQ3 2023","Currency=USD","Period=FQ","BEST_FPERIOD_OVERRIDE=FQ","FILING_STATUS=MR","SCALING_FORMAT=MLN","Sort=A","Dates=H","DateFormat=P","Fill=—","Direction=H","UseDPDF=Y")</f>
        <v>4456</v>
      </c>
      <c r="V24" s="19">
        <f>_xll.BDH("AMGN US Equity","RETURNED_CAPITAL_EX_DEBT","FQ4 2023","FQ4 2023","Currency=USD","Period=FQ","BEST_FPERIOD_OVERRIDE=FQ","FILING_STATUS=MR","SCALING_FORMAT=MLN","Sort=A","Dates=H","DateFormat=P","Fill=—","Direction=H","UseDPDF=Y")</f>
        <v>4556</v>
      </c>
      <c r="W24" s="19">
        <f>_xll.BDH("AMGN US Equity","RETURNED_CAPITAL_EX_DEBT","FQ1 2024","FQ1 2024","Currency=USD","Period=FQ","BEST_FPERIOD_OVERRIDE=FQ","FILING_STATUS=MR","SCALING_FORMAT=MLN","Sort=A","Dates=H","DateFormat=P","Fill=—","Direction=H","UseDPDF=Y")</f>
        <v>4627</v>
      </c>
      <c r="X24" s="19">
        <f>_xll.BDH("AMGN US Equity","RETURNED_CAPITAL_EX_DEBT","FQ2 2024","FQ2 2024","Currency=USD","Period=FQ","BEST_FPERIOD_OVERRIDE=FQ","FILING_STATUS=MR","SCALING_FORMAT=MLN","Sort=A","Dates=H","DateFormat=P","Fill=—","Direction=H","UseDPDF=Y")</f>
        <v>4697</v>
      </c>
      <c r="Y24" s="19">
        <f>_xll.BDH("AMGN US Equity","RETURNED_CAPITAL_EX_DEBT","FQ3 2024","FQ3 2024","Currency=USD","Period=FQ","BEST_FPERIOD_OVERRIDE=FQ","FILING_STATUS=MR","SCALING_FORMAT=MLN","Sort=A","Dates=H","DateFormat=P","Fill=—","Direction=H","UseDPDF=Y")</f>
        <v>4767</v>
      </c>
      <c r="Z24" s="19">
        <f>_xll.BDH("AMGN US Equity","RETURNED_CAPITAL_EX_DEBT","FQ4 2024","FQ4 2024","Currency=USD","Period=FQ","BEST_FPERIOD_OVERRIDE=FQ","FILING_STATUS=MR","SCALING_FORMAT=MLN","Sort=A","Dates=H","DateFormat=P","Fill=—","Direction=H","UseDPDF=Y")</f>
        <v>5032</v>
      </c>
      <c r="AA24" s="19"/>
    </row>
    <row r="25" spans="1:27" x14ac:dyDescent="0.25">
      <c r="A25" s="11" t="s">
        <v>60</v>
      </c>
      <c r="B25" s="11" t="s">
        <v>61</v>
      </c>
      <c r="C25" s="25">
        <f>_xll.BDH("AMGN US Equity","HISTORICAL_MARKET_CAP","FQ1 2019","FQ1 2019","Currency=USD","Period=FQ","BEST_FPERIOD_OVERRIDE=FQ","FILING_STATUS=MR","SCALING_FORMAT=MLN","Sort=A","Dates=H","DateFormat=P","Fill=—","Direction=H","UseDPDF=Y")</f>
        <v>116723.712</v>
      </c>
      <c r="D25" s="25">
        <f>_xll.BDH("AMGN US Equity","HISTORICAL_MARKET_CAP","FQ2 2019","FQ2 2019","Currency=USD","Period=FQ","BEST_FPERIOD_OVERRIDE=FQ","FILING_STATUS=MR","SCALING_FORMAT=MLN","Sort=A","Dates=H","DateFormat=P","Fill=—","Direction=H","UseDPDF=Y")</f>
        <v>110954.988</v>
      </c>
      <c r="E25" s="25">
        <f>_xll.BDH("AMGN US Equity","HISTORICAL_MARKET_CAP","FQ3 2019","FQ3 2019","Currency=USD","Period=FQ","BEST_FPERIOD_OVERRIDE=FQ","FILING_STATUS=MR","SCALING_FORMAT=MLN","Sort=A","Dates=H","DateFormat=P","Fill=—","Direction=H","UseDPDF=Y")</f>
        <v>115370.662</v>
      </c>
      <c r="F25" s="25">
        <f>_xll.BDH("AMGN US Equity","HISTORICAL_MARKET_CAP","FQ4 2019","FQ4 2019","Currency=USD","Period=FQ","BEST_FPERIOD_OVERRIDE=FQ","FILING_STATUS=MR","SCALING_FORMAT=MLN","Sort=A","Dates=H","DateFormat=P","Fill=—","Direction=H","UseDPDF=Y")</f>
        <v>142568.79800000001</v>
      </c>
      <c r="G25" s="25">
        <f>_xll.BDH("AMGN US Equity","HISTORICAL_MARKET_CAP","FQ1 2020","FQ1 2020","Currency=USD","Period=FQ","BEST_FPERIOD_OVERRIDE=FQ","FILING_STATUS=MR","SCALING_FORMAT=MLN","Sort=A","Dates=H","DateFormat=P","Fill=—","Direction=H","UseDPDF=Y")</f>
        <v>119205.24</v>
      </c>
      <c r="H25" s="25">
        <f>_xll.BDH("AMGN US Equity","HISTORICAL_MARKET_CAP","FQ2 2020","FQ2 2020","Currency=USD","Period=FQ","BEST_FPERIOD_OVERRIDE=FQ","FILING_STATUS=MR","SCALING_FORMAT=MLN","Sort=A","Dates=H","DateFormat=P","Fill=—","Direction=H","UseDPDF=Y")</f>
        <v>138308.304</v>
      </c>
      <c r="I25" s="25">
        <f>_xll.BDH("AMGN US Equity","HISTORICAL_MARKET_CAP","FQ3 2020","FQ3 2020","Currency=USD","Period=FQ","BEST_FPERIOD_OVERRIDE=FQ","FILING_STATUS=MR","SCALING_FORMAT=MLN","Sort=A","Dates=H","DateFormat=P","Fill=—","Direction=H","UseDPDF=Y")</f>
        <v>148302.35999999999</v>
      </c>
      <c r="J25" s="25">
        <f>_xll.BDH("AMGN US Equity","HISTORICAL_MARKET_CAP","FQ4 2020","FQ4 2020","Currency=USD","Period=FQ","BEST_FPERIOD_OVERRIDE=FQ","FILING_STATUS=MR","SCALING_FORMAT=MLN","Sort=A","Dates=H","DateFormat=P","Fill=—","Direction=H","UseDPDF=Y")</f>
        <v>132962.736</v>
      </c>
      <c r="K25" s="25">
        <f>_xll.BDH("AMGN US Equity","HISTORICAL_MARKET_CAP","FQ1 2021","FQ1 2021","Currency=USD","Period=FQ","BEST_FPERIOD_OVERRIDE=FQ","FILING_STATUS=MR","SCALING_FORMAT=MLN","Sort=A","Dates=H","DateFormat=P","Fill=—","Direction=H","UseDPDF=Y")</f>
        <v>143140.39300000001</v>
      </c>
      <c r="L25" s="25">
        <f>_xll.BDH("AMGN US Equity","HISTORICAL_MARKET_CAP","FQ2 2021","FQ2 2021","Currency=USD","Period=FQ","BEST_FPERIOD_OVERRIDE=FQ","FILING_STATUS=MR","SCALING_FORMAT=MLN","Sort=A","Dates=H","DateFormat=P","Fill=—","Direction=H","UseDPDF=Y")</f>
        <v>138840</v>
      </c>
      <c r="M25" s="25">
        <f>_xll.BDH("AMGN US Equity","HISTORICAL_MARKET_CAP","FQ3 2021","FQ3 2021","Currency=USD","Period=FQ","BEST_FPERIOD_OVERRIDE=FQ","FILING_STATUS=MR","SCALING_FORMAT=MLN","Sort=A","Dates=H","DateFormat=P","Fill=—","Direction=H","UseDPDF=Y")</f>
        <v>120147.25</v>
      </c>
      <c r="N25" s="25">
        <f>_xll.BDH("AMGN US Equity","HISTORICAL_MARKET_CAP","FQ4 2021","FQ4 2021","Currency=USD","Period=FQ","BEST_FPERIOD_OVERRIDE=FQ","FILING_STATUS=MR","SCALING_FORMAT=MLN","Sort=A","Dates=H","DateFormat=P","Fill=—","Direction=H","UseDPDF=Y")</f>
        <v>120133.98</v>
      </c>
      <c r="O25" s="25">
        <f>_xll.BDH("AMGN US Equity","HISTORICAL_MARKET_CAP","FQ1 2022","FQ1 2022","Currency=USD","Period=FQ","BEST_FPERIOD_OVERRIDE=FQ","FILING_STATUS=MR","SCALING_FORMAT=MLN","Sort=A","Dates=H","DateFormat=P","Fill=—","Direction=H","UseDPDF=Y")</f>
        <v>129180.24400000001</v>
      </c>
      <c r="P25" s="25">
        <f>_xll.BDH("AMGN US Equity","HISTORICAL_MARKET_CAP","FQ2 2022","FQ2 2022","Currency=USD","Period=FQ","BEST_FPERIOD_OVERRIDE=FQ","FILING_STATUS=MR","SCALING_FORMAT=MLN","Sort=A","Dates=H","DateFormat=P","Fill=—","Direction=H","UseDPDF=Y")</f>
        <v>130141.17</v>
      </c>
      <c r="Q25" s="25">
        <f>_xll.BDH("AMGN US Equity","HISTORICAL_MARKET_CAP","FQ3 2022","FQ3 2022","Currency=USD","Period=FQ","BEST_FPERIOD_OVERRIDE=FQ","FILING_STATUS=MR","SCALING_FORMAT=MLN","Sort=A","Dates=H","DateFormat=P","Fill=—","Direction=H","UseDPDF=Y")</f>
        <v>120250.9</v>
      </c>
      <c r="R25" s="25">
        <f>_xll.BDH("AMGN US Equity","HISTORICAL_MARKET_CAP","FQ4 2022","FQ4 2022","Currency=USD","Period=FQ","BEST_FPERIOD_OVERRIDE=FQ","FILING_STATUS=MR","SCALING_FORMAT=MLN","Sort=A","Dates=H","DateFormat=P","Fill=—","Direction=H","UseDPDF=Y")</f>
        <v>140249.76</v>
      </c>
      <c r="S25" s="25">
        <f>_xll.BDH("AMGN US Equity","HISTORICAL_MARKET_CAP","FQ1 2023","FQ1 2023","Currency=USD","Period=FQ","BEST_FPERIOD_OVERRIDE=FQ","FILING_STATUS=MR","SCALING_FORMAT=MLN","Sort=A","Dates=H","DateFormat=P","Fill=—","Direction=H","UseDPDF=Y")</f>
        <v>129167.02499999999</v>
      </c>
      <c r="T25" s="25">
        <f>_xll.BDH("AMGN US Equity","HISTORICAL_MARKET_CAP","FQ2 2023","FQ2 2023","Currency=USD","Period=FQ","BEST_FPERIOD_OVERRIDE=FQ","FILING_STATUS=MR","SCALING_FORMAT=MLN","Sort=A","Dates=H","DateFormat=P","Fill=—","Direction=H","UseDPDF=Y")</f>
        <v>118758.49800000001</v>
      </c>
      <c r="U25" s="25">
        <f>_xll.BDH("AMGN US Equity","HISTORICAL_MARKET_CAP","FQ3 2023","FQ3 2023","Currency=USD","Period=FQ","BEST_FPERIOD_OVERRIDE=FQ","FILING_STATUS=MR","SCALING_FORMAT=MLN","Sort=A","Dates=H","DateFormat=P","Fill=—","Direction=H","UseDPDF=Y")</f>
        <v>143813.476</v>
      </c>
      <c r="V25" s="25">
        <f>_xll.BDH("AMGN US Equity","HISTORICAL_MARKET_CAP","FQ4 2023","FQ4 2023","Currency=USD","Period=FQ","BEST_FPERIOD_OVERRIDE=FQ","FILING_STATUS=MR","SCALING_FORMAT=MLN","Sort=A","Dates=H","DateFormat=P","Fill=—","Direction=H","UseDPDF=Y")</f>
        <v>154205.908</v>
      </c>
      <c r="W25" s="25">
        <f>_xll.BDH("AMGN US Equity","HISTORICAL_MARKET_CAP","FQ1 2024","FQ1 2024","Currency=USD","Period=FQ","BEST_FPERIOD_OVERRIDE=FQ","FILING_STATUS=MR","SCALING_FORMAT=MLN","Sort=A","Dates=H","DateFormat=P","Fill=—","Direction=H","UseDPDF=Y")</f>
        <v>152509.24799999999</v>
      </c>
      <c r="X25" s="25">
        <f>_xll.BDH("AMGN US Equity","HISTORICAL_MARKET_CAP","FQ2 2024","FQ2 2024","Currency=USD","Period=FQ","BEST_FPERIOD_OVERRIDE=FQ","FILING_STATUS=MR","SCALING_FORMAT=MLN","Sort=A","Dates=H","DateFormat=P","Fill=—","Direction=H","UseDPDF=Y")</f>
        <v>167848.14</v>
      </c>
      <c r="Y25" s="25">
        <f>_xll.BDH("AMGN US Equity","HISTORICAL_MARKET_CAP","FQ3 2024","FQ3 2024","Currency=USD","Period=FQ","BEST_FPERIOD_OVERRIDE=FQ","FILING_STATUS=MR","SCALING_FORMAT=MLN","Sort=A","Dates=H","DateFormat=P","Fill=—","Direction=H","UseDPDF=Y")</f>
        <v>173187.875</v>
      </c>
      <c r="Z25" s="25">
        <f>_xll.BDH("AMGN US Equity","HISTORICAL_MARKET_CAP","FQ4 2024","FQ4 2024","Currency=USD","Period=FQ","BEST_FPERIOD_OVERRIDE=FQ","FILING_STATUS=MR","SCALING_FORMAT=MLN","Sort=A","Dates=H","DateFormat=P","Fill=—","Direction=H","UseDPDF=Y")</f>
        <v>139937.61600000001</v>
      </c>
      <c r="AA25" s="25"/>
    </row>
    <row r="26" spans="1:27" x14ac:dyDescent="0.25">
      <c r="A26" s="6" t="s">
        <v>1686</v>
      </c>
      <c r="B26" s="6" t="s">
        <v>1687</v>
      </c>
      <c r="C26" s="20">
        <f>_xll.BDH("AMGN US Equity","SHAREHOLDER_YIELD_EX_DEBT","FQ1 2019","FQ1 2019","Currency=USD","Period=FQ","BEST_FPERIOD_OVERRIDE=FQ","FILING_STATUS=MR","Sort=A","Dates=H","DateFormat=P","Fill=—","Direction=H","UseDPDF=Y")</f>
        <v>11.747400000000001</v>
      </c>
      <c r="D26" s="20">
        <f>_xll.BDH("AMGN US Equity","SHAREHOLDER_YIELD_EX_DEBT","FQ2 2019","FQ2 2019","Currency=USD","Period=FQ","BEST_FPERIOD_OVERRIDE=FQ","FILING_STATUS=MR","Sort=A","Dates=H","DateFormat=P","Fill=—","Direction=H","UseDPDF=Y")</f>
        <v>11.624499999999999</v>
      </c>
      <c r="E26" s="20">
        <f>_xll.BDH("AMGN US Equity","SHAREHOLDER_YIELD_EX_DEBT","FQ3 2019","FQ3 2019","Currency=USD","Period=FQ","BEST_FPERIOD_OVERRIDE=FQ","FILING_STATUS=MR","Sort=A","Dates=H","DateFormat=P","Fill=—","Direction=H","UseDPDF=Y")</f>
        <v>10.702</v>
      </c>
      <c r="F26" s="20">
        <f>_xll.BDH("AMGN US Equity","SHAREHOLDER_YIELD_EX_DEBT","FQ4 2019","FQ4 2019","Currency=USD","Period=FQ","BEST_FPERIOD_OVERRIDE=FQ","FILING_STATUS=MR","Sort=A","Dates=H","DateFormat=P","Fill=—","Direction=H","UseDPDF=Y")</f>
        <v>7.9596999999999998</v>
      </c>
      <c r="G26" s="20">
        <f>_xll.BDH("AMGN US Equity","SHAREHOLDER_YIELD_EX_DEBT","FQ1 2020","FQ1 2020","Currency=USD","Period=FQ","BEST_FPERIOD_OVERRIDE=FQ","FILING_STATUS=MR","Sort=A","Dates=H","DateFormat=P","Fill=—","Direction=H","UseDPDF=Y")</f>
        <v>7.8193000000000001</v>
      </c>
      <c r="H26" s="20">
        <f>_xll.BDH("AMGN US Equity","SHAREHOLDER_YIELD_EX_DEBT","FQ2 2020","FQ2 2020","Currency=USD","Period=FQ","BEST_FPERIOD_OVERRIDE=FQ","FILING_STATUS=MR","Sort=A","Dates=H","DateFormat=P","Fill=—","Direction=H","UseDPDF=Y")</f>
        <v>5.4393000000000002</v>
      </c>
      <c r="I26" s="20">
        <f>_xll.BDH("AMGN US Equity","SHAREHOLDER_YIELD_EX_DEBT","FQ3 2020","FQ3 2020","Currency=USD","Period=FQ","BEST_FPERIOD_OVERRIDE=FQ","FILING_STATUS=MR","Sort=A","Dates=H","DateFormat=P","Fill=—","Direction=H","UseDPDF=Y")</f>
        <v>4.8516000000000004</v>
      </c>
      <c r="J26" s="20">
        <f>_xll.BDH("AMGN US Equity","SHAREHOLDER_YIELD_EX_DEBT","FQ4 2020","FQ4 2020","Currency=USD","Period=FQ","BEST_FPERIOD_OVERRIDE=FQ","FILING_STATUS=MR","Sort=A","Dates=H","DateFormat=P","Fill=—","Direction=H","UseDPDF=Y")</f>
        <v>5.4459</v>
      </c>
      <c r="K26" s="20">
        <f>_xll.BDH("AMGN US Equity","SHAREHOLDER_YIELD_EX_DEBT","FQ1 2021","FQ1 2021","Currency=USD","Period=FQ","BEST_FPERIOD_OVERRIDE=FQ","FILING_STATUS=MR","Sort=A","Dates=H","DateFormat=P","Fill=—","Direction=H","UseDPDF=Y")</f>
        <v>5.0453999999999999</v>
      </c>
      <c r="L26" s="20">
        <f>_xll.BDH("AMGN US Equity","SHAREHOLDER_YIELD_EX_DEBT","FQ2 2021","FQ2 2021","Currency=USD","Period=FQ","BEST_FPERIOD_OVERRIDE=FQ","FILING_STATUS=MR","Sort=A","Dates=H","DateFormat=P","Fill=—","Direction=H","UseDPDF=Y")</f>
        <v>5.9882</v>
      </c>
      <c r="M26" s="20">
        <f>_xll.BDH("AMGN US Equity","SHAREHOLDER_YIELD_EX_DEBT","FQ3 2021","FQ3 2021","Currency=USD","Period=FQ","BEST_FPERIOD_OVERRIDE=FQ","FILING_STATUS=MR","Sort=A","Dates=H","DateFormat=P","Fill=—","Direction=H","UseDPDF=Y")</f>
        <v>7.2344999999999997</v>
      </c>
      <c r="N26" s="20">
        <f>_xll.BDH("AMGN US Equity","SHAREHOLDER_YIELD_EX_DEBT","FQ4 2021","FQ4 2021","Currency=USD","Period=FQ","BEST_FPERIOD_OVERRIDE=FQ","FILING_STATUS=MR","Sort=A","Dates=H","DateFormat=P","Fill=—","Direction=H","UseDPDF=Y")</f>
        <v>7.4816000000000003</v>
      </c>
      <c r="O26" s="20">
        <f>_xll.BDH("AMGN US Equity","SHAREHOLDER_YIELD_EX_DEBT","FQ1 2022","FQ1 2022","Currency=USD","Period=FQ","BEST_FPERIOD_OVERRIDE=FQ","FILING_STATUS=MR","Sort=A","Dates=H","DateFormat=P","Fill=—","Direction=H","UseDPDF=Y")</f>
        <v>11.256399999999999</v>
      </c>
      <c r="P26" s="20">
        <f>_xll.BDH("AMGN US Equity","SHAREHOLDER_YIELD_EX_DEBT","FQ2 2022","FQ2 2022","Currency=USD","Period=FQ","BEST_FPERIOD_OVERRIDE=FQ","FILING_STATUS=MR","Sort=A","Dates=H","DateFormat=P","Fill=—","Direction=H","UseDPDF=Y")</f>
        <v>9.9815000000000005</v>
      </c>
      <c r="Q26" s="20">
        <f>_xll.BDH("AMGN US Equity","SHAREHOLDER_YIELD_EX_DEBT","FQ3 2022","FQ3 2022","Currency=USD","Period=FQ","BEST_FPERIOD_OVERRIDE=FQ","FILING_STATUS=MR","Sort=A","Dates=H","DateFormat=P","Fill=—","Direction=H","UseDPDF=Y")</f>
        <v>9.9367000000000001</v>
      </c>
      <c r="R26" s="20">
        <f>_xll.BDH("AMGN US Equity","SHAREHOLDER_YIELD_EX_DEBT","FQ4 2022","FQ4 2022","Currency=USD","Period=FQ","BEST_FPERIOD_OVERRIDE=FQ","FILING_STATUS=MR","Sort=A","Dates=H","DateFormat=P","Fill=—","Direction=H","UseDPDF=Y")</f>
        <v>7.5266000000000002</v>
      </c>
      <c r="S26" s="20">
        <f>_xll.BDH("AMGN US Equity","SHAREHOLDER_YIELD_EX_DEBT","FQ1 2023","FQ1 2023","Currency=USD","Period=FQ","BEST_FPERIOD_OVERRIDE=FQ","FILING_STATUS=MR","Sort=A","Dates=H","DateFormat=P","Fill=—","Direction=H","UseDPDF=Y")</f>
        <v>3.2926000000000002</v>
      </c>
      <c r="T26" s="20">
        <f>_xll.BDH("AMGN US Equity","SHAREHOLDER_YIELD_EX_DEBT","FQ2 2023","FQ2 2023","Currency=USD","Period=FQ","BEST_FPERIOD_OVERRIDE=FQ","FILING_STATUS=MR","Sort=A","Dates=H","DateFormat=P","Fill=—","Direction=H","UseDPDF=Y")</f>
        <v>3.6663000000000001</v>
      </c>
      <c r="U26" s="20">
        <f>_xll.BDH("AMGN US Equity","SHAREHOLDER_YIELD_EX_DEBT","FQ3 2023","FQ3 2023","Currency=USD","Period=FQ","BEST_FPERIOD_OVERRIDE=FQ","FILING_STATUS=MR","Sort=A","Dates=H","DateFormat=P","Fill=—","Direction=H","UseDPDF=Y")</f>
        <v>3.0985</v>
      </c>
      <c r="V26" s="20">
        <f>_xll.BDH("AMGN US Equity","SHAREHOLDER_YIELD_EX_DEBT","FQ4 2023","FQ4 2023","Currency=USD","Period=FQ","BEST_FPERIOD_OVERRIDE=FQ","FILING_STATUS=MR","Sort=A","Dates=H","DateFormat=P","Fill=—","Direction=H","UseDPDF=Y")</f>
        <v>2.9544999999999999</v>
      </c>
      <c r="W26" s="20">
        <f>_xll.BDH("AMGN US Equity","SHAREHOLDER_YIELD_EX_DEBT","FQ1 2024","FQ1 2024","Currency=USD","Period=FQ","BEST_FPERIOD_OVERRIDE=FQ","FILING_STATUS=MR","Sort=A","Dates=H","DateFormat=P","Fill=—","Direction=H","UseDPDF=Y")</f>
        <v>3.0339</v>
      </c>
      <c r="X26" s="20">
        <f>_xll.BDH("AMGN US Equity","SHAREHOLDER_YIELD_EX_DEBT","FQ2 2024","FQ2 2024","Currency=USD","Period=FQ","BEST_FPERIOD_OVERRIDE=FQ","FILING_STATUS=MR","Sort=A","Dates=H","DateFormat=P","Fill=—","Direction=H","UseDPDF=Y")</f>
        <v>2.7984</v>
      </c>
      <c r="Y26" s="20">
        <f>_xll.BDH("AMGN US Equity","SHAREHOLDER_YIELD_EX_DEBT","FQ3 2024","FQ3 2024","Currency=USD","Period=FQ","BEST_FPERIOD_OVERRIDE=FQ","FILING_STATUS=MR","Sort=A","Dates=H","DateFormat=P","Fill=—","Direction=H","UseDPDF=Y")</f>
        <v>2.7524999999999999</v>
      </c>
      <c r="Z26" s="20">
        <f>_xll.BDH("AMGN US Equity","SHAREHOLDER_YIELD_EX_DEBT","FQ4 2024","FQ4 2024","Currency=USD","Period=FQ","BEST_FPERIOD_OVERRIDE=FQ","FILING_STATUS=MR","Sort=A","Dates=H","DateFormat=P","Fill=—","Direction=H","UseDPDF=Y")</f>
        <v>3.5958999999999999</v>
      </c>
      <c r="AA26" s="20"/>
    </row>
    <row r="27" spans="1:27" x14ac:dyDescent="0.25">
      <c r="A27" s="6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x14ac:dyDescent="0.25">
      <c r="A28" s="6" t="s">
        <v>1688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x14ac:dyDescent="0.25">
      <c r="A29" s="10" t="s">
        <v>1663</v>
      </c>
      <c r="B29" s="10" t="s">
        <v>1664</v>
      </c>
      <c r="C29" s="13">
        <f>_xll.BDH("AMGN US Equity","TRAIL_12M_CASH_FROM_OPER","FQ1 2019","FQ1 2019","Currency=USD","Period=FQ","BEST_FPERIOD_OVERRIDE=FQ","FILING_STATUS=MR","SCALING_FORMAT=MLN","Sort=A","Dates=H","DateFormat=P","Fill=—","Direction=H","UseDPDF=Y")</f>
        <v>10414</v>
      </c>
      <c r="D29" s="13">
        <f>_xll.BDH("AMGN US Equity","TRAIL_12M_CASH_FROM_OPER","FQ2 2019","FQ2 2019","Currency=USD","Period=FQ","BEST_FPERIOD_OVERRIDE=FQ","FILING_STATUS=MR","SCALING_FORMAT=MLN","Sort=A","Dates=H","DateFormat=P","Fill=—","Direction=H","UseDPDF=Y")</f>
        <v>9726</v>
      </c>
      <c r="E29" s="13">
        <f>_xll.BDH("AMGN US Equity","TRAIL_12M_CASH_FROM_OPER","FQ3 2019","FQ3 2019","Currency=USD","Period=FQ","BEST_FPERIOD_OVERRIDE=FQ","FILING_STATUS=MR","SCALING_FORMAT=MLN","Sort=A","Dates=H","DateFormat=P","Fill=—","Direction=H","UseDPDF=Y")</f>
        <v>9830</v>
      </c>
      <c r="F29" s="13">
        <f>_xll.BDH("AMGN US Equity","TRAIL_12M_CASH_FROM_OPER","FQ4 2019","FQ4 2019","Currency=USD","Period=FQ","BEST_FPERIOD_OVERRIDE=FQ","FILING_STATUS=MR","SCALING_FORMAT=MLN","Sort=A","Dates=H","DateFormat=P","Fill=—","Direction=H","UseDPDF=Y")</f>
        <v>9150</v>
      </c>
      <c r="G29" s="13">
        <f>_xll.BDH("AMGN US Equity","TRAIL_12M_CASH_FROM_OPER","FQ1 2020","FQ1 2020","Currency=USD","Period=FQ","BEST_FPERIOD_OVERRIDE=FQ","FILING_STATUS=MR","SCALING_FORMAT=MLN","Sort=A","Dates=H","DateFormat=P","Fill=—","Direction=H","UseDPDF=Y")</f>
        <v>9439</v>
      </c>
      <c r="H29" s="13">
        <f>_xll.BDH("AMGN US Equity","TRAIL_12M_CASH_FROM_OPER","FQ2 2020","FQ2 2020","Currency=USD","Period=FQ","BEST_FPERIOD_OVERRIDE=FQ","FILING_STATUS=MR","SCALING_FORMAT=MLN","Sort=A","Dates=H","DateFormat=P","Fill=—","Direction=H","UseDPDF=Y")</f>
        <v>10867</v>
      </c>
      <c r="I29" s="13">
        <f>_xll.BDH("AMGN US Equity","TRAIL_12M_CASH_FROM_OPER","FQ3 2020","FQ3 2020","Currency=USD","Period=FQ","BEST_FPERIOD_OVERRIDE=FQ","FILING_STATUS=MR","SCALING_FORMAT=MLN","Sort=A","Dates=H","DateFormat=P","Fill=—","Direction=H","UseDPDF=Y")</f>
        <v>10858</v>
      </c>
      <c r="J29" s="13">
        <f>_xll.BDH("AMGN US Equity","TRAIL_12M_CASH_FROM_OPER","FQ4 2020","FQ4 2020","Currency=USD","Period=FQ","BEST_FPERIOD_OVERRIDE=FQ","FILING_STATUS=MR","SCALING_FORMAT=MLN","Sort=A","Dates=H","DateFormat=P","Fill=—","Direction=H","UseDPDF=Y")</f>
        <v>10757</v>
      </c>
      <c r="K29" s="13">
        <f>_xll.BDH("AMGN US Equity","TRAIL_12M_CASH_FROM_OPER","FQ1 2021","FQ1 2021","Currency=USD","Period=FQ","BEST_FPERIOD_OVERRIDE=FQ","FILING_STATUS=MR","SCALING_FORMAT=MLN","Sort=A","Dates=H","DateFormat=P","Fill=—","Direction=H","UseDPDF=Y")</f>
        <v>10727</v>
      </c>
      <c r="L29" s="13">
        <f>_xll.BDH("AMGN US Equity","TRAIL_12M_CASH_FROM_OPER","FQ2 2021","FQ2 2021","Currency=USD","Period=FQ","BEST_FPERIOD_OVERRIDE=FQ","FILING_STATUS=MR","SCALING_FORMAT=MLN","Sort=A","Dates=H","DateFormat=P","Fill=—","Direction=H","UseDPDF=Y")</f>
        <v>9816</v>
      </c>
      <c r="M29" s="13">
        <f>_xll.BDH("AMGN US Equity","TRAIL_12M_CASH_FROM_OPER","FQ3 2021","FQ3 2021","Currency=USD","Period=FQ","BEST_FPERIOD_OVERRIDE=FQ","FILING_STATUS=MR","SCALING_FORMAT=MLN","Sort=A","Dates=H","DateFormat=P","Fill=—","Direction=H","UseDPDF=Y")</f>
        <v>8866</v>
      </c>
      <c r="N29" s="13">
        <f>_xll.BDH("AMGN US Equity","TRAIL_12M_CASH_FROM_OPER","FQ4 2021","FQ4 2021","Currency=USD","Period=FQ","BEST_FPERIOD_OVERRIDE=FQ","FILING_STATUS=MR","SCALING_FORMAT=MLN","Sort=A","Dates=H","DateFormat=P","Fill=—","Direction=H","UseDPDF=Y")</f>
        <v>9261</v>
      </c>
      <c r="O29" s="13">
        <f>_xll.BDH("AMGN US Equity","TRAIL_12M_CASH_FROM_OPER","FQ1 2022","FQ1 2022","Currency=USD","Period=FQ","BEST_FPERIOD_OVERRIDE=FQ","FILING_STATUS=MR","SCALING_FORMAT=MLN","Sort=A","Dates=H","DateFormat=P","Fill=—","Direction=H","UseDPDF=Y")</f>
        <v>9321</v>
      </c>
      <c r="P29" s="13">
        <f>_xll.BDH("AMGN US Equity","TRAIL_12M_CASH_FROM_OPER","FQ2 2022","FQ2 2022","Currency=USD","Period=FQ","BEST_FPERIOD_OVERRIDE=FQ","FILING_STATUS=MR","SCALING_FORMAT=MLN","Sort=A","Dates=H","DateFormat=P","Fill=—","Direction=H","UseDPDF=Y")</f>
        <v>9320</v>
      </c>
      <c r="Q29" s="13">
        <f>_xll.BDH("AMGN US Equity","TRAIL_12M_CASH_FROM_OPER","FQ3 2022","FQ3 2022","Currency=USD","Period=FQ","BEST_FPERIOD_OVERRIDE=FQ","FILING_STATUS=MR","SCALING_FORMAT=MLN","Sort=A","Dates=H","DateFormat=P","Fill=—","Direction=H","UseDPDF=Y")</f>
        <v>9880</v>
      </c>
      <c r="R29" s="13">
        <f>_xll.BDH("AMGN US Equity","TRAIL_12M_CASH_FROM_OPER","FQ4 2022","FQ4 2022","Currency=USD","Period=FQ","BEST_FPERIOD_OVERRIDE=FQ","FILING_STATUS=MR","SCALING_FORMAT=MLN","Sort=A","Dates=H","DateFormat=P","Fill=—","Direction=H","UseDPDF=Y")</f>
        <v>9721</v>
      </c>
      <c r="S29" s="13">
        <f>_xll.BDH("AMGN US Equity","TRAIL_12M_CASH_FROM_OPER","FQ1 2023","FQ1 2023","Currency=USD","Period=FQ","BEST_FPERIOD_OVERRIDE=FQ","FILING_STATUS=MR","SCALING_FORMAT=MLN","Sort=A","Dates=H","DateFormat=P","Fill=—","Direction=H","UseDPDF=Y")</f>
        <v>8621</v>
      </c>
      <c r="T29" s="13">
        <f>_xll.BDH("AMGN US Equity","TRAIL_12M_CASH_FROM_OPER","FQ2 2023","FQ2 2023","Currency=USD","Period=FQ","BEST_FPERIOD_OVERRIDE=FQ","FILING_STATUS=MR","SCALING_FORMAT=MLN","Sort=A","Dates=H","DateFormat=P","Fill=—","Direction=H","UseDPDF=Y")</f>
        <v>10800</v>
      </c>
      <c r="U29" s="13">
        <f>_xll.BDH("AMGN US Equity","TRAIL_12M_CASH_FROM_OPER","FQ3 2023","FQ3 2023","Currency=USD","Period=FQ","BEST_FPERIOD_OVERRIDE=FQ","FILING_STATUS=MR","SCALING_FORMAT=MLN","Sort=A","Dates=H","DateFormat=P","Fill=—","Direction=H","UseDPDF=Y")</f>
        <v>10582</v>
      </c>
      <c r="V29" s="13">
        <f>_xll.BDH("AMGN US Equity","TRAIL_12M_CASH_FROM_OPER","FQ4 2023","FQ4 2023","Currency=USD","Period=FQ","BEST_FPERIOD_OVERRIDE=FQ","FILING_STATUS=MR","SCALING_FORMAT=MLN","Sort=A","Dates=H","DateFormat=P","Fill=—","Direction=H","UseDPDF=Y")</f>
        <v>8471</v>
      </c>
      <c r="W29" s="13">
        <f>_xll.BDH("AMGN US Equity","TRAIL_12M_CASH_FROM_OPER","FQ1 2024","FQ1 2024","Currency=USD","Period=FQ","BEST_FPERIOD_OVERRIDE=FQ","FILING_STATUS=MR","SCALING_FORMAT=MLN","Sort=A","Dates=H","DateFormat=P","Fill=—","Direction=H","UseDPDF=Y")</f>
        <v>8096</v>
      </c>
      <c r="X29" s="13">
        <f>_xll.BDH("AMGN US Equity","TRAIL_12M_CASH_FROM_OPER","FQ2 2024","FQ2 2024","Currency=USD","Period=FQ","BEST_FPERIOD_OVERRIDE=FQ","FILING_STATUS=MR","SCALING_FORMAT=MLN","Sort=A","Dates=H","DateFormat=P","Fill=—","Direction=H","UseDPDF=Y")</f>
        <v>6446</v>
      </c>
      <c r="Y29" s="13">
        <f>_xll.BDH("AMGN US Equity","TRAIL_12M_CASH_FROM_OPER","FQ3 2024","FQ3 2024","Currency=USD","Period=FQ","BEST_FPERIOD_OVERRIDE=FQ","FILING_STATUS=MR","SCALING_FORMAT=MLN","Sort=A","Dates=H","DateFormat=P","Fill=—","Direction=H","UseDPDF=Y")</f>
        <v>7257</v>
      </c>
      <c r="Z29" s="13">
        <f>_xll.BDH("AMGN US Equity","TRAIL_12M_CASH_FROM_OPER","FQ4 2024","FQ4 2024","Currency=USD","Period=FQ","BEST_FPERIOD_OVERRIDE=FQ","FILING_STATUS=MR","SCALING_FORMAT=MLN","Sort=A","Dates=H","DateFormat=P","Fill=—","Direction=H","UseDPDF=Y")</f>
        <v>11490</v>
      </c>
      <c r="AA29" s="13">
        <v>19740.12</v>
      </c>
    </row>
    <row r="30" spans="1:27" x14ac:dyDescent="0.25">
      <c r="A30" s="10" t="s">
        <v>1665</v>
      </c>
      <c r="B30" s="10" t="s">
        <v>1666</v>
      </c>
      <c r="C30" s="13">
        <f>_xll.BDH("AMGN US Equity","TRAIL_12M_CAP_EXPEND","FQ1 2019","FQ1 2019","Currency=USD","Period=FQ","BEST_FPERIOD_OVERRIDE=FQ","FILING_STATUS=MR","SCALING_FORMAT=MLN","Sort=A","Dates=H","DateFormat=P","Fill=—","Direction=H","UseDPDF=Y")</f>
        <v>-699</v>
      </c>
      <c r="D30" s="13">
        <f>_xll.BDH("AMGN US Equity","TRAIL_12M_CAP_EXPEND","FQ2 2019","FQ2 2019","Currency=USD","Period=FQ","BEST_FPERIOD_OVERRIDE=FQ","FILING_STATUS=MR","SCALING_FORMAT=MLN","Sort=A","Dates=H","DateFormat=P","Fill=—","Direction=H","UseDPDF=Y")</f>
        <v>-656</v>
      </c>
      <c r="E30" s="13">
        <f>_xll.BDH("AMGN US Equity","TRAIL_12M_CAP_EXPEND","FQ3 2019","FQ3 2019","Currency=USD","Period=FQ","BEST_FPERIOD_OVERRIDE=FQ","FILING_STATUS=MR","SCALING_FORMAT=MLN","Sort=A","Dates=H","DateFormat=P","Fill=—","Direction=H","UseDPDF=Y")</f>
        <v>-655</v>
      </c>
      <c r="F30" s="13">
        <f>_xll.BDH("AMGN US Equity","TRAIL_12M_CAP_EXPEND","FQ4 2019","FQ4 2019","Currency=USD","Period=FQ","BEST_FPERIOD_OVERRIDE=FQ","FILING_STATUS=MR","SCALING_FORMAT=MLN","Sort=A","Dates=H","DateFormat=P","Fill=—","Direction=H","UseDPDF=Y")</f>
        <v>-618</v>
      </c>
      <c r="G30" s="13">
        <f>_xll.BDH("AMGN US Equity","TRAIL_12M_CAP_EXPEND","FQ1 2020","FQ1 2020","Currency=USD","Period=FQ","BEST_FPERIOD_OVERRIDE=FQ","FILING_STATUS=MR","SCALING_FORMAT=MLN","Sort=A","Dates=H","DateFormat=P","Fill=—","Direction=H","UseDPDF=Y")</f>
        <v>-644</v>
      </c>
      <c r="H30" s="13">
        <f>_xll.BDH("AMGN US Equity","TRAIL_12M_CAP_EXPEND","FQ2 2020","FQ2 2020","Currency=USD","Period=FQ","BEST_FPERIOD_OVERRIDE=FQ","FILING_STATUS=MR","SCALING_FORMAT=MLN","Sort=A","Dates=H","DateFormat=P","Fill=—","Direction=H","UseDPDF=Y")</f>
        <v>-658</v>
      </c>
      <c r="I30" s="13">
        <f>_xll.BDH("AMGN US Equity","TRAIL_12M_CAP_EXPEND","FQ3 2020","FQ3 2020","Currency=USD","Period=FQ","BEST_FPERIOD_OVERRIDE=FQ","FILING_STATUS=MR","SCALING_FORMAT=MLN","Sort=A","Dates=H","DateFormat=P","Fill=—","Direction=H","UseDPDF=Y")</f>
        <v>-623</v>
      </c>
      <c r="J30" s="13">
        <f>_xll.BDH("AMGN US Equity","TRAIL_12M_CAP_EXPEND","FQ4 2020","FQ4 2020","Currency=USD","Period=FQ","BEST_FPERIOD_OVERRIDE=FQ","FILING_STATUS=MR","SCALING_FORMAT=MLN","Sort=A","Dates=H","DateFormat=P","Fill=—","Direction=H","UseDPDF=Y")</f>
        <v>-608</v>
      </c>
      <c r="K30" s="13">
        <f>_xll.BDH("AMGN US Equity","TRAIL_12M_CAP_EXPEND","FQ1 2021","FQ1 2021","Currency=USD","Period=FQ","BEST_FPERIOD_OVERRIDE=FQ","FILING_STATUS=MR","SCALING_FORMAT=MLN","Sort=A","Dates=H","DateFormat=P","Fill=—","Direction=H","UseDPDF=Y")</f>
        <v>-632</v>
      </c>
      <c r="L30" s="13">
        <f>_xll.BDH("AMGN US Equity","TRAIL_12M_CAP_EXPEND","FQ2 2021","FQ2 2021","Currency=USD","Period=FQ","BEST_FPERIOD_OVERRIDE=FQ","FILING_STATUS=MR","SCALING_FORMAT=MLN","Sort=A","Dates=H","DateFormat=P","Fill=—","Direction=H","UseDPDF=Y")</f>
        <v>-659</v>
      </c>
      <c r="M30" s="13">
        <f>_xll.BDH("AMGN US Equity","TRAIL_12M_CAP_EXPEND","FQ3 2021","FQ3 2021","Currency=USD","Period=FQ","BEST_FPERIOD_OVERRIDE=FQ","FILING_STATUS=MR","SCALING_FORMAT=MLN","Sort=A","Dates=H","DateFormat=P","Fill=—","Direction=H","UseDPDF=Y")</f>
        <v>-766</v>
      </c>
      <c r="N30" s="13">
        <f>_xll.BDH("AMGN US Equity","TRAIL_12M_CAP_EXPEND","FQ4 2021","FQ4 2021","Currency=USD","Period=FQ","BEST_FPERIOD_OVERRIDE=FQ","FILING_STATUS=MR","SCALING_FORMAT=MLN","Sort=A","Dates=H","DateFormat=P","Fill=—","Direction=H","UseDPDF=Y")</f>
        <v>-880</v>
      </c>
      <c r="O30" s="13">
        <f>_xll.BDH("AMGN US Equity","TRAIL_12M_CAP_EXPEND","FQ1 2022","FQ1 2022","Currency=USD","Period=FQ","BEST_FPERIOD_OVERRIDE=FQ","FILING_STATUS=MR","SCALING_FORMAT=MLN","Sort=A","Dates=H","DateFormat=P","Fill=—","Direction=H","UseDPDF=Y")</f>
        <v>-904</v>
      </c>
      <c r="P30" s="13">
        <f>_xll.BDH("AMGN US Equity","TRAIL_12M_CAP_EXPEND","FQ2 2022","FQ2 2022","Currency=USD","Period=FQ","BEST_FPERIOD_OVERRIDE=FQ","FILING_STATUS=MR","SCALING_FORMAT=MLN","Sort=A","Dates=H","DateFormat=P","Fill=—","Direction=H","UseDPDF=Y")</f>
        <v>-965</v>
      </c>
      <c r="Q30" s="13">
        <f>_xll.BDH("AMGN US Equity","TRAIL_12M_CAP_EXPEND","FQ3 2022","FQ3 2022","Currency=USD","Period=FQ","BEST_FPERIOD_OVERRIDE=FQ","FILING_STATUS=MR","SCALING_FORMAT=MLN","Sort=A","Dates=H","DateFormat=P","Fill=—","Direction=H","UseDPDF=Y")</f>
        <v>-883</v>
      </c>
      <c r="R30" s="13">
        <f>_xll.BDH("AMGN US Equity","TRAIL_12M_CAP_EXPEND","FQ4 2022","FQ4 2022","Currency=USD","Period=FQ","BEST_FPERIOD_OVERRIDE=FQ","FILING_STATUS=MR","SCALING_FORMAT=MLN","Sort=A","Dates=H","DateFormat=P","Fill=—","Direction=H","UseDPDF=Y")</f>
        <v>-936</v>
      </c>
      <c r="S30" s="13">
        <f>_xll.BDH("AMGN US Equity","TRAIL_12M_CAP_EXPEND","FQ1 2023","FQ1 2023","Currency=USD","Period=FQ","BEST_FPERIOD_OVERRIDE=FQ","FILING_STATUS=MR","SCALING_FORMAT=MLN","Sort=A","Dates=H","DateFormat=P","Fill=—","Direction=H","UseDPDF=Y")</f>
        <v>-1090</v>
      </c>
      <c r="T30" s="13">
        <f>_xll.BDH("AMGN US Equity","TRAIL_12M_CAP_EXPEND","FQ2 2023","FQ2 2023","Currency=USD","Period=FQ","BEST_FPERIOD_OVERRIDE=FQ","FILING_STATUS=MR","SCALING_FORMAT=MLN","Sort=A","Dates=H","DateFormat=P","Fill=—","Direction=H","UseDPDF=Y")</f>
        <v>-1115</v>
      </c>
      <c r="U30" s="13">
        <f>_xll.BDH("AMGN US Equity","TRAIL_12M_CAP_EXPEND","FQ3 2023","FQ3 2023","Currency=USD","Period=FQ","BEST_FPERIOD_OVERRIDE=FQ","FILING_STATUS=MR","SCALING_FORMAT=MLN","Sort=A","Dates=H","DateFormat=P","Fill=—","Direction=H","UseDPDF=Y")</f>
        <v>-1203</v>
      </c>
      <c r="V30" s="13">
        <f>_xll.BDH("AMGN US Equity","TRAIL_12M_CAP_EXPEND","FQ4 2023","FQ4 2023","Currency=USD","Period=FQ","BEST_FPERIOD_OVERRIDE=FQ","FILING_STATUS=MR","SCALING_FORMAT=MLN","Sort=A","Dates=H","DateFormat=P","Fill=—","Direction=H","UseDPDF=Y")</f>
        <v>-1112</v>
      </c>
      <c r="W30" s="13">
        <f>_xll.BDH("AMGN US Equity","TRAIL_12M_CAP_EXPEND","FQ1 2024","FQ1 2024","Currency=USD","Period=FQ","BEST_FPERIOD_OVERRIDE=FQ","FILING_STATUS=MR","SCALING_FORMAT=MLN","Sort=A","Dates=H","DateFormat=P","Fill=—","Direction=H","UseDPDF=Y")</f>
        <v>-998</v>
      </c>
      <c r="X30" s="13">
        <f>_xll.BDH("AMGN US Equity","TRAIL_12M_CAP_EXPEND","FQ2 2024","FQ2 2024","Currency=USD","Period=FQ","BEST_FPERIOD_OVERRIDE=FQ","FILING_STATUS=MR","SCALING_FORMAT=MLN","Sort=A","Dates=H","DateFormat=P","Fill=—","Direction=H","UseDPDF=Y")</f>
        <v>-965</v>
      </c>
      <c r="Y30" s="13">
        <f>_xll.BDH("AMGN US Equity","TRAIL_12M_CAP_EXPEND","FQ3 2024","FQ3 2024","Currency=USD","Period=FQ","BEST_FPERIOD_OVERRIDE=FQ","FILING_STATUS=MR","SCALING_FORMAT=MLN","Sort=A","Dates=H","DateFormat=P","Fill=—","Direction=H","UseDPDF=Y")</f>
        <v>-974</v>
      </c>
      <c r="Z30" s="13">
        <f>_xll.BDH("AMGN US Equity","TRAIL_12M_CAP_EXPEND","FQ4 2024","FQ4 2024","Currency=USD","Period=FQ","BEST_FPERIOD_OVERRIDE=FQ","FILING_STATUS=MR","SCALING_FORMAT=MLN","Sort=A","Dates=H","DateFormat=P","Fill=—","Direction=H","UseDPDF=Y")</f>
        <v>-1096</v>
      </c>
      <c r="AA30" s="13"/>
    </row>
    <row r="31" spans="1:27" x14ac:dyDescent="0.25">
      <c r="A31" s="10" t="s">
        <v>1689</v>
      </c>
      <c r="B31" s="10" t="s">
        <v>1690</v>
      </c>
      <c r="C31" s="13">
        <f>_xll.BDH("AMGN US Equity","AFTER_TAX_INTEREST_EXPENSE","FQ1 2019","FQ1 2019","Currency=USD","Period=FQ","BEST_FPERIOD_OVERRIDE=FQ","FILING_STATUS=MR","SCALING_FORMAT=MLN","FA_ADJUSTED=GAAP","Sort=A","Dates=H","DateFormat=P","Fill=—","Direction=H","UseDPDF=Y")</f>
        <v>1220.8631</v>
      </c>
      <c r="D31" s="13">
        <f>_xll.BDH("AMGN US Equity","AFTER_TAX_INTEREST_EXPENSE","FQ2 2019","FQ2 2019","Currency=USD","Period=FQ","BEST_FPERIOD_OVERRIDE=FQ","FILING_STATUS=MR","SCALING_FORMAT=MLN","FA_ADJUSTED=GAAP","Sort=A","Dates=H","DateFormat=P","Fill=—","Direction=H","UseDPDF=Y")</f>
        <v>1201.0436</v>
      </c>
      <c r="E31" s="13">
        <f>_xll.BDH("AMGN US Equity","AFTER_TAX_INTEREST_EXPENSE","FQ3 2019","FQ3 2019","Currency=USD","Period=FQ","BEST_FPERIOD_OVERRIDE=FQ","FILING_STATUS=MR","SCALING_FORMAT=MLN","FA_ADJUSTED=GAAP","Sort=A","Dates=H","DateFormat=P","Fill=—","Direction=H","UseDPDF=Y")</f>
        <v>1157.364</v>
      </c>
      <c r="F31" s="13">
        <f>_xll.BDH("AMGN US Equity","AFTER_TAX_INTEREST_EXPENSE","FQ4 2019","FQ4 2019","Currency=USD","Period=FQ","BEST_FPERIOD_OVERRIDE=FQ","FILING_STATUS=MR","SCALING_FORMAT=MLN","FA_ADJUSTED=GAAP","Sort=A","Dates=H","DateFormat=P","Fill=—","Direction=H","UseDPDF=Y")</f>
        <v>1106.1871000000001</v>
      </c>
      <c r="G31" s="13">
        <f>_xll.BDH("AMGN US Equity","AFTER_TAX_INTEREST_EXPENSE","FQ1 2020","FQ1 2020","Currency=USD","Period=FQ","BEST_FPERIOD_OVERRIDE=FQ","FILING_STATUS=MR","SCALING_FORMAT=MLN","FA_ADJUSTED=GAAP","Sort=A","Dates=H","DateFormat=P","Fill=—","Direction=H","UseDPDF=Y")</f>
        <v>1121.2234000000001</v>
      </c>
      <c r="H31" s="13">
        <f>_xll.BDH("AMGN US Equity","AFTER_TAX_INTEREST_EXPENSE","FQ2 2020","FQ2 2020","Currency=USD","Period=FQ","BEST_FPERIOD_OVERRIDE=FQ","FILING_STATUS=MR","SCALING_FORMAT=MLN","FA_ADJUSTED=GAAP","Sort=A","Dates=H","DateFormat=P","Fill=—","Direction=H","UseDPDF=Y")</f>
        <v>1103.1941999999999</v>
      </c>
      <c r="I31" s="13">
        <f>_xll.BDH("AMGN US Equity","AFTER_TAX_INTEREST_EXPENSE","FQ3 2020","FQ3 2020","Currency=USD","Period=FQ","BEST_FPERIOD_OVERRIDE=FQ","FILING_STATUS=MR","SCALING_FORMAT=MLN","FA_ADJUSTED=GAAP","Sort=A","Dates=H","DateFormat=P","Fill=—","Direction=H","UseDPDF=Y")</f>
        <v>1110.9648999999999</v>
      </c>
      <c r="J31" s="13">
        <f>_xll.BDH("AMGN US Equity","AFTER_TAX_INTEREST_EXPENSE","FQ4 2020","FQ4 2020","Currency=USD","Period=FQ","BEST_FPERIOD_OVERRIDE=FQ","FILING_STATUS=MR","SCALING_FORMAT=MLN","FA_ADJUSTED=GAAP","Sort=A","Dates=H","DateFormat=P","Fill=—","Direction=H","UseDPDF=Y")</f>
        <v>1127.1569999999999</v>
      </c>
      <c r="K31" s="13">
        <f>_xll.BDH("AMGN US Equity","AFTER_TAX_INTEREST_EXPENSE","FQ1 2021","FQ1 2021","Currency=USD","Period=FQ","BEST_FPERIOD_OVERRIDE=FQ","FILING_STATUS=MR","SCALING_FORMAT=MLN","FA_ADJUSTED=GAAP","Sort=A","Dates=H","DateFormat=P","Fill=—","Direction=H","UseDPDF=Y")</f>
        <v>1067.6393</v>
      </c>
      <c r="L31" s="13">
        <f>_xll.BDH("AMGN US Equity","AFTER_TAX_INTEREST_EXPENSE","FQ2 2021","FQ2 2021","Currency=USD","Period=FQ","BEST_FPERIOD_OVERRIDE=FQ","FILING_STATUS=MR","SCALING_FORMAT=MLN","FA_ADJUSTED=GAAP","Sort=A","Dates=H","DateFormat=P","Fill=—","Direction=H","UseDPDF=Y")</f>
        <v>1048.7466999999999</v>
      </c>
      <c r="M31" s="13">
        <f>_xll.BDH("AMGN US Equity","AFTER_TAX_INTEREST_EXPENSE","FQ3 2021","FQ3 2021","Currency=USD","Period=FQ","BEST_FPERIOD_OVERRIDE=FQ","FILING_STATUS=MR","SCALING_FORMAT=MLN","FA_ADJUSTED=GAAP","Sort=A","Dates=H","DateFormat=P","Fill=—","Direction=H","UseDPDF=Y")</f>
        <v>1026.6201000000001</v>
      </c>
      <c r="N31" s="13">
        <f>_xll.BDH("AMGN US Equity","AFTER_TAX_INTEREST_EXPENSE","FQ4 2021","FQ4 2021","Currency=USD","Period=FQ","BEST_FPERIOD_OVERRIDE=FQ","FILING_STATUS=MR","SCALING_FORMAT=MLN","FA_ADJUSTED=GAAP","Sort=A","Dates=H","DateFormat=P","Fill=—","Direction=H","UseDPDF=Y")</f>
        <v>1052.6668999999999</v>
      </c>
      <c r="O31" s="13">
        <f>_xll.BDH("AMGN US Equity","AFTER_TAX_INTEREST_EXPENSE","FQ1 2022","FQ1 2022","Currency=USD","Period=FQ","BEST_FPERIOD_OVERRIDE=FQ","FILING_STATUS=MR","SCALING_FORMAT=MLN","FA_ADJUSTED=GAAP","Sort=A","Dates=H","DateFormat=P","Fill=—","Direction=H","UseDPDF=Y")</f>
        <v>1059.6197</v>
      </c>
      <c r="P31" s="13">
        <f>_xll.BDH("AMGN US Equity","AFTER_TAX_INTEREST_EXPENSE","FQ2 2022","FQ2 2022","Currency=USD","Period=FQ","BEST_FPERIOD_OVERRIDE=FQ","FILING_STATUS=MR","SCALING_FORMAT=MLN","FA_ADJUSTED=GAAP","Sort=A","Dates=H","DateFormat=P","Fill=—","Direction=H","UseDPDF=Y")</f>
        <v>1100.6813</v>
      </c>
      <c r="Q31" s="13">
        <f>_xll.BDH("AMGN US Equity","AFTER_TAX_INTEREST_EXPENSE","FQ3 2022","FQ3 2022","Currency=USD","Period=FQ","BEST_FPERIOD_OVERRIDE=FQ","FILING_STATUS=MR","SCALING_FORMAT=MLN","FA_ADJUSTED=GAAP","Sort=A","Dates=H","DateFormat=P","Fill=—","Direction=H","UseDPDF=Y")</f>
        <v>1172.6239</v>
      </c>
      <c r="R31" s="13">
        <f>_xll.BDH("AMGN US Equity","AFTER_TAX_INTEREST_EXPENSE","FQ4 2022","FQ4 2022","Currency=USD","Period=FQ","BEST_FPERIOD_OVERRIDE=FQ","FILING_STATUS=MR","SCALING_FORMAT=MLN","FA_ADJUSTED=GAAP","Sort=A","Dates=H","DateFormat=P","Fill=—","Direction=H","UseDPDF=Y")</f>
        <v>1254.0309999999999</v>
      </c>
      <c r="S31" s="13">
        <f>_xll.BDH("AMGN US Equity","AFTER_TAX_INTEREST_EXPENSE","FQ1 2023","FQ1 2023","Currency=USD","Period=FQ","BEST_FPERIOD_OVERRIDE=FQ","FILING_STATUS=MR","SCALING_FORMAT=MLN","FA_ADJUSTED=GAAP","Sort=A","Dates=H","DateFormat=P","Fill=—","Direction=H","UseDPDF=Y")</f>
        <v>1436.9272000000001</v>
      </c>
      <c r="T31" s="13">
        <f>_xll.BDH("AMGN US Equity","AFTER_TAX_INTEREST_EXPENSE","FQ2 2023","FQ2 2023","Currency=USD","Period=FQ","BEST_FPERIOD_OVERRIDE=FQ","FILING_STATUS=MR","SCALING_FORMAT=MLN","FA_ADJUSTED=GAAP","Sort=A","Dates=H","DateFormat=P","Fill=—","Direction=H","UseDPDF=Y")</f>
        <v>1802.9972</v>
      </c>
      <c r="U31" s="13">
        <f>_xll.BDH("AMGN US Equity","AFTER_TAX_INTEREST_EXPENSE","FQ3 2023","FQ3 2023","Currency=USD","Period=FQ","BEST_FPERIOD_OVERRIDE=FQ","FILING_STATUS=MR","SCALING_FORMAT=MLN","FA_ADJUSTED=GAAP","Sort=A","Dates=H","DateFormat=P","Fill=—","Direction=H","UseDPDF=Y")</f>
        <v>2134.6651000000002</v>
      </c>
      <c r="V31" s="13">
        <f>_xll.BDH("AMGN US Equity","AFTER_TAX_INTEREST_EXPENSE","FQ4 2023","FQ4 2023","Currency=USD","Period=FQ","BEST_FPERIOD_OVERRIDE=FQ","FILING_STATUS=MR","SCALING_FORMAT=MLN","FA_ADJUSTED=GAAP","Sort=A","Dates=H","DateFormat=P","Fill=—","Direction=H","UseDPDF=Y")</f>
        <v>2458.4819000000002</v>
      </c>
      <c r="W31" s="13">
        <f>_xll.BDH("AMGN US Equity","AFTER_TAX_INTEREST_EXPENSE","FQ1 2024","FQ1 2024","Currency=USD","Period=FQ","BEST_FPERIOD_OVERRIDE=FQ","FILING_STATUS=MR","SCALING_FORMAT=MLN","FA_ADJUSTED=GAAP","Sort=A","Dates=H","DateFormat=P","Fill=—","Direction=H","UseDPDF=Y")</f>
        <v>2733.2631000000001</v>
      </c>
      <c r="X31" s="13">
        <f>_xll.BDH("AMGN US Equity","AFTER_TAX_INTEREST_EXPENSE","FQ2 2024","FQ2 2024","Currency=USD","Period=FQ","BEST_FPERIOD_OVERRIDE=FQ","FILING_STATUS=MR","SCALING_FORMAT=MLN","FA_ADJUSTED=GAAP","Sort=A","Dates=H","DateFormat=P","Fill=—","Direction=H","UseDPDF=Y")</f>
        <v>2852.0738000000001</v>
      </c>
      <c r="Y31" s="13">
        <f>_xll.BDH("AMGN US Equity","AFTER_TAX_INTEREST_EXPENSE","FQ3 2024","FQ3 2024","Currency=USD","Period=FQ","BEST_FPERIOD_OVERRIDE=FQ","FILING_STATUS=MR","SCALING_FORMAT=MLN","FA_ADJUSTED=GAAP","Sort=A","Dates=H","DateFormat=P","Fill=—","Direction=H","UseDPDF=Y")</f>
        <v>2919.143</v>
      </c>
      <c r="Z31" s="13">
        <f>_xll.BDH("AMGN US Equity","AFTER_TAX_INTEREST_EXPENSE","FQ4 2024","FQ4 2024","Currency=USD","Period=FQ","BEST_FPERIOD_OVERRIDE=FQ","FILING_STATUS=MR","SCALING_FORMAT=MLN","FA_ADJUSTED=GAAP","Sort=A","Dates=H","DateFormat=P","Fill=—","Direction=H","UseDPDF=Y")</f>
        <v>2799.7287999999999</v>
      </c>
      <c r="AA31" s="13"/>
    </row>
    <row r="32" spans="1:27" x14ac:dyDescent="0.25">
      <c r="A32" s="6" t="s">
        <v>1691</v>
      </c>
      <c r="B32" s="6" t="s">
        <v>205</v>
      </c>
      <c r="C32" s="19">
        <f>_xll.BDH("AMGN US Equity","TRAIL_12M_FREE_CASH_FLOW_FIRM","FQ1 2019","FQ1 2019","Currency=USD","Period=FQ","BEST_FPERIOD_OVERRIDE=FQ","FILING_STATUS=MR","SCALING_FORMAT=MLN","FA_ADJUSTED=GAAP","Sort=A","Dates=H","DateFormat=P","Fill=—","Direction=H","UseDPDF=Y")</f>
        <v>10935.8631</v>
      </c>
      <c r="D32" s="19">
        <f>_xll.BDH("AMGN US Equity","TRAIL_12M_FREE_CASH_FLOW_FIRM","FQ2 2019","FQ2 2019","Currency=USD","Period=FQ","BEST_FPERIOD_OVERRIDE=FQ","FILING_STATUS=MR","SCALING_FORMAT=MLN","FA_ADJUSTED=GAAP","Sort=A","Dates=H","DateFormat=P","Fill=—","Direction=H","UseDPDF=Y")</f>
        <v>10271.043600000001</v>
      </c>
      <c r="E32" s="19">
        <f>_xll.BDH("AMGN US Equity","TRAIL_12M_FREE_CASH_FLOW_FIRM","FQ3 2019","FQ3 2019","Currency=USD","Period=FQ","BEST_FPERIOD_OVERRIDE=FQ","FILING_STATUS=MR","SCALING_FORMAT=MLN","FA_ADJUSTED=GAAP","Sort=A","Dates=H","DateFormat=P","Fill=—","Direction=H","UseDPDF=Y")</f>
        <v>10332.364</v>
      </c>
      <c r="F32" s="19">
        <f>_xll.BDH("AMGN US Equity","TRAIL_12M_FREE_CASH_FLOW_FIRM","FQ4 2019","FQ4 2019","Currency=USD","Period=FQ","BEST_FPERIOD_OVERRIDE=FQ","FILING_STATUS=MR","SCALING_FORMAT=MLN","FA_ADJUSTED=GAAP","Sort=A","Dates=H","DateFormat=P","Fill=—","Direction=H","UseDPDF=Y")</f>
        <v>9638.1870999999992</v>
      </c>
      <c r="G32" s="19">
        <f>_xll.BDH("AMGN US Equity","TRAIL_12M_FREE_CASH_FLOW_FIRM","FQ1 2020","FQ1 2020","Currency=USD","Period=FQ","BEST_FPERIOD_OVERRIDE=FQ","FILING_STATUS=MR","SCALING_FORMAT=MLN","FA_ADJUSTED=GAAP","Sort=A","Dates=H","DateFormat=P","Fill=—","Direction=H","UseDPDF=Y")</f>
        <v>9916.2234000000008</v>
      </c>
      <c r="H32" s="19">
        <f>_xll.BDH("AMGN US Equity","TRAIL_12M_FREE_CASH_FLOW_FIRM","FQ2 2020","FQ2 2020","Currency=USD","Period=FQ","BEST_FPERIOD_OVERRIDE=FQ","FILING_STATUS=MR","SCALING_FORMAT=MLN","FA_ADJUSTED=GAAP","Sort=A","Dates=H","DateFormat=P","Fill=—","Direction=H","UseDPDF=Y")</f>
        <v>11312.1942</v>
      </c>
      <c r="I32" s="19">
        <f>_xll.BDH("AMGN US Equity","TRAIL_12M_FREE_CASH_FLOW_FIRM","FQ3 2020","FQ3 2020","Currency=USD","Period=FQ","BEST_FPERIOD_OVERRIDE=FQ","FILING_STATUS=MR","SCALING_FORMAT=MLN","FA_ADJUSTED=GAAP","Sort=A","Dates=H","DateFormat=P","Fill=—","Direction=H","UseDPDF=Y")</f>
        <v>11345.964900000001</v>
      </c>
      <c r="J32" s="19">
        <f>_xll.BDH("AMGN US Equity","TRAIL_12M_FREE_CASH_FLOW_FIRM","FQ4 2020","FQ4 2020","Currency=USD","Period=FQ","BEST_FPERIOD_OVERRIDE=FQ","FILING_STATUS=MR","SCALING_FORMAT=MLN","FA_ADJUSTED=GAAP","Sort=A","Dates=H","DateFormat=P","Fill=—","Direction=H","UseDPDF=Y")</f>
        <v>11276.156999999999</v>
      </c>
      <c r="K32" s="19">
        <f>_xll.BDH("AMGN US Equity","TRAIL_12M_FREE_CASH_FLOW_FIRM","FQ1 2021","FQ1 2021","Currency=USD","Period=FQ","BEST_FPERIOD_OVERRIDE=FQ","FILING_STATUS=MR","SCALING_FORMAT=MLN","FA_ADJUSTED=GAAP","Sort=A","Dates=H","DateFormat=P","Fill=—","Direction=H","UseDPDF=Y")</f>
        <v>11162.639300000001</v>
      </c>
      <c r="L32" s="19">
        <f>_xll.BDH("AMGN US Equity","TRAIL_12M_FREE_CASH_FLOW_FIRM","FQ2 2021","FQ2 2021","Currency=USD","Period=FQ","BEST_FPERIOD_OVERRIDE=FQ","FILING_STATUS=MR","SCALING_FORMAT=MLN","FA_ADJUSTED=GAAP","Sort=A","Dates=H","DateFormat=P","Fill=—","Direction=H","UseDPDF=Y")</f>
        <v>10205.7467</v>
      </c>
      <c r="M32" s="19">
        <f>_xll.BDH("AMGN US Equity","TRAIL_12M_FREE_CASH_FLOW_FIRM","FQ3 2021","FQ3 2021","Currency=USD","Period=FQ","BEST_FPERIOD_OVERRIDE=FQ","FILING_STATUS=MR","SCALING_FORMAT=MLN","FA_ADJUSTED=GAAP","Sort=A","Dates=H","DateFormat=P","Fill=—","Direction=H","UseDPDF=Y")</f>
        <v>9126.6201000000001</v>
      </c>
      <c r="N32" s="19">
        <f>_xll.BDH("AMGN US Equity","TRAIL_12M_FREE_CASH_FLOW_FIRM","FQ4 2021","FQ4 2021","Currency=USD","Period=FQ","BEST_FPERIOD_OVERRIDE=FQ","FILING_STATUS=MR","SCALING_FORMAT=MLN","FA_ADJUSTED=GAAP","Sort=A","Dates=H","DateFormat=P","Fill=—","Direction=H","UseDPDF=Y")</f>
        <v>9433.6669000000002</v>
      </c>
      <c r="O32" s="19">
        <f>_xll.BDH("AMGN US Equity","TRAIL_12M_FREE_CASH_FLOW_FIRM","FQ1 2022","FQ1 2022","Currency=USD","Period=FQ","BEST_FPERIOD_OVERRIDE=FQ","FILING_STATUS=MR","SCALING_FORMAT=MLN","FA_ADJUSTED=GAAP","Sort=A","Dates=H","DateFormat=P","Fill=—","Direction=H","UseDPDF=Y")</f>
        <v>9476.6196999999993</v>
      </c>
      <c r="P32" s="19">
        <f>_xll.BDH("AMGN US Equity","TRAIL_12M_FREE_CASH_FLOW_FIRM","FQ2 2022","FQ2 2022","Currency=USD","Period=FQ","BEST_FPERIOD_OVERRIDE=FQ","FILING_STATUS=MR","SCALING_FORMAT=MLN","FA_ADJUSTED=GAAP","Sort=A","Dates=H","DateFormat=P","Fill=—","Direction=H","UseDPDF=Y")</f>
        <v>9455.6813000000002</v>
      </c>
      <c r="Q32" s="19">
        <f>_xll.BDH("AMGN US Equity","TRAIL_12M_FREE_CASH_FLOW_FIRM","FQ3 2022","FQ3 2022","Currency=USD","Period=FQ","BEST_FPERIOD_OVERRIDE=FQ","FILING_STATUS=MR","SCALING_FORMAT=MLN","FA_ADJUSTED=GAAP","Sort=A","Dates=H","DateFormat=P","Fill=—","Direction=H","UseDPDF=Y")</f>
        <v>10169.623900000001</v>
      </c>
      <c r="R32" s="19">
        <f>_xll.BDH("AMGN US Equity","TRAIL_12M_FREE_CASH_FLOW_FIRM","FQ4 2022","FQ4 2022","Currency=USD","Period=FQ","BEST_FPERIOD_OVERRIDE=FQ","FILING_STATUS=MR","SCALING_FORMAT=MLN","FA_ADJUSTED=GAAP","Sort=A","Dates=H","DateFormat=P","Fill=—","Direction=H","UseDPDF=Y")</f>
        <v>10039.031000000001</v>
      </c>
      <c r="S32" s="19">
        <f>_xll.BDH("AMGN US Equity","TRAIL_12M_FREE_CASH_FLOW_FIRM","FQ1 2023","FQ1 2023","Currency=USD","Period=FQ","BEST_FPERIOD_OVERRIDE=FQ","FILING_STATUS=MR","SCALING_FORMAT=MLN","FA_ADJUSTED=GAAP","Sort=A","Dates=H","DateFormat=P","Fill=—","Direction=H","UseDPDF=Y")</f>
        <v>8967.9272000000001</v>
      </c>
      <c r="T32" s="19">
        <f>_xll.BDH("AMGN US Equity","TRAIL_12M_FREE_CASH_FLOW_FIRM","FQ2 2023","FQ2 2023","Currency=USD","Period=FQ","BEST_FPERIOD_OVERRIDE=FQ","FILING_STATUS=MR","SCALING_FORMAT=MLN","FA_ADJUSTED=GAAP","Sort=A","Dates=H","DateFormat=P","Fill=—","Direction=H","UseDPDF=Y")</f>
        <v>11487.9972</v>
      </c>
      <c r="U32" s="19">
        <f>_xll.BDH("AMGN US Equity","TRAIL_12M_FREE_CASH_FLOW_FIRM","FQ3 2023","FQ3 2023","Currency=USD","Period=FQ","BEST_FPERIOD_OVERRIDE=FQ","FILING_STATUS=MR","SCALING_FORMAT=MLN","FA_ADJUSTED=GAAP","Sort=A","Dates=H","DateFormat=P","Fill=—","Direction=H","UseDPDF=Y")</f>
        <v>11513.6651</v>
      </c>
      <c r="V32" s="19">
        <f>_xll.BDH("AMGN US Equity","TRAIL_12M_FREE_CASH_FLOW_FIRM","FQ4 2023","FQ4 2023","Currency=USD","Period=FQ","BEST_FPERIOD_OVERRIDE=FQ","FILING_STATUS=MR","SCALING_FORMAT=MLN","FA_ADJUSTED=GAAP","Sort=A","Dates=H","DateFormat=P","Fill=—","Direction=H","UseDPDF=Y")</f>
        <v>9817.4819000000007</v>
      </c>
      <c r="W32" s="19">
        <f>_xll.BDH("AMGN US Equity","TRAIL_12M_FREE_CASH_FLOW_FIRM","FQ1 2024","FQ1 2024","Currency=USD","Period=FQ","BEST_FPERIOD_OVERRIDE=FQ","FILING_STATUS=MR","SCALING_FORMAT=MLN","FA_ADJUSTED=GAAP","Sort=A","Dates=H","DateFormat=P","Fill=—","Direction=H","UseDPDF=Y")</f>
        <v>9831.2631000000001</v>
      </c>
      <c r="X32" s="19">
        <f>_xll.BDH("AMGN US Equity","TRAIL_12M_FREE_CASH_FLOW_FIRM","FQ2 2024","FQ2 2024","Currency=USD","Period=FQ","BEST_FPERIOD_OVERRIDE=FQ","FILING_STATUS=MR","SCALING_FORMAT=MLN","FA_ADJUSTED=GAAP","Sort=A","Dates=H","DateFormat=P","Fill=—","Direction=H","UseDPDF=Y")</f>
        <v>8333.0738000000001</v>
      </c>
      <c r="Y32" s="19">
        <f>_xll.BDH("AMGN US Equity","TRAIL_12M_FREE_CASH_FLOW_FIRM","FQ3 2024","FQ3 2024","Currency=USD","Period=FQ","BEST_FPERIOD_OVERRIDE=FQ","FILING_STATUS=MR","SCALING_FORMAT=MLN","FA_ADJUSTED=GAAP","Sort=A","Dates=H","DateFormat=P","Fill=—","Direction=H","UseDPDF=Y")</f>
        <v>9202.143</v>
      </c>
      <c r="Z32" s="19">
        <f>_xll.BDH("AMGN US Equity","TRAIL_12M_FREE_CASH_FLOW_FIRM","FQ4 2024","FQ4 2024","Currency=USD","Period=FQ","BEST_FPERIOD_OVERRIDE=FQ","FILING_STATUS=MR","SCALING_FORMAT=MLN","FA_ADJUSTED=GAAP","Sort=A","Dates=H","DateFormat=P","Fill=—","Direction=H","UseDPDF=Y")</f>
        <v>13193.728800000001</v>
      </c>
      <c r="AA32" s="19"/>
    </row>
    <row r="33" spans="1:27" x14ac:dyDescent="0.25">
      <c r="A33" s="11" t="s">
        <v>1692</v>
      </c>
      <c r="B33" s="11" t="s">
        <v>69</v>
      </c>
      <c r="C33" s="25">
        <f>_xll.BDH("AMGN US Equity","ENTERPRISE_VALUE","FQ1 2019","FQ1 2019","Currency=USD","Period=FQ","BEST_FPERIOD_OVERRIDE=FQ","FILING_STATUS=MR","SCALING_FORMAT=MLN","Sort=A","Dates=H","DateFormat=P","Fill=—","Direction=H","UseDPDF=Y")</f>
        <v>123934.712</v>
      </c>
      <c r="D33" s="25">
        <f>_xll.BDH("AMGN US Equity","ENTERPRISE_VALUE","FQ2 2019","FQ2 2019","Currency=USD","Period=FQ","BEST_FPERIOD_OVERRIDE=FQ","FILING_STATUS=MR","SCALING_FORMAT=MLN","Sort=A","Dates=H","DateFormat=P","Fill=—","Direction=H","UseDPDF=Y")</f>
        <v>120307.988</v>
      </c>
      <c r="E33" s="25">
        <f>_xll.BDH("AMGN US Equity","ENTERPRISE_VALUE","FQ3 2019","FQ3 2019","Currency=USD","Period=FQ","BEST_FPERIOD_OVERRIDE=FQ","FILING_STATUS=MR","SCALING_FORMAT=MLN","Sort=A","Dates=H","DateFormat=P","Fill=—","Direction=H","UseDPDF=Y")</f>
        <v>124794.662</v>
      </c>
      <c r="F33" s="25">
        <f>_xll.BDH("AMGN US Equity","ENTERPRISE_VALUE","FQ4 2019","FQ4 2019","Currency=USD","Period=FQ","BEST_FPERIOD_OVERRIDE=FQ","FILING_STATUS=MR","SCALING_FORMAT=MLN","Sort=A","Dates=H","DateFormat=P","Fill=—","Direction=H","UseDPDF=Y")</f>
        <v>164088.79800000001</v>
      </c>
      <c r="G33" s="25">
        <f>_xll.BDH("AMGN US Equity","ENTERPRISE_VALUE","FQ1 2020","FQ1 2020","Currency=USD","Period=FQ","BEST_FPERIOD_OVERRIDE=FQ","FILING_STATUS=MR","SCALING_FORMAT=MLN","Sort=A","Dates=H","DateFormat=P","Fill=—","Direction=H","UseDPDF=Y")</f>
        <v>143041.24</v>
      </c>
      <c r="H33" s="25">
        <f>_xll.BDH("AMGN US Equity","ENTERPRISE_VALUE","FQ2 2020","FQ2 2020","Currency=USD","Period=FQ","BEST_FPERIOD_OVERRIDE=FQ","FILING_STATUS=MR","SCALING_FORMAT=MLN","Sort=A","Dates=H","DateFormat=P","Fill=—","Direction=H","UseDPDF=Y")</f>
        <v>161111.304</v>
      </c>
      <c r="I33" s="25">
        <f>_xll.BDH("AMGN US Equity","ENTERPRISE_VALUE","FQ3 2020","FQ3 2020","Currency=USD","Period=FQ","BEST_FPERIOD_OVERRIDE=FQ","FILING_STATUS=MR","SCALING_FORMAT=MLN","Sort=A","Dates=H","DateFormat=P","Fill=—","Direction=H","UseDPDF=Y")</f>
        <v>170229.36</v>
      </c>
      <c r="J33" s="25">
        <f>_xll.BDH("AMGN US Equity","ENTERPRISE_VALUE","FQ4 2020","FQ4 2020","Currency=USD","Period=FQ","BEST_FPERIOD_OVERRIDE=FQ","FILING_STATUS=MR","SCALING_FORMAT=MLN","Sort=A","Dates=H","DateFormat=P","Fill=—","Direction=H","UseDPDF=Y")</f>
        <v>155760.736</v>
      </c>
      <c r="K33" s="25">
        <f>_xll.BDH("AMGN US Equity","ENTERPRISE_VALUE","FQ1 2021","FQ1 2021","Currency=USD","Period=FQ","BEST_FPERIOD_OVERRIDE=FQ","FILING_STATUS=MR","SCALING_FORMAT=MLN","Sort=A","Dates=H","DateFormat=P","Fill=—","Direction=H","UseDPDF=Y")</f>
        <v>165259.39300000001</v>
      </c>
      <c r="L33" s="25">
        <f>_xll.BDH("AMGN US Equity","ENTERPRISE_VALUE","FQ2 2021","FQ2 2021","Currency=USD","Period=FQ","BEST_FPERIOD_OVERRIDE=FQ","FILING_STATUS=MR","SCALING_FORMAT=MLN","Sort=A","Dates=H","DateFormat=P","Fill=—","Direction=H","UseDPDF=Y")</f>
        <v>163540</v>
      </c>
      <c r="M33" s="25">
        <f>_xll.BDH("AMGN US Equity","ENTERPRISE_VALUE","FQ3 2021","FQ3 2021","Currency=USD","Period=FQ","BEST_FPERIOD_OVERRIDE=FQ","FILING_STATUS=MR","SCALING_FORMAT=MLN","Sort=A","Dates=H","DateFormat=P","Fill=—","Direction=H","UseDPDF=Y")</f>
        <v>144805.25</v>
      </c>
      <c r="N33" s="25">
        <f>_xll.BDH("AMGN US Equity","ENTERPRISE_VALUE","FQ4 2021","FQ4 2021","Currency=USD","Period=FQ","BEST_FPERIOD_OVERRIDE=FQ","FILING_STATUS=MR","SCALING_FORMAT=MLN","Sort=A","Dates=H","DateFormat=P","Fill=—","Direction=H","UseDPDF=Y")</f>
        <v>146075.98000000001</v>
      </c>
      <c r="O33" s="25">
        <f>_xll.BDH("AMGN US Equity","ENTERPRISE_VALUE","FQ1 2022","FQ1 2022","Currency=USD","Period=FQ","BEST_FPERIOD_OVERRIDE=FQ","FILING_STATUS=MR","SCALING_FORMAT=MLN","Sort=A","Dates=H","DateFormat=P","Fill=—","Direction=H","UseDPDF=Y")</f>
        <v>159490.24400000001</v>
      </c>
      <c r="P33" s="25">
        <f>_xll.BDH("AMGN US Equity","ENTERPRISE_VALUE","FQ2 2022","FQ2 2022","Currency=USD","Period=FQ","BEST_FPERIOD_OVERRIDE=FQ","FILING_STATUS=MR","SCALING_FORMAT=MLN","Sort=A","Dates=H","DateFormat=P","Fill=—","Direction=H","UseDPDF=Y")</f>
        <v>159480.17000000001</v>
      </c>
      <c r="Q33" s="25">
        <f>_xll.BDH("AMGN US Equity","ENTERPRISE_VALUE","FQ3 2022","FQ3 2022","Currency=USD","Period=FQ","BEST_FPERIOD_OVERRIDE=FQ","FILING_STATUS=MR","SCALING_FORMAT=MLN","Sort=A","Dates=H","DateFormat=P","Fill=—","Direction=H","UseDPDF=Y")</f>
        <v>147476.9</v>
      </c>
      <c r="R33" s="25">
        <f>_xll.BDH("AMGN US Equity","ENTERPRISE_VALUE","FQ4 2022","FQ4 2022","Currency=USD","Period=FQ","BEST_FPERIOD_OVERRIDE=FQ","FILING_STATUS=MR","SCALING_FORMAT=MLN","Sort=A","Dates=H","DateFormat=P","Fill=—","Direction=H","UseDPDF=Y")</f>
        <v>170584.76</v>
      </c>
      <c r="S33" s="25">
        <f>_xll.BDH("AMGN US Equity","ENTERPRISE_VALUE","FQ1 2023","FQ1 2023","Currency=USD","Period=FQ","BEST_FPERIOD_OVERRIDE=FQ","FILING_STATUS=MR","SCALING_FORMAT=MLN","Sort=A","Dates=H","DateFormat=P","Fill=—","Direction=H","UseDPDF=Y")</f>
        <v>159201.02499999999</v>
      </c>
      <c r="T33" s="25">
        <f>_xll.BDH("AMGN US Equity","ENTERPRISE_VALUE","FQ2 2023","FQ2 2023","Currency=USD","Period=FQ","BEST_FPERIOD_OVERRIDE=FQ","FILING_STATUS=MR","SCALING_FORMAT=MLN","Sort=A","Dates=H","DateFormat=P","Fill=—","Direction=H","UseDPDF=Y")</f>
        <v>146054.49799999999</v>
      </c>
      <c r="U33" s="25">
        <f>_xll.BDH("AMGN US Equity","ENTERPRISE_VALUE","FQ3 2023","FQ3 2023","Currency=USD","Period=FQ","BEST_FPERIOD_OVERRIDE=FQ","FILING_STATUS=MR","SCALING_FORMAT=MLN","Sort=A","Dates=H","DateFormat=P","Fill=—","Direction=H","UseDPDF=Y")</f>
        <v>169540.476</v>
      </c>
      <c r="V33" s="25">
        <f>_xll.BDH("AMGN US Equity","ENTERPRISE_VALUE","FQ4 2023","FQ4 2023","Currency=USD","Period=FQ","BEST_FPERIOD_OVERRIDE=FQ","FILING_STATUS=MR","SCALING_FORMAT=MLN","Sort=A","Dates=H","DateFormat=P","Fill=—","Direction=H","UseDPDF=Y")</f>
        <v>208684.908</v>
      </c>
      <c r="W33" s="25">
        <f>_xll.BDH("AMGN US Equity","ENTERPRISE_VALUE","FQ1 2024","FQ1 2024","Currency=USD","Period=FQ","BEST_FPERIOD_OVERRIDE=FQ","FILING_STATUS=MR","SCALING_FORMAT=MLN","Sort=A","Dates=H","DateFormat=P","Fill=—","Direction=H","UseDPDF=Y")</f>
        <v>206821.24799999999</v>
      </c>
      <c r="X33" s="25">
        <f>_xll.BDH("AMGN US Equity","ENTERPRISE_VALUE","FQ2 2024","FQ2 2024","Currency=USD","Period=FQ","BEST_FPERIOD_OVERRIDE=FQ","FILING_STATUS=MR","SCALING_FORMAT=MLN","Sort=A","Dates=H","DateFormat=P","Fill=—","Direction=H","UseDPDF=Y")</f>
        <v>221192.14</v>
      </c>
      <c r="Y33" s="25">
        <f>_xll.BDH("AMGN US Equity","ENTERPRISE_VALUE","FQ3 2024","FQ3 2024","Currency=USD","Period=FQ","BEST_FPERIOD_OVERRIDE=FQ","FILING_STATUS=MR","SCALING_FORMAT=MLN","Sort=A","Dates=H","DateFormat=P","Fill=—","Direction=H","UseDPDF=Y")</f>
        <v>224574.875</v>
      </c>
      <c r="Z33" s="25">
        <f>_xll.BDH("AMGN US Equity","ENTERPRISE_VALUE","FQ4 2024","FQ4 2024","Currency=USD","Period=FQ","BEST_FPERIOD_OVERRIDE=FQ","FILING_STATUS=MR","SCALING_FORMAT=MLN","Sort=A","Dates=H","DateFormat=P","Fill=—","Direction=H","UseDPDF=Y")</f>
        <v>188843.61600000001</v>
      </c>
      <c r="AA33" s="25"/>
    </row>
    <row r="34" spans="1:27" x14ac:dyDescent="0.25">
      <c r="A34" s="6" t="s">
        <v>1693</v>
      </c>
      <c r="B34" s="6" t="s">
        <v>1694</v>
      </c>
      <c r="C34" s="20">
        <f>_xll.BDH("AMGN US Equity","T12M_FCF_TO_FIRM_YIELD","FQ1 2019","FQ1 2019","Currency=USD","Period=FQ","BEST_FPERIOD_OVERRIDE=FQ","FILING_STATUS=MR","FA_ADJUSTED=GAAP","Sort=A","Dates=H","DateFormat=P","Fill=—","Direction=H","UseDPDF=Y")</f>
        <v>8.9451000000000001</v>
      </c>
      <c r="D34" s="20">
        <f>_xll.BDH("AMGN US Equity","T12M_FCF_TO_FIRM_YIELD","FQ2 2019","FQ2 2019","Currency=USD","Period=FQ","BEST_FPERIOD_OVERRIDE=FQ","FILING_STATUS=MR","FA_ADJUSTED=GAAP","Sort=A","Dates=H","DateFormat=P","Fill=—","Direction=H","UseDPDF=Y")</f>
        <v>8.6704000000000008</v>
      </c>
      <c r="E34" s="20">
        <f>_xll.BDH("AMGN US Equity","T12M_FCF_TO_FIRM_YIELD","FQ3 2019","FQ3 2019","Currency=USD","Period=FQ","BEST_FPERIOD_OVERRIDE=FQ","FILING_STATUS=MR","FA_ADJUSTED=GAAP","Sort=A","Dates=H","DateFormat=P","Fill=—","Direction=H","UseDPDF=Y")</f>
        <v>8.4136000000000006</v>
      </c>
      <c r="F34" s="20">
        <f>_xll.BDH("AMGN US Equity","T12M_FCF_TO_FIRM_YIELD","FQ4 2019","FQ4 2019","Currency=USD","Period=FQ","BEST_FPERIOD_OVERRIDE=FQ","FILING_STATUS=MR","FA_ADJUSTED=GAAP","Sort=A","Dates=H","DateFormat=P","Fill=—","Direction=H","UseDPDF=Y")</f>
        <v>5.9725000000000001</v>
      </c>
      <c r="G34" s="20">
        <f>_xll.BDH("AMGN US Equity","T12M_FCF_TO_FIRM_YIELD","FQ1 2020","FQ1 2020","Currency=USD","Period=FQ","BEST_FPERIOD_OVERRIDE=FQ","FILING_STATUS=MR","FA_ADJUSTED=GAAP","Sort=A","Dates=H","DateFormat=P","Fill=—","Direction=H","UseDPDF=Y")</f>
        <v>6.9324000000000003</v>
      </c>
      <c r="H34" s="20">
        <f>_xll.BDH("AMGN US Equity","T12M_FCF_TO_FIRM_YIELD","FQ2 2020","FQ2 2020","Currency=USD","Period=FQ","BEST_FPERIOD_OVERRIDE=FQ","FILING_STATUS=MR","FA_ADJUSTED=GAAP","Sort=A","Dates=H","DateFormat=P","Fill=—","Direction=H","UseDPDF=Y")</f>
        <v>7.0213999999999999</v>
      </c>
      <c r="I34" s="20">
        <f>_xll.BDH("AMGN US Equity","T12M_FCF_TO_FIRM_YIELD","FQ3 2020","FQ3 2020","Currency=USD","Period=FQ","BEST_FPERIOD_OVERRIDE=FQ","FILING_STATUS=MR","FA_ADJUSTED=GAAP","Sort=A","Dates=H","DateFormat=P","Fill=—","Direction=H","UseDPDF=Y")</f>
        <v>6.6650999999999998</v>
      </c>
      <c r="J34" s="20">
        <f>_xll.BDH("AMGN US Equity","T12M_FCF_TO_FIRM_YIELD","FQ4 2020","FQ4 2020","Currency=USD","Period=FQ","BEST_FPERIOD_OVERRIDE=FQ","FILING_STATUS=MR","FA_ADJUSTED=GAAP","Sort=A","Dates=H","DateFormat=P","Fill=—","Direction=H","UseDPDF=Y")</f>
        <v>7.2393999999999998</v>
      </c>
      <c r="K34" s="20">
        <f>_xll.BDH("AMGN US Equity","T12M_FCF_TO_FIRM_YIELD","FQ1 2021","FQ1 2021","Currency=USD","Period=FQ","BEST_FPERIOD_OVERRIDE=FQ","FILING_STATUS=MR","FA_ADJUSTED=GAAP","Sort=A","Dates=H","DateFormat=P","Fill=—","Direction=H","UseDPDF=Y")</f>
        <v>6.7545999999999999</v>
      </c>
      <c r="L34" s="20">
        <f>_xll.BDH("AMGN US Equity","T12M_FCF_TO_FIRM_YIELD","FQ2 2021","FQ2 2021","Currency=USD","Period=FQ","BEST_FPERIOD_OVERRIDE=FQ","FILING_STATUS=MR","FA_ADJUSTED=GAAP","Sort=A","Dates=H","DateFormat=P","Fill=—","Direction=H","UseDPDF=Y")</f>
        <v>6.2404999999999999</v>
      </c>
      <c r="M34" s="20">
        <f>_xll.BDH("AMGN US Equity","T12M_FCF_TO_FIRM_YIELD","FQ3 2021","FQ3 2021","Currency=USD","Period=FQ","BEST_FPERIOD_OVERRIDE=FQ","FILING_STATUS=MR","FA_ADJUSTED=GAAP","Sort=A","Dates=H","DateFormat=P","Fill=—","Direction=H","UseDPDF=Y")</f>
        <v>6.3026999999999997</v>
      </c>
      <c r="N34" s="20">
        <f>_xll.BDH("AMGN US Equity","T12M_FCF_TO_FIRM_YIELD","FQ4 2021","FQ4 2021","Currency=USD","Period=FQ","BEST_FPERIOD_OVERRIDE=FQ","FILING_STATUS=MR","FA_ADJUSTED=GAAP","Sort=A","Dates=H","DateFormat=P","Fill=—","Direction=H","UseDPDF=Y")</f>
        <v>6.4581</v>
      </c>
      <c r="O34" s="20">
        <f>_xll.BDH("AMGN US Equity","T12M_FCF_TO_FIRM_YIELD","FQ1 2022","FQ1 2022","Currency=USD","Period=FQ","BEST_FPERIOD_OVERRIDE=FQ","FILING_STATUS=MR","FA_ADJUSTED=GAAP","Sort=A","Dates=H","DateFormat=P","Fill=—","Direction=H","UseDPDF=Y")</f>
        <v>5.9417999999999997</v>
      </c>
      <c r="P34" s="20">
        <f>_xll.BDH("AMGN US Equity","T12M_FCF_TO_FIRM_YIELD","FQ2 2022","FQ2 2022","Currency=USD","Period=FQ","BEST_FPERIOD_OVERRIDE=FQ","FILING_STATUS=MR","FA_ADJUSTED=GAAP","Sort=A","Dates=H","DateFormat=P","Fill=—","Direction=H","UseDPDF=Y")</f>
        <v>5.9291</v>
      </c>
      <c r="Q34" s="20">
        <f>_xll.BDH("AMGN US Equity","T12M_FCF_TO_FIRM_YIELD","FQ3 2022","FQ3 2022","Currency=USD","Period=FQ","BEST_FPERIOD_OVERRIDE=FQ","FILING_STATUS=MR","FA_ADJUSTED=GAAP","Sort=A","Dates=H","DateFormat=P","Fill=—","Direction=H","UseDPDF=Y")</f>
        <v>6.8956999999999997</v>
      </c>
      <c r="R34" s="20">
        <f>_xll.BDH("AMGN US Equity","T12M_FCF_TO_FIRM_YIELD","FQ4 2022","FQ4 2022","Currency=USD","Period=FQ","BEST_FPERIOD_OVERRIDE=FQ","FILING_STATUS=MR","FA_ADJUSTED=GAAP","Sort=A","Dates=H","DateFormat=P","Fill=—","Direction=H","UseDPDF=Y")</f>
        <v>5.8851000000000004</v>
      </c>
      <c r="S34" s="20">
        <f>_xll.BDH("AMGN US Equity","T12M_FCF_TO_FIRM_YIELD","FQ1 2023","FQ1 2023","Currency=USD","Period=FQ","BEST_FPERIOD_OVERRIDE=FQ","FILING_STATUS=MR","FA_ADJUSTED=GAAP","Sort=A","Dates=H","DateFormat=P","Fill=—","Direction=H","UseDPDF=Y")</f>
        <v>5.6330999999999998</v>
      </c>
      <c r="T34" s="20">
        <f>_xll.BDH("AMGN US Equity","T12M_FCF_TO_FIRM_YIELD","FQ2 2023","FQ2 2023","Currency=USD","Period=FQ","BEST_FPERIOD_OVERRIDE=FQ","FILING_STATUS=MR","FA_ADJUSTED=GAAP","Sort=A","Dates=H","DateFormat=P","Fill=—","Direction=H","UseDPDF=Y")</f>
        <v>7.8655999999999997</v>
      </c>
      <c r="U34" s="20">
        <f>_xll.BDH("AMGN US Equity","T12M_FCF_TO_FIRM_YIELD","FQ3 2023","FQ3 2023","Currency=USD","Period=FQ","BEST_FPERIOD_OVERRIDE=FQ","FILING_STATUS=MR","FA_ADJUSTED=GAAP","Sort=A","Dates=H","DateFormat=P","Fill=—","Direction=H","UseDPDF=Y")</f>
        <v>6.7911000000000001</v>
      </c>
      <c r="V34" s="20">
        <f>_xll.BDH("AMGN US Equity","T12M_FCF_TO_FIRM_YIELD","FQ4 2023","FQ4 2023","Currency=USD","Period=FQ","BEST_FPERIOD_OVERRIDE=FQ","FILING_STATUS=MR","FA_ADJUSTED=GAAP","Sort=A","Dates=H","DateFormat=P","Fill=—","Direction=H","UseDPDF=Y")</f>
        <v>4.7045000000000003</v>
      </c>
      <c r="W34" s="20">
        <f>_xll.BDH("AMGN US Equity","T12M_FCF_TO_FIRM_YIELD","FQ1 2024","FQ1 2024","Currency=USD","Period=FQ","BEST_FPERIOD_OVERRIDE=FQ","FILING_STATUS=MR","FA_ADJUSTED=GAAP","Sort=A","Dates=H","DateFormat=P","Fill=—","Direction=H","UseDPDF=Y")</f>
        <v>4.7534999999999998</v>
      </c>
      <c r="X34" s="20">
        <f>_xll.BDH("AMGN US Equity","T12M_FCF_TO_FIRM_YIELD","FQ2 2024","FQ2 2024","Currency=USD","Period=FQ","BEST_FPERIOD_OVERRIDE=FQ","FILING_STATUS=MR","FA_ADJUSTED=GAAP","Sort=A","Dates=H","DateFormat=P","Fill=—","Direction=H","UseDPDF=Y")</f>
        <v>3.7673000000000001</v>
      </c>
      <c r="Y34" s="20">
        <f>_xll.BDH("AMGN US Equity","T12M_FCF_TO_FIRM_YIELD","FQ3 2024","FQ3 2024","Currency=USD","Period=FQ","BEST_FPERIOD_OVERRIDE=FQ","FILING_STATUS=MR","FA_ADJUSTED=GAAP","Sort=A","Dates=H","DateFormat=P","Fill=—","Direction=H","UseDPDF=Y")</f>
        <v>4.0975999999999999</v>
      </c>
      <c r="Z34" s="20">
        <f>_xll.BDH("AMGN US Equity","T12M_FCF_TO_FIRM_YIELD","FQ4 2024","FQ4 2024","Currency=USD","Period=FQ","BEST_FPERIOD_OVERRIDE=FQ","FILING_STATUS=MR","FA_ADJUSTED=GAAP","Sort=A","Dates=H","DateFormat=P","Fill=—","Direction=H","UseDPDF=Y")</f>
        <v>6.9866000000000001</v>
      </c>
      <c r="AA34" s="20"/>
    </row>
    <row r="35" spans="1:27" x14ac:dyDescent="0.25">
      <c r="A35" s="6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 x14ac:dyDescent="0.25">
      <c r="A36" s="10" t="s">
        <v>1682</v>
      </c>
      <c r="B36" s="10" t="s">
        <v>1670</v>
      </c>
      <c r="C36" s="13">
        <f>_xll.BDH("AMGN US Equity","T12M_DVDS_PAID","FQ1 2019","FQ1 2019","Currency=USD","Period=FQ","BEST_FPERIOD_OVERRIDE=FQ","FILING_STATUS=MR","SCALING_FORMAT=MLN","Sort=A","Dates=H","DateFormat=P","Fill=—","Direction=H","UseDPDF=Y")</f>
        <v>-3457</v>
      </c>
      <c r="D36" s="13">
        <f>_xll.BDH("AMGN US Equity","T12M_DVDS_PAID","FQ2 2019","FQ2 2019","Currency=USD","Period=FQ","BEST_FPERIOD_OVERRIDE=FQ","FILING_STATUS=MR","SCALING_FORMAT=MLN","Sort=A","Dates=H","DateFormat=P","Fill=—","Direction=H","UseDPDF=Y")</f>
        <v>-3472</v>
      </c>
      <c r="E36" s="13">
        <f>_xll.BDH("AMGN US Equity","T12M_DVDS_PAID","FQ3 2019","FQ3 2019","Currency=USD","Period=FQ","BEST_FPERIOD_OVERRIDE=FQ","FILING_STATUS=MR","SCALING_FORMAT=MLN","Sort=A","Dates=H","DateFormat=P","Fill=—","Direction=H","UseDPDF=Y")</f>
        <v>-3489</v>
      </c>
      <c r="F36" s="13">
        <f>_xll.BDH("AMGN US Equity","T12M_DVDS_PAID","FQ4 2019","FQ4 2019","Currency=USD","Period=FQ","BEST_FPERIOD_OVERRIDE=FQ","FILING_STATUS=MR","SCALING_FORMAT=MLN","Sort=A","Dates=H","DateFormat=P","Fill=—","Direction=H","UseDPDF=Y")</f>
        <v>-3509</v>
      </c>
      <c r="G36" s="13">
        <f>_xll.BDH("AMGN US Equity","T12M_DVDS_PAID","FQ1 2020","FQ1 2020","Currency=USD","Period=FQ","BEST_FPERIOD_OVERRIDE=FQ","FILING_STATUS=MR","SCALING_FORMAT=MLN","Sort=A","Dates=H","DateFormat=P","Fill=—","Direction=H","UseDPDF=Y")</f>
        <v>-3553</v>
      </c>
      <c r="H36" s="13">
        <f>_xll.BDH("AMGN US Equity","T12M_DVDS_PAID","FQ2 2020","FQ2 2020","Currency=USD","Period=FQ","BEST_FPERIOD_OVERRIDE=FQ","FILING_STATUS=MR","SCALING_FORMAT=MLN","Sort=A","Dates=H","DateFormat=P","Fill=—","Direction=H","UseDPDF=Y")</f>
        <v>-3615</v>
      </c>
      <c r="I36" s="13">
        <f>_xll.BDH("AMGN US Equity","T12M_DVDS_PAID","FQ3 2020","FQ3 2020","Currency=USD","Period=FQ","BEST_FPERIOD_OVERRIDE=FQ","FILING_STATUS=MR","SCALING_FORMAT=MLN","Sort=A","Dates=H","DateFormat=P","Fill=—","Direction=H","UseDPDF=Y")</f>
        <v>-3683</v>
      </c>
      <c r="J36" s="13">
        <f>_xll.BDH("AMGN US Equity","T12M_DVDS_PAID","FQ4 2020","FQ4 2020","Currency=USD","Period=FQ","BEST_FPERIOD_OVERRIDE=FQ","FILING_STATUS=MR","SCALING_FORMAT=MLN","Sort=A","Dates=H","DateFormat=P","Fill=—","Direction=H","UseDPDF=Y")</f>
        <v>-3755</v>
      </c>
      <c r="K36" s="13">
        <f>_xll.BDH("AMGN US Equity","T12M_DVDS_PAID","FQ1 2021","FQ1 2021","Currency=USD","Period=FQ","BEST_FPERIOD_OVERRIDE=FQ","FILING_STATUS=MR","SCALING_FORMAT=MLN","Sort=A","Dates=H","DateFormat=P","Fill=—","Direction=H","UseDPDF=Y")</f>
        <v>-3826</v>
      </c>
      <c r="L36" s="13">
        <f>_xll.BDH("AMGN US Equity","T12M_DVDS_PAID","FQ2 2021","FQ2 2021","Currency=USD","Period=FQ","BEST_FPERIOD_OVERRIDE=FQ","FILING_STATUS=MR","SCALING_FORMAT=MLN","Sort=A","Dates=H","DateFormat=P","Fill=—","Direction=H","UseDPDF=Y")</f>
        <v>-3892</v>
      </c>
      <c r="M36" s="13">
        <f>_xll.BDH("AMGN US Equity","T12M_DVDS_PAID","FQ3 2021","FQ3 2021","Currency=USD","Period=FQ","BEST_FPERIOD_OVERRIDE=FQ","FILING_STATUS=MR","SCALING_FORMAT=MLN","Sort=A","Dates=H","DateFormat=P","Fill=—","Direction=H","UseDPDF=Y")</f>
        <v>-3955</v>
      </c>
      <c r="N36" s="13">
        <f>_xll.BDH("AMGN US Equity","T12M_DVDS_PAID","FQ4 2021","FQ4 2021","Currency=USD","Period=FQ","BEST_FPERIOD_OVERRIDE=FQ","FILING_STATUS=MR","SCALING_FORMAT=MLN","Sort=A","Dates=H","DateFormat=P","Fill=—","Direction=H","UseDPDF=Y")</f>
        <v>-4013</v>
      </c>
      <c r="O36" s="13">
        <f>_xll.BDH("AMGN US Equity","T12M_DVDS_PAID","FQ1 2022","FQ1 2022","Currency=USD","Period=FQ","BEST_FPERIOD_OVERRIDE=FQ","FILING_STATUS=MR","SCALING_FORMAT=MLN","Sort=A","Dates=H","DateFormat=P","Fill=—","Direction=H","UseDPDF=Y")</f>
        <v>-4077</v>
      </c>
      <c r="P36" s="13">
        <f>_xll.BDH("AMGN US Equity","T12M_DVDS_PAID","FQ2 2022","FQ2 2022","Currency=USD","Period=FQ","BEST_FPERIOD_OVERRIDE=FQ","FILING_STATUS=MR","SCALING_FORMAT=MLN","Sort=A","Dates=H","DateFormat=P","Fill=—","Direction=H","UseDPDF=Y")</f>
        <v>-4107</v>
      </c>
      <c r="Q36" s="13">
        <f>_xll.BDH("AMGN US Equity","T12M_DVDS_PAID","FQ3 2022","FQ3 2022","Currency=USD","Period=FQ","BEST_FPERIOD_OVERRIDE=FQ","FILING_STATUS=MR","SCALING_FORMAT=MLN","Sort=A","Dates=H","DateFormat=P","Fill=—","Direction=H","UseDPDF=Y")</f>
        <v>-4146</v>
      </c>
      <c r="R36" s="13">
        <f>_xll.BDH("AMGN US Equity","T12M_DVDS_PAID","FQ4 2022","FQ4 2022","Currency=USD","Period=FQ","BEST_FPERIOD_OVERRIDE=FQ","FILING_STATUS=MR","SCALING_FORMAT=MLN","Sort=A","Dates=H","DateFormat=P","Fill=—","Direction=H","UseDPDF=Y")</f>
        <v>-4196</v>
      </c>
      <c r="S36" s="13">
        <f>_xll.BDH("AMGN US Equity","T12M_DVDS_PAID","FQ1 2023","FQ1 2023","Currency=USD","Period=FQ","BEST_FPERIOD_OVERRIDE=FQ","FILING_STATUS=MR","SCALING_FORMAT=MLN","Sort=A","Dates=H","DateFormat=P","Fill=—","Direction=H","UseDPDF=Y")</f>
        <v>-4253</v>
      </c>
      <c r="T36" s="13">
        <f>_xll.BDH("AMGN US Equity","T12M_DVDS_PAID","FQ2 2023","FQ2 2023","Currency=USD","Period=FQ","BEST_FPERIOD_OVERRIDE=FQ","FILING_STATUS=MR","SCALING_FORMAT=MLN","Sort=A","Dates=H","DateFormat=P","Fill=—","Direction=H","UseDPDF=Y")</f>
        <v>-4354</v>
      </c>
      <c r="U36" s="13">
        <f>_xll.BDH("AMGN US Equity","T12M_DVDS_PAID","FQ3 2023","FQ3 2023","Currency=USD","Period=FQ","BEST_FPERIOD_OVERRIDE=FQ","FILING_STATUS=MR","SCALING_FORMAT=MLN","Sort=A","Dates=H","DateFormat=P","Fill=—","Direction=H","UseDPDF=Y")</f>
        <v>-4456</v>
      </c>
      <c r="V36" s="13">
        <f>_xll.BDH("AMGN US Equity","T12M_DVDS_PAID","FQ4 2023","FQ4 2023","Currency=USD","Period=FQ","BEST_FPERIOD_OVERRIDE=FQ","FILING_STATUS=MR","SCALING_FORMAT=MLN","Sort=A","Dates=H","DateFormat=P","Fill=—","Direction=H","UseDPDF=Y")</f>
        <v>-4556</v>
      </c>
      <c r="W36" s="13">
        <f>_xll.BDH("AMGN US Equity","T12M_DVDS_PAID","FQ1 2024","FQ1 2024","Currency=USD","Period=FQ","BEST_FPERIOD_OVERRIDE=FQ","FILING_STATUS=MR","SCALING_FORMAT=MLN","Sort=A","Dates=H","DateFormat=P","Fill=—","Direction=H","UseDPDF=Y")</f>
        <v>-4627</v>
      </c>
      <c r="X36" s="13">
        <f>_xll.BDH("AMGN US Equity","T12M_DVDS_PAID","FQ2 2024","FQ2 2024","Currency=USD","Period=FQ","BEST_FPERIOD_OVERRIDE=FQ","FILING_STATUS=MR","SCALING_FORMAT=MLN","Sort=A","Dates=H","DateFormat=P","Fill=—","Direction=H","UseDPDF=Y")</f>
        <v>-4697</v>
      </c>
      <c r="Y36" s="13">
        <f>_xll.BDH("AMGN US Equity","T12M_DVDS_PAID","FQ3 2024","FQ3 2024","Currency=USD","Period=FQ","BEST_FPERIOD_OVERRIDE=FQ","FILING_STATUS=MR","SCALING_FORMAT=MLN","Sort=A","Dates=H","DateFormat=P","Fill=—","Direction=H","UseDPDF=Y")</f>
        <v>-4767</v>
      </c>
      <c r="Z36" s="13">
        <f>_xll.BDH("AMGN US Equity","T12M_DVDS_PAID","FQ4 2024","FQ4 2024","Currency=USD","Period=FQ","BEST_FPERIOD_OVERRIDE=FQ","FILING_STATUS=MR","SCALING_FORMAT=MLN","Sort=A","Dates=H","DateFormat=P","Fill=—","Direction=H","UseDPDF=Y")</f>
        <v>-4832</v>
      </c>
      <c r="AA36" s="13"/>
    </row>
    <row r="37" spans="1:27" x14ac:dyDescent="0.25">
      <c r="A37" s="10" t="s">
        <v>1683</v>
      </c>
      <c r="B37" s="10" t="s">
        <v>1672</v>
      </c>
      <c r="C37" s="13">
        <f>_xll.BDH("AMGN US Equity","T12M_NET_CAPITAL_STOCK","FQ1 2019","FQ1 2019","Currency=USD","Period=FQ","BEST_FPERIOD_OVERRIDE=FQ","FILING_STATUS=MR","SCALING_FORMAT=MLN","Sort=A","Dates=H","DateFormat=P","Fill=—","Direction=H","UseDPDF=Y")</f>
        <v>-10255</v>
      </c>
      <c r="D37" s="13">
        <f>_xll.BDH("AMGN US Equity","T12M_NET_CAPITAL_STOCK","FQ2 2019","FQ2 2019","Currency=USD","Period=FQ","BEST_FPERIOD_OVERRIDE=FQ","FILING_STATUS=MR","SCALING_FORMAT=MLN","Sort=A","Dates=H","DateFormat=P","Fill=—","Direction=H","UseDPDF=Y")</f>
        <v>-9426</v>
      </c>
      <c r="E37" s="13">
        <f>_xll.BDH("AMGN US Equity","T12M_NET_CAPITAL_STOCK","FQ3 2019","FQ3 2019","Currency=USD","Period=FQ","BEST_FPERIOD_OVERRIDE=FQ","FILING_STATUS=MR","SCALING_FORMAT=MLN","Sort=A","Dates=H","DateFormat=P","Fill=—","Direction=H","UseDPDF=Y")</f>
        <v>-8858</v>
      </c>
      <c r="F37" s="13">
        <f>_xll.BDH("AMGN US Equity","T12M_NET_CAPITAL_STOCK","FQ4 2019","FQ4 2019","Currency=USD","Period=FQ","BEST_FPERIOD_OVERRIDE=FQ","FILING_STATUS=MR","SCALING_FORMAT=MLN","Sort=A","Dates=H","DateFormat=P","Fill=—","Direction=H","UseDPDF=Y")</f>
        <v>-7839</v>
      </c>
      <c r="G37" s="13">
        <f>_xll.BDH("AMGN US Equity","T12M_NET_CAPITAL_STOCK","FQ1 2020","FQ1 2020","Currency=USD","Period=FQ","BEST_FPERIOD_OVERRIDE=FQ","FILING_STATUS=MR","SCALING_FORMAT=MLN","Sort=A","Dates=H","DateFormat=P","Fill=—","Direction=H","UseDPDF=Y")</f>
        <v>-5768</v>
      </c>
      <c r="H37" s="13">
        <f>_xll.BDH("AMGN US Equity","T12M_NET_CAPITAL_STOCK","FQ2 2020","FQ2 2020","Currency=USD","Period=FQ","BEST_FPERIOD_OVERRIDE=FQ","FILING_STATUS=MR","SCALING_FORMAT=MLN","Sort=A","Dates=H","DateFormat=P","Fill=—","Direction=H","UseDPDF=Y")</f>
        <v>-3908</v>
      </c>
      <c r="I37" s="13">
        <f>_xll.BDH("AMGN US Equity","T12M_NET_CAPITAL_STOCK","FQ3 2020","FQ3 2020","Currency=USD","Period=FQ","BEST_FPERIOD_OVERRIDE=FQ","FILING_STATUS=MR","SCALING_FORMAT=MLN","Sort=A","Dates=H","DateFormat=P","Fill=—","Direction=H","UseDPDF=Y")</f>
        <v>-3512</v>
      </c>
      <c r="J37" s="13">
        <f>_xll.BDH("AMGN US Equity","T12M_NET_CAPITAL_STOCK","FQ4 2020","FQ4 2020","Currency=USD","Period=FQ","BEST_FPERIOD_OVERRIDE=FQ","FILING_STATUS=MR","SCALING_FORMAT=MLN","Sort=A","Dates=H","DateFormat=P","Fill=—","Direction=H","UseDPDF=Y")</f>
        <v>-3486</v>
      </c>
      <c r="K37" s="13">
        <f>_xll.BDH("AMGN US Equity","T12M_NET_CAPITAL_STOCK","FQ1 2021","FQ1 2021","Currency=USD","Period=FQ","BEST_FPERIOD_OVERRIDE=FQ","FILING_STATUS=MR","SCALING_FORMAT=MLN","Sort=A","Dates=H","DateFormat=P","Fill=—","Direction=H","UseDPDF=Y")</f>
        <v>-3396</v>
      </c>
      <c r="L37" s="13">
        <f>_xll.BDH("AMGN US Equity","T12M_NET_CAPITAL_STOCK","FQ2 2021","FQ2 2021","Currency=USD","Period=FQ","BEST_FPERIOD_OVERRIDE=FQ","FILING_STATUS=MR","SCALING_FORMAT=MLN","Sort=A","Dates=H","DateFormat=P","Fill=—","Direction=H","UseDPDF=Y")</f>
        <v>-4422</v>
      </c>
      <c r="M37" s="13">
        <f>_xll.BDH("AMGN US Equity","T12M_NET_CAPITAL_STOCK","FQ3 2021","FQ3 2021","Currency=USD","Period=FQ","BEST_FPERIOD_OVERRIDE=FQ","FILING_STATUS=MR","SCALING_FORMAT=MLN","Sort=A","Dates=H","DateFormat=P","Fill=—","Direction=H","UseDPDF=Y")</f>
        <v>-4737</v>
      </c>
      <c r="N37" s="13">
        <f>_xll.BDH("AMGN US Equity","T12M_NET_CAPITAL_STOCK","FQ4 2021","FQ4 2021","Currency=USD","Period=FQ","BEST_FPERIOD_OVERRIDE=FQ","FILING_STATUS=MR","SCALING_FORMAT=MLN","Sort=A","Dates=H","DateFormat=P","Fill=—","Direction=H","UseDPDF=Y")</f>
        <v>-4975</v>
      </c>
      <c r="O37" s="13">
        <f>_xll.BDH("AMGN US Equity","T12M_NET_CAPITAL_STOCK","FQ1 2022","FQ1 2022","Currency=USD","Period=FQ","BEST_FPERIOD_OVERRIDE=FQ","FILING_STATUS=MR","SCALING_FORMAT=MLN","Sort=A","Dates=H","DateFormat=P","Fill=—","Direction=H","UseDPDF=Y")</f>
        <v>-10464</v>
      </c>
      <c r="P37" s="13">
        <f>_xll.BDH("AMGN US Equity","T12M_NET_CAPITAL_STOCK","FQ2 2022","FQ2 2022","Currency=USD","Period=FQ","BEST_FPERIOD_OVERRIDE=FQ","FILING_STATUS=MR","SCALING_FORMAT=MLN","Sort=A","Dates=H","DateFormat=P","Fill=—","Direction=H","UseDPDF=Y")</f>
        <v>-8883</v>
      </c>
      <c r="Q37" s="13">
        <f>_xll.BDH("AMGN US Equity","T12M_NET_CAPITAL_STOCK","FQ3 2022","FQ3 2022","Currency=USD","Period=FQ","BEST_FPERIOD_OVERRIDE=FQ","FILING_STATUS=MR","SCALING_FORMAT=MLN","Sort=A","Dates=H","DateFormat=P","Fill=—","Direction=H","UseDPDF=Y")</f>
        <v>-7803</v>
      </c>
      <c r="R37" s="13">
        <f>_xll.BDH("AMGN US Equity","T12M_NET_CAPITAL_STOCK","FQ4 2022","FQ4 2022","Currency=USD","Period=FQ","BEST_FPERIOD_OVERRIDE=FQ","FILING_STATUS=MR","SCALING_FORMAT=MLN","Sort=A","Dates=H","DateFormat=P","Fill=—","Direction=H","UseDPDF=Y")</f>
        <v>-6360</v>
      </c>
      <c r="S37" s="13">
        <f>_xll.BDH("AMGN US Equity","T12M_NET_CAPITAL_STOCK","FQ1 2023","FQ1 2023","Currency=USD","Period=FQ","BEST_FPERIOD_OVERRIDE=FQ","FILING_STATUS=MR","SCALING_FORMAT=MLN","Sort=A","Dates=H","DateFormat=P","Fill=—","Direction=H","UseDPDF=Y")</f>
        <v>0</v>
      </c>
      <c r="T37" s="13">
        <f>_xll.BDH("AMGN US Equity","T12M_NET_CAPITAL_STOCK","FQ2 2023","FQ2 2023","Currency=USD","Period=FQ","BEST_FPERIOD_OVERRIDE=FQ","FILING_STATUS=MR","SCALING_FORMAT=MLN","Sort=A","Dates=H","DateFormat=P","Fill=—","Direction=H","UseDPDF=Y")</f>
        <v>0</v>
      </c>
      <c r="U37" s="13">
        <f>_xll.BDH("AMGN US Equity","T12M_NET_CAPITAL_STOCK","FQ3 2023","FQ3 2023","Currency=USD","Period=FQ","BEST_FPERIOD_OVERRIDE=FQ","FILING_STATUS=MR","SCALING_FORMAT=MLN","Sort=A","Dates=H","DateFormat=P","Fill=—","Direction=H","UseDPDF=Y")</f>
        <v>0</v>
      </c>
      <c r="V37" s="13">
        <f>_xll.BDH("AMGN US Equity","T12M_NET_CAPITAL_STOCK","FQ4 2023","FQ4 2023","Currency=USD","Period=FQ","BEST_FPERIOD_OVERRIDE=FQ","FILING_STATUS=MR","SCALING_FORMAT=MLN","Sort=A","Dates=H","DateFormat=P","Fill=—","Direction=H","UseDPDF=Y")</f>
        <v>0</v>
      </c>
      <c r="W37" s="13">
        <f>_xll.BDH("AMGN US Equity","T12M_NET_CAPITAL_STOCK","FQ1 2024","FQ1 2024","Currency=USD","Period=FQ","BEST_FPERIOD_OVERRIDE=FQ","FILING_STATUS=MR","SCALING_FORMAT=MLN","Sort=A","Dates=H","DateFormat=P","Fill=—","Direction=H","UseDPDF=Y")</f>
        <v>0</v>
      </c>
      <c r="X37" s="13">
        <f>_xll.BDH("AMGN US Equity","T12M_NET_CAPITAL_STOCK","FQ2 2024","FQ2 2024","Currency=USD","Period=FQ","BEST_FPERIOD_OVERRIDE=FQ","FILING_STATUS=MR","SCALING_FORMAT=MLN","Sort=A","Dates=H","DateFormat=P","Fill=—","Direction=H","UseDPDF=Y")</f>
        <v>0</v>
      </c>
      <c r="Y37" s="13">
        <f>_xll.BDH("AMGN US Equity","T12M_NET_CAPITAL_STOCK","FQ3 2024","FQ3 2024","Currency=USD","Period=FQ","BEST_FPERIOD_OVERRIDE=FQ","FILING_STATUS=MR","SCALING_FORMAT=MLN","Sort=A","Dates=H","DateFormat=P","Fill=—","Direction=H","UseDPDF=Y")</f>
        <v>0</v>
      </c>
      <c r="Z37" s="13">
        <f>_xll.BDH("AMGN US Equity","T12M_NET_CAPITAL_STOCK","FQ4 2024","FQ4 2024","Currency=USD","Period=FQ","BEST_FPERIOD_OVERRIDE=FQ","FILING_STATUS=MR","SCALING_FORMAT=MLN","Sort=A","Dates=H","DateFormat=P","Fill=—","Direction=H","UseDPDF=Y")</f>
        <v>-200</v>
      </c>
      <c r="AA37" s="13"/>
    </row>
    <row r="38" spans="1:27" x14ac:dyDescent="0.25">
      <c r="A38" s="10" t="s">
        <v>1695</v>
      </c>
      <c r="B38" s="10" t="s">
        <v>1674</v>
      </c>
      <c r="C38" s="13" t="str">
        <f>_xll.BDH("AMGN US Equity","T12M_CHG_ST_BORROWINGS","FQ1 2019","FQ1 2019","Currency=USD","Period=FQ","BEST_FPERIOD_OVERRIDE=FQ","FILING_STATUS=MR","SCALING_FORMAT=MLN","Sort=A","Dates=H","DateFormat=P","Fill=—","Direction=H","UseDPDF=Y")</f>
        <v>—</v>
      </c>
      <c r="D38" s="13">
        <f>_xll.BDH("AMGN US Equity","T12M_CHG_ST_BORROWINGS","FQ2 2019","FQ2 2019","Currency=USD","Period=FQ","BEST_FPERIOD_OVERRIDE=FQ","FILING_STATUS=MR","SCALING_FORMAT=MLN","Sort=A","Dates=H","DateFormat=P","Fill=—","Direction=H","UseDPDF=Y")</f>
        <v>0</v>
      </c>
      <c r="E38" s="13">
        <f>_xll.BDH("AMGN US Equity","T12M_CHG_ST_BORROWINGS","FQ3 2019","FQ3 2019","Currency=USD","Period=FQ","BEST_FPERIOD_OVERRIDE=FQ","FILING_STATUS=MR","SCALING_FORMAT=MLN","Sort=A","Dates=H","DateFormat=P","Fill=—","Direction=H","UseDPDF=Y")</f>
        <v>0</v>
      </c>
      <c r="F38" s="13">
        <f>_xll.BDH("AMGN US Equity","T12M_CHG_ST_BORROWINGS","FQ4 2019","FQ4 2019","Currency=USD","Period=FQ","BEST_FPERIOD_OVERRIDE=FQ","FILING_STATUS=MR","SCALING_FORMAT=MLN","Sort=A","Dates=H","DateFormat=P","Fill=—","Direction=H","UseDPDF=Y")</f>
        <v>0</v>
      </c>
      <c r="G38" s="13">
        <f>_xll.BDH("AMGN US Equity","T12M_CHG_ST_BORROWINGS","FQ1 2020","FQ1 2020","Currency=USD","Period=FQ","BEST_FPERIOD_OVERRIDE=FQ","FILING_STATUS=MR","SCALING_FORMAT=MLN","Sort=A","Dates=H","DateFormat=P","Fill=—","Direction=H","UseDPDF=Y")</f>
        <v>0</v>
      </c>
      <c r="H38" s="13">
        <f>_xll.BDH("AMGN US Equity","T12M_CHG_ST_BORROWINGS","FQ2 2020","FQ2 2020","Currency=USD","Period=FQ","BEST_FPERIOD_OVERRIDE=FQ","FILING_STATUS=MR","SCALING_FORMAT=MLN","Sort=A","Dates=H","DateFormat=P","Fill=—","Direction=H","UseDPDF=Y")</f>
        <v>0</v>
      </c>
      <c r="I38" s="13">
        <f>_xll.BDH("AMGN US Equity","T12M_CHG_ST_BORROWINGS","FQ3 2020","FQ3 2020","Currency=USD","Period=FQ","BEST_FPERIOD_OVERRIDE=FQ","FILING_STATUS=MR","SCALING_FORMAT=MLN","Sort=A","Dates=H","DateFormat=P","Fill=—","Direction=H","UseDPDF=Y")</f>
        <v>0</v>
      </c>
      <c r="J38" s="13">
        <f>_xll.BDH("AMGN US Equity","T12M_CHG_ST_BORROWINGS","FQ4 2020","FQ4 2020","Currency=USD","Period=FQ","BEST_FPERIOD_OVERRIDE=FQ","FILING_STATUS=MR","SCALING_FORMAT=MLN","Sort=A","Dates=H","DateFormat=P","Fill=—","Direction=H","UseDPDF=Y")</f>
        <v>0</v>
      </c>
      <c r="K38" s="13">
        <f>_xll.BDH("AMGN US Equity","T12M_CHG_ST_BORROWINGS","FQ1 2021","FQ1 2021","Currency=USD","Period=FQ","BEST_FPERIOD_OVERRIDE=FQ","FILING_STATUS=MR","SCALING_FORMAT=MLN","Sort=A","Dates=H","DateFormat=P","Fill=—","Direction=H","UseDPDF=Y")</f>
        <v>0</v>
      </c>
      <c r="L38" s="13">
        <f>_xll.BDH("AMGN US Equity","T12M_CHG_ST_BORROWINGS","FQ2 2021","FQ2 2021","Currency=USD","Period=FQ","BEST_FPERIOD_OVERRIDE=FQ","FILING_STATUS=MR","SCALING_FORMAT=MLN","Sort=A","Dates=H","DateFormat=P","Fill=—","Direction=H","UseDPDF=Y")</f>
        <v>0</v>
      </c>
      <c r="M38" s="13">
        <f>_xll.BDH("AMGN US Equity","T12M_CHG_ST_BORROWINGS","FQ3 2021","FQ3 2021","Currency=USD","Period=FQ","BEST_FPERIOD_OVERRIDE=FQ","FILING_STATUS=MR","SCALING_FORMAT=MLN","Sort=A","Dates=H","DateFormat=P","Fill=—","Direction=H","UseDPDF=Y")</f>
        <v>0</v>
      </c>
      <c r="N38" s="13">
        <f>_xll.BDH("AMGN US Equity","T12M_CHG_ST_BORROWINGS","FQ4 2021","FQ4 2021","Currency=USD","Period=FQ","BEST_FPERIOD_OVERRIDE=FQ","FILING_STATUS=MR","SCALING_FORMAT=MLN","Sort=A","Dates=H","DateFormat=P","Fill=—","Direction=H","UseDPDF=Y")</f>
        <v>0</v>
      </c>
      <c r="O38" s="13">
        <f>_xll.BDH("AMGN US Equity","T12M_CHG_ST_BORROWINGS","FQ1 2022","FQ1 2022","Currency=USD","Period=FQ","BEST_FPERIOD_OVERRIDE=FQ","FILING_STATUS=MR","SCALING_FORMAT=MLN","Sort=A","Dates=H","DateFormat=P","Fill=—","Direction=H","UseDPDF=Y")</f>
        <v>0</v>
      </c>
      <c r="P38" s="13">
        <f>_xll.BDH("AMGN US Equity","T12M_CHG_ST_BORROWINGS","FQ2 2022","FQ2 2022","Currency=USD","Period=FQ","BEST_FPERIOD_OVERRIDE=FQ","FILING_STATUS=MR","SCALING_FORMAT=MLN","Sort=A","Dates=H","DateFormat=P","Fill=—","Direction=H","UseDPDF=Y")</f>
        <v>0</v>
      </c>
      <c r="Q38" s="13">
        <f>_xll.BDH("AMGN US Equity","T12M_CHG_ST_BORROWINGS","FQ3 2022","FQ3 2022","Currency=USD","Period=FQ","BEST_FPERIOD_OVERRIDE=FQ","FILING_STATUS=MR","SCALING_FORMAT=MLN","Sort=A","Dates=H","DateFormat=P","Fill=—","Direction=H","UseDPDF=Y")</f>
        <v>0</v>
      </c>
      <c r="R38" s="13">
        <f>_xll.BDH("AMGN US Equity","T12M_CHG_ST_BORROWINGS","FQ4 2022","FQ4 2022","Currency=USD","Period=FQ","BEST_FPERIOD_OVERRIDE=FQ","FILING_STATUS=MR","SCALING_FORMAT=MLN","Sort=A","Dates=H","DateFormat=P","Fill=—","Direction=H","UseDPDF=Y")</f>
        <v>0</v>
      </c>
      <c r="S38" s="13">
        <f>_xll.BDH("AMGN US Equity","T12M_CHG_ST_BORROWINGS","FQ1 2023","FQ1 2023","Currency=USD","Period=FQ","BEST_FPERIOD_OVERRIDE=FQ","FILING_STATUS=MR","SCALING_FORMAT=MLN","Sort=A","Dates=H","DateFormat=P","Fill=—","Direction=H","UseDPDF=Y")</f>
        <v>0</v>
      </c>
      <c r="T38" s="13">
        <f>_xll.BDH("AMGN US Equity","T12M_CHG_ST_BORROWINGS","FQ2 2023","FQ2 2023","Currency=USD","Period=FQ","BEST_FPERIOD_OVERRIDE=FQ","FILING_STATUS=MR","SCALING_FORMAT=MLN","Sort=A","Dates=H","DateFormat=P","Fill=—","Direction=H","UseDPDF=Y")</f>
        <v>0</v>
      </c>
      <c r="U38" s="13">
        <f>_xll.BDH("AMGN US Equity","T12M_CHG_ST_BORROWINGS","FQ3 2023","FQ3 2023","Currency=USD","Period=FQ","BEST_FPERIOD_OVERRIDE=FQ","FILING_STATUS=MR","SCALING_FORMAT=MLN","Sort=A","Dates=H","DateFormat=P","Fill=—","Direction=H","UseDPDF=Y")</f>
        <v>0</v>
      </c>
      <c r="V38" s="13">
        <f>_xll.BDH("AMGN US Equity","T12M_CHG_ST_BORROWINGS","FQ4 2023","FQ4 2023","Currency=USD","Period=FQ","BEST_FPERIOD_OVERRIDE=FQ","FILING_STATUS=MR","SCALING_FORMAT=MLN","Sort=A","Dates=H","DateFormat=P","Fill=—","Direction=H","UseDPDF=Y")</f>
        <v>0</v>
      </c>
      <c r="W38" s="13">
        <f>_xll.BDH("AMGN US Equity","T12M_CHG_ST_BORROWINGS","FQ1 2024","FQ1 2024","Currency=USD","Period=FQ","BEST_FPERIOD_OVERRIDE=FQ","FILING_STATUS=MR","SCALING_FORMAT=MLN","Sort=A","Dates=H","DateFormat=P","Fill=—","Direction=H","UseDPDF=Y")</f>
        <v>0</v>
      </c>
      <c r="X38" s="13">
        <f>_xll.BDH("AMGN US Equity","T12M_CHG_ST_BORROWINGS","FQ2 2024","FQ2 2024","Currency=USD","Period=FQ","BEST_FPERIOD_OVERRIDE=FQ","FILING_STATUS=MR","SCALING_FORMAT=MLN","Sort=A","Dates=H","DateFormat=P","Fill=—","Direction=H","UseDPDF=Y")</f>
        <v>0</v>
      </c>
      <c r="Y38" s="13">
        <f>_xll.BDH("AMGN US Equity","T12M_CHG_ST_BORROWINGS","FQ3 2024","FQ3 2024","Currency=USD","Period=FQ","BEST_FPERIOD_OVERRIDE=FQ","FILING_STATUS=MR","SCALING_FORMAT=MLN","Sort=A","Dates=H","DateFormat=P","Fill=—","Direction=H","UseDPDF=Y")</f>
        <v>0</v>
      </c>
      <c r="Z38" s="13">
        <f>_xll.BDH("AMGN US Equity","T12M_CHG_ST_BORROWINGS","FQ4 2024","FQ4 2024","Currency=USD","Period=FQ","BEST_FPERIOD_OVERRIDE=FQ","FILING_STATUS=MR","SCALING_FORMAT=MLN","Sort=A","Dates=H","DateFormat=P","Fill=—","Direction=H","UseDPDF=Y")</f>
        <v>0</v>
      </c>
      <c r="AA38" s="13"/>
    </row>
    <row r="39" spans="1:27" x14ac:dyDescent="0.25">
      <c r="A39" s="10" t="s">
        <v>1696</v>
      </c>
      <c r="B39" s="10" t="s">
        <v>1676</v>
      </c>
      <c r="C39" s="13">
        <f>_xll.BDH("AMGN US Equity","T12M_CHG_LT_DEBT","FQ1 2019","FQ1 2019","Currency=USD","Period=FQ","BEST_FPERIOD_OVERRIDE=FQ","FILING_STATUS=MR","SCALING_FORMAT=MLN","Sort=A","Dates=H","DateFormat=P","Fill=—","Direction=H","UseDPDF=Y")</f>
        <v>-2121</v>
      </c>
      <c r="D39" s="13">
        <f>_xll.BDH("AMGN US Equity","T12M_CHG_LT_DEBT","FQ2 2019","FQ2 2019","Currency=USD","Period=FQ","BEST_FPERIOD_OVERRIDE=FQ","FILING_STATUS=MR","SCALING_FORMAT=MLN","Sort=A","Dates=H","DateFormat=P","Fill=—","Direction=H","UseDPDF=Y")</f>
        <v>-4271</v>
      </c>
      <c r="E39" s="13">
        <f>_xll.BDH("AMGN US Equity","T12M_CHG_LT_DEBT","FQ3 2019","FQ3 2019","Currency=USD","Period=FQ","BEST_FPERIOD_OVERRIDE=FQ","FILING_STATUS=MR","SCALING_FORMAT=MLN","Sort=A","Dates=H","DateFormat=P","Fill=—","Direction=H","UseDPDF=Y")</f>
        <v>-5135</v>
      </c>
      <c r="F39" s="13">
        <f>_xll.BDH("AMGN US Equity","T12M_CHG_LT_DEBT","FQ4 2019","FQ4 2019","Currency=USD","Period=FQ","BEST_FPERIOD_OVERRIDE=FQ","FILING_STATUS=MR","SCALING_FORMAT=MLN","Sort=A","Dates=H","DateFormat=P","Fill=—","Direction=H","UseDPDF=Y")</f>
        <v>-4514</v>
      </c>
      <c r="G39" s="13">
        <f>_xll.BDH("AMGN US Equity","T12M_CHG_LT_DEBT","FQ1 2020","FQ1 2020","Currency=USD","Period=FQ","BEST_FPERIOD_OVERRIDE=FQ","FILING_STATUS=MR","SCALING_FORMAT=MLN","Sort=A","Dates=H","DateFormat=P","Fill=—","Direction=H","UseDPDF=Y")</f>
        <v>-1801</v>
      </c>
      <c r="H39" s="13">
        <f>_xll.BDH("AMGN US Equity","T12M_CHG_LT_DEBT","FQ2 2020","FQ2 2020","Currency=USD","Period=FQ","BEST_FPERIOD_OVERRIDE=FQ","FILING_STATUS=MR","SCALING_FORMAT=MLN","Sort=A","Dates=H","DateFormat=P","Fill=—","Direction=H","UseDPDF=Y")</f>
        <v>3138</v>
      </c>
      <c r="I39" s="13">
        <f>_xll.BDH("AMGN US Equity","T12M_CHG_LT_DEBT","FQ3 2020","FQ3 2020","Currency=USD","Period=FQ","BEST_FPERIOD_OVERRIDE=FQ","FILING_STATUS=MR","SCALING_FORMAT=MLN","Sort=A","Dates=H","DateFormat=P","Fill=—","Direction=H","UseDPDF=Y")</f>
        <v>3914</v>
      </c>
      <c r="J39" s="13">
        <f>_xll.BDH("AMGN US Equity","T12M_CHG_LT_DEBT","FQ4 2020","FQ4 2020","Currency=USD","Period=FQ","BEST_FPERIOD_OVERRIDE=FQ","FILING_STATUS=MR","SCALING_FORMAT=MLN","Sort=A","Dates=H","DateFormat=P","Fill=—","Direction=H","UseDPDF=Y")</f>
        <v>2464</v>
      </c>
      <c r="K39" s="13">
        <f>_xll.BDH("AMGN US Equity","T12M_CHG_LT_DEBT","FQ1 2021","FQ1 2021","Currency=USD","Period=FQ","BEST_FPERIOD_OVERRIDE=FQ","FILING_STATUS=MR","SCALING_FORMAT=MLN","Sort=A","Dates=H","DateFormat=P","Fill=—","Direction=H","UseDPDF=Y")</f>
        <v>751</v>
      </c>
      <c r="L39" s="13">
        <f>_xll.BDH("AMGN US Equity","T12M_CHG_LT_DEBT","FQ2 2021","FQ2 2021","Currency=USD","Period=FQ","BEST_FPERIOD_OVERRIDE=FQ","FILING_STATUS=MR","SCALING_FORMAT=MLN","Sort=A","Dates=H","DateFormat=P","Fill=—","Direction=H","UseDPDF=Y")</f>
        <v>-1538</v>
      </c>
      <c r="M39" s="13">
        <f>_xll.BDH("AMGN US Equity","T12M_CHG_LT_DEBT","FQ3 2021","FQ3 2021","Currency=USD","Period=FQ","BEST_FPERIOD_OVERRIDE=FQ","FILING_STATUS=MR","SCALING_FORMAT=MLN","Sort=A","Dates=H","DateFormat=P","Fill=—","Direction=H","UseDPDF=Y")</f>
        <v>3496</v>
      </c>
      <c r="N39" s="13">
        <f>_xll.BDH("AMGN US Equity","T12M_CHG_LT_DEBT","FQ4 2021","FQ4 2021","Currency=USD","Period=FQ","BEST_FPERIOD_OVERRIDE=FQ","FILING_STATUS=MR","SCALING_FORMAT=MLN","Sort=A","Dates=H","DateFormat=P","Fill=—","Direction=H","UseDPDF=Y")</f>
        <v>795</v>
      </c>
      <c r="O39" s="13">
        <f>_xll.BDH("AMGN US Equity","T12M_CHG_LT_DEBT","FQ1 2022","FQ1 2022","Currency=USD","Period=FQ","BEST_FPERIOD_OVERRIDE=FQ","FILING_STATUS=MR","SCALING_FORMAT=MLN","Sort=A","Dates=H","DateFormat=P","Fill=—","Direction=H","UseDPDF=Y")</f>
        <v>4747</v>
      </c>
      <c r="P39" s="13">
        <f>_xll.BDH("AMGN US Equity","T12M_CHG_LT_DEBT","FQ2 2022","FQ2 2022","Currency=USD","Period=FQ","BEST_FPERIOD_OVERRIDE=FQ","FILING_STATUS=MR","SCALING_FORMAT=MLN","Sort=A","Dates=H","DateFormat=P","Fill=—","Direction=H","UseDPDF=Y")</f>
        <v>4749</v>
      </c>
      <c r="Q39" s="13">
        <f>_xll.BDH("AMGN US Equity","T12M_CHG_LT_DEBT","FQ3 2022","FQ3 2022","Currency=USD","Period=FQ","BEST_FPERIOD_OVERRIDE=FQ","FILING_STATUS=MR","SCALING_FORMAT=MLN","Sort=A","Dates=H","DateFormat=P","Fill=—","Direction=H","UseDPDF=Y")</f>
        <v>2787</v>
      </c>
      <c r="R39" s="13">
        <f>_xll.BDH("AMGN US Equity","T12M_CHG_LT_DEBT","FQ4 2022","FQ4 2022","Currency=USD","Period=FQ","BEST_FPERIOD_OVERRIDE=FQ","FILING_STATUS=MR","SCALING_FORMAT=MLN","Sort=A","Dates=H","DateFormat=P","Fill=—","Direction=H","UseDPDF=Y")</f>
        <v>6919</v>
      </c>
      <c r="S39" s="13">
        <f>_xll.BDH("AMGN US Equity","T12M_CHG_LT_DEBT","FQ1 2023","FQ1 2023","Currency=USD","Period=FQ","BEST_FPERIOD_OVERRIDE=FQ","FILING_STATUS=MR","SCALING_FORMAT=MLN","Sort=A","Dates=H","DateFormat=P","Fill=—","Direction=H","UseDPDF=Y")</f>
        <v>25641</v>
      </c>
      <c r="T39" s="13">
        <f>_xll.BDH("AMGN US Equity","T12M_CHG_LT_DEBT","FQ2 2023","FQ2 2023","Currency=USD","Period=FQ","BEST_FPERIOD_OVERRIDE=FQ","FILING_STATUS=MR","SCALING_FORMAT=MLN","Sort=A","Dates=H","DateFormat=P","Fill=—","Direction=H","UseDPDF=Y")</f>
        <v>25621</v>
      </c>
      <c r="U39" s="13">
        <f>_xll.BDH("AMGN US Equity","T12M_CHG_LT_DEBT","FQ3 2023","FQ3 2023","Currency=USD","Period=FQ","BEST_FPERIOD_OVERRIDE=FQ","FILING_STATUS=MR","SCALING_FORMAT=MLN","Sort=A","Dates=H","DateFormat=P","Fill=—","Direction=H","UseDPDF=Y")</f>
        <v>22308</v>
      </c>
      <c r="V39" s="13">
        <f>_xll.BDH("AMGN US Equity","T12M_CHG_LT_DEBT","FQ4 2023","FQ4 2023","Currency=USD","Period=FQ","BEST_FPERIOD_OVERRIDE=FQ","FILING_STATUS=MR","SCALING_FORMAT=MLN","Sort=A","Dates=H","DateFormat=P","Fill=—","Direction=H","UseDPDF=Y")</f>
        <v>25676</v>
      </c>
      <c r="W39" s="13">
        <f>_xll.BDH("AMGN US Equity","T12M_CHG_LT_DEBT","FQ1 2024","FQ1 2024","Currency=USD","Period=FQ","BEST_FPERIOD_OVERRIDE=FQ","FILING_STATUS=MR","SCALING_FORMAT=MLN","Sort=A","Dates=H","DateFormat=P","Fill=—","Direction=H","UseDPDF=Y")</f>
        <v>2592</v>
      </c>
      <c r="X39" s="13">
        <f>_xll.BDH("AMGN US Equity","T12M_CHG_LT_DEBT","FQ2 2024","FQ2 2024","Currency=USD","Period=FQ","BEST_FPERIOD_OVERRIDE=FQ","FILING_STATUS=MR","SCALING_FORMAT=MLN","Sort=A","Dates=H","DateFormat=P","Fill=—","Direction=H","UseDPDF=Y")</f>
        <v>1210</v>
      </c>
      <c r="Y39" s="13">
        <f>_xll.BDH("AMGN US Equity","T12M_CHG_LT_DEBT","FQ3 2024","FQ3 2024","Currency=USD","Period=FQ","BEST_FPERIOD_OVERRIDE=FQ","FILING_STATUS=MR","SCALING_FORMAT=MLN","Sort=A","Dates=H","DateFormat=P","Fill=—","Direction=H","UseDPDF=Y")</f>
        <v>-251</v>
      </c>
      <c r="Z39" s="13">
        <f>_xll.BDH("AMGN US Equity","T12M_CHG_LT_DEBT","FQ4 2024","FQ4 2024","Currency=USD","Period=FQ","BEST_FPERIOD_OVERRIDE=FQ","FILING_STATUS=MR","SCALING_FORMAT=MLN","Sort=A","Dates=H","DateFormat=P","Fill=—","Direction=H","UseDPDF=Y")</f>
        <v>-4259</v>
      </c>
      <c r="AA39" s="13"/>
    </row>
    <row r="40" spans="1:27" x14ac:dyDescent="0.25">
      <c r="A40" s="10" t="s">
        <v>1697</v>
      </c>
      <c r="B40" s="10" t="s">
        <v>1677</v>
      </c>
      <c r="C40" s="13">
        <f>_xll.BDH("AMGN US Equity","T12_OTHER_CFF","FQ1 2019","FQ1 2019","Currency=USD","Period=FQ","BEST_FPERIOD_OVERRIDE=FQ","FILING_STATUS=MR","SCALING_FORMAT=MLN","Sort=A","Dates=H","DateFormat=P","Fill=—","Direction=H","UseDPDF=Y")</f>
        <v>48</v>
      </c>
      <c r="D40" s="13">
        <f>_xll.BDH("AMGN US Equity","T12_OTHER_CFF","FQ2 2019","FQ2 2019","Currency=USD","Period=FQ","BEST_FPERIOD_OVERRIDE=FQ","FILING_STATUS=MR","SCALING_FORMAT=MLN","Sort=A","Dates=H","DateFormat=P","Fill=—","Direction=H","UseDPDF=Y")</f>
        <v>42</v>
      </c>
      <c r="E40" s="13">
        <f>_xll.BDH("AMGN US Equity","T12_OTHER_CFF","FQ3 2019","FQ3 2019","Currency=USD","Period=FQ","BEST_FPERIOD_OVERRIDE=FQ","FILING_STATUS=MR","SCALING_FORMAT=MLN","Sort=A","Dates=H","DateFormat=P","Fill=—","Direction=H","UseDPDF=Y")</f>
        <v>76</v>
      </c>
      <c r="F40" s="13">
        <f>_xll.BDH("AMGN US Equity","T12_OTHER_CFF","FQ4 2019","FQ4 2019","Currency=USD","Period=FQ","BEST_FPERIOD_OVERRIDE=FQ","FILING_STATUS=MR","SCALING_FORMAT=MLN","Sort=A","Dates=H","DateFormat=P","Fill=—","Direction=H","UseDPDF=Y")</f>
        <v>95</v>
      </c>
      <c r="G40" s="13">
        <f>_xll.BDH("AMGN US Equity","T12_OTHER_CFF","FQ1 2020","FQ1 2020","Currency=USD","Period=FQ","BEST_FPERIOD_OVERRIDE=FQ","FILING_STATUS=MR","SCALING_FORMAT=MLN","Sort=A","Dates=H","DateFormat=P","Fill=—","Direction=H","UseDPDF=Y")</f>
        <v>88</v>
      </c>
      <c r="H40" s="13">
        <f>_xll.BDH("AMGN US Equity","T12_OTHER_CFF","FQ2 2020","FQ2 2020","Currency=USD","Period=FQ","BEST_FPERIOD_OVERRIDE=FQ","FILING_STATUS=MR","SCALING_FORMAT=MLN","Sort=A","Dates=H","DateFormat=P","Fill=—","Direction=H","UseDPDF=Y")</f>
        <v>118</v>
      </c>
      <c r="I40" s="13">
        <f>_xll.BDH("AMGN US Equity","T12_OTHER_CFF","FQ3 2020","FQ3 2020","Currency=USD","Period=FQ","BEST_FPERIOD_OVERRIDE=FQ","FILING_STATUS=MR","SCALING_FORMAT=MLN","Sort=A","Dates=H","DateFormat=P","Fill=—","Direction=H","UseDPDF=Y")</f>
        <v>75</v>
      </c>
      <c r="J40" s="13">
        <f>_xll.BDH("AMGN US Equity","T12_OTHER_CFF","FQ4 2020","FQ4 2020","Currency=USD","Period=FQ","BEST_FPERIOD_OVERRIDE=FQ","FILING_STATUS=MR","SCALING_FORMAT=MLN","Sort=A","Dates=H","DateFormat=P","Fill=—","Direction=H","UseDPDF=Y")</f>
        <v>-90</v>
      </c>
      <c r="K40" s="13">
        <f>_xll.BDH("AMGN US Equity","T12_OTHER_CFF","FQ1 2021","FQ1 2021","Currency=USD","Period=FQ","BEST_FPERIOD_OVERRIDE=FQ","FILING_STATUS=MR","SCALING_FORMAT=MLN","Sort=A","Dates=H","DateFormat=P","Fill=—","Direction=H","UseDPDF=Y")</f>
        <v>-81</v>
      </c>
      <c r="L40" s="13">
        <f>_xll.BDH("AMGN US Equity","T12_OTHER_CFF","FQ2 2021","FQ2 2021","Currency=USD","Period=FQ","BEST_FPERIOD_OVERRIDE=FQ","FILING_STATUS=MR","SCALING_FORMAT=MLN","Sort=A","Dates=H","DateFormat=P","Fill=—","Direction=H","UseDPDF=Y")</f>
        <v>-97</v>
      </c>
      <c r="M40" s="13">
        <f>_xll.BDH("AMGN US Equity","T12_OTHER_CFF","FQ3 2021","FQ3 2021","Currency=USD","Period=FQ","BEST_FPERIOD_OVERRIDE=FQ","FILING_STATUS=MR","SCALING_FORMAT=MLN","Sort=A","Dates=H","DateFormat=P","Fill=—","Direction=H","UseDPDF=Y")</f>
        <v>-107</v>
      </c>
      <c r="N40" s="13">
        <f>_xll.BDH("AMGN US Equity","T12_OTHER_CFF","FQ4 2021","FQ4 2021","Currency=USD","Period=FQ","BEST_FPERIOD_OVERRIDE=FQ","FILING_STATUS=MR","SCALING_FORMAT=MLN","Sort=A","Dates=H","DateFormat=P","Fill=—","Direction=H","UseDPDF=Y")</f>
        <v>-78</v>
      </c>
      <c r="O40" s="13">
        <f>_xll.BDH("AMGN US Equity","T12_OTHER_CFF","FQ1 2022","FQ1 2022","Currency=USD","Period=FQ","BEST_FPERIOD_OVERRIDE=FQ","FILING_STATUS=MR","SCALING_FORMAT=MLN","Sort=A","Dates=H","DateFormat=P","Fill=—","Direction=H","UseDPDF=Y")</f>
        <v>-52</v>
      </c>
      <c r="P40" s="13">
        <f>_xll.BDH("AMGN US Equity","T12_OTHER_CFF","FQ2 2022","FQ2 2022","Currency=USD","Period=FQ","BEST_FPERIOD_OVERRIDE=FQ","FILING_STATUS=MR","SCALING_FORMAT=MLN","Sort=A","Dates=H","DateFormat=P","Fill=—","Direction=H","UseDPDF=Y")</f>
        <v>-45</v>
      </c>
      <c r="Q40" s="13">
        <f>_xll.BDH("AMGN US Equity","T12_OTHER_CFF","FQ3 2022","FQ3 2022","Currency=USD","Period=FQ","BEST_FPERIOD_OVERRIDE=FQ","FILING_STATUS=MR","SCALING_FORMAT=MLN","Sort=A","Dates=H","DateFormat=P","Fill=—","Direction=H","UseDPDF=Y")</f>
        <v>-384</v>
      </c>
      <c r="R40" s="13">
        <f>_xll.BDH("AMGN US Equity","T12_OTHER_CFF","FQ4 2022","FQ4 2022","Currency=USD","Period=FQ","BEST_FPERIOD_OVERRIDE=FQ","FILING_STATUS=MR","SCALING_FORMAT=MLN","Sort=A","Dates=H","DateFormat=P","Fill=—","Direction=H","UseDPDF=Y")</f>
        <v>-400</v>
      </c>
      <c r="S40" s="13">
        <f>_xll.BDH("AMGN US Equity","T12_OTHER_CFF","FQ1 2023","FQ1 2023","Currency=USD","Period=FQ","BEST_FPERIOD_OVERRIDE=FQ","FILING_STATUS=MR","SCALING_FORMAT=MLN","Sort=A","Dates=H","DateFormat=P","Fill=—","Direction=H","UseDPDF=Y")</f>
        <v>-402</v>
      </c>
      <c r="T40" s="13">
        <f>_xll.BDH("AMGN US Equity","T12_OTHER_CFF","FQ2 2023","FQ2 2023","Currency=USD","Period=FQ","BEST_FPERIOD_OVERRIDE=FQ","FILING_STATUS=MR","SCALING_FORMAT=MLN","Sort=A","Dates=H","DateFormat=P","Fill=—","Direction=H","UseDPDF=Y")</f>
        <v>-429</v>
      </c>
      <c r="U40" s="13">
        <f>_xll.BDH("AMGN US Equity","T12_OTHER_CFF","FQ3 2023","FQ3 2023","Currency=USD","Period=FQ","BEST_FPERIOD_OVERRIDE=FQ","FILING_STATUS=MR","SCALING_FORMAT=MLN","Sort=A","Dates=H","DateFormat=P","Fill=—","Direction=H","UseDPDF=Y")</f>
        <v>-607</v>
      </c>
      <c r="V40" s="13">
        <f>_xll.BDH("AMGN US Equity","T12_OTHER_CFF","FQ4 2023","FQ4 2023","Currency=USD","Period=FQ","BEST_FPERIOD_OVERRIDE=FQ","FILING_STATUS=MR","SCALING_FORMAT=MLN","Sort=A","Dates=H","DateFormat=P","Fill=—","Direction=H","UseDPDF=Y")</f>
        <v>-72</v>
      </c>
      <c r="W40" s="13">
        <f>_xll.BDH("AMGN US Equity","T12_OTHER_CFF","FQ1 2024","FQ1 2024","Currency=USD","Period=FQ","BEST_FPERIOD_OVERRIDE=FQ","FILING_STATUS=MR","SCALING_FORMAT=MLN","Sort=A","Dates=H","DateFormat=P","Fill=—","Direction=H","UseDPDF=Y")</f>
        <v>-134</v>
      </c>
      <c r="X40" s="13">
        <f>_xll.BDH("AMGN US Equity","T12_OTHER_CFF","FQ2 2024","FQ2 2024","Currency=USD","Period=FQ","BEST_FPERIOD_OVERRIDE=FQ","FILING_STATUS=MR","SCALING_FORMAT=MLN","Sort=A","Dates=H","DateFormat=P","Fill=—","Direction=H","UseDPDF=Y")</f>
        <v>-121</v>
      </c>
      <c r="Y40" s="13">
        <f>_xll.BDH("AMGN US Equity","T12_OTHER_CFF","FQ3 2024","FQ3 2024","Currency=USD","Period=FQ","BEST_FPERIOD_OVERRIDE=FQ","FILING_STATUS=MR","SCALING_FORMAT=MLN","Sort=A","Dates=H","DateFormat=P","Fill=—","Direction=H","UseDPDF=Y")</f>
        <v>-236</v>
      </c>
      <c r="Z40" s="13">
        <f>_xll.BDH("AMGN US Equity","T12_OTHER_CFF","FQ4 2024","FQ4 2024","Currency=USD","Period=FQ","BEST_FPERIOD_OVERRIDE=FQ","FILING_STATUS=MR","SCALING_FORMAT=MLN","Sort=A","Dates=H","DateFormat=P","Fill=—","Direction=H","UseDPDF=Y")</f>
        <v>-124</v>
      </c>
      <c r="AA40" s="13"/>
    </row>
    <row r="41" spans="1:27" x14ac:dyDescent="0.25">
      <c r="A41" s="6" t="s">
        <v>1678</v>
      </c>
      <c r="B41" s="6" t="s">
        <v>1679</v>
      </c>
      <c r="C41" s="19">
        <f>_xll.BDH("AMGN US Equity","T12_CFF","FQ1 2019","FQ1 2019","Currency=USD","Period=FQ","BEST_FPERIOD_OVERRIDE=FQ","FILING_STATUS=MR","SCALING_FORMAT=MLN","Sort=A","Dates=H","DateFormat=P","Fill=—","Direction=H","UseDPDF=Y")</f>
        <v>-15785</v>
      </c>
      <c r="D41" s="19">
        <f>_xll.BDH("AMGN US Equity","T12_CFF","FQ2 2019","FQ2 2019","Currency=USD","Period=FQ","BEST_FPERIOD_OVERRIDE=FQ","FILING_STATUS=MR","SCALING_FORMAT=MLN","Sort=A","Dates=H","DateFormat=P","Fill=—","Direction=H","UseDPDF=Y")</f>
        <v>-17127</v>
      </c>
      <c r="E41" s="19">
        <f>_xll.BDH("AMGN US Equity","T12_CFF","FQ3 2019","FQ3 2019","Currency=USD","Period=FQ","BEST_FPERIOD_OVERRIDE=FQ","FILING_STATUS=MR","SCALING_FORMAT=MLN","Sort=A","Dates=H","DateFormat=P","Fill=—","Direction=H","UseDPDF=Y")</f>
        <v>-17406</v>
      </c>
      <c r="F41" s="19">
        <f>_xll.BDH("AMGN US Equity","T12_CFF","FQ4 2019","FQ4 2019","Currency=USD","Period=FQ","BEST_FPERIOD_OVERRIDE=FQ","FILING_STATUS=MR","SCALING_FORMAT=MLN","Sort=A","Dates=H","DateFormat=P","Fill=—","Direction=H","UseDPDF=Y")</f>
        <v>-15767</v>
      </c>
      <c r="G41" s="19">
        <f>_xll.BDH("AMGN US Equity","T12_CFF","FQ1 2020","FQ1 2020","Currency=USD","Period=FQ","BEST_FPERIOD_OVERRIDE=FQ","FILING_STATUS=MR","SCALING_FORMAT=MLN","Sort=A","Dates=H","DateFormat=P","Fill=—","Direction=H","UseDPDF=Y")</f>
        <v>-11034</v>
      </c>
      <c r="H41" s="19">
        <f>_xll.BDH("AMGN US Equity","T12_CFF","FQ2 2020","FQ2 2020","Currency=USD","Period=FQ","BEST_FPERIOD_OVERRIDE=FQ","FILING_STATUS=MR","SCALING_FORMAT=MLN","Sort=A","Dates=H","DateFormat=P","Fill=—","Direction=H","UseDPDF=Y")</f>
        <v>-4267</v>
      </c>
      <c r="I41" s="19">
        <f>_xll.BDH("AMGN US Equity","T12_CFF","FQ3 2020","FQ3 2020","Currency=USD","Period=FQ","BEST_FPERIOD_OVERRIDE=FQ","FILING_STATUS=MR","SCALING_FORMAT=MLN","Sort=A","Dates=H","DateFormat=P","Fill=—","Direction=H","UseDPDF=Y")</f>
        <v>-3206</v>
      </c>
      <c r="J41" s="19">
        <f>_xll.BDH("AMGN US Equity","T12_CFF","FQ4 2020","FQ4 2020","Currency=USD","Period=FQ","BEST_FPERIOD_OVERRIDE=FQ","FILING_STATUS=MR","SCALING_FORMAT=MLN","Sort=A","Dates=H","DateFormat=P","Fill=—","Direction=H","UseDPDF=Y")</f>
        <v>-4867</v>
      </c>
      <c r="K41" s="19">
        <f>_xll.BDH("AMGN US Equity","T12_CFF","FQ1 2021","FQ1 2021","Currency=USD","Period=FQ","BEST_FPERIOD_OVERRIDE=FQ","FILING_STATUS=MR","SCALING_FORMAT=MLN","Sort=A","Dates=H","DateFormat=P","Fill=—","Direction=H","UseDPDF=Y")</f>
        <v>-6552</v>
      </c>
      <c r="L41" s="19">
        <f>_xll.BDH("AMGN US Equity","T12_CFF","FQ2 2021","FQ2 2021","Currency=USD","Period=FQ","BEST_FPERIOD_OVERRIDE=FQ","FILING_STATUS=MR","SCALING_FORMAT=MLN","Sort=A","Dates=H","DateFormat=P","Fill=—","Direction=H","UseDPDF=Y")</f>
        <v>-9949</v>
      </c>
      <c r="M41" s="19">
        <f>_xll.BDH("AMGN US Equity","T12_CFF","FQ3 2021","FQ3 2021","Currency=USD","Period=FQ","BEST_FPERIOD_OVERRIDE=FQ","FILING_STATUS=MR","SCALING_FORMAT=MLN","Sort=A","Dates=H","DateFormat=P","Fill=—","Direction=H","UseDPDF=Y")</f>
        <v>-5303</v>
      </c>
      <c r="N41" s="19">
        <f>_xll.BDH("AMGN US Equity","T12_CFF","FQ4 2021","FQ4 2021","Currency=USD","Period=FQ","BEST_FPERIOD_OVERRIDE=FQ","FILING_STATUS=MR","SCALING_FORMAT=MLN","Sort=A","Dates=H","DateFormat=P","Fill=—","Direction=H","UseDPDF=Y")</f>
        <v>-8271</v>
      </c>
      <c r="O41" s="19">
        <f>_xll.BDH("AMGN US Equity","T12_CFF","FQ1 2022","FQ1 2022","Currency=USD","Period=FQ","BEST_FPERIOD_OVERRIDE=FQ","FILING_STATUS=MR","SCALING_FORMAT=MLN","Sort=A","Dates=H","DateFormat=P","Fill=—","Direction=H","UseDPDF=Y")</f>
        <v>-9846</v>
      </c>
      <c r="P41" s="19">
        <f>_xll.BDH("AMGN US Equity","T12_CFF","FQ2 2022","FQ2 2022","Currency=USD","Period=FQ","BEST_FPERIOD_OVERRIDE=FQ","FILING_STATUS=MR","SCALING_FORMAT=MLN","Sort=A","Dates=H","DateFormat=P","Fill=—","Direction=H","UseDPDF=Y")</f>
        <v>-8286</v>
      </c>
      <c r="Q41" s="19">
        <f>_xll.BDH("AMGN US Equity","T12_CFF","FQ3 2022","FQ3 2022","Currency=USD","Period=FQ","BEST_FPERIOD_OVERRIDE=FQ","FILING_STATUS=MR","SCALING_FORMAT=MLN","Sort=A","Dates=H","DateFormat=P","Fill=—","Direction=H","UseDPDF=Y")</f>
        <v>-9546</v>
      </c>
      <c r="R41" s="19">
        <f>_xll.BDH("AMGN US Equity","T12_CFF","FQ4 2022","FQ4 2022","Currency=USD","Period=FQ","BEST_FPERIOD_OVERRIDE=FQ","FILING_STATUS=MR","SCALING_FORMAT=MLN","Sort=A","Dates=H","DateFormat=P","Fill=—","Direction=H","UseDPDF=Y")</f>
        <v>-4037</v>
      </c>
      <c r="S41" s="19">
        <f>_xll.BDH("AMGN US Equity","T12_CFF","FQ1 2023","FQ1 2023","Currency=USD","Period=FQ","BEST_FPERIOD_OVERRIDE=FQ","FILING_STATUS=MR","SCALING_FORMAT=MLN","Sort=A","Dates=H","DateFormat=P","Fill=—","Direction=H","UseDPDF=Y")</f>
        <v>20986</v>
      </c>
      <c r="T41" s="19">
        <f>_xll.BDH("AMGN US Equity","T12_CFF","FQ2 2023","FQ2 2023","Currency=USD","Period=FQ","BEST_FPERIOD_OVERRIDE=FQ","FILING_STATUS=MR","SCALING_FORMAT=MLN","Sort=A","Dates=H","DateFormat=P","Fill=—","Direction=H","UseDPDF=Y")</f>
        <v>20838</v>
      </c>
      <c r="U41" s="19">
        <f>_xll.BDH("AMGN US Equity","T12_CFF","FQ3 2023","FQ3 2023","Currency=USD","Period=FQ","BEST_FPERIOD_OVERRIDE=FQ","FILING_STATUS=MR","SCALING_FORMAT=MLN","Sort=A","Dates=H","DateFormat=P","Fill=—","Direction=H","UseDPDF=Y")</f>
        <v>17245</v>
      </c>
      <c r="V41" s="19">
        <f>_xll.BDH("AMGN US Equity","T12_CFF","FQ4 2023","FQ4 2023","Currency=USD","Period=FQ","BEST_FPERIOD_OVERRIDE=FQ","FILING_STATUS=MR","SCALING_FORMAT=MLN","Sort=A","Dates=H","DateFormat=P","Fill=—","Direction=H","UseDPDF=Y")</f>
        <v>21048</v>
      </c>
      <c r="W41" s="19">
        <f>_xll.BDH("AMGN US Equity","T12_CFF","FQ1 2024","FQ1 2024","Currency=USD","Period=FQ","BEST_FPERIOD_OVERRIDE=FQ","FILING_STATUS=MR","SCALING_FORMAT=MLN","Sort=A","Dates=H","DateFormat=P","Fill=—","Direction=H","UseDPDF=Y")</f>
        <v>-2169</v>
      </c>
      <c r="X41" s="19">
        <f>_xll.BDH("AMGN US Equity","T12_CFF","FQ2 2024","FQ2 2024","Currency=USD","Period=FQ","BEST_FPERIOD_OVERRIDE=FQ","FILING_STATUS=MR","SCALING_FORMAT=MLN","Sort=A","Dates=H","DateFormat=P","Fill=—","Direction=H","UseDPDF=Y")</f>
        <v>-3608</v>
      </c>
      <c r="Y41" s="19">
        <f>_xll.BDH("AMGN US Equity","T12_CFF","FQ3 2024","FQ3 2024","Currency=USD","Period=FQ","BEST_FPERIOD_OVERRIDE=FQ","FILING_STATUS=MR","SCALING_FORMAT=MLN","Sort=A","Dates=H","DateFormat=P","Fill=—","Direction=H","UseDPDF=Y")</f>
        <v>-5254</v>
      </c>
      <c r="Z41" s="19">
        <f>_xll.BDH("AMGN US Equity","T12_CFF","FQ4 2024","FQ4 2024","Currency=USD","Period=FQ","BEST_FPERIOD_OVERRIDE=FQ","FILING_STATUS=MR","SCALING_FORMAT=MLN","Sort=A","Dates=H","DateFormat=P","Fill=—","Direction=H","UseDPDF=Y")</f>
        <v>-9415</v>
      </c>
      <c r="AA41" s="19"/>
    </row>
    <row r="42" spans="1:27" x14ac:dyDescent="0.25">
      <c r="A42" s="11" t="s">
        <v>1692</v>
      </c>
      <c r="B42" s="11" t="s">
        <v>69</v>
      </c>
      <c r="C42" s="25">
        <f>_xll.BDH("AMGN US Equity","ENTERPRISE_VALUE","FQ1 2019","FQ1 2019","Currency=USD","Period=FQ","BEST_FPERIOD_OVERRIDE=FQ","FILING_STATUS=MR","SCALING_FORMAT=MLN","Sort=A","Dates=H","DateFormat=P","Fill=—","Direction=H","UseDPDF=Y")</f>
        <v>123934.712</v>
      </c>
      <c r="D42" s="25">
        <f>_xll.BDH("AMGN US Equity","ENTERPRISE_VALUE","FQ2 2019","FQ2 2019","Currency=USD","Period=FQ","BEST_FPERIOD_OVERRIDE=FQ","FILING_STATUS=MR","SCALING_FORMAT=MLN","Sort=A","Dates=H","DateFormat=P","Fill=—","Direction=H","UseDPDF=Y")</f>
        <v>120307.988</v>
      </c>
      <c r="E42" s="25">
        <f>_xll.BDH("AMGN US Equity","ENTERPRISE_VALUE","FQ3 2019","FQ3 2019","Currency=USD","Period=FQ","BEST_FPERIOD_OVERRIDE=FQ","FILING_STATUS=MR","SCALING_FORMAT=MLN","Sort=A","Dates=H","DateFormat=P","Fill=—","Direction=H","UseDPDF=Y")</f>
        <v>124794.662</v>
      </c>
      <c r="F42" s="25">
        <f>_xll.BDH("AMGN US Equity","ENTERPRISE_VALUE","FQ4 2019","FQ4 2019","Currency=USD","Period=FQ","BEST_FPERIOD_OVERRIDE=FQ","FILING_STATUS=MR","SCALING_FORMAT=MLN","Sort=A","Dates=H","DateFormat=P","Fill=—","Direction=H","UseDPDF=Y")</f>
        <v>164088.79800000001</v>
      </c>
      <c r="G42" s="25">
        <f>_xll.BDH("AMGN US Equity","ENTERPRISE_VALUE","FQ1 2020","FQ1 2020","Currency=USD","Period=FQ","BEST_FPERIOD_OVERRIDE=FQ","FILING_STATUS=MR","SCALING_FORMAT=MLN","Sort=A","Dates=H","DateFormat=P","Fill=—","Direction=H","UseDPDF=Y")</f>
        <v>143041.24</v>
      </c>
      <c r="H42" s="25">
        <f>_xll.BDH("AMGN US Equity","ENTERPRISE_VALUE","FQ2 2020","FQ2 2020","Currency=USD","Period=FQ","BEST_FPERIOD_OVERRIDE=FQ","FILING_STATUS=MR","SCALING_FORMAT=MLN","Sort=A","Dates=H","DateFormat=P","Fill=—","Direction=H","UseDPDF=Y")</f>
        <v>161111.304</v>
      </c>
      <c r="I42" s="25">
        <f>_xll.BDH("AMGN US Equity","ENTERPRISE_VALUE","FQ3 2020","FQ3 2020","Currency=USD","Period=FQ","BEST_FPERIOD_OVERRIDE=FQ","FILING_STATUS=MR","SCALING_FORMAT=MLN","Sort=A","Dates=H","DateFormat=P","Fill=—","Direction=H","UseDPDF=Y")</f>
        <v>170229.36</v>
      </c>
      <c r="J42" s="25">
        <f>_xll.BDH("AMGN US Equity","ENTERPRISE_VALUE","FQ4 2020","FQ4 2020","Currency=USD","Period=FQ","BEST_FPERIOD_OVERRIDE=FQ","FILING_STATUS=MR","SCALING_FORMAT=MLN","Sort=A","Dates=H","DateFormat=P","Fill=—","Direction=H","UseDPDF=Y")</f>
        <v>155760.736</v>
      </c>
      <c r="K42" s="25">
        <f>_xll.BDH("AMGN US Equity","ENTERPRISE_VALUE","FQ1 2021","FQ1 2021","Currency=USD","Period=FQ","BEST_FPERIOD_OVERRIDE=FQ","FILING_STATUS=MR","SCALING_FORMAT=MLN","Sort=A","Dates=H","DateFormat=P","Fill=—","Direction=H","UseDPDF=Y")</f>
        <v>165259.39300000001</v>
      </c>
      <c r="L42" s="25">
        <f>_xll.BDH("AMGN US Equity","ENTERPRISE_VALUE","FQ2 2021","FQ2 2021","Currency=USD","Period=FQ","BEST_FPERIOD_OVERRIDE=FQ","FILING_STATUS=MR","SCALING_FORMAT=MLN","Sort=A","Dates=H","DateFormat=P","Fill=—","Direction=H","UseDPDF=Y")</f>
        <v>163540</v>
      </c>
      <c r="M42" s="25">
        <f>_xll.BDH("AMGN US Equity","ENTERPRISE_VALUE","FQ3 2021","FQ3 2021","Currency=USD","Period=FQ","BEST_FPERIOD_OVERRIDE=FQ","FILING_STATUS=MR","SCALING_FORMAT=MLN","Sort=A","Dates=H","DateFormat=P","Fill=—","Direction=H","UseDPDF=Y")</f>
        <v>144805.25</v>
      </c>
      <c r="N42" s="25">
        <f>_xll.BDH("AMGN US Equity","ENTERPRISE_VALUE","FQ4 2021","FQ4 2021","Currency=USD","Period=FQ","BEST_FPERIOD_OVERRIDE=FQ","FILING_STATUS=MR","SCALING_FORMAT=MLN","Sort=A","Dates=H","DateFormat=P","Fill=—","Direction=H","UseDPDF=Y")</f>
        <v>146075.98000000001</v>
      </c>
      <c r="O42" s="25">
        <f>_xll.BDH("AMGN US Equity","ENTERPRISE_VALUE","FQ1 2022","FQ1 2022","Currency=USD","Period=FQ","BEST_FPERIOD_OVERRIDE=FQ","FILING_STATUS=MR","SCALING_FORMAT=MLN","Sort=A","Dates=H","DateFormat=P","Fill=—","Direction=H","UseDPDF=Y")</f>
        <v>159490.24400000001</v>
      </c>
      <c r="P42" s="25">
        <f>_xll.BDH("AMGN US Equity","ENTERPRISE_VALUE","FQ2 2022","FQ2 2022","Currency=USD","Period=FQ","BEST_FPERIOD_OVERRIDE=FQ","FILING_STATUS=MR","SCALING_FORMAT=MLN","Sort=A","Dates=H","DateFormat=P","Fill=—","Direction=H","UseDPDF=Y")</f>
        <v>159480.17000000001</v>
      </c>
      <c r="Q42" s="25">
        <f>_xll.BDH("AMGN US Equity","ENTERPRISE_VALUE","FQ3 2022","FQ3 2022","Currency=USD","Period=FQ","BEST_FPERIOD_OVERRIDE=FQ","FILING_STATUS=MR","SCALING_FORMAT=MLN","Sort=A","Dates=H","DateFormat=P","Fill=—","Direction=H","UseDPDF=Y")</f>
        <v>147476.9</v>
      </c>
      <c r="R42" s="25">
        <f>_xll.BDH("AMGN US Equity","ENTERPRISE_VALUE","FQ4 2022","FQ4 2022","Currency=USD","Period=FQ","BEST_FPERIOD_OVERRIDE=FQ","FILING_STATUS=MR","SCALING_FORMAT=MLN","Sort=A","Dates=H","DateFormat=P","Fill=—","Direction=H","UseDPDF=Y")</f>
        <v>170584.76</v>
      </c>
      <c r="S42" s="25">
        <f>_xll.BDH("AMGN US Equity","ENTERPRISE_VALUE","FQ1 2023","FQ1 2023","Currency=USD","Period=FQ","BEST_FPERIOD_OVERRIDE=FQ","FILING_STATUS=MR","SCALING_FORMAT=MLN","Sort=A","Dates=H","DateFormat=P","Fill=—","Direction=H","UseDPDF=Y")</f>
        <v>159201.02499999999</v>
      </c>
      <c r="T42" s="25">
        <f>_xll.BDH("AMGN US Equity","ENTERPRISE_VALUE","FQ2 2023","FQ2 2023","Currency=USD","Period=FQ","BEST_FPERIOD_OVERRIDE=FQ","FILING_STATUS=MR","SCALING_FORMAT=MLN","Sort=A","Dates=H","DateFormat=P","Fill=—","Direction=H","UseDPDF=Y")</f>
        <v>146054.49799999999</v>
      </c>
      <c r="U42" s="25">
        <f>_xll.BDH("AMGN US Equity","ENTERPRISE_VALUE","FQ3 2023","FQ3 2023","Currency=USD","Period=FQ","BEST_FPERIOD_OVERRIDE=FQ","FILING_STATUS=MR","SCALING_FORMAT=MLN","Sort=A","Dates=H","DateFormat=P","Fill=—","Direction=H","UseDPDF=Y")</f>
        <v>169540.476</v>
      </c>
      <c r="V42" s="25">
        <f>_xll.BDH("AMGN US Equity","ENTERPRISE_VALUE","FQ4 2023","FQ4 2023","Currency=USD","Period=FQ","BEST_FPERIOD_OVERRIDE=FQ","FILING_STATUS=MR","SCALING_FORMAT=MLN","Sort=A","Dates=H","DateFormat=P","Fill=—","Direction=H","UseDPDF=Y")</f>
        <v>208684.908</v>
      </c>
      <c r="W42" s="25">
        <f>_xll.BDH("AMGN US Equity","ENTERPRISE_VALUE","FQ1 2024","FQ1 2024","Currency=USD","Period=FQ","BEST_FPERIOD_OVERRIDE=FQ","FILING_STATUS=MR","SCALING_FORMAT=MLN","Sort=A","Dates=H","DateFormat=P","Fill=—","Direction=H","UseDPDF=Y")</f>
        <v>206821.24799999999</v>
      </c>
      <c r="X42" s="25">
        <f>_xll.BDH("AMGN US Equity","ENTERPRISE_VALUE","FQ2 2024","FQ2 2024","Currency=USD","Period=FQ","BEST_FPERIOD_OVERRIDE=FQ","FILING_STATUS=MR","SCALING_FORMAT=MLN","Sort=A","Dates=H","DateFormat=P","Fill=—","Direction=H","UseDPDF=Y")</f>
        <v>221192.14</v>
      </c>
      <c r="Y42" s="25">
        <f>_xll.BDH("AMGN US Equity","ENTERPRISE_VALUE","FQ3 2024","FQ3 2024","Currency=USD","Period=FQ","BEST_FPERIOD_OVERRIDE=FQ","FILING_STATUS=MR","SCALING_FORMAT=MLN","Sort=A","Dates=H","DateFormat=P","Fill=—","Direction=H","UseDPDF=Y")</f>
        <v>224574.875</v>
      </c>
      <c r="Z42" s="25">
        <f>_xll.BDH("AMGN US Equity","ENTERPRISE_VALUE","FQ4 2024","FQ4 2024","Currency=USD","Period=FQ","BEST_FPERIOD_OVERRIDE=FQ","FILING_STATUS=MR","SCALING_FORMAT=MLN","Sort=A","Dates=H","DateFormat=P","Fill=—","Direction=H","UseDPDF=Y")</f>
        <v>188843.61600000001</v>
      </c>
      <c r="AA42" s="25"/>
    </row>
    <row r="43" spans="1:27" x14ac:dyDescent="0.25">
      <c r="A43" s="6" t="s">
        <v>1698</v>
      </c>
      <c r="B43" s="6" t="s">
        <v>1699</v>
      </c>
      <c r="C43" s="20">
        <f>_xll.BDH("AMGN US Equity","CAPITAL_YIELD","FQ1 2019","FQ1 2019","Currency=USD","Period=FQ","BEST_FPERIOD_OVERRIDE=FQ","FILING_STATUS=MR","Sort=A","Dates=H","DateFormat=P","Fill=—","Direction=H","UseDPDF=Y")</f>
        <v>12.736499999999999</v>
      </c>
      <c r="D43" s="20">
        <f>_xll.BDH("AMGN US Equity","CAPITAL_YIELD","FQ2 2019","FQ2 2019","Currency=USD","Period=FQ","BEST_FPERIOD_OVERRIDE=FQ","FILING_STATUS=MR","Sort=A","Dates=H","DateFormat=P","Fill=—","Direction=H","UseDPDF=Y")</f>
        <v>14.236000000000001</v>
      </c>
      <c r="E43" s="20">
        <f>_xll.BDH("AMGN US Equity","CAPITAL_YIELD","FQ3 2019","FQ3 2019","Currency=USD","Period=FQ","BEST_FPERIOD_OVERRIDE=FQ","FILING_STATUS=MR","Sort=A","Dates=H","DateFormat=P","Fill=—","Direction=H","UseDPDF=Y")</f>
        <v>13.947699999999999</v>
      </c>
      <c r="F43" s="20">
        <f>_xll.BDH("AMGN US Equity","CAPITAL_YIELD","FQ4 2019","FQ4 2019","Currency=USD","Period=FQ","BEST_FPERIOD_OVERRIDE=FQ","FILING_STATUS=MR","Sort=A","Dates=H","DateFormat=P","Fill=—","Direction=H","UseDPDF=Y")</f>
        <v>9.6088000000000005</v>
      </c>
      <c r="G43" s="20">
        <f>_xll.BDH("AMGN US Equity","CAPITAL_YIELD","FQ1 2020","FQ1 2020","Currency=USD","Period=FQ","BEST_FPERIOD_OVERRIDE=FQ","FILING_STATUS=MR","Sort=A","Dates=H","DateFormat=P","Fill=—","Direction=H","UseDPDF=Y")</f>
        <v>7.7138999999999998</v>
      </c>
      <c r="H43" s="20">
        <f>_xll.BDH("AMGN US Equity","CAPITAL_YIELD","FQ2 2020","FQ2 2020","Currency=USD","Period=FQ","BEST_FPERIOD_OVERRIDE=FQ","FILING_STATUS=MR","Sort=A","Dates=H","DateFormat=P","Fill=—","Direction=H","UseDPDF=Y")</f>
        <v>2.6484999999999999</v>
      </c>
      <c r="I43" s="20">
        <f>_xll.BDH("AMGN US Equity","CAPITAL_YIELD","FQ3 2020","FQ3 2020","Currency=USD","Period=FQ","BEST_FPERIOD_OVERRIDE=FQ","FILING_STATUS=MR","Sort=A","Dates=H","DateFormat=P","Fill=—","Direction=H","UseDPDF=Y")</f>
        <v>1.8833</v>
      </c>
      <c r="J43" s="20">
        <f>_xll.BDH("AMGN US Equity","CAPITAL_YIELD","FQ4 2020","FQ4 2020","Currency=USD","Period=FQ","BEST_FPERIOD_OVERRIDE=FQ","FILING_STATUS=MR","Sort=A","Dates=H","DateFormat=P","Fill=—","Direction=H","UseDPDF=Y")</f>
        <v>3.1246999999999998</v>
      </c>
      <c r="K43" s="20">
        <f>_xll.BDH("AMGN US Equity","CAPITAL_YIELD","FQ1 2021","FQ1 2021","Currency=USD","Period=FQ","BEST_FPERIOD_OVERRIDE=FQ","FILING_STATUS=MR","Sort=A","Dates=H","DateFormat=P","Fill=—","Direction=H","UseDPDF=Y")</f>
        <v>3.9647000000000001</v>
      </c>
      <c r="L43" s="20">
        <f>_xll.BDH("AMGN US Equity","CAPITAL_YIELD","FQ2 2021","FQ2 2021","Currency=USD","Period=FQ","BEST_FPERIOD_OVERRIDE=FQ","FILING_STATUS=MR","Sort=A","Dates=H","DateFormat=P","Fill=—","Direction=H","UseDPDF=Y")</f>
        <v>6.0834999999999999</v>
      </c>
      <c r="M43" s="20">
        <f>_xll.BDH("AMGN US Equity","CAPITAL_YIELD","FQ3 2021","FQ3 2021","Currency=USD","Period=FQ","BEST_FPERIOD_OVERRIDE=FQ","FILING_STATUS=MR","Sort=A","Dates=H","DateFormat=P","Fill=—","Direction=H","UseDPDF=Y")</f>
        <v>3.6621999999999999</v>
      </c>
      <c r="N43" s="20">
        <f>_xll.BDH("AMGN US Equity","CAPITAL_YIELD","FQ4 2021","FQ4 2021","Currency=USD","Period=FQ","BEST_FPERIOD_OVERRIDE=FQ","FILING_STATUS=MR","Sort=A","Dates=H","DateFormat=P","Fill=—","Direction=H","UseDPDF=Y")</f>
        <v>5.6620999999999997</v>
      </c>
      <c r="O43" s="20">
        <f>_xll.BDH("AMGN US Equity","CAPITAL_YIELD","FQ1 2022","FQ1 2022","Currency=USD","Period=FQ","BEST_FPERIOD_OVERRIDE=FQ","FILING_STATUS=MR","Sort=A","Dates=H","DateFormat=P","Fill=—","Direction=H","UseDPDF=Y")</f>
        <v>6.1734</v>
      </c>
      <c r="P43" s="20">
        <f>_xll.BDH("AMGN US Equity","CAPITAL_YIELD","FQ2 2022","FQ2 2022","Currency=USD","Period=FQ","BEST_FPERIOD_OVERRIDE=FQ","FILING_STATUS=MR","Sort=A","Dates=H","DateFormat=P","Fill=—","Direction=H","UseDPDF=Y")</f>
        <v>5.1955999999999998</v>
      </c>
      <c r="Q43" s="20">
        <f>_xll.BDH("AMGN US Equity","CAPITAL_YIELD","FQ3 2022","FQ3 2022","Currency=USD","Period=FQ","BEST_FPERIOD_OVERRIDE=FQ","FILING_STATUS=MR","Sort=A","Dates=H","DateFormat=P","Fill=—","Direction=H","UseDPDF=Y")</f>
        <v>6.4729000000000001</v>
      </c>
      <c r="R43" s="20">
        <f>_xll.BDH("AMGN US Equity","CAPITAL_YIELD","FQ4 2022","FQ4 2022","Currency=USD","Period=FQ","BEST_FPERIOD_OVERRIDE=FQ","FILING_STATUS=MR","Sort=A","Dates=H","DateFormat=P","Fill=—","Direction=H","UseDPDF=Y")</f>
        <v>2.3666</v>
      </c>
      <c r="S43" s="20">
        <f>_xll.BDH("AMGN US Equity","CAPITAL_YIELD","FQ1 2023","FQ1 2023","Currency=USD","Period=FQ","BEST_FPERIOD_OVERRIDE=FQ","FILING_STATUS=MR","Sort=A","Dates=H","DateFormat=P","Fill=—","Direction=H","UseDPDF=Y")</f>
        <v>-13.1821</v>
      </c>
      <c r="T43" s="20">
        <f>_xll.BDH("AMGN US Equity","CAPITAL_YIELD","FQ2 2023","FQ2 2023","Currency=USD","Period=FQ","BEST_FPERIOD_OVERRIDE=FQ","FILING_STATUS=MR","Sort=A","Dates=H","DateFormat=P","Fill=—","Direction=H","UseDPDF=Y")</f>
        <v>-14.267300000000001</v>
      </c>
      <c r="U43" s="20">
        <f>_xll.BDH("AMGN US Equity","CAPITAL_YIELD","FQ3 2023","FQ3 2023","Currency=USD","Period=FQ","BEST_FPERIOD_OVERRIDE=FQ","FILING_STATUS=MR","Sort=A","Dates=H","DateFormat=P","Fill=—","Direction=H","UseDPDF=Y")</f>
        <v>-10.1716</v>
      </c>
      <c r="V43" s="20">
        <f>_xll.BDH("AMGN US Equity","CAPITAL_YIELD","FQ4 2023","FQ4 2023","Currency=USD","Period=FQ","BEST_FPERIOD_OVERRIDE=FQ","FILING_STATUS=MR","Sort=A","Dates=H","DateFormat=P","Fill=—","Direction=H","UseDPDF=Y")</f>
        <v>-10.086</v>
      </c>
      <c r="W43" s="20">
        <f>_xll.BDH("AMGN US Equity","CAPITAL_YIELD","FQ1 2024","FQ1 2024","Currency=USD","Period=FQ","BEST_FPERIOD_OVERRIDE=FQ","FILING_STATUS=MR","Sort=A","Dates=H","DateFormat=P","Fill=—","Direction=H","UseDPDF=Y")</f>
        <v>1.0487</v>
      </c>
      <c r="X43" s="20">
        <f>_xll.BDH("AMGN US Equity","CAPITAL_YIELD","FQ2 2024","FQ2 2024","Currency=USD","Period=FQ","BEST_FPERIOD_OVERRIDE=FQ","FILING_STATUS=MR","Sort=A","Dates=H","DateFormat=P","Fill=—","Direction=H","UseDPDF=Y")</f>
        <v>1.6312</v>
      </c>
      <c r="Y43" s="20">
        <f>_xll.BDH("AMGN US Equity","CAPITAL_YIELD","FQ3 2024","FQ3 2024","Currency=USD","Period=FQ","BEST_FPERIOD_OVERRIDE=FQ","FILING_STATUS=MR","Sort=A","Dates=H","DateFormat=P","Fill=—","Direction=H","UseDPDF=Y")</f>
        <v>2.3395000000000001</v>
      </c>
      <c r="Z43" s="20">
        <f>_xll.BDH("AMGN US Equity","CAPITAL_YIELD","FQ4 2024","FQ4 2024","Currency=USD","Period=FQ","BEST_FPERIOD_OVERRIDE=FQ","FILING_STATUS=MR","Sort=A","Dates=H","DateFormat=P","Fill=—","Direction=H","UseDPDF=Y")</f>
        <v>4.9855999999999998</v>
      </c>
      <c r="AA43" s="20"/>
    </row>
    <row r="44" spans="1:27" x14ac:dyDescent="0.25">
      <c r="A44" s="7" t="s">
        <v>90</v>
      </c>
      <c r="B44" s="7"/>
      <c r="C44" s="7" t="s">
        <v>5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24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1700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1701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1702</v>
      </c>
      <c r="B7" s="10" t="s">
        <v>1703</v>
      </c>
      <c r="C7" s="14">
        <f>_xll.BDH("AMGN US Equity","TAX_EFFICIENCY","FQ4 2018","FQ4 2018","Currency=USD","Period=FQ","BEST_FPERIOD_OVERRIDE=FQ","FILING_STATUS=MR","FA_ADJUSTED=GAAP","Sort=A","Dates=H","DateFormat=P","Fill=—","Direction=H","UseDPDF=Y")</f>
        <v>87.941299999999998</v>
      </c>
      <c r="D7" s="14">
        <f>_xll.BDH("AMGN US Equity","TAX_EFFICIENCY","FQ1 2019","FQ1 2019","Currency=USD","Period=FQ","BEST_FPERIOD_OVERRIDE=FQ","FILING_STATUS=MR","FA_ADJUSTED=GAAP","Sort=A","Dates=H","DateFormat=P","Fill=—","Direction=H","UseDPDF=Y")</f>
        <v>87.391800000000003</v>
      </c>
      <c r="E7" s="14">
        <f>_xll.BDH("AMGN US Equity","TAX_EFFICIENCY","FQ2 2019","FQ2 2019","Currency=USD","Period=FQ","BEST_FPERIOD_OVERRIDE=FQ","FILING_STATUS=MR","FA_ADJUSTED=GAAP","Sort=A","Dates=H","DateFormat=P","Fill=—","Direction=H","UseDPDF=Y")</f>
        <v>86.906199999999998</v>
      </c>
      <c r="F7" s="14">
        <f>_xll.BDH("AMGN US Equity","TAX_EFFICIENCY","FQ3 2019","FQ3 2019","Currency=USD","Period=FQ","BEST_FPERIOD_OVERRIDE=FQ","FILING_STATUS=MR","FA_ADJUSTED=GAAP","Sort=A","Dates=H","DateFormat=P","Fill=—","Direction=H","UseDPDF=Y")</f>
        <v>86.370400000000004</v>
      </c>
      <c r="G7" s="14">
        <f>_xll.BDH("AMGN US Equity","TAX_EFFICIENCY","FQ4 2019","FQ4 2019","Currency=USD","Period=FQ","BEST_FPERIOD_OVERRIDE=FQ","FILING_STATUS=MR","FA_ADJUSTED=GAAP","Sort=A","Dates=H","DateFormat=P","Fill=—","Direction=H","UseDPDF=Y")</f>
        <v>85.817499999999995</v>
      </c>
      <c r="H7" s="14">
        <f>_xll.BDH("AMGN US Equity","TAX_EFFICIENCY","FQ1 2020","FQ1 2020","Currency=USD","Period=FQ","BEST_FPERIOD_OVERRIDE=FQ","FILING_STATUS=MR","FA_ADJUSTED=GAAP","Sort=A","Dates=H","DateFormat=P","Fill=—","Direction=H","UseDPDF=Y")</f>
        <v>86.781999999999996</v>
      </c>
      <c r="I7" s="14">
        <f>_xll.BDH("AMGN US Equity","TAX_EFFICIENCY","FQ2 2020","FQ2 2020","Currency=USD","Period=FQ","BEST_FPERIOD_OVERRIDE=FQ","FILING_STATUS=MR","FA_ADJUSTED=GAAP","Sort=A","Dates=H","DateFormat=P","Fill=—","Direction=H","UseDPDF=Y")</f>
        <v>87.8339</v>
      </c>
      <c r="J7" s="14">
        <f>_xll.BDH("AMGN US Equity","TAX_EFFICIENCY","FQ3 2020","FQ3 2020","Currency=USD","Period=FQ","BEST_FPERIOD_OVERRIDE=FQ","FILING_STATUS=MR","FA_ADJUSTED=GAAP","Sort=A","Dates=H","DateFormat=P","Fill=—","Direction=H","UseDPDF=Y")</f>
        <v>89.234099999999998</v>
      </c>
      <c r="K7" s="14">
        <f>_xll.BDH("AMGN US Equity","TAX_EFFICIENCY","FQ4 2020","FQ4 2020","Currency=USD","Period=FQ","BEST_FPERIOD_OVERRIDE=FQ","FILING_STATUS=MR","FA_ADJUSTED=GAAP","Sort=A","Dates=H","DateFormat=P","Fill=—","Direction=H","UseDPDF=Y")</f>
        <v>89.315100000000001</v>
      </c>
      <c r="L7" s="14">
        <f>_xll.BDH("AMGN US Equity","TAX_EFFICIENCY","FQ1 2021","FQ1 2021","Currency=USD","Period=FQ","BEST_FPERIOD_OVERRIDE=FQ","FILING_STATUS=MR","FA_ADJUSTED=GAAP","Sort=A","Dates=H","DateFormat=P","Fill=—","Direction=H","UseDPDF=Y")</f>
        <v>88.895899999999997</v>
      </c>
      <c r="M7" s="14">
        <f>_xll.BDH("AMGN US Equity","TAX_EFFICIENCY","FQ2 2021","FQ2 2021","Currency=USD","Period=FQ","BEST_FPERIOD_OVERRIDE=FQ","FILING_STATUS=MR","FA_ADJUSTED=GAAP","Sort=A","Dates=H","DateFormat=P","Fill=—","Direction=H","UseDPDF=Y")</f>
        <v>88.427199999999999</v>
      </c>
      <c r="N7" s="14">
        <f>_xll.BDH("AMGN US Equity","TAX_EFFICIENCY","FQ3 2021","FQ3 2021","Currency=USD","Period=FQ","BEST_FPERIOD_OVERRIDE=FQ","FILING_STATUS=MR","FA_ADJUSTED=GAAP","Sort=A","Dates=H","DateFormat=P","Fill=—","Direction=H","UseDPDF=Y")</f>
        <v>87.0017</v>
      </c>
      <c r="O7" s="14">
        <f>_xll.BDH("AMGN US Equity","TAX_EFFICIENCY","FQ4 2021","FQ4 2021","Currency=USD","Period=FQ","BEST_FPERIOD_OVERRIDE=FQ","FILING_STATUS=MR","FA_ADJUSTED=GAAP","Sort=A","Dates=H","DateFormat=P","Fill=—","Direction=H","UseDPDF=Y")</f>
        <v>87.942099999999996</v>
      </c>
      <c r="P7" s="14">
        <f>_xll.BDH("AMGN US Equity","TAX_EFFICIENCY","FQ1 2022","FQ1 2022","Currency=USD","Period=FQ","BEST_FPERIOD_OVERRIDE=FQ","FILING_STATUS=MR","FA_ADJUSTED=GAAP","Sort=A","Dates=H","DateFormat=P","Fill=—","Direction=H","UseDPDF=Y")</f>
        <v>87.789500000000004</v>
      </c>
      <c r="Q7" s="14">
        <f>_xll.BDH("AMGN US Equity","TAX_EFFICIENCY","FQ2 2022","FQ2 2022","Currency=USD","Period=FQ","BEST_FPERIOD_OVERRIDE=FQ","FILING_STATUS=MR","FA_ADJUSTED=GAAP","Sort=A","Dates=H","DateFormat=P","Fill=—","Direction=H","UseDPDF=Y")</f>
        <v>87.773600000000002</v>
      </c>
      <c r="R7" s="14">
        <f>_xll.BDH("AMGN US Equity","TAX_EFFICIENCY","FQ3 2022","FQ3 2022","Currency=USD","Period=FQ","BEST_FPERIOD_OVERRIDE=FQ","FILING_STATUS=MR","FA_ADJUSTED=GAAP","Sort=A","Dates=H","DateFormat=P","Fill=—","Direction=H","UseDPDF=Y")</f>
        <v>88.433199999999999</v>
      </c>
      <c r="S7" s="14">
        <f>_xll.BDH("AMGN US Equity","TAX_EFFICIENCY","FQ4 2022","FQ4 2022","Currency=USD","Period=FQ","BEST_FPERIOD_OVERRIDE=FQ","FILING_STATUS=MR","FA_ADJUSTED=GAAP","Sort=A","Dates=H","DateFormat=P","Fill=—","Direction=H","UseDPDF=Y")</f>
        <v>89.191400000000002</v>
      </c>
      <c r="T7" s="14">
        <f>_xll.BDH("AMGN US Equity","TAX_EFFICIENCY","FQ1 2023","FQ1 2023","Currency=USD","Period=FQ","BEST_FPERIOD_OVERRIDE=FQ","FILING_STATUS=MR","FA_ADJUSTED=GAAP","Sort=A","Dates=H","DateFormat=P","Fill=—","Direction=H","UseDPDF=Y")</f>
        <v>86.875900000000001</v>
      </c>
      <c r="U7" s="14">
        <f>_xll.BDH("AMGN US Equity","TAX_EFFICIENCY","FQ2 2023","FQ2 2023","Currency=USD","Period=FQ","BEST_FPERIOD_OVERRIDE=FQ","FILING_STATUS=MR","FA_ADJUSTED=GAAP","Sort=A","Dates=H","DateFormat=P","Fill=—","Direction=H","UseDPDF=Y")</f>
        <v>86.766000000000005</v>
      </c>
      <c r="V7" s="14">
        <f>_xll.BDH("AMGN US Equity","TAX_EFFICIENCY","FQ3 2023","FQ3 2023","Currency=USD","Period=FQ","BEST_FPERIOD_OVERRIDE=FQ","FILING_STATUS=MR","FA_ADJUSTED=GAAP","Sort=A","Dates=H","DateFormat=P","Fill=—","Direction=H","UseDPDF=Y")</f>
        <v>86.458699999999993</v>
      </c>
      <c r="W7" s="14">
        <f>_xll.BDH("AMGN US Equity","TAX_EFFICIENCY","FQ4 2023","FQ4 2023","Currency=USD","Period=FQ","BEST_FPERIOD_OVERRIDE=FQ","FILING_STATUS=MR","FA_ADJUSTED=GAAP","Sort=A","Dates=H","DateFormat=P","Fill=—","Direction=H","UseDPDF=Y")</f>
        <v>85.5124</v>
      </c>
      <c r="X7" s="14">
        <f>_xll.BDH("AMGN US Equity","TAX_EFFICIENCY","FQ1 2024","FQ1 2024","Currency=USD","Period=FQ","BEST_FPERIOD_OVERRIDE=FQ","FILING_STATUS=MR","FA_ADJUSTED=GAAP","Sort=A","Dates=H","DateFormat=P","Fill=—","Direction=H","UseDPDF=Y")</f>
        <v>86.6053</v>
      </c>
      <c r="Y7" s="14">
        <f>_xll.BDH("AMGN US Equity","TAX_EFFICIENCY","FQ2 2024","FQ2 2024","Currency=USD","Period=FQ","BEST_FPERIOD_OVERRIDE=FQ","FILING_STATUS=MR","FA_ADJUSTED=GAAP","Sort=A","Dates=H","DateFormat=P","Fill=—","Direction=H","UseDPDF=Y")</f>
        <v>88.794300000000007</v>
      </c>
      <c r="Z7" s="14">
        <f>_xll.BDH("AMGN US Equity","TAX_EFFICIENCY","FQ3 2024","FQ3 2024","Currency=USD","Period=FQ","BEST_FPERIOD_OVERRIDE=FQ","FILING_STATUS=MR","FA_ADJUSTED=GAAP","Sort=A","Dates=H","DateFormat=P","Fill=—","Direction=H","UseDPDF=Y")</f>
        <v>90.403899999999993</v>
      </c>
      <c r="AA7" s="14">
        <f>_xll.BDH("AMGN US Equity","TAX_EFFICIENCY","FQ4 2024","FQ4 2024","Currency=USD","Period=FQ","BEST_FPERIOD_OVERRIDE=FQ","FILING_STATUS=MR","FA_ADJUSTED=GAAP","Sort=A","Dates=H","DateFormat=P","Fill=—","Direction=H","UseDPDF=Y")</f>
        <v>88.739400000000003</v>
      </c>
    </row>
    <row r="8" spans="1:27" x14ac:dyDescent="0.25">
      <c r="A8" s="6" t="s">
        <v>1704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x14ac:dyDescent="0.25">
      <c r="A9" s="10" t="s">
        <v>1705</v>
      </c>
      <c r="B9" s="10" t="s">
        <v>1706</v>
      </c>
      <c r="C9" s="14">
        <f>_xll.BDH("AMGN US Equity","NORM_NET_INC_TO_NET_INC_FO_COM","FQ4 2018","FQ4 2018","Currency=USD","Period=FQ","BEST_FPERIOD_OVERRIDE=FQ","FILING_STATUS=MR","FA_ADJUSTED=GAAP","Sort=A","Dates=H","DateFormat=P","Fill=—","Direction=H","UseDPDF=Y")</f>
        <v>1.0407</v>
      </c>
      <c r="D9" s="14">
        <f>_xll.BDH("AMGN US Equity","NORM_NET_INC_TO_NET_INC_FO_COM","FQ1 2019","FQ1 2019","Currency=USD","Period=FQ","BEST_FPERIOD_OVERRIDE=FQ","FILING_STATUS=MR","FA_ADJUSTED=GAAP","Sort=A","Dates=H","DateFormat=P","Fill=—","Direction=H","UseDPDF=Y")</f>
        <v>1.0376000000000001</v>
      </c>
      <c r="E9" s="14">
        <f>_xll.BDH("AMGN US Equity","NORM_NET_INC_TO_NET_INC_FO_COM","FQ2 2019","FQ2 2019","Currency=USD","Period=FQ","BEST_FPERIOD_OVERRIDE=FQ","FILING_STATUS=MR","FA_ADJUSTED=GAAP","Sort=A","Dates=H","DateFormat=P","Fill=—","Direction=H","UseDPDF=Y")</f>
        <v>1.0409999999999999</v>
      </c>
      <c r="F9" s="14">
        <f>_xll.BDH("AMGN US Equity","NORM_NET_INC_TO_NET_INC_FO_COM","FQ3 2019","FQ3 2019","Currency=USD","Period=FQ","BEST_FPERIOD_OVERRIDE=FQ","FILING_STATUS=MR","FA_ADJUSTED=GAAP","Sort=A","Dates=H","DateFormat=P","Fill=—","Direction=H","UseDPDF=Y")</f>
        <v>1.0059</v>
      </c>
      <c r="G9" s="14">
        <f>_xll.BDH("AMGN US Equity","NORM_NET_INC_TO_NET_INC_FO_COM","FQ4 2019","FQ4 2019","Currency=USD","Period=FQ","BEST_FPERIOD_OVERRIDE=FQ","FILING_STATUS=MR","FA_ADJUSTED=GAAP","Sort=A","Dates=H","DateFormat=P","Fill=—","Direction=H","UseDPDF=Y")</f>
        <v>1.0113000000000001</v>
      </c>
      <c r="H9" s="14">
        <f>_xll.BDH("AMGN US Equity","NORM_NET_INC_TO_NET_INC_FO_COM","FQ1 2020","FQ1 2020","Currency=USD","Period=FQ","BEST_FPERIOD_OVERRIDE=FQ","FILING_STATUS=MR","FA_ADJUSTED=GAAP","Sort=A","Dates=H","DateFormat=P","Fill=—","Direction=H","UseDPDF=Y")</f>
        <v>1.0134000000000001</v>
      </c>
      <c r="I9" s="14">
        <f>_xll.BDH("AMGN US Equity","NORM_NET_INC_TO_NET_INC_FO_COM","FQ2 2020","FQ2 2020","Currency=USD","Period=FQ","BEST_FPERIOD_OVERRIDE=FQ","FILING_STATUS=MR","FA_ADJUSTED=GAAP","Sort=A","Dates=H","DateFormat=P","Fill=—","Direction=H","UseDPDF=Y")</f>
        <v>1.0217000000000001</v>
      </c>
      <c r="J9" s="14">
        <f>_xll.BDH("AMGN US Equity","NORM_NET_INC_TO_NET_INC_FO_COM","FQ3 2020","FQ3 2020","Currency=USD","Period=FQ","BEST_FPERIOD_OVERRIDE=FQ","FILING_STATUS=MR","FA_ADJUSTED=GAAP","Sort=A","Dates=H","DateFormat=P","Fill=—","Direction=H","UseDPDF=Y")</f>
        <v>1.0952</v>
      </c>
      <c r="K9" s="14">
        <f>_xll.BDH("AMGN US Equity","NORM_NET_INC_TO_NET_INC_FO_COM","FQ4 2020","FQ4 2020","Currency=USD","Period=FQ","BEST_FPERIOD_OVERRIDE=FQ","FILING_STATUS=MR","FA_ADJUSTED=GAAP","Sort=A","Dates=H","DateFormat=P","Fill=—","Direction=H","UseDPDF=Y")</f>
        <v>1.0952</v>
      </c>
      <c r="L9" s="14">
        <f>_xll.BDH("AMGN US Equity","NORM_NET_INC_TO_NET_INC_FO_COM","FQ1 2021","FQ1 2021","Currency=USD","Period=FQ","BEST_FPERIOD_OVERRIDE=FQ","FILING_STATUS=MR","FA_ADJUSTED=GAAP","Sort=A","Dates=H","DateFormat=P","Fill=—","Direction=H","UseDPDF=Y")</f>
        <v>1.1601999999999999</v>
      </c>
      <c r="M9" s="14">
        <f>_xll.BDH("AMGN US Equity","NORM_NET_INC_TO_NET_INC_FO_COM","FQ2 2021","FQ2 2021","Currency=USD","Period=FQ","BEST_FPERIOD_OVERRIDE=FQ","FILING_STATUS=MR","FA_ADJUSTED=GAAP","Sort=A","Dates=H","DateFormat=P","Fill=—","Direction=H","UseDPDF=Y")</f>
        <v>1.5367</v>
      </c>
      <c r="N9" s="14">
        <f>_xll.BDH("AMGN US Equity","NORM_NET_INC_TO_NET_INC_FO_COM","FQ3 2021","FQ3 2021","Currency=USD","Period=FQ","BEST_FPERIOD_OVERRIDE=FQ","FILING_STATUS=MR","FA_ADJUSTED=GAAP","Sort=A","Dates=H","DateFormat=P","Fill=—","Direction=H","UseDPDF=Y")</f>
        <v>1.4207000000000001</v>
      </c>
      <c r="O9" s="14">
        <f>_xll.BDH("AMGN US Equity","NORM_NET_INC_TO_NET_INC_FO_COM","FQ4 2021","FQ4 2021","Currency=USD","Period=FQ","BEST_FPERIOD_OVERRIDE=FQ","FILING_STATUS=MR","FA_ADJUSTED=GAAP","Sort=A","Dates=H","DateFormat=P","Fill=—","Direction=H","UseDPDF=Y")</f>
        <v>1.3862000000000001</v>
      </c>
      <c r="P9" s="14">
        <f>_xll.BDH("AMGN US Equity","NORM_NET_INC_TO_NET_INC_FO_COM","FQ1 2022","FQ1 2022","Currency=USD","Period=FQ","BEST_FPERIOD_OVERRIDE=FQ","FILING_STATUS=MR","FA_ADJUSTED=GAAP","Sort=A","Dates=H","DateFormat=P","Fill=—","Direction=H","UseDPDF=Y")</f>
        <v>1.4613</v>
      </c>
      <c r="Q9" s="14">
        <f>_xll.BDH("AMGN US Equity","NORM_NET_INC_TO_NET_INC_FO_COM","FQ2 2022","FQ2 2022","Currency=USD","Period=FQ","BEST_FPERIOD_OVERRIDE=FQ","FILING_STATUS=MR","FA_ADJUSTED=GAAP","Sort=A","Dates=H","DateFormat=P","Fill=—","Direction=H","UseDPDF=Y")</f>
        <v>1.2668999999999999</v>
      </c>
      <c r="R9" s="14">
        <f>_xll.BDH("AMGN US Equity","NORM_NET_INC_TO_NET_INC_FO_COM","FQ3 2022","FQ3 2022","Currency=USD","Period=FQ","BEST_FPERIOD_OVERRIDE=FQ","FILING_STATUS=MR","FA_ADJUSTED=GAAP","Sort=A","Dates=H","DateFormat=P","Fill=—","Direction=H","UseDPDF=Y")</f>
        <v>1.2655000000000001</v>
      </c>
      <c r="S9" s="14">
        <f>_xll.BDH("AMGN US Equity","NORM_NET_INC_TO_NET_INC_FO_COM","FQ4 2022","FQ4 2022","Currency=USD","Period=FQ","BEST_FPERIOD_OVERRIDE=FQ","FILING_STATUS=MR","FA_ADJUSTED=GAAP","Sort=A","Dates=H","DateFormat=P","Fill=—","Direction=H","UseDPDF=Y")</f>
        <v>1.2665999999999999</v>
      </c>
      <c r="T9" s="14">
        <f>_xll.BDH("AMGN US Equity","NORM_NET_INC_TO_NET_INC_FO_COM","FQ1 2023","FQ1 2023","Currency=USD","Period=FQ","BEST_FPERIOD_OVERRIDE=FQ","FILING_STATUS=MR","FA_ADJUSTED=GAAP","Sort=A","Dates=H","DateFormat=P","Fill=—","Direction=H","UseDPDF=Y")</f>
        <v>1.0127999999999999</v>
      </c>
      <c r="U9" s="14">
        <f>_xll.BDH("AMGN US Equity","NORM_NET_INC_TO_NET_INC_FO_COM","FQ2 2023","FQ2 2023","Currency=USD","Period=FQ","BEST_FPERIOD_OVERRIDE=FQ","FILING_STATUS=MR","FA_ADJUSTED=GAAP","Sort=A","Dates=H","DateFormat=P","Fill=—","Direction=H","UseDPDF=Y")</f>
        <v>0.92949999999999999</v>
      </c>
      <c r="V9" s="14">
        <f>_xll.BDH("AMGN US Equity","NORM_NET_INC_TO_NET_INC_FO_COM","FQ3 2023","FQ3 2023","Currency=USD","Period=FQ","BEST_FPERIOD_OVERRIDE=FQ","FILING_STATUS=MR","FA_ADJUSTED=GAAP","Sort=A","Dates=H","DateFormat=P","Fill=—","Direction=H","UseDPDF=Y")</f>
        <v>0.98699999999999999</v>
      </c>
      <c r="W9" s="14">
        <f>_xll.BDH("AMGN US Equity","NORM_NET_INC_TO_NET_INC_FO_COM","FQ4 2023","FQ4 2023","Currency=USD","Period=FQ","BEST_FPERIOD_OVERRIDE=FQ","FILING_STATUS=MR","FA_ADJUSTED=GAAP","Sort=A","Dates=H","DateFormat=P","Fill=—","Direction=H","UseDPDF=Y")</f>
        <v>1.0370999999999999</v>
      </c>
      <c r="X9" s="14">
        <f>_xll.BDH("AMGN US Equity","NORM_NET_INC_TO_NET_INC_FO_COM","FQ1 2024","FQ1 2024","Currency=USD","Period=FQ","BEST_FPERIOD_OVERRIDE=FQ","FILING_STATUS=MR","FA_ADJUSTED=GAAP","Sort=A","Dates=H","DateFormat=P","Fill=—","Direction=H","UseDPDF=Y")</f>
        <v>1.4281999999999999</v>
      </c>
      <c r="Y9" s="14">
        <f>_xll.BDH("AMGN US Equity","NORM_NET_INC_TO_NET_INC_FO_COM","FQ2 2024","FQ2 2024","Currency=USD","Period=FQ","BEST_FPERIOD_OVERRIDE=FQ","FILING_STATUS=MR","FA_ADJUSTED=GAAP","Sort=A","Dates=H","DateFormat=P","Fill=—","Direction=H","UseDPDF=Y")</f>
        <v>1.5111000000000001</v>
      </c>
      <c r="Z9" s="14">
        <f>_xll.BDH("AMGN US Equity","NORM_NET_INC_TO_NET_INC_FO_COM","FQ3 2024","FQ3 2024","Currency=USD","Period=FQ","BEST_FPERIOD_OVERRIDE=FQ","FILING_STATUS=MR","FA_ADJUSTED=GAAP","Sort=A","Dates=H","DateFormat=P","Fill=—","Direction=H","UseDPDF=Y")</f>
        <v>1.1097999999999999</v>
      </c>
      <c r="AA9" s="14">
        <f>_xll.BDH("AMGN US Equity","NORM_NET_INC_TO_NET_INC_FO_COM","FQ4 2024","FQ4 2024","Currency=USD","Period=FQ","BEST_FPERIOD_OVERRIDE=FQ","FILING_STATUS=MR","FA_ADJUSTED=GAAP","Sort=A","Dates=H","DateFormat=P","Fill=—","Direction=H","UseDPDF=Y")</f>
        <v>1.2201</v>
      </c>
    </row>
    <row r="10" spans="1:27" x14ac:dyDescent="0.25">
      <c r="A10" s="6" t="s">
        <v>1707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x14ac:dyDescent="0.25">
      <c r="A11" s="10" t="s">
        <v>1708</v>
      </c>
      <c r="B11" s="10" t="s">
        <v>1709</v>
      </c>
      <c r="C11" s="14">
        <f>_xll.BDH("AMGN US Equity","INT_BURDEN","FQ4 2018","FQ4 2018","Currency=USD","Period=FQ","BEST_FPERIOD_OVERRIDE=FQ","FILING_STATUS=MR","FA_ADJUSTED=GAAP","Sort=A","Dates=H","DateFormat=P","Fill=—","Direction=H","UseDPDF=Y")</f>
        <v>87.272599999999997</v>
      </c>
      <c r="D11" s="14">
        <f>_xll.BDH("AMGN US Equity","INT_BURDEN","FQ1 2019","FQ1 2019","Currency=USD","Period=FQ","BEST_FPERIOD_OVERRIDE=FQ","FILING_STATUS=MR","FA_ADJUSTED=GAAP","Sort=A","Dates=H","DateFormat=P","Fill=—","Direction=H","UseDPDF=Y")</f>
        <v>86.866600000000005</v>
      </c>
      <c r="E11" s="14">
        <f>_xll.BDH("AMGN US Equity","INT_BURDEN","FQ2 2019","FQ2 2019","Currency=USD","Period=FQ","BEST_FPERIOD_OVERRIDE=FQ","FILING_STATUS=MR","FA_ADJUSTED=GAAP","Sort=A","Dates=H","DateFormat=P","Fill=—","Direction=H","UseDPDF=Y")</f>
        <v>86.886799999999994</v>
      </c>
      <c r="F11" s="14">
        <f>_xll.BDH("AMGN US Equity","INT_BURDEN","FQ3 2019","FQ3 2019","Currency=USD","Period=FQ","BEST_FPERIOD_OVERRIDE=FQ","FILING_STATUS=MR","FA_ADJUSTED=GAAP","Sort=A","Dates=H","DateFormat=P","Fill=—","Direction=H","UseDPDF=Y")</f>
        <v>87.453199999999995</v>
      </c>
      <c r="G11" s="14">
        <f>_xll.BDH("AMGN US Equity","INT_BURDEN","FQ4 2019","FQ4 2019","Currency=USD","Period=FQ","BEST_FPERIOD_OVERRIDE=FQ","FILING_STATUS=MR","FA_ADJUSTED=GAAP","Sort=A","Dates=H","DateFormat=P","Fill=—","Direction=H","UseDPDF=Y")</f>
        <v>87.637900000000002</v>
      </c>
      <c r="H11" s="14">
        <f>_xll.BDH("AMGN US Equity","INT_BURDEN","FQ1 2020","FQ1 2020","Currency=USD","Period=FQ","BEST_FPERIOD_OVERRIDE=FQ","FILING_STATUS=MR","FA_ADJUSTED=GAAP","Sort=A","Dates=H","DateFormat=P","Fill=—","Direction=H","UseDPDF=Y")</f>
        <v>87.253399999999999</v>
      </c>
      <c r="I11" s="14">
        <f>_xll.BDH("AMGN US Equity","INT_BURDEN","FQ2 2020","FQ2 2020","Currency=USD","Period=FQ","BEST_FPERIOD_OVERRIDE=FQ","FILING_STATUS=MR","FA_ADJUSTED=GAAP","Sort=A","Dates=H","DateFormat=P","Fill=—","Direction=H","UseDPDF=Y")</f>
        <v>86.870199999999997</v>
      </c>
      <c r="J11" s="14">
        <f>_xll.BDH("AMGN US Equity","INT_BURDEN","FQ3 2020","FQ3 2020","Currency=USD","Period=FQ","BEST_FPERIOD_OVERRIDE=FQ","FILING_STATUS=MR","FA_ADJUSTED=GAAP","Sort=A","Dates=H","DateFormat=P","Fill=—","Direction=H","UseDPDF=Y")</f>
        <v>86.872600000000006</v>
      </c>
      <c r="K11" s="14">
        <f>_xll.BDH("AMGN US Equity","INT_BURDEN","FQ4 2020","FQ4 2020","Currency=USD","Period=FQ","BEST_FPERIOD_OVERRIDE=FQ","FILING_STATUS=MR","FA_ADJUSTED=GAAP","Sort=A","Dates=H","DateFormat=P","Fill=—","Direction=H","UseDPDF=Y")</f>
        <v>86.567300000000003</v>
      </c>
      <c r="L11" s="14">
        <f>_xll.BDH("AMGN US Equity","INT_BURDEN","FQ1 2021","FQ1 2021","Currency=USD","Period=FQ","BEST_FPERIOD_OVERRIDE=FQ","FILING_STATUS=MR","FA_ADJUSTED=GAAP","Sort=A","Dates=H","DateFormat=P","Fill=—","Direction=H","UseDPDF=Y")</f>
        <v>86.904399999999995</v>
      </c>
      <c r="M11" s="14">
        <f>_xll.BDH("AMGN US Equity","INT_BURDEN","FQ2 2021","FQ2 2021","Currency=USD","Period=FQ","BEST_FPERIOD_OVERRIDE=FQ","FILING_STATUS=MR","FA_ADJUSTED=GAAP","Sort=A","Dates=H","DateFormat=P","Fill=—","Direction=H","UseDPDF=Y")</f>
        <v>84.565299999999993</v>
      </c>
      <c r="N11" s="14">
        <f>_xll.BDH("AMGN US Equity","INT_BURDEN","FQ3 2021","FQ3 2021","Currency=USD","Period=FQ","BEST_FPERIOD_OVERRIDE=FQ","FILING_STATUS=MR","FA_ADJUSTED=GAAP","Sort=A","Dates=H","DateFormat=P","Fill=—","Direction=H","UseDPDF=Y")</f>
        <v>84.528599999999997</v>
      </c>
      <c r="O11" s="14">
        <f>_xll.BDH("AMGN US Equity","INT_BURDEN","FQ4 2021","FQ4 2021","Currency=USD","Period=FQ","BEST_FPERIOD_OVERRIDE=FQ","FILING_STATUS=MR","FA_ADJUSTED=GAAP","Sort=A","Dates=H","DateFormat=P","Fill=—","Direction=H","UseDPDF=Y")</f>
        <v>84.844300000000004</v>
      </c>
      <c r="P11" s="14">
        <f>_xll.BDH("AMGN US Equity","INT_BURDEN","FQ1 2022","FQ1 2022","Currency=USD","Period=FQ","BEST_FPERIOD_OVERRIDE=FQ","FILING_STATUS=MR","FA_ADJUSTED=GAAP","Sort=A","Dates=H","DateFormat=P","Fill=—","Direction=H","UseDPDF=Y")</f>
        <v>84.377399999999994</v>
      </c>
      <c r="Q11" s="14">
        <f>_xll.BDH("AMGN US Equity","INT_BURDEN","FQ2 2022","FQ2 2022","Currency=USD","Period=FQ","BEST_FPERIOD_OVERRIDE=FQ","FILING_STATUS=MR","FA_ADJUSTED=GAAP","Sort=A","Dates=H","DateFormat=P","Fill=—","Direction=H","UseDPDF=Y")</f>
        <v>85.662000000000006</v>
      </c>
      <c r="R11" s="14">
        <f>_xll.BDH("AMGN US Equity","INT_BURDEN","FQ3 2022","FQ3 2022","Currency=USD","Period=FQ","BEST_FPERIOD_OVERRIDE=FQ","FILING_STATUS=MR","FA_ADJUSTED=GAAP","Sort=A","Dates=H","DateFormat=P","Fill=—","Direction=H","UseDPDF=Y")</f>
        <v>85.356200000000001</v>
      </c>
      <c r="S11" s="14">
        <f>_xll.BDH("AMGN US Equity","INT_BURDEN","FQ4 2022","FQ4 2022","Currency=USD","Period=FQ","BEST_FPERIOD_OVERRIDE=FQ","FILING_STATUS=MR","FA_ADJUSTED=GAAP","Sort=A","Dates=H","DateFormat=P","Fill=—","Direction=H","UseDPDF=Y")</f>
        <v>83.935100000000006</v>
      </c>
      <c r="T11" s="14">
        <f>_xll.BDH("AMGN US Equity","INT_BURDEN","FQ1 2023","FQ1 2023","Currency=USD","Period=FQ","BEST_FPERIOD_OVERRIDE=FQ","FILING_STATUS=MR","FA_ADJUSTED=GAAP","Sort=A","Dates=H","DateFormat=P","Fill=—","Direction=H","UseDPDF=Y")</f>
        <v>84.638199999999998</v>
      </c>
      <c r="U11" s="14">
        <f>_xll.BDH("AMGN US Equity","INT_BURDEN","FQ2 2023","FQ2 2023","Currency=USD","Period=FQ","BEST_FPERIOD_OVERRIDE=FQ","FILING_STATUS=MR","FA_ADJUSTED=GAAP","Sort=A","Dates=H","DateFormat=P","Fill=—","Direction=H","UseDPDF=Y")</f>
        <v>81.568200000000004</v>
      </c>
      <c r="V11" s="14">
        <f>_xll.BDH("AMGN US Equity","INT_BURDEN","FQ3 2023","FQ3 2023","Currency=USD","Period=FQ","BEST_FPERIOD_OVERRIDE=FQ","FILING_STATUS=MR","FA_ADJUSTED=GAAP","Sort=A","Dates=H","DateFormat=P","Fill=—","Direction=H","UseDPDF=Y")</f>
        <v>77.994699999999995</v>
      </c>
      <c r="W11" s="14">
        <f>_xll.BDH("AMGN US Equity","INT_BURDEN","FQ4 2023","FQ4 2023","Currency=USD","Period=FQ","BEST_FPERIOD_OVERRIDE=FQ","FILING_STATUS=MR","FA_ADJUSTED=GAAP","Sort=A","Dates=H","DateFormat=P","Fill=—","Direction=H","UseDPDF=Y")</f>
        <v>73.206000000000003</v>
      </c>
      <c r="X11" s="14">
        <f>_xll.BDH("AMGN US Equity","INT_BURDEN","FQ1 2024","FQ1 2024","Currency=USD","Period=FQ","BEST_FPERIOD_OVERRIDE=FQ","FILING_STATUS=MR","FA_ADJUSTED=GAAP","Sort=A","Dates=H","DateFormat=P","Fill=—","Direction=H","UseDPDF=Y")</f>
        <v>57.925600000000003</v>
      </c>
      <c r="Y11" s="14">
        <f>_xll.BDH("AMGN US Equity","INT_BURDEN","FQ2 2024","FQ2 2024","Currency=USD","Period=FQ","BEST_FPERIOD_OVERRIDE=FQ","FILING_STATUS=MR","FA_ADJUSTED=GAAP","Sort=A","Dates=H","DateFormat=P","Fill=—","Direction=H","UseDPDF=Y")</f>
        <v>52.323</v>
      </c>
      <c r="Z11" s="14">
        <f>_xll.BDH("AMGN US Equity","INT_BURDEN","FQ3 2024","FQ3 2024","Currency=USD","Period=FQ","BEST_FPERIOD_OVERRIDE=FQ","FILING_STATUS=MR","FA_ADJUSTED=GAAP","Sort=A","Dates=H","DateFormat=P","Fill=—","Direction=H","UseDPDF=Y")</f>
        <v>59.167900000000003</v>
      </c>
      <c r="AA11" s="14">
        <f>_xll.BDH("AMGN US Equity","INT_BURDEN","FQ4 2024","FQ4 2024","Currency=USD","Period=FQ","BEST_FPERIOD_OVERRIDE=FQ","FILING_STATUS=MR","FA_ADJUSTED=GAAP","Sort=A","Dates=H","DateFormat=P","Fill=—","Direction=H","UseDPDF=Y")</f>
        <v>59.363700000000001</v>
      </c>
    </row>
    <row r="12" spans="1:27" x14ac:dyDescent="0.25">
      <c r="A12" s="6" t="s">
        <v>393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x14ac:dyDescent="0.25">
      <c r="A13" s="10" t="s">
        <v>1710</v>
      </c>
      <c r="B13" s="10" t="s">
        <v>1711</v>
      </c>
      <c r="C13" s="14">
        <f>_xll.BDH("AMGN US Equity","T12_EBIT_TO_REVENUE","FQ4 2018","FQ4 2018","Currency=USD","Period=FQ","BEST_FPERIOD_OVERRIDE=FQ","FILING_STATUS=MR","FA_ADJUSTED=GAAP","Sort=A","Dates=H","DateFormat=P","Fill=—","Direction=H","UseDPDF=Y")</f>
        <v>46.0563</v>
      </c>
      <c r="D13" s="14">
        <f>_xll.BDH("AMGN US Equity","T12_EBIT_TO_REVENUE","FQ1 2019","FQ1 2019","Currency=USD","Period=FQ","BEST_FPERIOD_OVERRIDE=FQ","FILING_STATUS=MR","FA_ADJUSTED=GAAP","Sort=A","Dates=H","DateFormat=P","Fill=—","Direction=H","UseDPDF=Y")</f>
        <v>44.787399999999998</v>
      </c>
      <c r="E13" s="14">
        <f>_xll.BDH("AMGN US Equity","T12_EBIT_TO_REVENUE","FQ2 2019","FQ2 2019","Currency=USD","Period=FQ","BEST_FPERIOD_OVERRIDE=FQ","FILING_STATUS=MR","FA_ADJUSTED=GAAP","Sort=A","Dates=H","DateFormat=P","Fill=—","Direction=H","UseDPDF=Y")</f>
        <v>44.7288</v>
      </c>
      <c r="F13" s="14">
        <f>_xll.BDH("AMGN US Equity","T12_EBIT_TO_REVENUE","FQ3 2019","FQ3 2019","Currency=USD","Period=FQ","BEST_FPERIOD_OVERRIDE=FQ","FILING_STATUS=MR","FA_ADJUSTED=GAAP","Sort=A","Dates=H","DateFormat=P","Fill=—","Direction=H","UseDPDF=Y")</f>
        <v>45.650799999999997</v>
      </c>
      <c r="G13" s="14">
        <f>_xll.BDH("AMGN US Equity","T12_EBIT_TO_REVENUE","FQ4 2019","FQ4 2019","Currency=USD","Period=FQ","BEST_FPERIOD_OVERRIDE=FQ","FILING_STATUS=MR","FA_ADJUSTED=GAAP","Sort=A","Dates=H","DateFormat=P","Fill=—","Direction=H","UseDPDF=Y")</f>
        <v>44.632300000000001</v>
      </c>
      <c r="H13" s="14">
        <f>_xll.BDH("AMGN US Equity","T12_EBIT_TO_REVENUE","FQ1 2020","FQ1 2020","Currency=USD","Period=FQ","BEST_FPERIOD_OVERRIDE=FQ","FILING_STATUS=MR","FA_ADJUSTED=GAAP","Sort=A","Dates=H","DateFormat=P","Fill=—","Direction=H","UseDPDF=Y")</f>
        <v>42.293199999999999</v>
      </c>
      <c r="I13" s="14">
        <f>_xll.BDH("AMGN US Equity","T12_EBIT_TO_REVENUE","FQ2 2020","FQ2 2020","Currency=USD","Period=FQ","BEST_FPERIOD_OVERRIDE=FQ","FILING_STATUS=MR","FA_ADJUSTED=GAAP","Sort=A","Dates=H","DateFormat=P","Fill=—","Direction=H","UseDPDF=Y")</f>
        <v>39.364600000000003</v>
      </c>
      <c r="J13" s="14">
        <f>_xll.BDH("AMGN US Equity","T12_EBIT_TO_REVENUE","FQ3 2020","FQ3 2020","Currency=USD","Period=FQ","BEST_FPERIOD_OVERRIDE=FQ","FILING_STATUS=MR","FA_ADJUSTED=GAAP","Sort=A","Dates=H","DateFormat=P","Fill=—","Direction=H","UseDPDF=Y")</f>
        <v>37.9557</v>
      </c>
      <c r="K13" s="14">
        <f>_xll.BDH("AMGN US Equity","T12_EBIT_TO_REVENUE","FQ4 2020","FQ4 2020","Currency=USD","Period=FQ","BEST_FPERIOD_OVERRIDE=FQ","FILING_STATUS=MR","FA_ADJUSTED=GAAP","Sort=A","Dates=H","DateFormat=P","Fill=—","Direction=H","UseDPDF=Y")</f>
        <v>36.953299999999999</v>
      </c>
      <c r="L13" s="14">
        <f>_xll.BDH("AMGN US Equity","T12_EBIT_TO_REVENUE","FQ1 2021","FQ1 2021","Currency=USD","Period=FQ","BEST_FPERIOD_OVERRIDE=FQ","FILING_STATUS=MR","FA_ADJUSTED=GAAP","Sort=A","Dates=H","DateFormat=P","Fill=—","Direction=H","UseDPDF=Y")</f>
        <v>36.444899999999997</v>
      </c>
      <c r="M13" s="14">
        <f>_xll.BDH("AMGN US Equity","T12_EBIT_TO_REVENUE","FQ2 2021","FQ2 2021","Currency=USD","Period=FQ","BEST_FPERIOD_OVERRIDE=FQ","FILING_STATUS=MR","FA_ADJUSTED=GAAP","Sort=A","Dates=H","DateFormat=P","Fill=—","Direction=H","UseDPDF=Y")</f>
        <v>30.1523</v>
      </c>
      <c r="N13" s="14">
        <f>_xll.BDH("AMGN US Equity","T12_EBIT_TO_REVENUE","FQ3 2021","FQ3 2021","Currency=USD","Period=FQ","BEST_FPERIOD_OVERRIDE=FQ","FILING_STATUS=MR","FA_ADJUSTED=GAAP","Sort=A","Dates=H","DateFormat=P","Fill=—","Direction=H","UseDPDF=Y")</f>
        <v>29.599900000000002</v>
      </c>
      <c r="O13" s="14">
        <f>_xll.BDH("AMGN US Equity","T12_EBIT_TO_REVENUE","FQ4 2021","FQ4 2021","Currency=USD","Period=FQ","BEST_FPERIOD_OVERRIDE=FQ","FILING_STATUS=MR","FA_ADJUSTED=GAAP","Sort=A","Dates=H","DateFormat=P","Fill=—","Direction=H","UseDPDF=Y")</f>
        <v>30.401499999999999</v>
      </c>
      <c r="P13" s="14">
        <f>_xll.BDH("AMGN US Equity","T12_EBIT_TO_REVENUE","FQ1 2022","FQ1 2022","Currency=USD","Period=FQ","BEST_FPERIOD_OVERRIDE=FQ","FILING_STATUS=MR","FA_ADJUSTED=GAAP","Sort=A","Dates=H","DateFormat=P","Fill=—","Direction=H","UseDPDF=Y")</f>
        <v>29.358599999999999</v>
      </c>
      <c r="Q13" s="14">
        <f>_xll.BDH("AMGN US Equity","T12_EBIT_TO_REVENUE","FQ2 2022","FQ2 2022","Currency=USD","Period=FQ","BEST_FPERIOD_OVERRIDE=FQ","FILING_STATUS=MR","FA_ADJUSTED=GAAP","Sort=A","Dates=H","DateFormat=P","Fill=—","Direction=H","UseDPDF=Y")</f>
        <v>33.148899999999998</v>
      </c>
      <c r="R13" s="14">
        <f>_xll.BDH("AMGN US Equity","T12_EBIT_TO_REVENUE","FQ3 2022","FQ3 2022","Currency=USD","Period=FQ","BEST_FPERIOD_OVERRIDE=FQ","FILING_STATUS=MR","FA_ADJUSTED=GAAP","Sort=A","Dates=H","DateFormat=P","Fill=—","Direction=H","UseDPDF=Y")</f>
        <v>34.3904</v>
      </c>
      <c r="S13" s="14">
        <f>_xll.BDH("AMGN US Equity","T12_EBIT_TO_REVENUE","FQ4 2022","FQ4 2022","Currency=USD","Period=FQ","BEST_FPERIOD_OVERRIDE=FQ","FILING_STATUS=MR","FA_ADJUSTED=GAAP","Sort=A","Dates=H","DateFormat=P","Fill=—","Direction=H","UseDPDF=Y")</f>
        <v>33.2485</v>
      </c>
      <c r="T13" s="14">
        <f>_xll.BDH("AMGN US Equity","T12_EBIT_TO_REVENUE","FQ1 2023","FQ1 2023","Currency=USD","Period=FQ","BEST_FPERIOD_OVERRIDE=FQ","FILING_STATUS=MR","FA_ADJUSTED=GAAP","Sort=A","Dates=H","DateFormat=P","Fill=—","Direction=H","UseDPDF=Y")</f>
        <v>41.1111</v>
      </c>
      <c r="U13" s="14">
        <f>_xll.BDH("AMGN US Equity","T12_EBIT_TO_REVENUE","FQ2 2023","FQ2 2023","Currency=USD","Period=FQ","BEST_FPERIOD_OVERRIDE=FQ","FILING_STATUS=MR","FA_ADJUSTED=GAAP","Sort=A","Dates=H","DateFormat=P","Fill=—","Direction=H","UseDPDF=Y")</f>
        <v>42.412199999999999</v>
      </c>
      <c r="V13" s="14">
        <f>_xll.BDH("AMGN US Equity","T12_EBIT_TO_REVENUE","FQ3 2023","FQ3 2023","Currency=USD","Period=FQ","BEST_FPERIOD_OVERRIDE=FQ","FILING_STATUS=MR","FA_ADJUSTED=GAAP","Sort=A","Dates=H","DateFormat=P","Fill=—","Direction=H","UseDPDF=Y")</f>
        <v>41.8142</v>
      </c>
      <c r="W13" s="14">
        <f>_xll.BDH("AMGN US Equity","T12_EBIT_TO_REVENUE","FQ4 2023","FQ4 2023","Currency=USD","Period=FQ","BEST_FPERIOD_OVERRIDE=FQ","FILING_STATUS=MR","FA_ADJUSTED=GAAP","Sort=A","Dates=H","DateFormat=P","Fill=—","Direction=H","UseDPDF=Y")</f>
        <v>38.063099999999999</v>
      </c>
      <c r="X13" s="14">
        <f>_xll.BDH("AMGN US Equity","T12_EBIT_TO_REVENUE","FQ1 2024","FQ1 2024","Currency=USD","Period=FQ","BEST_FPERIOD_OVERRIDE=FQ","FILING_STATUS=MR","FA_ADJUSTED=GAAP","Sort=A","Dates=H","DateFormat=P","Fill=—","Direction=H","UseDPDF=Y")</f>
        <v>25.3996</v>
      </c>
      <c r="Y13" s="14">
        <f>_xll.BDH("AMGN US Equity","T12_EBIT_TO_REVENUE","FQ2 2024","FQ2 2024","Currency=USD","Period=FQ","BEST_FPERIOD_OVERRIDE=FQ","FILING_STATUS=MR","FA_ADJUSTED=GAAP","Sort=A","Dates=H","DateFormat=P","Fill=—","Direction=H","UseDPDF=Y")</f>
        <v>21.778600000000001</v>
      </c>
      <c r="Z13" s="14">
        <f>_xll.BDH("AMGN US Equity","T12_EBIT_TO_REVENUE","FQ3 2024","FQ3 2024","Currency=USD","Period=FQ","BEST_FPERIOD_OVERRIDE=FQ","FILING_STATUS=MR","FA_ADJUSTED=GAAP","Sort=A","Dates=H","DateFormat=P","Fill=—","Direction=H","UseDPDF=Y")</f>
        <v>24.306899999999999</v>
      </c>
      <c r="AA13" s="14">
        <f>_xll.BDH("AMGN US Equity","T12_EBIT_TO_REVENUE","FQ4 2024","FQ4 2024","Currency=USD","Period=FQ","BEST_FPERIOD_OVERRIDE=FQ","FILING_STATUS=MR","FA_ADJUSTED=GAAP","Sort=A","Dates=H","DateFormat=P","Fill=—","Direction=H","UseDPDF=Y")</f>
        <v>23.2288</v>
      </c>
    </row>
    <row r="14" spans="1:27" x14ac:dyDescent="0.25">
      <c r="A14" s="6" t="s">
        <v>1712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 x14ac:dyDescent="0.25">
      <c r="A15" s="10" t="s">
        <v>1713</v>
      </c>
      <c r="B15" s="10" t="s">
        <v>1714</v>
      </c>
      <c r="C15" s="14">
        <f>_xll.BDH("AMGN US Equity","ASSET_TURNOVER","FQ4 2018","FQ4 2018","Currency=USD","Period=FQ","BEST_FPERIOD_OVERRIDE=FQ","FILING_STATUS=MR","FA_ADJUSTED=GAAP","Sort=A","Dates=H","DateFormat=P","Fill=—","Direction=H","UseDPDF=Y")</f>
        <v>0.32450000000000001</v>
      </c>
      <c r="D15" s="14">
        <f>_xll.BDH("AMGN US Equity","ASSET_TURNOVER","FQ1 2019","FQ1 2019","Currency=USD","Period=FQ","BEST_FPERIOD_OVERRIDE=FQ","FILING_STATUS=MR","FA_ADJUSTED=GAAP","Sort=A","Dates=H","DateFormat=P","Fill=—","Direction=H","UseDPDF=Y")</f>
        <v>0.35139999999999999</v>
      </c>
      <c r="E15" s="14">
        <f>_xll.BDH("AMGN US Equity","ASSET_TURNOVER","FQ2 2019","FQ2 2019","Currency=USD","Period=FQ","BEST_FPERIOD_OVERRIDE=FQ","FILING_STATUS=MR","FA_ADJUSTED=GAAP","Sort=A","Dates=H","DateFormat=P","Fill=—","Direction=H","UseDPDF=Y")</f>
        <v>0.37090000000000001</v>
      </c>
      <c r="F15" s="14">
        <f>_xll.BDH("AMGN US Equity","ASSET_TURNOVER","FQ3 2019","FQ3 2019","Currency=USD","Period=FQ","BEST_FPERIOD_OVERRIDE=FQ","FILING_STATUS=MR","FA_ADJUSTED=GAAP","Sort=A","Dates=H","DateFormat=P","Fill=—","Direction=H","UseDPDF=Y")</f>
        <v>0.36880000000000002</v>
      </c>
      <c r="G15" s="14">
        <f>_xll.BDH("AMGN US Equity","ASSET_TURNOVER","FQ4 2019","FQ4 2019","Currency=USD","Period=FQ","BEST_FPERIOD_OVERRIDE=FQ","FILING_STATUS=MR","FA_ADJUSTED=GAAP","Sort=A","Dates=H","DateFormat=P","Fill=—","Direction=H","UseDPDF=Y")</f>
        <v>0.3705</v>
      </c>
      <c r="H15" s="14">
        <f>_xll.BDH("AMGN US Equity","ASSET_TURNOVER","FQ1 2020","FQ1 2020","Currency=USD","Period=FQ","BEST_FPERIOD_OVERRIDE=FQ","FILING_STATUS=MR","FA_ADJUSTED=GAAP","Sort=A","Dates=H","DateFormat=P","Fill=—","Direction=H","UseDPDF=Y")</f>
        <v>0.38140000000000002</v>
      </c>
      <c r="I15" s="14">
        <f>_xll.BDH("AMGN US Equity","ASSET_TURNOVER","FQ2 2020","FQ2 2020","Currency=USD","Period=FQ","BEST_FPERIOD_OVERRIDE=FQ","FILING_STATUS=MR","FA_ADJUSTED=GAAP","Sort=A","Dates=H","DateFormat=P","Fill=—","Direction=H","UseDPDF=Y")</f>
        <v>0.39069999999999999</v>
      </c>
      <c r="J15" s="14">
        <f>_xll.BDH("AMGN US Equity","ASSET_TURNOVER","FQ3 2020","FQ3 2020","Currency=USD","Period=FQ","BEST_FPERIOD_OVERRIDE=FQ","FILING_STATUS=MR","FA_ADJUSTED=GAAP","Sort=A","Dates=H","DateFormat=P","Fill=—","Direction=H","UseDPDF=Y")</f>
        <v>0.40250000000000002</v>
      </c>
      <c r="K15" s="14">
        <f>_xll.BDH("AMGN US Equity","ASSET_TURNOVER","FQ4 2020","FQ4 2020","Currency=USD","Period=FQ","BEST_FPERIOD_OVERRIDE=FQ","FILING_STATUS=MR","FA_ADJUSTED=GAAP","Sort=A","Dates=H","DateFormat=P","Fill=—","Direction=H","UseDPDF=Y")</f>
        <v>0.41460000000000002</v>
      </c>
      <c r="L15" s="14">
        <f>_xll.BDH("AMGN US Equity","ASSET_TURNOVER","FQ1 2021","FQ1 2021","Currency=USD","Period=FQ","BEST_FPERIOD_OVERRIDE=FQ","FILING_STATUS=MR","FA_ADJUSTED=GAAP","Sort=A","Dates=H","DateFormat=P","Fill=—","Direction=H","UseDPDF=Y")</f>
        <v>0.4052</v>
      </c>
      <c r="M15" s="14">
        <f>_xll.BDH("AMGN US Equity","ASSET_TURNOVER","FQ2 2021","FQ2 2021","Currency=USD","Period=FQ","BEST_FPERIOD_OVERRIDE=FQ","FILING_STATUS=MR","FA_ADJUSTED=GAAP","Sort=A","Dates=H","DateFormat=P","Fill=—","Direction=H","UseDPDF=Y")</f>
        <v>0.40839999999999999</v>
      </c>
      <c r="N15" s="14">
        <f>_xll.BDH("AMGN US Equity","ASSET_TURNOVER","FQ3 2021","FQ3 2021","Currency=USD","Period=FQ","BEST_FPERIOD_OVERRIDE=FQ","FILING_STATUS=MR","FA_ADJUSTED=GAAP","Sort=A","Dates=H","DateFormat=P","Fill=—","Direction=H","UseDPDF=Y")</f>
        <v>0.39750000000000002</v>
      </c>
      <c r="O15" s="14">
        <f>_xll.BDH("AMGN US Equity","ASSET_TURNOVER","FQ4 2021","FQ4 2021","Currency=USD","Period=FQ","BEST_FPERIOD_OVERRIDE=FQ","FILING_STATUS=MR","FA_ADJUSTED=GAAP","Sort=A","Dates=H","DateFormat=P","Fill=—","Direction=H","UseDPDF=Y")</f>
        <v>0.41860000000000003</v>
      </c>
      <c r="P15" s="14">
        <f>_xll.BDH("AMGN US Equity","ASSET_TURNOVER","FQ1 2022","FQ1 2022","Currency=USD","Period=FQ","BEST_FPERIOD_OVERRIDE=FQ","FILING_STATUS=MR","FA_ADJUSTED=GAAP","Sort=A","Dates=H","DateFormat=P","Fill=—","Direction=H","UseDPDF=Y")</f>
        <v>0.43230000000000002</v>
      </c>
      <c r="Q15" s="14">
        <f>_xll.BDH("AMGN US Equity","ASSET_TURNOVER","FQ2 2022","FQ2 2022","Currency=USD","Period=FQ","BEST_FPERIOD_OVERRIDE=FQ","FILING_STATUS=MR","FA_ADJUSTED=GAAP","Sort=A","Dates=H","DateFormat=P","Fill=—","Direction=H","UseDPDF=Y")</f>
        <v>0.44319999999999998</v>
      </c>
      <c r="R15" s="14">
        <f>_xll.BDH("AMGN US Equity","ASSET_TURNOVER","FQ3 2022","FQ3 2022","Currency=USD","Period=FQ","BEST_FPERIOD_OVERRIDE=FQ","FILING_STATUS=MR","FA_ADJUSTED=GAAP","Sort=A","Dates=H","DateFormat=P","Fill=—","Direction=H","UseDPDF=Y")</f>
        <v>0.40920000000000001</v>
      </c>
      <c r="S15" s="14">
        <f>_xll.BDH("AMGN US Equity","ASSET_TURNOVER","FQ4 2022","FQ4 2022","Currency=USD","Period=FQ","BEST_FPERIOD_OVERRIDE=FQ","FILING_STATUS=MR","FA_ADJUSTED=GAAP","Sort=A","Dates=H","DateFormat=P","Fill=—","Direction=H","UseDPDF=Y")</f>
        <v>0.41689999999999999</v>
      </c>
      <c r="T15" s="14">
        <f>_xll.BDH("AMGN US Equity","ASSET_TURNOVER","FQ1 2023","FQ1 2023","Currency=USD","Period=FQ","BEST_FPERIOD_OVERRIDE=FQ","FILING_STATUS=MR","FA_ADJUSTED=GAAP","Sort=A","Dates=H","DateFormat=P","Fill=—","Direction=H","UseDPDF=Y")</f>
        <v>0.35410000000000003</v>
      </c>
      <c r="U15" s="14">
        <f>_xll.BDH("AMGN US Equity","ASSET_TURNOVER","FQ2 2023","FQ2 2023","Currency=USD","Period=FQ","BEST_FPERIOD_OVERRIDE=FQ","FILING_STATUS=MR","FA_ADJUSTED=GAAP","Sort=A","Dates=H","DateFormat=P","Fill=—","Direction=H","UseDPDF=Y")</f>
        <v>0.35549999999999998</v>
      </c>
      <c r="V15" s="14">
        <f>_xll.BDH("AMGN US Equity","ASSET_TURNOVER","FQ3 2023","FQ3 2023","Currency=USD","Period=FQ","BEST_FPERIOD_OVERRIDE=FQ","FILING_STATUS=MR","FA_ADJUSTED=GAAP","Sort=A","Dates=H","DateFormat=P","Fill=—","Direction=H","UseDPDF=Y")</f>
        <v>0.34799999999999998</v>
      </c>
      <c r="W15" s="14">
        <f>_xll.BDH("AMGN US Equity","ASSET_TURNOVER","FQ4 2023","FQ4 2023","Currency=USD","Period=FQ","BEST_FPERIOD_OVERRIDE=FQ","FILING_STATUS=MR","FA_ADJUSTED=GAAP","Sort=A","Dates=H","DateFormat=P","Fill=—","Direction=H","UseDPDF=Y")</f>
        <v>0.34739999999999999</v>
      </c>
      <c r="X15" s="14">
        <f>_xll.BDH("AMGN US Equity","ASSET_TURNOVER","FQ1 2024","FQ1 2024","Currency=USD","Period=FQ","BEST_FPERIOD_OVERRIDE=FQ","FILING_STATUS=MR","FA_ADJUSTED=GAAP","Sort=A","Dates=H","DateFormat=P","Fill=—","Direction=H","UseDPDF=Y")</f>
        <v>0.3251</v>
      </c>
      <c r="Y15" s="14">
        <f>_xll.BDH("AMGN US Equity","ASSET_TURNOVER","FQ2 2024","FQ2 2024","Currency=USD","Period=FQ","BEST_FPERIOD_OVERRIDE=FQ","FILING_STATUS=MR","FA_ADJUSTED=GAAP","Sort=A","Dates=H","DateFormat=P","Fill=—","Direction=H","UseDPDF=Y")</f>
        <v>0.34150000000000003</v>
      </c>
      <c r="Z15" s="14">
        <f>_xll.BDH("AMGN US Equity","ASSET_TURNOVER","FQ3 2024","FQ3 2024","Currency=USD","Period=FQ","BEST_FPERIOD_OVERRIDE=FQ","FILING_STATUS=MR","FA_ADJUSTED=GAAP","Sort=A","Dates=H","DateFormat=P","Fill=—","Direction=H","UseDPDF=Y")</f>
        <v>0.35870000000000002</v>
      </c>
      <c r="AA15" s="14">
        <f>_xll.BDH("AMGN US Equity","ASSET_TURNOVER","FQ4 2024","FQ4 2024","Currency=USD","Period=FQ","BEST_FPERIOD_OVERRIDE=FQ","FILING_STATUS=MR","FA_ADJUSTED=GAAP","Sort=A","Dates=H","DateFormat=P","Fill=—","Direction=H","UseDPDF=Y")</f>
        <v>0.35370000000000001</v>
      </c>
    </row>
    <row r="16" spans="1:27" x14ac:dyDescent="0.25">
      <c r="A16" s="6" t="s">
        <v>1715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x14ac:dyDescent="0.25">
      <c r="A17" s="10" t="s">
        <v>1716</v>
      </c>
      <c r="B17" s="10" t="s">
        <v>1717</v>
      </c>
      <c r="C17" s="14">
        <f>_xll.BDH("AMGN US Equity","FNCL_LVRG","FQ4 2018","FQ4 2018","Currency=USD","Period=FQ","BEST_FPERIOD_OVERRIDE=FQ","FILING_STATUS=MR","Sort=A","Dates=H","DateFormat=P","Fill=—","Direction=H","UseDPDF=Y")</f>
        <v>4.9814999999999996</v>
      </c>
      <c r="D17" s="14">
        <f>_xll.BDH("AMGN US Equity","FNCL_LVRG","FQ1 2019","FQ1 2019","Currency=USD","Period=FQ","BEST_FPERIOD_OVERRIDE=FQ","FILING_STATUS=MR","Sort=A","Dates=H","DateFormat=P","Fill=—","Direction=H","UseDPDF=Y")</f>
        <v>5.5894000000000004</v>
      </c>
      <c r="E17" s="14">
        <f>_xll.BDH("AMGN US Equity","FNCL_LVRG","FQ2 2019","FQ2 2019","Currency=USD","Period=FQ","BEST_FPERIOD_OVERRIDE=FQ","FILING_STATUS=MR","Sort=A","Dates=H","DateFormat=P","Fill=—","Direction=H","UseDPDF=Y")</f>
        <v>5.7046999999999999</v>
      </c>
      <c r="F17" s="14">
        <f>_xll.BDH("AMGN US Equity","FNCL_LVRG","FQ3 2019","FQ3 2019","Currency=USD","Period=FQ","BEST_FPERIOD_OVERRIDE=FQ","FILING_STATUS=MR","Sort=A","Dates=H","DateFormat=P","Fill=—","Direction=H","UseDPDF=Y")</f>
        <v>5.4743000000000004</v>
      </c>
      <c r="G17" s="14">
        <f>_xll.BDH("AMGN US Equity","FNCL_LVRG","FQ4 2019","FQ4 2019","Currency=USD","Period=FQ","BEST_FPERIOD_OVERRIDE=FQ","FILING_STATUS=MR","Sort=A","Dates=H","DateFormat=P","Fill=—","Direction=H","UseDPDF=Y")</f>
        <v>5.7884000000000002</v>
      </c>
      <c r="H17" s="14">
        <f>_xll.BDH("AMGN US Equity","FNCL_LVRG","FQ1 2020","FQ1 2020","Currency=USD","Period=FQ","BEST_FPERIOD_OVERRIDE=FQ","FILING_STATUS=MR","Sort=A","Dates=H","DateFormat=P","Fill=—","Direction=H","UseDPDF=Y")</f>
        <v>6.3354999999999997</v>
      </c>
      <c r="I17" s="14">
        <f>_xll.BDH("AMGN US Equity","FNCL_LVRG","FQ2 2020","FQ2 2020","Currency=USD","Period=FQ","BEST_FPERIOD_OVERRIDE=FQ","FILING_STATUS=MR","Sort=A","Dates=H","DateFormat=P","Fill=—","Direction=H","UseDPDF=Y")</f>
        <v>6.2887000000000004</v>
      </c>
      <c r="J17" s="14">
        <f>_xll.BDH("AMGN US Equity","FNCL_LVRG","FQ3 2020","FQ3 2020","Currency=USD","Period=FQ","BEST_FPERIOD_OVERRIDE=FQ","FILING_STATUS=MR","Sort=A","Dates=H","DateFormat=P","Fill=—","Direction=H","UseDPDF=Y")</f>
        <v>5.9972000000000003</v>
      </c>
      <c r="K17" s="14">
        <f>_xll.BDH("AMGN US Equity","FNCL_LVRG","FQ4 2020","FQ4 2020","Currency=USD","Period=FQ","BEST_FPERIOD_OVERRIDE=FQ","FILING_STATUS=MR","Sort=A","Dates=H","DateFormat=P","Fill=—","Direction=H","UseDPDF=Y")</f>
        <v>6.2640000000000002</v>
      </c>
      <c r="L17" s="14">
        <f>_xll.BDH("AMGN US Equity","FNCL_LVRG","FQ1 2021","FQ1 2021","Currency=USD","Period=FQ","BEST_FPERIOD_OVERRIDE=FQ","FILING_STATUS=MR","Sort=A","Dates=H","DateFormat=P","Fill=—","Direction=H","UseDPDF=Y")</f>
        <v>6.6951000000000001</v>
      </c>
      <c r="M17" s="14">
        <f>_xll.BDH("AMGN US Equity","FNCL_LVRG","FQ2 2021","FQ2 2021","Currency=USD","Period=FQ","BEST_FPERIOD_OVERRIDE=FQ","FILING_STATUS=MR","Sort=A","Dates=H","DateFormat=P","Fill=—","Direction=H","UseDPDF=Y")</f>
        <v>6.9570999999999996</v>
      </c>
      <c r="N17" s="14">
        <f>_xll.BDH("AMGN US Equity","FNCL_LVRG","FQ3 2021","FQ3 2021","Currency=USD","Period=FQ","BEST_FPERIOD_OVERRIDE=FQ","FILING_STATUS=MR","Sort=A","Dates=H","DateFormat=P","Fill=—","Direction=H","UseDPDF=Y")</f>
        <v>7.5781000000000001</v>
      </c>
      <c r="O17" s="14">
        <f>_xll.BDH("AMGN US Equity","FNCL_LVRG","FQ4 2021","FQ4 2021","Currency=USD","Period=FQ","BEST_FPERIOD_OVERRIDE=FQ","FILING_STATUS=MR","Sort=A","Dates=H","DateFormat=P","Fill=—","Direction=H","UseDPDF=Y")</f>
        <v>8.4573</v>
      </c>
      <c r="P17" s="14">
        <f>_xll.BDH("AMGN US Equity","FNCL_LVRG","FQ1 2022","FQ1 2022","Currency=USD","Period=FQ","BEST_FPERIOD_OVERRIDE=FQ","FILING_STATUS=MR","Sort=A","Dates=H","DateFormat=P","Fill=—","Direction=H","UseDPDF=Y")</f>
        <v>15.803699999999999</v>
      </c>
      <c r="Q17" s="14">
        <f>_xll.BDH("AMGN US Equity","FNCL_LVRG","FQ2 2022","FQ2 2022","Currency=USD","Period=FQ","BEST_FPERIOD_OVERRIDE=FQ","FILING_STATUS=MR","Sort=A","Dates=H","DateFormat=P","Fill=—","Direction=H","UseDPDF=Y")</f>
        <v>35.529200000000003</v>
      </c>
      <c r="R17" s="14">
        <f>_xll.BDH("AMGN US Equity","FNCL_LVRG","FQ3 2022","FQ3 2022","Currency=USD","Period=FQ","BEST_FPERIOD_OVERRIDE=FQ","FILING_STATUS=MR","Sort=A","Dates=H","DateFormat=P","Fill=—","Direction=H","UseDPDF=Y")</f>
        <v>20.2559</v>
      </c>
      <c r="S17" s="14">
        <f>_xll.BDH("AMGN US Equity","FNCL_LVRG","FQ4 2022","FQ4 2022","Currency=USD","Period=FQ","BEST_FPERIOD_OVERRIDE=FQ","FILING_STATUS=MR","Sort=A","Dates=H","DateFormat=P","Fill=—","Direction=H","UseDPDF=Y")</f>
        <v>17.6129</v>
      </c>
      <c r="T17" s="14">
        <f>_xll.BDH("AMGN US Equity","FNCL_LVRG","FQ1 2023","FQ1 2023","Currency=USD","Period=FQ","BEST_FPERIOD_OVERRIDE=FQ","FILING_STATUS=MR","Sort=A","Dates=H","DateFormat=P","Fill=—","Direction=H","UseDPDF=Y")</f>
        <v>17.0764</v>
      </c>
      <c r="U17" s="14">
        <f>_xll.BDH("AMGN US Equity","FNCL_LVRG","FQ2 2023","FQ2 2023","Currency=USD","Period=FQ","BEST_FPERIOD_OVERRIDE=FQ","FILING_STATUS=MR","Sort=A","Dates=H","DateFormat=P","Fill=—","Direction=H","UseDPDF=Y")</f>
        <v>14.757099999999999</v>
      </c>
      <c r="V17" s="14">
        <f>_xll.BDH("AMGN US Equity","FNCL_LVRG","FQ3 2023","FQ3 2023","Currency=USD","Period=FQ","BEST_FPERIOD_OVERRIDE=FQ","FILING_STATUS=MR","Sort=A","Dates=H","DateFormat=P","Fill=—","Direction=H","UseDPDF=Y")</f>
        <v>12.5236</v>
      </c>
      <c r="W17" s="14">
        <f>_xll.BDH("AMGN US Equity","FNCL_LVRG","FQ4 2023","FQ4 2023","Currency=USD","Period=FQ","BEST_FPERIOD_OVERRIDE=FQ","FILING_STATUS=MR","Sort=A","Dates=H","DateFormat=P","Fill=—","Direction=H","UseDPDF=Y")</f>
        <v>13.5144</v>
      </c>
      <c r="X17" s="14">
        <f>_xll.BDH("AMGN US Equity","FNCL_LVRG","FQ1 2024","FQ1 2024","Currency=USD","Period=FQ","BEST_FPERIOD_OVERRIDE=FQ","FILING_STATUS=MR","Sort=A","Dates=H","DateFormat=P","Fill=—","Direction=H","UseDPDF=Y")</f>
        <v>16.8948</v>
      </c>
      <c r="Y17" s="14">
        <f>_xll.BDH("AMGN US Equity","FNCL_LVRG","FQ2 2024","FQ2 2024","Currency=USD","Period=FQ","BEST_FPERIOD_OVERRIDE=FQ","FILING_STATUS=MR","Sort=A","Dates=H","DateFormat=P","Fill=—","Direction=H","UseDPDF=Y")</f>
        <v>16.797899999999998</v>
      </c>
      <c r="Z17" s="14">
        <f>_xll.BDH("AMGN US Equity","FNCL_LVRG","FQ3 2024","FQ3 2024","Currency=USD","Period=FQ","BEST_FPERIOD_OVERRIDE=FQ","FILING_STATUS=MR","Sort=A","Dates=H","DateFormat=P","Fill=—","Direction=H","UseDPDF=Y")</f>
        <v>13.513999999999999</v>
      </c>
      <c r="AA17" s="14">
        <f>_xll.BDH("AMGN US Equity","FNCL_LVRG","FQ4 2024","FQ4 2024","Currency=USD","Period=FQ","BEST_FPERIOD_OVERRIDE=FQ","FILING_STATUS=MR","Sort=A","Dates=H","DateFormat=P","Fill=—","Direction=H","UseDPDF=Y")</f>
        <v>13.6319</v>
      </c>
    </row>
    <row r="18" spans="1:27" x14ac:dyDescent="0.25">
      <c r="A18" s="10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x14ac:dyDescent="0.25">
      <c r="A19" s="10" t="s">
        <v>1718</v>
      </c>
      <c r="B19" s="10" t="s">
        <v>1719</v>
      </c>
      <c r="C19" s="14">
        <f>_xll.BDH("AMGN US Equity","NORMALIZED_ROE","FQ4 2018","FQ4 2018","Currency=USD","Period=FQ","BEST_FPERIOD_OVERRIDE=FQ","FILING_STATUS=MR","FA_ADJUSTED=GAAP","Sort=A","Dates=H","DateFormat=P","Fill=—","Direction=H","UseDPDF=Y")</f>
        <v>46.292400000000001</v>
      </c>
      <c r="D19" s="14">
        <f>_xll.BDH("AMGN US Equity","NORMALIZED_ROE","FQ1 2019","FQ1 2019","Currency=USD","Period=FQ","BEST_FPERIOD_OVERRIDE=FQ","FILING_STATUS=MR","FA_ADJUSTED=GAAP","Sort=A","Dates=H","DateFormat=P","Fill=—","Direction=H","UseDPDF=Y")</f>
        <v>63.348500000000001</v>
      </c>
      <c r="E19" s="14">
        <f>_xll.BDH("AMGN US Equity","NORMALIZED_ROE","FQ2 2019","FQ2 2019","Currency=USD","Period=FQ","BEST_FPERIOD_OVERRIDE=FQ","FILING_STATUS=MR","FA_ADJUSTED=GAAP","Sort=A","Dates=H","DateFormat=P","Fill=—","Direction=H","UseDPDF=Y")</f>
        <v>64.463200000000001</v>
      </c>
      <c r="F19" s="14">
        <f>_xll.BDH("AMGN US Equity","NORMALIZED_ROE","FQ3 2019","FQ3 2019","Currency=USD","Period=FQ","BEST_FPERIOD_OVERRIDE=FQ","FILING_STATUS=MR","FA_ADJUSTED=GAAP","Sort=A","Dates=H","DateFormat=P","Fill=—","Direction=H","UseDPDF=Y")</f>
        <v>64.2059</v>
      </c>
      <c r="G19" s="14">
        <f>_xll.BDH("AMGN US Equity","NORMALIZED_ROE","FQ4 2019","FQ4 2019","Currency=USD","Period=FQ","BEST_FPERIOD_OVERRIDE=FQ","FILING_STATUS=MR","FA_ADJUSTED=GAAP","Sort=A","Dates=H","DateFormat=P","Fill=—","Direction=H","UseDPDF=Y")</f>
        <v>71.5334</v>
      </c>
      <c r="H19" s="14">
        <f>_xll.BDH("AMGN US Equity","NORMALIZED_ROE","FQ1 2020","FQ1 2020","Currency=USD","Period=FQ","BEST_FPERIOD_OVERRIDE=FQ","FILING_STATUS=MR","FA_ADJUSTED=GAAP","Sort=A","Dates=H","DateFormat=P","Fill=—","Direction=H","UseDPDF=Y")</f>
        <v>76.565399999999997</v>
      </c>
      <c r="I19" s="14">
        <f>_xll.BDH("AMGN US Equity","NORMALIZED_ROE","FQ2 2020","FQ2 2020","Currency=USD","Period=FQ","BEST_FPERIOD_OVERRIDE=FQ","FILING_STATUS=MR","FA_ADJUSTED=GAAP","Sort=A","Dates=H","DateFormat=P","Fill=—","Direction=H","UseDPDF=Y")</f>
        <v>69.5261</v>
      </c>
      <c r="J19" s="14">
        <f>_xll.BDH("AMGN US Equity","NORMALIZED_ROE","FQ3 2020","FQ3 2020","Currency=USD","Period=FQ","BEST_FPERIOD_OVERRIDE=FQ","FILING_STATUS=MR","FA_ADJUSTED=GAAP","Sort=A","Dates=H","DateFormat=P","Fill=—","Direction=H","UseDPDF=Y")</f>
        <v>73.578299999999999</v>
      </c>
      <c r="K19" s="14">
        <f>_xll.BDH("AMGN US Equity","NORMALIZED_ROE","FQ4 2020","FQ4 2020","Currency=USD","Period=FQ","BEST_FPERIOD_OVERRIDE=FQ","FILING_STATUS=MR","FA_ADJUSTED=GAAP","Sort=A","Dates=H","DateFormat=P","Fill=—","Direction=H","UseDPDF=Y")</f>
        <v>83.380700000000004</v>
      </c>
      <c r="L19" s="14">
        <f>_xll.BDH("AMGN US Equity","NORMALIZED_ROE","FQ1 2021","FQ1 2021","Currency=USD","Period=FQ","BEST_FPERIOD_OVERRIDE=FQ","FILING_STATUS=MR","FA_ADJUSTED=GAAP","Sort=A","Dates=H","DateFormat=P","Fill=—","Direction=H","UseDPDF=Y")</f>
        <v>87.3613</v>
      </c>
      <c r="M19" s="14">
        <f>_xll.BDH("AMGN US Equity","NORMALIZED_ROE","FQ2 2021","FQ2 2021","Currency=USD","Period=FQ","BEST_FPERIOD_OVERRIDE=FQ","FILING_STATUS=MR","FA_ADJUSTED=GAAP","Sort=A","Dates=H","DateFormat=P","Fill=—","Direction=H","UseDPDF=Y")</f>
        <v>93.406700000000001</v>
      </c>
      <c r="N19" s="14">
        <f>_xll.BDH("AMGN US Equity","NORMALIZED_ROE","FQ3 2021","FQ3 2021","Currency=USD","Period=FQ","BEST_FPERIOD_OVERRIDE=FQ","FILING_STATUS=MR","FA_ADJUSTED=GAAP","Sort=A","Dates=H","DateFormat=P","Fill=—","Direction=H","UseDPDF=Y")</f>
        <v>83.112399999999994</v>
      </c>
      <c r="O19" s="14">
        <f>_xll.BDH("AMGN US Equity","NORMALIZED_ROE","FQ4 2021","FQ4 2021","Currency=USD","Period=FQ","BEST_FPERIOD_OVERRIDE=FQ","FILING_STATUS=MR","FA_ADJUSTED=GAAP","Sort=A","Dates=H","DateFormat=P","Fill=—","Direction=H","UseDPDF=Y")</f>
        <v>101.4217</v>
      </c>
      <c r="P19" s="14">
        <f>_xll.BDH("AMGN US Equity","NORMALIZED_ROE","FQ1 2022","FQ1 2022","Currency=USD","Period=FQ","BEST_FPERIOD_OVERRIDE=FQ","FILING_STATUS=MR","FA_ADJUSTED=GAAP","Sort=A","Dates=H","DateFormat=P","Fill=—","Direction=H","UseDPDF=Y")</f>
        <v>163.1755</v>
      </c>
      <c r="Q19" s="14">
        <f>_xll.BDH("AMGN US Equity","NORMALIZED_ROE","FQ2 2022","FQ2 2022","Currency=USD","Period=FQ","BEST_FPERIOD_OVERRIDE=FQ","FILING_STATUS=MR","FA_ADJUSTED=GAAP","Sort=A","Dates=H","DateFormat=P","Fill=—","Direction=H","UseDPDF=Y")</f>
        <v>156.22229999999999</v>
      </c>
      <c r="R19" s="14">
        <f>_xll.BDH("AMGN US Equity","NORMALIZED_ROE","FQ3 2022","FQ3 2022","Currency=USD","Period=FQ","BEST_FPERIOD_OVERRIDE=FQ","FILING_STATUS=MR","FA_ADJUSTED=GAAP","Sort=A","Dates=H","DateFormat=P","Fill=—","Direction=H","UseDPDF=Y")</f>
        <v>145.7406</v>
      </c>
      <c r="S19" s="14">
        <f>_xll.BDH("AMGN US Equity","NORMALIZED_ROE","FQ4 2022","FQ4 2022","Currency=USD","Period=FQ","BEST_FPERIOD_OVERRIDE=FQ","FILING_STATUS=MR","FA_ADJUSTED=GAAP","Sort=A","Dates=H","DateFormat=P","Fill=—","Direction=H","UseDPDF=Y")</f>
        <v>160.18790000000001</v>
      </c>
      <c r="T19" s="14">
        <f>_xll.BDH("AMGN US Equity","NORMALIZED_ROE","FQ1 2023","FQ1 2023","Currency=USD","Period=FQ","BEST_FPERIOD_OVERRIDE=FQ","FILING_STATUS=MR","FA_ADJUSTED=GAAP","Sort=A","Dates=H","DateFormat=P","Fill=—","Direction=H","UseDPDF=Y")</f>
        <v>256.00540000000001</v>
      </c>
      <c r="U19" s="14">
        <f>_xll.BDH("AMGN US Equity","NORMALIZED_ROE","FQ2 2023","FQ2 2023","Currency=USD","Period=FQ","BEST_FPERIOD_OVERRIDE=FQ","FILING_STATUS=MR","FA_ADJUSTED=GAAP","Sort=A","Dates=H","DateFormat=P","Fill=—","Direction=H","UseDPDF=Y")</f>
        <v>161.2269</v>
      </c>
      <c r="V19" s="14">
        <f>_xll.BDH("AMGN US Equity","NORMALIZED_ROE","FQ3 2023","FQ3 2023","Currency=USD","Period=FQ","BEST_FPERIOD_OVERRIDE=FQ","FILING_STATUS=MR","FA_ADJUSTED=GAAP","Sort=A","Dates=H","DateFormat=P","Fill=—","Direction=H","UseDPDF=Y")</f>
        <v>132.07060000000001</v>
      </c>
      <c r="W19" s="14">
        <f>_xll.BDH("AMGN US Equity","NORMALIZED_ROE","FQ4 2023","FQ4 2023","Currency=USD","Period=FQ","BEST_FPERIOD_OVERRIDE=FQ","FILING_STATUS=MR","FA_ADJUSTED=GAAP","Sort=A","Dates=H","DateFormat=P","Fill=—","Direction=H","UseDPDF=Y")</f>
        <v>140.8313</v>
      </c>
      <c r="X19" s="14">
        <f>_xll.BDH("AMGN US Equity","NORMALIZED_ROE","FQ1 2024","FQ1 2024","Currency=USD","Period=FQ","BEST_FPERIOD_OVERRIDE=FQ","FILING_STATUS=MR","FA_ADJUSTED=GAAP","Sort=A","Dates=H","DateFormat=P","Fill=—","Direction=H","UseDPDF=Y")</f>
        <v>103.6491</v>
      </c>
      <c r="Y19" s="14">
        <f>_xll.BDH("AMGN US Equity","NORMALIZED_ROE","FQ2 2024","FQ2 2024","Currency=USD","Period=FQ","BEST_FPERIOD_OVERRIDE=FQ","FILING_STATUS=MR","FA_ADJUSTED=GAAP","Sort=A","Dates=H","DateFormat=P","Fill=—","Direction=H","UseDPDF=Y")</f>
        <v>74.450699999999998</v>
      </c>
      <c r="Z19" s="14">
        <f>_xll.BDH("AMGN US Equity","NORMALIZED_ROE","FQ3 2024","FQ3 2024","Currency=USD","Period=FQ","BEST_FPERIOD_OVERRIDE=FQ","FILING_STATUS=MR","FA_ADJUSTED=GAAP","Sort=A","Dates=H","DateFormat=P","Fill=—","Direction=H","UseDPDF=Y")</f>
        <v>61.839500000000001</v>
      </c>
      <c r="AA19" s="14">
        <f>_xll.BDH("AMGN US Equity","NORMALIZED_ROE","FQ4 2024","FQ4 2024","Currency=USD","Period=FQ","BEST_FPERIOD_OVERRIDE=FQ","FILING_STATUS=MR","FA_ADJUSTED=GAAP","Sort=A","Dates=H","DateFormat=P","Fill=—","Direction=H","UseDPDF=Y")</f>
        <v>82.424499999999995</v>
      </c>
    </row>
    <row r="20" spans="1:27" x14ac:dyDescent="0.25">
      <c r="A20" s="1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25">
      <c r="A21" s="10" t="s">
        <v>1720</v>
      </c>
      <c r="B21" s="10" t="s">
        <v>1721</v>
      </c>
      <c r="C21" s="14">
        <f>_xll.BDH("AMGN US Equity","5_YEAR_AVERAGE_ADJUSTED_ROE","FQ4 2018","FQ4 2018","Currency=USD","Period=FQ","BEST_FPERIOD_OVERRIDE=FQ","FILING_STATUS=MR","FA_ADJUSTED=GAAP","Sort=A","Dates=H","DateFormat=P","Fill=—","Direction=H","UseDPDF=Y")</f>
        <v>37.766300000000001</v>
      </c>
      <c r="D21" s="14">
        <f>_xll.BDH("AMGN US Equity","5_YEAR_AVERAGE_ADJUSTED_ROE","FQ1 2019","FQ1 2019","Currency=USD","Period=FQ","BEST_FPERIOD_OVERRIDE=FQ","FILING_STATUS=MR","FA_ADJUSTED=GAAP","Sort=A","Dates=H","DateFormat=P","Fill=—","Direction=H","UseDPDF=Y")</f>
        <v>44.375799999999998</v>
      </c>
      <c r="E21" s="14">
        <f>_xll.BDH("AMGN US Equity","5_YEAR_AVERAGE_ADJUSTED_ROE","FQ2 2019","FQ2 2019","Currency=USD","Period=FQ","BEST_FPERIOD_OVERRIDE=FQ","FILING_STATUS=MR","FA_ADJUSTED=GAAP","Sort=A","Dates=H","DateFormat=P","Fill=—","Direction=H","UseDPDF=Y")</f>
        <v>49.808500000000002</v>
      </c>
      <c r="F21" s="14">
        <f>_xll.BDH("AMGN US Equity","5_YEAR_AVERAGE_ADJUSTED_ROE","FQ3 2019","FQ3 2019","Currency=USD","Period=FQ","BEST_FPERIOD_OVERRIDE=FQ","FILING_STATUS=MR","FA_ADJUSTED=GAAP","Sort=A","Dates=H","DateFormat=P","Fill=—","Direction=H","UseDPDF=Y")</f>
        <v>55.134999999999998</v>
      </c>
      <c r="G21" s="14">
        <f>_xll.BDH("AMGN US Equity","5_YEAR_AVERAGE_ADJUSTED_ROE","FQ4 2019","FQ4 2019","Currency=USD","Period=FQ","BEST_FPERIOD_OVERRIDE=FQ","FILING_STATUS=MR","FA_ADJUSTED=GAAP","Sort=A","Dates=H","DateFormat=P","Fill=—","Direction=H","UseDPDF=Y")</f>
        <v>61.968699999999998</v>
      </c>
      <c r="H21" s="14">
        <f>_xll.BDH("AMGN US Equity","5_YEAR_AVERAGE_ADJUSTED_ROE","FQ1 2020","FQ1 2020","Currency=USD","Period=FQ","BEST_FPERIOD_OVERRIDE=FQ","FILING_STATUS=MR","FA_ADJUSTED=GAAP","Sort=A","Dates=H","DateFormat=P","Fill=—","Direction=H","UseDPDF=Y")</f>
        <v>68.023300000000006</v>
      </c>
      <c r="I21" s="14">
        <f>_xll.BDH("AMGN US Equity","5_YEAR_AVERAGE_ADJUSTED_ROE","FQ2 2020","FQ2 2020","Currency=USD","Period=FQ","BEST_FPERIOD_OVERRIDE=FQ","FILING_STATUS=MR","FA_ADJUSTED=GAAP","Sort=A","Dates=H","DateFormat=P","Fill=—","Direction=H","UseDPDF=Y")</f>
        <v>69.258799999999994</v>
      </c>
      <c r="J21" s="14">
        <f>_xll.BDH("AMGN US Equity","5_YEAR_AVERAGE_ADJUSTED_ROE","FQ3 2020","FQ3 2020","Currency=USD","Period=FQ","BEST_FPERIOD_OVERRIDE=FQ","FILING_STATUS=MR","FA_ADJUSTED=GAAP","Sort=A","Dates=H","DateFormat=P","Fill=—","Direction=H","UseDPDF=Y")</f>
        <v>71.081800000000001</v>
      </c>
      <c r="K21" s="14">
        <f>_xll.BDH("AMGN US Equity","5_YEAR_AVERAGE_ADJUSTED_ROE","FQ4 2020","FQ4 2020","Currency=USD","Period=FQ","BEST_FPERIOD_OVERRIDE=FQ","FILING_STATUS=MR","FA_ADJUSTED=GAAP","Sort=A","Dates=H","DateFormat=P","Fill=—","Direction=H","UseDPDF=Y")</f>
        <v>74.916799999999995</v>
      </c>
      <c r="L21" s="14">
        <f>_xll.BDH("AMGN US Equity","5_YEAR_AVERAGE_ADJUSTED_ROE","FQ1 2021","FQ1 2021","Currency=USD","Period=FQ","BEST_FPERIOD_OVERRIDE=FQ","FILING_STATUS=MR","FA_ADJUSTED=GAAP","Sort=A","Dates=H","DateFormat=P","Fill=—","Direction=H","UseDPDF=Y")</f>
        <v>78.082400000000007</v>
      </c>
      <c r="M21" s="14">
        <f>_xll.BDH("AMGN US Equity","5_YEAR_AVERAGE_ADJUSTED_ROE","FQ2 2021","FQ2 2021","Currency=USD","Period=FQ","BEST_FPERIOD_OVERRIDE=FQ","FILING_STATUS=MR","FA_ADJUSTED=GAAP","Sort=A","Dates=H","DateFormat=P","Fill=—","Direction=H","UseDPDF=Y")</f>
        <v>81.450599999999994</v>
      </c>
      <c r="N21" s="14">
        <f>_xll.BDH("AMGN US Equity","5_YEAR_AVERAGE_ADJUSTED_ROE","FQ3 2021","FQ3 2021","Currency=USD","Period=FQ","BEST_FPERIOD_OVERRIDE=FQ","FILING_STATUS=MR","FA_ADJUSTED=GAAP","Sort=A","Dates=H","DateFormat=P","Fill=—","Direction=H","UseDPDF=Y")</f>
        <v>84.167900000000003</v>
      </c>
      <c r="O21" s="14">
        <f>_xll.BDH("AMGN US Equity","5_YEAR_AVERAGE_ADJUSTED_ROE","FQ4 2021","FQ4 2021","Currency=USD","Period=FQ","BEST_FPERIOD_OVERRIDE=FQ","FILING_STATUS=MR","FA_ADJUSTED=GAAP","Sort=A","Dates=H","DateFormat=P","Fill=—","Direction=H","UseDPDF=Y")</f>
        <v>89.736599999999996</v>
      </c>
      <c r="P21" s="14">
        <f>_xll.BDH("AMGN US Equity","5_YEAR_AVERAGE_ADJUSTED_ROE","FQ1 2022","FQ1 2022","Currency=USD","Period=FQ","BEST_FPERIOD_OVERRIDE=FQ","FILING_STATUS=MR","FA_ADJUSTED=GAAP","Sort=A","Dates=H","DateFormat=P","Fill=—","Direction=H","UseDPDF=Y")</f>
        <v>105.6955</v>
      </c>
      <c r="Q21" s="14">
        <f>_xll.BDH("AMGN US Equity","5_YEAR_AVERAGE_ADJUSTED_ROE","FQ2 2022","FQ2 2022","Currency=USD","Period=FQ","BEST_FPERIOD_OVERRIDE=FQ","FILING_STATUS=MR","FA_ADJUSTED=GAAP","Sort=A","Dates=H","DateFormat=P","Fill=—","Direction=H","UseDPDF=Y")</f>
        <v>119.46769999999999</v>
      </c>
      <c r="R21" s="14">
        <f>_xll.BDH("AMGN US Equity","5_YEAR_AVERAGE_ADJUSTED_ROE","FQ3 2022","FQ3 2022","Currency=USD","Period=FQ","BEST_FPERIOD_OVERRIDE=FQ","FILING_STATUS=MR","FA_ADJUSTED=GAAP","Sort=A","Dates=H","DateFormat=P","Fill=—","Direction=H","UseDPDF=Y")</f>
        <v>129.93450000000001</v>
      </c>
      <c r="S21" s="14">
        <f>_xll.BDH("AMGN US Equity","5_YEAR_AVERAGE_ADJUSTED_ROE","FQ4 2022","FQ4 2022","Currency=USD","Period=FQ","BEST_FPERIOD_OVERRIDE=FQ","FILING_STATUS=MR","FA_ADJUSTED=GAAP","Sort=A","Dates=H","DateFormat=P","Fill=—","Direction=H","UseDPDF=Y")</f>
        <v>145.34960000000001</v>
      </c>
      <c r="T21" s="14">
        <f>_xll.BDH("AMGN US Equity","5_YEAR_AVERAGE_ADJUSTED_ROE","FQ1 2023","FQ1 2023","Currency=USD","Period=FQ","BEST_FPERIOD_OVERRIDE=FQ","FILING_STATUS=MR","FA_ADJUSTED=GAAP","Sort=A","Dates=H","DateFormat=P","Fill=—","Direction=H","UseDPDF=Y")</f>
        <v>176.2664</v>
      </c>
      <c r="U21" s="14">
        <f>_xll.BDH("AMGN US Equity","5_YEAR_AVERAGE_ADJUSTED_ROE","FQ2 2023","FQ2 2023","Currency=USD","Period=FQ","BEST_FPERIOD_OVERRIDE=FQ","FILING_STATUS=MR","FA_ADJUSTED=GAAP","Sort=A","Dates=H","DateFormat=P","Fill=—","Direction=H","UseDPDF=Y")</f>
        <v>175.8766</v>
      </c>
      <c r="V21" s="14">
        <f>_xll.BDH("AMGN US Equity","5_YEAR_AVERAGE_ADJUSTED_ROE","FQ3 2023","FQ3 2023","Currency=USD","Period=FQ","BEST_FPERIOD_OVERRIDE=FQ","FILING_STATUS=MR","FA_ADJUSTED=GAAP","Sort=A","Dates=H","DateFormat=P","Fill=—","Direction=H","UseDPDF=Y")</f>
        <v>171.0463</v>
      </c>
      <c r="W21" s="14">
        <f>_xll.BDH("AMGN US Equity","5_YEAR_AVERAGE_ADJUSTED_ROE","FQ4 2023","FQ4 2023","Currency=USD","Period=FQ","BEST_FPERIOD_OVERRIDE=FQ","FILING_STATUS=MR","FA_ADJUSTED=GAAP","Sort=A","Dates=H","DateFormat=P","Fill=—","Direction=H","UseDPDF=Y")</f>
        <v>170.06440000000001</v>
      </c>
      <c r="X21" s="14">
        <f>_xll.BDH("AMGN US Equity","5_YEAR_AVERAGE_ADJUSTED_ROE","FQ1 2024","FQ1 2024","Currency=USD","Period=FQ","BEST_FPERIOD_OVERRIDE=FQ","FILING_STATUS=MR","FA_ADJUSTED=GAAP","Sort=A","Dates=H","DateFormat=P","Fill=—","Direction=H","UseDPDF=Y")</f>
        <v>158.7567</v>
      </c>
      <c r="Y21" s="14">
        <f>_xll.BDH("AMGN US Equity","5_YEAR_AVERAGE_ADJUSTED_ROE","FQ2 2024","FQ2 2024","Currency=USD","Period=FQ","BEST_FPERIOD_OVERRIDE=FQ","FILING_STATUS=MR","FA_ADJUSTED=GAAP","Sort=A","Dates=H","DateFormat=P","Fill=—","Direction=H","UseDPDF=Y")</f>
        <v>122.4457</v>
      </c>
      <c r="Z21" s="14">
        <f>_xll.BDH("AMGN US Equity","5_YEAR_AVERAGE_ADJUSTED_ROE","FQ3 2024","FQ3 2024","Currency=USD","Period=FQ","BEST_FPERIOD_OVERRIDE=FQ","FILING_STATUS=MR","FA_ADJUSTED=GAAP","Sort=A","Dates=H","DateFormat=P","Fill=—","Direction=H","UseDPDF=Y")</f>
        <v>102.5682</v>
      </c>
      <c r="AA21" s="14">
        <f>_xll.BDH("AMGN US Equity","5_YEAR_AVERAGE_ADJUSTED_ROE","FQ4 2024","FQ4 2024","Currency=USD","Period=FQ","BEST_FPERIOD_OVERRIDE=FQ","FILING_STATUS=MR","FA_ADJUSTED=GAAP","Sort=A","Dates=H","DateFormat=P","Fill=—","Direction=H","UseDPDF=Y")</f>
        <v>92.638999999999996</v>
      </c>
    </row>
    <row r="22" spans="1:27" x14ac:dyDescent="0.25">
      <c r="A22" s="10" t="s">
        <v>1722</v>
      </c>
      <c r="B22" s="10" t="s">
        <v>1461</v>
      </c>
      <c r="C22" s="14">
        <f>_xll.BDH("AMGN US Equity","DVD_PAYOUT_RATIO","FQ4 2018","FQ4 2018","Currency=USD","Period=FQ","BEST_FPERIOD_OVERRIDE=FQ","FILING_STATUS=MR","FA_ADJUSTED=GAAP","Sort=A","Dates=H","DateFormat=P","Fill=—","Direction=H","UseDPDF=Y")</f>
        <v>41.4938</v>
      </c>
      <c r="D22" s="14">
        <f>_xll.BDH("AMGN US Equity","DVD_PAYOUT_RATIO","FQ1 2019","FQ1 2019","Currency=USD","Period=FQ","BEST_FPERIOD_OVERRIDE=FQ","FILING_STATUS=MR","FA_ADJUSTED=GAAP","Sort=A","Dates=H","DateFormat=P","Fill=—","Direction=H","UseDPDF=Y")</f>
        <v>45.2761</v>
      </c>
      <c r="E22" s="14">
        <f>_xll.BDH("AMGN US Equity","DVD_PAYOUT_RATIO","FQ2 2019","FQ2 2019","Currency=USD","Period=FQ","BEST_FPERIOD_OVERRIDE=FQ","FILING_STATUS=MR","FA_ADJUSTED=GAAP","Sort=A","Dates=H","DateFormat=P","Fill=—","Direction=H","UseDPDF=Y")</f>
        <v>41.303400000000003</v>
      </c>
      <c r="F22" s="14">
        <f>_xll.BDH("AMGN US Equity","DVD_PAYOUT_RATIO","FQ3 2019","FQ3 2019","Currency=USD","Period=FQ","BEST_FPERIOD_OVERRIDE=FQ","FILING_STATUS=MR","FA_ADJUSTED=GAAP","Sort=A","Dates=H","DateFormat=P","Fill=—","Direction=H","UseDPDF=Y")</f>
        <v>45.731699999999996</v>
      </c>
      <c r="G22" s="14">
        <f>_xll.BDH("AMGN US Equity","DVD_PAYOUT_RATIO","FQ4 2019","FQ4 2019","Currency=USD","Period=FQ","BEST_FPERIOD_OVERRIDE=FQ","FILING_STATUS=MR","FA_ADJUSTED=GAAP","Sort=A","Dates=H","DateFormat=P","Fill=—","Direction=H","UseDPDF=Y")</f>
        <v>52.847900000000003</v>
      </c>
      <c r="H22" s="14">
        <f>_xll.BDH("AMGN US Equity","DVD_PAYOUT_RATIO","FQ1 2020","FQ1 2020","Currency=USD","Period=FQ","BEST_FPERIOD_OVERRIDE=FQ","FILING_STATUS=MR","FA_ADJUSTED=GAAP","Sort=A","Dates=H","DateFormat=P","Fill=—","Direction=H","UseDPDF=Y")</f>
        <v>51.780799999999999</v>
      </c>
      <c r="I22" s="14">
        <f>_xll.BDH("AMGN US Equity","DVD_PAYOUT_RATIO","FQ2 2020","FQ2 2020","Currency=USD","Period=FQ","BEST_FPERIOD_OVERRIDE=FQ","FILING_STATUS=MR","FA_ADJUSTED=GAAP","Sort=A","Dates=H","DateFormat=P","Fill=—","Direction=H","UseDPDF=Y")</f>
        <v>49.916800000000002</v>
      </c>
      <c r="J22" s="14">
        <f>_xll.BDH("AMGN US Equity","DVD_PAYOUT_RATIO","FQ3 2020","FQ3 2020","Currency=USD","Period=FQ","BEST_FPERIOD_OVERRIDE=FQ","FILING_STATUS=MR","FA_ADJUSTED=GAAP","Sort=A","Dates=H","DateFormat=P","Fill=—","Direction=H","UseDPDF=Y")</f>
        <v>46.313699999999997</v>
      </c>
      <c r="K22" s="14">
        <f>_xll.BDH("AMGN US Equity","DVD_PAYOUT_RATIO","FQ4 2020","FQ4 2020","Currency=USD","Period=FQ","BEST_FPERIOD_OVERRIDE=FQ","FILING_STATUS=MR","FA_ADJUSTED=GAAP","Sort=A","Dates=H","DateFormat=P","Fill=—","Direction=H","UseDPDF=Y")</f>
        <v>55.727600000000002</v>
      </c>
      <c r="L22" s="14">
        <f>_xll.BDH("AMGN US Equity","DVD_PAYOUT_RATIO","FQ1 2021","FQ1 2021","Currency=USD","Period=FQ","BEST_FPERIOD_OVERRIDE=FQ","FILING_STATUS=MR","FA_ADJUSTED=GAAP","Sort=A","Dates=H","DateFormat=P","Fill=—","Direction=H","UseDPDF=Y")</f>
        <v>60.753300000000003</v>
      </c>
      <c r="M22" s="14">
        <f>_xll.BDH("AMGN US Equity","DVD_PAYOUT_RATIO","FQ2 2021","FQ2 2021","Currency=USD","Period=FQ","BEST_FPERIOD_OVERRIDE=FQ","FILING_STATUS=MR","FA_ADJUSTED=GAAP","Sort=A","Dates=H","DateFormat=P","Fill=—","Direction=H","UseDPDF=Y")</f>
        <v>215.5172</v>
      </c>
      <c r="N22" s="14">
        <f>_xll.BDH("AMGN US Equity","DVD_PAYOUT_RATIO","FQ3 2021","FQ3 2021","Currency=USD","Period=FQ","BEST_FPERIOD_OVERRIDE=FQ","FILING_STATUS=MR","FA_ADJUSTED=GAAP","Sort=A","Dates=H","DateFormat=P","Fill=—","Direction=H","UseDPDF=Y")</f>
        <v>52.968200000000003</v>
      </c>
      <c r="O22" s="14">
        <f>_xll.BDH("AMGN US Equity","DVD_PAYOUT_RATIO","FQ4 2021","FQ4 2021","Currency=USD","Period=FQ","BEST_FPERIOD_OVERRIDE=FQ","FILING_STATUS=MR","FA_ADJUSTED=GAAP","Sort=A","Dates=H","DateFormat=P","Fill=—","Direction=H","UseDPDF=Y")</f>
        <v>52.659300000000002</v>
      </c>
      <c r="P22" s="14">
        <f>_xll.BDH("AMGN US Equity","DVD_PAYOUT_RATIO","FQ1 2022","FQ1 2022","Currency=USD","Period=FQ","BEST_FPERIOD_OVERRIDE=FQ","FILING_STATUS=MR","FA_ADJUSTED=GAAP","Sort=A","Dates=H","DateFormat=P","Fill=—","Direction=H","UseDPDF=Y")</f>
        <v>74.525700000000001</v>
      </c>
      <c r="Q22" s="14">
        <f>_xll.BDH("AMGN US Equity","DVD_PAYOUT_RATIO","FQ2 2022","FQ2 2022","Currency=USD","Period=FQ","BEST_FPERIOD_OVERRIDE=FQ","FILING_STATUS=MR","FA_ADJUSTED=GAAP","Sort=A","Dates=H","DateFormat=P","Fill=—","Direction=H","UseDPDF=Y")</f>
        <v>78.8155</v>
      </c>
      <c r="R22" s="14">
        <f>_xll.BDH("AMGN US Equity","DVD_PAYOUT_RATIO","FQ3 2022","FQ3 2022","Currency=USD","Period=FQ","BEST_FPERIOD_OVERRIDE=FQ","FILING_STATUS=MR","FA_ADJUSTED=GAAP","Sort=A","Dates=H","DateFormat=P","Fill=—","Direction=H","UseDPDF=Y")</f>
        <v>48.432099999999998</v>
      </c>
      <c r="S22" s="14">
        <f>_xll.BDH("AMGN US Equity","DVD_PAYOUT_RATIO","FQ4 2022","FQ4 2022","Currency=USD","Period=FQ","BEST_FPERIOD_OVERRIDE=FQ","FILING_STATUS=MR","FA_ADJUSTED=GAAP","Sort=A","Dates=H","DateFormat=P","Fill=—","Direction=H","UseDPDF=Y")</f>
        <v>61.8812</v>
      </c>
      <c r="T22" s="14">
        <f>_xll.BDH("AMGN US Equity","DVD_PAYOUT_RATIO","FQ1 2023","FQ1 2023","Currency=USD","Period=FQ","BEST_FPERIOD_OVERRIDE=FQ","FILING_STATUS=MR","FA_ADJUSTED=GAAP","Sort=A","Dates=H","DateFormat=P","Fill=—","Direction=H","UseDPDF=Y")</f>
        <v>38.718800000000002</v>
      </c>
      <c r="U22" s="14">
        <f>_xll.BDH("AMGN US Equity","DVD_PAYOUT_RATIO","FQ2 2023","FQ2 2023","Currency=USD","Period=FQ","BEST_FPERIOD_OVERRIDE=FQ","FILING_STATUS=MR","FA_ADJUSTED=GAAP","Sort=A","Dates=H","DateFormat=P","Fill=—","Direction=H","UseDPDF=Y")</f>
        <v>79.767899999999997</v>
      </c>
      <c r="V22" s="14">
        <f>_xll.BDH("AMGN US Equity","DVD_PAYOUT_RATIO","FQ3 2023","FQ3 2023","Currency=USD","Period=FQ","BEST_FPERIOD_OVERRIDE=FQ","FILING_STATUS=MR","FA_ADJUSTED=GAAP","Sort=A","Dates=H","DateFormat=P","Fill=—","Direction=H","UseDPDF=Y")</f>
        <v>65.869900000000001</v>
      </c>
      <c r="W22" s="14">
        <f>_xll.BDH("AMGN US Equity","DVD_PAYOUT_RATIO","FQ4 2023","FQ4 2023","Currency=USD","Period=FQ","BEST_FPERIOD_OVERRIDE=FQ","FILING_STATUS=MR","FA_ADJUSTED=GAAP","Sort=A","Dates=H","DateFormat=P","Fill=—","Direction=H","UseDPDF=Y")</f>
        <v>143.41589999999999</v>
      </c>
      <c r="X22" s="14" t="str">
        <f>_xll.BDH("AMGN US Equity","DVD_PAYOUT_RATIO","FQ1 2024","FQ1 2024","Currency=USD","Period=FQ","BEST_FPERIOD_OVERRIDE=FQ","FILING_STATUS=MR","FA_ADJUSTED=GAAP","Sort=A","Dates=H","DateFormat=P","Fill=—","Direction=H","UseDPDF=Y")</f>
        <v>—</v>
      </c>
      <c r="Y22" s="14">
        <f>_xll.BDH("AMGN US Equity","DVD_PAYOUT_RATIO","FQ2 2024","FQ2 2024","Currency=USD","Period=FQ","BEST_FPERIOD_OVERRIDE=FQ","FILING_STATUS=MR","FA_ADJUSTED=GAAP","Sort=A","Dates=H","DateFormat=P","Fill=—","Direction=H","UseDPDF=Y")</f>
        <v>160.8579</v>
      </c>
      <c r="Z22" s="14">
        <f>_xll.BDH("AMGN US Equity","DVD_PAYOUT_RATIO","FQ3 2024","FQ3 2024","Currency=USD","Period=FQ","BEST_FPERIOD_OVERRIDE=FQ","FILING_STATUS=MR","FA_ADJUSTED=GAAP","Sort=A","Dates=H","DateFormat=P","Fill=—","Direction=H","UseDPDF=Y")</f>
        <v>42.402799999999999</v>
      </c>
      <c r="AA22" s="14">
        <f>_xll.BDH("AMGN US Equity","DVD_PAYOUT_RATIO","FQ4 2024","FQ4 2024","Currency=USD","Period=FQ","BEST_FPERIOD_OVERRIDE=FQ","FILING_STATUS=MR","FA_ADJUSTED=GAAP","Sort=A","Dates=H","DateFormat=P","Fill=—","Direction=H","UseDPDF=Y")</f>
        <v>191.38759999999999</v>
      </c>
    </row>
    <row r="23" spans="1:27" x14ac:dyDescent="0.25">
      <c r="A23" s="10" t="s">
        <v>1462</v>
      </c>
      <c r="B23" s="10" t="s">
        <v>1463</v>
      </c>
      <c r="C23" s="14">
        <f>_xll.BDH("AMGN US Equity","SUSTAIN_GROWTH_RT","FQ4 2018","FQ4 2018","Currency=USD","Period=FQ","BEST_FPERIOD_OVERRIDE=FQ","FILING_STATUS=MR","FA_ADJUSTED=GAAP","Sort=A","Dates=H","DateFormat=P","Fill=—","Direction=H","UseDPDF=Y")</f>
        <v>26.024799999999999</v>
      </c>
      <c r="D23" s="14">
        <f>_xll.BDH("AMGN US Equity","SUSTAIN_GROWTH_RT","FQ1 2019","FQ1 2019","Currency=USD","Period=FQ","BEST_FPERIOD_OVERRIDE=FQ","FILING_STATUS=MR","FA_ADJUSTED=GAAP","Sort=A","Dates=H","DateFormat=P","Fill=—","Direction=H","UseDPDF=Y")</f>
        <v>33.411099999999998</v>
      </c>
      <c r="E23" s="14">
        <f>_xll.BDH("AMGN US Equity","SUSTAIN_GROWTH_RT","FQ2 2019","FQ2 2019","Currency=USD","Period=FQ","BEST_FPERIOD_OVERRIDE=FQ","FILING_STATUS=MR","FA_ADJUSTED=GAAP","Sort=A","Dates=H","DateFormat=P","Fill=—","Direction=H","UseDPDF=Y")</f>
        <v>36.346600000000002</v>
      </c>
      <c r="F23" s="14">
        <f>_xll.BDH("AMGN US Equity","SUSTAIN_GROWTH_RT","FQ3 2019","FQ3 2019","Currency=USD","Period=FQ","BEST_FPERIOD_OVERRIDE=FQ","FILING_STATUS=MR","FA_ADJUSTED=GAAP","Sort=A","Dates=H","DateFormat=P","Fill=—","Direction=H","UseDPDF=Y")</f>
        <v>34.6402</v>
      </c>
      <c r="G23" s="14">
        <f>_xll.BDH("AMGN US Equity","SUSTAIN_GROWTH_RT","FQ4 2019","FQ4 2019","Currency=USD","Period=FQ","BEST_FPERIOD_OVERRIDE=FQ","FILING_STATUS=MR","FA_ADJUSTED=GAAP","Sort=A","Dates=H","DateFormat=P","Fill=—","Direction=H","UseDPDF=Y")</f>
        <v>33.352899999999998</v>
      </c>
      <c r="H23" s="14">
        <f>_xll.BDH("AMGN US Equity","SUSTAIN_GROWTH_RT","FQ1 2020","FQ1 2020","Currency=USD","Period=FQ","BEST_FPERIOD_OVERRIDE=FQ","FILING_STATUS=MR","FA_ADJUSTED=GAAP","Sort=A","Dates=H","DateFormat=P","Fill=—","Direction=H","UseDPDF=Y")</f>
        <v>36.430799999999998</v>
      </c>
      <c r="I23" s="14">
        <f>_xll.BDH("AMGN US Equity","SUSTAIN_GROWTH_RT","FQ2 2020","FQ2 2020","Currency=USD","Period=FQ","BEST_FPERIOD_OVERRIDE=FQ","FILING_STATUS=MR","FA_ADJUSTED=GAAP","Sort=A","Dates=H","DateFormat=P","Fill=—","Direction=H","UseDPDF=Y")</f>
        <v>34.079799999999999</v>
      </c>
      <c r="J23" s="14">
        <f>_xll.BDH("AMGN US Equity","SUSTAIN_GROWTH_RT","FQ3 2020","FQ3 2020","Currency=USD","Period=FQ","BEST_FPERIOD_OVERRIDE=FQ","FILING_STATUS=MR","FA_ADJUSTED=GAAP","Sort=A","Dates=H","DateFormat=P","Fill=—","Direction=H","UseDPDF=Y")</f>
        <v>36.068899999999999</v>
      </c>
      <c r="K23" s="14">
        <f>_xll.BDH("AMGN US Equity","SUSTAIN_GROWTH_RT","FQ4 2020","FQ4 2020","Currency=USD","Period=FQ","BEST_FPERIOD_OVERRIDE=FQ","FILING_STATUS=MR","FA_ADJUSTED=GAAP","Sort=A","Dates=H","DateFormat=P","Fill=—","Direction=H","UseDPDF=Y")</f>
        <v>33.706600000000002</v>
      </c>
      <c r="L23" s="14">
        <f>_xll.BDH("AMGN US Equity","SUSTAIN_GROWTH_RT","FQ1 2021","FQ1 2021","Currency=USD","Period=FQ","BEST_FPERIOD_OVERRIDE=FQ","FILING_STATUS=MR","FA_ADJUSTED=GAAP","Sort=A","Dates=H","DateFormat=P","Fill=—","Direction=H","UseDPDF=Y")</f>
        <v>29.551300000000001</v>
      </c>
      <c r="M23" s="14">
        <f>_xll.BDH("AMGN US Equity","SUSTAIN_GROWTH_RT","FQ2 2021","FQ2 2021","Currency=USD","Period=FQ","BEST_FPERIOD_OVERRIDE=FQ","FILING_STATUS=MR","FA_ADJUSTED=GAAP","Sort=A","Dates=H","DateFormat=P","Fill=—","Direction=H","UseDPDF=Y")</f>
        <v>-70.217100000000002</v>
      </c>
      <c r="N23" s="14">
        <f>_xll.BDH("AMGN US Equity","SUSTAIN_GROWTH_RT","FQ3 2021","FQ3 2021","Currency=USD","Period=FQ","BEST_FPERIOD_OVERRIDE=FQ","FILING_STATUS=MR","FA_ADJUSTED=GAAP","Sort=A","Dates=H","DateFormat=P","Fill=—","Direction=H","UseDPDF=Y")</f>
        <v>27.5137</v>
      </c>
      <c r="O23" s="14">
        <f>_xll.BDH("AMGN US Equity","SUSTAIN_GROWTH_RT","FQ4 2021","FQ4 2021","Currency=USD","Period=FQ","BEST_FPERIOD_OVERRIDE=FQ","FILING_STATUS=MR","FA_ADJUSTED=GAAP","Sort=A","Dates=H","DateFormat=P","Fill=—","Direction=H","UseDPDF=Y")</f>
        <v>34.636400000000002</v>
      </c>
      <c r="P23" s="14">
        <f>_xll.BDH("AMGN US Equity","SUSTAIN_GROWTH_RT","FQ1 2022","FQ1 2022","Currency=USD","Period=FQ","BEST_FPERIOD_OVERRIDE=FQ","FILING_STATUS=MR","FA_ADJUSTED=GAAP","Sort=A","Dates=H","DateFormat=P","Fill=—","Direction=H","UseDPDF=Y")</f>
        <v>28.4467</v>
      </c>
      <c r="Q23" s="14">
        <f>_xll.BDH("AMGN US Equity","SUSTAIN_GROWTH_RT","FQ2 2022","FQ2 2022","Currency=USD","Period=FQ","BEST_FPERIOD_OVERRIDE=FQ","FILING_STATUS=MR","FA_ADJUSTED=GAAP","Sort=A","Dates=H","DateFormat=P","Fill=—","Direction=H","UseDPDF=Y")</f>
        <v>26.1221</v>
      </c>
      <c r="R23" s="14">
        <f>_xll.BDH("AMGN US Equity","SUSTAIN_GROWTH_RT","FQ3 2022","FQ3 2022","Currency=USD","Period=FQ","BEST_FPERIOD_OVERRIDE=FQ","FILING_STATUS=MR","FA_ADJUSTED=GAAP","Sort=A","Dates=H","DateFormat=P","Fill=—","Direction=H","UseDPDF=Y")</f>
        <v>59.387799999999999</v>
      </c>
      <c r="S23" s="14">
        <f>_xll.BDH("AMGN US Equity","SUSTAIN_GROWTH_RT","FQ4 2022","FQ4 2022","Currency=USD","Period=FQ","BEST_FPERIOD_OVERRIDE=FQ","FILING_STATUS=MR","FA_ADJUSTED=GAAP","Sort=A","Dates=H","DateFormat=P","Fill=—","Direction=H","UseDPDF=Y")</f>
        <v>48.210500000000003</v>
      </c>
      <c r="T23" s="14">
        <f>_xll.BDH("AMGN US Equity","SUSTAIN_GROWTH_RT","FQ1 2023","FQ1 2023","Currency=USD","Period=FQ","BEST_FPERIOD_OVERRIDE=FQ","FILING_STATUS=MR","FA_ADJUSTED=GAAP","Sort=A","Dates=H","DateFormat=P","Fill=—","Direction=H","UseDPDF=Y")</f>
        <v>154.90539999999999</v>
      </c>
      <c r="U23" s="14">
        <f>_xll.BDH("AMGN US Equity","SUSTAIN_GROWTH_RT","FQ2 2023","FQ2 2023","Currency=USD","Period=FQ","BEST_FPERIOD_OVERRIDE=FQ","FILING_STATUS=MR","FA_ADJUSTED=GAAP","Sort=A","Dates=H","DateFormat=P","Fill=—","Direction=H","UseDPDF=Y")</f>
        <v>35.093800000000002</v>
      </c>
      <c r="V23" s="14">
        <f>_xll.BDH("AMGN US Equity","SUSTAIN_GROWTH_RT","FQ3 2023","FQ3 2023","Currency=USD","Period=FQ","BEST_FPERIOD_OVERRIDE=FQ","FILING_STATUS=MR","FA_ADJUSTED=GAAP","Sort=A","Dates=H","DateFormat=P","Fill=—","Direction=H","UseDPDF=Y")</f>
        <v>45.667700000000004</v>
      </c>
      <c r="W23" s="14">
        <f>_xll.BDH("AMGN US Equity","SUSTAIN_GROWTH_RT","FQ4 2023","FQ4 2023","Currency=USD","Period=FQ","BEST_FPERIOD_OVERRIDE=FQ","FILING_STATUS=MR","FA_ADJUSTED=GAAP","Sort=A","Dates=H","DateFormat=P","Fill=—","Direction=H","UseDPDF=Y")</f>
        <v>-58.955800000000004</v>
      </c>
      <c r="X23" s="14" t="str">
        <f>_xll.BDH("AMGN US Equity","SUSTAIN_GROWTH_RT","FQ1 2024","FQ1 2024","Currency=USD","Period=FQ","BEST_FPERIOD_OVERRIDE=FQ","FILING_STATUS=MR","FA_ADJUSTED=GAAP","Sort=A","Dates=H","DateFormat=P","Fill=—","Direction=H","UseDPDF=Y")</f>
        <v>—</v>
      </c>
      <c r="Y23" s="14">
        <f>_xll.BDH("AMGN US Equity","SUSTAIN_GROWTH_RT","FQ2 2024","FQ2 2024","Currency=USD","Period=FQ","BEST_FPERIOD_OVERRIDE=FQ","FILING_STATUS=MR","FA_ADJUSTED=GAAP","Sort=A","Dates=H","DateFormat=P","Fill=—","Direction=H","UseDPDF=Y")</f>
        <v>-29.983499999999999</v>
      </c>
      <c r="Z23" s="14">
        <f>_xll.BDH("AMGN US Equity","SUSTAIN_GROWTH_RT","FQ3 2024","FQ3 2024","Currency=USD","Period=FQ","BEST_FPERIOD_OVERRIDE=FQ","FILING_STATUS=MR","FA_ADJUSTED=GAAP","Sort=A","Dates=H","DateFormat=P","Fill=—","Direction=H","UseDPDF=Y")</f>
        <v>32.093299999999999</v>
      </c>
      <c r="AA23" s="14">
        <f>_xll.BDH("AMGN US Equity","SUSTAIN_GROWTH_RT","FQ4 2024","FQ4 2024","Currency=USD","Period=FQ","BEST_FPERIOD_OVERRIDE=FQ","FILING_STATUS=MR","FA_ADJUSTED=GAAP","Sort=A","Dates=H","DateFormat=P","Fill=—","Direction=H","UseDPDF=Y")</f>
        <v>-61.735100000000003</v>
      </c>
    </row>
    <row r="24" spans="1:27" x14ac:dyDescent="0.25">
      <c r="A24" s="7" t="s">
        <v>90</v>
      </c>
      <c r="B24" s="7"/>
      <c r="C24" s="7" t="s">
        <v>5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4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129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31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</row>
    <row r="6" spans="1:27" x14ac:dyDescent="0.25">
      <c r="A6" s="6" t="s">
        <v>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130</v>
      </c>
      <c r="B7" s="10" t="s">
        <v>131</v>
      </c>
      <c r="C7" s="13">
        <f>_xll.BDH("AMGN US Equity","BEST_SALES","FQ2 2019","FQ2 2019","Currency=USD","Period=FQ","BEST_FPERIOD_OVERRIDE=FQ","FILING_STATUS=MR","Sort=A","Dates=H","DateFormat=P","Fill=—","Direction=H","UseDPDF=Y")</f>
        <v>5677.1760000000004</v>
      </c>
      <c r="D7" s="13">
        <f>_xll.BDH("AMGN US Equity","BEST_SALES","FQ3 2019","FQ3 2019","Currency=USD","Period=FQ","BEST_FPERIOD_OVERRIDE=FQ","FILING_STATUS=MR","Sort=A","Dates=H","DateFormat=P","Fill=—","Direction=H","UseDPDF=Y")</f>
        <v>5631</v>
      </c>
      <c r="E7" s="13">
        <f>_xll.BDH("AMGN US Equity","BEST_SALES","FQ4 2019","FQ4 2019","Currency=USD","Period=FQ","BEST_FPERIOD_OVERRIDE=FQ","FILING_STATUS=MR","Sort=A","Dates=H","DateFormat=P","Fill=—","Direction=H","UseDPDF=Y")</f>
        <v>6018.7060000000001</v>
      </c>
      <c r="F7" s="13">
        <f>_xll.BDH("AMGN US Equity","BEST_SALES","FQ1 2020","FQ1 2020","Currency=USD","Period=FQ","BEST_FPERIOD_OVERRIDE=FQ","FILING_STATUS=MR","Sort=A","Dates=H","DateFormat=P","Fill=—","Direction=H","UseDPDF=Y")</f>
        <v>6037.6840000000002</v>
      </c>
      <c r="G7" s="13">
        <f>_xll.BDH("AMGN US Equity","BEST_SALES","FQ2 2020","FQ2 2020","Currency=USD","Period=FQ","BEST_FPERIOD_OVERRIDE=FQ","FILING_STATUS=MR","Sort=A","Dates=H","DateFormat=P","Fill=—","Direction=H","UseDPDF=Y")</f>
        <v>6204.4350000000004</v>
      </c>
      <c r="H7" s="13">
        <f>_xll.BDH("AMGN US Equity","BEST_SALES","FQ3 2020","FQ3 2020","Currency=USD","Period=FQ","BEST_FPERIOD_OVERRIDE=FQ","FILING_STATUS=MR","Sort=A","Dates=H","DateFormat=P","Fill=—","Direction=H","UseDPDF=Y")</f>
        <v>6367.4170000000004</v>
      </c>
      <c r="I7" s="13">
        <f>_xll.BDH("AMGN US Equity","BEST_SALES","FQ4 2020","FQ4 2020","Currency=USD","Period=FQ","BEST_FPERIOD_OVERRIDE=FQ","FILING_STATUS=MR","Sort=A","Dates=H","DateFormat=P","Fill=—","Direction=H","UseDPDF=Y")</f>
        <v>6550.9579999999996</v>
      </c>
      <c r="J7" s="13">
        <f>_xll.BDH("AMGN US Equity","BEST_SALES","FQ1 2021","FQ1 2021","Currency=USD","Period=FQ","BEST_FPERIOD_OVERRIDE=FQ","FILING_STATUS=MR","Sort=A","Dates=H","DateFormat=P","Fill=—","Direction=H","UseDPDF=Y")</f>
        <v>6243.81</v>
      </c>
      <c r="K7" s="13">
        <f>_xll.BDH("AMGN US Equity","BEST_SALES","FQ2 2021","FQ2 2021","Currency=USD","Period=FQ","BEST_FPERIOD_OVERRIDE=FQ","FILING_STATUS=MR","Sort=A","Dates=H","DateFormat=P","Fill=—","Direction=H","UseDPDF=Y")</f>
        <v>6447.7269999999999</v>
      </c>
      <c r="L7" s="13">
        <f>_xll.BDH("AMGN US Equity","BEST_SALES","FQ3 2021","FQ3 2021","Currency=USD","Period=FQ","BEST_FPERIOD_OVERRIDE=FQ","FILING_STATUS=MR","Sort=A","Dates=H","DateFormat=P","Fill=—","Direction=H","UseDPDF=Y")</f>
        <v>6685.3329999999996</v>
      </c>
      <c r="M7" s="13">
        <f>_xll.BDH("AMGN US Equity","BEST_SALES","FQ4 2021","FQ4 2021","Currency=USD","Period=FQ","BEST_FPERIOD_OVERRIDE=FQ","FILING_STATUS=MR","Sort=A","Dates=H","DateFormat=P","Fill=—","Direction=H","UseDPDF=Y")</f>
        <v>6862.4759999999997</v>
      </c>
      <c r="N7" s="13">
        <f>_xll.BDH("AMGN US Equity","BEST_SALES","FQ1 2022","FQ1 2022","Currency=USD","Period=FQ","BEST_FPERIOD_OVERRIDE=FQ","FILING_STATUS=MR","Sort=A","Dates=H","DateFormat=P","Fill=—","Direction=H","UseDPDF=Y")</f>
        <v>6095.7269999999999</v>
      </c>
      <c r="O7" s="13">
        <f>_xll.BDH("AMGN US Equity","BEST_SALES","FQ2 2022","FQ2 2022","Currency=USD","Period=FQ","BEST_FPERIOD_OVERRIDE=FQ","FILING_STATUS=MR","Sort=A","Dates=H","DateFormat=P","Fill=—","Direction=H","UseDPDF=Y")</f>
        <v>6530.3909999999996</v>
      </c>
      <c r="P7" s="13">
        <f>_xll.BDH("AMGN US Equity","BEST_SALES","FQ3 2022","FQ3 2022","Currency=USD","Period=FQ","BEST_FPERIOD_OVERRIDE=FQ","FILING_STATUS=MR","Sort=A","Dates=H","DateFormat=P","Fill=—","Direction=H","UseDPDF=Y")</f>
        <v>6563.6959999999999</v>
      </c>
      <c r="Q7" s="13">
        <f>_xll.BDH("AMGN US Equity","BEST_SALES","FQ4 2022","FQ4 2022","Currency=USD","Period=FQ","BEST_FPERIOD_OVERRIDE=FQ","FILING_STATUS=MR","Sort=A","Dates=H","DateFormat=P","Fill=—","Direction=H","UseDPDF=Y")</f>
        <v>6761.4089999999997</v>
      </c>
      <c r="R7" s="13">
        <f>_xll.BDH("AMGN US Equity","BEST_SALES","FQ1 2023","FQ1 2023","Currency=USD","Period=FQ","BEST_FPERIOD_OVERRIDE=FQ","FILING_STATUS=MR","Sort=A","Dates=H","DateFormat=P","Fill=—","Direction=H","UseDPDF=Y")</f>
        <v>6137.5709999999999</v>
      </c>
      <c r="S7" s="13">
        <f>_xll.BDH("AMGN US Equity","BEST_SALES","FQ2 2023","FQ2 2023","Currency=USD","Period=FQ","BEST_FPERIOD_OVERRIDE=FQ","FILING_STATUS=MR","Sort=A","Dates=H","DateFormat=P","Fill=—","Direction=H","UseDPDF=Y")</f>
        <v>6675.19</v>
      </c>
      <c r="T7" s="13">
        <f>_xll.BDH("AMGN US Equity","BEST_SALES","FQ3 2023","FQ3 2023","Currency=USD","Period=FQ","BEST_FPERIOD_OVERRIDE=FQ","FILING_STATUS=MR","Sort=A","Dates=H","DateFormat=P","Fill=—","Direction=H","UseDPDF=Y")</f>
        <v>6930.9549999999999</v>
      </c>
      <c r="U7" s="13">
        <f>_xll.BDH("AMGN US Equity","BEST_SALES","FQ4 2023","FQ4 2023","Currency=USD","Period=FQ","BEST_FPERIOD_OVERRIDE=FQ","FILING_STATUS=MR","Sort=A","Dates=H","DateFormat=P","Fill=—","Direction=H","UseDPDF=Y")</f>
        <v>8118.5910000000003</v>
      </c>
      <c r="V7" s="13">
        <f>_xll.BDH("AMGN US Equity","BEST_SALES","FQ1 2024","FQ1 2024","Currency=USD","Period=FQ","BEST_FPERIOD_OVERRIDE=FQ","FILING_STATUS=MR","Sort=A","Dates=H","DateFormat=P","Fill=—","Direction=H","UseDPDF=Y")</f>
        <v>7427.5709999999999</v>
      </c>
      <c r="W7" s="13">
        <f>_xll.BDH("AMGN US Equity","BEST_SALES","FQ2 2024","FQ2 2024","Currency=USD","Period=FQ","BEST_FPERIOD_OVERRIDE=FQ","FILING_STATUS=MR","Sort=A","Dates=H","DateFormat=P","Fill=—","Direction=H","UseDPDF=Y")</f>
        <v>8338.5</v>
      </c>
      <c r="X7" s="13">
        <f>_xll.BDH("AMGN US Equity","BEST_SALES","FQ3 2024","FQ3 2024","Currency=USD","Period=FQ","BEST_FPERIOD_OVERRIDE=FQ","FILING_STATUS=MR","Sort=A","Dates=H","DateFormat=P","Fill=—","Direction=H","UseDPDF=Y")</f>
        <v>8516.6669999999995</v>
      </c>
      <c r="Y7" s="13">
        <f>_xll.BDH("AMGN US Equity","BEST_SALES","FQ4 2024","FQ4 2024","Currency=USD","Period=FQ","BEST_FPERIOD_OVERRIDE=FQ","FILING_STATUS=MR","Sort=A","Dates=H","DateFormat=P","Fill=—","Direction=H","UseDPDF=Y")</f>
        <v>8881.9599999999991</v>
      </c>
      <c r="Z7" s="13">
        <v>8068.5829999999996</v>
      </c>
      <c r="AA7" s="13">
        <v>8866</v>
      </c>
    </row>
    <row r="8" spans="1:27" x14ac:dyDescent="0.25">
      <c r="A8" s="10" t="s">
        <v>132</v>
      </c>
      <c r="B8" s="10" t="s">
        <v>133</v>
      </c>
      <c r="C8" s="13">
        <f>_xll.BDH("AMGN US Equity","IS_COMP_SALES","FQ2 2019","FQ2 2019","Currency=USD","Period=FQ","BEST_FPERIOD_OVERRIDE=FQ","FILING_STATUS=MR","SCALING_FORMAT=MLN","Sort=A","Dates=H","DateFormat=P","Fill=—","Direction=H","UseDPDF=Y")</f>
        <v>5871</v>
      </c>
      <c r="D8" s="13">
        <f>_xll.BDH("AMGN US Equity","IS_COMP_SALES","FQ3 2019","FQ3 2019","Currency=USD","Period=FQ","BEST_FPERIOD_OVERRIDE=FQ","FILING_STATUS=MR","SCALING_FORMAT=MLN","Sort=A","Dates=H","DateFormat=P","Fill=—","Direction=H","UseDPDF=Y")</f>
        <v>5737</v>
      </c>
      <c r="E8" s="13">
        <f>_xll.BDH("AMGN US Equity","IS_COMP_SALES","FQ4 2019","FQ4 2019","Currency=USD","Period=FQ","BEST_FPERIOD_OVERRIDE=FQ","FILING_STATUS=MR","SCALING_FORMAT=MLN","Sort=A","Dates=H","DateFormat=P","Fill=—","Direction=H","UseDPDF=Y")</f>
        <v>6197</v>
      </c>
      <c r="F8" s="13">
        <f>_xll.BDH("AMGN US Equity","IS_COMP_SALES","FQ1 2020","FQ1 2020","Currency=USD","Period=FQ","BEST_FPERIOD_OVERRIDE=FQ","FILING_STATUS=MR","SCALING_FORMAT=MLN","Sort=A","Dates=H","DateFormat=P","Fill=—","Direction=H","UseDPDF=Y")</f>
        <v>6161</v>
      </c>
      <c r="G8" s="13">
        <f>_xll.BDH("AMGN US Equity","IS_COMP_SALES","FQ2 2020","FQ2 2020","Currency=USD","Period=FQ","BEST_FPERIOD_OVERRIDE=FQ","FILING_STATUS=MR","SCALING_FORMAT=MLN","Sort=A","Dates=H","DateFormat=P","Fill=—","Direction=H","UseDPDF=Y")</f>
        <v>6206</v>
      </c>
      <c r="H8" s="13">
        <f>_xll.BDH("AMGN US Equity","IS_COMP_SALES","FQ3 2020","FQ3 2020","Currency=USD","Period=FQ","BEST_FPERIOD_OVERRIDE=FQ","FILING_STATUS=MR","SCALING_FORMAT=MLN","Sort=A","Dates=H","DateFormat=P","Fill=—","Direction=H","UseDPDF=Y")</f>
        <v>6423</v>
      </c>
      <c r="I8" s="13">
        <f>_xll.BDH("AMGN US Equity","IS_COMP_SALES","FQ4 2020","FQ4 2020","Currency=USD","Period=FQ","BEST_FPERIOD_OVERRIDE=FQ","FILING_STATUS=MR","SCALING_FORMAT=MLN","Sort=A","Dates=H","DateFormat=P","Fill=—","Direction=H","UseDPDF=Y")</f>
        <v>6634</v>
      </c>
      <c r="J8" s="13">
        <f>_xll.BDH("AMGN US Equity","IS_COMP_SALES","FQ1 2021","FQ1 2021","Currency=USD","Period=FQ","BEST_FPERIOD_OVERRIDE=FQ","FILING_STATUS=MR","SCALING_FORMAT=MLN","Sort=A","Dates=H","DateFormat=P","Fill=—","Direction=H","UseDPDF=Y")</f>
        <v>5901</v>
      </c>
      <c r="K8" s="13">
        <f>_xll.BDH("AMGN US Equity","IS_COMP_SALES","FQ2 2021","FQ2 2021","Currency=USD","Period=FQ","BEST_FPERIOD_OVERRIDE=FQ","FILING_STATUS=MR","SCALING_FORMAT=MLN","Sort=A","Dates=H","DateFormat=P","Fill=—","Direction=H","UseDPDF=Y")</f>
        <v>6526</v>
      </c>
      <c r="L8" s="13">
        <f>_xll.BDH("AMGN US Equity","IS_COMP_SALES","FQ3 2021","FQ3 2021","Currency=USD","Period=FQ","BEST_FPERIOD_OVERRIDE=FQ","FILING_STATUS=MR","SCALING_FORMAT=MLN","Sort=A","Dates=H","DateFormat=P","Fill=—","Direction=H","UseDPDF=Y")</f>
        <v>6706</v>
      </c>
      <c r="M8" s="13">
        <f>_xll.BDH("AMGN US Equity","IS_COMP_SALES","FQ4 2021","FQ4 2021","Currency=USD","Period=FQ","BEST_FPERIOD_OVERRIDE=FQ","FILING_STATUS=MR","SCALING_FORMAT=MLN","Sort=A","Dates=H","DateFormat=P","Fill=—","Direction=H","UseDPDF=Y")</f>
        <v>6846</v>
      </c>
      <c r="N8" s="13">
        <f>_xll.BDH("AMGN US Equity","IS_COMP_SALES","FQ1 2022","FQ1 2022","Currency=USD","Period=FQ","BEST_FPERIOD_OVERRIDE=FQ","FILING_STATUS=MR","SCALING_FORMAT=MLN","Sort=A","Dates=H","DateFormat=P","Fill=—","Direction=H","UseDPDF=Y")</f>
        <v>6238</v>
      </c>
      <c r="O8" s="13">
        <f>_xll.BDH("AMGN US Equity","IS_COMP_SALES","FQ2 2022","FQ2 2022","Currency=USD","Period=FQ","BEST_FPERIOD_OVERRIDE=FQ","FILING_STATUS=MR","SCALING_FORMAT=MLN","Sort=A","Dates=H","DateFormat=P","Fill=—","Direction=H","UseDPDF=Y")</f>
        <v>6594</v>
      </c>
      <c r="P8" s="13">
        <f>_xll.BDH("AMGN US Equity","IS_COMP_SALES","FQ3 2022","FQ3 2022","Currency=USD","Period=FQ","BEST_FPERIOD_OVERRIDE=FQ","FILING_STATUS=MR","SCALING_FORMAT=MLN","Sort=A","Dates=H","DateFormat=P","Fill=—","Direction=H","UseDPDF=Y")</f>
        <v>6652</v>
      </c>
      <c r="Q8" s="13">
        <f>_xll.BDH("AMGN US Equity","IS_COMP_SALES","FQ4 2022","FQ4 2022","Currency=USD","Period=FQ","BEST_FPERIOD_OVERRIDE=FQ","FILING_STATUS=MR","SCALING_FORMAT=MLN","Sort=A","Dates=H","DateFormat=P","Fill=—","Direction=H","UseDPDF=Y")</f>
        <v>6839</v>
      </c>
      <c r="R8" s="13">
        <f>_xll.BDH("AMGN US Equity","IS_COMP_SALES","FQ1 2023","FQ1 2023","Currency=USD","Period=FQ","BEST_FPERIOD_OVERRIDE=FQ","FILING_STATUS=MR","SCALING_FORMAT=MLN","Sort=A","Dates=H","DateFormat=P","Fill=—","Direction=H","UseDPDF=Y")</f>
        <v>6105</v>
      </c>
      <c r="S8" s="13">
        <f>_xll.BDH("AMGN US Equity","IS_COMP_SALES","FQ2 2023","FQ2 2023","Currency=USD","Period=FQ","BEST_FPERIOD_OVERRIDE=FQ","FILING_STATUS=MR","SCALING_FORMAT=MLN","Sort=A","Dates=H","DateFormat=P","Fill=—","Direction=H","UseDPDF=Y")</f>
        <v>6986</v>
      </c>
      <c r="T8" s="13">
        <f>_xll.BDH("AMGN US Equity","IS_COMP_SALES","FQ3 2023","FQ3 2023","Currency=USD","Period=FQ","BEST_FPERIOD_OVERRIDE=FQ","FILING_STATUS=MR","SCALING_FORMAT=MLN","Sort=A","Dates=H","DateFormat=P","Fill=—","Direction=H","UseDPDF=Y")</f>
        <v>6903</v>
      </c>
      <c r="U8" s="13">
        <f>_xll.BDH("AMGN US Equity","IS_COMP_SALES","FQ4 2023","FQ4 2023","Currency=USD","Period=FQ","BEST_FPERIOD_OVERRIDE=FQ","FILING_STATUS=MR","SCALING_FORMAT=MLN","Sort=A","Dates=H","DateFormat=P","Fill=—","Direction=H","UseDPDF=Y")</f>
        <v>8196</v>
      </c>
      <c r="V8" s="13">
        <f>_xll.BDH("AMGN US Equity","IS_COMP_SALES","FQ1 2024","FQ1 2024","Currency=USD","Period=FQ","BEST_FPERIOD_OVERRIDE=FQ","FILING_STATUS=MR","SCALING_FORMAT=MLN","Sort=A","Dates=H","DateFormat=P","Fill=—","Direction=H","UseDPDF=Y")</f>
        <v>7447</v>
      </c>
      <c r="W8" s="13">
        <f>_xll.BDH("AMGN US Equity","IS_COMP_SALES","FQ2 2024","FQ2 2024","Currency=USD","Period=FQ","BEST_FPERIOD_OVERRIDE=FQ","FILING_STATUS=MR","SCALING_FORMAT=MLN","Sort=A","Dates=H","DateFormat=P","Fill=—","Direction=H","UseDPDF=Y")</f>
        <v>8388</v>
      </c>
      <c r="X8" s="13">
        <f>_xll.BDH("AMGN US Equity","IS_COMP_SALES","FQ3 2024","FQ3 2024","Currency=USD","Period=FQ","BEST_FPERIOD_OVERRIDE=FQ","FILING_STATUS=MR","SCALING_FORMAT=MLN","Sort=A","Dates=H","DateFormat=P","Fill=—","Direction=H","UseDPDF=Y")</f>
        <v>8503</v>
      </c>
      <c r="Y8" s="13">
        <f>_xll.BDH("AMGN US Equity","IS_COMP_SALES","FQ4 2024","FQ4 2024","Currency=USD","Period=FQ","BEST_FPERIOD_OVERRIDE=FQ","FILING_STATUS=MR","SCALING_FORMAT=MLN","Sort=A","Dates=H","DateFormat=P","Fill=—","Direction=H","UseDPDF=Y")</f>
        <v>9086</v>
      </c>
      <c r="Z8" s="13"/>
      <c r="AA8" s="13"/>
    </row>
    <row r="9" spans="1:27" x14ac:dyDescent="0.25">
      <c r="A9" s="11" t="s">
        <v>134</v>
      </c>
      <c r="B9" s="11"/>
      <c r="C9" s="25">
        <v>3.4140917949346599</v>
      </c>
      <c r="D9" s="25">
        <v>1.8824365121647999</v>
      </c>
      <c r="E9" s="25">
        <v>2.9623311057227202</v>
      </c>
      <c r="F9" s="25">
        <v>2.0424387894431</v>
      </c>
      <c r="G9" s="25">
        <v>2.5223892264156202E-2</v>
      </c>
      <c r="H9" s="25">
        <v>0.87292853601389098</v>
      </c>
      <c r="I9" s="25">
        <v>1.26763139070653</v>
      </c>
      <c r="J9" s="25">
        <v>-5.4903976898720597</v>
      </c>
      <c r="K9" s="25">
        <v>1.2139626879363901</v>
      </c>
      <c r="L9" s="25">
        <v>0.30913942506678999</v>
      </c>
      <c r="M9" s="25">
        <v>-0.24008827134695501</v>
      </c>
      <c r="N9" s="25">
        <v>2.3339791955906199</v>
      </c>
      <c r="O9" s="25">
        <v>0.97404581134575796</v>
      </c>
      <c r="P9" s="25">
        <v>1.34533957697005</v>
      </c>
      <c r="Q9" s="25">
        <v>1.14755667051055</v>
      </c>
      <c r="R9" s="25">
        <v>-0.53068225198535202</v>
      </c>
      <c r="S9" s="25">
        <v>4.65619705206894</v>
      </c>
      <c r="T9" s="25">
        <v>-0.40333547108587398</v>
      </c>
      <c r="U9" s="25">
        <v>0.95347825749566195</v>
      </c>
      <c r="V9" s="25">
        <v>0.26157945847976499</v>
      </c>
      <c r="W9" s="25">
        <v>0.59363194819212095</v>
      </c>
      <c r="X9" s="25">
        <v>-0.160473574932535</v>
      </c>
      <c r="Y9" s="25">
        <v>2.2972406991249801</v>
      </c>
      <c r="Z9" s="25"/>
      <c r="AA9" s="25"/>
    </row>
    <row r="10" spans="1:27" x14ac:dyDescent="0.25">
      <c r="A10" s="10" t="s">
        <v>135</v>
      </c>
      <c r="B10" s="10" t="s">
        <v>71</v>
      </c>
      <c r="C10" s="13">
        <f>_xll.BDH("AMGN US Equity","SALES_REV_TURN","FQ2 2019","FQ2 2019","Currency=USD","Period=FQ","BEST_FPERIOD_OVERRIDE=FQ","FILING_STATUS=MR","SCALING_FORMAT=MLN","FA_ADJUSTED=GAAP","Sort=A","Dates=H","DateFormat=P","Fill=—","Direction=H","UseDPDF=Y")</f>
        <v>5871</v>
      </c>
      <c r="D10" s="13">
        <f>_xll.BDH("AMGN US Equity","SALES_REV_TURN","FQ3 2019","FQ3 2019","Currency=USD","Period=FQ","BEST_FPERIOD_OVERRIDE=FQ","FILING_STATUS=MR","SCALING_FORMAT=MLN","FA_ADJUSTED=GAAP","Sort=A","Dates=H","DateFormat=P","Fill=—","Direction=H","UseDPDF=Y")</f>
        <v>5737</v>
      </c>
      <c r="E10" s="13">
        <f>_xll.BDH("AMGN US Equity","SALES_REV_TURN","FQ4 2019","FQ4 2019","Currency=USD","Period=FQ","BEST_FPERIOD_OVERRIDE=FQ","FILING_STATUS=MR","SCALING_FORMAT=MLN","FA_ADJUSTED=GAAP","Sort=A","Dates=H","DateFormat=P","Fill=—","Direction=H","UseDPDF=Y")</f>
        <v>6197</v>
      </c>
      <c r="F10" s="13">
        <f>_xll.BDH("AMGN US Equity","SALES_REV_TURN","FQ1 2020","FQ1 2020","Currency=USD","Period=FQ","BEST_FPERIOD_OVERRIDE=FQ","FILING_STATUS=MR","SCALING_FORMAT=MLN","FA_ADJUSTED=GAAP","Sort=A","Dates=H","DateFormat=P","Fill=—","Direction=H","UseDPDF=Y")</f>
        <v>6161</v>
      </c>
      <c r="G10" s="13">
        <f>_xll.BDH("AMGN US Equity","SALES_REV_TURN","FQ2 2020","FQ2 2020","Currency=USD","Period=FQ","BEST_FPERIOD_OVERRIDE=FQ","FILING_STATUS=MR","SCALING_FORMAT=MLN","FA_ADJUSTED=GAAP","Sort=A","Dates=H","DateFormat=P","Fill=—","Direction=H","UseDPDF=Y")</f>
        <v>6206</v>
      </c>
      <c r="H10" s="13">
        <f>_xll.BDH("AMGN US Equity","SALES_REV_TURN","FQ3 2020","FQ3 2020","Currency=USD","Period=FQ","BEST_FPERIOD_OVERRIDE=FQ","FILING_STATUS=MR","SCALING_FORMAT=MLN","FA_ADJUSTED=GAAP","Sort=A","Dates=H","DateFormat=P","Fill=—","Direction=H","UseDPDF=Y")</f>
        <v>6423</v>
      </c>
      <c r="I10" s="13">
        <f>_xll.BDH("AMGN US Equity","SALES_REV_TURN","FQ4 2020","FQ4 2020","Currency=USD","Period=FQ","BEST_FPERIOD_OVERRIDE=FQ","FILING_STATUS=MR","SCALING_FORMAT=MLN","FA_ADJUSTED=GAAP","Sort=A","Dates=H","DateFormat=P","Fill=—","Direction=H","UseDPDF=Y")</f>
        <v>6634</v>
      </c>
      <c r="J10" s="13">
        <f>_xll.BDH("AMGN US Equity","SALES_REV_TURN","FQ1 2021","FQ1 2021","Currency=USD","Period=FQ","BEST_FPERIOD_OVERRIDE=FQ","FILING_STATUS=MR","SCALING_FORMAT=MLN","FA_ADJUSTED=GAAP","Sort=A","Dates=H","DateFormat=P","Fill=—","Direction=H","UseDPDF=Y")</f>
        <v>5901</v>
      </c>
      <c r="K10" s="13">
        <f>_xll.BDH("AMGN US Equity","SALES_REV_TURN","FQ2 2021","FQ2 2021","Currency=USD","Period=FQ","BEST_FPERIOD_OVERRIDE=FQ","FILING_STATUS=MR","SCALING_FORMAT=MLN","FA_ADJUSTED=GAAP","Sort=A","Dates=H","DateFormat=P","Fill=—","Direction=H","UseDPDF=Y")</f>
        <v>6526</v>
      </c>
      <c r="L10" s="13">
        <f>_xll.BDH("AMGN US Equity","SALES_REV_TURN","FQ3 2021","FQ3 2021","Currency=USD","Period=FQ","BEST_FPERIOD_OVERRIDE=FQ","FILING_STATUS=MR","SCALING_FORMAT=MLN","FA_ADJUSTED=GAAP","Sort=A","Dates=H","DateFormat=P","Fill=—","Direction=H","UseDPDF=Y")</f>
        <v>6706</v>
      </c>
      <c r="M10" s="13">
        <f>_xll.BDH("AMGN US Equity","SALES_REV_TURN","FQ4 2021","FQ4 2021","Currency=USD","Period=FQ","BEST_FPERIOD_OVERRIDE=FQ","FILING_STATUS=MR","SCALING_FORMAT=MLN","FA_ADJUSTED=GAAP","Sort=A","Dates=H","DateFormat=P","Fill=—","Direction=H","UseDPDF=Y")</f>
        <v>6846</v>
      </c>
      <c r="N10" s="13">
        <f>_xll.BDH("AMGN US Equity","SALES_REV_TURN","FQ1 2022","FQ1 2022","Currency=USD","Period=FQ","BEST_FPERIOD_OVERRIDE=FQ","FILING_STATUS=MR","SCALING_FORMAT=MLN","FA_ADJUSTED=GAAP","Sort=A","Dates=H","DateFormat=P","Fill=—","Direction=H","UseDPDF=Y")</f>
        <v>6238</v>
      </c>
      <c r="O10" s="13">
        <f>_xll.BDH("AMGN US Equity","SALES_REV_TURN","FQ2 2022","FQ2 2022","Currency=USD","Period=FQ","BEST_FPERIOD_OVERRIDE=FQ","FILING_STATUS=MR","SCALING_FORMAT=MLN","FA_ADJUSTED=GAAP","Sort=A","Dates=H","DateFormat=P","Fill=—","Direction=H","UseDPDF=Y")</f>
        <v>6594</v>
      </c>
      <c r="P10" s="13">
        <f>_xll.BDH("AMGN US Equity","SALES_REV_TURN","FQ3 2022","FQ3 2022","Currency=USD","Period=FQ","BEST_FPERIOD_OVERRIDE=FQ","FILING_STATUS=MR","SCALING_FORMAT=MLN","FA_ADJUSTED=GAAP","Sort=A","Dates=H","DateFormat=P","Fill=—","Direction=H","UseDPDF=Y")</f>
        <v>6652</v>
      </c>
      <c r="Q10" s="13">
        <f>_xll.BDH("AMGN US Equity","SALES_REV_TURN","FQ4 2022","FQ4 2022","Currency=USD","Period=FQ","BEST_FPERIOD_OVERRIDE=FQ","FILING_STATUS=MR","SCALING_FORMAT=MLN","FA_ADJUSTED=GAAP","Sort=A","Dates=H","DateFormat=P","Fill=—","Direction=H","UseDPDF=Y")</f>
        <v>6839</v>
      </c>
      <c r="R10" s="13">
        <f>_xll.BDH("AMGN US Equity","SALES_REV_TURN","FQ1 2023","FQ1 2023","Currency=USD","Period=FQ","BEST_FPERIOD_OVERRIDE=FQ","FILING_STATUS=MR","SCALING_FORMAT=MLN","FA_ADJUSTED=GAAP","Sort=A","Dates=H","DateFormat=P","Fill=—","Direction=H","UseDPDF=Y")</f>
        <v>6105</v>
      </c>
      <c r="S10" s="13">
        <f>_xll.BDH("AMGN US Equity","SALES_REV_TURN","FQ2 2023","FQ2 2023","Currency=USD","Period=FQ","BEST_FPERIOD_OVERRIDE=FQ","FILING_STATUS=MR","SCALING_FORMAT=MLN","FA_ADJUSTED=GAAP","Sort=A","Dates=H","DateFormat=P","Fill=—","Direction=H","UseDPDF=Y")</f>
        <v>6986</v>
      </c>
      <c r="T10" s="13">
        <f>_xll.BDH("AMGN US Equity","SALES_REV_TURN","FQ3 2023","FQ3 2023","Currency=USD","Period=FQ","BEST_FPERIOD_OVERRIDE=FQ","FILING_STATUS=MR","SCALING_FORMAT=MLN","FA_ADJUSTED=GAAP","Sort=A","Dates=H","DateFormat=P","Fill=—","Direction=H","UseDPDF=Y")</f>
        <v>6903</v>
      </c>
      <c r="U10" s="13">
        <f>_xll.BDH("AMGN US Equity","SALES_REV_TURN","FQ4 2023","FQ4 2023","Currency=USD","Period=FQ","BEST_FPERIOD_OVERRIDE=FQ","FILING_STATUS=MR","SCALING_FORMAT=MLN","FA_ADJUSTED=GAAP","Sort=A","Dates=H","DateFormat=P","Fill=—","Direction=H","UseDPDF=Y")</f>
        <v>8196</v>
      </c>
      <c r="V10" s="13">
        <f>_xll.BDH("AMGN US Equity","SALES_REV_TURN","FQ1 2024","FQ1 2024","Currency=USD","Period=FQ","BEST_FPERIOD_OVERRIDE=FQ","FILING_STATUS=MR","SCALING_FORMAT=MLN","FA_ADJUSTED=GAAP","Sort=A","Dates=H","DateFormat=P","Fill=—","Direction=H","UseDPDF=Y")</f>
        <v>7447</v>
      </c>
      <c r="W10" s="13">
        <f>_xll.BDH("AMGN US Equity","SALES_REV_TURN","FQ2 2024","FQ2 2024","Currency=USD","Period=FQ","BEST_FPERIOD_OVERRIDE=FQ","FILING_STATUS=MR","SCALING_FORMAT=MLN","FA_ADJUSTED=GAAP","Sort=A","Dates=H","DateFormat=P","Fill=—","Direction=H","UseDPDF=Y")</f>
        <v>8388</v>
      </c>
      <c r="X10" s="13">
        <f>_xll.BDH("AMGN US Equity","SALES_REV_TURN","FQ3 2024","FQ3 2024","Currency=USD","Period=FQ","BEST_FPERIOD_OVERRIDE=FQ","FILING_STATUS=MR","SCALING_FORMAT=MLN","FA_ADJUSTED=GAAP","Sort=A","Dates=H","DateFormat=P","Fill=—","Direction=H","UseDPDF=Y")</f>
        <v>8503</v>
      </c>
      <c r="Y10" s="13">
        <f>_xll.BDH("AMGN US Equity","SALES_REV_TURN","FQ4 2024","FQ4 2024","Currency=USD","Period=FQ","BEST_FPERIOD_OVERRIDE=FQ","FILING_STATUS=MR","SCALING_FORMAT=MLN","FA_ADJUSTED=GAAP","Sort=A","Dates=H","DateFormat=P","Fill=—","Direction=H","UseDPDF=Y")</f>
        <v>9086</v>
      </c>
      <c r="Z10" s="13"/>
      <c r="AA10" s="13"/>
    </row>
    <row r="11" spans="1:27" x14ac:dyDescent="0.25">
      <c r="A11" s="10" t="s">
        <v>136</v>
      </c>
      <c r="B11" s="10" t="s">
        <v>71</v>
      </c>
      <c r="C11" s="13">
        <f>_xll.BDH("AMGN US Equity","SALES_REV_TURN","FQ2 2019","FQ2 2019","Currency=USD","Period=FQ","BEST_FPERIOD_OVERRIDE=FQ","FILING_STATUS=MR","SCALING_FORMAT=MLN","FA_ADJUSTED=Adjusted","Sort=A","Dates=H","DateFormat=P","Fill=—","Direction=H","UseDPDF=Y")</f>
        <v>5871</v>
      </c>
      <c r="D11" s="13">
        <f>_xll.BDH("AMGN US Equity","SALES_REV_TURN","FQ3 2019","FQ3 2019","Currency=USD","Period=FQ","BEST_FPERIOD_OVERRIDE=FQ","FILING_STATUS=MR","SCALING_FORMAT=MLN","FA_ADJUSTED=Adjusted","Sort=A","Dates=H","DateFormat=P","Fill=—","Direction=H","UseDPDF=Y")</f>
        <v>5737</v>
      </c>
      <c r="E11" s="13">
        <f>_xll.BDH("AMGN US Equity","SALES_REV_TURN","FQ4 2019","FQ4 2019","Currency=USD","Period=FQ","BEST_FPERIOD_OVERRIDE=FQ","FILING_STATUS=MR","SCALING_FORMAT=MLN","FA_ADJUSTED=Adjusted","Sort=A","Dates=H","DateFormat=P","Fill=—","Direction=H","UseDPDF=Y")</f>
        <v>6197</v>
      </c>
      <c r="F11" s="13">
        <f>_xll.BDH("AMGN US Equity","SALES_REV_TURN","FQ1 2020","FQ1 2020","Currency=USD","Period=FQ","BEST_FPERIOD_OVERRIDE=FQ","FILING_STATUS=MR","SCALING_FORMAT=MLN","FA_ADJUSTED=Adjusted","Sort=A","Dates=H","DateFormat=P","Fill=—","Direction=H","UseDPDF=Y")</f>
        <v>6161</v>
      </c>
      <c r="G11" s="13">
        <f>_xll.BDH("AMGN US Equity","SALES_REV_TURN","FQ2 2020","FQ2 2020","Currency=USD","Period=FQ","BEST_FPERIOD_OVERRIDE=FQ","FILING_STATUS=MR","SCALING_FORMAT=MLN","FA_ADJUSTED=Adjusted","Sort=A","Dates=H","DateFormat=P","Fill=—","Direction=H","UseDPDF=Y")</f>
        <v>6206</v>
      </c>
      <c r="H11" s="13">
        <f>_xll.BDH("AMGN US Equity","SALES_REV_TURN","FQ3 2020","FQ3 2020","Currency=USD","Period=FQ","BEST_FPERIOD_OVERRIDE=FQ","FILING_STATUS=MR","SCALING_FORMAT=MLN","FA_ADJUSTED=Adjusted","Sort=A","Dates=H","DateFormat=P","Fill=—","Direction=H","UseDPDF=Y")</f>
        <v>6423</v>
      </c>
      <c r="I11" s="13">
        <f>_xll.BDH("AMGN US Equity","SALES_REV_TURN","FQ4 2020","FQ4 2020","Currency=USD","Period=FQ","BEST_FPERIOD_OVERRIDE=FQ","FILING_STATUS=MR","SCALING_FORMAT=MLN","FA_ADJUSTED=Adjusted","Sort=A","Dates=H","DateFormat=P","Fill=—","Direction=H","UseDPDF=Y")</f>
        <v>6634</v>
      </c>
      <c r="J11" s="13">
        <f>_xll.BDH("AMGN US Equity","SALES_REV_TURN","FQ1 2021","FQ1 2021","Currency=USD","Period=FQ","BEST_FPERIOD_OVERRIDE=FQ","FILING_STATUS=MR","SCALING_FORMAT=MLN","FA_ADJUSTED=Adjusted","Sort=A","Dates=H","DateFormat=P","Fill=—","Direction=H","UseDPDF=Y")</f>
        <v>5901</v>
      </c>
      <c r="K11" s="13">
        <f>_xll.BDH("AMGN US Equity","SALES_REV_TURN","FQ2 2021","FQ2 2021","Currency=USD","Period=FQ","BEST_FPERIOD_OVERRIDE=FQ","FILING_STATUS=MR","SCALING_FORMAT=MLN","FA_ADJUSTED=Adjusted","Sort=A","Dates=H","DateFormat=P","Fill=—","Direction=H","UseDPDF=Y")</f>
        <v>6526</v>
      </c>
      <c r="L11" s="13">
        <f>_xll.BDH("AMGN US Equity","SALES_REV_TURN","FQ3 2021","FQ3 2021","Currency=USD","Period=FQ","BEST_FPERIOD_OVERRIDE=FQ","FILING_STATUS=MR","SCALING_FORMAT=MLN","FA_ADJUSTED=Adjusted","Sort=A","Dates=H","DateFormat=P","Fill=—","Direction=H","UseDPDF=Y")</f>
        <v>6706</v>
      </c>
      <c r="M11" s="13">
        <f>_xll.BDH("AMGN US Equity","SALES_REV_TURN","FQ4 2021","FQ4 2021","Currency=USD","Period=FQ","BEST_FPERIOD_OVERRIDE=FQ","FILING_STATUS=MR","SCALING_FORMAT=MLN","FA_ADJUSTED=Adjusted","Sort=A","Dates=H","DateFormat=P","Fill=—","Direction=H","UseDPDF=Y")</f>
        <v>6846</v>
      </c>
      <c r="N11" s="13">
        <f>_xll.BDH("AMGN US Equity","SALES_REV_TURN","FQ1 2022","FQ1 2022","Currency=USD","Period=FQ","BEST_FPERIOD_OVERRIDE=FQ","FILING_STATUS=MR","SCALING_FORMAT=MLN","FA_ADJUSTED=Adjusted","Sort=A","Dates=H","DateFormat=P","Fill=—","Direction=H","UseDPDF=Y")</f>
        <v>6238</v>
      </c>
      <c r="O11" s="13">
        <f>_xll.BDH("AMGN US Equity","SALES_REV_TURN","FQ2 2022","FQ2 2022","Currency=USD","Period=FQ","BEST_FPERIOD_OVERRIDE=FQ","FILING_STATUS=MR","SCALING_FORMAT=MLN","FA_ADJUSTED=Adjusted","Sort=A","Dates=H","DateFormat=P","Fill=—","Direction=H","UseDPDF=Y")</f>
        <v>6594</v>
      </c>
      <c r="P11" s="13">
        <f>_xll.BDH("AMGN US Equity","SALES_REV_TURN","FQ3 2022","FQ3 2022","Currency=USD","Period=FQ","BEST_FPERIOD_OVERRIDE=FQ","FILING_STATUS=MR","SCALING_FORMAT=MLN","FA_ADJUSTED=Adjusted","Sort=A","Dates=H","DateFormat=P","Fill=—","Direction=H","UseDPDF=Y")</f>
        <v>6652</v>
      </c>
      <c r="Q11" s="13">
        <f>_xll.BDH("AMGN US Equity","SALES_REV_TURN","FQ4 2022","FQ4 2022","Currency=USD","Period=FQ","BEST_FPERIOD_OVERRIDE=FQ","FILING_STATUS=MR","SCALING_FORMAT=MLN","FA_ADJUSTED=Adjusted","Sort=A","Dates=H","DateFormat=P","Fill=—","Direction=H","UseDPDF=Y")</f>
        <v>6839</v>
      </c>
      <c r="R11" s="13">
        <f>_xll.BDH("AMGN US Equity","SALES_REV_TURN","FQ1 2023","FQ1 2023","Currency=USD","Period=FQ","BEST_FPERIOD_OVERRIDE=FQ","FILING_STATUS=MR","SCALING_FORMAT=MLN","FA_ADJUSTED=Adjusted","Sort=A","Dates=H","DateFormat=P","Fill=—","Direction=H","UseDPDF=Y")</f>
        <v>6105</v>
      </c>
      <c r="S11" s="13">
        <f>_xll.BDH("AMGN US Equity","SALES_REV_TURN","FQ2 2023","FQ2 2023","Currency=USD","Period=FQ","BEST_FPERIOD_OVERRIDE=FQ","FILING_STATUS=MR","SCALING_FORMAT=MLN","FA_ADJUSTED=Adjusted","Sort=A","Dates=H","DateFormat=P","Fill=—","Direction=H","UseDPDF=Y")</f>
        <v>6986</v>
      </c>
      <c r="T11" s="13">
        <f>_xll.BDH("AMGN US Equity","SALES_REV_TURN","FQ3 2023","FQ3 2023","Currency=USD","Period=FQ","BEST_FPERIOD_OVERRIDE=FQ","FILING_STATUS=MR","SCALING_FORMAT=MLN","FA_ADJUSTED=Adjusted","Sort=A","Dates=H","DateFormat=P","Fill=—","Direction=H","UseDPDF=Y")</f>
        <v>6903</v>
      </c>
      <c r="U11" s="13">
        <f>_xll.BDH("AMGN US Equity","SALES_REV_TURN","FQ4 2023","FQ4 2023","Currency=USD","Period=FQ","BEST_FPERIOD_OVERRIDE=FQ","FILING_STATUS=MR","SCALING_FORMAT=MLN","FA_ADJUSTED=Adjusted","Sort=A","Dates=H","DateFormat=P","Fill=—","Direction=H","UseDPDF=Y")</f>
        <v>8196</v>
      </c>
      <c r="V11" s="13">
        <f>_xll.BDH("AMGN US Equity","SALES_REV_TURN","FQ1 2024","FQ1 2024","Currency=USD","Period=FQ","BEST_FPERIOD_OVERRIDE=FQ","FILING_STATUS=MR","SCALING_FORMAT=MLN","FA_ADJUSTED=Adjusted","Sort=A","Dates=H","DateFormat=P","Fill=—","Direction=H","UseDPDF=Y")</f>
        <v>7447</v>
      </c>
      <c r="W11" s="13">
        <f>_xll.BDH("AMGN US Equity","SALES_REV_TURN","FQ2 2024","FQ2 2024","Currency=USD","Period=FQ","BEST_FPERIOD_OVERRIDE=FQ","FILING_STATUS=MR","SCALING_FORMAT=MLN","FA_ADJUSTED=Adjusted","Sort=A","Dates=H","DateFormat=P","Fill=—","Direction=H","UseDPDF=Y")</f>
        <v>8388</v>
      </c>
      <c r="X11" s="13">
        <f>_xll.BDH("AMGN US Equity","SALES_REV_TURN","FQ3 2024","FQ3 2024","Currency=USD","Period=FQ","BEST_FPERIOD_OVERRIDE=FQ","FILING_STATUS=MR","SCALING_FORMAT=MLN","FA_ADJUSTED=Adjusted","Sort=A","Dates=H","DateFormat=P","Fill=—","Direction=H","UseDPDF=Y")</f>
        <v>8503</v>
      </c>
      <c r="Y11" s="13">
        <f>_xll.BDH("AMGN US Equity","SALES_REV_TURN","FQ4 2024","FQ4 2024","Currency=USD","Period=FQ","BEST_FPERIOD_OVERRIDE=FQ","FILING_STATUS=MR","SCALING_FORMAT=MLN","FA_ADJUSTED=Adjusted","Sort=A","Dates=H","DateFormat=P","Fill=—","Direction=H","UseDPDF=Y")</f>
        <v>9086</v>
      </c>
      <c r="Z11" s="13"/>
      <c r="AA11" s="13"/>
    </row>
    <row r="12" spans="1:27" x14ac:dyDescent="0.25">
      <c r="A12" s="1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25">
      <c r="A13" s="6" t="s">
        <v>137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 x14ac:dyDescent="0.25">
      <c r="A14" s="10" t="s">
        <v>130</v>
      </c>
      <c r="B14" s="10" t="s">
        <v>138</v>
      </c>
      <c r="C14" s="14">
        <f>_xll.BDH("AMGN US Equity","BEST_EPS","FQ2 2019","FQ2 2019","Currency=USD","Period=FQ","BEST_FPERIOD_OVERRIDE=FQ","FILING_STATUS=MR","Sort=A","Dates=H","DateFormat=P","Fill=—","Direction=H","UseDPDF=Y")</f>
        <v>3.5880000000000001</v>
      </c>
      <c r="D14" s="14">
        <f>_xll.BDH("AMGN US Equity","BEST_EPS","FQ3 2019","FQ3 2019","Currency=USD","Period=FQ","BEST_FPERIOD_OVERRIDE=FQ","FILING_STATUS=MR","Sort=A","Dates=H","DateFormat=P","Fill=—","Direction=H","UseDPDF=Y")</f>
        <v>3.5270000000000001</v>
      </c>
      <c r="E14" s="14">
        <f>_xll.BDH("AMGN US Equity","BEST_EPS","FQ4 2019","FQ4 2019","Currency=USD","Period=FQ","BEST_FPERIOD_OVERRIDE=FQ","FILING_STATUS=MR","Sort=A","Dates=H","DateFormat=P","Fill=—","Direction=H","UseDPDF=Y")</f>
        <v>3.3959999999999999</v>
      </c>
      <c r="F14" s="14">
        <f>_xll.BDH("AMGN US Equity","BEST_EPS","FQ1 2020","FQ1 2020","Currency=USD","Period=FQ","BEST_FPERIOD_OVERRIDE=FQ","FILING_STATUS=MR","Sort=A","Dates=H","DateFormat=P","Fill=—","Direction=H","UseDPDF=Y")</f>
        <v>3.8079999999999998</v>
      </c>
      <c r="G14" s="14">
        <f>_xll.BDH("AMGN US Equity","BEST_EPS","FQ2 2020","FQ2 2020","Currency=USD","Period=FQ","BEST_FPERIOD_OVERRIDE=FQ","FILING_STATUS=MR","Sort=A","Dates=H","DateFormat=P","Fill=—","Direction=H","UseDPDF=Y")</f>
        <v>3.79</v>
      </c>
      <c r="H14" s="14">
        <f>_xll.BDH("AMGN US Equity","BEST_EPS","FQ3 2020","FQ3 2020","Currency=USD","Period=FQ","BEST_FPERIOD_OVERRIDE=FQ","FILING_STATUS=MR","Sort=A","Dates=H","DateFormat=P","Fill=—","Direction=H","UseDPDF=Y")</f>
        <v>3.7869999999999999</v>
      </c>
      <c r="I14" s="14">
        <f>_xll.BDH("AMGN US Equity","BEST_EPS","FQ4 2020","FQ4 2020","Currency=USD","Period=FQ","BEST_FPERIOD_OVERRIDE=FQ","FILING_STATUS=MR","Sort=A","Dates=H","DateFormat=P","Fill=—","Direction=H","UseDPDF=Y")</f>
        <v>3.3380000000000001</v>
      </c>
      <c r="J14" s="14">
        <f>_xll.BDH("AMGN US Equity","BEST_EPS","FQ1 2021","FQ1 2021","Currency=USD","Period=FQ","BEST_FPERIOD_OVERRIDE=FQ","FILING_STATUS=MR","Sort=A","Dates=H","DateFormat=P","Fill=—","Direction=H","UseDPDF=Y")</f>
        <v>4.03</v>
      </c>
      <c r="K14" s="14">
        <f>_xll.BDH("AMGN US Equity","BEST_EPS","FQ2 2021","FQ2 2021","Currency=USD","Period=FQ","BEST_FPERIOD_OVERRIDE=FQ","FILING_STATUS=MR","Sort=A","Dates=H","DateFormat=P","Fill=—","Direction=H","UseDPDF=Y")</f>
        <v>4.0940000000000003</v>
      </c>
      <c r="L14" s="14">
        <f>_xll.BDH("AMGN US Equity","BEST_EPS","FQ3 2021","FQ3 2021","Currency=USD","Period=FQ","BEST_FPERIOD_OVERRIDE=FQ","FILING_STATUS=MR","Sort=A","Dates=H","DateFormat=P","Fill=—","Direction=H","UseDPDF=Y")</f>
        <v>4.2720000000000002</v>
      </c>
      <c r="M14" s="14">
        <f>_xll.BDH("AMGN US Equity","BEST_EPS","FQ4 2021","FQ4 2021","Currency=USD","Period=FQ","BEST_FPERIOD_OVERRIDE=FQ","FILING_STATUS=MR","Sort=A","Dates=H","DateFormat=P","Fill=—","Direction=H","UseDPDF=Y")</f>
        <v>4.07</v>
      </c>
      <c r="N14" s="14">
        <f>_xll.BDH("AMGN US Equity","BEST_EPS","FQ1 2022","FQ1 2022","Currency=USD","Period=FQ","BEST_FPERIOD_OVERRIDE=FQ","FILING_STATUS=MR","Sort=A","Dates=H","DateFormat=P","Fill=—","Direction=H","UseDPDF=Y")</f>
        <v>4.0919999999999996</v>
      </c>
      <c r="O14" s="14">
        <f>_xll.BDH("AMGN US Equity","BEST_EPS","FQ2 2022","FQ2 2022","Currency=USD","Period=FQ","BEST_FPERIOD_OVERRIDE=FQ","FILING_STATUS=MR","Sort=A","Dates=H","DateFormat=P","Fill=—","Direction=H","UseDPDF=Y")</f>
        <v>4.4269999999999996</v>
      </c>
      <c r="P14" s="14">
        <f>_xll.BDH("AMGN US Equity","BEST_EPS","FQ3 2022","FQ3 2022","Currency=USD","Period=FQ","BEST_FPERIOD_OVERRIDE=FQ","FILING_STATUS=MR","Sort=A","Dates=H","DateFormat=P","Fill=—","Direction=H","UseDPDF=Y")</f>
        <v>4.4409999999999998</v>
      </c>
      <c r="Q14" s="14">
        <f>_xll.BDH("AMGN US Equity","BEST_EPS","FQ4 2022","FQ4 2022","Currency=USD","Period=FQ","BEST_FPERIOD_OVERRIDE=FQ","FILING_STATUS=MR","Sort=A","Dates=H","DateFormat=P","Fill=—","Direction=H","UseDPDF=Y")</f>
        <v>4.0780000000000003</v>
      </c>
      <c r="R14" s="14">
        <f>_xll.BDH("AMGN US Equity","BEST_EPS","FQ1 2023","FQ1 2023","Currency=USD","Period=FQ","BEST_FPERIOD_OVERRIDE=FQ","FILING_STATUS=MR","Sort=A","Dates=H","DateFormat=P","Fill=—","Direction=H","UseDPDF=Y")</f>
        <v>3.843</v>
      </c>
      <c r="S14" s="14">
        <f>_xll.BDH("AMGN US Equity","BEST_EPS","FQ2 2023","FQ2 2023","Currency=USD","Period=FQ","BEST_FPERIOD_OVERRIDE=FQ","FILING_STATUS=MR","Sort=A","Dates=H","DateFormat=P","Fill=—","Direction=H","UseDPDF=Y")</f>
        <v>4.4829999999999997</v>
      </c>
      <c r="T14" s="14">
        <f>_xll.BDH("AMGN US Equity","BEST_EPS","FQ3 2023","FQ3 2023","Currency=USD","Period=FQ","BEST_FPERIOD_OVERRIDE=FQ","FILING_STATUS=MR","Sort=A","Dates=H","DateFormat=P","Fill=—","Direction=H","UseDPDF=Y")</f>
        <v>4.68</v>
      </c>
      <c r="U14" s="14">
        <f>_xll.BDH("AMGN US Equity","BEST_EPS","FQ4 2023","FQ4 2023","Currency=USD","Period=FQ","BEST_FPERIOD_OVERRIDE=FQ","FILING_STATUS=MR","Sort=A","Dates=H","DateFormat=P","Fill=—","Direction=H","UseDPDF=Y")</f>
        <v>4.5999999999999996</v>
      </c>
      <c r="V14" s="14">
        <f>_xll.BDH("AMGN US Equity","BEST_EPS","FQ1 2024","FQ1 2024","Currency=USD","Period=FQ","BEST_FPERIOD_OVERRIDE=FQ","FILING_STATUS=MR","Sort=A","Dates=H","DateFormat=P","Fill=—","Direction=H","UseDPDF=Y")</f>
        <v>3.94</v>
      </c>
      <c r="W14" s="14">
        <f>_xll.BDH("AMGN US Equity","BEST_EPS","FQ2 2024","FQ2 2024","Currency=USD","Period=FQ","BEST_FPERIOD_OVERRIDE=FQ","FILING_STATUS=MR","Sort=A","Dates=H","DateFormat=P","Fill=—","Direction=H","UseDPDF=Y")</f>
        <v>4.984</v>
      </c>
      <c r="X14" s="14">
        <f>_xll.BDH("AMGN US Equity","BEST_EPS","FQ3 2024","FQ3 2024","Currency=USD","Period=FQ","BEST_FPERIOD_OVERRIDE=FQ","FILING_STATUS=MR","Sort=A","Dates=H","DateFormat=P","Fill=—","Direction=H","UseDPDF=Y")</f>
        <v>5.0990000000000002</v>
      </c>
      <c r="Y14" s="14">
        <f>_xll.BDH("AMGN US Equity","BEST_EPS","FQ4 2024","FQ4 2024","Currency=USD","Period=FQ","BEST_FPERIOD_OVERRIDE=FQ","FILING_STATUS=MR","Sort=A","Dates=H","DateFormat=P","Fill=—","Direction=H","UseDPDF=Y")</f>
        <v>5.077</v>
      </c>
      <c r="Z14" s="14">
        <v>4.2480000000000002</v>
      </c>
      <c r="AA14" s="14">
        <v>5.3029999999999999</v>
      </c>
    </row>
    <row r="15" spans="1:27" x14ac:dyDescent="0.25">
      <c r="A15" s="10" t="s">
        <v>132</v>
      </c>
      <c r="B15" s="10" t="s">
        <v>139</v>
      </c>
      <c r="C15" s="14">
        <f>_xll.BDH("AMGN US Equity","IS_COMP_EPS_EXCL_STOCK_COMP","FQ2 2019","FQ2 2019","Currency=USD","Period=FQ","BEST_FPERIOD_OVERRIDE=FQ","FILING_STATUS=MR","Sort=A","Dates=H","DateFormat=P","Fill=—","Direction=H","UseDPDF=Y")</f>
        <v>3.97</v>
      </c>
      <c r="D15" s="14">
        <f>_xll.BDH("AMGN US Equity","IS_COMP_EPS_EXCL_STOCK_COMP","FQ3 2019","FQ3 2019","Currency=USD","Period=FQ","BEST_FPERIOD_OVERRIDE=FQ","FILING_STATUS=MR","Sort=A","Dates=H","DateFormat=P","Fill=—","Direction=H","UseDPDF=Y")</f>
        <v>3.66</v>
      </c>
      <c r="E15" s="14">
        <f>_xll.BDH("AMGN US Equity","IS_COMP_EPS_EXCL_STOCK_COMP","FQ4 2019","FQ4 2019","Currency=USD","Period=FQ","BEST_FPERIOD_OVERRIDE=FQ","FILING_STATUS=MR","Sort=A","Dates=H","DateFormat=P","Fill=—","Direction=H","UseDPDF=Y")</f>
        <v>3.64</v>
      </c>
      <c r="F15" s="14">
        <f>_xll.BDH("AMGN US Equity","IS_COMP_EPS_EXCL_STOCK_COMP","FQ1 2020","FQ1 2020","Currency=USD","Period=FQ","BEST_FPERIOD_OVERRIDE=FQ","FILING_STATUS=MR","Sort=A","Dates=H","DateFormat=P","Fill=—","Direction=H","UseDPDF=Y")</f>
        <v>4.17</v>
      </c>
      <c r="G15" s="14">
        <f>_xll.BDH("AMGN US Equity","IS_COMP_EPS_EXCL_STOCK_COMP","FQ2 2020","FQ2 2020","Currency=USD","Period=FQ","BEST_FPERIOD_OVERRIDE=FQ","FILING_STATUS=MR","Sort=A","Dates=H","DateFormat=P","Fill=—","Direction=H","UseDPDF=Y")</f>
        <v>4.25</v>
      </c>
      <c r="H15" s="14">
        <f>_xll.BDH("AMGN US Equity","IS_COMP_EPS_EXCL_STOCK_COMP","FQ3 2020","FQ3 2020","Currency=USD","Period=FQ","BEST_FPERIOD_OVERRIDE=FQ","FILING_STATUS=MR","Sort=A","Dates=H","DateFormat=P","Fill=—","Direction=H","UseDPDF=Y")</f>
        <v>4.37</v>
      </c>
      <c r="I15" s="14">
        <f>_xll.BDH("AMGN US Equity","IS_COMP_EPS_EXCL_STOCK_COMP","FQ4 2020","FQ4 2020","Currency=USD","Period=FQ","BEST_FPERIOD_OVERRIDE=FQ","FILING_STATUS=MR","Sort=A","Dates=H","DateFormat=P","Fill=—","Direction=H","UseDPDF=Y")</f>
        <v>3.81</v>
      </c>
      <c r="J15" s="14">
        <f>_xll.BDH("AMGN US Equity","IS_COMP_EPS_EXCL_STOCK_COMP","FQ1 2021","FQ1 2021","Currency=USD","Period=FQ","BEST_FPERIOD_OVERRIDE=FQ","FILING_STATUS=MR","Sort=A","Dates=H","DateFormat=P","Fill=—","Direction=H","UseDPDF=Y")</f>
        <v>3.7</v>
      </c>
      <c r="K15" s="14">
        <f>_xll.BDH("AMGN US Equity","IS_COMP_EPS_EXCL_STOCK_COMP","FQ2 2021","FQ2 2021","Currency=USD","Period=FQ","BEST_FPERIOD_OVERRIDE=FQ","FILING_STATUS=MR","Sort=A","Dates=H","DateFormat=P","Fill=—","Direction=H","UseDPDF=Y")</f>
        <v>4.38</v>
      </c>
      <c r="L15" s="14">
        <f>_xll.BDH("AMGN US Equity","IS_COMP_EPS_EXCL_STOCK_COMP","FQ3 2021","FQ3 2021","Currency=USD","Period=FQ","BEST_FPERIOD_OVERRIDE=FQ","FILING_STATUS=MR","Sort=A","Dates=H","DateFormat=P","Fill=—","Direction=H","UseDPDF=Y")</f>
        <v>4.67</v>
      </c>
      <c r="M15" s="14">
        <f>_xll.BDH("AMGN US Equity","IS_COMP_EPS_EXCL_STOCK_COMP","FQ4 2021","FQ4 2021","Currency=USD","Period=FQ","BEST_FPERIOD_OVERRIDE=FQ","FILING_STATUS=MR","Sort=A","Dates=H","DateFormat=P","Fill=—","Direction=H","UseDPDF=Y")</f>
        <v>4.3600000000000003</v>
      </c>
      <c r="N15" s="14">
        <f>_xll.BDH("AMGN US Equity","IS_COMP_EPS_EXCL_STOCK_COMP","FQ1 2022","FQ1 2022","Currency=USD","Period=FQ","BEST_FPERIOD_OVERRIDE=FQ","FILING_STATUS=MR","Sort=A","Dates=H","DateFormat=P","Fill=—","Direction=H","UseDPDF=Y")</f>
        <v>4.25</v>
      </c>
      <c r="O15" s="14">
        <f>_xll.BDH("AMGN US Equity","IS_COMP_EPS_EXCL_STOCK_COMP","FQ2 2022","FQ2 2022","Currency=USD","Period=FQ","BEST_FPERIOD_OVERRIDE=FQ","FILING_STATUS=MR","Sort=A","Dates=H","DateFormat=P","Fill=—","Direction=H","UseDPDF=Y")</f>
        <v>4.6500000000000004</v>
      </c>
      <c r="P15" s="14">
        <f>_xll.BDH("AMGN US Equity","IS_COMP_EPS_EXCL_STOCK_COMP","FQ3 2022","FQ3 2022","Currency=USD","Period=FQ","BEST_FPERIOD_OVERRIDE=FQ","FILING_STATUS=MR","Sort=A","Dates=H","DateFormat=P","Fill=—","Direction=H","UseDPDF=Y")</f>
        <v>4.7</v>
      </c>
      <c r="Q15" s="14">
        <f>_xll.BDH("AMGN US Equity","IS_COMP_EPS_EXCL_STOCK_COMP","FQ4 2022","FQ4 2022","Currency=USD","Period=FQ","BEST_FPERIOD_OVERRIDE=FQ","FILING_STATUS=MR","Sort=A","Dates=H","DateFormat=P","Fill=—","Direction=H","UseDPDF=Y")</f>
        <v>4.09</v>
      </c>
      <c r="R15" s="14">
        <f>_xll.BDH("AMGN US Equity","IS_COMP_EPS_EXCL_STOCK_COMP","FQ1 2023","FQ1 2023","Currency=USD","Period=FQ","BEST_FPERIOD_OVERRIDE=FQ","FILING_STATUS=MR","Sort=A","Dates=H","DateFormat=P","Fill=—","Direction=H","UseDPDF=Y")</f>
        <v>3.98</v>
      </c>
      <c r="S15" s="14">
        <f>_xll.BDH("AMGN US Equity","IS_COMP_EPS_EXCL_STOCK_COMP","FQ2 2023","FQ2 2023","Currency=USD","Period=FQ","BEST_FPERIOD_OVERRIDE=FQ","FILING_STATUS=MR","Sort=A","Dates=H","DateFormat=P","Fill=—","Direction=H","UseDPDF=Y")</f>
        <v>5</v>
      </c>
      <c r="T15" s="14">
        <f>_xll.BDH("AMGN US Equity","IS_COMP_EPS_EXCL_STOCK_COMP","FQ3 2023","FQ3 2023","Currency=USD","Period=FQ","BEST_FPERIOD_OVERRIDE=FQ","FILING_STATUS=MR","Sort=A","Dates=H","DateFormat=P","Fill=—","Direction=H","UseDPDF=Y")</f>
        <v>4.96</v>
      </c>
      <c r="U15" s="14">
        <f>_xll.BDH("AMGN US Equity","IS_COMP_EPS_EXCL_STOCK_COMP","FQ4 2023","FQ4 2023","Currency=USD","Period=FQ","BEST_FPERIOD_OVERRIDE=FQ","FILING_STATUS=MR","Sort=A","Dates=H","DateFormat=P","Fill=—","Direction=H","UseDPDF=Y")</f>
        <v>4.71</v>
      </c>
      <c r="V15" s="14">
        <f>_xll.BDH("AMGN US Equity","IS_COMP_EPS_EXCL_STOCK_COMP","FQ1 2024","FQ1 2024","Currency=USD","Period=FQ","BEST_FPERIOD_OVERRIDE=FQ","FILING_STATUS=MR","Sort=A","Dates=H","DateFormat=P","Fill=—","Direction=H","UseDPDF=Y")</f>
        <v>3.96</v>
      </c>
      <c r="W15" s="14">
        <f>_xll.BDH("AMGN US Equity","IS_COMP_EPS_EXCL_STOCK_COMP","FQ2 2024","FQ2 2024","Currency=USD","Period=FQ","BEST_FPERIOD_OVERRIDE=FQ","FILING_STATUS=MR","Sort=A","Dates=H","DateFormat=P","Fill=—","Direction=H","UseDPDF=Y")</f>
        <v>4.97</v>
      </c>
      <c r="X15" s="14">
        <f>_xll.BDH("AMGN US Equity","IS_COMP_EPS_EXCL_STOCK_COMP","FQ3 2024","FQ3 2024","Currency=USD","Period=FQ","BEST_FPERIOD_OVERRIDE=FQ","FILING_STATUS=MR","Sort=A","Dates=H","DateFormat=P","Fill=—","Direction=H","UseDPDF=Y")</f>
        <v>5.58</v>
      </c>
      <c r="Y15" s="14">
        <f>_xll.BDH("AMGN US Equity","IS_COMP_EPS_EXCL_STOCK_COMP","FQ4 2024","FQ4 2024","Currency=USD","Period=FQ","BEST_FPERIOD_OVERRIDE=FQ","FILING_STATUS=MR","Sort=A","Dates=H","DateFormat=P","Fill=—","Direction=H","UseDPDF=Y")</f>
        <v>5.31</v>
      </c>
      <c r="Z15" s="14"/>
      <c r="AA15" s="14"/>
    </row>
    <row r="16" spans="1:27" x14ac:dyDescent="0.25">
      <c r="A16" s="11" t="s">
        <v>140</v>
      </c>
      <c r="B16" s="11"/>
      <c r="C16" s="25">
        <v>10.6465997770346</v>
      </c>
      <c r="D16" s="25">
        <v>3.7709101219166401</v>
      </c>
      <c r="E16" s="25">
        <v>7.1849234393404098</v>
      </c>
      <c r="F16" s="25">
        <v>9.5063025210084096</v>
      </c>
      <c r="G16" s="25">
        <v>12.1372031662269</v>
      </c>
      <c r="H16" s="25">
        <v>15.394771587008201</v>
      </c>
      <c r="I16" s="25">
        <v>14.1402037147993</v>
      </c>
      <c r="J16" s="25">
        <v>-8.1885856079404498</v>
      </c>
      <c r="K16" s="25">
        <v>6.9858329262334999</v>
      </c>
      <c r="L16" s="25">
        <v>9.3164794007490599</v>
      </c>
      <c r="M16" s="25">
        <v>7.1253071253071303</v>
      </c>
      <c r="N16" s="25">
        <v>3.8611925708700001</v>
      </c>
      <c r="O16" s="25">
        <v>5.03727128981253</v>
      </c>
      <c r="P16" s="25">
        <v>5.8320198153569098</v>
      </c>
      <c r="Q16" s="25">
        <v>0.29426189308483502</v>
      </c>
      <c r="R16" s="25">
        <v>3.56492323705438</v>
      </c>
      <c r="S16" s="25">
        <v>11.532455944679899</v>
      </c>
      <c r="T16" s="25">
        <v>5.9829059829059901</v>
      </c>
      <c r="U16" s="25">
        <v>2.39130434782609</v>
      </c>
      <c r="V16" s="25">
        <v>0.50761421319796995</v>
      </c>
      <c r="W16" s="25">
        <v>-0.28089887640449901</v>
      </c>
      <c r="X16" s="25">
        <v>9.4332222004314499</v>
      </c>
      <c r="Y16" s="25">
        <v>4.5893244041756898</v>
      </c>
      <c r="Z16" s="25"/>
      <c r="AA16" s="25"/>
    </row>
    <row r="17" spans="1:27" x14ac:dyDescent="0.25">
      <c r="A17" s="10" t="s">
        <v>135</v>
      </c>
      <c r="B17" s="10" t="s">
        <v>104</v>
      </c>
      <c r="C17" s="14">
        <f>_xll.BDH("AMGN US Equity","IS_DILUTED_EPS","FQ2 2019","FQ2 2019","Currency=USD","Period=FQ","BEST_FPERIOD_OVERRIDE=FQ","FILING_STATUS=MR","FA_ADJUSTED=GAAP","Sort=A","Dates=H","DateFormat=P","Fill=—","Direction=H","UseDPDF=Y")</f>
        <v>3.57</v>
      </c>
      <c r="D17" s="14">
        <f>_xll.BDH("AMGN US Equity","IS_DILUTED_EPS","FQ3 2019","FQ3 2019","Currency=USD","Period=FQ","BEST_FPERIOD_OVERRIDE=FQ","FILING_STATUS=MR","FA_ADJUSTED=GAAP","Sort=A","Dates=H","DateFormat=P","Fill=—","Direction=H","UseDPDF=Y")</f>
        <v>3.27</v>
      </c>
      <c r="E17" s="14">
        <f>_xll.BDH("AMGN US Equity","IS_DILUTED_EPS","FQ4 2019","FQ4 2019","Currency=USD","Period=FQ","BEST_FPERIOD_OVERRIDE=FQ","FILING_STATUS=MR","FA_ADJUSTED=GAAP","Sort=A","Dates=H","DateFormat=P","Fill=—","Direction=H","UseDPDF=Y")</f>
        <v>2.85</v>
      </c>
      <c r="F17" s="14">
        <f>_xll.BDH("AMGN US Equity","IS_DILUTED_EPS","FQ1 2020","FQ1 2020","Currency=USD","Period=FQ","BEST_FPERIOD_OVERRIDE=FQ","FILING_STATUS=MR","FA_ADJUSTED=GAAP","Sort=A","Dates=H","DateFormat=P","Fill=—","Direction=H","UseDPDF=Y")</f>
        <v>3.07</v>
      </c>
      <c r="G17" s="14">
        <f>_xll.BDH("AMGN US Equity","IS_DILUTED_EPS","FQ2 2020","FQ2 2020","Currency=USD","Period=FQ","BEST_FPERIOD_OVERRIDE=FQ","FILING_STATUS=MR","FA_ADJUSTED=GAAP","Sort=A","Dates=H","DateFormat=P","Fill=—","Direction=H","UseDPDF=Y")</f>
        <v>3.05</v>
      </c>
      <c r="H17" s="14">
        <f>_xll.BDH("AMGN US Equity","IS_DILUTED_EPS","FQ3 2020","FQ3 2020","Currency=USD","Period=FQ","BEST_FPERIOD_OVERRIDE=FQ","FILING_STATUS=MR","FA_ADJUSTED=GAAP","Sort=A","Dates=H","DateFormat=P","Fill=—","Direction=H","UseDPDF=Y")</f>
        <v>3.43</v>
      </c>
      <c r="I17" s="14">
        <f>_xll.BDH("AMGN US Equity","IS_DILUTED_EPS","FQ4 2020","FQ4 2020","Currency=USD","Period=FQ","BEST_FPERIOD_OVERRIDE=FQ","FILING_STATUS=MR","FA_ADJUSTED=GAAP","Sort=A","Dates=H","DateFormat=P","Fill=—","Direction=H","UseDPDF=Y")</f>
        <v>2.76</v>
      </c>
      <c r="J17" s="14">
        <f>_xll.BDH("AMGN US Equity","IS_DILUTED_EPS","FQ1 2021","FQ1 2021","Currency=USD","Period=FQ","BEST_FPERIOD_OVERRIDE=FQ","FILING_STATUS=MR","FA_ADJUSTED=GAAP","Sort=A","Dates=H","DateFormat=P","Fill=—","Direction=H","UseDPDF=Y")</f>
        <v>2.83</v>
      </c>
      <c r="K17" s="14">
        <f>_xll.BDH("AMGN US Equity","IS_DILUTED_EPS","FQ2 2021","FQ2 2021","Currency=USD","Period=FQ","BEST_FPERIOD_OVERRIDE=FQ","FILING_STATUS=MR","FA_ADJUSTED=GAAP","Sort=A","Dates=H","DateFormat=P","Fill=—","Direction=H","UseDPDF=Y")</f>
        <v>0.81</v>
      </c>
      <c r="L17" s="14">
        <f>_xll.BDH("AMGN US Equity","IS_DILUTED_EPS","FQ3 2021","FQ3 2021","Currency=USD","Period=FQ","BEST_FPERIOD_OVERRIDE=FQ","FILING_STATUS=MR","FA_ADJUSTED=GAAP","Sort=A","Dates=H","DateFormat=P","Fill=—","Direction=H","UseDPDF=Y")</f>
        <v>3.31</v>
      </c>
      <c r="M17" s="14">
        <f>_xll.BDH("AMGN US Equity","IS_DILUTED_EPS","FQ4 2021","FQ4 2021","Currency=USD","Period=FQ","BEST_FPERIOD_OVERRIDE=FQ","FILING_STATUS=MR","FA_ADJUSTED=GAAP","Sort=A","Dates=H","DateFormat=P","Fill=—","Direction=H","UseDPDF=Y")</f>
        <v>3.36</v>
      </c>
      <c r="N17" s="14">
        <f>_xll.BDH("AMGN US Equity","IS_DILUTED_EPS","FQ1 2022","FQ1 2022","Currency=USD","Period=FQ","BEST_FPERIOD_OVERRIDE=FQ","FILING_STATUS=MR","FA_ADJUSTED=GAAP","Sort=A","Dates=H","DateFormat=P","Fill=—","Direction=H","UseDPDF=Y")</f>
        <v>2.68</v>
      </c>
      <c r="O17" s="14">
        <f>_xll.BDH("AMGN US Equity","IS_DILUTED_EPS","FQ2 2022","FQ2 2022","Currency=USD","Period=FQ","BEST_FPERIOD_OVERRIDE=FQ","FILING_STATUS=MR","FA_ADJUSTED=GAAP","Sort=A","Dates=H","DateFormat=P","Fill=—","Direction=H","UseDPDF=Y")</f>
        <v>2.4500000000000002</v>
      </c>
      <c r="P17" s="14">
        <f>_xll.BDH("AMGN US Equity","IS_DILUTED_EPS","FQ3 2022","FQ3 2022","Currency=USD","Period=FQ","BEST_FPERIOD_OVERRIDE=FQ","FILING_STATUS=MR","FA_ADJUSTED=GAAP","Sort=A","Dates=H","DateFormat=P","Fill=—","Direction=H","UseDPDF=Y")</f>
        <v>3.98</v>
      </c>
      <c r="Q17" s="14">
        <f>_xll.BDH("AMGN US Equity","IS_DILUTED_EPS","FQ4 2022","FQ4 2022","Currency=USD","Period=FQ","BEST_FPERIOD_OVERRIDE=FQ","FILING_STATUS=MR","FA_ADJUSTED=GAAP","Sort=A","Dates=H","DateFormat=P","Fill=—","Direction=H","UseDPDF=Y")</f>
        <v>3</v>
      </c>
      <c r="R17" s="14">
        <f>_xll.BDH("AMGN US Equity","IS_DILUTED_EPS","FQ1 2023","FQ1 2023","Currency=USD","Period=FQ","BEST_FPERIOD_OVERRIDE=FQ","FILING_STATUS=MR","FA_ADJUSTED=GAAP","Sort=A","Dates=H","DateFormat=P","Fill=—","Direction=H","UseDPDF=Y")</f>
        <v>5.28</v>
      </c>
      <c r="S17" s="14">
        <f>_xll.BDH("AMGN US Equity","IS_DILUTED_EPS","FQ2 2023","FQ2 2023","Currency=USD","Period=FQ","BEST_FPERIOD_OVERRIDE=FQ","FILING_STATUS=MR","FA_ADJUSTED=GAAP","Sort=A","Dates=H","DateFormat=P","Fill=—","Direction=H","UseDPDF=Y")</f>
        <v>2.57</v>
      </c>
      <c r="T17" s="14">
        <f>_xll.BDH("AMGN US Equity","IS_DILUTED_EPS","FQ3 2023","FQ3 2023","Currency=USD","Period=FQ","BEST_FPERIOD_OVERRIDE=FQ","FILING_STATUS=MR","FA_ADJUSTED=GAAP","Sort=A","Dates=H","DateFormat=P","Fill=—","Direction=H","UseDPDF=Y")</f>
        <v>3.22</v>
      </c>
      <c r="U17" s="14">
        <f>_xll.BDH("AMGN US Equity","IS_DILUTED_EPS","FQ4 2023","FQ4 2023","Currency=USD","Period=FQ","BEST_FPERIOD_OVERRIDE=FQ","FILING_STATUS=MR","FA_ADJUSTED=GAAP","Sort=A","Dates=H","DateFormat=P","Fill=—","Direction=H","UseDPDF=Y")</f>
        <v>1.42</v>
      </c>
      <c r="V17" s="14">
        <f>_xll.BDH("AMGN US Equity","IS_DILUTED_EPS","FQ1 2024","FQ1 2024","Currency=USD","Period=FQ","BEST_FPERIOD_OVERRIDE=FQ","FILING_STATUS=MR","FA_ADJUSTED=GAAP","Sort=A","Dates=H","DateFormat=P","Fill=—","Direction=H","UseDPDF=Y")</f>
        <v>-0.21</v>
      </c>
      <c r="W17" s="14">
        <f>_xll.BDH("AMGN US Equity","IS_DILUTED_EPS","FQ2 2024","FQ2 2024","Currency=USD","Period=FQ","BEST_FPERIOD_OVERRIDE=FQ","FILING_STATUS=MR","FA_ADJUSTED=GAAP","Sort=A","Dates=H","DateFormat=P","Fill=—","Direction=H","UseDPDF=Y")</f>
        <v>1.38</v>
      </c>
      <c r="X17" s="14">
        <f>_xll.BDH("AMGN US Equity","IS_DILUTED_EPS","FQ3 2024","FQ3 2024","Currency=USD","Period=FQ","BEST_FPERIOD_OVERRIDE=FQ","FILING_STATUS=MR","FA_ADJUSTED=GAAP","Sort=A","Dates=H","DateFormat=P","Fill=—","Direction=H","UseDPDF=Y")</f>
        <v>5.22</v>
      </c>
      <c r="Y17" s="14">
        <f>_xll.BDH("AMGN US Equity","IS_DILUTED_EPS","FQ4 2024","FQ4 2024","Currency=USD","Period=FQ","BEST_FPERIOD_OVERRIDE=FQ","FILING_STATUS=MR","FA_ADJUSTED=GAAP","Sort=A","Dates=H","DateFormat=P","Fill=—","Direction=H","UseDPDF=Y")</f>
        <v>1.1599999999999999</v>
      </c>
      <c r="Z17" s="14"/>
      <c r="AA17" s="14"/>
    </row>
    <row r="18" spans="1:27" x14ac:dyDescent="0.25">
      <c r="A18" s="10" t="s">
        <v>136</v>
      </c>
      <c r="B18" s="10" t="s">
        <v>82</v>
      </c>
      <c r="C18" s="14">
        <f>_xll.BDH("AMGN US Equity","IS_DIL_EPS_CONT_OPS","FQ2 2019","FQ2 2019","Currency=USD","Period=FQ","BEST_FPERIOD_OVERRIDE=FQ","FILING_STATUS=MR","Sort=A","Dates=H","DateFormat=P","Fill=—","Direction=H","UseDPDF=Y")</f>
        <v>3.5973999999999999</v>
      </c>
      <c r="D18" s="14">
        <f>_xll.BDH("AMGN US Equity","IS_DIL_EPS_CONT_OPS","FQ3 2019","FQ3 2019","Currency=USD","Period=FQ","BEST_FPERIOD_OVERRIDE=FQ","FILING_STATUS=MR","Sort=A","Dates=H","DateFormat=P","Fill=—","Direction=H","UseDPDF=Y")</f>
        <v>3.2833000000000001</v>
      </c>
      <c r="E18" s="14">
        <f>_xll.BDH("AMGN US Equity","IS_DIL_EPS_CONT_OPS","FQ4 2019","FQ4 2019","Currency=USD","Period=FQ","BEST_FPERIOD_OVERRIDE=FQ","FILING_STATUS=MR","Sort=A","Dates=H","DateFormat=P","Fill=—","Direction=H","UseDPDF=Y")</f>
        <v>2.9460000000000002</v>
      </c>
      <c r="F18" s="14">
        <f>_xll.BDH("AMGN US Equity","IS_DIL_EPS_CONT_OPS","FQ1 2020","FQ1 2020","Currency=USD","Period=FQ","BEST_FPERIOD_OVERRIDE=FQ","FILING_STATUS=MR","Sort=A","Dates=H","DateFormat=P","Fill=—","Direction=H","UseDPDF=Y")</f>
        <v>3.105</v>
      </c>
      <c r="G18" s="14">
        <f>_xll.BDH("AMGN US Equity","IS_DIL_EPS_CONT_OPS","FQ2 2020","FQ2 2020","Currency=USD","Period=FQ","BEST_FPERIOD_OVERRIDE=FQ","FILING_STATUS=MR","Sort=A","Dates=H","DateFormat=P","Fill=—","Direction=H","UseDPDF=Y")</f>
        <v>3.1724999999999999</v>
      </c>
      <c r="H18" s="14">
        <f>_xll.BDH("AMGN US Equity","IS_DIL_EPS_CONT_OPS","FQ3 2020","FQ3 2020","Currency=USD","Period=FQ","BEST_FPERIOD_OVERRIDE=FQ","FILING_STATUS=MR","Sort=A","Dates=H","DateFormat=P","Fill=—","Direction=H","UseDPDF=Y")</f>
        <v>4.3620000000000001</v>
      </c>
      <c r="I18" s="14">
        <f>_xll.BDH("AMGN US Equity","IS_DIL_EPS_CONT_OPS","FQ4 2020","FQ4 2020","Currency=USD","Period=FQ","BEST_FPERIOD_OVERRIDE=FQ","FILING_STATUS=MR","Sort=A","Dates=H","DateFormat=P","Fill=—","Direction=H","UseDPDF=Y")</f>
        <v>2.8439000000000001</v>
      </c>
      <c r="J18" s="14">
        <f>_xll.BDH("AMGN US Equity","IS_DIL_EPS_CONT_OPS","FQ1 2021","FQ1 2021","Currency=USD","Period=FQ","BEST_FPERIOD_OVERRIDE=FQ","FILING_STATUS=MR","Sort=A","Dates=H","DateFormat=P","Fill=—","Direction=H","UseDPDF=Y")</f>
        <v>3.6297999999999999</v>
      </c>
      <c r="K18" s="14">
        <f>_xll.BDH("AMGN US Equity","IS_DIL_EPS_CONT_OPS","FQ2 2021","FQ2 2021","Currency=USD","Period=FQ","BEST_FPERIOD_OVERRIDE=FQ","FILING_STATUS=MR","Sort=A","Dates=H","DateFormat=P","Fill=—","Direction=H","UseDPDF=Y")</f>
        <v>4.3186999999999998</v>
      </c>
      <c r="L18" s="14">
        <f>_xll.BDH("AMGN US Equity","IS_DIL_EPS_CONT_OPS","FQ3 2021","FQ3 2021","Currency=USD","Period=FQ","BEST_FPERIOD_OVERRIDE=FQ","FILING_STATUS=MR","Sort=A","Dates=H","DateFormat=P","Fill=—","Direction=H","UseDPDF=Y")</f>
        <v>3.0030999999999999</v>
      </c>
      <c r="M18" s="14">
        <f>_xll.BDH("AMGN US Equity","IS_DIL_EPS_CONT_OPS","FQ4 2021","FQ4 2021","Currency=USD","Period=FQ","BEST_FPERIOD_OVERRIDE=FQ","FILING_STATUS=MR","Sort=A","Dates=H","DateFormat=P","Fill=—","Direction=H","UseDPDF=Y")</f>
        <v>3.2985000000000002</v>
      </c>
      <c r="N18" s="14">
        <f>_xll.BDH("AMGN US Equity","IS_DIL_EPS_CONT_OPS","FQ1 2022","FQ1 2022","Currency=USD","Period=FQ","BEST_FPERIOD_OVERRIDE=FQ","FILING_STATUS=MR","Sort=A","Dates=H","DateFormat=P","Fill=—","Direction=H","UseDPDF=Y")</f>
        <v>4.1835000000000004</v>
      </c>
      <c r="O18" s="14">
        <f>_xll.BDH("AMGN US Equity","IS_DIL_EPS_CONT_OPS","FQ2 2022","FQ2 2022","Currency=USD","Period=FQ","BEST_FPERIOD_OVERRIDE=FQ","FILING_STATUS=MR","Sort=A","Dates=H","DateFormat=P","Fill=—","Direction=H","UseDPDF=Y")</f>
        <v>4.5666000000000002</v>
      </c>
      <c r="P18" s="14">
        <f>_xll.BDH("AMGN US Equity","IS_DIL_EPS_CONT_OPS","FQ3 2022","FQ3 2022","Currency=USD","Period=FQ","BEST_FPERIOD_OVERRIDE=FQ","FILING_STATUS=MR","Sort=A","Dates=H","DateFormat=P","Fill=—","Direction=H","UseDPDF=Y")</f>
        <v>3.7652000000000001</v>
      </c>
      <c r="Q18" s="14">
        <f>_xll.BDH("AMGN US Equity","IS_DIL_EPS_CONT_OPS","FQ4 2022","FQ4 2022","Currency=USD","Period=FQ","BEST_FPERIOD_OVERRIDE=FQ","FILING_STATUS=MR","Sort=A","Dates=H","DateFormat=P","Fill=—","Direction=H","UseDPDF=Y")</f>
        <v>2.8090999999999999</v>
      </c>
      <c r="R18" s="14">
        <f>_xll.BDH("AMGN US Equity","IS_DIL_EPS_CONT_OPS","FQ1 2023","FQ1 2023","Currency=USD","Period=FQ","BEST_FPERIOD_OVERRIDE=FQ","FILING_STATUS=MR","Sort=A","Dates=H","DateFormat=P","Fill=—","Direction=H","UseDPDF=Y")</f>
        <v>3.7614000000000001</v>
      </c>
      <c r="S18" s="14">
        <f>_xll.BDH("AMGN US Equity","IS_DIL_EPS_CONT_OPS","FQ2 2023","FQ2 2023","Currency=USD","Period=FQ","BEST_FPERIOD_OVERRIDE=FQ","FILING_STATUS=MR","Sort=A","Dates=H","DateFormat=P","Fill=—","Direction=H","UseDPDF=Y")</f>
        <v>3.4506999999999999</v>
      </c>
      <c r="T18" s="14">
        <f>_xll.BDH("AMGN US Equity","IS_DIL_EPS_CONT_OPS","FQ3 2023","FQ3 2023","Currency=USD","Period=FQ","BEST_FPERIOD_OVERRIDE=FQ","FILING_STATUS=MR","Sort=A","Dates=H","DateFormat=P","Fill=—","Direction=H","UseDPDF=Y")</f>
        <v>3.8685</v>
      </c>
      <c r="U18" s="14">
        <f>_xll.BDH("AMGN US Equity","IS_DIL_EPS_CONT_OPS","FQ4 2023","FQ4 2023","Currency=USD","Period=FQ","BEST_FPERIOD_OVERRIDE=FQ","FILING_STATUS=MR","Sort=A","Dates=H","DateFormat=P","Fill=—","Direction=H","UseDPDF=Y")</f>
        <v>1.8725000000000001</v>
      </c>
      <c r="V18" s="14">
        <f>_xll.BDH("AMGN US Equity","IS_DIL_EPS_CONT_OPS","FQ1 2024","FQ1 2024","Currency=USD","Period=FQ","BEST_FPERIOD_OVERRIDE=FQ","FILING_STATUS=MR","Sort=A","Dates=H","DateFormat=P","Fill=—","Direction=H","UseDPDF=Y")</f>
        <v>0.80589999999999995</v>
      </c>
      <c r="W18" s="14">
        <f>_xll.BDH("AMGN US Equity","IS_DIL_EPS_CONT_OPS","FQ2 2024","FQ2 2024","Currency=USD","Period=FQ","BEST_FPERIOD_OVERRIDE=FQ","FILING_STATUS=MR","Sort=A","Dates=H","DateFormat=P","Fill=—","Direction=H","UseDPDF=Y")</f>
        <v>2.2332000000000001</v>
      </c>
      <c r="X18" s="14">
        <f>_xll.BDH("AMGN US Equity","IS_DIL_EPS_CONT_OPS","FQ3 2024","FQ3 2024","Currency=USD","Period=FQ","BEST_FPERIOD_OVERRIDE=FQ","FILING_STATUS=MR","Sort=A","Dates=H","DateFormat=P","Fill=—","Direction=H","UseDPDF=Y")</f>
        <v>3.7690999999999999</v>
      </c>
      <c r="Y18" s="14">
        <f>_xll.BDH("AMGN US Equity","IS_DIL_EPS_CONT_OPS","FQ4 2024","FQ4 2024","Currency=USD","Period=FQ","BEST_FPERIOD_OVERRIDE=FQ","FILING_STATUS=MR","Sort=A","Dates=H","DateFormat=P","Fill=—","Direction=H","UseDPDF=Y")</f>
        <v>2.415</v>
      </c>
      <c r="Z18" s="14"/>
      <c r="AA18" s="14"/>
    </row>
    <row r="19" spans="1:27" x14ac:dyDescent="0.25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5">
      <c r="A20" s="6" t="s">
        <v>141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x14ac:dyDescent="0.25">
      <c r="A21" s="10" t="s">
        <v>130</v>
      </c>
      <c r="B21" s="10" t="s">
        <v>142</v>
      </c>
      <c r="C21" s="13">
        <f>_xll.BDH("AMGN US Equity","BEST_OPP","FQ2 2019","FQ2 2019","Currency=USD","Period=FQ","BEST_FPERIOD_OVERRIDE=FQ","FILING_STATUS=MR","Sort=A","Dates=H","DateFormat=P","Fill=—","Direction=H","UseDPDF=Y")</f>
        <v>2791.8330000000001</v>
      </c>
      <c r="D21" s="13">
        <f>_xll.BDH("AMGN US Equity","BEST_OPP","FQ3 2019","FQ3 2019","Currency=USD","Period=FQ","BEST_FPERIOD_OVERRIDE=FQ","FILING_STATUS=MR","Sort=A","Dates=H","DateFormat=P","Fill=—","Direction=H","UseDPDF=Y")</f>
        <v>2683.9229999999998</v>
      </c>
      <c r="E21" s="13">
        <f>_xll.BDH("AMGN US Equity","BEST_OPP","FQ4 2019","FQ4 2019","Currency=USD","Period=FQ","BEST_FPERIOD_OVERRIDE=FQ","FILING_STATUS=MR","Sort=A","Dates=H","DateFormat=P","Fill=—","Direction=H","UseDPDF=Y")</f>
        <v>2605</v>
      </c>
      <c r="F21" s="13">
        <f>_xll.BDH("AMGN US Equity","BEST_OPP","FQ1 2020","FQ1 2020","Currency=USD","Period=FQ","BEST_FPERIOD_OVERRIDE=FQ","FILING_STATUS=MR","Sort=A","Dates=H","DateFormat=P","Fill=—","Direction=H","UseDPDF=Y")</f>
        <v>2916.125</v>
      </c>
      <c r="G21" s="13">
        <f>_xll.BDH("AMGN US Equity","BEST_OPP","FQ2 2020","FQ2 2020","Currency=USD","Period=FQ","BEST_FPERIOD_OVERRIDE=FQ","FILING_STATUS=MR","Sort=A","Dates=H","DateFormat=P","Fill=—","Direction=H","UseDPDF=Y")</f>
        <v>3030.2109999999998</v>
      </c>
      <c r="H21" s="13">
        <f>_xll.BDH("AMGN US Equity","BEST_OPP","FQ3 2020","FQ3 2020","Currency=USD","Period=FQ","BEST_FPERIOD_OVERRIDE=FQ","FILING_STATUS=MR","Sort=A","Dates=H","DateFormat=P","Fill=—","Direction=H","UseDPDF=Y")</f>
        <v>2953</v>
      </c>
      <c r="I21" s="13">
        <f>_xll.BDH("AMGN US Equity","BEST_OPP","FQ4 2020","FQ4 2020","Currency=USD","Period=FQ","BEST_FPERIOD_OVERRIDE=FQ","FILING_STATUS=MR","Sort=A","Dates=H","DateFormat=P","Fill=—","Direction=H","UseDPDF=Y")</f>
        <v>2672.944</v>
      </c>
      <c r="J21" s="13">
        <f>_xll.BDH("AMGN US Equity","BEST_OPP","FQ1 2021","FQ1 2021","Currency=USD","Period=FQ","BEST_FPERIOD_OVERRIDE=FQ","FILING_STATUS=MR","Sort=A","Dates=H","DateFormat=P","Fill=—","Direction=H","UseDPDF=Y")</f>
        <v>3051.895</v>
      </c>
      <c r="K21" s="13">
        <f>_xll.BDH("AMGN US Equity","BEST_OPP","FQ2 2021","FQ2 2021","Currency=USD","Period=FQ","BEST_FPERIOD_OVERRIDE=FQ","FILING_STATUS=MR","Sort=A","Dates=H","DateFormat=P","Fill=—","Direction=H","UseDPDF=Y")</f>
        <v>3068.7370000000001</v>
      </c>
      <c r="L21" s="13">
        <f>_xll.BDH("AMGN US Equity","BEST_OPP","FQ3 2021","FQ3 2021","Currency=USD","Period=FQ","BEST_FPERIOD_OVERRIDE=FQ","FILING_STATUS=MR","Sort=A","Dates=H","DateFormat=P","Fill=—","Direction=H","UseDPDF=Y")</f>
        <v>3200.857</v>
      </c>
      <c r="M21" s="13">
        <f>_xll.BDH("AMGN US Equity","BEST_OPP","FQ4 2021","FQ4 2021","Currency=USD","Period=FQ","BEST_FPERIOD_OVERRIDE=FQ","FILING_STATUS=MR","Sort=A","Dates=H","DateFormat=P","Fill=—","Direction=H","UseDPDF=Y")</f>
        <v>3037.143</v>
      </c>
      <c r="N21" s="13">
        <f>_xll.BDH("AMGN US Equity","BEST_OPP","FQ1 2022","FQ1 2022","Currency=USD","Period=FQ","BEST_FPERIOD_OVERRIDE=FQ","FILING_STATUS=MR","Sort=A","Dates=H","DateFormat=P","Fill=—","Direction=H","UseDPDF=Y")</f>
        <v>2977</v>
      </c>
      <c r="O21" s="13">
        <f>_xll.BDH("AMGN US Equity","BEST_OPP","FQ2 2022","FQ2 2022","Currency=USD","Period=FQ","BEST_FPERIOD_OVERRIDE=FQ","FILING_STATUS=MR","Sort=A","Dates=H","DateFormat=P","Fill=—","Direction=H","UseDPDF=Y")</f>
        <v>3117.13</v>
      </c>
      <c r="P21" s="13">
        <f>_xll.BDH("AMGN US Equity","BEST_OPP","FQ3 2022","FQ3 2022","Currency=USD","Period=FQ","BEST_FPERIOD_OVERRIDE=FQ","FILING_STATUS=MR","Sort=A","Dates=H","DateFormat=P","Fill=—","Direction=H","UseDPDF=Y")</f>
        <v>3183.739</v>
      </c>
      <c r="Q21" s="13">
        <f>_xll.BDH("AMGN US Equity","BEST_OPP","FQ4 2022","FQ4 2022","Currency=USD","Period=FQ","BEST_FPERIOD_OVERRIDE=FQ","FILING_STATUS=MR","Sort=A","Dates=H","DateFormat=P","Fill=—","Direction=H","UseDPDF=Y")</f>
        <v>2946.2860000000001</v>
      </c>
      <c r="R21" s="13">
        <f>_xll.BDH("AMGN US Equity","BEST_OPP","FQ1 2023","FQ1 2023","Currency=USD","Period=FQ","BEST_FPERIOD_OVERRIDE=FQ","FILING_STATUS=MR","Sort=A","Dates=H","DateFormat=P","Fill=—","Direction=H","UseDPDF=Y")</f>
        <v>2843.143</v>
      </c>
      <c r="S21" s="13">
        <f>_xll.BDH("AMGN US Equity","BEST_OPP","FQ2 2023","FQ2 2023","Currency=USD","Period=FQ","BEST_FPERIOD_OVERRIDE=FQ","FILING_STATUS=MR","Sort=A","Dates=H","DateFormat=P","Fill=—","Direction=H","UseDPDF=Y")</f>
        <v>3263.1109999999999</v>
      </c>
      <c r="T21" s="13">
        <f>_xll.BDH("AMGN US Equity","BEST_OPP","FQ3 2023","FQ3 2023","Currency=USD","Period=FQ","BEST_FPERIOD_OVERRIDE=FQ","FILING_STATUS=MR","Sort=A","Dates=H","DateFormat=P","Fill=—","Direction=H","UseDPDF=Y")</f>
        <v>3419.15</v>
      </c>
      <c r="U21" s="13">
        <f>_xll.BDH("AMGN US Equity","BEST_OPP","FQ4 2023","FQ4 2023","Currency=USD","Period=FQ","BEST_FPERIOD_OVERRIDE=FQ","FILING_STATUS=MR","Sort=A","Dates=H","DateFormat=P","Fill=—","Direction=H","UseDPDF=Y")</f>
        <v>3662.1669999999999</v>
      </c>
      <c r="V21" s="13">
        <f>_xll.BDH("AMGN US Equity","BEST_OPP","FQ1 2024","FQ1 2024","Currency=USD","Period=FQ","BEST_FPERIOD_OVERRIDE=FQ","FILING_STATUS=MR","Sort=A","Dates=H","DateFormat=P","Fill=—","Direction=H","UseDPDF=Y")</f>
        <v>3119.7620000000002</v>
      </c>
      <c r="W21" s="13">
        <f>_xll.BDH("AMGN US Equity","BEST_OPP","FQ2 2024","FQ2 2024","Currency=USD","Period=FQ","BEST_FPERIOD_OVERRIDE=FQ","FILING_STATUS=MR","Sort=A","Dates=H","DateFormat=P","Fill=—","Direction=H","UseDPDF=Y")</f>
        <v>3830.3040000000001</v>
      </c>
      <c r="X21" s="13">
        <f>_xll.BDH("AMGN US Equity","BEST_OPP","FQ3 2024","FQ3 2024","Currency=USD","Period=FQ","BEST_FPERIOD_OVERRIDE=FQ","FILING_STATUS=MR","Sort=A","Dates=H","DateFormat=P","Fill=—","Direction=H","UseDPDF=Y")</f>
        <v>3894.652</v>
      </c>
      <c r="Y21" s="13">
        <f>_xll.BDH("AMGN US Equity","BEST_OPP","FQ4 2024","FQ4 2024","Currency=USD","Period=FQ","BEST_FPERIOD_OVERRIDE=FQ","FILING_STATUS=MR","Sort=A","Dates=H","DateFormat=P","Fill=—","Direction=H","UseDPDF=Y")</f>
        <v>3837.375</v>
      </c>
      <c r="Z21" s="13">
        <v>3326.6959999999999</v>
      </c>
      <c r="AA21" s="13">
        <v>3984.3910000000001</v>
      </c>
    </row>
    <row r="22" spans="1:27" x14ac:dyDescent="0.25">
      <c r="A22" s="10" t="s">
        <v>132</v>
      </c>
      <c r="B22" s="10" t="s">
        <v>143</v>
      </c>
      <c r="C22" s="13">
        <f>_xll.BDH("AMGN US Equity","IS_COMPARABLE_EBIT","FQ2 2019","FQ2 2019","Currency=USD","Period=FQ","BEST_FPERIOD_OVERRIDE=FQ","FILING_STATUS=MR","SCALING_FORMAT=MLN","Sort=A","Dates=H","DateFormat=P","Fill=—","Direction=H","UseDPDF=Y")</f>
        <v>2973</v>
      </c>
      <c r="D22" s="13">
        <f>_xll.BDH("AMGN US Equity","IS_COMPARABLE_EBIT","FQ3 2019","FQ3 2019","Currency=USD","Period=FQ","BEST_FPERIOD_OVERRIDE=FQ","FILING_STATUS=MR","SCALING_FORMAT=MLN","Sort=A","Dates=H","DateFormat=P","Fill=—","Direction=H","UseDPDF=Y")</f>
        <v>2793</v>
      </c>
      <c r="E22" s="13">
        <f>_xll.BDH("AMGN US Equity","IS_COMPARABLE_EBIT","FQ4 2019","FQ4 2019","Currency=USD","Period=FQ","BEST_FPERIOD_OVERRIDE=FQ","FILING_STATUS=MR","SCALING_FORMAT=MLN","Sort=A","Dates=H","DateFormat=P","Fill=—","Direction=H","UseDPDF=Y")</f>
        <v>2621</v>
      </c>
      <c r="F22" s="13">
        <f>_xll.BDH("AMGN US Equity","IS_COMPARABLE_EBIT","FQ1 2020","FQ1 2020","Currency=USD","Period=FQ","BEST_FPERIOD_OVERRIDE=FQ","FILING_STATUS=MR","SCALING_FORMAT=MLN","Sort=A","Dates=H","DateFormat=P","Fill=—","Direction=H","UseDPDF=Y")</f>
        <v>3176</v>
      </c>
      <c r="G22" s="13">
        <f>_xll.BDH("AMGN US Equity","IS_COMPARABLE_EBIT","FQ2 2020","FQ2 2020","Currency=USD","Period=FQ","BEST_FPERIOD_OVERRIDE=FQ","FILING_STATUS=MR","SCALING_FORMAT=MLN","Sort=A","Dates=H","DateFormat=P","Fill=—","Direction=H","UseDPDF=Y")</f>
        <v>3247</v>
      </c>
      <c r="H22" s="13">
        <f>_xll.BDH("AMGN US Equity","IS_COMPARABLE_EBIT","FQ3 2020","FQ3 2020","Currency=USD","Period=FQ","BEST_FPERIOD_OVERRIDE=FQ","FILING_STATUS=MR","SCALING_FORMAT=MLN","Sort=A","Dates=H","DateFormat=P","Fill=—","Direction=H","UseDPDF=Y")</f>
        <v>3183</v>
      </c>
      <c r="I22" s="13">
        <f>_xll.BDH("AMGN US Equity","IS_COMPARABLE_EBIT","FQ4 2020","FQ4 2020","Currency=USD","Period=FQ","BEST_FPERIOD_OVERRIDE=FQ","FILING_STATUS=MR","SCALING_FORMAT=MLN","Sort=A","Dates=H","DateFormat=P","Fill=—","Direction=H","UseDPDF=Y")</f>
        <v>2728</v>
      </c>
      <c r="J22" s="13">
        <f>_xll.BDH("AMGN US Equity","IS_COMPARABLE_EBIT","FQ1 2021","FQ1 2021","Currency=USD","Period=FQ","BEST_FPERIOD_OVERRIDE=FQ","FILING_STATUS=MR","SCALING_FORMAT=MLN","Sort=A","Dates=H","DateFormat=P","Fill=—","Direction=H","UseDPDF=Y")</f>
        <v>2864</v>
      </c>
      <c r="K22" s="13">
        <f>_xll.BDH("AMGN US Equity","IS_COMPARABLE_EBIT","FQ2 2021","FQ2 2021","Currency=USD","Period=FQ","BEST_FPERIOD_OVERRIDE=FQ","FILING_STATUS=MR","SCALING_FORMAT=MLN","Sort=A","Dates=H","DateFormat=P","Fill=—","Direction=H","UseDPDF=Y")</f>
        <v>3111</v>
      </c>
      <c r="L22" s="13">
        <f>_xll.BDH("AMGN US Equity","IS_COMPARABLE_EBIT","FQ3 2021","FQ3 2021","Currency=USD","Period=FQ","BEST_FPERIOD_OVERRIDE=FQ","FILING_STATUS=MR","SCALING_FORMAT=MLN","Sort=A","Dates=H","DateFormat=P","Fill=—","Direction=H","UseDPDF=Y")</f>
        <v>3452</v>
      </c>
      <c r="M22" s="13">
        <f>_xll.BDH("AMGN US Equity","IS_COMPARABLE_EBIT","FQ4 2021","FQ4 2021","Currency=USD","Period=FQ","BEST_FPERIOD_OVERRIDE=FQ","FILING_STATUS=MR","SCALING_FORMAT=MLN","Sort=A","Dates=H","DateFormat=P","Fill=—","Direction=H","UseDPDF=Y")</f>
        <v>2997</v>
      </c>
      <c r="N22" s="13">
        <f>_xll.BDH("AMGN US Equity","IS_COMPARABLE_EBIT","FQ1 2022","FQ1 2022","Currency=USD","Period=FQ","BEST_FPERIOD_OVERRIDE=FQ","FILING_STATUS=MR","SCALING_FORMAT=MLN","Sort=A","Dates=H","DateFormat=P","Fill=—","Direction=H","UseDPDF=Y")</f>
        <v>3140</v>
      </c>
      <c r="O22" s="13">
        <f>_xll.BDH("AMGN US Equity","IS_COMPARABLE_EBIT","FQ2 2022","FQ2 2022","Currency=USD","Period=FQ","BEST_FPERIOD_OVERRIDE=FQ","FILING_STATUS=MR","SCALING_FORMAT=MLN","Sort=A","Dates=H","DateFormat=P","Fill=—","Direction=H","UseDPDF=Y")</f>
        <v>3335</v>
      </c>
      <c r="P22" s="13">
        <f>_xll.BDH("AMGN US Equity","IS_COMPARABLE_EBIT","FQ3 2022","FQ3 2022","Currency=USD","Period=FQ","BEST_FPERIOD_OVERRIDE=FQ","FILING_STATUS=MR","SCALING_FORMAT=MLN","Sort=A","Dates=H","DateFormat=P","Fill=—","Direction=H","UseDPDF=Y")</f>
        <v>3277</v>
      </c>
      <c r="Q22" s="13">
        <f>_xll.BDH("AMGN US Equity","IS_COMPARABLE_EBIT","FQ4 2022","FQ4 2022","Currency=USD","Period=FQ","BEST_FPERIOD_OVERRIDE=FQ","FILING_STATUS=MR","SCALING_FORMAT=MLN","Sort=A","Dates=H","DateFormat=P","Fill=—","Direction=H","UseDPDF=Y")</f>
        <v>3009</v>
      </c>
      <c r="R22" s="13">
        <f>_xll.BDH("AMGN US Equity","IS_COMPARABLE_EBIT","FQ1 2023","FQ1 2023","Currency=USD","Period=FQ","BEST_FPERIOD_OVERRIDE=FQ","FILING_STATUS=MR","SCALING_FORMAT=MLN","Sort=A","Dates=H","DateFormat=P","Fill=—","Direction=H","UseDPDF=Y")</f>
        <v>2821</v>
      </c>
      <c r="S22" s="13">
        <f>_xll.BDH("AMGN US Equity","IS_COMPARABLE_EBIT","FQ2 2023","FQ2 2023","Currency=USD","Period=FQ","BEST_FPERIOD_OVERRIDE=FQ","FILING_STATUS=MR","SCALING_FORMAT=MLN","Sort=A","Dates=H","DateFormat=P","Fill=—","Direction=H","UseDPDF=Y")</f>
        <v>3515</v>
      </c>
      <c r="T22" s="13">
        <f>_xll.BDH("AMGN US Equity","IS_COMPARABLE_EBIT","FQ3 2023","FQ3 2023","Currency=USD","Period=FQ","BEST_FPERIOD_OVERRIDE=FQ","FILING_STATUS=MR","SCALING_FORMAT=MLN","Sort=A","Dates=H","DateFormat=P","Fill=—","Direction=H","UseDPDF=Y")</f>
        <v>3403</v>
      </c>
      <c r="U22" s="13">
        <f>_xll.BDH("AMGN US Equity","IS_COMPARABLE_EBIT","FQ4 2023","FQ4 2023","Currency=USD","Period=FQ","BEST_FPERIOD_OVERRIDE=FQ","FILING_STATUS=MR","SCALING_FORMAT=MLN","Sort=A","Dates=H","DateFormat=P","Fill=—","Direction=H","UseDPDF=Y")</f>
        <v>3660</v>
      </c>
      <c r="V22" s="13">
        <f>_xll.BDH("AMGN US Equity","IS_COMPARABLE_EBIT","FQ1 2024","FQ1 2024","Currency=USD","Period=FQ","BEST_FPERIOD_OVERRIDE=FQ","FILING_STATUS=MR","SCALING_FORMAT=MLN","Sort=A","Dates=H","DateFormat=P","Fill=—","Direction=H","UseDPDF=Y")</f>
        <v>3078</v>
      </c>
      <c r="W22" s="13">
        <f>_xll.BDH("AMGN US Equity","IS_COMPARABLE_EBIT","FQ2 2024","FQ2 2024","Currency=USD","Period=FQ","BEST_FPERIOD_OVERRIDE=FQ","FILING_STATUS=MR","SCALING_FORMAT=MLN","Sort=A","Dates=H","DateFormat=P","Fill=—","Direction=H","UseDPDF=Y")</f>
        <v>3873</v>
      </c>
      <c r="X22" s="13">
        <f>_xll.BDH("AMGN US Equity","IS_COMPARABLE_EBIT","FQ3 2024","FQ3 2024","Currency=USD","Period=FQ","BEST_FPERIOD_OVERRIDE=FQ","FILING_STATUS=MR","SCALING_FORMAT=MLN","Sort=A","Dates=H","DateFormat=P","Fill=—","Direction=H","UseDPDF=Y")</f>
        <v>4044</v>
      </c>
      <c r="Y22" s="13">
        <f>_xll.BDH("AMGN US Equity","IS_COMPARABLE_EBIT","FQ4 2024","FQ4 2024","Currency=USD","Period=FQ","BEST_FPERIOD_OVERRIDE=FQ","FILING_STATUS=MR","SCALING_FORMAT=MLN","Sort=A","Dates=H","DateFormat=P","Fill=—","Direction=H","UseDPDF=Y")</f>
        <v>4033</v>
      </c>
      <c r="Z22" s="13"/>
      <c r="AA22" s="13"/>
    </row>
    <row r="23" spans="1:27" x14ac:dyDescent="0.25">
      <c r="A23" s="11" t="s">
        <v>144</v>
      </c>
      <c r="B23" s="11"/>
      <c r="C23" s="25">
        <v>6.4891775403471401</v>
      </c>
      <c r="D23" s="25">
        <v>4.0640882767501196</v>
      </c>
      <c r="E23" s="25">
        <v>0.61420345489443395</v>
      </c>
      <c r="F23" s="25">
        <v>8.9116550216468795</v>
      </c>
      <c r="G23" s="25">
        <v>7.1542542747023301</v>
      </c>
      <c r="H23" s="25">
        <v>7.7886894683372798</v>
      </c>
      <c r="I23" s="25">
        <v>2.05975134533309</v>
      </c>
      <c r="J23" s="25">
        <v>-6.1566665956725197</v>
      </c>
      <c r="K23" s="25">
        <v>1.37721153686353</v>
      </c>
      <c r="L23" s="25">
        <v>7.8461174616673004</v>
      </c>
      <c r="M23" s="25">
        <v>-1.3217355916399101</v>
      </c>
      <c r="N23" s="25">
        <v>5.4753107154853904</v>
      </c>
      <c r="O23" s="25">
        <v>6.9894422112648504</v>
      </c>
      <c r="P23" s="25">
        <v>2.9292916284908999</v>
      </c>
      <c r="Q23" s="25">
        <v>2.1285781488966098</v>
      </c>
      <c r="R23" s="25">
        <v>-0.77882118486477903</v>
      </c>
      <c r="S23" s="25">
        <v>7.7192899659251601</v>
      </c>
      <c r="T23" s="25">
        <v>-0.47233961657137302</v>
      </c>
      <c r="U23" s="25">
        <v>-5.9172615557944702E-2</v>
      </c>
      <c r="V23" s="25">
        <v>-1.33862775429665</v>
      </c>
      <c r="W23" s="25">
        <v>1.1146895912178201</v>
      </c>
      <c r="X23" s="25">
        <v>3.8346943449633</v>
      </c>
      <c r="Y23" s="25">
        <v>5.0978859246229504</v>
      </c>
      <c r="Z23" s="25"/>
      <c r="AA23" s="25"/>
    </row>
    <row r="24" spans="1:27" x14ac:dyDescent="0.25">
      <c r="A24" s="10" t="s">
        <v>135</v>
      </c>
      <c r="B24" s="10" t="s">
        <v>141</v>
      </c>
      <c r="C24" s="13">
        <f>_xll.BDH("AMGN US Equity","EBIT","FQ2 2019","FQ2 2019","Currency=USD","Period=FQ","BEST_FPERIOD_OVERRIDE=FQ","FILING_STATUS=MR","SCALING_FORMAT=MLN","FA_ADJUSTED=GAAP","Sort=A","Dates=H","DateFormat=P","Fill=—","Direction=H","UseDPDF=Y")</f>
        <v>2678</v>
      </c>
      <c r="D24" s="13">
        <f>_xll.BDH("AMGN US Equity","EBIT","FQ3 2019","FQ3 2019","Currency=USD","Period=FQ","BEST_FPERIOD_OVERRIDE=FQ","FILING_STATUS=MR","SCALING_FORMAT=MLN","FA_ADJUSTED=GAAP","Sort=A","Dates=H","DateFormat=P","Fill=—","Direction=H","UseDPDF=Y")</f>
        <v>2476</v>
      </c>
      <c r="E24" s="13">
        <f>_xll.BDH("AMGN US Equity","EBIT","FQ4 2019","FQ4 2019","Currency=USD","Period=FQ","BEST_FPERIOD_OVERRIDE=FQ","FILING_STATUS=MR","SCALING_FORMAT=MLN","FA_ADJUSTED=GAAP","Sort=A","Dates=H","DateFormat=P","Fill=—","Direction=H","UseDPDF=Y")</f>
        <v>2048</v>
      </c>
      <c r="F24" s="13">
        <f>_xll.BDH("AMGN US Equity","EBIT","FQ1 2020","FQ1 2020","Currency=USD","Period=FQ","BEST_FPERIOD_OVERRIDE=FQ","FILING_STATUS=MR","SCALING_FORMAT=MLN","FA_ADJUSTED=GAAP","Sort=A","Dates=H","DateFormat=P","Fill=—","Direction=H","UseDPDF=Y")</f>
        <v>2355</v>
      </c>
      <c r="G24" s="13">
        <f>_xll.BDH("AMGN US Equity","EBIT","FQ2 2020","FQ2 2020","Currency=USD","Period=FQ","BEST_FPERIOD_OVERRIDE=FQ","FILING_STATUS=MR","SCALING_FORMAT=MLN","FA_ADJUSTED=GAAP","Sort=A","Dates=H","DateFormat=P","Fill=—","Direction=H","UseDPDF=Y")</f>
        <v>2323</v>
      </c>
      <c r="H24" s="13">
        <f>_xll.BDH("AMGN US Equity","EBIT","FQ3 2020","FQ3 2020","Currency=USD","Period=FQ","BEST_FPERIOD_OVERRIDE=FQ","FILING_STATUS=MR","SCALING_FORMAT=MLN","FA_ADJUSTED=GAAP","Sort=A","Dates=H","DateFormat=P","Fill=—","Direction=H","UseDPDF=Y")</f>
        <v>2453</v>
      </c>
      <c r="I24" s="13">
        <f>_xll.BDH("AMGN US Equity","EBIT","FQ4 2020","FQ4 2020","Currency=USD","Period=FQ","BEST_FPERIOD_OVERRIDE=FQ","FILING_STATUS=MR","SCALING_FORMAT=MLN","FA_ADJUSTED=GAAP","Sort=A","Dates=H","DateFormat=P","Fill=—","Direction=H","UseDPDF=Y")</f>
        <v>2008</v>
      </c>
      <c r="J24" s="13">
        <f>_xll.BDH("AMGN US Equity","EBIT","FQ1 2021","FQ1 2021","Currency=USD","Period=FQ","BEST_FPERIOD_OVERRIDE=FQ","FILING_STATUS=MR","SCALING_FORMAT=MLN","FA_ADJUSTED=GAAP","Sort=A","Dates=H","DateFormat=P","Fill=—","Direction=H","UseDPDF=Y")</f>
        <v>2129</v>
      </c>
      <c r="K24" s="13">
        <f>_xll.BDH("AMGN US Equity","EBIT","FQ2 2021","FQ2 2021","Currency=USD","Period=FQ","BEST_FPERIOD_OVERRIDE=FQ","FILING_STATUS=MR","SCALING_FORMAT=MLN","FA_ADJUSTED=GAAP","Sort=A","Dates=H","DateFormat=P","Fill=—","Direction=H","UseDPDF=Y")</f>
        <v>828</v>
      </c>
      <c r="L24" s="13">
        <f>_xll.BDH("AMGN US Equity","EBIT","FQ3 2021","FQ3 2021","Currency=USD","Period=FQ","BEST_FPERIOD_OVERRIDE=FQ","FILING_STATUS=MR","SCALING_FORMAT=MLN","FA_ADJUSTED=GAAP","Sort=A","Dates=H","DateFormat=P","Fill=—","Direction=H","UseDPDF=Y")</f>
        <v>2378</v>
      </c>
      <c r="M24" s="13">
        <f>_xll.BDH("AMGN US Equity","EBIT","FQ4 2021","FQ4 2021","Currency=USD","Period=FQ","BEST_FPERIOD_OVERRIDE=FQ","FILING_STATUS=MR","SCALING_FORMAT=MLN","FA_ADJUSTED=GAAP","Sort=A","Dates=H","DateFormat=P","Fill=—","Direction=H","UseDPDF=Y")</f>
        <v>2304</v>
      </c>
      <c r="N24" s="13">
        <f>_xll.BDH("AMGN US Equity","EBIT","FQ1 2022","FQ1 2022","Currency=USD","Period=FQ","BEST_FPERIOD_OVERRIDE=FQ","FILING_STATUS=MR","SCALING_FORMAT=MLN","FA_ADJUSTED=GAAP","Sort=A","Dates=H","DateFormat=P","Fill=—","Direction=H","UseDPDF=Y")</f>
        <v>2500</v>
      </c>
      <c r="O24" s="13">
        <f>_xll.BDH("AMGN US Equity","EBIT","FQ2 2022","FQ2 2022","Currency=USD","Period=FQ","BEST_FPERIOD_OVERRIDE=FQ","FILING_STATUS=MR","SCALING_FORMAT=MLN","FA_ADJUSTED=GAAP","Sort=A","Dates=H","DateFormat=P","Fill=—","Direction=H","UseDPDF=Y")</f>
        <v>2176</v>
      </c>
      <c r="P24" s="13">
        <f>_xll.BDH("AMGN US Equity","EBIT","FQ3 2022","FQ3 2022","Currency=USD","Period=FQ","BEST_FPERIOD_OVERRIDE=FQ","FILING_STATUS=MR","SCALING_FORMAT=MLN","FA_ADJUSTED=GAAP","Sort=A","Dates=H","DateFormat=P","Fill=—","Direction=H","UseDPDF=Y")</f>
        <v>2660</v>
      </c>
      <c r="Q24" s="13">
        <f>_xll.BDH("AMGN US Equity","EBIT","FQ4 2022","FQ4 2022","Currency=USD","Period=FQ","BEST_FPERIOD_OVERRIDE=FQ","FILING_STATUS=MR","SCALING_FORMAT=MLN","FA_ADJUSTED=GAAP","Sort=A","Dates=H","DateFormat=P","Fill=—","Direction=H","UseDPDF=Y")</f>
        <v>2230</v>
      </c>
      <c r="R24" s="13">
        <f>_xll.BDH("AMGN US Equity","EBIT","FQ1 2023","FQ1 2023","Currency=USD","Period=FQ","BEST_FPERIOD_OVERRIDE=FQ","FILING_STATUS=MR","SCALING_FORMAT=MLN","FA_ADJUSTED=GAAP","Sort=A","Dates=H","DateFormat=P","Fill=—","Direction=H","UseDPDF=Y")</f>
        <v>1921</v>
      </c>
      <c r="S24" s="13">
        <f>_xll.BDH("AMGN US Equity","EBIT","FQ2 2023","FQ2 2023","Currency=USD","Period=FQ","BEST_FPERIOD_OVERRIDE=FQ","FILING_STATUS=MR","SCALING_FORMAT=MLN","FA_ADJUSTED=GAAP","Sort=A","Dates=H","DateFormat=P","Fill=—","Direction=H","UseDPDF=Y")</f>
        <v>2684</v>
      </c>
      <c r="T24" s="13">
        <f>_xll.BDH("AMGN US Equity","EBIT","FQ3 2023","FQ3 2023","Currency=USD","Period=FQ","BEST_FPERIOD_OVERRIDE=FQ","FILING_STATUS=MR","SCALING_FORMAT=MLN","FA_ADJUSTED=GAAP","Sort=A","Dates=H","DateFormat=P","Fill=—","Direction=H","UseDPDF=Y")</f>
        <v>2021</v>
      </c>
      <c r="U24" s="13">
        <f>_xll.BDH("AMGN US Equity","EBIT","FQ4 2023","FQ4 2023","Currency=USD","Period=FQ","BEST_FPERIOD_OVERRIDE=FQ","FILING_STATUS=MR","SCALING_FORMAT=MLN","FA_ADJUSTED=GAAP","Sort=A","Dates=H","DateFormat=P","Fill=—","Direction=H","UseDPDF=Y")</f>
        <v>1271</v>
      </c>
      <c r="V24" s="13">
        <f>_xll.BDH("AMGN US Equity","EBIT","FQ1 2024","FQ1 2024","Currency=USD","Period=FQ","BEST_FPERIOD_OVERRIDE=FQ","FILING_STATUS=MR","SCALING_FORMAT=MLN","FA_ADJUSTED=GAAP","Sort=A","Dates=H","DateFormat=P","Fill=—","Direction=H","UseDPDF=Y")</f>
        <v>991</v>
      </c>
      <c r="W24" s="13">
        <f>_xll.BDH("AMGN US Equity","EBIT","FQ2 2024","FQ2 2024","Currency=USD","Period=FQ","BEST_FPERIOD_OVERRIDE=FQ","FILING_STATUS=MR","SCALING_FORMAT=MLN","FA_ADJUSTED=GAAP","Sort=A","Dates=H","DateFormat=P","Fill=—","Direction=H","UseDPDF=Y")</f>
        <v>1909</v>
      </c>
      <c r="X24" s="13">
        <f>_xll.BDH("AMGN US Equity","EBIT","FQ3 2024","FQ3 2024","Currency=USD","Period=FQ","BEST_FPERIOD_OVERRIDE=FQ","FILING_STATUS=MR","SCALING_FORMAT=MLN","FA_ADJUSTED=GAAP","Sort=A","Dates=H","DateFormat=P","Fill=—","Direction=H","UseDPDF=Y")</f>
        <v>2047</v>
      </c>
      <c r="Y24" s="13">
        <f>_xll.BDH("AMGN US Equity","EBIT","FQ4 2024","FQ4 2024","Currency=USD","Period=FQ","BEST_FPERIOD_OVERRIDE=FQ","FILING_STATUS=MR","SCALING_FORMAT=MLN","FA_ADJUSTED=GAAP","Sort=A","Dates=H","DateFormat=P","Fill=—","Direction=H","UseDPDF=Y")</f>
        <v>2311</v>
      </c>
      <c r="Z24" s="13"/>
      <c r="AA24" s="13"/>
    </row>
    <row r="25" spans="1:27" x14ac:dyDescent="0.25">
      <c r="A25" s="10" t="s">
        <v>136</v>
      </c>
      <c r="B25" s="10" t="s">
        <v>141</v>
      </c>
      <c r="C25" s="13">
        <f>_xll.BDH("AMGN US Equity","EBIT","FQ2 2019","FQ2 2019","Currency=USD","Period=FQ","BEST_FPERIOD_OVERRIDE=FQ","FILING_STATUS=MR","SCALING_FORMAT=MLN","FA_ADJUSTED=Adjusted","Sort=A","Dates=H","DateFormat=P","Fill=—","Direction=H","UseDPDF=Y")</f>
        <v>2675</v>
      </c>
      <c r="D25" s="13">
        <f>_xll.BDH("AMGN US Equity","EBIT","FQ3 2019","FQ3 2019","Currency=USD","Period=FQ","BEST_FPERIOD_OVERRIDE=FQ","FILING_STATUS=MR","SCALING_FORMAT=MLN","FA_ADJUSTED=Adjusted","Sort=A","Dates=H","DateFormat=P","Fill=—","Direction=H","UseDPDF=Y")</f>
        <v>2476</v>
      </c>
      <c r="E25" s="13">
        <f>_xll.BDH("AMGN US Equity","EBIT","FQ4 2019","FQ4 2019","Currency=USD","Period=FQ","BEST_FPERIOD_OVERRIDE=FQ","FILING_STATUS=MR","SCALING_FORMAT=MLN","FA_ADJUSTED=Adjusted","Sort=A","Dates=H","DateFormat=P","Fill=—","Direction=H","UseDPDF=Y")</f>
        <v>2121</v>
      </c>
      <c r="F25" s="13">
        <f>_xll.BDH("AMGN US Equity","EBIT","FQ1 2020","FQ1 2020","Currency=USD","Period=FQ","BEST_FPERIOD_OVERRIDE=FQ","FILING_STATUS=MR","SCALING_FORMAT=MLN","FA_ADJUSTED=Adjusted","Sort=A","Dates=H","DateFormat=P","Fill=—","Direction=H","UseDPDF=Y")</f>
        <v>2380</v>
      </c>
      <c r="G25" s="13">
        <f>_xll.BDH("AMGN US Equity","EBIT","FQ2 2020","FQ2 2020","Currency=USD","Period=FQ","BEST_FPERIOD_OVERRIDE=FQ","FILING_STATUS=MR","SCALING_FORMAT=MLN","FA_ADJUSTED=Adjusted","Sort=A","Dates=H","DateFormat=P","Fill=—","Direction=H","UseDPDF=Y")</f>
        <v>2423</v>
      </c>
      <c r="H25" s="13">
        <f>_xll.BDH("AMGN US Equity","EBIT","FQ3 2020","FQ3 2020","Currency=USD","Period=FQ","BEST_FPERIOD_OVERRIDE=FQ","FILING_STATUS=MR","SCALING_FORMAT=MLN","FA_ADJUSTED=Adjusted","Sort=A","Dates=H","DateFormat=P","Fill=—","Direction=H","UseDPDF=Y")</f>
        <v>3182</v>
      </c>
      <c r="I25" s="13">
        <f>_xll.BDH("AMGN US Equity","EBIT","FQ4 2020","FQ4 2020","Currency=USD","Period=FQ","BEST_FPERIOD_OVERRIDE=FQ","FILING_STATUS=MR","SCALING_FORMAT=MLN","FA_ADJUSTED=Adjusted","Sort=A","Dates=H","DateFormat=P","Fill=—","Direction=H","UseDPDF=Y")</f>
        <v>2073</v>
      </c>
      <c r="J25" s="13">
        <f>_xll.BDH("AMGN US Equity","EBIT","FQ1 2021","FQ1 2021","Currency=USD","Period=FQ","BEST_FPERIOD_OVERRIDE=FQ","FILING_STATUS=MR","SCALING_FORMAT=MLN","FA_ADJUSTED=Adjusted","Sort=A","Dates=H","DateFormat=P","Fill=—","Direction=H","UseDPDF=Y")</f>
        <v>2864</v>
      </c>
      <c r="K25" s="13">
        <f>_xll.BDH("AMGN US Equity","EBIT","FQ2 2021","FQ2 2021","Currency=USD","Period=FQ","BEST_FPERIOD_OVERRIDE=FQ","FILING_STATUS=MR","SCALING_FORMAT=MLN","FA_ADJUSTED=Adjusted","Sort=A","Dates=H","DateFormat=P","Fill=—","Direction=H","UseDPDF=Y")</f>
        <v>3111</v>
      </c>
      <c r="L25" s="13">
        <f>_xll.BDH("AMGN US Equity","EBIT","FQ3 2021","FQ3 2021","Currency=USD","Period=FQ","BEST_FPERIOD_OVERRIDE=FQ","FILING_STATUS=MR","SCALING_FORMAT=MLN","FA_ADJUSTED=Adjusted","Sort=A","Dates=H","DateFormat=P","Fill=—","Direction=H","UseDPDF=Y")</f>
        <v>2405</v>
      </c>
      <c r="M25" s="13">
        <f>_xll.BDH("AMGN US Equity","EBIT","FQ4 2021","FQ4 2021","Currency=USD","Period=FQ","BEST_FPERIOD_OVERRIDE=FQ","FILING_STATUS=MR","SCALING_FORMAT=MLN","FA_ADJUSTED=Adjusted","Sort=A","Dates=H","DateFormat=P","Fill=—","Direction=H","UseDPDF=Y")</f>
        <v>2246</v>
      </c>
      <c r="N25" s="13">
        <f>_xll.BDH("AMGN US Equity","EBIT","FQ1 2022","FQ1 2022","Currency=USD","Period=FQ","BEST_FPERIOD_OVERRIDE=FQ","FILING_STATUS=MR","SCALING_FORMAT=MLN","FA_ADJUSTED=Adjusted","Sort=A","Dates=H","DateFormat=P","Fill=—","Direction=H","UseDPDF=Y")</f>
        <v>3140</v>
      </c>
      <c r="O25" s="13">
        <f>_xll.BDH("AMGN US Equity","EBIT","FQ2 2022","FQ2 2022","Currency=USD","Period=FQ","BEST_FPERIOD_OVERRIDE=FQ","FILING_STATUS=MR","SCALING_FORMAT=MLN","FA_ADJUSTED=Adjusted","Sort=A","Dates=H","DateFormat=P","Fill=—","Direction=H","UseDPDF=Y")</f>
        <v>3335</v>
      </c>
      <c r="P25" s="13">
        <f>_xll.BDH("AMGN US Equity","EBIT","FQ3 2022","FQ3 2022","Currency=USD","Period=FQ","BEST_FPERIOD_OVERRIDE=FQ","FILING_STATUS=MR","SCALING_FORMAT=MLN","FA_ADJUSTED=Adjusted","Sort=A","Dates=H","DateFormat=P","Fill=—","Direction=H","UseDPDF=Y")</f>
        <v>2665</v>
      </c>
      <c r="Q25" s="13">
        <f>_xll.BDH("AMGN US Equity","EBIT","FQ4 2022","FQ4 2022","Currency=USD","Period=FQ","BEST_FPERIOD_OVERRIDE=FQ","FILING_STATUS=MR","SCALING_FORMAT=MLN","FA_ADJUSTED=Adjusted","Sort=A","Dates=H","DateFormat=P","Fill=—","Direction=H","UseDPDF=Y")</f>
        <v>2196</v>
      </c>
      <c r="R25" s="13">
        <f>_xll.BDH("AMGN US Equity","EBIT","FQ1 2023","FQ1 2023","Currency=USD","Period=FQ","BEST_FPERIOD_OVERRIDE=FQ","FILING_STATUS=MR","SCALING_FORMAT=MLN","FA_ADJUSTED=Adjusted","Sort=A","Dates=H","DateFormat=P","Fill=—","Direction=H","UseDPDF=Y")</f>
        <v>2821</v>
      </c>
      <c r="S25" s="13">
        <f>_xll.BDH("AMGN US Equity","EBIT","FQ2 2023","FQ2 2023","Currency=USD","Period=FQ","BEST_FPERIOD_OVERRIDE=FQ","FILING_STATUS=MR","SCALING_FORMAT=MLN","FA_ADJUSTED=Adjusted","Sort=A","Dates=H","DateFormat=P","Fill=—","Direction=H","UseDPDF=Y")</f>
        <v>2726</v>
      </c>
      <c r="T25" s="13">
        <f>_xll.BDH("AMGN US Equity","EBIT","FQ3 2023","FQ3 2023","Currency=USD","Period=FQ","BEST_FPERIOD_OVERRIDE=FQ","FILING_STATUS=MR","SCALING_FORMAT=MLN","FA_ADJUSTED=Adjusted","Sort=A","Dates=H","DateFormat=P","Fill=—","Direction=H","UseDPDF=Y")</f>
        <v>2684</v>
      </c>
      <c r="U25" s="13">
        <f>_xll.BDH("AMGN US Equity","EBIT","FQ4 2023","FQ4 2023","Currency=USD","Period=FQ","BEST_FPERIOD_OVERRIDE=FQ","FILING_STATUS=MR","SCALING_FORMAT=MLN","FA_ADJUSTED=Adjusted","Sort=A","Dates=H","DateFormat=P","Fill=—","Direction=H","UseDPDF=Y")</f>
        <v>1798</v>
      </c>
      <c r="V25" s="13">
        <f>_xll.BDH("AMGN US Equity","EBIT","FQ1 2024","FQ1 2024","Currency=USD","Period=FQ","BEST_FPERIOD_OVERRIDE=FQ","FILING_STATUS=MR","SCALING_FORMAT=MLN","FA_ADJUSTED=Adjusted","Sort=A","Dates=H","DateFormat=P","Fill=—","Direction=H","UseDPDF=Y")</f>
        <v>1096</v>
      </c>
      <c r="W25" s="13">
        <f>_xll.BDH("AMGN US Equity","EBIT","FQ2 2024","FQ2 2024","Currency=USD","Period=FQ","BEST_FPERIOD_OVERRIDE=FQ","FILING_STATUS=MR","SCALING_FORMAT=MLN","FA_ADJUSTED=Adjusted","Sort=A","Dates=H","DateFormat=P","Fill=—","Direction=H","UseDPDF=Y")</f>
        <v>2043</v>
      </c>
      <c r="X25" s="13">
        <f>_xll.BDH("AMGN US Equity","EBIT","FQ3 2024","FQ3 2024","Currency=USD","Period=FQ","BEST_FPERIOD_OVERRIDE=FQ","FILING_STATUS=MR","SCALING_FORMAT=MLN","FA_ADJUSTED=Adjusted","Sort=A","Dates=H","DateFormat=P","Fill=—","Direction=H","UseDPDF=Y")</f>
        <v>2188</v>
      </c>
      <c r="Y25" s="13">
        <f>_xll.BDH("AMGN US Equity","EBIT","FQ4 2024","FQ4 2024","Currency=USD","Period=FQ","BEST_FPERIOD_OVERRIDE=FQ","FILING_STATUS=MR","SCALING_FORMAT=MLN","FA_ADJUSTED=Adjusted","Sort=A","Dates=H","DateFormat=P","Fill=—","Direction=H","UseDPDF=Y")</f>
        <v>2457</v>
      </c>
      <c r="Z25" s="13"/>
      <c r="AA25" s="13"/>
    </row>
    <row r="26" spans="1:27" x14ac:dyDescent="0.25">
      <c r="A26" s="10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5">
      <c r="A27" s="6" t="s">
        <v>78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x14ac:dyDescent="0.25">
      <c r="A28" s="10" t="s">
        <v>130</v>
      </c>
      <c r="B28" s="10" t="s">
        <v>145</v>
      </c>
      <c r="C28" s="13">
        <f>_xll.BDH("AMGN US Equity","BEST_EBITDA","FQ2 2019","FQ2 2019","Currency=USD","Period=FQ","BEST_FPERIOD_OVERRIDE=FQ","FILING_STATUS=MR","Sort=A","Dates=H","DateFormat=P","Fill=—","Direction=H","UseDPDF=Y")</f>
        <v>2772.5</v>
      </c>
      <c r="D28" s="13">
        <f>_xll.BDH("AMGN US Equity","BEST_EBITDA","FQ3 2019","FQ3 2019","Currency=USD","Period=FQ","BEST_FPERIOD_OVERRIDE=FQ","FILING_STATUS=MR","Sort=A","Dates=H","DateFormat=P","Fill=—","Direction=H","UseDPDF=Y")</f>
        <v>2753</v>
      </c>
      <c r="E28" s="13">
        <f>_xll.BDH("AMGN US Equity","BEST_EBITDA","FQ4 2019","FQ4 2019","Currency=USD","Period=FQ","BEST_FPERIOD_OVERRIDE=FQ","FILING_STATUS=MR","Sort=A","Dates=H","DateFormat=P","Fill=—","Direction=H","UseDPDF=Y")</f>
        <v>3066.3330000000001</v>
      </c>
      <c r="F28" s="13">
        <f>_xll.BDH("AMGN US Equity","BEST_EBITDA","FQ1 2020","FQ1 2020","Currency=USD","Period=FQ","BEST_FPERIOD_OVERRIDE=FQ","FILING_STATUS=MR","Sort=A","Dates=H","DateFormat=P","Fill=—","Direction=H","UseDPDF=Y")</f>
        <v>3355.5</v>
      </c>
      <c r="G28" s="13">
        <f>_xll.BDH("AMGN US Equity","BEST_EBITDA","FQ2 2020","FQ2 2020","Currency=USD","Period=FQ","BEST_FPERIOD_OVERRIDE=FQ","FILING_STATUS=MR","Sort=A","Dates=H","DateFormat=P","Fill=—","Direction=H","UseDPDF=Y")</f>
        <v>3489</v>
      </c>
      <c r="H28" s="13">
        <f>_xll.BDH("AMGN US Equity","BEST_EBITDA","FQ3 2020","FQ3 2020","Currency=USD","Period=FQ","BEST_FPERIOD_OVERRIDE=FQ","FILING_STATUS=MR","Sort=A","Dates=H","DateFormat=P","Fill=—","Direction=H","UseDPDF=Y")</f>
        <v>3462</v>
      </c>
      <c r="I28" s="13">
        <f>_xll.BDH("AMGN US Equity","BEST_EBITDA","FQ4 2020","FQ4 2020","Currency=USD","Period=FQ","BEST_FPERIOD_OVERRIDE=FQ","FILING_STATUS=MR","Sort=A","Dates=H","DateFormat=P","Fill=—","Direction=H","UseDPDF=Y")</f>
        <v>3469</v>
      </c>
      <c r="J28" s="13">
        <f>_xll.BDH("AMGN US Equity","BEST_EBITDA","FQ1 2021","FQ1 2021","Currency=USD","Period=FQ","BEST_FPERIOD_OVERRIDE=FQ","FILING_STATUS=MR","Sort=A","Dates=H","DateFormat=P","Fill=—","Direction=H","UseDPDF=Y")</f>
        <v>3881.5</v>
      </c>
      <c r="K28" s="13">
        <f>_xll.BDH("AMGN US Equity","BEST_EBITDA","FQ2 2021","FQ2 2021","Currency=USD","Period=FQ","BEST_FPERIOD_OVERRIDE=FQ","FILING_STATUS=MR","Sort=A","Dates=H","DateFormat=P","Fill=—","Direction=H","UseDPDF=Y")</f>
        <v>4231.5</v>
      </c>
      <c r="L28" s="13">
        <f>_xll.BDH("AMGN US Equity","BEST_EBITDA","FQ3 2021","FQ3 2021","Currency=USD","Period=FQ","BEST_FPERIOD_OVERRIDE=FQ","FILING_STATUS=MR","Sort=A","Dates=H","DateFormat=P","Fill=—","Direction=H","UseDPDF=Y")</f>
        <v>4163.5</v>
      </c>
      <c r="M28" s="13">
        <f>_xll.BDH("AMGN US Equity","BEST_EBITDA","FQ4 2021","FQ4 2021","Currency=USD","Period=FQ","BEST_FPERIOD_OVERRIDE=FQ","FILING_STATUS=MR","Sort=A","Dates=H","DateFormat=P","Fill=—","Direction=H","UseDPDF=Y")</f>
        <v>4013.25</v>
      </c>
      <c r="N28" s="13">
        <f>_xll.BDH("AMGN US Equity","BEST_EBITDA","FQ1 2022","FQ1 2022","Currency=USD","Period=FQ","BEST_FPERIOD_OVERRIDE=FQ","FILING_STATUS=MR","Sort=A","Dates=H","DateFormat=P","Fill=—","Direction=H","UseDPDF=Y")</f>
        <v>3651.4</v>
      </c>
      <c r="O28" s="13">
        <f>_xll.BDH("AMGN US Equity","BEST_EBITDA","FQ2 2022","FQ2 2022","Currency=USD","Period=FQ","BEST_FPERIOD_OVERRIDE=FQ","FILING_STATUS=MR","Sort=A","Dates=H","DateFormat=P","Fill=—","Direction=H","UseDPDF=Y")</f>
        <v>3953.75</v>
      </c>
      <c r="P28" s="13">
        <f>_xll.BDH("AMGN US Equity","BEST_EBITDA","FQ3 2022","FQ3 2022","Currency=USD","Period=FQ","BEST_FPERIOD_OVERRIDE=FQ","FILING_STATUS=MR","Sort=A","Dates=H","DateFormat=P","Fill=—","Direction=H","UseDPDF=Y")</f>
        <v>3724.8330000000001</v>
      </c>
      <c r="Q28" s="13">
        <f>_xll.BDH("AMGN US Equity","BEST_EBITDA","FQ4 2022","FQ4 2022","Currency=USD","Period=FQ","BEST_FPERIOD_OVERRIDE=FQ","FILING_STATUS=MR","Sort=A","Dates=H","DateFormat=P","Fill=—","Direction=H","UseDPDF=Y")</f>
        <v>3295.7139999999999</v>
      </c>
      <c r="R28" s="13">
        <f>_xll.BDH("AMGN US Equity","BEST_EBITDA","FQ1 2023","FQ1 2023","Currency=USD","Period=FQ","BEST_FPERIOD_OVERRIDE=FQ","FILING_STATUS=MR","Sort=A","Dates=H","DateFormat=P","Fill=—","Direction=H","UseDPDF=Y")</f>
        <v>3196.5</v>
      </c>
      <c r="S28" s="13">
        <f>_xll.BDH("AMGN US Equity","BEST_EBITDA","FQ2 2023","FQ2 2023","Currency=USD","Period=FQ","BEST_FPERIOD_OVERRIDE=FQ","FILING_STATUS=MR","Sort=A","Dates=H","DateFormat=P","Fill=—","Direction=H","UseDPDF=Y")</f>
        <v>3887.5</v>
      </c>
      <c r="T28" s="13">
        <f>_xll.BDH("AMGN US Equity","BEST_EBITDA","FQ3 2023","FQ3 2023","Currency=USD","Period=FQ","BEST_FPERIOD_OVERRIDE=FQ","FILING_STATUS=MR","Sort=A","Dates=H","DateFormat=P","Fill=—","Direction=H","UseDPDF=Y")</f>
        <v>4039.4</v>
      </c>
      <c r="U28" s="13">
        <f>_xll.BDH("AMGN US Equity","BEST_EBITDA","FQ4 2023","FQ4 2023","Currency=USD","Period=FQ","BEST_FPERIOD_OVERRIDE=FQ","FILING_STATUS=MR","Sort=A","Dates=H","DateFormat=P","Fill=—","Direction=H","UseDPDF=Y")</f>
        <v>4637.3999999999996</v>
      </c>
      <c r="V28" s="13">
        <f>_xll.BDH("AMGN US Equity","BEST_EBITDA","FQ1 2024","FQ1 2024","Currency=USD","Period=FQ","BEST_FPERIOD_OVERRIDE=FQ","FILING_STATUS=MR","Sort=A","Dates=H","DateFormat=P","Fill=—","Direction=H","UseDPDF=Y")</f>
        <v>3857.5709999999999</v>
      </c>
      <c r="W28" s="13">
        <f>_xll.BDH("AMGN US Equity","BEST_EBITDA","FQ2 2024","FQ2 2024","Currency=USD","Period=FQ","BEST_FPERIOD_OVERRIDE=FQ","FILING_STATUS=MR","Sort=A","Dates=H","DateFormat=P","Fill=—","Direction=H","UseDPDF=Y")</f>
        <v>4361.25</v>
      </c>
      <c r="X28" s="13">
        <f>_xll.BDH("AMGN US Equity","BEST_EBITDA","FQ3 2024","FQ3 2024","Currency=USD","Period=FQ","BEST_FPERIOD_OVERRIDE=FQ","FILING_STATUS=MR","Sort=A","Dates=H","DateFormat=P","Fill=—","Direction=H","UseDPDF=Y")</f>
        <v>5218.25</v>
      </c>
      <c r="Y28" s="13">
        <f>_xll.BDH("AMGN US Equity","BEST_EBITDA","FQ4 2024","FQ4 2024","Currency=USD","Period=FQ","BEST_FPERIOD_OVERRIDE=FQ","FILING_STATUS=MR","Sort=A","Dates=H","DateFormat=P","Fill=—","Direction=H","UseDPDF=Y")</f>
        <v>5958.75</v>
      </c>
      <c r="Z28" s="13">
        <v>3909.375</v>
      </c>
      <c r="AA28" s="13">
        <v>4794.625</v>
      </c>
    </row>
    <row r="29" spans="1:27" x14ac:dyDescent="0.25">
      <c r="A29" s="10" t="s">
        <v>132</v>
      </c>
      <c r="B29" s="10" t="s">
        <v>146</v>
      </c>
      <c r="C29" s="13">
        <f>_xll.BDH("AMGN US Equity","IS_COMPARABLE_EBITDA","FQ2 2019","FQ2 2019","Currency=USD","Period=FQ","BEST_FPERIOD_OVERRIDE=FQ","FILING_STATUS=MR","SCALING_FORMAT=MLN","Sort=A","Dates=H","DateFormat=P","Fill=—","Direction=H","UseDPDF=Y")</f>
        <v>3969</v>
      </c>
      <c r="D29" s="13">
        <f>_xll.BDH("AMGN US Equity","IS_COMPARABLE_EBITDA","FQ3 2019","FQ3 2019","Currency=USD","Period=FQ","BEST_FPERIOD_OVERRIDE=FQ","FILING_STATUS=MR","SCALING_FORMAT=MLN","Sort=A","Dates=H","DateFormat=P","Fill=—","Direction=H","UseDPDF=Y")</f>
        <v>4297</v>
      </c>
      <c r="E29" s="13">
        <f>_xll.BDH("AMGN US Equity","IS_COMPARABLE_EBITDA","FQ4 2019","FQ4 2019","Currency=USD","Period=FQ","BEST_FPERIOD_OVERRIDE=FQ","FILING_STATUS=MR","SCALING_FORMAT=MLN","Sort=A","Dates=H","DateFormat=P","Fill=—","Direction=H","UseDPDF=Y")</f>
        <v>3323</v>
      </c>
      <c r="F29" s="13">
        <f>_xll.BDH("AMGN US Equity","IS_COMPARABLE_EBITDA","FQ1 2020","FQ1 2020","Currency=USD","Period=FQ","BEST_FPERIOD_OVERRIDE=FQ","FILING_STATUS=MR","SCALING_FORMAT=MLN","Sort=A","Dates=H","DateFormat=P","Fill=—","Direction=H","UseDPDF=Y")</f>
        <v>4073</v>
      </c>
      <c r="G29" s="13">
        <f>_xll.BDH("AMGN US Equity","IS_COMPARABLE_EBITDA","FQ2 2020","FQ2 2020","Currency=USD","Period=FQ","BEST_FPERIOD_OVERRIDE=FQ","FILING_STATUS=MR","SCALING_FORMAT=MLN","Sort=A","Dates=H","DateFormat=P","Fill=—","Direction=H","UseDPDF=Y")</f>
        <v>5074</v>
      </c>
      <c r="H29" s="13">
        <f>_xll.BDH("AMGN US Equity","IS_COMPARABLE_EBITDA","FQ3 2020","FQ3 2020","Currency=USD","Period=FQ","BEST_FPERIOD_OVERRIDE=FQ","FILING_STATUS=MR","SCALING_FORMAT=MLN","Sort=A","Dates=H","DateFormat=P","Fill=—","Direction=H","UseDPDF=Y")</f>
        <v>5911</v>
      </c>
      <c r="I29" s="13">
        <f>_xll.BDH("AMGN US Equity","IS_COMPARABLE_EBITDA","FQ4 2020","FQ4 2020","Currency=USD","Period=FQ","BEST_FPERIOD_OVERRIDE=FQ","FILING_STATUS=MR","SCALING_FORMAT=MLN","Sort=A","Dates=H","DateFormat=P","Fill=—","Direction=H","UseDPDF=Y")</f>
        <v>3601</v>
      </c>
      <c r="J29" s="13">
        <f>_xll.BDH("AMGN US Equity","IS_COMPARABLE_EBITDA","FQ1 2021","FQ1 2021","Currency=USD","Period=FQ","BEST_FPERIOD_OVERRIDE=FQ","FILING_STATUS=MR","SCALING_FORMAT=MLN","Sort=A","Dates=H","DateFormat=P","Fill=—","Direction=H","UseDPDF=Y")</f>
        <v>3705</v>
      </c>
      <c r="K29" s="13">
        <f>_xll.BDH("AMGN US Equity","IS_COMPARABLE_EBITDA","FQ2 2021","FQ2 2021","Currency=USD","Period=FQ","BEST_FPERIOD_OVERRIDE=FQ","FILING_STATUS=MR","SCALING_FORMAT=MLN","Sort=A","Dates=H","DateFormat=P","Fill=—","Direction=H","UseDPDF=Y")</f>
        <v>4807</v>
      </c>
      <c r="L29" s="13">
        <f>_xll.BDH("AMGN US Equity","IS_COMPARABLE_EBITDA","FQ3 2021","FQ3 2021","Currency=USD","Period=FQ","BEST_FPERIOD_OVERRIDE=FQ","FILING_STATUS=MR","SCALING_FORMAT=MLN","Sort=A","Dates=H","DateFormat=P","Fill=—","Direction=H","UseDPDF=Y")</f>
        <v>5998</v>
      </c>
      <c r="M29" s="13">
        <f>_xll.BDH("AMGN US Equity","IS_COMPARABLE_EBITDA","FQ4 2021","FQ4 2021","Currency=USD","Period=FQ","BEST_FPERIOD_OVERRIDE=FQ","FILING_STATUS=MR","SCALING_FORMAT=MLN","Sort=A","Dates=H","DateFormat=P","Fill=—","Direction=H","UseDPDF=Y")</f>
        <v>1312</v>
      </c>
      <c r="N29" s="13">
        <f>_xll.BDH("AMGN US Equity","IS_COMPARABLE_EBITDA","FQ1 2022","FQ1 2022","Currency=USD","Period=FQ","BEST_FPERIOD_OVERRIDE=FQ","FILING_STATUS=MR","SCALING_FORMAT=MLN","Sort=A","Dates=H","DateFormat=P","Fill=—","Direction=H","UseDPDF=Y")</f>
        <v>3981</v>
      </c>
      <c r="O29" s="13">
        <f>_xll.BDH("AMGN US Equity","IS_COMPARABLE_EBITDA","FQ2 2022","FQ2 2022","Currency=USD","Period=FQ","BEST_FPERIOD_OVERRIDE=FQ","FILING_STATUS=MR","SCALING_FORMAT=MLN","Sort=A","Dates=H","DateFormat=P","Fill=—","Direction=H","UseDPDF=Y")</f>
        <v>5004</v>
      </c>
      <c r="P29" s="13" t="str">
        <f>_xll.BDH("AMGN US Equity","IS_COMPARABLE_EBITDA","FQ3 2022","FQ3 2022","Currency=USD","Period=FQ","BEST_FPERIOD_OVERRIDE=FQ","FILING_STATUS=MR","SCALING_FORMAT=MLN","Sort=A","Dates=H","DateFormat=P","Fill=—","Direction=H","UseDPDF=Y")</f>
        <v>—</v>
      </c>
      <c r="Q29" s="13">
        <f>_xll.BDH("AMGN US Equity","IS_COMPARABLE_EBITDA","FQ4 2022","FQ4 2022","Currency=USD","Period=FQ","BEST_FPERIOD_OVERRIDE=FQ","FILING_STATUS=MR","SCALING_FORMAT=MLN","Sort=A","Dates=H","DateFormat=P","Fill=—","Direction=H","UseDPDF=Y")</f>
        <v>3920</v>
      </c>
      <c r="R29" s="13">
        <f>_xll.BDH("AMGN US Equity","IS_COMPARABLE_EBITDA","FQ1 2023","FQ1 2023","Currency=USD","Period=FQ","BEST_FPERIOD_OVERRIDE=FQ","FILING_STATUS=MR","SCALING_FORMAT=MLN","Sort=A","Dates=H","DateFormat=P","Fill=—","Direction=H","UseDPDF=Y")</f>
        <v>3721</v>
      </c>
      <c r="S29" s="13">
        <f>_xll.BDH("AMGN US Equity","IS_COMPARABLE_EBITDA","FQ2 2023","FQ2 2023","Currency=USD","Period=FQ","BEST_FPERIOD_OVERRIDE=FQ","FILING_STATUS=MR","SCALING_FORMAT=MLN","Sort=A","Dates=H","DateFormat=P","Fill=—","Direction=H","UseDPDF=Y")</f>
        <v>3515</v>
      </c>
      <c r="T29" s="13">
        <f>_xll.BDH("AMGN US Equity","IS_COMPARABLE_EBITDA","FQ3 2023","FQ3 2023","Currency=USD","Period=FQ","BEST_FPERIOD_OVERRIDE=FQ","FILING_STATUS=MR","SCALING_FORMAT=MLN","Sort=A","Dates=H","DateFormat=P","Fill=—","Direction=H","UseDPDF=Y")</f>
        <v>4298</v>
      </c>
      <c r="U29" s="13">
        <f>_xll.BDH("AMGN US Equity","IS_COMPARABLE_EBITDA","FQ4 2023","FQ4 2023","Currency=USD","Period=FQ","BEST_FPERIOD_OVERRIDE=FQ","FILING_STATUS=MR","SCALING_FORMAT=MLN","Sort=A","Dates=H","DateFormat=P","Fill=—","Direction=H","UseDPDF=Y")</f>
        <v>5936</v>
      </c>
      <c r="V29" s="13">
        <f>_xll.BDH("AMGN US Equity","IS_COMPARABLE_EBITDA","FQ1 2024","FQ1 2024","Currency=USD","Period=FQ","BEST_FPERIOD_OVERRIDE=FQ","FILING_STATUS=MR","SCALING_FORMAT=MLN","Sort=A","Dates=H","DateFormat=P","Fill=—","Direction=H","UseDPDF=Y")</f>
        <v>5165</v>
      </c>
      <c r="W29" s="13">
        <f>_xll.BDH("AMGN US Equity","IS_COMPARABLE_EBITDA","FQ2 2024","FQ2 2024","Currency=USD","Period=FQ","BEST_FPERIOD_OVERRIDE=FQ","FILING_STATUS=MR","SCALING_FORMAT=MLN","Sort=A","Dates=H","DateFormat=P","Fill=—","Direction=H","UseDPDF=Y")</f>
        <v>5273</v>
      </c>
      <c r="X29" s="13">
        <f>_xll.BDH("AMGN US Equity","IS_COMPARABLE_EBITDA","FQ3 2024","FQ3 2024","Currency=USD","Period=FQ","BEST_FPERIOD_OVERRIDE=FQ","FILING_STATUS=MR","SCALING_FORMAT=MLN","Sort=A","Dates=H","DateFormat=P","Fill=—","Direction=H","UseDPDF=Y")</f>
        <v>4752</v>
      </c>
      <c r="Y29" s="13">
        <f>_xll.BDH("AMGN US Equity","IS_COMPARABLE_EBITDA","FQ4 2024","FQ4 2024","Currency=USD","Period=FQ","BEST_FPERIOD_OVERRIDE=FQ","FILING_STATUS=MR","SCALING_FORMAT=MLN","Sort=A","Dates=H","DateFormat=P","Fill=—","Direction=H","UseDPDF=Y")</f>
        <v>-5565</v>
      </c>
      <c r="Z29" s="13"/>
      <c r="AA29" s="13"/>
    </row>
    <row r="30" spans="1:27" x14ac:dyDescent="0.25">
      <c r="A30" s="11" t="s">
        <v>147</v>
      </c>
      <c r="B30" s="11"/>
      <c r="C30" s="25">
        <v>43.155996393146999</v>
      </c>
      <c r="D30" s="25">
        <v>56.084271703596102</v>
      </c>
      <c r="E30" s="25">
        <v>8.3704868323172992</v>
      </c>
      <c r="F30" s="25">
        <v>21.382804351065399</v>
      </c>
      <c r="G30" s="25">
        <v>45.428489538549698</v>
      </c>
      <c r="H30" s="25">
        <v>70.739456961293996</v>
      </c>
      <c r="I30" s="25">
        <v>3.8051311617180699</v>
      </c>
      <c r="J30" s="25">
        <v>-4.5472111297178897</v>
      </c>
      <c r="K30" s="25">
        <v>13.6003781165071</v>
      </c>
      <c r="L30" s="25">
        <v>44.061486729914698</v>
      </c>
      <c r="M30" s="25">
        <v>-67.308291285118003</v>
      </c>
      <c r="N30" s="25">
        <v>9.02667470011502</v>
      </c>
      <c r="O30" s="25">
        <v>26.563389187480201</v>
      </c>
      <c r="P30" s="25" t="s">
        <v>148</v>
      </c>
      <c r="Q30" s="25">
        <v>18.942359682909402</v>
      </c>
      <c r="R30" s="25">
        <v>16.4085718754888</v>
      </c>
      <c r="S30" s="25">
        <v>-9.5819935691318303</v>
      </c>
      <c r="T30" s="25">
        <v>6.4019408823092503</v>
      </c>
      <c r="U30" s="25">
        <v>28.0027601673352</v>
      </c>
      <c r="V30" s="25">
        <v>33.892545334875201</v>
      </c>
      <c r="W30" s="25">
        <v>20.905703640011499</v>
      </c>
      <c r="X30" s="25">
        <v>-8.9349877832606701</v>
      </c>
      <c r="Y30" s="25" t="s">
        <v>148</v>
      </c>
      <c r="Z30" s="25"/>
      <c r="AA30" s="25"/>
    </row>
    <row r="31" spans="1:27" x14ac:dyDescent="0.25">
      <c r="A31" s="10" t="s">
        <v>135</v>
      </c>
      <c r="B31" s="10" t="s">
        <v>78</v>
      </c>
      <c r="C31" s="13">
        <f>_xll.BDH("AMGN US Equity","EBITDA","FQ2 2019","FQ2 2019","Currency=USD","Period=FQ","BEST_FPERIOD_OVERRIDE=FQ","FILING_STATUS=MR","SCALING_FORMAT=MLN","FA_ADJUSTED=GAAP","Sort=A","Dates=H","DateFormat=P","Fill=—","Direction=H","UseDPDF=Y")</f>
        <v>3221</v>
      </c>
      <c r="D31" s="13">
        <f>_xll.BDH("AMGN US Equity","EBITDA","FQ3 2019","FQ3 2019","Currency=USD","Period=FQ","BEST_FPERIOD_OVERRIDE=FQ","FILING_STATUS=MR","SCALING_FORMAT=MLN","FA_ADJUSTED=GAAP","Sort=A","Dates=H","DateFormat=P","Fill=—","Direction=H","UseDPDF=Y")</f>
        <v>3026</v>
      </c>
      <c r="E31" s="13">
        <f>_xll.BDH("AMGN US Equity","EBITDA","FQ4 2019","FQ4 2019","Currency=USD","Period=FQ","BEST_FPERIOD_OVERRIDE=FQ","FILING_STATUS=MR","SCALING_FORMAT=MLN","FA_ADJUSTED=GAAP","Sort=A","Dates=H","DateFormat=P","Fill=—","Direction=H","UseDPDF=Y")</f>
        <v>2797</v>
      </c>
      <c r="F31" s="13">
        <f>_xll.BDH("AMGN US Equity","EBITDA","FQ1 2020","FQ1 2020","Currency=USD","Period=FQ","BEST_FPERIOD_OVERRIDE=FQ","FILING_STATUS=MR","SCALING_FORMAT=MLN","FA_ADJUSTED=GAAP","Sort=A","Dates=H","DateFormat=P","Fill=—","Direction=H","UseDPDF=Y")</f>
        <v>3252</v>
      </c>
      <c r="G31" s="13">
        <f>_xll.BDH("AMGN US Equity","EBITDA","FQ2 2020","FQ2 2020","Currency=USD","Period=FQ","BEST_FPERIOD_OVERRIDE=FQ","FILING_STATUS=MR","SCALING_FORMAT=MLN","FA_ADJUSTED=GAAP","Sort=A","Dates=H","DateFormat=P","Fill=—","Direction=H","UseDPDF=Y")</f>
        <v>3253</v>
      </c>
      <c r="H31" s="13">
        <f>_xll.BDH("AMGN US Equity","EBITDA","FQ3 2020","FQ3 2020","Currency=USD","Period=FQ","BEST_FPERIOD_OVERRIDE=FQ","FILING_STATUS=MR","SCALING_FORMAT=MLN","FA_ADJUSTED=GAAP","Sort=A","Dates=H","DateFormat=P","Fill=—","Direction=H","UseDPDF=Y")</f>
        <v>3354</v>
      </c>
      <c r="I31" s="13">
        <f>_xll.BDH("AMGN US Equity","EBITDA","FQ4 2020","FQ4 2020","Currency=USD","Period=FQ","BEST_FPERIOD_OVERRIDE=FQ","FILING_STATUS=MR","SCALING_FORMAT=MLN","FA_ADJUSTED=GAAP","Sort=A","Dates=H","DateFormat=P","Fill=—","Direction=H","UseDPDF=Y")</f>
        <v>2881</v>
      </c>
      <c r="J31" s="13">
        <f>_xll.BDH("AMGN US Equity","EBITDA","FQ1 2021","FQ1 2021","Currency=USD","Period=FQ","BEST_FPERIOD_OVERRIDE=FQ","FILING_STATUS=MR","SCALING_FORMAT=MLN","FA_ADJUSTED=GAAP","Sort=A","Dates=H","DateFormat=P","Fill=—","Direction=H","UseDPDF=Y")</f>
        <v>2970</v>
      </c>
      <c r="K31" s="13">
        <f>_xll.BDH("AMGN US Equity","EBITDA","FQ2 2021","FQ2 2021","Currency=USD","Period=FQ","BEST_FPERIOD_OVERRIDE=FQ","FILING_STATUS=MR","SCALING_FORMAT=MLN","FA_ADJUSTED=GAAP","Sort=A","Dates=H","DateFormat=P","Fill=—","Direction=H","UseDPDF=Y")</f>
        <v>1683</v>
      </c>
      <c r="L31" s="13">
        <f>_xll.BDH("AMGN US Equity","EBITDA","FQ3 2021","FQ3 2021","Currency=USD","Period=FQ","BEST_FPERIOD_OVERRIDE=FQ","FILING_STATUS=MR","SCALING_FORMAT=MLN","FA_ADJUSTED=GAAP","Sort=A","Dates=H","DateFormat=P","Fill=—","Direction=H","UseDPDF=Y")</f>
        <v>3228</v>
      </c>
      <c r="M31" s="13">
        <f>_xll.BDH("AMGN US Equity","EBITDA","FQ4 2021","FQ4 2021","Currency=USD","Period=FQ","BEST_FPERIOD_OVERRIDE=FQ","FILING_STATUS=MR","SCALING_FORMAT=MLN","FA_ADJUSTED=GAAP","Sort=A","Dates=H","DateFormat=P","Fill=—","Direction=H","UseDPDF=Y")</f>
        <v>3156</v>
      </c>
      <c r="N31" s="13">
        <f>_xll.BDH("AMGN US Equity","EBITDA","FQ1 2022","FQ1 2022","Currency=USD","Period=FQ","BEST_FPERIOD_OVERRIDE=FQ","FILING_STATUS=MR","SCALING_FORMAT=MLN","FA_ADJUSTED=GAAP","Sort=A","Dates=H","DateFormat=P","Fill=—","Direction=H","UseDPDF=Y")</f>
        <v>3341</v>
      </c>
      <c r="O31" s="13">
        <f>_xll.BDH("AMGN US Equity","EBITDA","FQ2 2022","FQ2 2022","Currency=USD","Period=FQ","BEST_FPERIOD_OVERRIDE=FQ","FILING_STATUS=MR","SCALING_FORMAT=MLN","FA_ADJUSTED=GAAP","Sort=A","Dates=H","DateFormat=P","Fill=—","Direction=H","UseDPDF=Y")</f>
        <v>3004</v>
      </c>
      <c r="P31" s="13">
        <f>_xll.BDH("AMGN US Equity","EBITDA","FQ3 2022","FQ3 2022","Currency=USD","Period=FQ","BEST_FPERIOD_OVERRIDE=FQ","FILING_STATUS=MR","SCALING_FORMAT=MLN","FA_ADJUSTED=GAAP","Sort=A","Dates=H","DateFormat=P","Fill=—","Direction=H","UseDPDF=Y")</f>
        <v>3497</v>
      </c>
      <c r="Q31" s="13">
        <f>_xll.BDH("AMGN US Equity","EBITDA","FQ4 2022","FQ4 2022","Currency=USD","Period=FQ","BEST_FPERIOD_OVERRIDE=FQ","FILING_STATUS=MR","SCALING_FORMAT=MLN","FA_ADJUSTED=GAAP","Sort=A","Dates=H","DateFormat=P","Fill=—","Direction=H","UseDPDF=Y")</f>
        <v>3141</v>
      </c>
      <c r="R31" s="13">
        <f>_xll.BDH("AMGN US Equity","EBITDA","FQ1 2023","FQ1 2023","Currency=USD","Period=FQ","BEST_FPERIOD_OVERRIDE=FQ","FILING_STATUS=MR","SCALING_FORMAT=MLN","FA_ADJUSTED=GAAP","Sort=A","Dates=H","DateFormat=P","Fill=—","Direction=H","UseDPDF=Y")</f>
        <v>2821</v>
      </c>
      <c r="S31" s="13">
        <f>_xll.BDH("AMGN US Equity","EBITDA","FQ2 2023","FQ2 2023","Currency=USD","Period=FQ","BEST_FPERIOD_OVERRIDE=FQ","FILING_STATUS=MR","SCALING_FORMAT=MLN","FA_ADJUSTED=GAAP","Sort=A","Dates=H","DateFormat=P","Fill=—","Direction=H","UseDPDF=Y")</f>
        <v>3580</v>
      </c>
      <c r="T31" s="13">
        <f>_xll.BDH("AMGN US Equity","EBITDA","FQ3 2023","FQ3 2023","Currency=USD","Period=FQ","BEST_FPERIOD_OVERRIDE=FQ","FILING_STATUS=MR","SCALING_FORMAT=MLN","FA_ADJUSTED=GAAP","Sort=A","Dates=H","DateFormat=P","Fill=—","Direction=H","UseDPDF=Y")</f>
        <v>2916</v>
      </c>
      <c r="U31" s="13">
        <f>_xll.BDH("AMGN US Equity","EBITDA","FQ4 2023","FQ4 2023","Currency=USD","Period=FQ","BEST_FPERIOD_OVERRIDE=FQ","FILING_STATUS=MR","SCALING_FORMAT=MLN","FA_ADJUSTED=GAAP","Sort=A","Dates=H","DateFormat=P","Fill=—","Direction=H","UseDPDF=Y")</f>
        <v>2651</v>
      </c>
      <c r="V31" s="13">
        <f>_xll.BDH("AMGN US Equity","EBITDA","FQ1 2024","FQ1 2024","Currency=USD","Period=FQ","BEST_FPERIOD_OVERRIDE=FQ","FILING_STATUS=MR","SCALING_FORMAT=MLN","FA_ADJUSTED=GAAP","Sort=A","Dates=H","DateFormat=P","Fill=—","Direction=H","UseDPDF=Y")</f>
        <v>2390</v>
      </c>
      <c r="W31" s="13">
        <f>_xll.BDH("AMGN US Equity","EBITDA","FQ2 2024","FQ2 2024","Currency=USD","Period=FQ","BEST_FPERIOD_OVERRIDE=FQ","FILING_STATUS=MR","SCALING_FORMAT=MLN","FA_ADJUSTED=GAAP","Sort=A","Dates=H","DateFormat=P","Fill=—","Direction=H","UseDPDF=Y")</f>
        <v>3309</v>
      </c>
      <c r="X31" s="13">
        <f>_xll.BDH("AMGN US Equity","EBITDA","FQ3 2024","FQ3 2024","Currency=USD","Period=FQ","BEST_FPERIOD_OVERRIDE=FQ","FILING_STATUS=MR","SCALING_FORMAT=MLN","FA_ADJUSTED=GAAP","Sort=A","Dates=H","DateFormat=P","Fill=—","Direction=H","UseDPDF=Y")</f>
        <v>3443</v>
      </c>
      <c r="Y31" s="13">
        <f>_xll.BDH("AMGN US Equity","EBITDA","FQ4 2024","FQ4 2024","Currency=USD","Period=FQ","BEST_FPERIOD_OVERRIDE=FQ","FILING_STATUS=MR","SCALING_FORMAT=MLN","FA_ADJUSTED=GAAP","Sort=A","Dates=H","DateFormat=P","Fill=—","Direction=H","UseDPDF=Y")</f>
        <v>3708</v>
      </c>
      <c r="Z31" s="13"/>
      <c r="AA31" s="13"/>
    </row>
    <row r="32" spans="1:27" x14ac:dyDescent="0.25">
      <c r="A32" s="10" t="s">
        <v>136</v>
      </c>
      <c r="B32" s="10" t="s">
        <v>78</v>
      </c>
      <c r="C32" s="13">
        <f>_xll.BDH("AMGN US Equity","EBITDA","FQ2 2019","FQ2 2019","Currency=USD","Period=FQ","BEST_FPERIOD_OVERRIDE=FQ","FILING_STATUS=MR","SCALING_FORMAT=MLN","FA_ADJUSTED=Adjusted","Sort=A","Dates=H","DateFormat=P","Fill=—","Direction=H","UseDPDF=Y")</f>
        <v>3218</v>
      </c>
      <c r="D32" s="13">
        <f>_xll.BDH("AMGN US Equity","EBITDA","FQ3 2019","FQ3 2019","Currency=USD","Period=FQ","BEST_FPERIOD_OVERRIDE=FQ","FILING_STATUS=MR","SCALING_FORMAT=MLN","FA_ADJUSTED=Adjusted","Sort=A","Dates=H","DateFormat=P","Fill=—","Direction=H","UseDPDF=Y")</f>
        <v>3026</v>
      </c>
      <c r="E32" s="13">
        <f>_xll.BDH("AMGN US Equity","EBITDA","FQ4 2019","FQ4 2019","Currency=USD","Period=FQ","BEST_FPERIOD_OVERRIDE=FQ","FILING_STATUS=MR","SCALING_FORMAT=MLN","FA_ADJUSTED=Adjusted","Sort=A","Dates=H","DateFormat=P","Fill=—","Direction=H","UseDPDF=Y")</f>
        <v>2870</v>
      </c>
      <c r="F32" s="13">
        <f>_xll.BDH("AMGN US Equity","EBITDA","FQ1 2020","FQ1 2020","Currency=USD","Period=FQ","BEST_FPERIOD_OVERRIDE=FQ","FILING_STATUS=MR","SCALING_FORMAT=MLN","FA_ADJUSTED=Adjusted","Sort=A","Dates=H","DateFormat=P","Fill=—","Direction=H","UseDPDF=Y")</f>
        <v>3277</v>
      </c>
      <c r="G32" s="13">
        <f>_xll.BDH("AMGN US Equity","EBITDA","FQ2 2020","FQ2 2020","Currency=USD","Period=FQ","BEST_FPERIOD_OVERRIDE=FQ","FILING_STATUS=MR","SCALING_FORMAT=MLN","FA_ADJUSTED=Adjusted","Sort=A","Dates=H","DateFormat=P","Fill=—","Direction=H","UseDPDF=Y")</f>
        <v>3353</v>
      </c>
      <c r="H32" s="13">
        <f>_xll.BDH("AMGN US Equity","EBITDA","FQ3 2020","FQ3 2020","Currency=USD","Period=FQ","BEST_FPERIOD_OVERRIDE=FQ","FILING_STATUS=MR","SCALING_FORMAT=MLN","FA_ADJUSTED=Adjusted","Sort=A","Dates=H","DateFormat=P","Fill=—","Direction=H","UseDPDF=Y")</f>
        <v>4083</v>
      </c>
      <c r="I32" s="13">
        <f>_xll.BDH("AMGN US Equity","EBITDA","FQ4 2020","FQ4 2020","Currency=USD","Period=FQ","BEST_FPERIOD_OVERRIDE=FQ","FILING_STATUS=MR","SCALING_FORMAT=MLN","FA_ADJUSTED=Adjusted","Sort=A","Dates=H","DateFormat=P","Fill=—","Direction=H","UseDPDF=Y")</f>
        <v>2946</v>
      </c>
      <c r="J32" s="13">
        <f>_xll.BDH("AMGN US Equity","EBITDA","FQ1 2021","FQ1 2021","Currency=USD","Period=FQ","BEST_FPERIOD_OVERRIDE=FQ","FILING_STATUS=MR","SCALING_FORMAT=MLN","FA_ADJUSTED=Adjusted","Sort=A","Dates=H","DateFormat=P","Fill=—","Direction=H","UseDPDF=Y")</f>
        <v>3705</v>
      </c>
      <c r="K32" s="13">
        <f>_xll.BDH("AMGN US Equity","EBITDA","FQ2 2021","FQ2 2021","Currency=USD","Period=FQ","BEST_FPERIOD_OVERRIDE=FQ","FILING_STATUS=MR","SCALING_FORMAT=MLN","FA_ADJUSTED=Adjusted","Sort=A","Dates=H","DateFormat=P","Fill=—","Direction=H","UseDPDF=Y")</f>
        <v>3966</v>
      </c>
      <c r="L32" s="13">
        <f>_xll.BDH("AMGN US Equity","EBITDA","FQ3 2021","FQ3 2021","Currency=USD","Period=FQ","BEST_FPERIOD_OVERRIDE=FQ","FILING_STATUS=MR","SCALING_FORMAT=MLN","FA_ADJUSTED=Adjusted","Sort=A","Dates=H","DateFormat=P","Fill=—","Direction=H","UseDPDF=Y")</f>
        <v>3255</v>
      </c>
      <c r="M32" s="13">
        <f>_xll.BDH("AMGN US Equity","EBITDA","FQ4 2021","FQ4 2021","Currency=USD","Period=FQ","BEST_FPERIOD_OVERRIDE=FQ","FILING_STATUS=MR","SCALING_FORMAT=MLN","FA_ADJUSTED=Adjusted","Sort=A","Dates=H","DateFormat=P","Fill=—","Direction=H","UseDPDF=Y")</f>
        <v>3098</v>
      </c>
      <c r="N32" s="13">
        <f>_xll.BDH("AMGN US Equity","EBITDA","FQ1 2022","FQ1 2022","Currency=USD","Period=FQ","BEST_FPERIOD_OVERRIDE=FQ","FILING_STATUS=MR","SCALING_FORMAT=MLN","FA_ADJUSTED=Adjusted","Sort=A","Dates=H","DateFormat=P","Fill=—","Direction=H","UseDPDF=Y")</f>
        <v>3981</v>
      </c>
      <c r="O32" s="13">
        <f>_xll.BDH("AMGN US Equity","EBITDA","FQ2 2022","FQ2 2022","Currency=USD","Period=FQ","BEST_FPERIOD_OVERRIDE=FQ","FILING_STATUS=MR","SCALING_FORMAT=MLN","FA_ADJUSTED=Adjusted","Sort=A","Dates=H","DateFormat=P","Fill=—","Direction=H","UseDPDF=Y")</f>
        <v>4163</v>
      </c>
      <c r="P32" s="13">
        <f>_xll.BDH("AMGN US Equity","EBITDA","FQ3 2022","FQ3 2022","Currency=USD","Period=FQ","BEST_FPERIOD_OVERRIDE=FQ","FILING_STATUS=MR","SCALING_FORMAT=MLN","FA_ADJUSTED=Adjusted","Sort=A","Dates=H","DateFormat=P","Fill=—","Direction=H","UseDPDF=Y")</f>
        <v>3502</v>
      </c>
      <c r="Q32" s="13">
        <f>_xll.BDH("AMGN US Equity","EBITDA","FQ4 2022","FQ4 2022","Currency=USD","Period=FQ","BEST_FPERIOD_OVERRIDE=FQ","FILING_STATUS=MR","SCALING_FORMAT=MLN","FA_ADJUSTED=Adjusted","Sort=A","Dates=H","DateFormat=P","Fill=—","Direction=H","UseDPDF=Y")</f>
        <v>3107</v>
      </c>
      <c r="R32" s="13">
        <f>_xll.BDH("AMGN US Equity","EBITDA","FQ1 2023","FQ1 2023","Currency=USD","Period=FQ","BEST_FPERIOD_OVERRIDE=FQ","FILING_STATUS=MR","SCALING_FORMAT=MLN","FA_ADJUSTED=Adjusted","Sort=A","Dates=H","DateFormat=P","Fill=—","Direction=H","UseDPDF=Y")</f>
        <v>3721</v>
      </c>
      <c r="S32" s="13">
        <f>_xll.BDH("AMGN US Equity","EBITDA","FQ2 2023","FQ2 2023","Currency=USD","Period=FQ","BEST_FPERIOD_OVERRIDE=FQ","FILING_STATUS=MR","SCALING_FORMAT=MLN","FA_ADJUSTED=Adjusted","Sort=A","Dates=H","DateFormat=P","Fill=—","Direction=H","UseDPDF=Y")</f>
        <v>3622</v>
      </c>
      <c r="T32" s="13">
        <f>_xll.BDH("AMGN US Equity","EBITDA","FQ3 2023","FQ3 2023","Currency=USD","Period=FQ","BEST_FPERIOD_OVERRIDE=FQ","FILING_STATUS=MR","SCALING_FORMAT=MLN","FA_ADJUSTED=Adjusted","Sort=A","Dates=H","DateFormat=P","Fill=—","Direction=H","UseDPDF=Y")</f>
        <v>3579</v>
      </c>
      <c r="U32" s="13">
        <f>_xll.BDH("AMGN US Equity","EBITDA","FQ4 2023","FQ4 2023","Currency=USD","Period=FQ","BEST_FPERIOD_OVERRIDE=FQ","FILING_STATUS=MR","SCALING_FORMAT=MLN","FA_ADJUSTED=Adjusted","Sort=A","Dates=H","DateFormat=P","Fill=—","Direction=H","UseDPDF=Y")</f>
        <v>3178</v>
      </c>
      <c r="V32" s="13">
        <f>_xll.BDH("AMGN US Equity","EBITDA","FQ1 2024","FQ1 2024","Currency=USD","Period=FQ","BEST_FPERIOD_OVERRIDE=FQ","FILING_STATUS=MR","SCALING_FORMAT=MLN","FA_ADJUSTED=Adjusted","Sort=A","Dates=H","DateFormat=P","Fill=—","Direction=H","UseDPDF=Y")</f>
        <v>2495</v>
      </c>
      <c r="W32" s="13">
        <f>_xll.BDH("AMGN US Equity","EBITDA","FQ2 2024","FQ2 2024","Currency=USD","Period=FQ","BEST_FPERIOD_OVERRIDE=FQ","FILING_STATUS=MR","SCALING_FORMAT=MLN","FA_ADJUSTED=Adjusted","Sort=A","Dates=H","DateFormat=P","Fill=—","Direction=H","UseDPDF=Y")</f>
        <v>3443</v>
      </c>
      <c r="X32" s="13">
        <f>_xll.BDH("AMGN US Equity","EBITDA","FQ3 2024","FQ3 2024","Currency=USD","Period=FQ","BEST_FPERIOD_OVERRIDE=FQ","FILING_STATUS=MR","SCALING_FORMAT=MLN","FA_ADJUSTED=Adjusted","Sort=A","Dates=H","DateFormat=P","Fill=—","Direction=H","UseDPDF=Y")</f>
        <v>3584</v>
      </c>
      <c r="Y32" s="13">
        <f>_xll.BDH("AMGN US Equity","EBITDA","FQ4 2024","FQ4 2024","Currency=USD","Period=FQ","BEST_FPERIOD_OVERRIDE=FQ","FILING_STATUS=MR","SCALING_FORMAT=MLN","FA_ADJUSTED=Adjusted","Sort=A","Dates=H","DateFormat=P","Fill=—","Direction=H","UseDPDF=Y")</f>
        <v>3854</v>
      </c>
      <c r="Z32" s="13"/>
      <c r="AA32" s="13"/>
    </row>
    <row r="33" spans="1:27" x14ac:dyDescent="0.25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5">
      <c r="A34" s="6" t="s">
        <v>149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 x14ac:dyDescent="0.25">
      <c r="A35" s="10" t="s">
        <v>130</v>
      </c>
      <c r="B35" s="10" t="s">
        <v>150</v>
      </c>
      <c r="C35" s="14">
        <f>_xll.BDH("AMGN US Equity","BEST_GROSS_MARGIN","FQ2 2019","FQ2 2019","Currency=USD","Period=FQ","BEST_FPERIOD_OVERRIDE=FQ","FILING_STATUS=MR","Sort=A","Dates=H","DateFormat=P","Fill=—","Direction=H","UseDPDF=Y")</f>
        <v>86.070999999999998</v>
      </c>
      <c r="D35" s="14">
        <f>_xll.BDH("AMGN US Equity","BEST_GROSS_MARGIN","FQ3 2019","FQ3 2019","Currency=USD","Period=FQ","BEST_FPERIOD_OVERRIDE=FQ","FILING_STATUS=MR","Sort=A","Dates=H","DateFormat=P","Fill=—","Direction=H","UseDPDF=Y")</f>
        <v>86.396000000000001</v>
      </c>
      <c r="E35" s="14">
        <f>_xll.BDH("AMGN US Equity","BEST_GROSS_MARGIN","FQ4 2019","FQ4 2019","Currency=USD","Period=FQ","BEST_FPERIOD_OVERRIDE=FQ","FILING_STATUS=MR","Sort=A","Dates=H","DateFormat=P","Fill=—","Direction=H","UseDPDF=Y")</f>
        <v>86.183999999999997</v>
      </c>
      <c r="F35" s="14">
        <f>_xll.BDH("AMGN US Equity","BEST_GROSS_MARGIN","FQ1 2020","FQ1 2020","Currency=USD","Period=FQ","BEST_FPERIOD_OVERRIDE=FQ","FILING_STATUS=MR","Sort=A","Dates=H","DateFormat=P","Fill=—","Direction=H","UseDPDF=Y")</f>
        <v>86.304000000000002</v>
      </c>
      <c r="G35" s="14">
        <f>_xll.BDH("AMGN US Equity","BEST_GROSS_MARGIN","FQ2 2020","FQ2 2020","Currency=USD","Period=FQ","BEST_FPERIOD_OVERRIDE=FQ","FILING_STATUS=MR","Sort=A","Dates=H","DateFormat=P","Fill=—","Direction=H","UseDPDF=Y")</f>
        <v>86.789000000000001</v>
      </c>
      <c r="H35" s="14">
        <f>_xll.BDH("AMGN US Equity","BEST_GROSS_MARGIN","FQ3 2020","FQ3 2020","Currency=USD","Period=FQ","BEST_FPERIOD_OVERRIDE=FQ","FILING_STATUS=MR","Sort=A","Dates=H","DateFormat=P","Fill=—","Direction=H","UseDPDF=Y")</f>
        <v>86.524000000000001</v>
      </c>
      <c r="I35" s="14">
        <f>_xll.BDH("AMGN US Equity","BEST_GROSS_MARGIN","FQ4 2020","FQ4 2020","Currency=USD","Period=FQ","BEST_FPERIOD_OVERRIDE=FQ","FILING_STATUS=MR","Sort=A","Dates=H","DateFormat=P","Fill=—","Direction=H","UseDPDF=Y")</f>
        <v>85.924000000000007</v>
      </c>
      <c r="J35" s="14">
        <f>_xll.BDH("AMGN US Equity","BEST_GROSS_MARGIN","FQ1 2021","FQ1 2021","Currency=USD","Period=FQ","BEST_FPERIOD_OVERRIDE=FQ","FILING_STATUS=MR","Sort=A","Dates=H","DateFormat=P","Fill=—","Direction=H","UseDPDF=Y")</f>
        <v>85.403000000000006</v>
      </c>
      <c r="K35" s="14">
        <f>_xll.BDH("AMGN US Equity","BEST_GROSS_MARGIN","FQ2 2021","FQ2 2021","Currency=USD","Period=FQ","BEST_FPERIOD_OVERRIDE=FQ","FILING_STATUS=MR","Sort=A","Dates=H","DateFormat=P","Fill=—","Direction=H","UseDPDF=Y")</f>
        <v>84.638000000000005</v>
      </c>
      <c r="L35" s="14">
        <f>_xll.BDH("AMGN US Equity","BEST_GROSS_MARGIN","FQ3 2021","FQ3 2021","Currency=USD","Period=FQ","BEST_FPERIOD_OVERRIDE=FQ","FILING_STATUS=MR","Sort=A","Dates=H","DateFormat=P","Fill=—","Direction=H","UseDPDF=Y")</f>
        <v>84.415000000000006</v>
      </c>
      <c r="M35" s="14">
        <f>_xll.BDH("AMGN US Equity","BEST_GROSS_MARGIN","FQ4 2021","FQ4 2021","Currency=USD","Period=FQ","BEST_FPERIOD_OVERRIDE=FQ","FILING_STATUS=MR","Sort=A","Dates=H","DateFormat=P","Fill=—","Direction=H","UseDPDF=Y")</f>
        <v>84.316999999999993</v>
      </c>
      <c r="N35" s="14">
        <f>_xll.BDH("AMGN US Equity","BEST_GROSS_MARGIN","FQ1 2022","FQ1 2022","Currency=USD","Period=FQ","BEST_FPERIOD_OVERRIDE=FQ","FILING_STATUS=MR","Sort=A","Dates=H","DateFormat=P","Fill=—","Direction=H","UseDPDF=Y")</f>
        <v>84.906000000000006</v>
      </c>
      <c r="O35" s="14">
        <f>_xll.BDH("AMGN US Equity","BEST_GROSS_MARGIN","FQ2 2022","FQ2 2022","Currency=USD","Period=FQ","BEST_FPERIOD_OVERRIDE=FQ","FILING_STATUS=MR","Sort=A","Dates=H","DateFormat=P","Fill=—","Direction=H","UseDPDF=Y")</f>
        <v>84.728999999999999</v>
      </c>
      <c r="P35" s="14">
        <f>_xll.BDH("AMGN US Equity","BEST_GROSS_MARGIN","FQ3 2022","FQ3 2022","Currency=USD","Period=FQ","BEST_FPERIOD_OVERRIDE=FQ","FILING_STATUS=MR","Sort=A","Dates=H","DateFormat=P","Fill=—","Direction=H","UseDPDF=Y")</f>
        <v>84.667000000000002</v>
      </c>
      <c r="Q35" s="14">
        <f>_xll.BDH("AMGN US Equity","BEST_GROSS_MARGIN","FQ4 2022","FQ4 2022","Currency=USD","Period=FQ","BEST_FPERIOD_OVERRIDE=FQ","FILING_STATUS=MR","Sort=A","Dates=H","DateFormat=P","Fill=—","Direction=H","UseDPDF=Y")</f>
        <v>84.295000000000002</v>
      </c>
      <c r="R35" s="14">
        <f>_xll.BDH("AMGN US Equity","BEST_GROSS_MARGIN","FQ1 2023","FQ1 2023","Currency=USD","Period=FQ","BEST_FPERIOD_OVERRIDE=FQ","FILING_STATUS=MR","Sort=A","Dates=H","DateFormat=P","Fill=—","Direction=H","UseDPDF=Y")</f>
        <v>83.119</v>
      </c>
      <c r="S35" s="14">
        <f>_xll.BDH("AMGN US Equity","BEST_GROSS_MARGIN","FQ2 2023","FQ2 2023","Currency=USD","Period=FQ","BEST_FPERIOD_OVERRIDE=FQ","FILING_STATUS=MR","Sort=A","Dates=H","DateFormat=P","Fill=—","Direction=H","UseDPDF=Y")</f>
        <v>84.617999999999995</v>
      </c>
      <c r="T35" s="14">
        <f>_xll.BDH("AMGN US Equity","BEST_GROSS_MARGIN","FQ3 2023","FQ3 2023","Currency=USD","Period=FQ","BEST_FPERIOD_OVERRIDE=FQ","FILING_STATUS=MR","Sort=A","Dates=H","DateFormat=P","Fill=—","Direction=H","UseDPDF=Y")</f>
        <v>84.07</v>
      </c>
      <c r="U35" s="14">
        <f>_xll.BDH("AMGN US Equity","BEST_GROSS_MARGIN","FQ4 2023","FQ4 2023","Currency=USD","Period=FQ","BEST_FPERIOD_OVERRIDE=FQ","FILING_STATUS=MR","Sort=A","Dates=H","DateFormat=P","Fill=—","Direction=H","UseDPDF=Y")</f>
        <v>84.167000000000002</v>
      </c>
      <c r="V35" s="14">
        <f>_xll.BDH("AMGN US Equity","BEST_GROSS_MARGIN","FQ1 2024","FQ1 2024","Currency=USD","Period=FQ","BEST_FPERIOD_OVERRIDE=FQ","FILING_STATUS=MR","Sort=A","Dates=H","DateFormat=P","Fill=—","Direction=H","UseDPDF=Y")</f>
        <v>82.58</v>
      </c>
      <c r="W35" s="14">
        <f>_xll.BDH("AMGN US Equity","BEST_GROSS_MARGIN","FQ2 2024","FQ2 2024","Currency=USD","Period=FQ","BEST_FPERIOD_OVERRIDE=FQ","FILING_STATUS=MR","Sort=A","Dates=H","DateFormat=P","Fill=—","Direction=H","UseDPDF=Y")</f>
        <v>83.21</v>
      </c>
      <c r="X35" s="14">
        <f>_xll.BDH("AMGN US Equity","BEST_GROSS_MARGIN","FQ3 2024","FQ3 2024","Currency=USD","Period=FQ","BEST_FPERIOD_OVERRIDE=FQ","FILING_STATUS=MR","Sort=A","Dates=H","DateFormat=P","Fill=—","Direction=H","UseDPDF=Y")</f>
        <v>83.108000000000004</v>
      </c>
      <c r="Y35" s="14">
        <f>_xll.BDH("AMGN US Equity","BEST_GROSS_MARGIN","FQ4 2024","FQ4 2024","Currency=USD","Period=FQ","BEST_FPERIOD_OVERRIDE=FQ","FILING_STATUS=MR","Sort=A","Dates=H","DateFormat=P","Fill=—","Direction=H","UseDPDF=Y")</f>
        <v>83.912999999999997</v>
      </c>
      <c r="Z35" s="14">
        <v>81.783000000000001</v>
      </c>
      <c r="AA35" s="14">
        <v>82.64</v>
      </c>
    </row>
    <row r="36" spans="1:27" x14ac:dyDescent="0.25">
      <c r="A36" s="10" t="s">
        <v>132</v>
      </c>
      <c r="B36" s="10" t="s">
        <v>151</v>
      </c>
      <c r="C36" s="13">
        <f>_xll.BDH("AMGN US Equity","IS_COMP_GROSS_MARGIN_PERCENTAGE","FQ2 2019","FQ2 2019","Currency=USD","Period=FQ","BEST_FPERIOD_OVERRIDE=FQ","FILING_STATUS=MR","Sort=A","Dates=H","DateFormat=P","Fill=—","Direction=H","UseDPDF=Y")</f>
        <v>87.463800000000006</v>
      </c>
      <c r="D36" s="13">
        <f>_xll.BDH("AMGN US Equity","IS_COMP_GROSS_MARGIN_PERCENTAGE","FQ3 2019","FQ3 2019","Currency=USD","Period=FQ","BEST_FPERIOD_OVERRIDE=FQ","FILING_STATUS=MR","Sort=A","Dates=H","DateFormat=P","Fill=—","Direction=H","UseDPDF=Y")</f>
        <v>86.752700000000004</v>
      </c>
      <c r="E36" s="13">
        <f>_xll.BDH("AMGN US Equity","IS_COMP_GROSS_MARGIN_PERCENTAGE","FQ4 2019","FQ4 2019","Currency=USD","Period=FQ","BEST_FPERIOD_OVERRIDE=FQ","FILING_STATUS=MR","Sort=A","Dates=H","DateFormat=P","Fill=—","Direction=H","UseDPDF=Y")</f>
        <v>87.251900000000006</v>
      </c>
      <c r="F36" s="13">
        <f>_xll.BDH("AMGN US Equity","IS_COMP_GROSS_MARGIN_PERCENTAGE","FQ1 2020","FQ1 2020","Currency=USD","Period=FQ","BEST_FPERIOD_OVERRIDE=FQ","FILING_STATUS=MR","Sort=A","Dates=H","DateFormat=P","Fill=—","Direction=H","UseDPDF=Y")</f>
        <v>87.485799999999998</v>
      </c>
      <c r="G36" s="13">
        <f>_xll.BDH("AMGN US Equity","IS_COMP_GROSS_MARGIN_PERCENTAGE","FQ2 2020","FQ2 2020","Currency=USD","Period=FQ","BEST_FPERIOD_OVERRIDE=FQ","FILING_STATUS=MR","Sort=A","Dates=H","DateFormat=P","Fill=—","Direction=H","UseDPDF=Y")</f>
        <v>87.786000000000001</v>
      </c>
      <c r="H36" s="13">
        <f>_xll.BDH("AMGN US Equity","IS_COMP_GROSS_MARGIN_PERCENTAGE","FQ3 2020","FQ3 2020","Currency=USD","Period=FQ","BEST_FPERIOD_OVERRIDE=FQ","FILING_STATUS=MR","Sort=A","Dates=H","DateFormat=P","Fill=—","Direction=H","UseDPDF=Y")</f>
        <v>86.392700000000005</v>
      </c>
      <c r="I36" s="13">
        <f>_xll.BDH("AMGN US Equity","IS_COMP_GROSS_MARGIN_PERCENTAGE","FQ4 2020","FQ4 2020","Currency=USD","Period=FQ","BEST_FPERIOD_OVERRIDE=FQ","FILING_STATUS=MR","Sort=A","Dates=H","DateFormat=P","Fill=—","Direction=H","UseDPDF=Y")</f>
        <v>85.544200000000004</v>
      </c>
      <c r="J36" s="13">
        <f>_xll.BDH("AMGN US Equity","IS_COMP_GROSS_MARGIN_PERCENTAGE","FQ1 2021","FQ1 2021","Currency=USD","Period=FQ","BEST_FPERIOD_OVERRIDE=FQ","FILING_STATUS=MR","Sort=A","Dates=H","DateFormat=P","Fill=—","Direction=H","UseDPDF=Y")</f>
        <v>85.307599999999994</v>
      </c>
      <c r="K36" s="13">
        <f>_xll.BDH("AMGN US Equity","IS_COMP_GROSS_MARGIN_PERCENTAGE","FQ2 2021","FQ2 2021","Currency=USD","Period=FQ","BEST_FPERIOD_OVERRIDE=FQ","FILING_STATUS=MR","Sort=A","Dates=H","DateFormat=P","Fill=—","Direction=H","UseDPDF=Y")</f>
        <v>84.155699999999996</v>
      </c>
      <c r="L36" s="13">
        <f>_xll.BDH("AMGN US Equity","IS_COMP_GROSS_MARGIN_PERCENTAGE","FQ3 2021","FQ3 2021","Currency=USD","Period=FQ","BEST_FPERIOD_OVERRIDE=FQ","FILING_STATUS=MR","Sort=A","Dates=H","DateFormat=P","Fill=—","Direction=H","UseDPDF=Y")</f>
        <v>85.1327</v>
      </c>
      <c r="M36" s="13">
        <f>_xll.BDH("AMGN US Equity","IS_COMP_GROSS_MARGIN_PERCENTAGE","FQ4 2021","FQ4 2021","Currency=USD","Period=FQ","BEST_FPERIOD_OVERRIDE=FQ","FILING_STATUS=MR","Sort=A","Dates=H","DateFormat=P","Fill=—","Direction=H","UseDPDF=Y")</f>
        <v>74.905100000000004</v>
      </c>
      <c r="N36" s="13">
        <f>_xll.BDH("AMGN US Equity","IS_COMP_GROSS_MARGIN_PERCENTAGE","FQ1 2022","FQ1 2022","Currency=USD","Period=FQ","BEST_FPERIOD_OVERRIDE=FQ","FILING_STATUS=MR","Sort=A","Dates=H","DateFormat=P","Fill=—","Direction=H","UseDPDF=Y")</f>
        <v>74.975999999999999</v>
      </c>
      <c r="O36" s="13">
        <f>_xll.BDH("AMGN US Equity","IS_COMP_GROSS_MARGIN_PERCENTAGE","FQ2 2022","FQ2 2022","Currency=USD","Period=FQ","BEST_FPERIOD_OVERRIDE=FQ","FILING_STATUS=MR","Sort=A","Dates=H","DateFormat=P","Fill=—","Direction=H","UseDPDF=Y")</f>
        <v>85.956900000000005</v>
      </c>
      <c r="P36" s="13">
        <f>_xll.BDH("AMGN US Equity","IS_COMP_GROSS_MARGIN_PERCENTAGE","FQ3 2022","FQ3 2022","Currency=USD","Period=FQ","BEST_FPERIOD_OVERRIDE=FQ","FILING_STATUS=MR","Sort=A","Dates=H","DateFormat=P","Fill=—","Direction=H","UseDPDF=Y")</f>
        <v>76.127499999999998</v>
      </c>
      <c r="Q36" s="13">
        <f>_xll.BDH("AMGN US Equity","IS_COMP_GROSS_MARGIN_PERCENTAGE","FQ4 2022","FQ4 2022","Currency=USD","Period=FQ","BEST_FPERIOD_OVERRIDE=FQ","FILING_STATUS=MR","Sort=A","Dates=H","DateFormat=P","Fill=—","Direction=H","UseDPDF=Y")</f>
        <v>74.455299999999994</v>
      </c>
      <c r="R36" s="13">
        <f>_xll.BDH("AMGN US Equity","IS_COMP_GROSS_MARGIN_PERCENTAGE","FQ1 2023","FQ1 2023","Currency=USD","Period=FQ","BEST_FPERIOD_OVERRIDE=FQ","FILING_STATUS=MR","Sort=A","Dates=H","DateFormat=P","Fill=—","Direction=H","UseDPDF=Y")</f>
        <v>83.357900000000001</v>
      </c>
      <c r="S36" s="13">
        <f>_xll.BDH("AMGN US Equity","IS_COMP_GROSS_MARGIN_PERCENTAGE","FQ2 2023","FQ2 2023","Currency=USD","Period=FQ","BEST_FPERIOD_OVERRIDE=FQ","FILING_STATUS=MR","Sort=A","Dates=H","DateFormat=P","Fill=—","Direction=H","UseDPDF=Y")</f>
        <v>83.653000000000006</v>
      </c>
      <c r="T36" s="13">
        <f>_xll.BDH("AMGN US Equity","IS_COMP_GROSS_MARGIN_PERCENTAGE","FQ3 2023","FQ3 2023","Currency=USD","Period=FQ","BEST_FPERIOD_OVERRIDE=FQ","FILING_STATUS=MR","Sort=A","Dates=H","DateFormat=P","Fill=—","Direction=H","UseDPDF=Y")</f>
        <v>83.528899999999993</v>
      </c>
      <c r="U36" s="13">
        <f>_xll.BDH("AMGN US Equity","IS_COMP_GROSS_MARGIN_PERCENTAGE","FQ4 2023","FQ4 2023","Currency=USD","Period=FQ","BEST_FPERIOD_OVERRIDE=FQ","FILING_STATUS=MR","Sort=A","Dates=H","DateFormat=P","Fill=—","Direction=H","UseDPDF=Y")</f>
        <v>84.406999999999996</v>
      </c>
      <c r="V36" s="13">
        <f>_xll.BDH("AMGN US Equity","IS_COMP_GROSS_MARGIN_PERCENTAGE","FQ1 2024","FQ1 2024","Currency=USD","Period=FQ","BEST_FPERIOD_OVERRIDE=FQ","FILING_STATUS=MR","Sort=A","Dates=H","DateFormat=P","Fill=—","Direction=H","UseDPDF=Y")</f>
        <v>71.97</v>
      </c>
      <c r="W36" s="13">
        <f>_xll.BDH("AMGN US Equity","IS_COMP_GROSS_MARGIN_PERCENTAGE","FQ2 2024","FQ2 2024","Currency=USD","Period=FQ","BEST_FPERIOD_OVERRIDE=FQ","FILING_STATUS=MR","Sort=A","Dates=H","DateFormat=P","Fill=—","Direction=H","UseDPDF=Y")</f>
        <v>83.238</v>
      </c>
      <c r="X36" s="13">
        <f>_xll.BDH("AMGN US Equity","IS_COMP_GROSS_MARGIN_PERCENTAGE","FQ3 2024","FQ3 2024","Currency=USD","Period=FQ","BEST_FPERIOD_OVERRIDE=FQ","FILING_STATUS=MR","Sort=A","Dates=H","DateFormat=P","Fill=—","Direction=H","UseDPDF=Y")</f>
        <v>61.072600000000001</v>
      </c>
      <c r="Y36" s="13">
        <f>_xll.BDH("AMGN US Equity","IS_COMP_GROSS_MARGIN_PERCENTAGE","FQ4 2024","FQ4 2024","Currency=USD","Period=FQ","BEST_FPERIOD_OVERRIDE=FQ","FILING_STATUS=MR","Sort=A","Dates=H","DateFormat=P","Fill=—","Direction=H","UseDPDF=Y")</f>
        <v>100</v>
      </c>
      <c r="Z36" s="13"/>
      <c r="AA36" s="13"/>
    </row>
    <row r="37" spans="1:27" x14ac:dyDescent="0.25">
      <c r="A37" s="11" t="s">
        <v>152</v>
      </c>
      <c r="B37" s="11"/>
      <c r="C37" s="25">
        <v>1.6182047379489</v>
      </c>
      <c r="D37" s="25">
        <v>0.41281772304272901</v>
      </c>
      <c r="E37" s="25">
        <v>1.2390884618954801</v>
      </c>
      <c r="F37" s="25">
        <v>1.3693432517612201</v>
      </c>
      <c r="G37" s="25">
        <v>1.1487792231734399</v>
      </c>
      <c r="H37" s="25">
        <v>-0.151806435208728</v>
      </c>
      <c r="I37" s="25">
        <v>-0.44205809785391997</v>
      </c>
      <c r="J37" s="25">
        <v>-0.111734950762861</v>
      </c>
      <c r="K37" s="25">
        <v>-0.56985632930834795</v>
      </c>
      <c r="L37" s="25">
        <v>0.85022448616951196</v>
      </c>
      <c r="M37" s="25">
        <v>-11.162572197777401</v>
      </c>
      <c r="N37" s="25">
        <v>-11.695340729748199</v>
      </c>
      <c r="O37" s="25">
        <v>1.44924524070861</v>
      </c>
      <c r="P37" s="25">
        <v>-10.0860075354034</v>
      </c>
      <c r="Q37" s="25">
        <v>-11.672898748443</v>
      </c>
      <c r="R37" s="25">
        <v>0.28742285157424102</v>
      </c>
      <c r="S37" s="25">
        <v>-1.1403956604977601</v>
      </c>
      <c r="T37" s="25">
        <v>-0.64363030807660304</v>
      </c>
      <c r="U37" s="25">
        <v>0.28518065274988402</v>
      </c>
      <c r="V37" s="25">
        <v>-12.848147251150399</v>
      </c>
      <c r="W37" s="25">
        <v>3.3600528782610099E-2</v>
      </c>
      <c r="X37" s="25">
        <v>-26.514218847764401</v>
      </c>
      <c r="Y37" s="25">
        <v>19.171046202614601</v>
      </c>
      <c r="Z37" s="25"/>
      <c r="AA37" s="25"/>
    </row>
    <row r="38" spans="1:27" x14ac:dyDescent="0.25">
      <c r="A38" s="10" t="s">
        <v>135</v>
      </c>
      <c r="B38" s="10" t="s">
        <v>153</v>
      </c>
      <c r="C38" s="13">
        <f>_xll.BDH("AMGN US Equity","GROSS_MARGIN","FQ2 2019","FQ2 2019","Currency=USD","Period=FQ","BEST_FPERIOD_OVERRIDE=FQ","FILING_STATUS=MR","FA_ADJUSTED=GAAP","Sort=A","Dates=H","DateFormat=P","Fill=—","Direction=H","UseDPDF=Y")</f>
        <v>82.762699999999995</v>
      </c>
      <c r="D38" s="13">
        <f>_xll.BDH("AMGN US Equity","GROSS_MARGIN","FQ3 2019","FQ3 2019","Currency=USD","Period=FQ","BEST_FPERIOD_OVERRIDE=FQ","FILING_STATUS=MR","FA_ADJUSTED=GAAP","Sort=A","Dates=H","DateFormat=P","Fill=—","Direction=H","UseDPDF=Y")</f>
        <v>81.941800000000001</v>
      </c>
      <c r="E38" s="13">
        <f>_xll.BDH("AMGN US Equity","GROSS_MARGIN","FQ4 2019","FQ4 2019","Currency=USD","Period=FQ","BEST_FPERIOD_OVERRIDE=FQ","FILING_STATUS=MR","FA_ADJUSTED=GAAP","Sort=A","Dates=H","DateFormat=P","Fill=—","Direction=H","UseDPDF=Y")</f>
        <v>79.780500000000004</v>
      </c>
      <c r="F38" s="13">
        <f>_xll.BDH("AMGN US Equity","GROSS_MARGIN","FQ1 2020","FQ1 2020","Currency=USD","Period=FQ","BEST_FPERIOD_OVERRIDE=FQ","FILING_STATUS=MR","FA_ADJUSTED=GAAP","Sort=A","Dates=H","DateFormat=P","Fill=—","Direction=H","UseDPDF=Y")</f>
        <v>75.442300000000003</v>
      </c>
      <c r="G38" s="13">
        <f>_xll.BDH("AMGN US Equity","GROSS_MARGIN","FQ2 2020","FQ2 2020","Currency=USD","Period=FQ","BEST_FPERIOD_OVERRIDE=FQ","FILING_STATUS=MR","FA_ADJUSTED=GAAP","Sort=A","Dates=H","DateFormat=P","Fill=—","Direction=H","UseDPDF=Y")</f>
        <v>76.023200000000003</v>
      </c>
      <c r="H38" s="13">
        <f>_xll.BDH("AMGN US Equity","GROSS_MARGIN","FQ3 2020","FQ3 2020","Currency=USD","Period=FQ","BEST_FPERIOD_OVERRIDE=FQ","FILING_STATUS=MR","FA_ADJUSTED=GAAP","Sort=A","Dates=H","DateFormat=P","Fill=—","Direction=H","UseDPDF=Y")</f>
        <v>75.696700000000007</v>
      </c>
      <c r="I38" s="13">
        <f>_xll.BDH("AMGN US Equity","GROSS_MARGIN","FQ4 2020","FQ4 2020","Currency=USD","Period=FQ","BEST_FPERIOD_OVERRIDE=FQ","FILING_STATUS=MR","FA_ADJUSTED=GAAP","Sort=A","Dates=H","DateFormat=P","Fill=—","Direction=H","UseDPDF=Y")</f>
        <v>75.927000000000007</v>
      </c>
      <c r="J38" s="13">
        <f>_xll.BDH("AMGN US Equity","GROSS_MARGIN","FQ1 2021","FQ1 2021","Currency=USD","Period=FQ","BEST_FPERIOD_OVERRIDE=FQ","FILING_STATUS=MR","FA_ADJUSTED=GAAP","Sort=A","Dates=H","DateFormat=P","Fill=—","Direction=H","UseDPDF=Y")</f>
        <v>74.75</v>
      </c>
      <c r="K38" s="13">
        <f>_xll.BDH("AMGN US Equity","GROSS_MARGIN","FQ2 2021","FQ2 2021","Currency=USD","Period=FQ","BEST_FPERIOD_OVERRIDE=FQ","FILING_STATUS=MR","FA_ADJUSTED=GAAP","Sort=A","Dates=H","DateFormat=P","Fill=—","Direction=H","UseDPDF=Y")</f>
        <v>74.915700000000001</v>
      </c>
      <c r="L38" s="13">
        <f>_xll.BDH("AMGN US Equity","GROSS_MARGIN","FQ3 2021","FQ3 2021","Currency=USD","Period=FQ","BEST_FPERIOD_OVERRIDE=FQ","FILING_STATUS=MR","FA_ADJUSTED=GAAP","Sort=A","Dates=H","DateFormat=P","Fill=—","Direction=H","UseDPDF=Y")</f>
        <v>76.006600000000006</v>
      </c>
      <c r="M38" s="13">
        <f>_xll.BDH("AMGN US Equity","GROSS_MARGIN","FQ4 2021","FQ4 2021","Currency=USD","Period=FQ","BEST_FPERIOD_OVERRIDE=FQ","FILING_STATUS=MR","FA_ADJUSTED=GAAP","Sort=A","Dates=H","DateFormat=P","Fill=—","Direction=H","UseDPDF=Y")</f>
        <v>74.905100000000004</v>
      </c>
      <c r="N38" s="13">
        <f>_xll.BDH("AMGN US Equity","GROSS_MARGIN","FQ1 2022","FQ1 2022","Currency=USD","Period=FQ","BEST_FPERIOD_OVERRIDE=FQ","FILING_STATUS=MR","FA_ADJUSTED=GAAP","Sort=A","Dates=H","DateFormat=P","Fill=—","Direction=H","UseDPDF=Y")</f>
        <v>74.975999999999999</v>
      </c>
      <c r="O38" s="13">
        <f>_xll.BDH("AMGN US Equity","GROSS_MARGIN","FQ2 2022","FQ2 2022","Currency=USD","Period=FQ","BEST_FPERIOD_OVERRIDE=FQ","FILING_STATUS=MR","FA_ADJUSTED=GAAP","Sort=A","Dates=H","DateFormat=P","Fill=—","Direction=H","UseDPDF=Y")</f>
        <v>77.100399999999993</v>
      </c>
      <c r="P38" s="13">
        <f>_xll.BDH("AMGN US Equity","GROSS_MARGIN","FQ3 2022","FQ3 2022","Currency=USD","Period=FQ","BEST_FPERIOD_OVERRIDE=FQ","FILING_STATUS=MR","FA_ADJUSTED=GAAP","Sort=A","Dates=H","DateFormat=P","Fill=—","Direction=H","UseDPDF=Y")</f>
        <v>76.127499999999998</v>
      </c>
      <c r="Q38" s="13">
        <f>_xll.BDH("AMGN US Equity","GROSS_MARGIN","FQ4 2022","FQ4 2022","Currency=USD","Period=FQ","BEST_FPERIOD_OVERRIDE=FQ","FILING_STATUS=MR","FA_ADJUSTED=GAAP","Sort=A","Dates=H","DateFormat=P","Fill=—","Direction=H","UseDPDF=Y")</f>
        <v>74.455299999999994</v>
      </c>
      <c r="R38" s="13">
        <f>_xll.BDH("AMGN US Equity","GROSS_MARGIN","FQ1 2023","FQ1 2023","Currency=USD","Period=FQ","BEST_FPERIOD_OVERRIDE=FQ","FILING_STATUS=MR","FA_ADJUSTED=GAAP","Sort=A","Dates=H","DateFormat=P","Fill=—","Direction=H","UseDPDF=Y")</f>
        <v>71.826400000000007</v>
      </c>
      <c r="S38" s="13">
        <f>_xll.BDH("AMGN US Equity","GROSS_MARGIN","FQ2 2023","FQ2 2023","Currency=USD","Period=FQ","BEST_FPERIOD_OVERRIDE=FQ","FILING_STATUS=MR","FA_ADJUSTED=GAAP","Sort=A","Dates=H","DateFormat=P","Fill=—","Direction=H","UseDPDF=Y")</f>
        <v>74.048100000000005</v>
      </c>
      <c r="T38" s="13">
        <f>_xll.BDH("AMGN US Equity","GROSS_MARGIN","FQ3 2023","FQ3 2023","Currency=USD","Period=FQ","BEST_FPERIOD_OVERRIDE=FQ","FILING_STATUS=MR","FA_ADJUSTED=GAAP","Sort=A","Dates=H","DateFormat=P","Fill=—","Direction=H","UseDPDF=Y")</f>
        <v>73.837500000000006</v>
      </c>
      <c r="U38" s="13">
        <f>_xll.BDH("AMGN US Equity","GROSS_MARGIN","FQ4 2023","FQ4 2023","Currency=USD","Period=FQ","BEST_FPERIOD_OVERRIDE=FQ","FILING_STATUS=MR","FA_ADJUSTED=GAAP","Sort=A","Dates=H","DateFormat=P","Fill=—","Direction=H","UseDPDF=Y")</f>
        <v>62.030299999999997</v>
      </c>
      <c r="V38" s="13">
        <f>_xll.BDH("AMGN US Equity","GROSS_MARGIN","FQ1 2024","FQ1 2024","Currency=USD","Period=FQ","BEST_FPERIOD_OVERRIDE=FQ","FILING_STATUS=MR","FA_ADJUSTED=GAAP","Sort=A","Dates=H","DateFormat=P","Fill=—","Direction=H","UseDPDF=Y")</f>
        <v>57.029699999999998</v>
      </c>
      <c r="W38" s="13">
        <f>_xll.BDH("AMGN US Equity","GROSS_MARGIN","FQ2 2024","FQ2 2024","Currency=USD","Period=FQ","BEST_FPERIOD_OVERRIDE=FQ","FILING_STATUS=MR","FA_ADJUSTED=GAAP","Sort=A","Dates=H","DateFormat=P","Fill=—","Direction=H","UseDPDF=Y")</f>
        <v>61.421100000000003</v>
      </c>
      <c r="X38" s="13">
        <f>_xll.BDH("AMGN US Equity","GROSS_MARGIN","FQ3 2024","FQ3 2024","Currency=USD","Period=FQ","BEST_FPERIOD_OVERRIDE=FQ","FILING_STATUS=MR","FA_ADJUSTED=GAAP","Sort=A","Dates=H","DateFormat=P","Fill=—","Direction=H","UseDPDF=Y")</f>
        <v>61.072600000000001</v>
      </c>
      <c r="Y38" s="13">
        <f>_xll.BDH("AMGN US Equity","GROSS_MARGIN","FQ4 2024","FQ4 2024","Currency=USD","Period=FQ","BEST_FPERIOD_OVERRIDE=FQ","FILING_STATUS=MR","FA_ADJUSTED=GAAP","Sort=A","Dates=H","DateFormat=P","Fill=—","Direction=H","UseDPDF=Y")</f>
        <v>65.749499999999998</v>
      </c>
      <c r="Z38" s="13"/>
      <c r="AA38" s="13"/>
    </row>
    <row r="39" spans="1:27" x14ac:dyDescent="0.25">
      <c r="A39" s="10" t="s">
        <v>136</v>
      </c>
      <c r="B39" s="10" t="s">
        <v>153</v>
      </c>
      <c r="C39" s="13">
        <f>_xll.BDH("AMGN US Equity","GROSS_MARGIN","FQ2 2019","FQ2 2019","Currency=USD","Period=FQ","BEST_FPERIOD_OVERRIDE=FQ","FILING_STATUS=MR","FA_ADJUSTED=Adjusted","Sort=A","Dates=H","DateFormat=P","Fill=—","Direction=H","UseDPDF=Y")</f>
        <v>82.762699999999995</v>
      </c>
      <c r="D39" s="13">
        <f>_xll.BDH("AMGN US Equity","GROSS_MARGIN","FQ3 2019","FQ3 2019","Currency=USD","Period=FQ","BEST_FPERIOD_OVERRIDE=FQ","FILING_STATUS=MR","FA_ADJUSTED=Adjusted","Sort=A","Dates=H","DateFormat=P","Fill=—","Direction=H","UseDPDF=Y")</f>
        <v>81.941800000000001</v>
      </c>
      <c r="E39" s="13">
        <f>_xll.BDH("AMGN US Equity","GROSS_MARGIN","FQ4 2019","FQ4 2019","Currency=USD","Period=FQ","BEST_FPERIOD_OVERRIDE=FQ","FILING_STATUS=MR","FA_ADJUSTED=Adjusted","Sort=A","Dates=H","DateFormat=P","Fill=—","Direction=H","UseDPDF=Y")</f>
        <v>79.780500000000004</v>
      </c>
      <c r="F39" s="13">
        <f>_xll.BDH("AMGN US Equity","GROSS_MARGIN","FQ1 2020","FQ1 2020","Currency=USD","Period=FQ","BEST_FPERIOD_OVERRIDE=FQ","FILING_STATUS=MR","FA_ADJUSTED=Adjusted","Sort=A","Dates=H","DateFormat=P","Fill=—","Direction=H","UseDPDF=Y")</f>
        <v>75.442300000000003</v>
      </c>
      <c r="G39" s="13">
        <f>_xll.BDH("AMGN US Equity","GROSS_MARGIN","FQ2 2020","FQ2 2020","Currency=USD","Period=FQ","BEST_FPERIOD_OVERRIDE=FQ","FILING_STATUS=MR","FA_ADJUSTED=Adjusted","Sort=A","Dates=H","DateFormat=P","Fill=—","Direction=H","UseDPDF=Y")</f>
        <v>76.023200000000003</v>
      </c>
      <c r="H39" s="13">
        <f>_xll.BDH("AMGN US Equity","GROSS_MARGIN","FQ3 2020","FQ3 2020","Currency=USD","Period=FQ","BEST_FPERIOD_OVERRIDE=FQ","FILING_STATUS=MR","FA_ADJUSTED=Adjusted","Sort=A","Dates=H","DateFormat=P","Fill=—","Direction=H","UseDPDF=Y")</f>
        <v>86.392700000000005</v>
      </c>
      <c r="I39" s="13">
        <f>_xll.BDH("AMGN US Equity","GROSS_MARGIN","FQ4 2020","FQ4 2020","Currency=USD","Period=FQ","BEST_FPERIOD_OVERRIDE=FQ","FILING_STATUS=MR","FA_ADJUSTED=Adjusted","Sort=A","Dates=H","DateFormat=P","Fill=—","Direction=H","UseDPDF=Y")</f>
        <v>75.927000000000007</v>
      </c>
      <c r="J39" s="13">
        <f>_xll.BDH("AMGN US Equity","GROSS_MARGIN","FQ1 2021","FQ1 2021","Currency=USD","Period=FQ","BEST_FPERIOD_OVERRIDE=FQ","FILING_STATUS=MR","FA_ADJUSTED=Adjusted","Sort=A","Dates=H","DateFormat=P","Fill=—","Direction=H","UseDPDF=Y")</f>
        <v>74.75</v>
      </c>
      <c r="K39" s="13">
        <f>_xll.BDH("AMGN US Equity","GROSS_MARGIN","FQ2 2021","FQ2 2021","Currency=USD","Period=FQ","BEST_FPERIOD_OVERRIDE=FQ","FILING_STATUS=MR","FA_ADJUSTED=Adjusted","Sort=A","Dates=H","DateFormat=P","Fill=—","Direction=H","UseDPDF=Y")</f>
        <v>84.155699999999996</v>
      </c>
      <c r="L39" s="13">
        <f>_xll.BDH("AMGN US Equity","GROSS_MARGIN","FQ3 2021","FQ3 2021","Currency=USD","Period=FQ","BEST_FPERIOD_OVERRIDE=FQ","FILING_STATUS=MR","FA_ADJUSTED=Adjusted","Sort=A","Dates=H","DateFormat=P","Fill=—","Direction=H","UseDPDF=Y")</f>
        <v>76.006600000000006</v>
      </c>
      <c r="M39" s="13">
        <f>_xll.BDH("AMGN US Equity","GROSS_MARGIN","FQ4 2021","FQ4 2021","Currency=USD","Period=FQ","BEST_FPERIOD_OVERRIDE=FQ","FILING_STATUS=MR","FA_ADJUSTED=Adjusted","Sort=A","Dates=H","DateFormat=P","Fill=—","Direction=H","UseDPDF=Y")</f>
        <v>74.992699999999999</v>
      </c>
      <c r="N39" s="13">
        <f>_xll.BDH("AMGN US Equity","GROSS_MARGIN","FQ1 2022","FQ1 2022","Currency=USD","Period=FQ","BEST_FPERIOD_OVERRIDE=FQ","FILING_STATUS=MR","FA_ADJUSTED=Adjusted","Sort=A","Dates=H","DateFormat=P","Fill=—","Direction=H","UseDPDF=Y")</f>
        <v>74.975999999999999</v>
      </c>
      <c r="O39" s="13">
        <f>_xll.BDH("AMGN US Equity","GROSS_MARGIN","FQ2 2022","FQ2 2022","Currency=USD","Period=FQ","BEST_FPERIOD_OVERRIDE=FQ","FILING_STATUS=MR","FA_ADJUSTED=Adjusted","Sort=A","Dates=H","DateFormat=P","Fill=—","Direction=H","UseDPDF=Y")</f>
        <v>85.956900000000005</v>
      </c>
      <c r="P39" s="13">
        <f>_xll.BDH("AMGN US Equity","GROSS_MARGIN","FQ3 2022","FQ3 2022","Currency=USD","Period=FQ","BEST_FPERIOD_OVERRIDE=FQ","FILING_STATUS=MR","FA_ADJUSTED=Adjusted","Sort=A","Dates=H","DateFormat=P","Fill=—","Direction=H","UseDPDF=Y")</f>
        <v>76.127499999999998</v>
      </c>
      <c r="Q39" s="13">
        <f>_xll.BDH("AMGN US Equity","GROSS_MARGIN","FQ4 2022","FQ4 2022","Currency=USD","Period=FQ","BEST_FPERIOD_OVERRIDE=FQ","FILING_STATUS=MR","FA_ADJUSTED=Adjusted","Sort=A","Dates=H","DateFormat=P","Fill=—","Direction=H","UseDPDF=Y")</f>
        <v>74.455299999999994</v>
      </c>
      <c r="R39" s="13">
        <f>_xll.BDH("AMGN US Equity","GROSS_MARGIN","FQ1 2023","FQ1 2023","Currency=USD","Period=FQ","BEST_FPERIOD_OVERRIDE=FQ","FILING_STATUS=MR","FA_ADJUSTED=Adjusted","Sort=A","Dates=H","DateFormat=P","Fill=—","Direction=H","UseDPDF=Y")</f>
        <v>82.784599999999998</v>
      </c>
      <c r="S39" s="13">
        <f>_xll.BDH("AMGN US Equity","GROSS_MARGIN","FQ2 2023","FQ2 2023","Currency=USD","Period=FQ","BEST_FPERIOD_OVERRIDE=FQ","FILING_STATUS=MR","FA_ADJUSTED=Adjusted","Sort=A","Dates=H","DateFormat=P","Fill=—","Direction=H","UseDPDF=Y")</f>
        <v>74.048100000000005</v>
      </c>
      <c r="T39" s="13">
        <f>_xll.BDH("AMGN US Equity","GROSS_MARGIN","FQ3 2023","FQ3 2023","Currency=USD","Period=FQ","BEST_FPERIOD_OVERRIDE=FQ","FILING_STATUS=MR","FA_ADJUSTED=Adjusted","Sort=A","Dates=H","DateFormat=P","Fill=—","Direction=H","UseDPDF=Y")</f>
        <v>73.837500000000006</v>
      </c>
      <c r="U39" s="13">
        <f>_xll.BDH("AMGN US Equity","GROSS_MARGIN","FQ4 2023","FQ4 2023","Currency=USD","Period=FQ","BEST_FPERIOD_OVERRIDE=FQ","FILING_STATUS=MR","FA_ADJUSTED=Adjusted","Sort=A","Dates=H","DateFormat=P","Fill=—","Direction=H","UseDPDF=Y")</f>
        <v>84.406999999999996</v>
      </c>
      <c r="V39" s="13">
        <f>_xll.BDH("AMGN US Equity","GROSS_MARGIN","FQ1 2024","FQ1 2024","Currency=USD","Period=FQ","BEST_FPERIOD_OVERRIDE=FQ","FILING_STATUS=MR","FA_ADJUSTED=Adjusted","Sort=A","Dates=H","DateFormat=P","Fill=—","Direction=H","UseDPDF=Y")</f>
        <v>57.029699999999998</v>
      </c>
      <c r="W39" s="13">
        <f>_xll.BDH("AMGN US Equity","GROSS_MARGIN","FQ2 2024","FQ2 2024","Currency=USD","Period=FQ","BEST_FPERIOD_OVERRIDE=FQ","FILING_STATUS=MR","FA_ADJUSTED=Adjusted","Sort=A","Dates=H","DateFormat=P","Fill=—","Direction=H","UseDPDF=Y")</f>
        <v>61.421100000000003</v>
      </c>
      <c r="X39" s="13">
        <f>_xll.BDH("AMGN US Equity","GROSS_MARGIN","FQ3 2024","FQ3 2024","Currency=USD","Period=FQ","BEST_FPERIOD_OVERRIDE=FQ","FILING_STATUS=MR","FA_ADJUSTED=Adjusted","Sort=A","Dates=H","DateFormat=P","Fill=—","Direction=H","UseDPDF=Y")</f>
        <v>61.072600000000001</v>
      </c>
      <c r="Y39" s="13">
        <f>_xll.BDH("AMGN US Equity","GROSS_MARGIN","FQ4 2024","FQ4 2024","Currency=USD","Period=FQ","BEST_FPERIOD_OVERRIDE=FQ","FILING_STATUS=MR","FA_ADJUSTED=Adjusted","Sort=A","Dates=H","DateFormat=P","Fill=—","Direction=H","UseDPDF=Y")</f>
        <v>65.749499999999998</v>
      </c>
      <c r="Z39" s="13"/>
      <c r="AA39" s="13"/>
    </row>
    <row r="40" spans="1:27" x14ac:dyDescent="0.25">
      <c r="A40" s="10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5">
      <c r="A41" s="6" t="s">
        <v>154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x14ac:dyDescent="0.25">
      <c r="A42" s="10" t="s">
        <v>130</v>
      </c>
      <c r="B42" s="10" t="s">
        <v>155</v>
      </c>
      <c r="C42" s="13">
        <f>_xll.BDH("AMGN US Equity","BEST_PTP","FQ2 2019","FQ2 2019","Currency=USD","Period=FQ","BEST_FPERIOD_OVERRIDE=FQ","FILING_STATUS=MR","Sort=A","Dates=H","DateFormat=P","Fill=—","Direction=H","UseDPDF=Y")</f>
        <v>2607.8000000000002</v>
      </c>
      <c r="D42" s="13">
        <f>_xll.BDH("AMGN US Equity","BEST_PTP","FQ3 2019","FQ3 2019","Currency=USD","Period=FQ","BEST_FPERIOD_OVERRIDE=FQ","FILING_STATUS=MR","Sort=A","Dates=H","DateFormat=P","Fill=—","Direction=H","UseDPDF=Y")</f>
        <v>2520.4549999999999</v>
      </c>
      <c r="E42" s="13">
        <f>_xll.BDH("AMGN US Equity","BEST_PTP","FQ4 2019","FQ4 2019","Currency=USD","Period=FQ","BEST_FPERIOD_OVERRIDE=FQ","FILING_STATUS=MR","Sort=A","Dates=H","DateFormat=P","Fill=—","Direction=H","UseDPDF=Y")</f>
        <v>2361.5</v>
      </c>
      <c r="F42" s="13">
        <f>_xll.BDH("AMGN US Equity","BEST_PTP","FQ1 2020","FQ1 2020","Currency=USD","Period=FQ","BEST_FPERIOD_OVERRIDE=FQ","FILING_STATUS=MR","Sort=A","Dates=H","DateFormat=P","Fill=—","Direction=H","UseDPDF=Y")</f>
        <v>2636.7860000000001</v>
      </c>
      <c r="G42" s="13">
        <f>_xll.BDH("AMGN US Equity","BEST_PTP","FQ2 2020","FQ2 2020","Currency=USD","Period=FQ","BEST_FPERIOD_OVERRIDE=FQ","FILING_STATUS=MR","Sort=A","Dates=H","DateFormat=P","Fill=—","Direction=H","UseDPDF=Y")</f>
        <v>2672.8820000000001</v>
      </c>
      <c r="H42" s="13">
        <f>_xll.BDH("AMGN US Equity","BEST_PTP","FQ3 2020","FQ3 2020","Currency=USD","Period=FQ","BEST_FPERIOD_OVERRIDE=FQ","FILING_STATUS=MR","Sort=A","Dates=H","DateFormat=P","Fill=—","Direction=H","UseDPDF=Y")</f>
        <v>2631</v>
      </c>
      <c r="I42" s="13">
        <f>_xll.BDH("AMGN US Equity","BEST_PTP","FQ4 2020","FQ4 2020","Currency=USD","Period=FQ","BEST_FPERIOD_OVERRIDE=FQ","FILING_STATUS=MR","Sort=A","Dates=H","DateFormat=P","Fill=—","Direction=H","UseDPDF=Y")</f>
        <v>2314.3890000000001</v>
      </c>
      <c r="J42" s="13">
        <f>_xll.BDH("AMGN US Equity","BEST_PTP","FQ1 2021","FQ1 2021","Currency=USD","Period=FQ","BEST_FPERIOD_OVERRIDE=FQ","FILING_STATUS=MR","Sort=A","Dates=H","DateFormat=P","Fill=—","Direction=H","UseDPDF=Y")</f>
        <v>2693.3159999999998</v>
      </c>
      <c r="K42" s="13">
        <f>_xll.BDH("AMGN US Equity","BEST_PTP","FQ2 2021","FQ2 2021","Currency=USD","Period=FQ","BEST_FPERIOD_OVERRIDE=FQ","FILING_STATUS=MR","Sort=A","Dates=H","DateFormat=P","Fill=—","Direction=H","UseDPDF=Y")</f>
        <v>2735.471</v>
      </c>
      <c r="L42" s="13">
        <f>_xll.BDH("AMGN US Equity","BEST_PTP","FQ3 2021","FQ3 2021","Currency=USD","Period=FQ","BEST_FPERIOD_OVERRIDE=FQ","FILING_STATUS=MR","Sort=A","Dates=H","DateFormat=P","Fill=—","Direction=H","UseDPDF=Y")</f>
        <v>2833.2109999999998</v>
      </c>
      <c r="M42" s="13">
        <f>_xll.BDH("AMGN US Equity","BEST_PTP","FQ4 2021","FQ4 2021","Currency=USD","Period=FQ","BEST_FPERIOD_OVERRIDE=FQ","FILING_STATUS=MR","Sort=A","Dates=H","DateFormat=P","Fill=—","Direction=H","UseDPDF=Y")</f>
        <v>2687.2109999999998</v>
      </c>
      <c r="N42" s="13">
        <f>_xll.BDH("AMGN US Equity","BEST_PTP","FQ1 2022","FQ1 2022","Currency=USD","Period=FQ","BEST_FPERIOD_OVERRIDE=FQ","FILING_STATUS=MR","Sort=A","Dates=H","DateFormat=P","Fill=—","Direction=H","UseDPDF=Y")</f>
        <v>2625</v>
      </c>
      <c r="O42" s="13">
        <f>_xll.BDH("AMGN US Equity","BEST_PTP","FQ2 2022","FQ2 2022","Currency=USD","Period=FQ","BEST_FPERIOD_OVERRIDE=FQ","FILING_STATUS=MR","Sort=A","Dates=H","DateFormat=P","Fill=—","Direction=H","UseDPDF=Y")</f>
        <v>2782.895</v>
      </c>
      <c r="P42" s="13">
        <f>_xll.BDH("AMGN US Equity","BEST_PTP","FQ3 2022","FQ3 2022","Currency=USD","Period=FQ","BEST_FPERIOD_OVERRIDE=FQ","FILING_STATUS=MR","Sort=A","Dates=H","DateFormat=P","Fill=—","Direction=H","UseDPDF=Y")</f>
        <v>2790.6</v>
      </c>
      <c r="Q42" s="13">
        <f>_xll.BDH("AMGN US Equity","BEST_PTP","FQ4 2022","FQ4 2022","Currency=USD","Period=FQ","BEST_FPERIOD_OVERRIDE=FQ","FILING_STATUS=MR","Sort=A","Dates=H","DateFormat=P","Fill=—","Direction=H","UseDPDF=Y")</f>
        <v>2547.8000000000002</v>
      </c>
      <c r="R42" s="13">
        <f>_xll.BDH("AMGN US Equity","BEST_PTP","FQ1 2023","FQ1 2023","Currency=USD","Period=FQ","BEST_FPERIOD_OVERRIDE=FQ","FILING_STATUS=MR","Sort=A","Dates=H","DateFormat=P","Fill=—","Direction=H","UseDPDF=Y")</f>
        <v>2517.35</v>
      </c>
      <c r="S42" s="13">
        <f>_xll.BDH("AMGN US Equity","BEST_PTP","FQ2 2023","FQ2 2023","Currency=USD","Period=FQ","BEST_FPERIOD_OVERRIDE=FQ","FILING_STATUS=MR","Sort=A","Dates=H","DateFormat=P","Fill=—","Direction=H","UseDPDF=Y")</f>
        <v>2923.3679999999999</v>
      </c>
      <c r="T42" s="13">
        <f>_xll.BDH("AMGN US Equity","BEST_PTP","FQ3 2023","FQ3 2023","Currency=USD","Period=FQ","BEST_FPERIOD_OVERRIDE=FQ","FILING_STATUS=MR","Sort=A","Dates=H","DateFormat=P","Fill=—","Direction=H","UseDPDF=Y")</f>
        <v>3082.25</v>
      </c>
      <c r="U42" s="13">
        <f>_xll.BDH("AMGN US Equity","BEST_PTP","FQ4 2023","FQ4 2023","Currency=USD","Period=FQ","BEST_FPERIOD_OVERRIDE=FQ","FILING_STATUS=MR","Sort=A","Dates=H","DateFormat=P","Fill=—","Direction=H","UseDPDF=Y")</f>
        <v>2982.5</v>
      </c>
      <c r="V42" s="13">
        <f>_xll.BDH("AMGN US Equity","BEST_PTP","FQ1 2024","FQ1 2024","Currency=USD","Period=FQ","BEST_FPERIOD_OVERRIDE=FQ","FILING_STATUS=MR","Sort=A","Dates=H","DateFormat=P","Fill=—","Direction=H","UseDPDF=Y")</f>
        <v>2514.65</v>
      </c>
      <c r="W42" s="13">
        <f>_xll.BDH("AMGN US Equity","BEST_PTP","FQ2 2024","FQ2 2024","Currency=USD","Period=FQ","BEST_FPERIOD_OVERRIDE=FQ","FILING_STATUS=MR","Sort=A","Dates=H","DateFormat=P","Fill=—","Direction=H","UseDPDF=Y")</f>
        <v>3181.85</v>
      </c>
      <c r="X42" s="13">
        <f>_xll.BDH("AMGN US Equity","BEST_PTP","FQ3 2024","FQ3 2024","Currency=USD","Period=FQ","BEST_FPERIOD_OVERRIDE=FQ","FILING_STATUS=MR","Sort=A","Dates=H","DateFormat=P","Fill=—","Direction=H","UseDPDF=Y")</f>
        <v>3269.1</v>
      </c>
      <c r="Y42" s="13">
        <f>_xll.BDH("AMGN US Equity","BEST_PTP","FQ4 2024","FQ4 2024","Currency=USD","Period=FQ","BEST_FPERIOD_OVERRIDE=FQ","FILING_STATUS=MR","Sort=A","Dates=H","DateFormat=P","Fill=—","Direction=H","UseDPDF=Y")</f>
        <v>3239.4760000000001</v>
      </c>
      <c r="Z42" s="13">
        <v>2724.857</v>
      </c>
      <c r="AA42" s="13">
        <v>3384.0479999999998</v>
      </c>
    </row>
    <row r="43" spans="1:27" x14ac:dyDescent="0.25">
      <c r="A43" s="10" t="s">
        <v>132</v>
      </c>
      <c r="B43" s="10" t="s">
        <v>156</v>
      </c>
      <c r="C43" s="13">
        <f>_xll.BDH("AMGN US Equity","IS_COMP_PTP_EX_STK_BASED_COMP","FQ2 2019","FQ2 2019","Currency=USD","Period=FQ","BEST_FPERIOD_OVERRIDE=FQ","FILING_STATUS=MR","SCALING_FORMAT=MLN","Sort=A","Dates=H","DateFormat=P","Fill=—","Direction=H","UseDPDF=Y")</f>
        <v>2859</v>
      </c>
      <c r="D43" s="13">
        <f>_xll.BDH("AMGN US Equity","IS_COMP_PTP_EX_STK_BASED_COMP","FQ3 2019","FQ3 2019","Currency=USD","Period=FQ","BEST_FPERIOD_OVERRIDE=FQ","FILING_STATUS=MR","SCALING_FORMAT=MLN","Sort=A","Dates=H","DateFormat=P","Fill=—","Direction=H","UseDPDF=Y")</f>
        <v>2594</v>
      </c>
      <c r="E43" s="13">
        <f>_xll.BDH("AMGN US Equity","IS_COMP_PTP_EX_STK_BASED_COMP","FQ4 2019","FQ4 2019","Currency=USD","Period=FQ","BEST_FPERIOD_OVERRIDE=FQ","FILING_STATUS=MR","SCALING_FORMAT=MLN","Sort=A","Dates=H","DateFormat=P","Fill=—","Direction=H","UseDPDF=Y")</f>
        <v>2556</v>
      </c>
      <c r="F43" s="13">
        <f>_xll.BDH("AMGN US Equity","IS_COMP_PTP_EX_STK_BASED_COMP","FQ1 2020","FQ1 2020","Currency=USD","Period=FQ","BEST_FPERIOD_OVERRIDE=FQ","FILING_STATUS=MR","SCALING_FORMAT=MLN","Sort=A","Dates=H","DateFormat=P","Fill=—","Direction=H","UseDPDF=Y")</f>
        <v>2841</v>
      </c>
      <c r="G43" s="13">
        <f>_xll.BDH("AMGN US Equity","IS_COMP_PTP_EX_STK_BASED_COMP","FQ2 2020","FQ2 2020","Currency=USD","Period=FQ","BEST_FPERIOD_OVERRIDE=FQ","FILING_STATUS=MR","SCALING_FORMAT=MLN","Sort=A","Dates=H","DateFormat=P","Fill=—","Direction=H","UseDPDF=Y")</f>
        <v>2918</v>
      </c>
      <c r="H43" s="13">
        <f>_xll.BDH("AMGN US Equity","IS_COMP_PTP_EX_STK_BASED_COMP","FQ3 2020","FQ3 2020","Currency=USD","Period=FQ","BEST_FPERIOD_OVERRIDE=FQ","FILING_STATUS=MR","SCALING_FORMAT=MLN","Sort=A","Dates=H","DateFormat=P","Fill=—","Direction=H","UseDPDF=Y")</f>
        <v>2972</v>
      </c>
      <c r="I43" s="13">
        <f>_xll.BDH("AMGN US Equity","IS_COMP_PTP_EX_STK_BASED_COMP","FQ4 2020","FQ4 2020","Currency=USD","Period=FQ","BEST_FPERIOD_OVERRIDE=FQ","FILING_STATUS=MR","SCALING_FORMAT=MLN","Sort=A","Dates=H","DateFormat=P","Fill=—","Direction=H","UseDPDF=Y")</f>
        <v>2634</v>
      </c>
      <c r="J43" s="13">
        <f>_xll.BDH("AMGN US Equity","IS_COMP_PTP_EX_STK_BASED_COMP","FQ1 2021","FQ1 2021","Currency=USD","Period=FQ","BEST_FPERIOD_OVERRIDE=FQ","FILING_STATUS=MR","SCALING_FORMAT=MLN","Sort=A","Dates=H","DateFormat=P","Fill=—","Direction=H","UseDPDF=Y")</f>
        <v>2489</v>
      </c>
      <c r="K43" s="13">
        <f>_xll.BDH("AMGN US Equity","IS_COMP_PTP_EX_STK_BASED_COMP","FQ2 2021","FQ2 2021","Currency=USD","Period=FQ","BEST_FPERIOD_OVERRIDE=FQ","FILING_STATUS=MR","SCALING_FORMAT=MLN","Sort=A","Dates=H","DateFormat=P","Fill=—","Direction=H","UseDPDF=Y")</f>
        <v>2884</v>
      </c>
      <c r="L43" s="13">
        <f>_xll.BDH("AMGN US Equity","IS_COMP_PTP_EX_STK_BASED_COMP","FQ3 2021","FQ3 2021","Currency=USD","Period=FQ","BEST_FPERIOD_OVERRIDE=FQ","FILING_STATUS=MR","SCALING_FORMAT=MLN","Sort=A","Dates=H","DateFormat=P","Fill=—","Direction=H","UseDPDF=Y")</f>
        <v>3082</v>
      </c>
      <c r="M43" s="13">
        <f>_xll.BDH("AMGN US Equity","IS_COMP_PTP_EX_STK_BASED_COMP","FQ4 2021","FQ4 2021","Currency=USD","Period=FQ","BEST_FPERIOD_OVERRIDE=FQ","FILING_STATUS=MR","SCALING_FORMAT=MLN","Sort=A","Dates=H","DateFormat=P","Fill=—","Direction=H","UseDPDF=Y")</f>
        <v>2783</v>
      </c>
      <c r="N43" s="13">
        <f>_xll.BDH("AMGN US Equity","IS_COMP_PTP_EX_STK_BASED_COMP","FQ1 2022","FQ1 2022","Currency=USD","Period=FQ","BEST_FPERIOD_OVERRIDE=FQ","FILING_STATUS=MR","SCALING_FORMAT=MLN","Sort=A","Dates=H","DateFormat=P","Fill=—","Direction=H","UseDPDF=Y")</f>
        <v>2727</v>
      </c>
      <c r="O43" s="13">
        <f>_xll.BDH("AMGN US Equity","IS_COMP_PTP_EX_STK_BASED_COMP","FQ2 2022","FQ2 2022","Currency=USD","Period=FQ","BEST_FPERIOD_OVERRIDE=FQ","FILING_STATUS=MR","SCALING_FORMAT=MLN","Sort=A","Dates=H","DateFormat=P","Fill=—","Direction=H","UseDPDF=Y")</f>
        <v>2925</v>
      </c>
      <c r="P43" s="13">
        <f>_xll.BDH("AMGN US Equity","IS_COMP_PTP_EX_STK_BASED_COMP","FQ3 2022","FQ3 2022","Currency=USD","Period=FQ","BEST_FPERIOD_OVERRIDE=FQ","FILING_STATUS=MR","SCALING_FORMAT=MLN","Sort=A","Dates=H","DateFormat=P","Fill=—","Direction=H","UseDPDF=Y")</f>
        <v>2906</v>
      </c>
      <c r="Q43" s="13">
        <f>_xll.BDH("AMGN US Equity","IS_COMP_PTP_EX_STK_BASED_COMP","FQ4 2022","FQ4 2022","Currency=USD","Period=FQ","BEST_FPERIOD_OVERRIDE=FQ","FILING_STATUS=MR","SCALING_FORMAT=MLN","Sort=A","Dates=H","DateFormat=P","Fill=—","Direction=H","UseDPDF=Y")</f>
        <v>2542</v>
      </c>
      <c r="R43" s="13">
        <f>_xll.BDH("AMGN US Equity","IS_COMP_PTP_EX_STK_BASED_COMP","FQ1 2023","FQ1 2023","Currency=USD","Period=FQ","BEST_FPERIOD_OVERRIDE=FQ","FILING_STATUS=MR","SCALING_FORMAT=MLN","Sort=A","Dates=H","DateFormat=P","Fill=—","Direction=H","UseDPDF=Y")</f>
        <v>2606</v>
      </c>
      <c r="S43" s="13">
        <f>_xll.BDH("AMGN US Equity","IS_COMP_PTP_EX_STK_BASED_COMP","FQ2 2023","FQ2 2023","Currency=USD","Period=FQ","BEST_FPERIOD_OVERRIDE=FQ","FILING_STATUS=MR","SCALING_FORMAT=MLN","Sort=A","Dates=H","DateFormat=P","Fill=—","Direction=H","UseDPDF=Y")</f>
        <v>3208</v>
      </c>
      <c r="T43" s="13">
        <f>_xll.BDH("AMGN US Equity","IS_COMP_PTP_EX_STK_BASED_COMP","FQ3 2023","FQ3 2023","Currency=USD","Period=FQ","BEST_FPERIOD_OVERRIDE=FQ","FILING_STATUS=MR","SCALING_FORMAT=MLN","Sort=A","Dates=H","DateFormat=P","Fill=—","Direction=H","UseDPDF=Y")</f>
        <v>3178</v>
      </c>
      <c r="U43" s="13">
        <f>_xll.BDH("AMGN US Equity","IS_COMP_PTP_EX_STK_BASED_COMP","FQ4 2023","FQ4 2023","Currency=USD","Period=FQ","BEST_FPERIOD_OVERRIDE=FQ","FILING_STATUS=MR","SCALING_FORMAT=MLN","Sort=A","Dates=H","DateFormat=P","Fill=—","Direction=H","UseDPDF=Y")</f>
        <v>3025</v>
      </c>
      <c r="V43" s="13">
        <f>_xll.BDH("AMGN US Equity","IS_COMP_PTP_EX_STK_BASED_COMP","FQ1 2024","FQ1 2024","Currency=USD","Period=FQ","BEST_FPERIOD_OVERRIDE=FQ","FILING_STATUS=MR","SCALING_FORMAT=MLN","Sort=A","Dates=H","DateFormat=P","Fill=—","Direction=H","UseDPDF=Y")</f>
        <v>2529</v>
      </c>
      <c r="W43" s="13">
        <f>_xll.BDH("AMGN US Equity","IS_COMP_PTP_EX_STK_BASED_COMP","FQ2 2024","FQ2 2024","Currency=USD","Period=FQ","BEST_FPERIOD_OVERRIDE=FQ","FILING_STATUS=MR","SCALING_FORMAT=MLN","Sort=A","Dates=H","DateFormat=P","Fill=—","Direction=H","UseDPDF=Y")</f>
        <v>3163</v>
      </c>
      <c r="X43" s="13">
        <f>_xll.BDH("AMGN US Equity","IS_COMP_PTP_EX_STK_BASED_COMP","FQ3 2024","FQ3 2024","Currency=USD","Period=FQ","BEST_FPERIOD_OVERRIDE=FQ","FILING_STATUS=MR","SCALING_FORMAT=MLN","Sort=A","Dates=H","DateFormat=P","Fill=—","Direction=H","UseDPDF=Y")</f>
        <v>3490</v>
      </c>
      <c r="Y43" s="13">
        <f>_xll.BDH("AMGN US Equity","IS_COMP_PTP_EX_STK_BASED_COMP","FQ4 2024","FQ4 2024","Currency=USD","Period=FQ","BEST_FPERIOD_OVERRIDE=FQ","FILING_STATUS=MR","SCALING_FORMAT=MLN","Sort=A","Dates=H","DateFormat=P","Fill=—","Direction=H","UseDPDF=Y")</f>
        <v>3379</v>
      </c>
      <c r="Z43" s="13"/>
      <c r="AA43" s="13"/>
    </row>
    <row r="44" spans="1:27" x14ac:dyDescent="0.25">
      <c r="A44" s="11" t="s">
        <v>157</v>
      </c>
      <c r="B44" s="11"/>
      <c r="C44" s="25">
        <v>9.6326405399187003</v>
      </c>
      <c r="D44" s="25">
        <v>2.9179255332866498</v>
      </c>
      <c r="E44" s="25">
        <v>8.2362904933305092</v>
      </c>
      <c r="F44" s="25">
        <v>7.7448075042874098</v>
      </c>
      <c r="G44" s="25">
        <v>9.1705507388653906</v>
      </c>
      <c r="H44" s="25">
        <v>12.960851387305199</v>
      </c>
      <c r="I44" s="25">
        <v>13.809735528469901</v>
      </c>
      <c r="J44" s="25">
        <v>-7.5860389200524496</v>
      </c>
      <c r="K44" s="25">
        <v>5.4297413498443197</v>
      </c>
      <c r="L44" s="25">
        <v>8.78116737510903</v>
      </c>
      <c r="M44" s="25">
        <v>3.5646251820195798</v>
      </c>
      <c r="N44" s="25">
        <v>3.8857142857142901</v>
      </c>
      <c r="O44" s="25">
        <v>5.1063730395864697</v>
      </c>
      <c r="P44" s="25">
        <v>4.13531140256576</v>
      </c>
      <c r="Q44" s="25">
        <v>-0.22764738205511401</v>
      </c>
      <c r="R44" s="25">
        <v>3.5215603710250898</v>
      </c>
      <c r="S44" s="25">
        <v>9.7364409817717092</v>
      </c>
      <c r="T44" s="25">
        <v>3.1064968772812098</v>
      </c>
      <c r="U44" s="25">
        <v>1.4249790444258199</v>
      </c>
      <c r="V44" s="25">
        <v>0.57065595609726605</v>
      </c>
      <c r="W44" s="25">
        <v>-0.59242264720209703</v>
      </c>
      <c r="X44" s="25">
        <v>6.7572114649291901</v>
      </c>
      <c r="Y44" s="25">
        <v>4.3069928593389797</v>
      </c>
      <c r="Z44" s="25"/>
      <c r="AA44" s="25"/>
    </row>
    <row r="45" spans="1:27" x14ac:dyDescent="0.25">
      <c r="A45" s="10" t="s">
        <v>135</v>
      </c>
      <c r="B45" s="10" t="s">
        <v>158</v>
      </c>
      <c r="C45" s="13">
        <f>_xll.BDH("AMGN US Equity","PRETAX_INC","FQ2 2019","FQ2 2019","Currency=USD","Period=FQ","BEST_FPERIOD_OVERRIDE=FQ","FILING_STATUS=MR","SCALING_FORMAT=MLN","FA_ADJUSTED=GAAP","Sort=A","Dates=H","DateFormat=P","Fill=—","Direction=H","UseDPDF=Y")</f>
        <v>2564</v>
      </c>
      <c r="D45" s="13">
        <f>_xll.BDH("AMGN US Equity","PRETAX_INC","FQ3 2019","FQ3 2019","Currency=USD","Period=FQ","BEST_FPERIOD_OVERRIDE=FQ","FILING_STATUS=MR","SCALING_FORMAT=MLN","FA_ADJUSTED=GAAP","Sort=A","Dates=H","DateFormat=P","Fill=—","Direction=H","UseDPDF=Y")</f>
        <v>2277</v>
      </c>
      <c r="E45" s="13">
        <f>_xll.BDH("AMGN US Equity","PRETAX_INC","FQ4 2019","FQ4 2019","Currency=USD","Period=FQ","BEST_FPERIOD_OVERRIDE=FQ","FILING_STATUS=MR","SCALING_FORMAT=MLN","FA_ADJUSTED=GAAP","Sort=A","Dates=H","DateFormat=P","Fill=—","Direction=H","UseDPDF=Y")</f>
        <v>1983</v>
      </c>
      <c r="F45" s="13">
        <f>_xll.BDH("AMGN US Equity","PRETAX_INC","FQ1 2020","FQ1 2020","Currency=USD","Period=FQ","BEST_FPERIOD_OVERRIDE=FQ","FILING_STATUS=MR","SCALING_FORMAT=MLN","FA_ADJUSTED=GAAP","Sort=A","Dates=H","DateFormat=P","Fill=—","Direction=H","UseDPDF=Y")</f>
        <v>2020</v>
      </c>
      <c r="G45" s="13">
        <f>_xll.BDH("AMGN US Equity","PRETAX_INC","FQ2 2020","FQ2 2020","Currency=USD","Period=FQ","BEST_FPERIOD_OVERRIDE=FQ","FILING_STATUS=MR","SCALING_FORMAT=MLN","FA_ADJUSTED=GAAP","Sort=A","Dates=H","DateFormat=P","Fill=—","Direction=H","UseDPDF=Y")</f>
        <v>2030</v>
      </c>
      <c r="H45" s="13">
        <f>_xll.BDH("AMGN US Equity","PRETAX_INC","FQ3 2020","FQ3 2020","Currency=USD","Period=FQ","BEST_FPERIOD_OVERRIDE=FQ","FILING_STATUS=MR","SCALING_FORMAT=MLN","FA_ADJUSTED=GAAP","Sort=A","Dates=H","DateFormat=P","Fill=—","Direction=H","UseDPDF=Y")</f>
        <v>2206</v>
      </c>
      <c r="I45" s="13">
        <f>_xll.BDH("AMGN US Equity","PRETAX_INC","FQ4 2020","FQ4 2020","Currency=USD","Period=FQ","BEST_FPERIOD_OVERRIDE=FQ","FILING_STATUS=MR","SCALING_FORMAT=MLN","FA_ADJUSTED=GAAP","Sort=A","Dates=H","DateFormat=P","Fill=—","Direction=H","UseDPDF=Y")</f>
        <v>1877</v>
      </c>
      <c r="J45" s="13">
        <f>_xll.BDH("AMGN US Equity","PRETAX_INC","FQ1 2021","FQ1 2021","Currency=USD","Period=FQ","BEST_FPERIOD_OVERRIDE=FQ","FILING_STATUS=MR","SCALING_FORMAT=MLN","FA_ADJUSTED=GAAP","Sort=A","Dates=H","DateFormat=P","Fill=—","Direction=H","UseDPDF=Y")</f>
        <v>1857</v>
      </c>
      <c r="K45" s="13">
        <f>_xll.BDH("AMGN US Equity","PRETAX_INC","FQ2 2021","FQ2 2021","Currency=USD","Period=FQ","BEST_FPERIOD_OVERRIDE=FQ","FILING_STATUS=MR","SCALING_FORMAT=MLN","FA_ADJUSTED=GAAP","Sort=A","Dates=H","DateFormat=P","Fill=—","Direction=H","UseDPDF=Y")</f>
        <v>558</v>
      </c>
      <c r="L45" s="13">
        <f>_xll.BDH("AMGN US Equity","PRETAX_INC","FQ3 2021","FQ3 2021","Currency=USD","Period=FQ","BEST_FPERIOD_OVERRIDE=FQ","FILING_STATUS=MR","SCALING_FORMAT=MLN","FA_ADJUSTED=GAAP","Sort=A","Dates=H","DateFormat=P","Fill=—","Direction=H","UseDPDF=Y")</f>
        <v>2155</v>
      </c>
      <c r="M45" s="13">
        <f>_xll.BDH("AMGN US Equity","PRETAX_INC","FQ4 2021","FQ4 2021","Currency=USD","Period=FQ","BEST_FPERIOD_OVERRIDE=FQ","FILING_STATUS=MR","SCALING_FORMAT=MLN","FA_ADJUSTED=GAAP","Sort=A","Dates=H","DateFormat=P","Fill=—","Direction=H","UseDPDF=Y")</f>
        <v>2131</v>
      </c>
      <c r="N45" s="13">
        <f>_xll.BDH("AMGN US Equity","PRETAX_INC","FQ1 2022","FQ1 2022","Currency=USD","Period=FQ","BEST_FPERIOD_OVERRIDE=FQ","FILING_STATUS=MR","SCALING_FORMAT=MLN","FA_ADJUSTED=GAAP","Sort=A","Dates=H","DateFormat=P","Fill=—","Direction=H","UseDPDF=Y")</f>
        <v>1675</v>
      </c>
      <c r="O45" s="13">
        <f>_xll.BDH("AMGN US Equity","PRETAX_INC","FQ2 2022","FQ2 2022","Currency=USD","Period=FQ","BEST_FPERIOD_OVERRIDE=FQ","FILING_STATUS=MR","SCALING_FORMAT=MLN","FA_ADJUSTED=GAAP","Sort=A","Dates=H","DateFormat=P","Fill=—","Direction=H","UseDPDF=Y")</f>
        <v>1531</v>
      </c>
      <c r="P45" s="13">
        <f>_xll.BDH("AMGN US Equity","PRETAX_INC","FQ3 2022","FQ3 2022","Currency=USD","Period=FQ","BEST_FPERIOD_OVERRIDE=FQ","FILING_STATUS=MR","SCALING_FORMAT=MLN","FA_ADJUSTED=GAAP","Sort=A","Dates=H","DateFormat=P","Fill=—","Direction=H","UseDPDF=Y")</f>
        <v>2392</v>
      </c>
      <c r="Q45" s="13">
        <f>_xll.BDH("AMGN US Equity","PRETAX_INC","FQ4 2022","FQ4 2022","Currency=USD","Period=FQ","BEST_FPERIOD_OVERRIDE=FQ","FILING_STATUS=MR","SCALING_FORMAT=MLN","FA_ADJUSTED=GAAP","Sort=A","Dates=H","DateFormat=P","Fill=—","Direction=H","UseDPDF=Y")</f>
        <v>1748</v>
      </c>
      <c r="R45" s="13">
        <f>_xll.BDH("AMGN US Equity","PRETAX_INC","FQ1 2023","FQ1 2023","Currency=USD","Period=FQ","BEST_FPERIOD_OVERRIDE=FQ","FILING_STATUS=MR","SCALING_FORMAT=MLN","FA_ADJUSTED=GAAP","Sort=A","Dates=H","DateFormat=P","Fill=—","Direction=H","UseDPDF=Y")</f>
        <v>3442</v>
      </c>
      <c r="S45" s="13">
        <f>_xll.BDH("AMGN US Equity","PRETAX_INC","FQ2 2023","FQ2 2023","Currency=USD","Period=FQ","BEST_FPERIOD_OVERRIDE=FQ","FILING_STATUS=MR","SCALING_FORMAT=MLN","FA_ADJUSTED=GAAP","Sort=A","Dates=H","DateFormat=P","Fill=—","Direction=H","UseDPDF=Y")</f>
        <v>1614</v>
      </c>
      <c r="T45" s="13">
        <f>_xll.BDH("AMGN US Equity","PRETAX_INC","FQ3 2023","FQ3 2023","Currency=USD","Period=FQ","BEST_FPERIOD_OVERRIDE=FQ","FILING_STATUS=MR","SCALING_FORMAT=MLN","FA_ADJUSTED=GAAP","Sort=A","Dates=H","DateFormat=P","Fill=—","Direction=H","UseDPDF=Y")</f>
        <v>1947</v>
      </c>
      <c r="U45" s="13">
        <f>_xll.BDH("AMGN US Equity","PRETAX_INC","FQ4 2023","FQ4 2023","Currency=USD","Period=FQ","BEST_FPERIOD_OVERRIDE=FQ","FILING_STATUS=MR","SCALING_FORMAT=MLN","FA_ADJUSTED=GAAP","Sort=A","Dates=H","DateFormat=P","Fill=—","Direction=H","UseDPDF=Y")</f>
        <v>852</v>
      </c>
      <c r="V45" s="13">
        <f>_xll.BDH("AMGN US Equity","PRETAX_INC","FQ1 2024","FQ1 2024","Currency=USD","Period=FQ","BEST_FPERIOD_OVERRIDE=FQ","FILING_STATUS=MR","SCALING_FORMAT=MLN","FA_ADJUSTED=GAAP","Sort=A","Dates=H","DateFormat=P","Fill=—","Direction=H","UseDPDF=Y")</f>
        <v>-68</v>
      </c>
      <c r="W45" s="13">
        <f>_xll.BDH("AMGN US Equity","PRETAX_INC","FQ2 2024","FQ2 2024","Currency=USD","Period=FQ","BEST_FPERIOD_OVERRIDE=FQ","FILING_STATUS=MR","SCALING_FORMAT=MLN","FA_ADJUSTED=GAAP","Sort=A","Dates=H","DateFormat=P","Fill=—","Direction=H","UseDPDF=Y")</f>
        <v>794</v>
      </c>
      <c r="X45" s="13">
        <f>_xll.BDH("AMGN US Equity","PRETAX_INC","FQ3 2024","FQ3 2024","Currency=USD","Period=FQ","BEST_FPERIOD_OVERRIDE=FQ","FILING_STATUS=MR","SCALING_FORMAT=MLN","FA_ADJUSTED=GAAP","Sort=A","Dates=H","DateFormat=P","Fill=—","Direction=H","UseDPDF=Y")</f>
        <v>3101</v>
      </c>
      <c r="Y45" s="13">
        <f>_xll.BDH("AMGN US Equity","PRETAX_INC","FQ4 2024","FQ4 2024","Currency=USD","Period=FQ","BEST_FPERIOD_OVERRIDE=FQ","FILING_STATUS=MR","SCALING_FORMAT=MLN","FA_ADJUSTED=GAAP","Sort=A","Dates=H","DateFormat=P","Fill=—","Direction=H","UseDPDF=Y")</f>
        <v>782</v>
      </c>
      <c r="Z45" s="13"/>
      <c r="AA45" s="13"/>
    </row>
    <row r="46" spans="1:27" x14ac:dyDescent="0.25">
      <c r="A46" s="10" t="s">
        <v>136</v>
      </c>
      <c r="B46" s="10" t="s">
        <v>158</v>
      </c>
      <c r="C46" s="13">
        <f>_xll.BDH("AMGN US Equity","PRETAX_INC","FQ2 2019","FQ2 2019","Currency=USD","Period=FQ","BEST_FPERIOD_OVERRIDE=FQ","FILING_STATUS=MR","SCALING_FORMAT=MLN","FA_ADJUSTED=Adjusted","Sort=A","Dates=H","DateFormat=P","Fill=—","Direction=H","UseDPDF=Y")</f>
        <v>2561</v>
      </c>
      <c r="D46" s="13">
        <f>_xll.BDH("AMGN US Equity","PRETAX_INC","FQ3 2019","FQ3 2019","Currency=USD","Period=FQ","BEST_FPERIOD_OVERRIDE=FQ","FILING_STATUS=MR","SCALING_FORMAT=MLN","FA_ADJUSTED=Adjusted","Sort=A","Dates=H","DateFormat=P","Fill=—","Direction=H","UseDPDF=Y")</f>
        <v>2277</v>
      </c>
      <c r="E46" s="13">
        <f>_xll.BDH("AMGN US Equity","PRETAX_INC","FQ4 2019","FQ4 2019","Currency=USD","Period=FQ","BEST_FPERIOD_OVERRIDE=FQ","FILING_STATUS=MR","SCALING_FORMAT=MLN","FA_ADJUSTED=Adjusted","Sort=A","Dates=H","DateFormat=P","Fill=—","Direction=H","UseDPDF=Y")</f>
        <v>2056</v>
      </c>
      <c r="F46" s="13">
        <f>_xll.BDH("AMGN US Equity","PRETAX_INC","FQ1 2020","FQ1 2020","Currency=USD","Period=FQ","BEST_FPERIOD_OVERRIDE=FQ","FILING_STATUS=MR","SCALING_FORMAT=MLN","FA_ADJUSTED=Adjusted","Sort=A","Dates=H","DateFormat=P","Fill=—","Direction=H","UseDPDF=Y")</f>
        <v>2045</v>
      </c>
      <c r="G46" s="13">
        <f>_xll.BDH("AMGN US Equity","PRETAX_INC","FQ2 2020","FQ2 2020","Currency=USD","Period=FQ","BEST_FPERIOD_OVERRIDE=FQ","FILING_STATUS=MR","SCALING_FORMAT=MLN","FA_ADJUSTED=Adjusted","Sort=A","Dates=H","DateFormat=P","Fill=—","Direction=H","UseDPDF=Y")</f>
        <v>2130</v>
      </c>
      <c r="H46" s="13">
        <f>_xll.BDH("AMGN US Equity","PRETAX_INC","FQ3 2020","FQ3 2020","Currency=USD","Period=FQ","BEST_FPERIOD_OVERRIDE=FQ","FILING_STATUS=MR","SCALING_FORMAT=MLN","FA_ADJUSTED=Adjusted","Sort=A","Dates=H","DateFormat=P","Fill=—","Direction=H","UseDPDF=Y")</f>
        <v>2935</v>
      </c>
      <c r="I46" s="13">
        <f>_xll.BDH("AMGN US Equity","PRETAX_INC","FQ4 2020","FQ4 2020","Currency=USD","Period=FQ","BEST_FPERIOD_OVERRIDE=FQ","FILING_STATUS=MR","SCALING_FORMAT=MLN","FA_ADJUSTED=Adjusted","Sort=A","Dates=H","DateFormat=P","Fill=—","Direction=H","UseDPDF=Y")</f>
        <v>1942</v>
      </c>
      <c r="J46" s="13">
        <f>_xll.BDH("AMGN US Equity","PRETAX_INC","FQ1 2021","FQ1 2021","Currency=USD","Period=FQ","BEST_FPERIOD_OVERRIDE=FQ","FILING_STATUS=MR","SCALING_FORMAT=MLN","FA_ADJUSTED=Adjusted","Sort=A","Dates=H","DateFormat=P","Fill=—","Direction=H","UseDPDF=Y")</f>
        <v>2447</v>
      </c>
      <c r="K46" s="13">
        <f>_xll.BDH("AMGN US Equity","PRETAX_INC","FQ2 2021","FQ2 2021","Currency=USD","Period=FQ","BEST_FPERIOD_OVERRIDE=FQ","FILING_STATUS=MR","SCALING_FORMAT=MLN","FA_ADJUSTED=Adjusted","Sort=A","Dates=H","DateFormat=P","Fill=—","Direction=H","UseDPDF=Y")</f>
        <v>2842</v>
      </c>
      <c r="L46" s="13">
        <f>_xll.BDH("AMGN US Equity","PRETAX_INC","FQ3 2021","FQ3 2021","Currency=USD","Period=FQ","BEST_FPERIOD_OVERRIDE=FQ","FILING_STATUS=MR","SCALING_FORMAT=MLN","FA_ADJUSTED=Adjusted","Sort=A","Dates=H","DateFormat=P","Fill=—","Direction=H","UseDPDF=Y")</f>
        <v>1991</v>
      </c>
      <c r="M46" s="13">
        <f>_xll.BDH("AMGN US Equity","PRETAX_INC","FQ4 2021","FQ4 2021","Currency=USD","Period=FQ","BEST_FPERIOD_OVERRIDE=FQ","FILING_STATUS=MR","SCALING_FORMAT=MLN","FA_ADJUSTED=Adjusted","Sort=A","Dates=H","DateFormat=P","Fill=—","Direction=H","UseDPDF=Y")</f>
        <v>2073</v>
      </c>
      <c r="N46" s="13">
        <f>_xll.BDH("AMGN US Equity","PRETAX_INC","FQ1 2022","FQ1 2022","Currency=USD","Period=FQ","BEST_FPERIOD_OVERRIDE=FQ","FILING_STATUS=MR","SCALING_FORMAT=MLN","FA_ADJUSTED=Adjusted","Sort=A","Dates=H","DateFormat=P","Fill=—","Direction=H","UseDPDF=Y")</f>
        <v>2680</v>
      </c>
      <c r="O46" s="13">
        <f>_xll.BDH("AMGN US Equity","PRETAX_INC","FQ2 2022","FQ2 2022","Currency=USD","Period=FQ","BEST_FPERIOD_OVERRIDE=FQ","FILING_STATUS=MR","SCALING_FORMAT=MLN","FA_ADJUSTED=Adjusted","Sort=A","Dates=H","DateFormat=P","Fill=—","Direction=H","UseDPDF=Y")</f>
        <v>2876</v>
      </c>
      <c r="P46" s="13">
        <f>_xll.BDH("AMGN US Equity","PRETAX_INC","FQ3 2022","FQ3 2022","Currency=USD","Period=FQ","BEST_FPERIOD_OVERRIDE=FQ","FILING_STATUS=MR","SCALING_FORMAT=MLN","FA_ADJUSTED=Adjusted","Sort=A","Dates=H","DateFormat=P","Fill=—","Direction=H","UseDPDF=Y")</f>
        <v>2247</v>
      </c>
      <c r="Q46" s="13">
        <f>_xll.BDH("AMGN US Equity","PRETAX_INC","FQ4 2022","FQ4 2022","Currency=USD","Period=FQ","BEST_FPERIOD_OVERRIDE=FQ","FILING_STATUS=MR","SCALING_FORMAT=MLN","FA_ADJUSTED=Adjusted","Sort=A","Dates=H","DateFormat=P","Fill=—","Direction=H","UseDPDF=Y")</f>
        <v>1675</v>
      </c>
      <c r="R46" s="13">
        <f>_xll.BDH("AMGN US Equity","PRETAX_INC","FQ1 2023","FQ1 2023","Currency=USD","Period=FQ","BEST_FPERIOD_OVERRIDE=FQ","FILING_STATUS=MR","SCALING_FORMAT=MLN","FA_ADJUSTED=Adjusted","Sort=A","Dates=H","DateFormat=P","Fill=—","Direction=H","UseDPDF=Y")</f>
        <v>2489</v>
      </c>
      <c r="S46" s="13">
        <f>_xll.BDH("AMGN US Equity","PRETAX_INC","FQ2 2023","FQ2 2023","Currency=USD","Period=FQ","BEST_FPERIOD_OVERRIDE=FQ","FILING_STATUS=MR","SCALING_FORMAT=MLN","FA_ADJUSTED=Adjusted","Sort=A","Dates=H","DateFormat=P","Fill=—","Direction=H","UseDPDF=Y")</f>
        <v>2374</v>
      </c>
      <c r="T46" s="13">
        <f>_xll.BDH("AMGN US Equity","PRETAX_INC","FQ3 2023","FQ3 2023","Currency=USD","Period=FQ","BEST_FPERIOD_OVERRIDE=FQ","FILING_STATUS=MR","SCALING_FORMAT=MLN","FA_ADJUSTED=Adjusted","Sort=A","Dates=H","DateFormat=P","Fill=—","Direction=H","UseDPDF=Y")</f>
        <v>2440</v>
      </c>
      <c r="U46" s="13">
        <f>_xll.BDH("AMGN US Equity","PRETAX_INC","FQ4 2023","FQ4 2023","Currency=USD","Period=FQ","BEST_FPERIOD_OVERRIDE=FQ","FILING_STATUS=MR","SCALING_FORMAT=MLN","FA_ADJUSTED=Adjusted","Sort=A","Dates=H","DateFormat=P","Fill=—","Direction=H","UseDPDF=Y")</f>
        <v>1162</v>
      </c>
      <c r="V46" s="13">
        <f>_xll.BDH("AMGN US Equity","PRETAX_INC","FQ1 2024","FQ1 2024","Currency=USD","Period=FQ","BEST_FPERIOD_OVERRIDE=FQ","FILING_STATUS=MR","SCALING_FORMAT=MLN","FA_ADJUSTED=Adjusted","Sort=A","Dates=H","DateFormat=P","Fill=—","Direction=H","UseDPDF=Y")</f>
        <v>547</v>
      </c>
      <c r="W46" s="13">
        <f>_xll.BDH("AMGN US Equity","PRETAX_INC","FQ2 2024","FQ2 2024","Currency=USD","Period=FQ","BEST_FPERIOD_OVERRIDE=FQ","FILING_STATUS=MR","SCALING_FORMAT=MLN","FA_ADJUSTED=Adjusted","Sort=A","Dates=H","DateFormat=P","Fill=—","Direction=H","UseDPDF=Y")</f>
        <v>1333</v>
      </c>
      <c r="X46" s="13">
        <f>_xll.BDH("AMGN US Equity","PRETAX_INC","FQ3 2024","FQ3 2024","Currency=USD","Period=FQ","BEST_FPERIOD_OVERRIDE=FQ","FILING_STATUS=MR","SCALING_FORMAT=MLN","FA_ADJUSTED=Adjusted","Sort=A","Dates=H","DateFormat=P","Fill=—","Direction=H","UseDPDF=Y")</f>
        <v>1634</v>
      </c>
      <c r="Y46" s="13">
        <f>_xll.BDH("AMGN US Equity","PRETAX_INC","FQ4 2024","FQ4 2024","Currency=USD","Period=FQ","BEST_FPERIOD_OVERRIDE=FQ","FILING_STATUS=MR","SCALING_FORMAT=MLN","FA_ADJUSTED=Adjusted","Sort=A","Dates=H","DateFormat=P","Fill=—","Direction=H","UseDPDF=Y")</f>
        <v>1803</v>
      </c>
      <c r="Z46" s="13"/>
      <c r="AA46" s="13"/>
    </row>
    <row r="47" spans="1:27" x14ac:dyDescent="0.25">
      <c r="A47" s="10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25">
      <c r="A48" s="6" t="s">
        <v>159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x14ac:dyDescent="0.25">
      <c r="A49" s="10" t="s">
        <v>130</v>
      </c>
      <c r="B49" s="10" t="s">
        <v>160</v>
      </c>
      <c r="C49" s="13">
        <f>_xll.BDH("AMGN US Equity","BEST_NET_INCOME","FQ2 2019","FQ2 2019","Currency=USD","Period=FQ","BEST_FPERIOD_OVERRIDE=FQ","FILING_STATUS=MR","Sort=A","Dates=H","DateFormat=P","Fill=—","Direction=H","UseDPDF=Y")</f>
        <v>2221.154</v>
      </c>
      <c r="D49" s="13">
        <f>_xll.BDH("AMGN US Equity","BEST_NET_INCOME","FQ3 2019","FQ3 2019","Currency=USD","Period=FQ","BEST_FPERIOD_OVERRIDE=FQ","FILING_STATUS=MR","Sort=A","Dates=H","DateFormat=P","Fill=—","Direction=H","UseDPDF=Y")</f>
        <v>2142.1999999999998</v>
      </c>
      <c r="E49" s="13">
        <f>_xll.BDH("AMGN US Equity","BEST_NET_INCOME","FQ4 2019","FQ4 2019","Currency=USD","Period=FQ","BEST_FPERIOD_OVERRIDE=FQ","FILING_STATUS=MR","Sort=A","Dates=H","DateFormat=P","Fill=—","Direction=H","UseDPDF=Y")</f>
        <v>2059.25</v>
      </c>
      <c r="F49" s="13">
        <f>_xll.BDH("AMGN US Equity","BEST_NET_INCOME","FQ1 2020","FQ1 2020","Currency=USD","Period=FQ","BEST_FPERIOD_OVERRIDE=FQ","FILING_STATUS=MR","Sort=A","Dates=H","DateFormat=P","Fill=—","Direction=H","UseDPDF=Y")</f>
        <v>2245.6109999999999</v>
      </c>
      <c r="G49" s="13">
        <f>_xll.BDH("AMGN US Equity","BEST_NET_INCOME","FQ2 2020","FQ2 2020","Currency=USD","Period=FQ","BEST_FPERIOD_OVERRIDE=FQ","FILING_STATUS=MR","Sort=A","Dates=H","DateFormat=P","Fill=—","Direction=H","UseDPDF=Y")</f>
        <v>2292.6</v>
      </c>
      <c r="H49" s="13">
        <f>_xll.BDH("AMGN US Equity","BEST_NET_INCOME","FQ3 2020","FQ3 2020","Currency=USD","Period=FQ","BEST_FPERIOD_OVERRIDE=FQ","FILING_STATUS=MR","Sort=A","Dates=H","DateFormat=P","Fill=—","Direction=H","UseDPDF=Y")</f>
        <v>2235.2730000000001</v>
      </c>
      <c r="I49" s="13">
        <f>_xll.BDH("AMGN US Equity","BEST_NET_INCOME","FQ4 2020","FQ4 2020","Currency=USD","Period=FQ","BEST_FPERIOD_OVERRIDE=FQ","FILING_STATUS=MR","Sort=A","Dates=H","DateFormat=P","Fill=—","Direction=H","UseDPDF=Y")</f>
        <v>1978.2270000000001</v>
      </c>
      <c r="J49" s="13">
        <f>_xll.BDH("AMGN US Equity","BEST_NET_INCOME","FQ1 2021","FQ1 2021","Currency=USD","Period=FQ","BEST_FPERIOD_OVERRIDE=FQ","FILING_STATUS=MR","Sort=A","Dates=H","DateFormat=P","Fill=—","Direction=H","UseDPDF=Y")</f>
        <v>2349.6</v>
      </c>
      <c r="K49" s="13">
        <f>_xll.BDH("AMGN US Equity","BEST_NET_INCOME","FQ2 2021","FQ2 2021","Currency=USD","Period=FQ","BEST_FPERIOD_OVERRIDE=FQ","FILING_STATUS=MR","Sort=A","Dates=H","DateFormat=P","Fill=—","Direction=H","UseDPDF=Y")</f>
        <v>2367.2860000000001</v>
      </c>
      <c r="L49" s="13">
        <f>_xll.BDH("AMGN US Equity","BEST_NET_INCOME","FQ3 2021","FQ3 2021","Currency=USD","Period=FQ","BEST_FPERIOD_OVERRIDE=FQ","FILING_STATUS=MR","Sort=A","Dates=H","DateFormat=P","Fill=—","Direction=H","UseDPDF=Y")</f>
        <v>2451.4760000000001</v>
      </c>
      <c r="M49" s="13">
        <f>_xll.BDH("AMGN US Equity","BEST_NET_INCOME","FQ4 2021","FQ4 2021","Currency=USD","Period=FQ","BEST_FPERIOD_OVERRIDE=FQ","FILING_STATUS=MR","Sort=A","Dates=H","DateFormat=P","Fill=—","Direction=H","UseDPDF=Y")</f>
        <v>2309.8000000000002</v>
      </c>
      <c r="N49" s="13">
        <f>_xll.BDH("AMGN US Equity","BEST_NET_INCOME","FQ1 2022","FQ1 2022","Currency=USD","Period=FQ","BEST_FPERIOD_OVERRIDE=FQ","FILING_STATUS=MR","Sort=A","Dates=H","DateFormat=P","Fill=—","Direction=H","UseDPDF=Y")</f>
        <v>2266.136</v>
      </c>
      <c r="O49" s="13">
        <f>_xll.BDH("AMGN US Equity","BEST_NET_INCOME","FQ2 2022","FQ2 2022","Currency=USD","Period=FQ","BEST_FPERIOD_OVERRIDE=FQ","FILING_STATUS=MR","Sort=A","Dates=H","DateFormat=P","Fill=—","Direction=H","UseDPDF=Y")</f>
        <v>2402.7730000000001</v>
      </c>
      <c r="P49" s="13">
        <f>_xll.BDH("AMGN US Equity","BEST_NET_INCOME","FQ3 2022","FQ3 2022","Currency=USD","Period=FQ","BEST_FPERIOD_OVERRIDE=FQ","FILING_STATUS=MR","Sort=A","Dates=H","DateFormat=P","Fill=—","Direction=H","UseDPDF=Y")</f>
        <v>2384.7269999999999</v>
      </c>
      <c r="Q49" s="13">
        <f>_xll.BDH("AMGN US Equity","BEST_NET_INCOME","FQ4 2022","FQ4 2022","Currency=USD","Period=FQ","BEST_FPERIOD_OVERRIDE=FQ","FILING_STATUS=MR","Sort=A","Dates=H","DateFormat=P","Fill=—","Direction=H","UseDPDF=Y")</f>
        <v>2192.5500000000002</v>
      </c>
      <c r="R49" s="13">
        <f>_xll.BDH("AMGN US Equity","BEST_NET_INCOME","FQ1 2023","FQ1 2023","Currency=USD","Period=FQ","BEST_FPERIOD_OVERRIDE=FQ","FILING_STATUS=MR","Sort=A","Dates=H","DateFormat=P","Fill=—","Direction=H","UseDPDF=Y")</f>
        <v>2071.4760000000001</v>
      </c>
      <c r="S49" s="13">
        <f>_xll.BDH("AMGN US Equity","BEST_NET_INCOME","FQ2 2023","FQ2 2023","Currency=USD","Period=FQ","BEST_FPERIOD_OVERRIDE=FQ","FILING_STATUS=MR","Sort=A","Dates=H","DateFormat=P","Fill=—","Direction=H","UseDPDF=Y")</f>
        <v>2398.81</v>
      </c>
      <c r="T49" s="13">
        <f>_xll.BDH("AMGN US Equity","BEST_NET_INCOME","FQ3 2023","FQ3 2023","Currency=USD","Period=FQ","BEST_FPERIOD_OVERRIDE=FQ","FILING_STATUS=MR","Sort=A","Dates=H","DateFormat=P","Fill=—","Direction=H","UseDPDF=Y")</f>
        <v>2519.9</v>
      </c>
      <c r="U49" s="13">
        <f>_xll.BDH("AMGN US Equity","BEST_NET_INCOME","FQ4 2023","FQ4 2023","Currency=USD","Period=FQ","BEST_FPERIOD_OVERRIDE=FQ","FILING_STATUS=MR","Sort=A","Dates=H","DateFormat=P","Fill=—","Direction=H","UseDPDF=Y")</f>
        <v>2486.9520000000002</v>
      </c>
      <c r="V49" s="13">
        <f>_xll.BDH("AMGN US Equity","BEST_NET_INCOME","FQ1 2024","FQ1 2024","Currency=USD","Period=FQ","BEST_FPERIOD_OVERRIDE=FQ","FILING_STATUS=MR","Sort=A","Dates=H","DateFormat=P","Fill=—","Direction=H","UseDPDF=Y")</f>
        <v>2119.6190000000001</v>
      </c>
      <c r="W49" s="13">
        <f>_xll.BDH("AMGN US Equity","BEST_NET_INCOME","FQ2 2024","FQ2 2024","Currency=USD","Period=FQ","BEST_FPERIOD_OVERRIDE=FQ","FILING_STATUS=MR","Sort=A","Dates=H","DateFormat=P","Fill=—","Direction=H","UseDPDF=Y")</f>
        <v>2685.9520000000002</v>
      </c>
      <c r="X49" s="13">
        <f>_xll.BDH("AMGN US Equity","BEST_NET_INCOME","FQ3 2024","FQ3 2024","Currency=USD","Period=FQ","BEST_FPERIOD_OVERRIDE=FQ","FILING_STATUS=MR","Sort=A","Dates=H","DateFormat=P","Fill=—","Direction=H","UseDPDF=Y")</f>
        <v>2749</v>
      </c>
      <c r="Y49" s="13">
        <f>_xll.BDH("AMGN US Equity","BEST_NET_INCOME","FQ4 2024","FQ4 2024","Currency=USD","Period=FQ","BEST_FPERIOD_OVERRIDE=FQ","FILING_STATUS=MR","Sort=A","Dates=H","DateFormat=P","Fill=—","Direction=H","UseDPDF=Y")</f>
        <v>2761.4349999999999</v>
      </c>
      <c r="Z49" s="13">
        <v>2215.5219999999999</v>
      </c>
      <c r="AA49" s="13">
        <v>2773.174</v>
      </c>
    </row>
    <row r="50" spans="1:27" x14ac:dyDescent="0.25">
      <c r="A50" s="10" t="s">
        <v>132</v>
      </c>
      <c r="B50" s="10" t="s">
        <v>161</v>
      </c>
      <c r="C50" s="13">
        <f>_xll.BDH("AMGN US Equity","IS_COMP_NET_INC_EXCL_STOCK_COMP","FQ2 2019","FQ2 2019","Currency=USD","Period=FQ","BEST_FPERIOD_OVERRIDE=FQ","FILING_STATUS=MR","SCALING_FORMAT=MLN","Sort=A","Dates=H","DateFormat=P","Fill=—","Direction=H","UseDPDF=Y")</f>
        <v>2423</v>
      </c>
      <c r="D50" s="13">
        <f>_xll.BDH("AMGN US Equity","IS_COMP_NET_INC_EXCL_STOCK_COMP","FQ3 2019","FQ3 2019","Currency=USD","Period=FQ","BEST_FPERIOD_OVERRIDE=FQ","FILING_STATUS=MR","SCALING_FORMAT=MLN","Sort=A","Dates=H","DateFormat=P","Fill=—","Direction=H","UseDPDF=Y")</f>
        <v>2201</v>
      </c>
      <c r="E50" s="13">
        <f>_xll.BDH("AMGN US Equity","IS_COMP_NET_INC_EXCL_STOCK_COMP","FQ4 2019","FQ4 2019","Currency=USD","Period=FQ","BEST_FPERIOD_OVERRIDE=FQ","FILING_STATUS=MR","SCALING_FORMAT=MLN","Sort=A","Dates=H","DateFormat=P","Fill=—","Direction=H","UseDPDF=Y")</f>
        <v>2174</v>
      </c>
      <c r="F50" s="13">
        <f>_xll.BDH("AMGN US Equity","IS_COMP_NET_INC_EXCL_STOCK_COMP","FQ1 2020","FQ1 2020","Currency=USD","Period=FQ","BEST_FPERIOD_OVERRIDE=FQ","FILING_STATUS=MR","SCALING_FORMAT=MLN","Sort=A","Dates=H","DateFormat=P","Fill=—","Direction=H","UseDPDF=Y")</f>
        <v>2476</v>
      </c>
      <c r="G50" s="13">
        <f>_xll.BDH("AMGN US Equity","IS_COMP_NET_INC_EXCL_STOCK_COMP","FQ2 2020","FQ2 2020","Currency=USD","Period=FQ","BEST_FPERIOD_OVERRIDE=FQ","FILING_STATUS=MR","SCALING_FORMAT=MLN","Sort=A","Dates=H","DateFormat=P","Fill=—","Direction=H","UseDPDF=Y")</f>
        <v>2518</v>
      </c>
      <c r="H50" s="13">
        <f>_xll.BDH("AMGN US Equity","IS_COMP_NET_INC_EXCL_STOCK_COMP","FQ3 2020","FQ3 2020","Currency=USD","Period=FQ","BEST_FPERIOD_OVERRIDE=FQ","FILING_STATUS=MR","SCALING_FORMAT=MLN","Sort=A","Dates=H","DateFormat=P","Fill=—","Direction=H","UseDPDF=Y")</f>
        <v>2572</v>
      </c>
      <c r="I50" s="13">
        <f>_xll.BDH("AMGN US Equity","IS_COMP_NET_INC_EXCL_STOCK_COMP","FQ4 2020","FQ4 2020","Currency=USD","Period=FQ","BEST_FPERIOD_OVERRIDE=FQ","FILING_STATUS=MR","SCALING_FORMAT=MLN","Sort=A","Dates=H","DateFormat=P","Fill=—","Direction=H","UseDPDF=Y")</f>
        <v>2229</v>
      </c>
      <c r="J50" s="13">
        <f>_xll.BDH("AMGN US Equity","IS_COMP_NET_INC_EXCL_STOCK_COMP","FQ1 2021","FQ1 2021","Currency=USD","Period=FQ","BEST_FPERIOD_OVERRIDE=FQ","FILING_STATUS=MR","SCALING_FORMAT=MLN","Sort=A","Dates=H","DateFormat=P","Fill=—","Direction=H","UseDPDF=Y")</f>
        <v>2150</v>
      </c>
      <c r="K50" s="13">
        <f>_xll.BDH("AMGN US Equity","IS_COMP_NET_INC_EXCL_STOCK_COMP","FQ2 2021","FQ2 2021","Currency=USD","Period=FQ","BEST_FPERIOD_OVERRIDE=FQ","FILING_STATUS=MR","SCALING_FORMAT=MLN","Sort=A","Dates=H","DateFormat=P","Fill=—","Direction=H","UseDPDF=Y")</f>
        <v>2522</v>
      </c>
      <c r="L50" s="13">
        <f>_xll.BDH("AMGN US Equity","IS_COMP_NET_INC_EXCL_STOCK_COMP","FQ3 2021","FQ3 2021","Currency=USD","Period=FQ","BEST_FPERIOD_OVERRIDE=FQ","FILING_STATUS=MR","SCALING_FORMAT=MLN","Sort=A","Dates=H","DateFormat=P","Fill=—","Direction=H","UseDPDF=Y")</f>
        <v>2664</v>
      </c>
      <c r="M50" s="13">
        <f>_xll.BDH("AMGN US Equity","IS_COMP_NET_INC_EXCL_STOCK_COMP","FQ4 2021","FQ4 2021","Currency=USD","Period=FQ","BEST_FPERIOD_OVERRIDE=FQ","FILING_STATUS=MR","SCALING_FORMAT=MLN","Sort=A","Dates=H","DateFormat=P","Fill=—","Direction=H","UseDPDF=Y")</f>
        <v>2461</v>
      </c>
      <c r="N50" s="13">
        <f>_xll.BDH("AMGN US Equity","IS_COMP_NET_INC_EXCL_STOCK_COMP","FQ1 2022","FQ1 2022","Currency=USD","Period=FQ","BEST_FPERIOD_OVERRIDE=FQ","FILING_STATUS=MR","SCALING_FORMAT=MLN","Sort=A","Dates=H","DateFormat=P","Fill=—","Direction=H","UseDPDF=Y")</f>
        <v>2343</v>
      </c>
      <c r="O50" s="13">
        <f>_xll.BDH("AMGN US Equity","IS_COMP_NET_INC_EXCL_STOCK_COMP","FQ2 2022","FQ2 2022","Currency=USD","Period=FQ","BEST_FPERIOD_OVERRIDE=FQ","FILING_STATUS=MR","SCALING_FORMAT=MLN","Sort=A","Dates=H","DateFormat=P","Fill=—","Direction=H","UseDPDF=Y")</f>
        <v>2495</v>
      </c>
      <c r="P50" s="13">
        <f>_xll.BDH("AMGN US Equity","IS_COMP_NET_INC_EXCL_STOCK_COMP","FQ3 2022","FQ3 2022","Currency=USD","Period=FQ","BEST_FPERIOD_OVERRIDE=FQ","FILING_STATUS=MR","SCALING_FORMAT=MLN","Sort=A","Dates=H","DateFormat=P","Fill=—","Direction=H","UseDPDF=Y")</f>
        <v>2530</v>
      </c>
      <c r="Q50" s="13">
        <f>_xll.BDH("AMGN US Equity","IS_COMP_NET_INC_EXCL_STOCK_COMP","FQ4 2022","FQ4 2022","Currency=USD","Period=FQ","BEST_FPERIOD_OVERRIDE=FQ","FILING_STATUS=MR","SCALING_FORMAT=MLN","Sort=A","Dates=H","DateFormat=P","Fill=—","Direction=H","UseDPDF=Y")</f>
        <v>2202</v>
      </c>
      <c r="R50" s="13">
        <f>_xll.BDH("AMGN US Equity","IS_COMP_NET_INC_EXCL_STOCK_COMP","FQ1 2023","FQ1 2023","Currency=USD","Period=FQ","BEST_FPERIOD_OVERRIDE=FQ","FILING_STATUS=MR","SCALING_FORMAT=MLN","Sort=A","Dates=H","DateFormat=P","Fill=—","Direction=H","UseDPDF=Y")</f>
        <v>2141</v>
      </c>
      <c r="S50" s="13">
        <f>_xll.BDH("AMGN US Equity","IS_COMP_NET_INC_EXCL_STOCK_COMP","FQ2 2023","FQ2 2023","Currency=USD","Period=FQ","BEST_FPERIOD_OVERRIDE=FQ","FILING_STATUS=MR","SCALING_FORMAT=MLN","Sort=A","Dates=H","DateFormat=P","Fill=—","Direction=H","UseDPDF=Y")</f>
        <v>2683</v>
      </c>
      <c r="T50" s="13">
        <f>_xll.BDH("AMGN US Equity","IS_COMP_NET_INC_EXCL_STOCK_COMP","FQ3 2023","FQ3 2023","Currency=USD","Period=FQ","BEST_FPERIOD_OVERRIDE=FQ","FILING_STATUS=MR","SCALING_FORMAT=MLN","Sort=A","Dates=H","DateFormat=P","Fill=—","Direction=H","UseDPDF=Y")</f>
        <v>2667</v>
      </c>
      <c r="U50" s="13">
        <f>_xll.BDH("AMGN US Equity","IS_COMP_NET_INC_EXCL_STOCK_COMP","FQ4 2023","FQ4 2023","Currency=USD","Period=FQ","BEST_FPERIOD_OVERRIDE=FQ","FILING_STATUS=MR","SCALING_FORMAT=MLN","Sort=A","Dates=H","DateFormat=P","Fill=—","Direction=H","UseDPDF=Y")</f>
        <v>2543</v>
      </c>
      <c r="V50" s="13">
        <f>_xll.BDH("AMGN US Equity","IS_COMP_NET_INC_EXCL_STOCK_COMP","FQ1 2024","FQ1 2024","Currency=USD","Period=FQ","BEST_FPERIOD_OVERRIDE=FQ","FILING_STATUS=MR","SCALING_FORMAT=MLN","Sort=A","Dates=H","DateFormat=P","Fill=—","Direction=H","UseDPDF=Y")</f>
        <v>2140</v>
      </c>
      <c r="W50" s="13">
        <f>_xll.BDH("AMGN US Equity","IS_COMP_NET_INC_EXCL_STOCK_COMP","FQ2 2024","FQ2 2024","Currency=USD","Period=FQ","BEST_FPERIOD_OVERRIDE=FQ","FILING_STATUS=MR","SCALING_FORMAT=MLN","Sort=A","Dates=H","DateFormat=P","Fill=—","Direction=H","UseDPDF=Y")</f>
        <v>2691</v>
      </c>
      <c r="X50" s="13">
        <f>_xll.BDH("AMGN US Equity","IS_COMP_NET_INC_EXCL_STOCK_COMP","FQ3 2024","FQ3 2024","Currency=USD","Period=FQ","BEST_FPERIOD_OVERRIDE=FQ","FILING_STATUS=MR","SCALING_FORMAT=MLN","Sort=A","Dates=H","DateFormat=P","Fill=—","Direction=H","UseDPDF=Y")</f>
        <v>3024</v>
      </c>
      <c r="Y50" s="13">
        <f>_xll.BDH("AMGN US Equity","IS_COMP_NET_INC_EXCL_STOCK_COMP","FQ4 2024","FQ4 2024","Currency=USD","Period=FQ","BEST_FPERIOD_OVERRIDE=FQ","FILING_STATUS=MR","SCALING_FORMAT=MLN","Sort=A","Dates=H","DateFormat=P","Fill=—","Direction=H","UseDPDF=Y")</f>
        <v>2879</v>
      </c>
      <c r="Z50" s="13"/>
      <c r="AA50" s="13"/>
    </row>
    <row r="51" spans="1:27" x14ac:dyDescent="0.25">
      <c r="A51" s="11" t="s">
        <v>162</v>
      </c>
      <c r="B51" s="11"/>
      <c r="C51" s="25">
        <v>9.0874383316060001</v>
      </c>
      <c r="D51" s="25">
        <v>2.7448417514704602</v>
      </c>
      <c r="E51" s="25">
        <v>5.5724171421634097</v>
      </c>
      <c r="F51" s="25">
        <v>10.259524022637899</v>
      </c>
      <c r="G51" s="25">
        <v>9.8316322079734793</v>
      </c>
      <c r="H51" s="25">
        <v>15.064244949051</v>
      </c>
      <c r="I51" s="25">
        <v>12.676654398105001</v>
      </c>
      <c r="J51" s="25">
        <v>-8.4950629894450103</v>
      </c>
      <c r="K51" s="25">
        <v>6.5355009914306903</v>
      </c>
      <c r="L51" s="25">
        <v>8.6692262131058904</v>
      </c>
      <c r="M51" s="25">
        <v>6.5460213005454904</v>
      </c>
      <c r="N51" s="25">
        <v>3.3918529161533102</v>
      </c>
      <c r="O51" s="25">
        <v>3.83835676528743</v>
      </c>
      <c r="P51" s="25">
        <v>6.0918084124514102</v>
      </c>
      <c r="Q51" s="25">
        <v>0.431004994184845</v>
      </c>
      <c r="R51" s="25">
        <v>3.3562541878351402</v>
      </c>
      <c r="S51" s="25">
        <v>11.847124199082</v>
      </c>
      <c r="T51" s="25">
        <v>5.83753323544585</v>
      </c>
      <c r="U51" s="25">
        <v>2.2536824192827098</v>
      </c>
      <c r="V51" s="25">
        <v>0.96154072972547699</v>
      </c>
      <c r="W51" s="25">
        <v>0.18794081204726601</v>
      </c>
      <c r="X51" s="25">
        <v>10.0036376864314</v>
      </c>
      <c r="Y51" s="25">
        <v>4.2573879160653796</v>
      </c>
      <c r="Z51" s="25"/>
      <c r="AA51" s="25"/>
    </row>
    <row r="52" spans="1:27" x14ac:dyDescent="0.25">
      <c r="A52" s="10" t="s">
        <v>135</v>
      </c>
      <c r="B52" s="10" t="s">
        <v>80</v>
      </c>
      <c r="C52" s="13">
        <f>_xll.BDH("AMGN US Equity","EARN_FOR_COMMON","FQ2 2019","FQ2 2019","Currency=USD","Period=FQ","BEST_FPERIOD_OVERRIDE=FQ","FILING_STATUS=MR","SCALING_FORMAT=MLN","FA_ADJUSTED=GAAP","Sort=A","Dates=H","DateFormat=P","Fill=—","Direction=H","UseDPDF=Y")</f>
        <v>2179</v>
      </c>
      <c r="D52" s="13">
        <f>_xll.BDH("AMGN US Equity","EARN_FOR_COMMON","FQ3 2019","FQ3 2019","Currency=USD","Period=FQ","BEST_FPERIOD_OVERRIDE=FQ","FILING_STATUS=MR","SCALING_FORMAT=MLN","FA_ADJUSTED=GAAP","Sort=A","Dates=H","DateFormat=P","Fill=—","Direction=H","UseDPDF=Y")</f>
        <v>1968</v>
      </c>
      <c r="E52" s="13">
        <f>_xll.BDH("AMGN US Equity","EARN_FOR_COMMON","FQ4 2019","FQ4 2019","Currency=USD","Period=FQ","BEST_FPERIOD_OVERRIDE=FQ","FILING_STATUS=MR","SCALING_FORMAT=MLN","FA_ADJUSTED=GAAP","Sort=A","Dates=H","DateFormat=P","Fill=—","Direction=H","UseDPDF=Y")</f>
        <v>1703</v>
      </c>
      <c r="F52" s="13">
        <f>_xll.BDH("AMGN US Equity","EARN_FOR_COMMON","FQ1 2020","FQ1 2020","Currency=USD","Period=FQ","BEST_FPERIOD_OVERRIDE=FQ","FILING_STATUS=MR","SCALING_FORMAT=MLN","FA_ADJUSTED=GAAP","Sort=A","Dates=H","DateFormat=P","Fill=—","Direction=H","UseDPDF=Y")</f>
        <v>1825</v>
      </c>
      <c r="G52" s="13">
        <f>_xll.BDH("AMGN US Equity","EARN_FOR_COMMON","FQ2 2020","FQ2 2020","Currency=USD","Period=FQ","BEST_FPERIOD_OVERRIDE=FQ","FILING_STATUS=MR","SCALING_FORMAT=MLN","FA_ADJUSTED=GAAP","Sort=A","Dates=H","DateFormat=P","Fill=—","Direction=H","UseDPDF=Y")</f>
        <v>1803</v>
      </c>
      <c r="H52" s="13">
        <f>_xll.BDH("AMGN US Equity","EARN_FOR_COMMON","FQ3 2020","FQ3 2020","Currency=USD","Period=FQ","BEST_FPERIOD_OVERRIDE=FQ","FILING_STATUS=MR","SCALING_FORMAT=MLN","FA_ADJUSTED=GAAP","Sort=A","Dates=H","DateFormat=P","Fill=—","Direction=H","UseDPDF=Y")</f>
        <v>2021</v>
      </c>
      <c r="I52" s="13">
        <f>_xll.BDH("AMGN US Equity","EARN_FOR_COMMON","FQ4 2020","FQ4 2020","Currency=USD","Period=FQ","BEST_FPERIOD_OVERRIDE=FQ","FILING_STATUS=MR","SCALING_FORMAT=MLN","FA_ADJUSTED=GAAP","Sort=A","Dates=H","DateFormat=P","Fill=—","Direction=H","UseDPDF=Y")</f>
        <v>1615</v>
      </c>
      <c r="J52" s="13">
        <f>_xll.BDH("AMGN US Equity","EARN_FOR_COMMON","FQ1 2021","FQ1 2021","Currency=USD","Period=FQ","BEST_FPERIOD_OVERRIDE=FQ","FILING_STATUS=MR","SCALING_FORMAT=MLN","FA_ADJUSTED=GAAP","Sort=A","Dates=H","DateFormat=P","Fill=—","Direction=H","UseDPDF=Y")</f>
        <v>1646</v>
      </c>
      <c r="K52" s="13">
        <f>_xll.BDH("AMGN US Equity","EARN_FOR_COMMON","FQ2 2021","FQ2 2021","Currency=USD","Period=FQ","BEST_FPERIOD_OVERRIDE=FQ","FILING_STATUS=MR","SCALING_FORMAT=MLN","FA_ADJUSTED=GAAP","Sort=A","Dates=H","DateFormat=P","Fill=—","Direction=H","UseDPDF=Y")</f>
        <v>464</v>
      </c>
      <c r="L52" s="13">
        <f>_xll.BDH("AMGN US Equity","EARN_FOR_COMMON","FQ3 2021","FQ3 2021","Currency=USD","Period=FQ","BEST_FPERIOD_OVERRIDE=FQ","FILING_STATUS=MR","SCALING_FORMAT=MLN","FA_ADJUSTED=GAAP","Sort=A","Dates=H","DateFormat=P","Fill=—","Direction=H","UseDPDF=Y")</f>
        <v>1884</v>
      </c>
      <c r="M52" s="13">
        <f>_xll.BDH("AMGN US Equity","EARN_FOR_COMMON","FQ4 2021","FQ4 2021","Currency=USD","Period=FQ","BEST_FPERIOD_OVERRIDE=FQ","FILING_STATUS=MR","SCALING_FORMAT=MLN","FA_ADJUSTED=GAAP","Sort=A","Dates=H","DateFormat=P","Fill=—","Direction=H","UseDPDF=Y")</f>
        <v>1899</v>
      </c>
      <c r="N52" s="13">
        <f>_xll.BDH("AMGN US Equity","EARN_FOR_COMMON","FQ1 2022","FQ1 2022","Currency=USD","Period=FQ","BEST_FPERIOD_OVERRIDE=FQ","FILING_STATUS=MR","SCALING_FORMAT=MLN","FA_ADJUSTED=GAAP","Sort=A","Dates=H","DateFormat=P","Fill=—","Direction=H","UseDPDF=Y")</f>
        <v>1476</v>
      </c>
      <c r="O52" s="13">
        <f>_xll.BDH("AMGN US Equity","EARN_FOR_COMMON","FQ2 2022","FQ2 2022","Currency=USD","Period=FQ","BEST_FPERIOD_OVERRIDE=FQ","FILING_STATUS=MR","SCALING_FORMAT=MLN","FA_ADJUSTED=GAAP","Sort=A","Dates=H","DateFormat=P","Fill=—","Direction=H","UseDPDF=Y")</f>
        <v>1317</v>
      </c>
      <c r="P52" s="13">
        <f>_xll.BDH("AMGN US Equity","EARN_FOR_COMMON","FQ3 2022","FQ3 2022","Currency=USD","Period=FQ","BEST_FPERIOD_OVERRIDE=FQ","FILING_STATUS=MR","SCALING_FORMAT=MLN","FA_ADJUSTED=GAAP","Sort=A","Dates=H","DateFormat=P","Fill=—","Direction=H","UseDPDF=Y")</f>
        <v>2143</v>
      </c>
      <c r="Q52" s="13">
        <f>_xll.BDH("AMGN US Equity","EARN_FOR_COMMON","FQ4 2022","FQ4 2022","Currency=USD","Period=FQ","BEST_FPERIOD_OVERRIDE=FQ","FILING_STATUS=MR","SCALING_FORMAT=MLN","FA_ADJUSTED=GAAP","Sort=A","Dates=H","DateFormat=P","Fill=—","Direction=H","UseDPDF=Y")</f>
        <v>1616</v>
      </c>
      <c r="R52" s="13">
        <f>_xll.BDH("AMGN US Equity","EARN_FOR_COMMON","FQ1 2023","FQ1 2023","Currency=USD","Period=FQ","BEST_FPERIOD_OVERRIDE=FQ","FILING_STATUS=MR","SCALING_FORMAT=MLN","FA_ADJUSTED=GAAP","Sort=A","Dates=H","DateFormat=P","Fill=—","Direction=H","UseDPDF=Y")</f>
        <v>2841</v>
      </c>
      <c r="S52" s="13">
        <f>_xll.BDH("AMGN US Equity","EARN_FOR_COMMON","FQ2 2023","FQ2 2023","Currency=USD","Period=FQ","BEST_FPERIOD_OVERRIDE=FQ","FILING_STATUS=MR","SCALING_FORMAT=MLN","FA_ADJUSTED=GAAP","Sort=A","Dates=H","DateFormat=P","Fill=—","Direction=H","UseDPDF=Y")</f>
        <v>1379</v>
      </c>
      <c r="T52" s="13">
        <f>_xll.BDH("AMGN US Equity","EARN_FOR_COMMON","FQ3 2023","FQ3 2023","Currency=USD","Period=FQ","BEST_FPERIOD_OVERRIDE=FQ","FILING_STATUS=MR","SCALING_FORMAT=MLN","FA_ADJUSTED=GAAP","Sort=A","Dates=H","DateFormat=P","Fill=—","Direction=H","UseDPDF=Y")</f>
        <v>1730</v>
      </c>
      <c r="U52" s="13">
        <f>_xll.BDH("AMGN US Equity","EARN_FOR_COMMON","FQ4 2023","FQ4 2023","Currency=USD","Period=FQ","BEST_FPERIOD_OVERRIDE=FQ","FILING_STATUS=MR","SCALING_FORMAT=MLN","FA_ADJUSTED=GAAP","Sort=A","Dates=H","DateFormat=P","Fill=—","Direction=H","UseDPDF=Y")</f>
        <v>767</v>
      </c>
      <c r="V52" s="13">
        <f>_xll.BDH("AMGN US Equity","EARN_FOR_COMMON","FQ1 2024","FQ1 2024","Currency=USD","Period=FQ","BEST_FPERIOD_OVERRIDE=FQ","FILING_STATUS=MR","SCALING_FORMAT=MLN","FA_ADJUSTED=GAAP","Sort=A","Dates=H","DateFormat=P","Fill=—","Direction=H","UseDPDF=Y")</f>
        <v>-113</v>
      </c>
      <c r="W52" s="13">
        <f>_xll.BDH("AMGN US Equity","EARN_FOR_COMMON","FQ2 2024","FQ2 2024","Currency=USD","Period=FQ","BEST_FPERIOD_OVERRIDE=FQ","FILING_STATUS=MR","SCALING_FORMAT=MLN","FA_ADJUSTED=GAAP","Sort=A","Dates=H","DateFormat=P","Fill=—","Direction=H","UseDPDF=Y")</f>
        <v>746</v>
      </c>
      <c r="X52" s="13">
        <f>_xll.BDH("AMGN US Equity","EARN_FOR_COMMON","FQ3 2024","FQ3 2024","Currency=USD","Period=FQ","BEST_FPERIOD_OVERRIDE=FQ","FILING_STATUS=MR","SCALING_FORMAT=MLN","FA_ADJUSTED=GAAP","Sort=A","Dates=H","DateFormat=P","Fill=—","Direction=H","UseDPDF=Y")</f>
        <v>2830</v>
      </c>
      <c r="Y52" s="13">
        <f>_xll.BDH("AMGN US Equity","EARN_FOR_COMMON","FQ4 2024","FQ4 2024","Currency=USD","Period=FQ","BEST_FPERIOD_OVERRIDE=FQ","FILING_STATUS=MR","SCALING_FORMAT=MLN","FA_ADJUSTED=GAAP","Sort=A","Dates=H","DateFormat=P","Fill=—","Direction=H","UseDPDF=Y")</f>
        <v>627</v>
      </c>
      <c r="Z52" s="13"/>
      <c r="AA52" s="13"/>
    </row>
    <row r="53" spans="1:27" x14ac:dyDescent="0.25">
      <c r="A53" s="10" t="s">
        <v>136</v>
      </c>
      <c r="B53" s="10" t="s">
        <v>80</v>
      </c>
      <c r="C53" s="13">
        <f>_xll.BDH("AMGN US Equity","EARN_FOR_COMMON","FQ2 2019","FQ2 2019","Currency=USD","Period=FQ","BEST_FPERIOD_OVERRIDE=FQ","FILING_STATUS=MR","SCALING_FORMAT=MLN","FA_ADJUSTED=Adjusted","Sort=A","Dates=H","DateFormat=P","Fill=—","Direction=H","UseDPDF=Y")</f>
        <v>2195.7094999999999</v>
      </c>
      <c r="D53" s="13">
        <f>_xll.BDH("AMGN US Equity","EARN_FOR_COMMON","FQ3 2019","FQ3 2019","Currency=USD","Period=FQ","BEST_FPERIOD_OVERRIDE=FQ","FILING_STATUS=MR","SCALING_FORMAT=MLN","FA_ADJUSTED=Adjusted","Sort=A","Dates=H","DateFormat=P","Fill=—","Direction=H","UseDPDF=Y")</f>
        <v>1976</v>
      </c>
      <c r="E53" s="13">
        <f>_xll.BDH("AMGN US Equity","EARN_FOR_COMMON","FQ4 2019","FQ4 2019","Currency=USD","Period=FQ","BEST_FPERIOD_OVERRIDE=FQ","FILING_STATUS=MR","SCALING_FORMAT=MLN","FA_ADJUSTED=Adjusted","Sort=A","Dates=H","DateFormat=P","Fill=—","Direction=H","UseDPDF=Y")</f>
        <v>1760.3874000000001</v>
      </c>
      <c r="F53" s="13">
        <f>_xll.BDH("AMGN US Equity","EARN_FOR_COMMON","FQ1 2020","FQ1 2020","Currency=USD","Period=FQ","BEST_FPERIOD_OVERRIDE=FQ","FILING_STATUS=MR","SCALING_FORMAT=MLN","FA_ADJUSTED=Adjusted","Sort=A","Dates=H","DateFormat=P","Fill=—","Direction=H","UseDPDF=Y")</f>
        <v>1845.7964999999999</v>
      </c>
      <c r="G53" s="13">
        <f>_xll.BDH("AMGN US Equity","EARN_FOR_COMMON","FQ2 2020","FQ2 2020","Currency=USD","Period=FQ","BEST_FPERIOD_OVERRIDE=FQ","FILING_STATUS=MR","SCALING_FORMAT=MLN","FA_ADJUSTED=Adjusted","Sort=A","Dates=H","DateFormat=P","Fill=—","Direction=H","UseDPDF=Y")</f>
        <v>1875.5315000000001</v>
      </c>
      <c r="H53" s="13">
        <f>_xll.BDH("AMGN US Equity","EARN_FOR_COMMON","FQ3 2020","FQ3 2020","Currency=USD","Period=FQ","BEST_FPERIOD_OVERRIDE=FQ","FILING_STATUS=MR","SCALING_FORMAT=MLN","FA_ADJUSTED=Adjusted","Sort=A","Dates=H","DateFormat=P","Fill=—","Direction=H","UseDPDF=Y")</f>
        <v>2569.9627999999998</v>
      </c>
      <c r="I53" s="13">
        <f>_xll.BDH("AMGN US Equity","EARN_FOR_COMMON","FQ4 2020","FQ4 2020","Currency=USD","Period=FQ","BEST_FPERIOD_OVERRIDE=FQ","FILING_STATUS=MR","SCALING_FORMAT=MLN","FA_ADJUSTED=Adjusted","Sort=A","Dates=H","DateFormat=P","Fill=—","Direction=H","UseDPDF=Y")</f>
        <v>1664.0646999999999</v>
      </c>
      <c r="J53" s="13">
        <f>_xll.BDH("AMGN US Equity","EARN_FOR_COMMON","FQ1 2021","FQ1 2021","Currency=USD","Period=FQ","BEST_FPERIOD_OVERRIDE=FQ","FILING_STATUS=MR","SCALING_FORMAT=MLN","FA_ADJUSTED=Adjusted","Sort=A","Dates=H","DateFormat=P","Fill=—","Direction=H","UseDPDF=Y")</f>
        <v>2110.7057</v>
      </c>
      <c r="K53" s="13">
        <f>_xll.BDH("AMGN US Equity","EARN_FOR_COMMON","FQ2 2021","FQ2 2021","Currency=USD","Period=FQ","BEST_FPERIOD_OVERRIDE=FQ","FILING_STATUS=MR","SCALING_FORMAT=MLN","FA_ADJUSTED=Adjusted","Sort=A","Dates=H","DateFormat=P","Fill=—","Direction=H","UseDPDF=Y")</f>
        <v>2485.0016999999998</v>
      </c>
      <c r="L53" s="13">
        <f>_xll.BDH("AMGN US Equity","EARN_FOR_COMMON","FQ3 2021","FQ3 2021","Currency=USD","Period=FQ","BEST_FPERIOD_OVERRIDE=FQ","FILING_STATUS=MR","SCALING_FORMAT=MLN","FA_ADJUSTED=Adjusted","Sort=A","Dates=H","DateFormat=P","Fill=—","Direction=H","UseDPDF=Y")</f>
        <v>1709.0492999999999</v>
      </c>
      <c r="M53" s="13">
        <f>_xll.BDH("AMGN US Equity","EARN_FOR_COMMON","FQ4 2021","FQ4 2021","Currency=USD","Period=FQ","BEST_FPERIOD_OVERRIDE=FQ","FILING_STATUS=MR","SCALING_FORMAT=MLN","FA_ADJUSTED=Adjusted","Sort=A","Dates=H","DateFormat=P","Fill=—","Direction=H","UseDPDF=Y")</f>
        <v>1864.2515000000001</v>
      </c>
      <c r="N53" s="13">
        <f>_xll.BDH("AMGN US Equity","EARN_FOR_COMMON","FQ1 2022","FQ1 2022","Currency=USD","Period=FQ","BEST_FPERIOD_OVERRIDE=FQ","FILING_STATUS=MR","SCALING_FORMAT=MLN","FA_ADJUSTED=Adjusted","Sort=A","Dates=H","DateFormat=P","Fill=—","Direction=H","UseDPDF=Y")</f>
        <v>2304.4439000000002</v>
      </c>
      <c r="O53" s="13">
        <f>_xll.BDH("AMGN US Equity","EARN_FOR_COMMON","FQ2 2022","FQ2 2022","Currency=USD","Period=FQ","BEST_FPERIOD_OVERRIDE=FQ","FILING_STATUS=MR","SCALING_FORMAT=MLN","FA_ADJUSTED=Adjusted","Sort=A","Dates=H","DateFormat=P","Fill=—","Direction=H","UseDPDF=Y")</f>
        <v>2453.5925000000002</v>
      </c>
      <c r="P53" s="13">
        <f>_xll.BDH("AMGN US Equity","EARN_FOR_COMMON","FQ3 2022","FQ3 2022","Currency=USD","Period=FQ","BEST_FPERIOD_OVERRIDE=FQ","FILING_STATUS=MR","SCALING_FORMAT=MLN","FA_ADJUSTED=Adjusted","Sort=A","Dates=H","DateFormat=P","Fill=—","Direction=H","UseDPDF=Y")</f>
        <v>2027.4163000000001</v>
      </c>
      <c r="Q53" s="13">
        <f>_xll.BDH("AMGN US Equity","EARN_FOR_COMMON","FQ4 2022","FQ4 2022","Currency=USD","Period=FQ","BEST_FPERIOD_OVERRIDE=FQ","FILING_STATUS=MR","SCALING_FORMAT=MLN","FA_ADJUSTED=Adjusted","Sort=A","Dates=H","DateFormat=P","Fill=—","Direction=H","UseDPDF=Y")</f>
        <v>1513.0811000000001</v>
      </c>
      <c r="R53" s="13">
        <f>_xll.BDH("AMGN US Equity","EARN_FOR_COMMON","FQ1 2023","FQ1 2023","Currency=USD","Period=FQ","BEST_FPERIOD_OVERRIDE=FQ","FILING_STATUS=MR","SCALING_FORMAT=MLN","FA_ADJUSTED=Adjusted","Sort=A","Dates=H","DateFormat=P","Fill=—","Direction=H","UseDPDF=Y")</f>
        <v>2024</v>
      </c>
      <c r="S53" s="13">
        <f>_xll.BDH("AMGN US Equity","EARN_FOR_COMMON","FQ2 2023","FQ2 2023","Currency=USD","Period=FQ","BEST_FPERIOD_OVERRIDE=FQ","FILING_STATUS=MR","SCALING_FORMAT=MLN","FA_ADJUSTED=Adjusted","Sort=A","Dates=H","DateFormat=P","Fill=—","Direction=H","UseDPDF=Y")</f>
        <v>1851.94</v>
      </c>
      <c r="T53" s="13">
        <f>_xll.BDH("AMGN US Equity","EARN_FOR_COMMON","FQ3 2023","FQ3 2023","Currency=USD","Period=FQ","BEST_FPERIOD_OVERRIDE=FQ","FILING_STATUS=MR","SCALING_FORMAT=MLN","FA_ADJUSTED=Adjusted","Sort=A","Dates=H","DateFormat=P","Fill=—","Direction=H","UseDPDF=Y")</f>
        <v>2078.9131000000002</v>
      </c>
      <c r="U53" s="13">
        <f>_xll.BDH("AMGN US Equity","EARN_FOR_COMMON","FQ4 2023","FQ4 2023","Currency=USD","Period=FQ","BEST_FPERIOD_OVERRIDE=FQ","FILING_STATUS=MR","SCALING_FORMAT=MLN","FA_ADJUSTED=Adjusted","Sort=A","Dates=H","DateFormat=P","Fill=—","Direction=H","UseDPDF=Y")</f>
        <v>1011.3668</v>
      </c>
      <c r="V53" s="13">
        <f>_xll.BDH("AMGN US Equity","EARN_FOR_COMMON","FQ1 2024","FQ1 2024","Currency=USD","Period=FQ","BEST_FPERIOD_OVERRIDE=FQ","FILING_STATUS=MR","SCALING_FORMAT=MLN","FA_ADJUSTED=Adjusted","Sort=A","Dates=H","DateFormat=P","Fill=—","Direction=H","UseDPDF=Y")</f>
        <v>431.9846</v>
      </c>
      <c r="W53" s="13">
        <f>_xll.BDH("AMGN US Equity","EARN_FOR_COMMON","FQ2 2024","FQ2 2024","Currency=USD","Period=FQ","BEST_FPERIOD_OVERRIDE=FQ","FILING_STATUS=MR","SCALING_FORMAT=MLN","FA_ADJUSTED=Adjusted","Sort=A","Dates=H","DateFormat=P","Fill=—","Direction=H","UseDPDF=Y")</f>
        <v>1207.5881999999999</v>
      </c>
      <c r="X53" s="13">
        <f>_xll.BDH("AMGN US Equity","EARN_FOR_COMMON","FQ3 2024","FQ3 2024","Currency=USD","Period=FQ","BEST_FPERIOD_OVERRIDE=FQ","FILING_STATUS=MR","SCALING_FORMAT=MLN","FA_ADJUSTED=Adjusted","Sort=A","Dates=H","DateFormat=P","Fill=—","Direction=H","UseDPDF=Y")</f>
        <v>2043.6077</v>
      </c>
      <c r="Y53" s="13">
        <f>_xll.BDH("AMGN US Equity","EARN_FOR_COMMON","FQ4 2024","FQ4 2024","Currency=USD","Period=FQ","BEST_FPERIOD_OVERRIDE=FQ","FILING_STATUS=MR","SCALING_FORMAT=MLN","FA_ADJUSTED=Adjusted","Sort=A","Dates=H","DateFormat=P","Fill=—","Direction=H","UseDPDF=Y")</f>
        <v>1307.2090000000001</v>
      </c>
      <c r="Z53" s="13"/>
      <c r="AA53" s="13"/>
    </row>
    <row r="54" spans="1:27" x14ac:dyDescent="0.25">
      <c r="A54" s="7" t="s">
        <v>90</v>
      </c>
      <c r="B54" s="7"/>
      <c r="C54" s="7" t="s">
        <v>5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Z129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3" width="11.85546875" customWidth="1"/>
    <col min="4" max="4" width="7" customWidth="1"/>
    <col min="5" max="5" width="11.85546875" customWidth="1"/>
    <col min="6" max="6" width="7" customWidth="1"/>
    <col min="7" max="7" width="11.85546875" customWidth="1"/>
    <col min="8" max="8" width="7" customWidth="1"/>
    <col min="9" max="9" width="11.85546875" customWidth="1"/>
    <col min="10" max="10" width="7" customWidth="1"/>
    <col min="11" max="11" width="11.85546875" customWidth="1"/>
    <col min="12" max="12" width="7" customWidth="1"/>
    <col min="13" max="13" width="11.85546875" customWidth="1"/>
    <col min="14" max="14" width="7" customWidth="1"/>
    <col min="15" max="15" width="11.85546875" customWidth="1"/>
    <col min="16" max="16" width="7" customWidth="1"/>
    <col min="17" max="17" width="11.85546875" customWidth="1"/>
    <col min="18" max="18" width="7" customWidth="1"/>
    <col min="19" max="19" width="11.85546875" customWidth="1"/>
    <col min="20" max="20" width="7" customWidth="1"/>
    <col min="21" max="21" width="11.85546875" customWidth="1"/>
    <col min="22" max="22" width="7" customWidth="1"/>
    <col min="23" max="23" width="11.85546875" customWidth="1"/>
    <col min="24" max="24" width="7" customWidth="1"/>
    <col min="25" max="25" width="11.85546875" customWidth="1"/>
    <col min="26" max="26" width="7" customWidth="1"/>
    <col min="27" max="27" width="11.85546875" customWidth="1"/>
    <col min="28" max="28" width="7" customWidth="1"/>
    <col min="29" max="29" width="11.85546875" customWidth="1"/>
    <col min="30" max="30" width="7" customWidth="1"/>
    <col min="31" max="31" width="11.85546875" customWidth="1"/>
    <col min="32" max="32" width="7" customWidth="1"/>
    <col min="33" max="33" width="11.85546875" customWidth="1"/>
    <col min="34" max="34" width="7" customWidth="1"/>
    <col min="35" max="35" width="11.85546875" customWidth="1"/>
    <col min="36" max="36" width="7" customWidth="1"/>
    <col min="37" max="37" width="11.85546875" customWidth="1"/>
    <col min="38" max="38" width="7" customWidth="1"/>
    <col min="39" max="39" width="11.85546875" customWidth="1"/>
    <col min="40" max="40" width="7" customWidth="1"/>
    <col min="41" max="41" width="11.85546875" customWidth="1"/>
    <col min="42" max="42" width="7" customWidth="1"/>
    <col min="43" max="43" width="11.85546875" customWidth="1"/>
    <col min="44" max="44" width="7" customWidth="1"/>
    <col min="45" max="45" width="11.85546875" customWidth="1"/>
    <col min="46" max="46" width="7" customWidth="1"/>
    <col min="47" max="47" width="11.85546875" customWidth="1"/>
    <col min="48" max="48" width="7" customWidth="1"/>
    <col min="49" max="49" width="11.85546875" customWidth="1"/>
    <col min="50" max="50" width="7" customWidth="1"/>
    <col min="51" max="51" width="11.85546875" customWidth="1"/>
    <col min="52" max="52" width="7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20.25" x14ac:dyDescent="0.25">
      <c r="A2" s="8" t="s">
        <v>1723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25">
      <c r="A4" s="3" t="s">
        <v>92</v>
      </c>
      <c r="B4" s="3"/>
      <c r="C4" s="30" t="s">
        <v>93</v>
      </c>
      <c r="D4" s="30"/>
      <c r="E4" s="30" t="s">
        <v>94</v>
      </c>
      <c r="F4" s="30"/>
      <c r="G4" s="30" t="s">
        <v>9</v>
      </c>
      <c r="H4" s="30"/>
      <c r="I4" s="30" t="s">
        <v>10</v>
      </c>
      <c r="J4" s="30"/>
      <c r="K4" s="30" t="s">
        <v>11</v>
      </c>
      <c r="L4" s="30"/>
      <c r="M4" s="30" t="s">
        <v>12</v>
      </c>
      <c r="N4" s="30"/>
      <c r="O4" s="30" t="s">
        <v>13</v>
      </c>
      <c r="P4" s="30"/>
      <c r="Q4" s="30" t="s">
        <v>14</v>
      </c>
      <c r="R4" s="30"/>
      <c r="S4" s="30" t="s">
        <v>15</v>
      </c>
      <c r="T4" s="30"/>
      <c r="U4" s="30" t="s">
        <v>16</v>
      </c>
      <c r="V4" s="30"/>
      <c r="W4" s="30" t="s">
        <v>17</v>
      </c>
      <c r="X4" s="30"/>
      <c r="Y4" s="30" t="s">
        <v>18</v>
      </c>
      <c r="Z4" s="30"/>
      <c r="AA4" s="30" t="s">
        <v>19</v>
      </c>
      <c r="AB4" s="30"/>
      <c r="AC4" s="30" t="s">
        <v>20</v>
      </c>
      <c r="AD4" s="30"/>
      <c r="AE4" s="30" t="s">
        <v>21</v>
      </c>
      <c r="AF4" s="30"/>
      <c r="AG4" s="30" t="s">
        <v>22</v>
      </c>
      <c r="AH4" s="30"/>
      <c r="AI4" s="30" t="s">
        <v>23</v>
      </c>
      <c r="AJ4" s="30"/>
      <c r="AK4" s="30" t="s">
        <v>24</v>
      </c>
      <c r="AL4" s="30"/>
      <c r="AM4" s="30" t="s">
        <v>25</v>
      </c>
      <c r="AN4" s="30"/>
      <c r="AO4" s="30" t="s">
        <v>26</v>
      </c>
      <c r="AP4" s="30"/>
      <c r="AQ4" s="30" t="s">
        <v>27</v>
      </c>
      <c r="AR4" s="30"/>
      <c r="AS4" s="30" t="s">
        <v>28</v>
      </c>
      <c r="AT4" s="30"/>
      <c r="AU4" s="30" t="s">
        <v>29</v>
      </c>
      <c r="AV4" s="30"/>
      <c r="AW4" s="30" t="s">
        <v>30</v>
      </c>
      <c r="AX4" s="30"/>
      <c r="AY4" s="30" t="s">
        <v>31</v>
      </c>
      <c r="AZ4" s="30"/>
    </row>
    <row r="5" spans="1:52" x14ac:dyDescent="0.25">
      <c r="A5" s="9" t="s">
        <v>34</v>
      </c>
      <c r="B5" s="9"/>
      <c r="C5" s="31" t="s">
        <v>95</v>
      </c>
      <c r="D5" s="31"/>
      <c r="E5" s="31" t="s">
        <v>96</v>
      </c>
      <c r="F5" s="31"/>
      <c r="G5" s="31" t="s">
        <v>35</v>
      </c>
      <c r="H5" s="31"/>
      <c r="I5" s="31" t="s">
        <v>36</v>
      </c>
      <c r="J5" s="31"/>
      <c r="K5" s="31" t="s">
        <v>37</v>
      </c>
      <c r="L5" s="31"/>
      <c r="M5" s="31" t="s">
        <v>38</v>
      </c>
      <c r="N5" s="31"/>
      <c r="O5" s="31" t="s">
        <v>39</v>
      </c>
      <c r="P5" s="31"/>
      <c r="Q5" s="31" t="s">
        <v>40</v>
      </c>
      <c r="R5" s="31"/>
      <c r="S5" s="31" t="s">
        <v>41</v>
      </c>
      <c r="T5" s="31"/>
      <c r="U5" s="31" t="s">
        <v>42</v>
      </c>
      <c r="V5" s="31"/>
      <c r="W5" s="31" t="s">
        <v>43</v>
      </c>
      <c r="X5" s="31"/>
      <c r="Y5" s="31" t="s">
        <v>44</v>
      </c>
      <c r="Z5" s="31"/>
      <c r="AA5" s="31" t="s">
        <v>45</v>
      </c>
      <c r="AB5" s="31"/>
      <c r="AC5" s="31" t="s">
        <v>46</v>
      </c>
      <c r="AD5" s="31"/>
      <c r="AE5" s="31" t="s">
        <v>47</v>
      </c>
      <c r="AF5" s="31"/>
      <c r="AG5" s="31" t="s">
        <v>48</v>
      </c>
      <c r="AH5" s="31"/>
      <c r="AI5" s="31" t="s">
        <v>49</v>
      </c>
      <c r="AJ5" s="31"/>
      <c r="AK5" s="31" t="s">
        <v>50</v>
      </c>
      <c r="AL5" s="31"/>
      <c r="AM5" s="31" t="s">
        <v>51</v>
      </c>
      <c r="AN5" s="31"/>
      <c r="AO5" s="31" t="s">
        <v>52</v>
      </c>
      <c r="AP5" s="31"/>
      <c r="AQ5" s="31" t="s">
        <v>53</v>
      </c>
      <c r="AR5" s="31"/>
      <c r="AS5" s="31" t="s">
        <v>54</v>
      </c>
      <c r="AT5" s="31"/>
      <c r="AU5" s="31" t="s">
        <v>55</v>
      </c>
      <c r="AV5" s="31"/>
      <c r="AW5" s="31" t="s">
        <v>56</v>
      </c>
      <c r="AX5" s="31"/>
      <c r="AY5" s="31" t="s">
        <v>57</v>
      </c>
      <c r="AZ5" s="31"/>
    </row>
    <row r="6" spans="1:52" x14ac:dyDescent="0.25">
      <c r="A6" s="6" t="s">
        <v>0</v>
      </c>
      <c r="B6" s="6"/>
      <c r="C6" s="36">
        <v>6230</v>
      </c>
      <c r="D6" s="37">
        <v>1</v>
      </c>
      <c r="E6" s="36">
        <v>5557</v>
      </c>
      <c r="F6" s="37">
        <v>1</v>
      </c>
      <c r="G6" s="36">
        <v>5871</v>
      </c>
      <c r="H6" s="37">
        <v>1</v>
      </c>
      <c r="I6" s="36">
        <v>5737</v>
      </c>
      <c r="J6" s="37">
        <v>1</v>
      </c>
      <c r="K6" s="36">
        <v>6197</v>
      </c>
      <c r="L6" s="37">
        <v>1</v>
      </c>
      <c r="M6" s="36">
        <v>6161</v>
      </c>
      <c r="N6" s="37">
        <v>1</v>
      </c>
      <c r="O6" s="36">
        <v>6206</v>
      </c>
      <c r="P6" s="37">
        <v>1</v>
      </c>
      <c r="Q6" s="36">
        <v>6423</v>
      </c>
      <c r="R6" s="37">
        <v>1</v>
      </c>
      <c r="S6" s="36">
        <v>6634</v>
      </c>
      <c r="T6" s="37">
        <v>1</v>
      </c>
      <c r="U6" s="36">
        <v>5901</v>
      </c>
      <c r="V6" s="37">
        <v>1</v>
      </c>
      <c r="W6" s="36">
        <v>6526</v>
      </c>
      <c r="X6" s="37">
        <v>1</v>
      </c>
      <c r="Y6" s="36">
        <v>6706</v>
      </c>
      <c r="Z6" s="37">
        <v>1</v>
      </c>
      <c r="AA6" s="36">
        <v>6846</v>
      </c>
      <c r="AB6" s="37">
        <v>1</v>
      </c>
      <c r="AC6" s="36">
        <v>6238</v>
      </c>
      <c r="AD6" s="37">
        <v>1</v>
      </c>
      <c r="AE6" s="36">
        <v>6594</v>
      </c>
      <c r="AF6" s="37">
        <v>1</v>
      </c>
      <c r="AG6" s="36">
        <v>6652</v>
      </c>
      <c r="AH6" s="37">
        <v>1</v>
      </c>
      <c r="AI6" s="36">
        <v>6839</v>
      </c>
      <c r="AJ6" s="37">
        <v>1</v>
      </c>
      <c r="AK6" s="36">
        <v>6105</v>
      </c>
      <c r="AL6" s="37">
        <v>1</v>
      </c>
      <c r="AM6" s="36">
        <v>6986</v>
      </c>
      <c r="AN6" s="37">
        <v>1</v>
      </c>
      <c r="AO6" s="36">
        <v>6903</v>
      </c>
      <c r="AP6" s="37">
        <v>1</v>
      </c>
      <c r="AQ6" s="36">
        <v>8196</v>
      </c>
      <c r="AR6" s="37">
        <v>1</v>
      </c>
      <c r="AS6" s="36">
        <v>7447</v>
      </c>
      <c r="AT6" s="37">
        <v>1</v>
      </c>
      <c r="AU6" s="36">
        <v>8388</v>
      </c>
      <c r="AV6" s="37">
        <v>1</v>
      </c>
      <c r="AW6" s="36">
        <v>8503</v>
      </c>
      <c r="AX6" s="37">
        <v>1</v>
      </c>
      <c r="AY6" s="36">
        <v>9086</v>
      </c>
      <c r="AZ6" s="37">
        <v>1</v>
      </c>
    </row>
    <row r="7" spans="1:52" x14ac:dyDescent="0.25">
      <c r="A7" s="10" t="s">
        <v>1724</v>
      </c>
      <c r="B7" s="10"/>
      <c r="C7" s="32">
        <v>6230</v>
      </c>
      <c r="D7" s="33">
        <v>1</v>
      </c>
      <c r="E7" s="32">
        <v>5557</v>
      </c>
      <c r="F7" s="33">
        <v>1</v>
      </c>
      <c r="G7" s="32">
        <v>5871</v>
      </c>
      <c r="H7" s="33">
        <v>1</v>
      </c>
      <c r="I7" s="32">
        <v>5737</v>
      </c>
      <c r="J7" s="33">
        <v>1</v>
      </c>
      <c r="K7" s="32">
        <v>6197</v>
      </c>
      <c r="L7" s="33">
        <v>1</v>
      </c>
      <c r="M7" s="32">
        <v>6161</v>
      </c>
      <c r="N7" s="33">
        <v>1</v>
      </c>
      <c r="O7" s="32">
        <v>6206</v>
      </c>
      <c r="P7" s="33">
        <v>1</v>
      </c>
      <c r="Q7" s="32">
        <v>6423</v>
      </c>
      <c r="R7" s="33">
        <v>1</v>
      </c>
      <c r="S7" s="32">
        <v>6634</v>
      </c>
      <c r="T7" s="33">
        <v>1</v>
      </c>
      <c r="U7" s="32">
        <v>5901</v>
      </c>
      <c r="V7" s="33">
        <v>1</v>
      </c>
      <c r="W7" s="32">
        <v>6526</v>
      </c>
      <c r="X7" s="33">
        <v>1</v>
      </c>
      <c r="Y7" s="32">
        <v>6706</v>
      </c>
      <c r="Z7" s="33">
        <v>1</v>
      </c>
      <c r="AA7" s="32">
        <v>6846</v>
      </c>
      <c r="AB7" s="33">
        <v>1</v>
      </c>
      <c r="AC7" s="32">
        <v>6238</v>
      </c>
      <c r="AD7" s="33">
        <v>1</v>
      </c>
      <c r="AE7" s="32">
        <v>6594</v>
      </c>
      <c r="AF7" s="33">
        <v>1</v>
      </c>
      <c r="AG7" s="32">
        <v>6652</v>
      </c>
      <c r="AH7" s="33">
        <v>1</v>
      </c>
      <c r="AI7" s="32">
        <v>6839</v>
      </c>
      <c r="AJ7" s="33">
        <v>1</v>
      </c>
      <c r="AK7" s="32">
        <v>6105</v>
      </c>
      <c r="AL7" s="33">
        <v>1</v>
      </c>
      <c r="AM7" s="32">
        <v>6986</v>
      </c>
      <c r="AN7" s="33">
        <v>1</v>
      </c>
      <c r="AO7" s="32">
        <v>6903</v>
      </c>
      <c r="AP7" s="33">
        <v>1</v>
      </c>
      <c r="AQ7" s="32">
        <v>8196</v>
      </c>
      <c r="AR7" s="33">
        <v>1</v>
      </c>
      <c r="AS7" s="32">
        <v>7447</v>
      </c>
      <c r="AT7" s="33">
        <v>1</v>
      </c>
      <c r="AU7" s="32">
        <v>8388</v>
      </c>
      <c r="AV7" s="33">
        <v>1</v>
      </c>
      <c r="AW7" s="32">
        <v>8503</v>
      </c>
      <c r="AX7" s="33">
        <v>1</v>
      </c>
      <c r="AY7" s="32">
        <v>9086</v>
      </c>
      <c r="AZ7" s="33">
        <v>1</v>
      </c>
    </row>
    <row r="8" spans="1:52" x14ac:dyDescent="0.25">
      <c r="A8" s="6" t="s">
        <v>1725</v>
      </c>
      <c r="B8" s="6"/>
      <c r="C8" s="36">
        <v>6230</v>
      </c>
      <c r="D8" s="37">
        <v>1</v>
      </c>
      <c r="E8" s="36">
        <v>5557</v>
      </c>
      <c r="F8" s="37">
        <v>1</v>
      </c>
      <c r="G8" s="36">
        <v>5871</v>
      </c>
      <c r="H8" s="37">
        <v>1</v>
      </c>
      <c r="I8" s="36">
        <v>5737</v>
      </c>
      <c r="J8" s="37">
        <v>1</v>
      </c>
      <c r="K8" s="36">
        <v>6197</v>
      </c>
      <c r="L8" s="37">
        <v>1</v>
      </c>
      <c r="M8" s="36">
        <v>6161</v>
      </c>
      <c r="N8" s="37">
        <v>1</v>
      </c>
      <c r="O8" s="36" t="s">
        <v>148</v>
      </c>
      <c r="P8" s="37"/>
      <c r="Q8" s="36">
        <v>6423</v>
      </c>
      <c r="R8" s="37">
        <v>1</v>
      </c>
      <c r="S8" s="36">
        <v>6634</v>
      </c>
      <c r="T8" s="37">
        <v>1</v>
      </c>
      <c r="U8" s="36">
        <v>5901</v>
      </c>
      <c r="V8" s="37">
        <v>1</v>
      </c>
      <c r="W8" s="36">
        <v>6526</v>
      </c>
      <c r="X8" s="37">
        <v>1</v>
      </c>
      <c r="Y8" s="36" t="s">
        <v>148</v>
      </c>
      <c r="Z8" s="37"/>
      <c r="AA8" s="36">
        <v>6846</v>
      </c>
      <c r="AB8" s="37">
        <v>1</v>
      </c>
      <c r="AC8" s="36">
        <v>6238</v>
      </c>
      <c r="AD8" s="37">
        <v>1</v>
      </c>
      <c r="AE8" s="36">
        <v>6594</v>
      </c>
      <c r="AF8" s="37">
        <v>1</v>
      </c>
      <c r="AG8" s="36">
        <v>6652</v>
      </c>
      <c r="AH8" s="37">
        <v>1</v>
      </c>
      <c r="AI8" s="36">
        <v>6839</v>
      </c>
      <c r="AJ8" s="37">
        <v>1</v>
      </c>
      <c r="AK8" s="36">
        <v>6105</v>
      </c>
      <c r="AL8" s="37">
        <v>1</v>
      </c>
      <c r="AM8" s="36">
        <v>6986</v>
      </c>
      <c r="AN8" s="37">
        <v>1</v>
      </c>
      <c r="AO8" s="36">
        <v>6903</v>
      </c>
      <c r="AP8" s="37">
        <v>1</v>
      </c>
      <c r="AQ8" s="36">
        <v>8196</v>
      </c>
      <c r="AR8" s="37">
        <v>1</v>
      </c>
      <c r="AS8" s="36">
        <v>7447</v>
      </c>
      <c r="AT8" s="37">
        <v>1</v>
      </c>
      <c r="AU8" s="36" t="s">
        <v>148</v>
      </c>
      <c r="AV8" s="37"/>
      <c r="AW8" s="36">
        <v>8503</v>
      </c>
      <c r="AX8" s="37">
        <v>1</v>
      </c>
      <c r="AY8" s="36">
        <v>9086</v>
      </c>
      <c r="AZ8" s="37">
        <v>1</v>
      </c>
    </row>
    <row r="9" spans="1:52" x14ac:dyDescent="0.25">
      <c r="A9" s="10" t="s">
        <v>1726</v>
      </c>
      <c r="B9" s="10"/>
      <c r="C9" s="32">
        <v>655</v>
      </c>
      <c r="D9" s="33">
        <v>0.10638297872340401</v>
      </c>
      <c r="E9" s="32">
        <v>592</v>
      </c>
      <c r="F9" s="33">
        <v>0.107714701601164</v>
      </c>
      <c r="G9" s="32">
        <v>698</v>
      </c>
      <c r="H9" s="33">
        <v>0.12051104972375699</v>
      </c>
      <c r="I9" s="32">
        <v>630</v>
      </c>
      <c r="J9" s="33">
        <v>0.111464968152866</v>
      </c>
      <c r="K9" s="32">
        <v>752</v>
      </c>
      <c r="L9" s="33">
        <v>0.123076923076923</v>
      </c>
      <c r="M9" s="32">
        <v>654</v>
      </c>
      <c r="N9" s="33">
        <v>0.107265868459898</v>
      </c>
      <c r="O9" s="32" t="s">
        <v>148</v>
      </c>
      <c r="P9" s="33"/>
      <c r="Q9" s="32">
        <v>701</v>
      </c>
      <c r="R9" s="33">
        <v>0.110567823343849</v>
      </c>
      <c r="S9" s="32">
        <v>749</v>
      </c>
      <c r="T9" s="33">
        <v>0.11421164989326001</v>
      </c>
      <c r="U9" s="32">
        <v>758</v>
      </c>
      <c r="V9" s="33">
        <v>0.130039457882999</v>
      </c>
      <c r="W9" s="32">
        <v>814</v>
      </c>
      <c r="X9" s="33">
        <v>0.126221119553419</v>
      </c>
      <c r="Y9" s="32" t="s">
        <v>148</v>
      </c>
      <c r="Z9" s="33"/>
      <c r="AA9" s="32">
        <v>873</v>
      </c>
      <c r="AB9" s="33">
        <v>0.129525222551929</v>
      </c>
      <c r="AC9" s="32">
        <v>852</v>
      </c>
      <c r="AD9" s="33">
        <v>0.13846903949292999</v>
      </c>
      <c r="AE9" s="32">
        <v>922</v>
      </c>
      <c r="AF9" s="33">
        <v>0.14226199660546199</v>
      </c>
      <c r="AG9" s="32">
        <v>862</v>
      </c>
      <c r="AH9" s="33">
        <v>0.13184460079534999</v>
      </c>
      <c r="AI9" s="32">
        <v>992</v>
      </c>
      <c r="AJ9" s="33">
        <v>0.14761904761904801</v>
      </c>
      <c r="AK9" s="32">
        <v>927</v>
      </c>
      <c r="AL9" s="33">
        <v>0.15679972936400499</v>
      </c>
      <c r="AM9" s="32">
        <v>1028</v>
      </c>
      <c r="AN9" s="33">
        <v>0.15091015854374601</v>
      </c>
      <c r="AO9" s="32">
        <v>986</v>
      </c>
      <c r="AP9" s="33">
        <v>0.14637767220902601</v>
      </c>
      <c r="AQ9" s="32">
        <v>1107</v>
      </c>
      <c r="AR9" s="33">
        <v>0.13801271661887499</v>
      </c>
      <c r="AS9" s="32">
        <v>999</v>
      </c>
      <c r="AT9" s="33">
        <v>0.140902679830748</v>
      </c>
      <c r="AU9" s="32" t="s">
        <v>148</v>
      </c>
      <c r="AV9" s="33"/>
      <c r="AW9" s="32">
        <v>1045</v>
      </c>
      <c r="AX9" s="33">
        <v>0.12709802967647801</v>
      </c>
      <c r="AY9" s="32">
        <v>1165</v>
      </c>
      <c r="AZ9" s="33">
        <v>0.13352435530085999</v>
      </c>
    </row>
    <row r="10" spans="1:52" x14ac:dyDescent="0.25">
      <c r="A10" s="10" t="s">
        <v>1727</v>
      </c>
      <c r="B10" s="10"/>
      <c r="C10" s="32">
        <v>1315</v>
      </c>
      <c r="D10" s="33">
        <v>0.21357804125385699</v>
      </c>
      <c r="E10" s="32">
        <v>1151</v>
      </c>
      <c r="F10" s="33">
        <v>0.20942503639010199</v>
      </c>
      <c r="G10" s="32">
        <v>1363</v>
      </c>
      <c r="H10" s="33">
        <v>0.23532458563535899</v>
      </c>
      <c r="I10" s="32">
        <v>1366</v>
      </c>
      <c r="J10" s="33">
        <v>0.241684359518754</v>
      </c>
      <c r="K10" s="32">
        <v>1346</v>
      </c>
      <c r="L10" s="33">
        <v>0.220294599018003</v>
      </c>
      <c r="M10" s="32">
        <v>1153</v>
      </c>
      <c r="N10" s="33">
        <v>0.18910939806462199</v>
      </c>
      <c r="O10" s="32" t="s">
        <v>148</v>
      </c>
      <c r="P10" s="33"/>
      <c r="Q10" s="32">
        <v>1325</v>
      </c>
      <c r="R10" s="33">
        <v>0.208990536277603</v>
      </c>
      <c r="S10" s="32">
        <v>1272</v>
      </c>
      <c r="T10" s="33">
        <v>0.19396157365050301</v>
      </c>
      <c r="U10" s="32">
        <v>924</v>
      </c>
      <c r="V10" s="33">
        <v>0.158517756047349</v>
      </c>
      <c r="W10" s="32">
        <v>1144</v>
      </c>
      <c r="X10" s="33">
        <v>0.177391843696697</v>
      </c>
      <c r="Y10" s="32" t="s">
        <v>148</v>
      </c>
      <c r="Z10" s="33"/>
      <c r="AA10" s="32">
        <v>1108</v>
      </c>
      <c r="AB10" s="33">
        <v>0.16439169139465901</v>
      </c>
      <c r="AC10" s="32">
        <v>862</v>
      </c>
      <c r="AD10" s="33">
        <v>0.14009426296115701</v>
      </c>
      <c r="AE10" s="32">
        <v>1051</v>
      </c>
      <c r="AF10" s="33">
        <v>0.16216633235611799</v>
      </c>
      <c r="AG10" s="32">
        <v>1106</v>
      </c>
      <c r="AH10" s="33">
        <v>0.16916488222698101</v>
      </c>
      <c r="AI10" s="32">
        <v>1098</v>
      </c>
      <c r="AJ10" s="33">
        <v>0.16339285714285701</v>
      </c>
      <c r="AK10" s="32">
        <v>579</v>
      </c>
      <c r="AL10" s="33">
        <v>9.7936400541272006E-2</v>
      </c>
      <c r="AM10" s="32">
        <v>1068</v>
      </c>
      <c r="AN10" s="33">
        <v>0.15678214914856101</v>
      </c>
      <c r="AO10" s="32">
        <v>1035</v>
      </c>
      <c r="AP10" s="33">
        <v>0.15365201900237499</v>
      </c>
      <c r="AQ10" s="32">
        <v>1015</v>
      </c>
      <c r="AR10" s="33">
        <v>0.12654282508415399</v>
      </c>
      <c r="AS10" s="32">
        <v>567</v>
      </c>
      <c r="AT10" s="33">
        <v>7.9971791255289096E-2</v>
      </c>
      <c r="AU10" s="32" t="s">
        <v>148</v>
      </c>
      <c r="AV10" s="33"/>
      <c r="AW10" s="32">
        <v>825</v>
      </c>
      <c r="AX10" s="33">
        <v>0.100340549744588</v>
      </c>
      <c r="AY10" s="32">
        <v>1015</v>
      </c>
      <c r="AZ10" s="33">
        <v>0.116332378223496</v>
      </c>
    </row>
    <row r="11" spans="1:52" x14ac:dyDescent="0.25">
      <c r="A11" s="10" t="s">
        <v>1728</v>
      </c>
      <c r="B11" s="10"/>
      <c r="C11" s="32">
        <v>0</v>
      </c>
      <c r="D11" s="33"/>
      <c r="E11" s="32">
        <v>0</v>
      </c>
      <c r="F11" s="33"/>
      <c r="G11" s="32">
        <v>0</v>
      </c>
      <c r="H11" s="33"/>
      <c r="I11" s="32">
        <v>0</v>
      </c>
      <c r="J11" s="33"/>
      <c r="K11" s="32">
        <v>178</v>
      </c>
      <c r="L11" s="33">
        <v>2.91325695581015E-2</v>
      </c>
      <c r="M11" s="32">
        <v>479</v>
      </c>
      <c r="N11" s="33">
        <v>7.8563227816959194E-2</v>
      </c>
      <c r="O11" s="32" t="s">
        <v>148</v>
      </c>
      <c r="P11" s="33"/>
      <c r="Q11" s="32">
        <v>538</v>
      </c>
      <c r="R11" s="33">
        <v>8.4858044164037902E-2</v>
      </c>
      <c r="S11" s="32">
        <v>617</v>
      </c>
      <c r="T11" s="33">
        <v>9.4083562061604106E-2</v>
      </c>
      <c r="U11" s="32">
        <v>476</v>
      </c>
      <c r="V11" s="33">
        <v>8.1660662206210294E-2</v>
      </c>
      <c r="W11" s="32">
        <v>534</v>
      </c>
      <c r="X11" s="33">
        <v>8.2803535431849901E-2</v>
      </c>
      <c r="Y11" s="32" t="s">
        <v>148</v>
      </c>
      <c r="Z11" s="33"/>
      <c r="AA11" s="32">
        <v>630</v>
      </c>
      <c r="AB11" s="33">
        <v>9.3471810089020793E-2</v>
      </c>
      <c r="AC11" s="32">
        <v>451</v>
      </c>
      <c r="AD11" s="33">
        <v>7.32975784170323E-2</v>
      </c>
      <c r="AE11" s="32">
        <v>594</v>
      </c>
      <c r="AF11" s="33">
        <v>9.1652522758833496E-2</v>
      </c>
      <c r="AG11" s="32">
        <v>627</v>
      </c>
      <c r="AH11" s="33">
        <v>9.5900887121443901E-2</v>
      </c>
      <c r="AI11" s="32">
        <v>616</v>
      </c>
      <c r="AJ11" s="33">
        <v>9.1666666666666702E-2</v>
      </c>
      <c r="AK11" s="32">
        <v>392</v>
      </c>
      <c r="AL11" s="33">
        <v>6.6305818673883604E-2</v>
      </c>
      <c r="AM11" s="32">
        <v>600</v>
      </c>
      <c r="AN11" s="33">
        <v>8.80798590722255E-2</v>
      </c>
      <c r="AO11" s="32">
        <v>567</v>
      </c>
      <c r="AP11" s="33">
        <v>8.4174584323040397E-2</v>
      </c>
      <c r="AQ11" s="32">
        <v>629</v>
      </c>
      <c r="AR11" s="33">
        <v>7.8419149731953602E-2</v>
      </c>
      <c r="AS11" s="32">
        <v>394</v>
      </c>
      <c r="AT11" s="33">
        <v>5.55712270803949E-2</v>
      </c>
      <c r="AU11" s="32" t="s">
        <v>148</v>
      </c>
      <c r="AV11" s="33"/>
      <c r="AW11" s="32">
        <v>564</v>
      </c>
      <c r="AX11" s="33">
        <v>6.85964485526636E-2</v>
      </c>
      <c r="AY11" s="32">
        <v>624</v>
      </c>
      <c r="AZ11" s="33">
        <v>7.1518624641833797E-2</v>
      </c>
    </row>
    <row r="12" spans="1:52" x14ac:dyDescent="0.25">
      <c r="A12" s="10" t="s">
        <v>1729</v>
      </c>
      <c r="B12" s="10"/>
      <c r="C12" s="32">
        <v>159</v>
      </c>
      <c r="D12" s="33">
        <v>2.5824265064154601E-2</v>
      </c>
      <c r="E12" s="32">
        <v>141</v>
      </c>
      <c r="F12" s="33">
        <v>2.5655021834061102E-2</v>
      </c>
      <c r="G12" s="32">
        <v>152</v>
      </c>
      <c r="H12" s="33">
        <v>2.6243093922651901E-2</v>
      </c>
      <c r="I12" s="32">
        <v>168</v>
      </c>
      <c r="J12" s="33">
        <v>2.9723991507431002E-2</v>
      </c>
      <c r="K12" s="32">
        <v>200</v>
      </c>
      <c r="L12" s="33">
        <v>3.2733224222585899E-2</v>
      </c>
      <c r="M12" s="32">
        <v>229</v>
      </c>
      <c r="N12" s="33">
        <v>3.7559455469903198E-2</v>
      </c>
      <c r="O12" s="32" t="s">
        <v>148</v>
      </c>
      <c r="P12" s="33"/>
      <c r="Q12" s="32">
        <v>205</v>
      </c>
      <c r="R12" s="33">
        <v>3.2334384858044199E-2</v>
      </c>
      <c r="S12" s="32">
        <v>253</v>
      </c>
      <c r="T12" s="33">
        <v>3.8578835010674002E-2</v>
      </c>
      <c r="U12" s="32">
        <v>286</v>
      </c>
      <c r="V12" s="33">
        <v>4.9065019728941499E-2</v>
      </c>
      <c r="W12" s="32">
        <v>286</v>
      </c>
      <c r="X12" s="33">
        <v>4.4347960924174298E-2</v>
      </c>
      <c r="Y12" s="32" t="s">
        <v>148</v>
      </c>
      <c r="Z12" s="33"/>
      <c r="AA12" s="32">
        <v>273</v>
      </c>
      <c r="AB12" s="33">
        <v>4.0504451038575702E-2</v>
      </c>
      <c r="AC12" s="32">
        <v>329</v>
      </c>
      <c r="AD12" s="33">
        <v>5.34698521046644E-2</v>
      </c>
      <c r="AE12" s="32">
        <v>325</v>
      </c>
      <c r="AF12" s="33">
        <v>5.0146582317543598E-2</v>
      </c>
      <c r="AG12" s="32">
        <v>309</v>
      </c>
      <c r="AH12" s="33">
        <v>4.72621596818599E-2</v>
      </c>
      <c r="AI12" s="32">
        <v>333</v>
      </c>
      <c r="AJ12" s="33">
        <v>4.9553571428571398E-2</v>
      </c>
      <c r="AK12" s="32">
        <v>388</v>
      </c>
      <c r="AL12" s="33">
        <v>6.56292286874154E-2</v>
      </c>
      <c r="AM12" s="32">
        <v>424</v>
      </c>
      <c r="AN12" s="33">
        <v>6.2243100411039302E-2</v>
      </c>
      <c r="AO12" s="32">
        <v>406</v>
      </c>
      <c r="AP12" s="33">
        <v>6.0273159144893097E-2</v>
      </c>
      <c r="AQ12" s="32">
        <v>417</v>
      </c>
      <c r="AR12" s="33">
        <v>5.1988530108465297E-2</v>
      </c>
      <c r="AS12" s="32">
        <v>517</v>
      </c>
      <c r="AT12" s="33">
        <v>7.2919605077574001E-2</v>
      </c>
      <c r="AU12" s="32" t="s">
        <v>148</v>
      </c>
      <c r="AV12" s="33"/>
      <c r="AW12" s="32">
        <v>567</v>
      </c>
      <c r="AX12" s="33">
        <v>6.8961323279007503E-2</v>
      </c>
      <c r="AY12" s="32">
        <v>606</v>
      </c>
      <c r="AZ12" s="33">
        <v>6.9455587392550103E-2</v>
      </c>
    </row>
    <row r="13" spans="1:52" x14ac:dyDescent="0.25">
      <c r="A13" s="10" t="s">
        <v>1730</v>
      </c>
      <c r="B13" s="10"/>
      <c r="C13" s="32">
        <v>456</v>
      </c>
      <c r="D13" s="33">
        <v>7.4062043202858502E-2</v>
      </c>
      <c r="E13" s="32">
        <v>471</v>
      </c>
      <c r="F13" s="33">
        <v>8.5698689956331897E-2</v>
      </c>
      <c r="G13" s="32">
        <v>499</v>
      </c>
      <c r="H13" s="33">
        <v>8.6153314917127105E-2</v>
      </c>
      <c r="I13" s="32">
        <v>476</v>
      </c>
      <c r="J13" s="33">
        <v>8.4217975937721207E-2</v>
      </c>
      <c r="K13" s="32">
        <v>489</v>
      </c>
      <c r="L13" s="33">
        <v>8.0032733224222594E-2</v>
      </c>
      <c r="M13" s="32">
        <v>481</v>
      </c>
      <c r="N13" s="33">
        <v>7.8891257995735597E-2</v>
      </c>
      <c r="O13" s="32" t="s">
        <v>148</v>
      </c>
      <c r="P13" s="33"/>
      <c r="Q13" s="32">
        <v>481</v>
      </c>
      <c r="R13" s="33">
        <v>7.5867507886435301E-2</v>
      </c>
      <c r="S13" s="32">
        <v>502</v>
      </c>
      <c r="T13" s="33">
        <v>7.6547727965843207E-2</v>
      </c>
      <c r="U13" s="32">
        <v>468</v>
      </c>
      <c r="V13" s="33">
        <v>8.0288214101904301E-2</v>
      </c>
      <c r="W13" s="32">
        <v>488</v>
      </c>
      <c r="X13" s="33">
        <v>7.5670646611877806E-2</v>
      </c>
      <c r="Y13" s="32" t="s">
        <v>148</v>
      </c>
      <c r="Z13" s="33"/>
      <c r="AA13" s="32">
        <v>545</v>
      </c>
      <c r="AB13" s="33">
        <v>8.0860534124629097E-2</v>
      </c>
      <c r="AC13" s="32">
        <v>502</v>
      </c>
      <c r="AD13" s="33">
        <v>8.1586218104989394E-2</v>
      </c>
      <c r="AE13" s="32">
        <v>533</v>
      </c>
      <c r="AF13" s="33">
        <v>8.2240395000771502E-2</v>
      </c>
      <c r="AG13" s="32">
        <v>495</v>
      </c>
      <c r="AH13" s="33">
        <v>7.5711226674824106E-2</v>
      </c>
      <c r="AI13" s="32">
        <v>484</v>
      </c>
      <c r="AJ13" s="33">
        <v>7.2023809523809504E-2</v>
      </c>
      <c r="AK13" s="32">
        <v>536</v>
      </c>
      <c r="AL13" s="33">
        <v>9.0663058186738796E-2</v>
      </c>
      <c r="AM13" s="32">
        <v>530</v>
      </c>
      <c r="AN13" s="33">
        <v>7.7803875513799206E-2</v>
      </c>
      <c r="AO13" s="32">
        <v>519</v>
      </c>
      <c r="AP13" s="33">
        <v>7.7048693586698302E-2</v>
      </c>
      <c r="AQ13" s="32">
        <v>527</v>
      </c>
      <c r="AR13" s="33">
        <v>6.5702530856501698E-2</v>
      </c>
      <c r="AS13" s="32">
        <v>561</v>
      </c>
      <c r="AT13" s="33">
        <v>7.9125528913963294E-2</v>
      </c>
      <c r="AU13" s="32" t="s">
        <v>148</v>
      </c>
      <c r="AV13" s="33"/>
      <c r="AW13" s="32">
        <v>541</v>
      </c>
      <c r="AX13" s="33">
        <v>6.5799075650693303E-2</v>
      </c>
      <c r="AY13" s="32">
        <v>561</v>
      </c>
      <c r="AZ13" s="33">
        <v>6.4297994269341005E-2</v>
      </c>
    </row>
    <row r="14" spans="1:52" x14ac:dyDescent="0.25">
      <c r="A14" s="10" t="s">
        <v>1731</v>
      </c>
      <c r="B14" s="10"/>
      <c r="C14" s="32" t="s">
        <v>148</v>
      </c>
      <c r="D14" s="33"/>
      <c r="E14" s="32" t="s">
        <v>148</v>
      </c>
      <c r="F14" s="33"/>
      <c r="G14" s="32" t="s">
        <v>148</v>
      </c>
      <c r="H14" s="33"/>
      <c r="I14" s="32" t="s">
        <v>148</v>
      </c>
      <c r="J14" s="33"/>
      <c r="K14" s="32" t="s">
        <v>148</v>
      </c>
      <c r="L14" s="33"/>
      <c r="M14" s="32" t="s">
        <v>148</v>
      </c>
      <c r="N14" s="33"/>
      <c r="O14" s="32" t="s">
        <v>148</v>
      </c>
      <c r="P14" s="33"/>
      <c r="Q14" s="32" t="s">
        <v>148</v>
      </c>
      <c r="R14" s="33"/>
      <c r="S14" s="32" t="s">
        <v>148</v>
      </c>
      <c r="T14" s="33"/>
      <c r="U14" s="32" t="s">
        <v>148</v>
      </c>
      <c r="V14" s="33"/>
      <c r="W14" s="32" t="s">
        <v>148</v>
      </c>
      <c r="X14" s="33"/>
      <c r="Y14" s="32" t="s">
        <v>148</v>
      </c>
      <c r="Z14" s="33"/>
      <c r="AA14" s="32" t="s">
        <v>148</v>
      </c>
      <c r="AB14" s="33"/>
      <c r="AC14" s="32" t="s">
        <v>148</v>
      </c>
      <c r="AD14" s="33"/>
      <c r="AE14" s="32" t="s">
        <v>148</v>
      </c>
      <c r="AF14" s="33"/>
      <c r="AG14" s="32" t="s">
        <v>148</v>
      </c>
      <c r="AH14" s="33"/>
      <c r="AI14" s="32" t="s">
        <v>148</v>
      </c>
      <c r="AJ14" s="33"/>
      <c r="AK14" s="32" t="s">
        <v>148</v>
      </c>
      <c r="AL14" s="33"/>
      <c r="AM14" s="32" t="s">
        <v>148</v>
      </c>
      <c r="AN14" s="33"/>
      <c r="AO14" s="32" t="s">
        <v>148</v>
      </c>
      <c r="AP14" s="33"/>
      <c r="AQ14" s="32">
        <v>448</v>
      </c>
      <c r="AR14" s="33">
        <v>5.5853384864730099E-2</v>
      </c>
      <c r="AS14" s="32">
        <v>424</v>
      </c>
      <c r="AT14" s="33">
        <v>5.9802538787023997E-2</v>
      </c>
      <c r="AU14" s="32" t="s">
        <v>148</v>
      </c>
      <c r="AV14" s="33"/>
      <c r="AW14" s="32">
        <v>488</v>
      </c>
      <c r="AX14" s="33">
        <v>5.9352955485283403E-2</v>
      </c>
      <c r="AY14" s="32">
        <v>460</v>
      </c>
      <c r="AZ14" s="33">
        <v>5.27220630372493E-2</v>
      </c>
    </row>
    <row r="15" spans="1:52" x14ac:dyDescent="0.25">
      <c r="A15" s="10" t="s">
        <v>1732</v>
      </c>
      <c r="B15" s="10"/>
      <c r="C15" s="32">
        <v>0</v>
      </c>
      <c r="D15" s="33"/>
      <c r="E15" s="32">
        <v>17</v>
      </c>
      <c r="F15" s="33">
        <v>3.0931586608442499E-3</v>
      </c>
      <c r="G15" s="32">
        <v>28</v>
      </c>
      <c r="H15" s="33">
        <v>4.8342541436464104E-3</v>
      </c>
      <c r="I15" s="32">
        <v>59</v>
      </c>
      <c r="J15" s="33">
        <v>1.0438782731776401E-2</v>
      </c>
      <c r="K15" s="32">
        <v>85</v>
      </c>
      <c r="L15" s="33">
        <v>1.3911620294598999E-2</v>
      </c>
      <c r="M15" s="32">
        <v>100</v>
      </c>
      <c r="N15" s="33">
        <v>1.64015089388224E-2</v>
      </c>
      <c r="O15" s="32" t="s">
        <v>148</v>
      </c>
      <c r="P15" s="33"/>
      <c r="Q15" s="32">
        <v>59</v>
      </c>
      <c r="R15" s="33">
        <v>9.3059936908517406E-3</v>
      </c>
      <c r="S15" s="32">
        <v>90</v>
      </c>
      <c r="T15" s="33">
        <v>1.37236962488564E-2</v>
      </c>
      <c r="U15" s="32">
        <v>107</v>
      </c>
      <c r="V15" s="33">
        <v>1.8356493395093501E-2</v>
      </c>
      <c r="W15" s="32">
        <v>131</v>
      </c>
      <c r="X15" s="33">
        <v>2.0313226856877E-2</v>
      </c>
      <c r="Y15" s="32" t="s">
        <v>148</v>
      </c>
      <c r="Z15" s="33"/>
      <c r="AA15" s="32">
        <v>143</v>
      </c>
      <c r="AB15" s="33">
        <v>2.1216617210682499E-2</v>
      </c>
      <c r="AC15" s="32">
        <v>170</v>
      </c>
      <c r="AD15" s="33">
        <v>2.7628798959856999E-2</v>
      </c>
      <c r="AE15" s="32">
        <v>191</v>
      </c>
      <c r="AF15" s="33">
        <v>2.9470760685079499E-2</v>
      </c>
      <c r="AG15" s="32">
        <v>201</v>
      </c>
      <c r="AH15" s="33">
        <v>3.0743346589171001E-2</v>
      </c>
      <c r="AI15" s="32">
        <v>225</v>
      </c>
      <c r="AJ15" s="33">
        <v>3.3482142857142898E-2</v>
      </c>
      <c r="AK15" s="32">
        <v>254</v>
      </c>
      <c r="AL15" s="33">
        <v>4.2963464140730698E-2</v>
      </c>
      <c r="AM15" s="32">
        <v>281</v>
      </c>
      <c r="AN15" s="33">
        <v>4.1250733998825603E-2</v>
      </c>
      <c r="AO15" s="32">
        <v>307</v>
      </c>
      <c r="AP15" s="33">
        <v>4.5576009501187599E-2</v>
      </c>
      <c r="AQ15" s="32">
        <v>318</v>
      </c>
      <c r="AR15" s="33">
        <v>3.9645929435232499E-2</v>
      </c>
      <c r="AS15" s="32">
        <v>342</v>
      </c>
      <c r="AT15" s="33">
        <v>4.8236953455571198E-2</v>
      </c>
      <c r="AU15" s="32" t="s">
        <v>148</v>
      </c>
      <c r="AV15" s="33"/>
      <c r="AW15" s="32">
        <v>399</v>
      </c>
      <c r="AX15" s="33">
        <v>4.8528338603746099E-2</v>
      </c>
      <c r="AY15" s="32">
        <v>431</v>
      </c>
      <c r="AZ15" s="33">
        <v>4.9398280802292298E-2</v>
      </c>
    </row>
    <row r="16" spans="1:52" x14ac:dyDescent="0.25">
      <c r="A16" s="10" t="s">
        <v>1733</v>
      </c>
      <c r="B16" s="10"/>
      <c r="C16" s="32">
        <v>63</v>
      </c>
      <c r="D16" s="33">
        <v>1.0232255968816001E-2</v>
      </c>
      <c r="E16" s="32">
        <v>69</v>
      </c>
      <c r="F16" s="33">
        <v>1.25545851528384E-2</v>
      </c>
      <c r="G16" s="32">
        <v>78</v>
      </c>
      <c r="H16" s="33">
        <v>1.3466850828729299E-2</v>
      </c>
      <c r="I16" s="32">
        <v>85</v>
      </c>
      <c r="J16" s="33">
        <v>1.50389242745931E-2</v>
      </c>
      <c r="K16" s="32">
        <v>80</v>
      </c>
      <c r="L16" s="33">
        <v>1.30932896890344E-2</v>
      </c>
      <c r="M16" s="32">
        <v>94</v>
      </c>
      <c r="N16" s="33">
        <v>1.5417418402492999E-2</v>
      </c>
      <c r="O16" s="32" t="s">
        <v>148</v>
      </c>
      <c r="P16" s="33"/>
      <c r="Q16" s="32">
        <v>89</v>
      </c>
      <c r="R16" s="33">
        <v>1.4037854889589901E-2</v>
      </c>
      <c r="S16" s="32">
        <v>103</v>
      </c>
      <c r="T16" s="33">
        <v>1.5706007929246701E-2</v>
      </c>
      <c r="U16" s="32">
        <v>107</v>
      </c>
      <c r="V16" s="33">
        <v>1.8356493395093501E-2</v>
      </c>
      <c r="W16" s="32">
        <v>108</v>
      </c>
      <c r="X16" s="33">
        <v>1.6746782446891002E-2</v>
      </c>
      <c r="Y16" s="32" t="s">
        <v>148</v>
      </c>
      <c r="Z16" s="33"/>
      <c r="AA16" s="32">
        <v>132</v>
      </c>
      <c r="AB16" s="33">
        <v>1.95845697329377E-2</v>
      </c>
      <c r="AC16" s="32">
        <v>138</v>
      </c>
      <c r="AD16" s="33">
        <v>2.2428083861531001E-2</v>
      </c>
      <c r="AE16" s="32">
        <v>139</v>
      </c>
      <c r="AF16" s="33">
        <v>2.1447307514272498E-2</v>
      </c>
      <c r="AG16" s="32">
        <v>142</v>
      </c>
      <c r="AH16" s="33">
        <v>2.1719180177424299E-2</v>
      </c>
      <c r="AI16" s="32">
        <v>164</v>
      </c>
      <c r="AJ16" s="33">
        <v>2.4404761904761901E-2</v>
      </c>
      <c r="AK16" s="32">
        <v>194</v>
      </c>
      <c r="AL16" s="33">
        <v>3.28146143437077E-2</v>
      </c>
      <c r="AM16" s="32">
        <v>206</v>
      </c>
      <c r="AN16" s="33">
        <v>3.02407516147974E-2</v>
      </c>
      <c r="AO16" s="32">
        <v>220</v>
      </c>
      <c r="AP16" s="33">
        <v>3.2660332541567701E-2</v>
      </c>
      <c r="AQ16" s="32">
        <v>241</v>
      </c>
      <c r="AR16" s="33">
        <v>3.0046128911607E-2</v>
      </c>
      <c r="AS16" s="32">
        <v>244</v>
      </c>
      <c r="AT16" s="33">
        <v>3.4414668547249699E-2</v>
      </c>
      <c r="AU16" s="32" t="s">
        <v>148</v>
      </c>
      <c r="AV16" s="33"/>
      <c r="AW16" s="32">
        <v>327</v>
      </c>
      <c r="AX16" s="33">
        <v>3.9771345171491099E-2</v>
      </c>
      <c r="AY16" s="32">
        <v>381</v>
      </c>
      <c r="AZ16" s="33">
        <v>4.3667621776504302E-2</v>
      </c>
    </row>
    <row r="17" spans="1:52" x14ac:dyDescent="0.25">
      <c r="A17" s="10" t="s">
        <v>1734</v>
      </c>
      <c r="B17" s="10"/>
      <c r="C17" s="32">
        <v>251</v>
      </c>
      <c r="D17" s="33">
        <v>4.07666071138542E-2</v>
      </c>
      <c r="E17" s="32">
        <v>245</v>
      </c>
      <c r="F17" s="33">
        <v>4.45778748180495E-2</v>
      </c>
      <c r="G17" s="32">
        <v>267</v>
      </c>
      <c r="H17" s="33">
        <v>4.6098066298342497E-2</v>
      </c>
      <c r="I17" s="32">
        <v>266</v>
      </c>
      <c r="J17" s="33">
        <v>4.7062986553432398E-2</v>
      </c>
      <c r="K17" s="32">
        <v>266</v>
      </c>
      <c r="L17" s="33">
        <v>4.35351882160393E-2</v>
      </c>
      <c r="M17" s="32">
        <v>280</v>
      </c>
      <c r="N17" s="33">
        <v>4.5924225028702602E-2</v>
      </c>
      <c r="O17" s="32" t="s">
        <v>148</v>
      </c>
      <c r="P17" s="33"/>
      <c r="Q17" s="32">
        <v>260</v>
      </c>
      <c r="R17" s="33">
        <v>4.1009463722397499E-2</v>
      </c>
      <c r="S17" s="32">
        <v>272</v>
      </c>
      <c r="T17" s="33">
        <v>4.1476059774321401E-2</v>
      </c>
      <c r="U17" s="32">
        <v>251</v>
      </c>
      <c r="V17" s="33">
        <v>4.3060559272602501E-2</v>
      </c>
      <c r="W17" s="32">
        <v>280</v>
      </c>
      <c r="X17" s="33">
        <v>4.3417584121569201E-2</v>
      </c>
      <c r="Y17" s="32" t="s">
        <v>148</v>
      </c>
      <c r="Z17" s="33"/>
      <c r="AA17" s="32">
        <v>284</v>
      </c>
      <c r="AB17" s="33">
        <v>4.2136498516320502E-2</v>
      </c>
      <c r="AC17" s="32">
        <v>287</v>
      </c>
      <c r="AD17" s="33">
        <v>4.6643913538111502E-2</v>
      </c>
      <c r="AE17" s="32">
        <v>317</v>
      </c>
      <c r="AF17" s="33">
        <v>4.89122049066502E-2</v>
      </c>
      <c r="AG17" s="32">
        <v>318</v>
      </c>
      <c r="AH17" s="33">
        <v>4.8638727439584001E-2</v>
      </c>
      <c r="AI17" s="32">
        <v>325</v>
      </c>
      <c r="AJ17" s="33">
        <v>4.8363095238095198E-2</v>
      </c>
      <c r="AK17" s="32">
        <v>358</v>
      </c>
      <c r="AL17" s="33">
        <v>6.0554803788903898E-2</v>
      </c>
      <c r="AM17" s="32">
        <v>346</v>
      </c>
      <c r="AN17" s="33">
        <v>5.0792718731649998E-2</v>
      </c>
      <c r="AO17" s="32">
        <v>349</v>
      </c>
      <c r="AP17" s="33">
        <v>5.18111638954869E-2</v>
      </c>
      <c r="AQ17" s="32">
        <v>350</v>
      </c>
      <c r="AR17" s="33">
        <v>4.3635456925570401E-2</v>
      </c>
      <c r="AS17" s="32">
        <v>376</v>
      </c>
      <c r="AT17" s="33">
        <v>5.3032440056417503E-2</v>
      </c>
      <c r="AU17" s="32" t="s">
        <v>148</v>
      </c>
      <c r="AV17" s="33"/>
      <c r="AW17" s="32">
        <v>378</v>
      </c>
      <c r="AX17" s="33">
        <v>4.5974215519338398E-2</v>
      </c>
      <c r="AY17" s="32">
        <v>372</v>
      </c>
      <c r="AZ17" s="33">
        <v>4.2636103151862503E-2</v>
      </c>
    </row>
    <row r="18" spans="1:52" x14ac:dyDescent="0.25">
      <c r="A18" s="10" t="s">
        <v>1735</v>
      </c>
      <c r="B18" s="10"/>
      <c r="C18" s="32">
        <v>229</v>
      </c>
      <c r="D18" s="33">
        <v>3.7193438362838997E-2</v>
      </c>
      <c r="E18" s="32">
        <v>271</v>
      </c>
      <c r="F18" s="33">
        <v>4.9308588064046602E-2</v>
      </c>
      <c r="G18" s="32">
        <v>297</v>
      </c>
      <c r="H18" s="33">
        <v>5.1277624309392297E-2</v>
      </c>
      <c r="I18" s="32">
        <v>274</v>
      </c>
      <c r="J18" s="33">
        <v>4.8478414720452903E-2</v>
      </c>
      <c r="K18" s="32">
        <v>316</v>
      </c>
      <c r="L18" s="33">
        <v>5.1718494271685803E-2</v>
      </c>
      <c r="M18" s="32">
        <v>267</v>
      </c>
      <c r="N18" s="33">
        <v>4.3792028866655702E-2</v>
      </c>
      <c r="O18" s="32" t="s">
        <v>148</v>
      </c>
      <c r="P18" s="33"/>
      <c r="Q18" s="32">
        <v>319</v>
      </c>
      <c r="R18" s="33">
        <v>5.03154574132492E-2</v>
      </c>
      <c r="S18" s="32">
        <v>300</v>
      </c>
      <c r="T18" s="33">
        <v>4.5745654162854497E-2</v>
      </c>
      <c r="U18" s="32">
        <v>309</v>
      </c>
      <c r="V18" s="33">
        <v>5.3010808028821403E-2</v>
      </c>
      <c r="W18" s="32">
        <v>412</v>
      </c>
      <c r="X18" s="33">
        <v>6.38858737788804E-2</v>
      </c>
      <c r="Y18" s="32" t="s">
        <v>148</v>
      </c>
      <c r="Z18" s="33"/>
      <c r="AA18" s="32">
        <v>575</v>
      </c>
      <c r="AB18" s="33">
        <v>8.5311572700296698E-2</v>
      </c>
      <c r="AC18" s="32">
        <v>507</v>
      </c>
      <c r="AD18" s="33">
        <v>8.2398829839102905E-2</v>
      </c>
      <c r="AE18" s="32">
        <v>313</v>
      </c>
      <c r="AF18" s="33">
        <v>4.8295016201203501E-2</v>
      </c>
      <c r="AG18" s="32">
        <v>415</v>
      </c>
      <c r="AH18" s="33">
        <v>6.3475068828387896E-2</v>
      </c>
      <c r="AI18" s="32">
        <v>287</v>
      </c>
      <c r="AJ18" s="33">
        <v>4.27083333333333E-2</v>
      </c>
      <c r="AK18" s="32">
        <v>259</v>
      </c>
      <c r="AL18" s="33">
        <v>4.3809201623815998E-2</v>
      </c>
      <c r="AM18" s="32">
        <v>303</v>
      </c>
      <c r="AN18" s="33">
        <v>4.4480328831473903E-2</v>
      </c>
      <c r="AO18" s="32">
        <v>355</v>
      </c>
      <c r="AP18" s="33">
        <v>5.27019002375297E-2</v>
      </c>
      <c r="AQ18" s="32">
        <v>363</v>
      </c>
      <c r="AR18" s="33">
        <v>4.52562024685201E-2</v>
      </c>
      <c r="AS18" s="32">
        <v>329</v>
      </c>
      <c r="AT18" s="33">
        <v>4.6403385049365302E-2</v>
      </c>
      <c r="AU18" s="32" t="s">
        <v>148</v>
      </c>
      <c r="AV18" s="33"/>
      <c r="AW18" s="32">
        <v>352</v>
      </c>
      <c r="AX18" s="33">
        <v>4.2811967891024101E-2</v>
      </c>
      <c r="AY18" s="32">
        <v>370</v>
      </c>
      <c r="AZ18" s="33">
        <v>4.2406876790831001E-2</v>
      </c>
    </row>
    <row r="19" spans="1:52" x14ac:dyDescent="0.25">
      <c r="A19" s="10" t="s">
        <v>1736</v>
      </c>
      <c r="B19" s="10"/>
      <c r="C19" s="32">
        <v>73</v>
      </c>
      <c r="D19" s="33"/>
      <c r="E19" s="32">
        <v>61</v>
      </c>
      <c r="F19" s="33"/>
      <c r="G19" s="32">
        <v>79</v>
      </c>
      <c r="H19" s="33"/>
      <c r="I19" s="32">
        <v>85</v>
      </c>
      <c r="J19" s="33"/>
      <c r="K19" s="32">
        <v>87</v>
      </c>
      <c r="L19" s="33"/>
      <c r="M19" s="32">
        <v>64</v>
      </c>
      <c r="N19" s="33"/>
      <c r="O19" s="32" t="s">
        <v>148</v>
      </c>
      <c r="P19" s="33"/>
      <c r="Q19" s="32">
        <v>83</v>
      </c>
      <c r="R19" s="33"/>
      <c r="S19" s="32">
        <v>76</v>
      </c>
      <c r="T19" s="33"/>
      <c r="U19" s="32">
        <v>72</v>
      </c>
      <c r="V19" s="33"/>
      <c r="W19" s="32">
        <v>77</v>
      </c>
      <c r="X19" s="33"/>
      <c r="Y19" s="32" t="s">
        <v>148</v>
      </c>
      <c r="Z19" s="33"/>
      <c r="AA19" s="32">
        <v>106</v>
      </c>
      <c r="AB19" s="33"/>
      <c r="AC19" s="32">
        <v>85</v>
      </c>
      <c r="AD19" s="33"/>
      <c r="AE19" s="32">
        <v>113</v>
      </c>
      <c r="AF19" s="33"/>
      <c r="AG19" s="32">
        <v>114</v>
      </c>
      <c r="AH19" s="33"/>
      <c r="AI19" s="32">
        <v>119</v>
      </c>
      <c r="AJ19" s="33"/>
      <c r="AK19" s="32">
        <v>193</v>
      </c>
      <c r="AL19" s="33"/>
      <c r="AM19" s="32">
        <v>174</v>
      </c>
      <c r="AN19" s="33"/>
      <c r="AO19" s="32">
        <v>167</v>
      </c>
      <c r="AP19" s="33"/>
      <c r="AQ19" s="32">
        <v>175</v>
      </c>
      <c r="AR19" s="33"/>
      <c r="AS19" s="32">
        <v>357</v>
      </c>
      <c r="AT19" s="33"/>
      <c r="AU19" s="32" t="s">
        <v>148</v>
      </c>
      <c r="AV19" s="33"/>
      <c r="AW19" s="32">
        <v>281</v>
      </c>
      <c r="AX19" s="33"/>
      <c r="AY19" s="32">
        <v>361</v>
      </c>
      <c r="AZ19" s="33"/>
    </row>
    <row r="20" spans="1:52" x14ac:dyDescent="0.25">
      <c r="A20" s="10" t="s">
        <v>1737</v>
      </c>
      <c r="B20" s="10"/>
      <c r="C20" s="32" t="s">
        <v>148</v>
      </c>
      <c r="D20" s="33"/>
      <c r="E20" s="32" t="s">
        <v>148</v>
      </c>
      <c r="F20" s="33"/>
      <c r="G20" s="32" t="s">
        <v>148</v>
      </c>
      <c r="H20" s="33"/>
      <c r="I20" s="32" t="s">
        <v>148</v>
      </c>
      <c r="J20" s="33"/>
      <c r="K20" s="32" t="s">
        <v>148</v>
      </c>
      <c r="L20" s="33"/>
      <c r="M20" s="32" t="s">
        <v>148</v>
      </c>
      <c r="N20" s="33"/>
      <c r="O20" s="32" t="s">
        <v>148</v>
      </c>
      <c r="P20" s="33"/>
      <c r="Q20" s="32" t="s">
        <v>148</v>
      </c>
      <c r="R20" s="33"/>
      <c r="S20" s="32" t="s">
        <v>148</v>
      </c>
      <c r="T20" s="33"/>
      <c r="U20" s="32" t="s">
        <v>148</v>
      </c>
      <c r="V20" s="33"/>
      <c r="W20" s="32" t="s">
        <v>148</v>
      </c>
      <c r="X20" s="33"/>
      <c r="Y20" s="32" t="s">
        <v>148</v>
      </c>
      <c r="Z20" s="33"/>
      <c r="AA20" s="32" t="s">
        <v>148</v>
      </c>
      <c r="AB20" s="33"/>
      <c r="AC20" s="32" t="s">
        <v>148</v>
      </c>
      <c r="AD20" s="33"/>
      <c r="AE20" s="32" t="s">
        <v>148</v>
      </c>
      <c r="AF20" s="33"/>
      <c r="AG20" s="32" t="s">
        <v>148</v>
      </c>
      <c r="AH20" s="33"/>
      <c r="AI20" s="32" t="s">
        <v>148</v>
      </c>
      <c r="AJ20" s="33"/>
      <c r="AK20" s="32" t="s">
        <v>148</v>
      </c>
      <c r="AL20" s="33"/>
      <c r="AM20" s="32" t="s">
        <v>148</v>
      </c>
      <c r="AN20" s="33"/>
      <c r="AO20" s="32" t="s">
        <v>148</v>
      </c>
      <c r="AP20" s="33"/>
      <c r="AQ20" s="32">
        <v>272</v>
      </c>
      <c r="AR20" s="33">
        <v>3.3910983667871798E-2</v>
      </c>
      <c r="AS20" s="32">
        <v>235</v>
      </c>
      <c r="AT20" s="33">
        <v>3.31452750352609E-2</v>
      </c>
      <c r="AU20" s="32" t="s">
        <v>148</v>
      </c>
      <c r="AV20" s="33"/>
      <c r="AW20" s="32">
        <v>310</v>
      </c>
      <c r="AX20" s="33">
        <v>3.7703721722208698E-2</v>
      </c>
      <c r="AY20" s="32">
        <v>346</v>
      </c>
      <c r="AZ20" s="33">
        <v>3.9656160458452702E-2</v>
      </c>
    </row>
    <row r="21" spans="1:52" x14ac:dyDescent="0.25">
      <c r="A21" s="10" t="s">
        <v>1738</v>
      </c>
      <c r="B21" s="10"/>
      <c r="C21" s="32">
        <v>182</v>
      </c>
      <c r="D21" s="33">
        <v>2.9559850576579502E-2</v>
      </c>
      <c r="E21" s="32">
        <v>189</v>
      </c>
      <c r="F21" s="33">
        <v>3.4388646288209597E-2</v>
      </c>
      <c r="G21" s="32">
        <v>201</v>
      </c>
      <c r="H21" s="33">
        <v>3.4703038674033099E-2</v>
      </c>
      <c r="I21" s="32">
        <v>195</v>
      </c>
      <c r="J21" s="33">
        <v>3.4501061571125299E-2</v>
      </c>
      <c r="K21" s="32">
        <v>210</v>
      </c>
      <c r="L21" s="33">
        <v>3.4369885433715198E-2</v>
      </c>
      <c r="M21" s="32">
        <v>218</v>
      </c>
      <c r="N21" s="33">
        <v>3.5755289486632799E-2</v>
      </c>
      <c r="O21" s="32" t="s">
        <v>148</v>
      </c>
      <c r="P21" s="33"/>
      <c r="Q21" s="32">
        <v>212</v>
      </c>
      <c r="R21" s="33">
        <v>3.3438485804416399E-2</v>
      </c>
      <c r="S21" s="32">
        <v>227</v>
      </c>
      <c r="T21" s="33">
        <v>3.4614211649893298E-2</v>
      </c>
      <c r="U21" s="32">
        <v>227</v>
      </c>
      <c r="V21" s="33">
        <v>3.8943214959684301E-2</v>
      </c>
      <c r="W21" s="32">
        <v>245</v>
      </c>
      <c r="X21" s="33">
        <v>3.7990386106373099E-2</v>
      </c>
      <c r="Y21" s="32" t="s">
        <v>148</v>
      </c>
      <c r="Z21" s="33"/>
      <c r="AA21" s="32">
        <v>282</v>
      </c>
      <c r="AB21" s="33">
        <v>4.1839762611275998E-2</v>
      </c>
      <c r="AC21" s="32">
        <v>266</v>
      </c>
      <c r="AD21" s="33">
        <v>4.3230944254835001E-2</v>
      </c>
      <c r="AE21" s="32">
        <v>284</v>
      </c>
      <c r="AF21" s="33">
        <v>4.3820398086715E-2</v>
      </c>
      <c r="AG21" s="32">
        <v>288</v>
      </c>
      <c r="AH21" s="33">
        <v>4.4050168247170403E-2</v>
      </c>
      <c r="AI21" s="32">
        <v>469</v>
      </c>
      <c r="AJ21" s="33">
        <v>6.9791666666666696E-2</v>
      </c>
      <c r="AK21" s="32">
        <v>362</v>
      </c>
      <c r="AL21" s="33">
        <v>6.1231393775372102E-2</v>
      </c>
      <c r="AM21" s="32">
        <v>310</v>
      </c>
      <c r="AN21" s="33">
        <v>4.5507927187316499E-2</v>
      </c>
      <c r="AO21" s="32">
        <v>419</v>
      </c>
      <c r="AP21" s="33">
        <v>6.2203087885985699E-2</v>
      </c>
      <c r="AQ21" s="32">
        <v>386</v>
      </c>
      <c r="AR21" s="33">
        <v>4.8123675352200503E-2</v>
      </c>
      <c r="AS21" s="32">
        <v>317</v>
      </c>
      <c r="AT21" s="33">
        <v>4.4710860366713699E-2</v>
      </c>
      <c r="AU21" s="32" t="s">
        <v>148</v>
      </c>
      <c r="AV21" s="33"/>
      <c r="AW21" s="32">
        <v>456</v>
      </c>
      <c r="AX21" s="33">
        <v>5.5460958404281203E-2</v>
      </c>
      <c r="AY21" s="32">
        <v>337</v>
      </c>
      <c r="AZ21" s="33">
        <v>3.8624641833810897E-2</v>
      </c>
    </row>
    <row r="22" spans="1:52" x14ac:dyDescent="0.25">
      <c r="A22" s="10" t="s">
        <v>1739</v>
      </c>
      <c r="B22" s="10"/>
      <c r="C22" s="32">
        <v>474</v>
      </c>
      <c r="D22" s="33">
        <v>7.6985544908234504E-2</v>
      </c>
      <c r="E22" s="32">
        <v>414</v>
      </c>
      <c r="F22" s="33">
        <v>7.5327510917030605E-2</v>
      </c>
      <c r="G22" s="32">
        <v>436</v>
      </c>
      <c r="H22" s="33">
        <v>7.5276243093922696E-2</v>
      </c>
      <c r="I22" s="32">
        <v>452</v>
      </c>
      <c r="J22" s="33">
        <v>7.9971691436659595E-2</v>
      </c>
      <c r="K22" s="32">
        <v>427</v>
      </c>
      <c r="L22" s="33">
        <v>6.9885433715220893E-2</v>
      </c>
      <c r="M22" s="32">
        <v>422</v>
      </c>
      <c r="N22" s="33">
        <v>6.92143677218304E-2</v>
      </c>
      <c r="O22" s="32" t="s">
        <v>148</v>
      </c>
      <c r="P22" s="33"/>
      <c r="Q22" s="32">
        <v>384</v>
      </c>
      <c r="R22" s="33">
        <v>6.0567823343848602E-2</v>
      </c>
      <c r="S22" s="32">
        <v>375</v>
      </c>
      <c r="T22" s="33">
        <v>5.71820677035682E-2</v>
      </c>
      <c r="U22" s="32">
        <v>355</v>
      </c>
      <c r="V22" s="33">
        <v>6.0902384628581198E-2</v>
      </c>
      <c r="W22" s="32">
        <v>367</v>
      </c>
      <c r="X22" s="33">
        <v>5.6908047759342502E-2</v>
      </c>
      <c r="Y22" s="32" t="s">
        <v>148</v>
      </c>
      <c r="Z22" s="33"/>
      <c r="AA22" s="32">
        <v>362</v>
      </c>
      <c r="AB22" s="33">
        <v>5.37091988130564E-2</v>
      </c>
      <c r="AC22" s="32">
        <v>358</v>
      </c>
      <c r="AD22" s="33">
        <v>5.81830001625223E-2</v>
      </c>
      <c r="AE22" s="32">
        <v>357</v>
      </c>
      <c r="AF22" s="33">
        <v>5.5084091961117097E-2</v>
      </c>
      <c r="AG22" s="32">
        <v>358</v>
      </c>
      <c r="AH22" s="33">
        <v>5.4756806362802099E-2</v>
      </c>
      <c r="AI22" s="32">
        <v>348</v>
      </c>
      <c r="AJ22" s="33">
        <v>5.1785714285714303E-2</v>
      </c>
      <c r="AK22" s="32">
        <v>355</v>
      </c>
      <c r="AL22" s="33">
        <v>6.0047361299052797E-2</v>
      </c>
      <c r="AM22" s="32">
        <v>365</v>
      </c>
      <c r="AN22" s="33">
        <v>5.35819142689372E-2</v>
      </c>
      <c r="AO22" s="32">
        <v>323</v>
      </c>
      <c r="AP22" s="33">
        <v>4.7951306413301698E-2</v>
      </c>
      <c r="AQ22" s="32">
        <v>319</v>
      </c>
      <c r="AR22" s="33">
        <v>3.9770602169305599E-2</v>
      </c>
      <c r="AS22" s="32">
        <v>349</v>
      </c>
      <c r="AT22" s="33">
        <v>4.9224259520451299E-2</v>
      </c>
      <c r="AU22" s="32" t="s">
        <v>148</v>
      </c>
      <c r="AV22" s="33"/>
      <c r="AW22" s="32">
        <v>337</v>
      </c>
      <c r="AX22" s="33">
        <v>4.0987594259304302E-2</v>
      </c>
      <c r="AY22" s="32">
        <v>308</v>
      </c>
      <c r="AZ22" s="33">
        <v>3.5300859598853901E-2</v>
      </c>
    </row>
    <row r="23" spans="1:52" x14ac:dyDescent="0.25">
      <c r="A23" s="10" t="s">
        <v>1740</v>
      </c>
      <c r="B23" s="10"/>
      <c r="C23" s="32" t="s">
        <v>148</v>
      </c>
      <c r="D23" s="33"/>
      <c r="E23" s="32" t="s">
        <v>148</v>
      </c>
      <c r="F23" s="33"/>
      <c r="G23" s="32" t="s">
        <v>148</v>
      </c>
      <c r="H23" s="33"/>
      <c r="I23" s="32" t="s">
        <v>148</v>
      </c>
      <c r="J23" s="33"/>
      <c r="K23" s="32" t="s">
        <v>148</v>
      </c>
      <c r="L23" s="33"/>
      <c r="M23" s="32" t="s">
        <v>148</v>
      </c>
      <c r="N23" s="33"/>
      <c r="O23" s="32" t="s">
        <v>148</v>
      </c>
      <c r="P23" s="33"/>
      <c r="Q23" s="32" t="s">
        <v>148</v>
      </c>
      <c r="R23" s="33"/>
      <c r="S23" s="32" t="s">
        <v>148</v>
      </c>
      <c r="T23" s="33"/>
      <c r="U23" s="32" t="s">
        <v>148</v>
      </c>
      <c r="V23" s="33"/>
      <c r="W23" s="32" t="s">
        <v>148</v>
      </c>
      <c r="X23" s="33"/>
      <c r="Y23" s="32" t="s">
        <v>148</v>
      </c>
      <c r="Z23" s="33"/>
      <c r="AA23" s="32" t="s">
        <v>148</v>
      </c>
      <c r="AB23" s="33"/>
      <c r="AC23" s="32">
        <v>7</v>
      </c>
      <c r="AD23" s="33">
        <v>1.13765642775882E-3</v>
      </c>
      <c r="AE23" s="32">
        <v>29</v>
      </c>
      <c r="AF23" s="33">
        <v>4.4746181144885103E-3</v>
      </c>
      <c r="AG23" s="32">
        <v>55</v>
      </c>
      <c r="AH23" s="33">
        <v>8.4123585194249006E-3</v>
      </c>
      <c r="AI23" s="32">
        <v>79</v>
      </c>
      <c r="AJ23" s="33">
        <v>1.17559523809524E-2</v>
      </c>
      <c r="AK23" s="32">
        <v>96</v>
      </c>
      <c r="AL23" s="33">
        <v>1.6238159675236799E-2</v>
      </c>
      <c r="AM23" s="32">
        <v>133</v>
      </c>
      <c r="AN23" s="33">
        <v>1.9524368761009998E-2</v>
      </c>
      <c r="AO23" s="32">
        <v>161</v>
      </c>
      <c r="AP23" s="33">
        <v>2.3901425178147299E-2</v>
      </c>
      <c r="AQ23" s="32">
        <v>177</v>
      </c>
      <c r="AR23" s="33">
        <v>2.20670739309313E-2</v>
      </c>
      <c r="AS23" s="32">
        <v>173</v>
      </c>
      <c r="AT23" s="33">
        <v>2.4400564174894199E-2</v>
      </c>
      <c r="AU23" s="32" t="s">
        <v>148</v>
      </c>
      <c r="AV23" s="33"/>
      <c r="AW23" s="32">
        <v>269</v>
      </c>
      <c r="AX23" s="33">
        <v>3.27171004621747E-2</v>
      </c>
      <c r="AY23" s="32">
        <v>296</v>
      </c>
      <c r="AZ23" s="33">
        <v>3.3925501432664797E-2</v>
      </c>
    </row>
    <row r="24" spans="1:52" x14ac:dyDescent="0.25">
      <c r="A24" s="10" t="s">
        <v>1741</v>
      </c>
      <c r="B24" s="10"/>
      <c r="C24" s="32">
        <v>11</v>
      </c>
      <c r="D24" s="33">
        <v>1.7865843755075501E-3</v>
      </c>
      <c r="E24" s="32">
        <v>31</v>
      </c>
      <c r="F24" s="33">
        <v>5.6404657933042199E-3</v>
      </c>
      <c r="G24" s="32">
        <v>52</v>
      </c>
      <c r="H24" s="33">
        <v>8.9779005524861892E-3</v>
      </c>
      <c r="I24" s="32">
        <v>61</v>
      </c>
      <c r="J24" s="33">
        <v>1.0792639773531501E-2</v>
      </c>
      <c r="K24" s="32">
        <v>71</v>
      </c>
      <c r="L24" s="33">
        <v>1.1620294599018E-2</v>
      </c>
      <c r="M24" s="32">
        <v>86</v>
      </c>
      <c r="N24" s="33">
        <v>1.41052976873872E-2</v>
      </c>
      <c r="O24" s="32" t="s">
        <v>148</v>
      </c>
      <c r="P24" s="33"/>
      <c r="Q24" s="32">
        <v>80</v>
      </c>
      <c r="R24" s="33">
        <v>1.2618296529968501E-2</v>
      </c>
      <c r="S24" s="32">
        <v>103</v>
      </c>
      <c r="T24" s="33">
        <v>1.5706007929246701E-2</v>
      </c>
      <c r="U24" s="32">
        <v>106</v>
      </c>
      <c r="V24" s="33">
        <v>1.8184937382055202E-2</v>
      </c>
      <c r="W24" s="32">
        <v>107</v>
      </c>
      <c r="X24" s="33">
        <v>1.6591719646456799E-2</v>
      </c>
      <c r="Y24" s="32" t="s">
        <v>148</v>
      </c>
      <c r="Z24" s="33"/>
      <c r="AA24" s="32">
        <v>115</v>
      </c>
      <c r="AB24" s="33">
        <v>1.7062314540059301E-2</v>
      </c>
      <c r="AC24" s="32">
        <v>108</v>
      </c>
      <c r="AD24" s="33">
        <v>1.75524134568503E-2</v>
      </c>
      <c r="AE24" s="32">
        <v>116</v>
      </c>
      <c r="AF24" s="33">
        <v>1.7898472457954E-2</v>
      </c>
      <c r="AG24" s="32">
        <v>117</v>
      </c>
      <c r="AH24" s="33">
        <v>1.7895380850412999E-2</v>
      </c>
      <c r="AI24" s="32">
        <v>119</v>
      </c>
      <c r="AJ24" s="33">
        <v>1.7708333333333302E-2</v>
      </c>
      <c r="AK24" s="32">
        <v>164</v>
      </c>
      <c r="AL24" s="33">
        <v>2.7740189445196201E-2</v>
      </c>
      <c r="AM24" s="32">
        <v>150</v>
      </c>
      <c r="AN24" s="33">
        <v>2.2019964768056399E-2</v>
      </c>
      <c r="AO24" s="32">
        <v>152</v>
      </c>
      <c r="AP24" s="33">
        <v>2.25653206650831E-2</v>
      </c>
      <c r="AQ24" s="32">
        <v>160</v>
      </c>
      <c r="AR24" s="33">
        <v>1.9947637451689301E-2</v>
      </c>
      <c r="AS24" s="32">
        <v>168</v>
      </c>
      <c r="AT24" s="33">
        <v>2.3695345557122698E-2</v>
      </c>
      <c r="AU24" s="32" t="s">
        <v>148</v>
      </c>
      <c r="AV24" s="33"/>
      <c r="AW24" s="32">
        <v>166</v>
      </c>
      <c r="AX24" s="33">
        <v>2.0189734857698899E-2</v>
      </c>
      <c r="AY24" s="32">
        <v>294</v>
      </c>
      <c r="AZ24" s="33">
        <v>3.3696275071633197E-2</v>
      </c>
    </row>
    <row r="25" spans="1:52" x14ac:dyDescent="0.25">
      <c r="A25" s="10" t="s">
        <v>1742</v>
      </c>
      <c r="B25" s="10"/>
      <c r="C25" s="32">
        <v>168</v>
      </c>
      <c r="D25" s="33">
        <v>2.7286015916842599E-2</v>
      </c>
      <c r="E25" s="32">
        <v>170</v>
      </c>
      <c r="F25" s="33">
        <v>3.0931586608442498E-2</v>
      </c>
      <c r="G25" s="32">
        <v>196</v>
      </c>
      <c r="H25" s="33">
        <v>3.38397790055249E-2</v>
      </c>
      <c r="I25" s="32">
        <v>196</v>
      </c>
      <c r="J25" s="33">
        <v>3.46779900920028E-2</v>
      </c>
      <c r="K25" s="32">
        <v>182</v>
      </c>
      <c r="L25" s="33">
        <v>2.97872340425532E-2</v>
      </c>
      <c r="M25" s="32">
        <v>202</v>
      </c>
      <c r="N25" s="33">
        <v>3.3131048056421197E-2</v>
      </c>
      <c r="O25" s="32" t="s">
        <v>148</v>
      </c>
      <c r="P25" s="33"/>
      <c r="Q25" s="32">
        <v>193</v>
      </c>
      <c r="R25" s="33">
        <v>3.04416403785489E-2</v>
      </c>
      <c r="S25" s="32">
        <v>221</v>
      </c>
      <c r="T25" s="33">
        <v>3.3699298566636199E-2</v>
      </c>
      <c r="U25" s="32">
        <v>191</v>
      </c>
      <c r="V25" s="33">
        <v>3.2767198490307098E-2</v>
      </c>
      <c r="W25" s="32">
        <v>239</v>
      </c>
      <c r="X25" s="33">
        <v>3.7060009303768002E-2</v>
      </c>
      <c r="Y25" s="32" t="s">
        <v>148</v>
      </c>
      <c r="Z25" s="33"/>
      <c r="AA25" s="32">
        <v>243</v>
      </c>
      <c r="AB25" s="33">
        <v>3.6053412462907997E-2</v>
      </c>
      <c r="AC25" s="32">
        <v>201</v>
      </c>
      <c r="AD25" s="33">
        <v>3.2666991711360303E-2</v>
      </c>
      <c r="AE25" s="32">
        <v>207</v>
      </c>
      <c r="AF25" s="33">
        <v>3.1939515506866203E-2</v>
      </c>
      <c r="AG25" s="32">
        <v>247</v>
      </c>
      <c r="AH25" s="33">
        <v>3.7779137350871801E-2</v>
      </c>
      <c r="AI25" s="32">
        <v>238</v>
      </c>
      <c r="AJ25" s="33">
        <v>3.54166666666667E-2</v>
      </c>
      <c r="AK25" s="32">
        <v>233</v>
      </c>
      <c r="AL25" s="33">
        <v>3.94113667117727E-2</v>
      </c>
      <c r="AM25" s="32">
        <v>248</v>
      </c>
      <c r="AN25" s="33">
        <v>3.6406341749853202E-2</v>
      </c>
      <c r="AO25" s="32">
        <v>252</v>
      </c>
      <c r="AP25" s="33">
        <v>3.7410926365795703E-2</v>
      </c>
      <c r="AQ25" s="32">
        <v>251</v>
      </c>
      <c r="AR25" s="33">
        <v>3.1292856252337603E-2</v>
      </c>
      <c r="AS25" s="32">
        <v>247</v>
      </c>
      <c r="AT25" s="33">
        <v>3.48377997179126E-2</v>
      </c>
      <c r="AU25" s="32" t="s">
        <v>148</v>
      </c>
      <c r="AV25" s="33"/>
      <c r="AW25" s="32">
        <v>282</v>
      </c>
      <c r="AX25" s="33">
        <v>3.42982242763318E-2</v>
      </c>
      <c r="AY25" s="32">
        <v>246</v>
      </c>
      <c r="AZ25" s="33">
        <v>2.8194842406876801E-2</v>
      </c>
    </row>
    <row r="26" spans="1:52" x14ac:dyDescent="0.25">
      <c r="A26" s="10" t="s">
        <v>1743</v>
      </c>
      <c r="B26" s="10"/>
      <c r="C26" s="32" t="s">
        <v>148</v>
      </c>
      <c r="D26" s="33"/>
      <c r="E26" s="32" t="s">
        <v>148</v>
      </c>
      <c r="F26" s="33"/>
      <c r="G26" s="32" t="s">
        <v>148</v>
      </c>
      <c r="H26" s="33"/>
      <c r="I26" s="32" t="s">
        <v>148</v>
      </c>
      <c r="J26" s="33"/>
      <c r="K26" s="32" t="s">
        <v>148</v>
      </c>
      <c r="L26" s="33"/>
      <c r="M26" s="32" t="s">
        <v>148</v>
      </c>
      <c r="N26" s="33"/>
      <c r="O26" s="32" t="s">
        <v>148</v>
      </c>
      <c r="P26" s="33"/>
      <c r="Q26" s="32" t="s">
        <v>148</v>
      </c>
      <c r="R26" s="33"/>
      <c r="S26" s="32" t="s">
        <v>148</v>
      </c>
      <c r="T26" s="33"/>
      <c r="U26" s="32" t="s">
        <v>148</v>
      </c>
      <c r="V26" s="33"/>
      <c r="W26" s="32" t="s">
        <v>148</v>
      </c>
      <c r="X26" s="33"/>
      <c r="Y26" s="32" t="s">
        <v>148</v>
      </c>
      <c r="Z26" s="33"/>
      <c r="AA26" s="32" t="s">
        <v>148</v>
      </c>
      <c r="AB26" s="33"/>
      <c r="AC26" s="32" t="s">
        <v>148</v>
      </c>
      <c r="AD26" s="33"/>
      <c r="AE26" s="32" t="s">
        <v>148</v>
      </c>
      <c r="AF26" s="33"/>
      <c r="AG26" s="32" t="s">
        <v>148</v>
      </c>
      <c r="AH26" s="33"/>
      <c r="AI26" s="32" t="s">
        <v>148</v>
      </c>
      <c r="AJ26" s="33"/>
      <c r="AK26" s="32" t="s">
        <v>148</v>
      </c>
      <c r="AL26" s="33"/>
      <c r="AM26" s="32" t="s">
        <v>148</v>
      </c>
      <c r="AN26" s="33"/>
      <c r="AO26" s="32" t="s">
        <v>148</v>
      </c>
      <c r="AP26" s="33"/>
      <c r="AQ26" s="32">
        <v>164</v>
      </c>
      <c r="AR26" s="33">
        <v>2.0446328387981501E-2</v>
      </c>
      <c r="AS26" s="32">
        <v>169</v>
      </c>
      <c r="AT26" s="33">
        <v>2.3836389280676998E-2</v>
      </c>
      <c r="AU26" s="32" t="s">
        <v>148</v>
      </c>
      <c r="AV26" s="33"/>
      <c r="AW26" s="32">
        <v>188</v>
      </c>
      <c r="AX26" s="33">
        <v>2.2865482850887901E-2</v>
      </c>
      <c r="AY26" s="32">
        <v>214</v>
      </c>
      <c r="AZ26" s="33">
        <v>2.45272206303725E-2</v>
      </c>
    </row>
    <row r="27" spans="1:52" x14ac:dyDescent="0.25">
      <c r="A27" s="10" t="s">
        <v>1744</v>
      </c>
      <c r="B27" s="10"/>
      <c r="C27" s="32">
        <v>0</v>
      </c>
      <c r="D27" s="33"/>
      <c r="E27" s="32">
        <v>0</v>
      </c>
      <c r="F27" s="33"/>
      <c r="G27" s="32">
        <v>0</v>
      </c>
      <c r="H27" s="33"/>
      <c r="I27" s="32">
        <v>43</v>
      </c>
      <c r="J27" s="33">
        <v>7.6079263977353196E-3</v>
      </c>
      <c r="K27" s="32">
        <v>84</v>
      </c>
      <c r="L27" s="33">
        <v>1.37479541734861E-2</v>
      </c>
      <c r="M27" s="32">
        <v>115</v>
      </c>
      <c r="N27" s="33">
        <v>1.88617352796457E-2</v>
      </c>
      <c r="O27" s="32" t="s">
        <v>148</v>
      </c>
      <c r="P27" s="33"/>
      <c r="Q27" s="32">
        <v>231</v>
      </c>
      <c r="R27" s="33">
        <v>3.6435331230283897E-2</v>
      </c>
      <c r="S27" s="32">
        <v>280</v>
      </c>
      <c r="T27" s="33">
        <v>4.2695943885330899E-2</v>
      </c>
      <c r="U27" s="32">
        <v>294</v>
      </c>
      <c r="V27" s="33">
        <v>5.0437467833247603E-2</v>
      </c>
      <c r="W27" s="32">
        <v>294</v>
      </c>
      <c r="X27" s="33">
        <v>4.5588463327647703E-2</v>
      </c>
      <c r="Y27" s="32" t="s">
        <v>148</v>
      </c>
      <c r="Z27" s="33"/>
      <c r="AA27" s="32">
        <v>304</v>
      </c>
      <c r="AB27" s="33">
        <v>4.5103857566765597E-2</v>
      </c>
      <c r="AC27" s="32">
        <v>244</v>
      </c>
      <c r="AD27" s="33">
        <v>3.9655452624735903E-2</v>
      </c>
      <c r="AE27" s="32">
        <v>243</v>
      </c>
      <c r="AF27" s="33">
        <v>3.7494213855886402E-2</v>
      </c>
      <c r="AG27" s="32">
        <v>209</v>
      </c>
      <c r="AH27" s="33">
        <v>3.1966962373814599E-2</v>
      </c>
      <c r="AI27" s="32">
        <v>205</v>
      </c>
      <c r="AJ27" s="33">
        <v>3.0505952380952401E-2</v>
      </c>
      <c r="AK27" s="32">
        <v>202</v>
      </c>
      <c r="AL27" s="33">
        <v>3.4167794316644101E-2</v>
      </c>
      <c r="AM27" s="32">
        <v>197</v>
      </c>
      <c r="AN27" s="33">
        <v>2.8919553728713999E-2</v>
      </c>
      <c r="AO27" s="32">
        <v>213</v>
      </c>
      <c r="AP27" s="33">
        <v>3.1621140142517802E-2</v>
      </c>
      <c r="AQ27" s="32">
        <v>188</v>
      </c>
      <c r="AR27" s="33">
        <v>2.3438474005734899E-2</v>
      </c>
      <c r="AS27" s="32">
        <v>202</v>
      </c>
      <c r="AT27" s="33">
        <v>2.8490832157969E-2</v>
      </c>
      <c r="AU27" s="32" t="s">
        <v>148</v>
      </c>
      <c r="AV27" s="33"/>
      <c r="AW27" s="32">
        <v>195</v>
      </c>
      <c r="AX27" s="33">
        <v>2.3716857212357102E-2</v>
      </c>
      <c r="AY27" s="32">
        <v>173</v>
      </c>
      <c r="AZ27" s="33">
        <v>1.98280802292264E-2</v>
      </c>
    </row>
    <row r="28" spans="1:52" x14ac:dyDescent="0.25">
      <c r="A28" s="10" t="s">
        <v>1745</v>
      </c>
      <c r="B28" s="10"/>
      <c r="C28" s="32" t="s">
        <v>148</v>
      </c>
      <c r="D28" s="33"/>
      <c r="E28" s="32" t="s">
        <v>148</v>
      </c>
      <c r="F28" s="33"/>
      <c r="G28" s="32" t="s">
        <v>148</v>
      </c>
      <c r="H28" s="33"/>
      <c r="I28" s="32" t="s">
        <v>148</v>
      </c>
      <c r="J28" s="33"/>
      <c r="K28" s="32" t="s">
        <v>148</v>
      </c>
      <c r="L28" s="33"/>
      <c r="M28" s="32" t="s">
        <v>148</v>
      </c>
      <c r="N28" s="33"/>
      <c r="O28" s="32" t="s">
        <v>148</v>
      </c>
      <c r="P28" s="33"/>
      <c r="Q28" s="32" t="s">
        <v>148</v>
      </c>
      <c r="R28" s="33"/>
      <c r="S28" s="32" t="s">
        <v>148</v>
      </c>
      <c r="T28" s="33"/>
      <c r="U28" s="32" t="s">
        <v>148</v>
      </c>
      <c r="V28" s="33"/>
      <c r="W28" s="32" t="s">
        <v>148</v>
      </c>
      <c r="X28" s="33"/>
      <c r="Y28" s="32" t="s">
        <v>148</v>
      </c>
      <c r="Z28" s="33"/>
      <c r="AA28" s="32" t="s">
        <v>148</v>
      </c>
      <c r="AB28" s="33"/>
      <c r="AC28" s="32" t="s">
        <v>148</v>
      </c>
      <c r="AD28" s="33"/>
      <c r="AE28" s="32" t="s">
        <v>148</v>
      </c>
      <c r="AF28" s="33"/>
      <c r="AG28" s="32" t="s">
        <v>148</v>
      </c>
      <c r="AH28" s="33"/>
      <c r="AI28" s="32" t="s">
        <v>148</v>
      </c>
      <c r="AJ28" s="33"/>
      <c r="AK28" s="32" t="s">
        <v>148</v>
      </c>
      <c r="AL28" s="33"/>
      <c r="AM28" s="32" t="s">
        <v>148</v>
      </c>
      <c r="AN28" s="33"/>
      <c r="AO28" s="32" t="s">
        <v>148</v>
      </c>
      <c r="AP28" s="33"/>
      <c r="AQ28" s="32">
        <v>65</v>
      </c>
      <c r="AR28" s="33">
        <v>8.1037277147487808E-3</v>
      </c>
      <c r="AS28" s="32">
        <v>80</v>
      </c>
      <c r="AT28" s="33">
        <v>1.12834978843441E-2</v>
      </c>
      <c r="AU28" s="32" t="s">
        <v>148</v>
      </c>
      <c r="AV28" s="33"/>
      <c r="AW28" s="32">
        <v>106</v>
      </c>
      <c r="AX28" s="33">
        <v>1.28922403308198E-2</v>
      </c>
      <c r="AY28" s="32">
        <v>101</v>
      </c>
      <c r="AZ28" s="33">
        <v>1.1575931232091699E-2</v>
      </c>
    </row>
    <row r="29" spans="1:52" x14ac:dyDescent="0.25">
      <c r="A29" s="10" t="s">
        <v>1746</v>
      </c>
      <c r="B29" s="10"/>
      <c r="C29" s="32">
        <v>1169</v>
      </c>
      <c r="D29" s="33">
        <v>0.18986519408802999</v>
      </c>
      <c r="E29" s="32">
        <v>1021</v>
      </c>
      <c r="F29" s="33">
        <v>0.185771470160116</v>
      </c>
      <c r="G29" s="32">
        <v>824</v>
      </c>
      <c r="H29" s="33">
        <v>0.14226519337016599</v>
      </c>
      <c r="I29" s="32">
        <v>711</v>
      </c>
      <c r="J29" s="33">
        <v>0.12579617834394899</v>
      </c>
      <c r="K29" s="32">
        <v>665</v>
      </c>
      <c r="L29" s="33">
        <v>0.108837970540098</v>
      </c>
      <c r="M29" s="32">
        <v>609</v>
      </c>
      <c r="N29" s="33">
        <v>9.9885189437428204E-2</v>
      </c>
      <c r="O29" s="32" t="s">
        <v>148</v>
      </c>
      <c r="P29" s="33"/>
      <c r="Q29" s="32">
        <v>555</v>
      </c>
      <c r="R29" s="33">
        <v>8.7539432176656107E-2</v>
      </c>
      <c r="S29" s="32">
        <v>536</v>
      </c>
      <c r="T29" s="33">
        <v>8.1732235437633402E-2</v>
      </c>
      <c r="U29" s="32">
        <v>482</v>
      </c>
      <c r="V29" s="33">
        <v>8.2689998284439903E-2</v>
      </c>
      <c r="W29" s="32">
        <v>486</v>
      </c>
      <c r="X29" s="33">
        <v>7.5360521011009499E-2</v>
      </c>
      <c r="Y29" s="32" t="s">
        <v>148</v>
      </c>
      <c r="Z29" s="33"/>
      <c r="AA29" s="32">
        <v>351</v>
      </c>
      <c r="AB29" s="33">
        <v>5.20771513353116E-2</v>
      </c>
      <c r="AC29" s="32">
        <v>348</v>
      </c>
      <c r="AD29" s="33">
        <v>5.65577766942955E-2</v>
      </c>
      <c r="AE29" s="32">
        <v>310</v>
      </c>
      <c r="AF29" s="33">
        <v>4.7832124672118503E-2</v>
      </c>
      <c r="AG29" s="32">
        <v>247</v>
      </c>
      <c r="AH29" s="33">
        <v>3.7779137350871801E-2</v>
      </c>
      <c r="AI29" s="32">
        <v>221</v>
      </c>
      <c r="AJ29" s="33">
        <v>3.2886904761904798E-2</v>
      </c>
      <c r="AK29" s="32">
        <v>249</v>
      </c>
      <c r="AL29" s="33">
        <v>4.2117726657645502E-2</v>
      </c>
      <c r="AM29" s="32">
        <v>236</v>
      </c>
      <c r="AN29" s="33">
        <v>3.46447445684087E-2</v>
      </c>
      <c r="AO29" s="32">
        <v>124</v>
      </c>
      <c r="AP29" s="33">
        <v>1.8408551068883599E-2</v>
      </c>
      <c r="AQ29" s="32">
        <v>239</v>
      </c>
      <c r="AR29" s="33">
        <v>2.97967834434609E-2</v>
      </c>
      <c r="AS29" s="32">
        <v>118</v>
      </c>
      <c r="AT29" s="33">
        <v>1.66431593794076E-2</v>
      </c>
      <c r="AU29" s="32" t="s">
        <v>148</v>
      </c>
      <c r="AV29" s="33"/>
      <c r="AW29" s="32">
        <v>110</v>
      </c>
      <c r="AX29" s="33">
        <v>1.3378739965945E-2</v>
      </c>
      <c r="AY29" s="32">
        <v>98</v>
      </c>
      <c r="AZ29" s="33">
        <v>1.1232091690544401E-2</v>
      </c>
    </row>
    <row r="30" spans="1:52" x14ac:dyDescent="0.25">
      <c r="A30" s="10" t="s">
        <v>1747</v>
      </c>
      <c r="B30" s="10"/>
      <c r="C30" s="32" t="s">
        <v>148</v>
      </c>
      <c r="D30" s="33"/>
      <c r="E30" s="32" t="s">
        <v>148</v>
      </c>
      <c r="F30" s="33"/>
      <c r="G30" s="32" t="s">
        <v>148</v>
      </c>
      <c r="H30" s="33"/>
      <c r="I30" s="32" t="s">
        <v>148</v>
      </c>
      <c r="J30" s="33"/>
      <c r="K30" s="32" t="s">
        <v>148</v>
      </c>
      <c r="L30" s="33"/>
      <c r="M30" s="32" t="s">
        <v>148</v>
      </c>
      <c r="N30" s="33"/>
      <c r="O30" s="32" t="s">
        <v>148</v>
      </c>
      <c r="P30" s="33"/>
      <c r="Q30" s="32" t="s">
        <v>148</v>
      </c>
      <c r="R30" s="33"/>
      <c r="S30" s="32" t="s">
        <v>148</v>
      </c>
      <c r="T30" s="33"/>
      <c r="U30" s="32" t="s">
        <v>148</v>
      </c>
      <c r="V30" s="33"/>
      <c r="W30" s="32" t="s">
        <v>148</v>
      </c>
      <c r="X30" s="33"/>
      <c r="Y30" s="32" t="s">
        <v>148</v>
      </c>
      <c r="Z30" s="33"/>
      <c r="AA30" s="32">
        <v>45</v>
      </c>
      <c r="AB30" s="33">
        <v>6.67655786350148E-3</v>
      </c>
      <c r="AC30" s="32">
        <v>62</v>
      </c>
      <c r="AD30" s="33">
        <v>1.0076385503006701E-2</v>
      </c>
      <c r="AE30" s="32">
        <v>77</v>
      </c>
      <c r="AF30" s="33">
        <v>1.18808825798488E-2</v>
      </c>
      <c r="AG30" s="32">
        <v>75</v>
      </c>
      <c r="AH30" s="33">
        <v>1.1471397981034E-2</v>
      </c>
      <c r="AI30" s="32">
        <v>71</v>
      </c>
      <c r="AJ30" s="33">
        <v>1.05654761904762E-2</v>
      </c>
      <c r="AK30" s="32">
        <v>74</v>
      </c>
      <c r="AL30" s="33">
        <v>1.25169147496617E-2</v>
      </c>
      <c r="AM30" s="32">
        <v>77</v>
      </c>
      <c r="AN30" s="33">
        <v>1.13035819142689E-2</v>
      </c>
      <c r="AO30" s="32">
        <v>52</v>
      </c>
      <c r="AP30" s="33">
        <v>7.7197149643705503E-3</v>
      </c>
      <c r="AQ30" s="32">
        <v>77</v>
      </c>
      <c r="AR30" s="33">
        <v>9.5998005236254801E-3</v>
      </c>
      <c r="AS30" s="32">
        <v>82</v>
      </c>
      <c r="AT30" s="33">
        <v>1.1565585331452801E-2</v>
      </c>
      <c r="AU30" s="32" t="s">
        <v>148</v>
      </c>
      <c r="AV30" s="33"/>
      <c r="AW30" s="32">
        <v>98</v>
      </c>
      <c r="AX30" s="33">
        <v>1.19192410605692E-2</v>
      </c>
      <c r="AY30" s="32">
        <v>85</v>
      </c>
      <c r="AZ30" s="33">
        <v>9.7421203438395401E-3</v>
      </c>
    </row>
    <row r="31" spans="1:52" x14ac:dyDescent="0.25">
      <c r="A31" s="10" t="s">
        <v>1748</v>
      </c>
      <c r="B31" s="10"/>
      <c r="C31" s="32" t="s">
        <v>148</v>
      </c>
      <c r="D31" s="33"/>
      <c r="E31" s="32" t="s">
        <v>148</v>
      </c>
      <c r="F31" s="33"/>
      <c r="G31" s="32" t="s">
        <v>148</v>
      </c>
      <c r="H31" s="33"/>
      <c r="I31" s="32" t="s">
        <v>148</v>
      </c>
      <c r="J31" s="33"/>
      <c r="K31" s="32" t="s">
        <v>148</v>
      </c>
      <c r="L31" s="33"/>
      <c r="M31" s="32" t="s">
        <v>148</v>
      </c>
      <c r="N31" s="33"/>
      <c r="O31" s="32" t="s">
        <v>148</v>
      </c>
      <c r="P31" s="33"/>
      <c r="Q31" s="32" t="s">
        <v>148</v>
      </c>
      <c r="R31" s="33"/>
      <c r="S31" s="32" t="s">
        <v>148</v>
      </c>
      <c r="T31" s="33"/>
      <c r="U31" s="32" t="s">
        <v>148</v>
      </c>
      <c r="V31" s="33"/>
      <c r="W31" s="32" t="s">
        <v>148</v>
      </c>
      <c r="X31" s="33"/>
      <c r="Y31" s="32" t="s">
        <v>148</v>
      </c>
      <c r="Z31" s="33"/>
      <c r="AA31" s="32" t="s">
        <v>148</v>
      </c>
      <c r="AB31" s="33"/>
      <c r="AC31" s="32" t="s">
        <v>148</v>
      </c>
      <c r="AD31" s="33"/>
      <c r="AE31" s="32" t="s">
        <v>148</v>
      </c>
      <c r="AF31" s="33"/>
      <c r="AG31" s="32" t="s">
        <v>148</v>
      </c>
      <c r="AH31" s="33"/>
      <c r="AI31" s="32">
        <v>21</v>
      </c>
      <c r="AJ31" s="33">
        <v>3.1250000000000002E-3</v>
      </c>
      <c r="AK31" s="32">
        <v>23</v>
      </c>
      <c r="AL31" s="33">
        <v>3.8903924221921501E-3</v>
      </c>
      <c r="AM31" s="32">
        <v>30</v>
      </c>
      <c r="AN31" s="33">
        <v>4.4039929536112696E-3</v>
      </c>
      <c r="AO31" s="32">
        <v>37</v>
      </c>
      <c r="AP31" s="33">
        <v>5.4928741092636598E-3</v>
      </c>
      <c r="AQ31" s="32">
        <v>44</v>
      </c>
      <c r="AR31" s="33">
        <v>5.4856002992145596E-3</v>
      </c>
      <c r="AS31" s="32">
        <v>51</v>
      </c>
      <c r="AT31" s="33">
        <v>7.1932299012693896E-3</v>
      </c>
      <c r="AU31" s="32" t="s">
        <v>148</v>
      </c>
      <c r="AV31" s="33"/>
      <c r="AW31" s="32">
        <v>80</v>
      </c>
      <c r="AX31" s="33">
        <v>9.7299927025054703E-3</v>
      </c>
      <c r="AY31" s="32">
        <v>81</v>
      </c>
      <c r="AZ31" s="33">
        <v>9.2836676217765007E-3</v>
      </c>
    </row>
    <row r="32" spans="1:52" x14ac:dyDescent="0.25">
      <c r="A32" s="10" t="s">
        <v>1749</v>
      </c>
      <c r="B32" s="10"/>
      <c r="C32" s="32">
        <v>120</v>
      </c>
      <c r="D32" s="33">
        <v>1.9490011369173301E-2</v>
      </c>
      <c r="E32" s="32">
        <v>126</v>
      </c>
      <c r="F32" s="33">
        <v>2.2925764192139701E-2</v>
      </c>
      <c r="G32" s="32">
        <v>168</v>
      </c>
      <c r="H32" s="33">
        <v>2.90055248618785E-2</v>
      </c>
      <c r="I32" s="32">
        <v>157</v>
      </c>
      <c r="J32" s="33">
        <v>2.7777777777777801E-2</v>
      </c>
      <c r="K32" s="32">
        <v>179</v>
      </c>
      <c r="L32" s="33">
        <v>2.92962356792144E-2</v>
      </c>
      <c r="M32" s="32">
        <v>175</v>
      </c>
      <c r="N32" s="33">
        <v>2.87026406429392E-2</v>
      </c>
      <c r="O32" s="32" t="s">
        <v>148</v>
      </c>
      <c r="P32" s="33"/>
      <c r="Q32" s="32">
        <v>183</v>
      </c>
      <c r="R32" s="33">
        <v>2.8864353312302801E-2</v>
      </c>
      <c r="S32" s="32">
        <v>172</v>
      </c>
      <c r="T32" s="33">
        <v>2.6227508386703301E-2</v>
      </c>
      <c r="U32" s="32">
        <v>79</v>
      </c>
      <c r="V32" s="33">
        <v>1.3552925030022299E-2</v>
      </c>
      <c r="W32" s="32">
        <v>71</v>
      </c>
      <c r="X32" s="33">
        <v>1.1009458830826499E-2</v>
      </c>
      <c r="Y32" s="32" t="s">
        <v>148</v>
      </c>
      <c r="Z32" s="33"/>
      <c r="AA32" s="32">
        <v>69</v>
      </c>
      <c r="AB32" s="33">
        <v>1.0237388724035601E-2</v>
      </c>
      <c r="AC32" s="32">
        <v>86</v>
      </c>
      <c r="AD32" s="33">
        <v>1.39769218267512E-2</v>
      </c>
      <c r="AE32" s="32">
        <v>103</v>
      </c>
      <c r="AF32" s="33">
        <v>1.58926091652523E-2</v>
      </c>
      <c r="AG32" s="32">
        <v>100</v>
      </c>
      <c r="AH32" s="33">
        <v>1.5295197308045299E-2</v>
      </c>
      <c r="AI32" s="32">
        <v>93</v>
      </c>
      <c r="AJ32" s="33">
        <v>1.38392857142857E-2</v>
      </c>
      <c r="AK32" s="32">
        <v>91</v>
      </c>
      <c r="AL32" s="33">
        <v>1.53924221921516E-2</v>
      </c>
      <c r="AM32" s="32">
        <v>87</v>
      </c>
      <c r="AN32" s="33">
        <v>1.27715795654727E-2</v>
      </c>
      <c r="AO32" s="32">
        <v>95</v>
      </c>
      <c r="AP32" s="33">
        <v>1.4103325415677E-2</v>
      </c>
      <c r="AQ32" s="32">
        <v>89</v>
      </c>
      <c r="AR32" s="33">
        <v>1.10958733325022E-2</v>
      </c>
      <c r="AS32" s="32">
        <v>105</v>
      </c>
      <c r="AT32" s="33">
        <v>1.4809590973201701E-2</v>
      </c>
      <c r="AU32" s="32" t="s">
        <v>148</v>
      </c>
      <c r="AV32" s="33"/>
      <c r="AW32" s="32">
        <v>70</v>
      </c>
      <c r="AX32" s="33">
        <v>8.5137436146922908E-3</v>
      </c>
      <c r="AY32" s="32">
        <v>75</v>
      </c>
      <c r="AZ32" s="33">
        <v>8.5959885386819503E-3</v>
      </c>
    </row>
    <row r="33" spans="1:52" x14ac:dyDescent="0.25">
      <c r="A33" s="10" t="s">
        <v>1750</v>
      </c>
      <c r="B33" s="10"/>
      <c r="C33" s="32" t="s">
        <v>148</v>
      </c>
      <c r="D33" s="33"/>
      <c r="E33" s="32" t="s">
        <v>148</v>
      </c>
      <c r="F33" s="33"/>
      <c r="G33" s="32" t="s">
        <v>148</v>
      </c>
      <c r="H33" s="33"/>
      <c r="I33" s="32" t="s">
        <v>148</v>
      </c>
      <c r="J33" s="33"/>
      <c r="K33" s="32" t="s">
        <v>148</v>
      </c>
      <c r="L33" s="33"/>
      <c r="M33" s="32" t="s">
        <v>148</v>
      </c>
      <c r="N33" s="33"/>
      <c r="O33" s="32" t="s">
        <v>148</v>
      </c>
      <c r="P33" s="33"/>
      <c r="Q33" s="32" t="s">
        <v>148</v>
      </c>
      <c r="R33" s="33"/>
      <c r="S33" s="32" t="s">
        <v>148</v>
      </c>
      <c r="T33" s="33"/>
      <c r="U33" s="32" t="s">
        <v>148</v>
      </c>
      <c r="V33" s="33"/>
      <c r="W33" s="32" t="s">
        <v>148</v>
      </c>
      <c r="X33" s="33"/>
      <c r="Y33" s="32" t="s">
        <v>148</v>
      </c>
      <c r="Z33" s="33"/>
      <c r="AA33" s="32" t="s">
        <v>148</v>
      </c>
      <c r="AB33" s="33"/>
      <c r="AC33" s="32" t="s">
        <v>148</v>
      </c>
      <c r="AD33" s="33"/>
      <c r="AE33" s="32" t="s">
        <v>148</v>
      </c>
      <c r="AF33" s="33"/>
      <c r="AG33" s="32" t="s">
        <v>148</v>
      </c>
      <c r="AH33" s="33"/>
      <c r="AI33" s="32" t="s">
        <v>148</v>
      </c>
      <c r="AJ33" s="33"/>
      <c r="AK33" s="32" t="s">
        <v>148</v>
      </c>
      <c r="AL33" s="33"/>
      <c r="AM33" s="32" t="s">
        <v>148</v>
      </c>
      <c r="AN33" s="33"/>
      <c r="AO33" s="32" t="s">
        <v>148</v>
      </c>
      <c r="AP33" s="33"/>
      <c r="AQ33" s="32" t="s">
        <v>148</v>
      </c>
      <c r="AR33" s="33"/>
      <c r="AS33" s="32" t="s">
        <v>148</v>
      </c>
      <c r="AT33" s="33"/>
      <c r="AU33" s="32" t="s">
        <v>148</v>
      </c>
      <c r="AV33" s="33"/>
      <c r="AW33" s="32">
        <v>36</v>
      </c>
      <c r="AX33" s="33">
        <v>4.3784967161274602E-3</v>
      </c>
      <c r="AY33" s="32">
        <v>67</v>
      </c>
      <c r="AZ33" s="33">
        <v>7.6790830945558698E-3</v>
      </c>
    </row>
    <row r="34" spans="1:52" x14ac:dyDescent="0.25">
      <c r="A34" s="10" t="s">
        <v>1751</v>
      </c>
      <c r="B34" s="10"/>
      <c r="C34" s="32">
        <v>264</v>
      </c>
      <c r="D34" s="33">
        <v>4.2878025012181298E-2</v>
      </c>
      <c r="E34" s="32">
        <v>219</v>
      </c>
      <c r="F34" s="33">
        <v>3.9847161572052398E-2</v>
      </c>
      <c r="G34" s="32">
        <v>223</v>
      </c>
      <c r="H34" s="33">
        <v>3.8501381215469602E-2</v>
      </c>
      <c r="I34" s="32">
        <v>215</v>
      </c>
      <c r="J34" s="33">
        <v>3.8039631988676603E-2</v>
      </c>
      <c r="K34" s="32">
        <v>210</v>
      </c>
      <c r="L34" s="33">
        <v>3.4369885433715198E-2</v>
      </c>
      <c r="M34" s="32">
        <v>155</v>
      </c>
      <c r="N34" s="33">
        <v>2.5422338855174701E-2</v>
      </c>
      <c r="O34" s="32" t="s">
        <v>148</v>
      </c>
      <c r="P34" s="33"/>
      <c r="Q34" s="32">
        <v>149</v>
      </c>
      <c r="R34" s="33">
        <v>2.35015772870662E-2</v>
      </c>
      <c r="S34" s="32">
        <v>133</v>
      </c>
      <c r="T34" s="33">
        <v>2.02805733455322E-2</v>
      </c>
      <c r="U34" s="32">
        <v>125</v>
      </c>
      <c r="V34" s="33">
        <v>2.1444501629782099E-2</v>
      </c>
      <c r="W34" s="32">
        <v>130</v>
      </c>
      <c r="X34" s="33">
        <v>2.0158164056442902E-2</v>
      </c>
      <c r="Y34" s="32" t="s">
        <v>148</v>
      </c>
      <c r="Z34" s="33"/>
      <c r="AA34" s="32">
        <v>128</v>
      </c>
      <c r="AB34" s="33">
        <v>1.8991097922848699E-2</v>
      </c>
      <c r="AC34" s="32">
        <v>120</v>
      </c>
      <c r="AD34" s="33">
        <v>1.9502681618722598E-2</v>
      </c>
      <c r="AE34" s="32">
        <v>136</v>
      </c>
      <c r="AF34" s="33">
        <v>2.09844159851875E-2</v>
      </c>
      <c r="AG34" s="32">
        <v>136</v>
      </c>
      <c r="AH34" s="33">
        <v>2.0801468338941601E-2</v>
      </c>
      <c r="AI34" s="32">
        <v>114</v>
      </c>
      <c r="AJ34" s="33">
        <v>1.6964285714285699E-2</v>
      </c>
      <c r="AK34" s="32">
        <v>60</v>
      </c>
      <c r="AL34" s="33">
        <v>1.0148849797022999E-2</v>
      </c>
      <c r="AM34" s="32">
        <v>61</v>
      </c>
      <c r="AN34" s="33">
        <v>8.9547856723429207E-3</v>
      </c>
      <c r="AO34" s="32">
        <v>50</v>
      </c>
      <c r="AP34" s="33">
        <v>7.4228028503562898E-3</v>
      </c>
      <c r="AQ34" s="32">
        <v>55</v>
      </c>
      <c r="AR34" s="33">
        <v>6.8570003740182003E-3</v>
      </c>
      <c r="AS34" s="32">
        <v>41</v>
      </c>
      <c r="AT34" s="33">
        <v>5.7827926657263804E-3</v>
      </c>
      <c r="AU34" s="32" t="s">
        <v>148</v>
      </c>
      <c r="AV34" s="33"/>
      <c r="AW34" s="32">
        <v>33</v>
      </c>
      <c r="AX34" s="33">
        <v>4.0136219897835097E-3</v>
      </c>
      <c r="AY34" s="32">
        <v>19</v>
      </c>
      <c r="AZ34" s="33">
        <v>2.1776504297994301E-3</v>
      </c>
    </row>
    <row r="35" spans="1:52" x14ac:dyDescent="0.25">
      <c r="A35" s="10" t="s">
        <v>1752</v>
      </c>
      <c r="B35" s="10"/>
      <c r="C35" s="32">
        <v>23</v>
      </c>
      <c r="D35" s="33">
        <v>3.7355855124248799E-3</v>
      </c>
      <c r="E35" s="32">
        <v>24</v>
      </c>
      <c r="F35" s="33">
        <v>4.3668122270742399E-3</v>
      </c>
      <c r="G35" s="32">
        <v>30</v>
      </c>
      <c r="H35" s="33">
        <v>5.1795580110497201E-3</v>
      </c>
      <c r="I35" s="32">
        <v>69</v>
      </c>
      <c r="J35" s="33">
        <v>1.2208067940552E-2</v>
      </c>
      <c r="K35" s="32">
        <v>103</v>
      </c>
      <c r="L35" s="33">
        <v>1.6857610474631801E-2</v>
      </c>
      <c r="M35" s="32">
        <v>119</v>
      </c>
      <c r="N35" s="33">
        <v>1.95177956371986E-2</v>
      </c>
      <c r="O35" s="32" t="s">
        <v>148</v>
      </c>
      <c r="P35" s="33"/>
      <c r="Q35" s="32">
        <v>167</v>
      </c>
      <c r="R35" s="33">
        <v>2.63406940063091E-2</v>
      </c>
      <c r="S35" s="32">
        <v>158</v>
      </c>
      <c r="T35" s="33">
        <v>2.4092711192436701E-2</v>
      </c>
      <c r="U35" s="32">
        <v>161</v>
      </c>
      <c r="V35" s="33">
        <v>2.76205180991594E-2</v>
      </c>
      <c r="W35" s="32">
        <v>156</v>
      </c>
      <c r="X35" s="33">
        <v>2.41897968677314E-2</v>
      </c>
      <c r="Y35" s="32" t="s">
        <v>148</v>
      </c>
      <c r="Z35" s="33"/>
      <c r="AA35" s="32">
        <v>139</v>
      </c>
      <c r="AB35" s="33">
        <v>2.0623145400593498E-2</v>
      </c>
      <c r="AC35" s="32">
        <v>96</v>
      </c>
      <c r="AD35" s="33">
        <v>1.5602145294978101E-2</v>
      </c>
      <c r="AE35" s="32">
        <v>85</v>
      </c>
      <c r="AF35" s="33">
        <v>1.3115259990742201E-2</v>
      </c>
      <c r="AG35" s="32">
        <v>72</v>
      </c>
      <c r="AH35" s="33">
        <v>1.1012542061792601E-2</v>
      </c>
      <c r="AI35" s="32">
        <v>63</v>
      </c>
      <c r="AJ35" s="33">
        <v>9.3749999999999997E-3</v>
      </c>
      <c r="AK35" s="32">
        <v>47</v>
      </c>
      <c r="AL35" s="33">
        <v>7.9499323410013503E-3</v>
      </c>
      <c r="AM35" s="32">
        <v>50</v>
      </c>
      <c r="AN35" s="33">
        <v>7.3399882560187899E-3</v>
      </c>
      <c r="AO35" s="32">
        <v>20</v>
      </c>
      <c r="AP35" s="33">
        <v>2.9691211401425199E-3</v>
      </c>
      <c r="AQ35" s="32">
        <v>42</v>
      </c>
      <c r="AR35" s="33">
        <v>5.2362548310684503E-3</v>
      </c>
      <c r="AS35" s="32" t="s">
        <v>148</v>
      </c>
      <c r="AT35" s="33"/>
      <c r="AU35" s="32" t="s">
        <v>148</v>
      </c>
      <c r="AV35" s="33"/>
      <c r="AW35" s="32" t="s">
        <v>148</v>
      </c>
      <c r="AX35" s="33"/>
      <c r="AY35" s="32" t="s">
        <v>148</v>
      </c>
      <c r="AZ35" s="33"/>
    </row>
    <row r="36" spans="1:52" x14ac:dyDescent="0.25">
      <c r="A36" s="10" t="s">
        <v>1753</v>
      </c>
      <c r="B36" s="10"/>
      <c r="C36" s="32">
        <v>95</v>
      </c>
      <c r="D36" s="33">
        <v>1.5429592333928901E-2</v>
      </c>
      <c r="E36" s="32">
        <v>59</v>
      </c>
      <c r="F36" s="33">
        <v>1.0735080058224201E-2</v>
      </c>
      <c r="G36" s="32">
        <v>83</v>
      </c>
      <c r="H36" s="33">
        <v>1.43301104972376E-2</v>
      </c>
      <c r="I36" s="32">
        <v>66</v>
      </c>
      <c r="J36" s="33">
        <v>1.1677282377919301E-2</v>
      </c>
      <c r="K36" s="32">
        <v>98</v>
      </c>
      <c r="L36" s="33">
        <v>1.60392798690671E-2</v>
      </c>
      <c r="M36" s="32">
        <v>71</v>
      </c>
      <c r="N36" s="33">
        <v>1.1645071346563901E-2</v>
      </c>
      <c r="O36" s="32" t="s">
        <v>148</v>
      </c>
      <c r="P36" s="33"/>
      <c r="Q36" s="32">
        <v>105</v>
      </c>
      <c r="R36" s="33">
        <v>1.6561514195583601E-2</v>
      </c>
      <c r="S36" s="32">
        <v>104</v>
      </c>
      <c r="T36" s="33">
        <v>1.5858493443122901E-2</v>
      </c>
      <c r="U36" s="32">
        <v>66</v>
      </c>
      <c r="V36" s="33">
        <v>1.1322696860525E-2</v>
      </c>
      <c r="W36" s="32">
        <v>82</v>
      </c>
      <c r="X36" s="33">
        <v>1.2715149635602401E-2</v>
      </c>
      <c r="Y36" s="32" t="s">
        <v>148</v>
      </c>
      <c r="Z36" s="33"/>
      <c r="AA36" s="32">
        <v>90</v>
      </c>
      <c r="AB36" s="33">
        <v>1.3353115727003E-2</v>
      </c>
      <c r="AC36" s="32">
        <v>101</v>
      </c>
      <c r="AD36" s="33">
        <v>1.6414757029091499E-2</v>
      </c>
      <c r="AE36" s="32">
        <v>92</v>
      </c>
      <c r="AF36" s="33">
        <v>1.4195340225273899E-2</v>
      </c>
      <c r="AG36" s="32">
        <v>107</v>
      </c>
      <c r="AH36" s="33">
        <v>1.6365861119608398E-2</v>
      </c>
      <c r="AI36" s="32">
        <v>114</v>
      </c>
      <c r="AJ36" s="33">
        <v>1.6964285714285699E-2</v>
      </c>
      <c r="AK36" s="32">
        <v>69</v>
      </c>
      <c r="AL36" s="33">
        <v>1.16711772665765E-2</v>
      </c>
      <c r="AM36" s="32">
        <v>82</v>
      </c>
      <c r="AN36" s="33">
        <v>1.2037580739870799E-2</v>
      </c>
      <c r="AO36" s="32">
        <v>94</v>
      </c>
      <c r="AP36" s="33">
        <v>1.39548693586698E-2</v>
      </c>
      <c r="AQ36" s="32">
        <v>78</v>
      </c>
      <c r="AR36" s="33">
        <v>9.7244732576985404E-3</v>
      </c>
      <c r="AS36" s="32" t="s">
        <v>148</v>
      </c>
      <c r="AT36" s="33"/>
      <c r="AU36" s="32" t="s">
        <v>148</v>
      </c>
      <c r="AV36" s="33"/>
      <c r="AW36" s="32" t="s">
        <v>148</v>
      </c>
      <c r="AX36" s="33"/>
      <c r="AY36" s="32" t="s">
        <v>148</v>
      </c>
      <c r="AZ36" s="33"/>
    </row>
    <row r="37" spans="1:52" x14ac:dyDescent="0.25">
      <c r="A37" s="10" t="s">
        <v>1754</v>
      </c>
      <c r="B37" s="10"/>
      <c r="C37" s="32">
        <v>448</v>
      </c>
      <c r="D37" s="33">
        <v>7.2762709111580295E-2</v>
      </c>
      <c r="E37" s="32">
        <v>213</v>
      </c>
      <c r="F37" s="33">
        <v>3.8755458515283801E-2</v>
      </c>
      <c r="G37" s="32">
        <v>122</v>
      </c>
      <c r="H37" s="33">
        <v>2.1063535911602201E-2</v>
      </c>
      <c r="I37" s="32">
        <v>109</v>
      </c>
      <c r="J37" s="33">
        <v>1.9285208775654601E-2</v>
      </c>
      <c r="K37" s="32">
        <v>107</v>
      </c>
      <c r="L37" s="33">
        <v>1.7512274959083501E-2</v>
      </c>
      <c r="M37" s="32">
        <v>123</v>
      </c>
      <c r="N37" s="33">
        <v>2.0173855994751501E-2</v>
      </c>
      <c r="O37" s="32" t="s">
        <v>148</v>
      </c>
      <c r="P37" s="33"/>
      <c r="Q37" s="32">
        <v>39</v>
      </c>
      <c r="R37" s="33">
        <v>6.1514195583596198E-3</v>
      </c>
      <c r="S37" s="32">
        <v>45</v>
      </c>
      <c r="T37" s="33">
        <v>6.8618481244281798E-3</v>
      </c>
      <c r="U37" s="32">
        <v>23</v>
      </c>
      <c r="V37" s="33">
        <v>3.9457882998799104E-3</v>
      </c>
      <c r="W37" s="32">
        <v>24</v>
      </c>
      <c r="X37" s="33">
        <v>3.7215072104202201E-3</v>
      </c>
      <c r="Y37" s="32" t="s">
        <v>148</v>
      </c>
      <c r="Z37" s="33"/>
      <c r="AA37" s="32">
        <v>18</v>
      </c>
      <c r="AB37" s="33">
        <v>2.67062314540059E-3</v>
      </c>
      <c r="AC37" s="32">
        <v>20</v>
      </c>
      <c r="AD37" s="33">
        <v>3.2504469364537602E-3</v>
      </c>
      <c r="AE37" s="32">
        <v>20</v>
      </c>
      <c r="AF37" s="33">
        <v>3.0859435272334499E-3</v>
      </c>
      <c r="AG37" s="32">
        <v>17</v>
      </c>
      <c r="AH37" s="33">
        <v>2.6001835423677001E-3</v>
      </c>
      <c r="AI37" s="32">
        <v>7</v>
      </c>
      <c r="AJ37" s="33">
        <v>1.0416666666666699E-3</v>
      </c>
      <c r="AK37" s="32" t="s">
        <v>148</v>
      </c>
      <c r="AL37" s="33"/>
      <c r="AM37" s="32" t="s">
        <v>148</v>
      </c>
      <c r="AN37" s="33"/>
      <c r="AO37" s="32" t="s">
        <v>148</v>
      </c>
      <c r="AP37" s="33"/>
      <c r="AQ37" s="32" t="s">
        <v>148</v>
      </c>
      <c r="AR37" s="33"/>
      <c r="AS37" s="32" t="s">
        <v>148</v>
      </c>
      <c r="AT37" s="33"/>
      <c r="AU37" s="32" t="s">
        <v>148</v>
      </c>
      <c r="AV37" s="33"/>
      <c r="AW37" s="32" t="s">
        <v>148</v>
      </c>
      <c r="AX37" s="33"/>
      <c r="AY37" s="32" t="s">
        <v>148</v>
      </c>
      <c r="AZ37" s="33"/>
    </row>
    <row r="38" spans="1:52" x14ac:dyDescent="0.25">
      <c r="A38" s="10" t="s">
        <v>1755</v>
      </c>
      <c r="B38" s="10"/>
      <c r="C38" s="32">
        <v>75</v>
      </c>
      <c r="D38" s="33">
        <v>1.21812571057333E-2</v>
      </c>
      <c r="E38" s="32">
        <v>73</v>
      </c>
      <c r="F38" s="33">
        <v>1.32823871906841E-2</v>
      </c>
      <c r="G38" s="32">
        <v>75</v>
      </c>
      <c r="H38" s="33">
        <v>1.2948895027624301E-2</v>
      </c>
      <c r="I38" s="32">
        <v>54</v>
      </c>
      <c r="J38" s="33">
        <v>9.5541401273885294E-3</v>
      </c>
      <c r="K38" s="32">
        <v>62</v>
      </c>
      <c r="L38" s="33">
        <v>1.01472995090016E-2</v>
      </c>
      <c r="M38" s="32">
        <v>65</v>
      </c>
      <c r="N38" s="33">
        <v>1.06609808102345E-2</v>
      </c>
      <c r="O38" s="32" t="s">
        <v>148</v>
      </c>
      <c r="P38" s="33"/>
      <c r="Q38" s="32">
        <v>65</v>
      </c>
      <c r="R38" s="33">
        <v>1.0252365930599401E-2</v>
      </c>
      <c r="S38" s="32">
        <v>46</v>
      </c>
      <c r="T38" s="33">
        <v>7.0143336383043601E-3</v>
      </c>
      <c r="U38" s="32">
        <v>34</v>
      </c>
      <c r="V38" s="33">
        <v>5.8329044433007397E-3</v>
      </c>
      <c r="W38" s="32">
        <v>51</v>
      </c>
      <c r="X38" s="33">
        <v>7.9082028221429696E-3</v>
      </c>
      <c r="Y38" s="32" t="s">
        <v>148</v>
      </c>
      <c r="Z38" s="33"/>
      <c r="AA38" s="32">
        <v>31</v>
      </c>
      <c r="AB38" s="33">
        <v>4.5994065281899097E-3</v>
      </c>
      <c r="AC38" s="32">
        <v>38</v>
      </c>
      <c r="AD38" s="33">
        <v>6.17584917926215E-3</v>
      </c>
      <c r="AE38" s="32">
        <v>37</v>
      </c>
      <c r="AF38" s="33">
        <v>5.7089955253818896E-3</v>
      </c>
      <c r="AG38" s="32">
        <v>35</v>
      </c>
      <c r="AH38" s="33">
        <v>5.3533190578158498E-3</v>
      </c>
      <c r="AI38" s="32">
        <v>34</v>
      </c>
      <c r="AJ38" s="33">
        <v>5.0595238095238098E-3</v>
      </c>
      <c r="AK38" s="32" t="s">
        <v>148</v>
      </c>
      <c r="AL38" s="33"/>
      <c r="AM38" s="32" t="s">
        <v>148</v>
      </c>
      <c r="AN38" s="33"/>
      <c r="AO38" s="32" t="s">
        <v>148</v>
      </c>
      <c r="AP38" s="33"/>
      <c r="AQ38" s="32" t="s">
        <v>148</v>
      </c>
      <c r="AR38" s="33"/>
      <c r="AS38" s="32" t="s">
        <v>148</v>
      </c>
      <c r="AT38" s="33"/>
      <c r="AU38" s="32" t="s">
        <v>148</v>
      </c>
      <c r="AV38" s="33"/>
      <c r="AW38" s="32" t="s">
        <v>148</v>
      </c>
      <c r="AX38" s="33"/>
      <c r="AY38" s="32" t="s">
        <v>148</v>
      </c>
      <c r="AZ38" s="33"/>
    </row>
    <row r="39" spans="1:52" x14ac:dyDescent="0.25">
      <c r="A39" s="6" t="s">
        <v>2</v>
      </c>
      <c r="B39" s="6"/>
      <c r="C39" s="36">
        <v>5134</v>
      </c>
      <c r="D39" s="37">
        <v>1</v>
      </c>
      <c r="E39" s="36">
        <v>4502</v>
      </c>
      <c r="F39" s="37">
        <v>1</v>
      </c>
      <c r="G39" s="36">
        <v>4859</v>
      </c>
      <c r="H39" s="37">
        <v>1</v>
      </c>
      <c r="I39" s="36">
        <v>4701</v>
      </c>
      <c r="J39" s="37">
        <v>1</v>
      </c>
      <c r="K39" s="36">
        <v>4944</v>
      </c>
      <c r="L39" s="37">
        <v>1</v>
      </c>
      <c r="M39" s="36">
        <v>4648</v>
      </c>
      <c r="N39" s="37">
        <v>1</v>
      </c>
      <c r="O39" s="36">
        <v>4718</v>
      </c>
      <c r="P39" s="37">
        <v>1</v>
      </c>
      <c r="Q39" s="36">
        <v>4862</v>
      </c>
      <c r="R39" s="37">
        <v>1</v>
      </c>
      <c r="S39" s="36">
        <v>5037</v>
      </c>
      <c r="T39" s="37">
        <v>1</v>
      </c>
      <c r="U39" s="36">
        <v>4411</v>
      </c>
      <c r="V39" s="37">
        <v>1</v>
      </c>
      <c r="W39" s="36">
        <v>4889</v>
      </c>
      <c r="X39" s="37">
        <v>1</v>
      </c>
      <c r="Y39" s="36">
        <v>5097</v>
      </c>
      <c r="Z39" s="37">
        <v>1</v>
      </c>
      <c r="AA39" s="36">
        <v>5128</v>
      </c>
      <c r="AB39" s="37">
        <v>1</v>
      </c>
      <c r="AC39" s="36">
        <v>4677</v>
      </c>
      <c r="AD39" s="37">
        <v>1</v>
      </c>
      <c r="AE39" s="36">
        <v>5084</v>
      </c>
      <c r="AF39" s="37">
        <v>1</v>
      </c>
      <c r="AG39" s="36">
        <v>5064</v>
      </c>
      <c r="AH39" s="37">
        <v>1</v>
      </c>
      <c r="AI39" s="36">
        <v>5092</v>
      </c>
      <c r="AJ39" s="37">
        <v>1</v>
      </c>
      <c r="AK39" s="36">
        <v>4385</v>
      </c>
      <c r="AL39" s="37">
        <v>1</v>
      </c>
      <c r="AM39" s="36">
        <v>5173</v>
      </c>
      <c r="AN39" s="37">
        <v>1</v>
      </c>
      <c r="AO39" s="36">
        <v>5097</v>
      </c>
      <c r="AP39" s="37">
        <v>1</v>
      </c>
      <c r="AQ39" s="36">
        <v>5084</v>
      </c>
      <c r="AR39" s="37">
        <v>1</v>
      </c>
      <c r="AS39" s="36">
        <v>4247</v>
      </c>
      <c r="AT39" s="37">
        <v>1</v>
      </c>
      <c r="AU39" s="36">
        <v>5152</v>
      </c>
      <c r="AV39" s="37">
        <v>1</v>
      </c>
      <c r="AW39" s="36">
        <v>5193</v>
      </c>
      <c r="AX39" s="37">
        <v>1</v>
      </c>
      <c r="AY39" s="36">
        <v>5974</v>
      </c>
      <c r="AZ39" s="37">
        <v>1</v>
      </c>
    </row>
    <row r="40" spans="1:52" x14ac:dyDescent="0.25">
      <c r="A40" s="10" t="s">
        <v>1724</v>
      </c>
      <c r="B40" s="10"/>
      <c r="C40" s="32">
        <v>5134</v>
      </c>
      <c r="D40" s="33">
        <v>1</v>
      </c>
      <c r="E40" s="32">
        <v>4502</v>
      </c>
      <c r="F40" s="33">
        <v>1</v>
      </c>
      <c r="G40" s="32">
        <v>4859</v>
      </c>
      <c r="H40" s="33">
        <v>1</v>
      </c>
      <c r="I40" s="32">
        <v>4701</v>
      </c>
      <c r="J40" s="33">
        <v>1</v>
      </c>
      <c r="K40" s="32">
        <v>4944</v>
      </c>
      <c r="L40" s="33">
        <v>1</v>
      </c>
      <c r="M40" s="32">
        <v>4648</v>
      </c>
      <c r="N40" s="33">
        <v>1</v>
      </c>
      <c r="O40" s="32">
        <v>4718</v>
      </c>
      <c r="P40" s="33">
        <v>1</v>
      </c>
      <c r="Q40" s="32">
        <v>4862</v>
      </c>
      <c r="R40" s="33">
        <v>1</v>
      </c>
      <c r="S40" s="32">
        <v>5037</v>
      </c>
      <c r="T40" s="33">
        <v>1</v>
      </c>
      <c r="U40" s="32">
        <v>4411</v>
      </c>
      <c r="V40" s="33">
        <v>1</v>
      </c>
      <c r="W40" s="32">
        <v>4889</v>
      </c>
      <c r="X40" s="33">
        <v>1</v>
      </c>
      <c r="Y40" s="32">
        <v>5097</v>
      </c>
      <c r="Z40" s="33">
        <v>1</v>
      </c>
      <c r="AA40" s="32">
        <v>5128</v>
      </c>
      <c r="AB40" s="33">
        <v>1</v>
      </c>
      <c r="AC40" s="32">
        <v>4677</v>
      </c>
      <c r="AD40" s="33">
        <v>1</v>
      </c>
      <c r="AE40" s="32">
        <v>5084</v>
      </c>
      <c r="AF40" s="33">
        <v>1</v>
      </c>
      <c r="AG40" s="32">
        <v>5064</v>
      </c>
      <c r="AH40" s="33">
        <v>1</v>
      </c>
      <c r="AI40" s="32">
        <v>5092</v>
      </c>
      <c r="AJ40" s="33">
        <v>1</v>
      </c>
      <c r="AK40" s="32">
        <v>4385</v>
      </c>
      <c r="AL40" s="33">
        <v>1</v>
      </c>
      <c r="AM40" s="32">
        <v>5173</v>
      </c>
      <c r="AN40" s="33">
        <v>1</v>
      </c>
      <c r="AO40" s="32">
        <v>5097</v>
      </c>
      <c r="AP40" s="33">
        <v>1</v>
      </c>
      <c r="AQ40" s="32">
        <v>5084</v>
      </c>
      <c r="AR40" s="33">
        <v>1</v>
      </c>
      <c r="AS40" s="32">
        <v>4247</v>
      </c>
      <c r="AT40" s="33">
        <v>1</v>
      </c>
      <c r="AU40" s="32">
        <v>5152</v>
      </c>
      <c r="AV40" s="33">
        <v>1</v>
      </c>
      <c r="AW40" s="32">
        <v>5193</v>
      </c>
      <c r="AX40" s="33">
        <v>1</v>
      </c>
      <c r="AY40" s="32">
        <v>5974</v>
      </c>
      <c r="AZ40" s="33">
        <v>1</v>
      </c>
    </row>
    <row r="41" spans="1:52" x14ac:dyDescent="0.25">
      <c r="A41" s="6" t="s">
        <v>98</v>
      </c>
      <c r="B41" s="6"/>
      <c r="C41" s="36">
        <v>2382</v>
      </c>
      <c r="D41" s="37">
        <v>1</v>
      </c>
      <c r="E41" s="36">
        <v>2472</v>
      </c>
      <c r="F41" s="37">
        <v>1</v>
      </c>
      <c r="G41" s="36">
        <v>2678</v>
      </c>
      <c r="H41" s="37">
        <v>1</v>
      </c>
      <c r="I41" s="36">
        <v>2476</v>
      </c>
      <c r="J41" s="37">
        <v>1</v>
      </c>
      <c r="K41" s="36">
        <v>2048</v>
      </c>
      <c r="L41" s="37">
        <v>1</v>
      </c>
      <c r="M41" s="36">
        <v>2355</v>
      </c>
      <c r="N41" s="37">
        <v>1</v>
      </c>
      <c r="O41" s="36">
        <v>2323</v>
      </c>
      <c r="P41" s="37">
        <v>1</v>
      </c>
      <c r="Q41" s="36">
        <v>2453</v>
      </c>
      <c r="R41" s="37">
        <v>1</v>
      </c>
      <c r="S41" s="36">
        <v>2008</v>
      </c>
      <c r="T41" s="37">
        <v>1</v>
      </c>
      <c r="U41" s="36">
        <v>2129</v>
      </c>
      <c r="V41" s="37">
        <v>1</v>
      </c>
      <c r="W41" s="36">
        <v>828</v>
      </c>
      <c r="X41" s="37">
        <v>1</v>
      </c>
      <c r="Y41" s="36">
        <v>2378</v>
      </c>
      <c r="Z41" s="37">
        <v>1</v>
      </c>
      <c r="AA41" s="36">
        <v>2304</v>
      </c>
      <c r="AB41" s="37">
        <v>1</v>
      </c>
      <c r="AC41" s="36">
        <v>2500</v>
      </c>
      <c r="AD41" s="37">
        <v>1</v>
      </c>
      <c r="AE41" s="36">
        <v>2176</v>
      </c>
      <c r="AF41" s="37">
        <v>1</v>
      </c>
      <c r="AG41" s="36">
        <v>2660</v>
      </c>
      <c r="AH41" s="37">
        <v>1</v>
      </c>
      <c r="AI41" s="36">
        <v>2230</v>
      </c>
      <c r="AJ41" s="37">
        <v>1</v>
      </c>
      <c r="AK41" s="36">
        <v>1921</v>
      </c>
      <c r="AL41" s="37">
        <v>1</v>
      </c>
      <c r="AM41" s="36">
        <v>2684</v>
      </c>
      <c r="AN41" s="37">
        <v>1</v>
      </c>
      <c r="AO41" s="36">
        <v>2021</v>
      </c>
      <c r="AP41" s="37">
        <v>1</v>
      </c>
      <c r="AQ41" s="36">
        <v>1271</v>
      </c>
      <c r="AR41" s="37">
        <v>1</v>
      </c>
      <c r="AS41" s="36">
        <v>991</v>
      </c>
      <c r="AT41" s="37">
        <v>1</v>
      </c>
      <c r="AU41" s="36">
        <v>1909</v>
      </c>
      <c r="AV41" s="37">
        <v>1</v>
      </c>
      <c r="AW41" s="36">
        <v>2047</v>
      </c>
      <c r="AX41" s="37">
        <v>1</v>
      </c>
      <c r="AY41" s="36">
        <v>2311</v>
      </c>
      <c r="AZ41" s="37">
        <v>1</v>
      </c>
    </row>
    <row r="42" spans="1:52" x14ac:dyDescent="0.25">
      <c r="A42" s="10" t="s">
        <v>1724</v>
      </c>
      <c r="B42" s="10"/>
      <c r="C42" s="32">
        <v>2382</v>
      </c>
      <c r="D42" s="33">
        <v>1</v>
      </c>
      <c r="E42" s="32">
        <v>2472</v>
      </c>
      <c r="F42" s="33">
        <v>1</v>
      </c>
      <c r="G42" s="32">
        <v>2678</v>
      </c>
      <c r="H42" s="33">
        <v>1</v>
      </c>
      <c r="I42" s="32">
        <v>2476</v>
      </c>
      <c r="J42" s="33">
        <v>1</v>
      </c>
      <c r="K42" s="32">
        <v>2048</v>
      </c>
      <c r="L42" s="33">
        <v>1</v>
      </c>
      <c r="M42" s="32">
        <v>2355</v>
      </c>
      <c r="N42" s="33">
        <v>1</v>
      </c>
      <c r="O42" s="32">
        <v>2323</v>
      </c>
      <c r="P42" s="33">
        <v>1</v>
      </c>
      <c r="Q42" s="32">
        <v>2453</v>
      </c>
      <c r="R42" s="33">
        <v>1</v>
      </c>
      <c r="S42" s="32">
        <v>2008</v>
      </c>
      <c r="T42" s="33">
        <v>1</v>
      </c>
      <c r="U42" s="32">
        <v>2129</v>
      </c>
      <c r="V42" s="33">
        <v>1</v>
      </c>
      <c r="W42" s="32">
        <v>828</v>
      </c>
      <c r="X42" s="33">
        <v>1</v>
      </c>
      <c r="Y42" s="32">
        <v>2378</v>
      </c>
      <c r="Z42" s="33">
        <v>1</v>
      </c>
      <c r="AA42" s="32">
        <v>2304</v>
      </c>
      <c r="AB42" s="33">
        <v>1</v>
      </c>
      <c r="AC42" s="32">
        <v>2500</v>
      </c>
      <c r="AD42" s="33">
        <v>1</v>
      </c>
      <c r="AE42" s="32">
        <v>2176</v>
      </c>
      <c r="AF42" s="33">
        <v>1</v>
      </c>
      <c r="AG42" s="32">
        <v>2660</v>
      </c>
      <c r="AH42" s="33">
        <v>1</v>
      </c>
      <c r="AI42" s="32">
        <v>2230</v>
      </c>
      <c r="AJ42" s="33">
        <v>1</v>
      </c>
      <c r="AK42" s="32">
        <v>1921</v>
      </c>
      <c r="AL42" s="33">
        <v>1</v>
      </c>
      <c r="AM42" s="32">
        <v>2684</v>
      </c>
      <c r="AN42" s="33">
        <v>1</v>
      </c>
      <c r="AO42" s="32">
        <v>2021</v>
      </c>
      <c r="AP42" s="33">
        <v>1</v>
      </c>
      <c r="AQ42" s="32">
        <v>1271</v>
      </c>
      <c r="AR42" s="33">
        <v>1</v>
      </c>
      <c r="AS42" s="32">
        <v>991</v>
      </c>
      <c r="AT42" s="33">
        <v>1</v>
      </c>
      <c r="AU42" s="32">
        <v>1909</v>
      </c>
      <c r="AV42" s="33">
        <v>1</v>
      </c>
      <c r="AW42" s="32">
        <v>2047</v>
      </c>
      <c r="AX42" s="33">
        <v>1</v>
      </c>
      <c r="AY42" s="32">
        <v>2311</v>
      </c>
      <c r="AZ42" s="33">
        <v>1</v>
      </c>
    </row>
    <row r="43" spans="1:52" x14ac:dyDescent="0.25">
      <c r="A43" s="6" t="s">
        <v>1580</v>
      </c>
      <c r="B43" s="6"/>
      <c r="C43" s="36">
        <v>352</v>
      </c>
      <c r="D43" s="37">
        <v>1</v>
      </c>
      <c r="E43" s="36">
        <v>343</v>
      </c>
      <c r="F43" s="37">
        <v>1</v>
      </c>
      <c r="G43" s="36">
        <v>332</v>
      </c>
      <c r="H43" s="37">
        <v>1</v>
      </c>
      <c r="I43" s="36">
        <v>313</v>
      </c>
      <c r="J43" s="37">
        <v>1</v>
      </c>
      <c r="K43" s="36">
        <v>301</v>
      </c>
      <c r="L43" s="37">
        <v>1</v>
      </c>
      <c r="M43" s="36">
        <v>346</v>
      </c>
      <c r="N43" s="37">
        <v>1</v>
      </c>
      <c r="O43" s="36">
        <v>296</v>
      </c>
      <c r="P43" s="37">
        <v>1</v>
      </c>
      <c r="Q43" s="36">
        <v>302</v>
      </c>
      <c r="R43" s="37">
        <v>1</v>
      </c>
      <c r="S43" s="36">
        <v>318</v>
      </c>
      <c r="T43" s="37">
        <v>1</v>
      </c>
      <c r="U43" s="36">
        <v>285</v>
      </c>
      <c r="V43" s="37">
        <v>1</v>
      </c>
      <c r="W43" s="36">
        <v>281</v>
      </c>
      <c r="X43" s="37">
        <v>1</v>
      </c>
      <c r="Y43" s="36">
        <v>296</v>
      </c>
      <c r="Z43" s="37">
        <v>1</v>
      </c>
      <c r="AA43" s="36">
        <v>335</v>
      </c>
      <c r="AB43" s="37">
        <v>1</v>
      </c>
      <c r="AC43" s="36">
        <v>295</v>
      </c>
      <c r="AD43" s="37">
        <v>1</v>
      </c>
      <c r="AE43" s="36">
        <v>328</v>
      </c>
      <c r="AF43" s="37">
        <v>1</v>
      </c>
      <c r="AG43" s="36">
        <v>368</v>
      </c>
      <c r="AH43" s="37">
        <v>1</v>
      </c>
      <c r="AI43" s="36">
        <v>415</v>
      </c>
      <c r="AJ43" s="37">
        <v>1</v>
      </c>
      <c r="AK43" s="36">
        <v>543</v>
      </c>
      <c r="AL43" s="37">
        <v>1</v>
      </c>
      <c r="AM43" s="36">
        <v>752</v>
      </c>
      <c r="AN43" s="37">
        <v>1</v>
      </c>
      <c r="AO43" s="36">
        <v>759</v>
      </c>
      <c r="AP43" s="37">
        <v>1</v>
      </c>
      <c r="AQ43" s="36">
        <v>821</v>
      </c>
      <c r="AR43" s="37">
        <v>1</v>
      </c>
      <c r="AS43" s="36">
        <v>824</v>
      </c>
      <c r="AT43" s="37">
        <v>1</v>
      </c>
      <c r="AU43" s="36">
        <v>808</v>
      </c>
      <c r="AV43" s="37">
        <v>1</v>
      </c>
      <c r="AW43" s="36">
        <v>776</v>
      </c>
      <c r="AX43" s="37">
        <v>1</v>
      </c>
      <c r="AY43" s="36">
        <v>747</v>
      </c>
      <c r="AZ43" s="37">
        <v>1</v>
      </c>
    </row>
    <row r="44" spans="1:52" x14ac:dyDescent="0.25">
      <c r="A44" s="10" t="s">
        <v>1724</v>
      </c>
      <c r="B44" s="10"/>
      <c r="C44" s="32">
        <v>352</v>
      </c>
      <c r="D44" s="33">
        <v>1</v>
      </c>
      <c r="E44" s="32">
        <v>343</v>
      </c>
      <c r="F44" s="33">
        <v>1</v>
      </c>
      <c r="G44" s="32">
        <v>332</v>
      </c>
      <c r="H44" s="33">
        <v>1</v>
      </c>
      <c r="I44" s="32">
        <v>313</v>
      </c>
      <c r="J44" s="33">
        <v>1</v>
      </c>
      <c r="K44" s="32">
        <v>301</v>
      </c>
      <c r="L44" s="33">
        <v>1</v>
      </c>
      <c r="M44" s="32">
        <v>346</v>
      </c>
      <c r="N44" s="33">
        <v>1</v>
      </c>
      <c r="O44" s="32">
        <v>296</v>
      </c>
      <c r="P44" s="33">
        <v>1</v>
      </c>
      <c r="Q44" s="32">
        <v>302</v>
      </c>
      <c r="R44" s="33">
        <v>1</v>
      </c>
      <c r="S44" s="32">
        <v>318</v>
      </c>
      <c r="T44" s="33">
        <v>1</v>
      </c>
      <c r="U44" s="32">
        <v>285</v>
      </c>
      <c r="V44" s="33">
        <v>1</v>
      </c>
      <c r="W44" s="32">
        <v>281</v>
      </c>
      <c r="X44" s="33">
        <v>1</v>
      </c>
      <c r="Y44" s="32">
        <v>296</v>
      </c>
      <c r="Z44" s="33">
        <v>1</v>
      </c>
      <c r="AA44" s="32">
        <v>335</v>
      </c>
      <c r="AB44" s="33">
        <v>1</v>
      </c>
      <c r="AC44" s="32">
        <v>295</v>
      </c>
      <c r="AD44" s="33">
        <v>1</v>
      </c>
      <c r="AE44" s="32">
        <v>328</v>
      </c>
      <c r="AF44" s="33">
        <v>1</v>
      </c>
      <c r="AG44" s="32">
        <v>368</v>
      </c>
      <c r="AH44" s="33">
        <v>1</v>
      </c>
      <c r="AI44" s="32">
        <v>415</v>
      </c>
      <c r="AJ44" s="33">
        <v>1</v>
      </c>
      <c r="AK44" s="32">
        <v>543</v>
      </c>
      <c r="AL44" s="33">
        <v>1</v>
      </c>
      <c r="AM44" s="32">
        <v>752</v>
      </c>
      <c r="AN44" s="33">
        <v>1</v>
      </c>
      <c r="AO44" s="32">
        <v>759</v>
      </c>
      <c r="AP44" s="33">
        <v>1</v>
      </c>
      <c r="AQ44" s="32">
        <v>821</v>
      </c>
      <c r="AR44" s="33">
        <v>1</v>
      </c>
      <c r="AS44" s="32">
        <v>824</v>
      </c>
      <c r="AT44" s="33">
        <v>1</v>
      </c>
      <c r="AU44" s="32">
        <v>808</v>
      </c>
      <c r="AV44" s="33">
        <v>1</v>
      </c>
      <c r="AW44" s="32">
        <v>776</v>
      </c>
      <c r="AX44" s="33">
        <v>1</v>
      </c>
      <c r="AY44" s="32">
        <v>747</v>
      </c>
      <c r="AZ44" s="33">
        <v>1</v>
      </c>
    </row>
    <row r="45" spans="1:52" x14ac:dyDescent="0.25">
      <c r="A45" s="6" t="s">
        <v>1756</v>
      </c>
      <c r="B45" s="6"/>
      <c r="C45" s="36">
        <v>0</v>
      </c>
      <c r="D45" s="37"/>
      <c r="E45" s="36">
        <v>0</v>
      </c>
      <c r="F45" s="37"/>
      <c r="G45" s="36">
        <v>0</v>
      </c>
      <c r="H45" s="37"/>
      <c r="I45" s="36">
        <v>0</v>
      </c>
      <c r="J45" s="37"/>
      <c r="K45" s="36">
        <v>0</v>
      </c>
      <c r="L45" s="37"/>
      <c r="M45" s="36">
        <v>0</v>
      </c>
      <c r="N45" s="37"/>
      <c r="O45" s="36">
        <v>0</v>
      </c>
      <c r="P45" s="37"/>
      <c r="Q45" s="36">
        <v>0</v>
      </c>
      <c r="R45" s="37"/>
      <c r="S45" s="36">
        <v>0</v>
      </c>
      <c r="T45" s="37"/>
      <c r="U45" s="36">
        <v>0</v>
      </c>
      <c r="V45" s="37"/>
      <c r="W45" s="36">
        <v>0</v>
      </c>
      <c r="X45" s="37"/>
      <c r="Y45" s="36">
        <v>0</v>
      </c>
      <c r="Z45" s="37"/>
      <c r="AA45" s="36">
        <v>0</v>
      </c>
      <c r="AB45" s="37"/>
      <c r="AC45" s="36">
        <v>0</v>
      </c>
      <c r="AD45" s="37"/>
      <c r="AE45" s="36">
        <v>0</v>
      </c>
      <c r="AF45" s="37"/>
      <c r="AG45" s="36">
        <v>0</v>
      </c>
      <c r="AH45" s="37"/>
      <c r="AI45" s="36">
        <v>0</v>
      </c>
      <c r="AJ45" s="37"/>
      <c r="AK45" s="36">
        <v>0</v>
      </c>
      <c r="AL45" s="37"/>
      <c r="AM45" s="36">
        <v>0</v>
      </c>
      <c r="AN45" s="37"/>
      <c r="AO45" s="36">
        <v>0</v>
      </c>
      <c r="AP45" s="37"/>
      <c r="AQ45" s="36">
        <v>0</v>
      </c>
      <c r="AR45" s="37"/>
      <c r="AS45" s="36">
        <v>0</v>
      </c>
      <c r="AT45" s="37"/>
      <c r="AU45" s="36">
        <v>0</v>
      </c>
      <c r="AV45" s="37"/>
      <c r="AW45" s="36">
        <v>0</v>
      </c>
      <c r="AX45" s="37"/>
      <c r="AY45" s="36">
        <v>0</v>
      </c>
      <c r="AZ45" s="37"/>
    </row>
    <row r="46" spans="1:52" x14ac:dyDescent="0.25">
      <c r="A46" s="10" t="s">
        <v>1724</v>
      </c>
      <c r="B46" s="10"/>
      <c r="C46" s="32">
        <v>0</v>
      </c>
      <c r="D46" s="33"/>
      <c r="E46" s="32">
        <v>0</v>
      </c>
      <c r="F46" s="33"/>
      <c r="G46" s="32">
        <v>0</v>
      </c>
      <c r="H46" s="33"/>
      <c r="I46" s="32">
        <v>0</v>
      </c>
      <c r="J46" s="33"/>
      <c r="K46" s="32">
        <v>0</v>
      </c>
      <c r="L46" s="33"/>
      <c r="M46" s="32">
        <v>0</v>
      </c>
      <c r="N46" s="33"/>
      <c r="O46" s="32">
        <v>0</v>
      </c>
      <c r="P46" s="33"/>
      <c r="Q46" s="32">
        <v>0</v>
      </c>
      <c r="R46" s="33"/>
      <c r="S46" s="32">
        <v>0</v>
      </c>
      <c r="T46" s="33"/>
      <c r="U46" s="32">
        <v>0</v>
      </c>
      <c r="V46" s="33"/>
      <c r="W46" s="32">
        <v>0</v>
      </c>
      <c r="X46" s="33"/>
      <c r="Y46" s="32">
        <v>0</v>
      </c>
      <c r="Z46" s="33"/>
      <c r="AA46" s="32">
        <v>0</v>
      </c>
      <c r="AB46" s="33"/>
      <c r="AC46" s="32">
        <v>0</v>
      </c>
      <c r="AD46" s="33"/>
      <c r="AE46" s="32">
        <v>0</v>
      </c>
      <c r="AF46" s="33"/>
      <c r="AG46" s="32">
        <v>0</v>
      </c>
      <c r="AH46" s="33"/>
      <c r="AI46" s="32">
        <v>0</v>
      </c>
      <c r="AJ46" s="33"/>
      <c r="AK46" s="32">
        <v>0</v>
      </c>
      <c r="AL46" s="33"/>
      <c r="AM46" s="32">
        <v>0</v>
      </c>
      <c r="AN46" s="33"/>
      <c r="AO46" s="32">
        <v>0</v>
      </c>
      <c r="AP46" s="33"/>
      <c r="AQ46" s="32">
        <v>0</v>
      </c>
      <c r="AR46" s="33"/>
      <c r="AS46" s="32">
        <v>0</v>
      </c>
      <c r="AT46" s="33"/>
      <c r="AU46" s="32">
        <v>0</v>
      </c>
      <c r="AV46" s="33"/>
      <c r="AW46" s="32">
        <v>0</v>
      </c>
      <c r="AX46" s="33"/>
      <c r="AY46" s="32">
        <v>0</v>
      </c>
      <c r="AZ46" s="33"/>
    </row>
    <row r="47" spans="1:52" x14ac:dyDescent="0.25">
      <c r="A47" s="6" t="s">
        <v>411</v>
      </c>
      <c r="B47" s="6"/>
      <c r="C47" s="36">
        <v>2185</v>
      </c>
      <c r="D47" s="37">
        <v>1</v>
      </c>
      <c r="E47" s="36">
        <v>2314</v>
      </c>
      <c r="F47" s="37">
        <v>1</v>
      </c>
      <c r="G47" s="36">
        <v>2564</v>
      </c>
      <c r="H47" s="37">
        <v>1</v>
      </c>
      <c r="I47" s="36">
        <v>2277</v>
      </c>
      <c r="J47" s="37">
        <v>1</v>
      </c>
      <c r="K47" s="36">
        <v>1983</v>
      </c>
      <c r="L47" s="37">
        <v>1</v>
      </c>
      <c r="M47" s="36">
        <v>2020</v>
      </c>
      <c r="N47" s="37">
        <v>1</v>
      </c>
      <c r="O47" s="36">
        <v>2030</v>
      </c>
      <c r="P47" s="37">
        <v>1</v>
      </c>
      <c r="Q47" s="36">
        <v>2206</v>
      </c>
      <c r="R47" s="37">
        <v>1</v>
      </c>
      <c r="S47" s="36">
        <v>1877</v>
      </c>
      <c r="T47" s="37">
        <v>1</v>
      </c>
      <c r="U47" s="36">
        <v>1857</v>
      </c>
      <c r="V47" s="37">
        <v>1</v>
      </c>
      <c r="W47" s="36">
        <v>558</v>
      </c>
      <c r="X47" s="37">
        <v>1</v>
      </c>
      <c r="Y47" s="36">
        <v>2155</v>
      </c>
      <c r="Z47" s="37">
        <v>1</v>
      </c>
      <c r="AA47" s="36">
        <v>2131</v>
      </c>
      <c r="AB47" s="37">
        <v>1</v>
      </c>
      <c r="AC47" s="36">
        <v>1675</v>
      </c>
      <c r="AD47" s="37">
        <v>1</v>
      </c>
      <c r="AE47" s="36">
        <v>1531</v>
      </c>
      <c r="AF47" s="37">
        <v>1</v>
      </c>
      <c r="AG47" s="36">
        <v>2392</v>
      </c>
      <c r="AH47" s="37">
        <v>1</v>
      </c>
      <c r="AI47" s="36">
        <v>1748</v>
      </c>
      <c r="AJ47" s="37">
        <v>1</v>
      </c>
      <c r="AK47" s="36">
        <v>3442</v>
      </c>
      <c r="AL47" s="37">
        <v>1</v>
      </c>
      <c r="AM47" s="36">
        <v>1614</v>
      </c>
      <c r="AN47" s="37">
        <v>1</v>
      </c>
      <c r="AO47" s="36">
        <v>1947</v>
      </c>
      <c r="AP47" s="37">
        <v>1</v>
      </c>
      <c r="AQ47" s="36">
        <v>852</v>
      </c>
      <c r="AR47" s="37">
        <v>1</v>
      </c>
      <c r="AS47" s="36">
        <v>-68</v>
      </c>
      <c r="AT47" s="37"/>
      <c r="AU47" s="36">
        <v>794</v>
      </c>
      <c r="AV47" s="37">
        <v>1</v>
      </c>
      <c r="AW47" s="36">
        <v>3101</v>
      </c>
      <c r="AX47" s="37">
        <v>1</v>
      </c>
      <c r="AY47" s="36">
        <v>782</v>
      </c>
      <c r="AZ47" s="37">
        <v>1</v>
      </c>
    </row>
    <row r="48" spans="1:52" x14ac:dyDescent="0.25">
      <c r="A48" s="10" t="s">
        <v>1724</v>
      </c>
      <c r="B48" s="10"/>
      <c r="C48" s="32">
        <v>2185</v>
      </c>
      <c r="D48" s="33">
        <v>1</v>
      </c>
      <c r="E48" s="32">
        <v>2314</v>
      </c>
      <c r="F48" s="33">
        <v>1</v>
      </c>
      <c r="G48" s="32">
        <v>2564</v>
      </c>
      <c r="H48" s="33">
        <v>1</v>
      </c>
      <c r="I48" s="32">
        <v>2277</v>
      </c>
      <c r="J48" s="33">
        <v>1</v>
      </c>
      <c r="K48" s="32">
        <v>1983</v>
      </c>
      <c r="L48" s="33">
        <v>1</v>
      </c>
      <c r="M48" s="32">
        <v>2020</v>
      </c>
      <c r="N48" s="33">
        <v>1</v>
      </c>
      <c r="O48" s="32">
        <v>2030</v>
      </c>
      <c r="P48" s="33">
        <v>1</v>
      </c>
      <c r="Q48" s="32">
        <v>2206</v>
      </c>
      <c r="R48" s="33">
        <v>1</v>
      </c>
      <c r="S48" s="32">
        <v>1877</v>
      </c>
      <c r="T48" s="33">
        <v>1</v>
      </c>
      <c r="U48" s="32">
        <v>1857</v>
      </c>
      <c r="V48" s="33">
        <v>1</v>
      </c>
      <c r="W48" s="32">
        <v>558</v>
      </c>
      <c r="X48" s="33">
        <v>1</v>
      </c>
      <c r="Y48" s="32">
        <v>2155</v>
      </c>
      <c r="Z48" s="33">
        <v>1</v>
      </c>
      <c r="AA48" s="32">
        <v>2131</v>
      </c>
      <c r="AB48" s="33">
        <v>1</v>
      </c>
      <c r="AC48" s="32">
        <v>1675</v>
      </c>
      <c r="AD48" s="33">
        <v>1</v>
      </c>
      <c r="AE48" s="32">
        <v>1531</v>
      </c>
      <c r="AF48" s="33">
        <v>1</v>
      </c>
      <c r="AG48" s="32">
        <v>2392</v>
      </c>
      <c r="AH48" s="33">
        <v>1</v>
      </c>
      <c r="AI48" s="32">
        <v>1748</v>
      </c>
      <c r="AJ48" s="33">
        <v>1</v>
      </c>
      <c r="AK48" s="32">
        <v>3442</v>
      </c>
      <c r="AL48" s="33">
        <v>1</v>
      </c>
      <c r="AM48" s="32">
        <v>1614</v>
      </c>
      <c r="AN48" s="33">
        <v>1</v>
      </c>
      <c r="AO48" s="32">
        <v>1947</v>
      </c>
      <c r="AP48" s="33">
        <v>1</v>
      </c>
      <c r="AQ48" s="32">
        <v>852</v>
      </c>
      <c r="AR48" s="33">
        <v>1</v>
      </c>
      <c r="AS48" s="32">
        <v>-68</v>
      </c>
      <c r="AT48" s="33">
        <v>1</v>
      </c>
      <c r="AU48" s="32">
        <v>794</v>
      </c>
      <c r="AV48" s="33">
        <v>1</v>
      </c>
      <c r="AW48" s="32">
        <v>3101</v>
      </c>
      <c r="AX48" s="33">
        <v>1</v>
      </c>
      <c r="AY48" s="32">
        <v>782</v>
      </c>
      <c r="AZ48" s="33">
        <v>1</v>
      </c>
    </row>
    <row r="49" spans="1:52" x14ac:dyDescent="0.25">
      <c r="A49" s="6" t="s">
        <v>1757</v>
      </c>
      <c r="B49" s="6"/>
      <c r="C49" s="36">
        <v>257</v>
      </c>
      <c r="D49" s="37">
        <v>1</v>
      </c>
      <c r="E49" s="36">
        <v>322</v>
      </c>
      <c r="F49" s="37">
        <v>1</v>
      </c>
      <c r="G49" s="36">
        <v>385</v>
      </c>
      <c r="H49" s="37">
        <v>1</v>
      </c>
      <c r="I49" s="36">
        <v>309</v>
      </c>
      <c r="J49" s="37">
        <v>1</v>
      </c>
      <c r="K49" s="36">
        <v>280</v>
      </c>
      <c r="L49" s="37">
        <v>1</v>
      </c>
      <c r="M49" s="36">
        <v>195</v>
      </c>
      <c r="N49" s="37">
        <v>1</v>
      </c>
      <c r="O49" s="36">
        <v>227</v>
      </c>
      <c r="P49" s="37">
        <v>1</v>
      </c>
      <c r="Q49" s="36">
        <v>185</v>
      </c>
      <c r="R49" s="37">
        <v>1</v>
      </c>
      <c r="S49" s="36">
        <v>262</v>
      </c>
      <c r="T49" s="37">
        <v>1</v>
      </c>
      <c r="U49" s="36">
        <v>211</v>
      </c>
      <c r="V49" s="37">
        <v>1</v>
      </c>
      <c r="W49" s="36">
        <v>94</v>
      </c>
      <c r="X49" s="37">
        <v>1</v>
      </c>
      <c r="Y49" s="36">
        <v>271</v>
      </c>
      <c r="Z49" s="37">
        <v>1</v>
      </c>
      <c r="AA49" s="36">
        <v>232</v>
      </c>
      <c r="AB49" s="37">
        <v>1</v>
      </c>
      <c r="AC49" s="36">
        <v>199</v>
      </c>
      <c r="AD49" s="37">
        <v>1</v>
      </c>
      <c r="AE49" s="36">
        <v>214</v>
      </c>
      <c r="AF49" s="37">
        <v>1</v>
      </c>
      <c r="AG49" s="36">
        <v>249</v>
      </c>
      <c r="AH49" s="37">
        <v>1</v>
      </c>
      <c r="AI49" s="36">
        <v>132</v>
      </c>
      <c r="AJ49" s="37">
        <v>1</v>
      </c>
      <c r="AK49" s="36">
        <v>601</v>
      </c>
      <c r="AL49" s="37">
        <v>1</v>
      </c>
      <c r="AM49" s="36">
        <v>235</v>
      </c>
      <c r="AN49" s="37">
        <v>1</v>
      </c>
      <c r="AO49" s="36">
        <v>217</v>
      </c>
      <c r="AP49" s="37">
        <v>1</v>
      </c>
      <c r="AQ49" s="36">
        <v>85</v>
      </c>
      <c r="AR49" s="37">
        <v>1</v>
      </c>
      <c r="AS49" s="36">
        <v>45</v>
      </c>
      <c r="AT49" s="37">
        <v>1</v>
      </c>
      <c r="AU49" s="36">
        <v>48</v>
      </c>
      <c r="AV49" s="37">
        <v>1</v>
      </c>
      <c r="AW49" s="36">
        <v>271</v>
      </c>
      <c r="AX49" s="37">
        <v>1</v>
      </c>
      <c r="AY49" s="36">
        <v>155</v>
      </c>
      <c r="AZ49" s="37">
        <v>1</v>
      </c>
    </row>
    <row r="50" spans="1:52" x14ac:dyDescent="0.25">
      <c r="A50" s="10" t="s">
        <v>1724</v>
      </c>
      <c r="B50" s="10"/>
      <c r="C50" s="32">
        <v>257</v>
      </c>
      <c r="D50" s="33">
        <v>1</v>
      </c>
      <c r="E50" s="32">
        <v>322</v>
      </c>
      <c r="F50" s="33">
        <v>1</v>
      </c>
      <c r="G50" s="32">
        <v>385</v>
      </c>
      <c r="H50" s="33">
        <v>1</v>
      </c>
      <c r="I50" s="32">
        <v>309</v>
      </c>
      <c r="J50" s="33">
        <v>1</v>
      </c>
      <c r="K50" s="32">
        <v>280</v>
      </c>
      <c r="L50" s="33">
        <v>1</v>
      </c>
      <c r="M50" s="32">
        <v>195</v>
      </c>
      <c r="N50" s="33">
        <v>1</v>
      </c>
      <c r="O50" s="32">
        <v>227</v>
      </c>
      <c r="P50" s="33">
        <v>1</v>
      </c>
      <c r="Q50" s="32">
        <v>185</v>
      </c>
      <c r="R50" s="33">
        <v>1</v>
      </c>
      <c r="S50" s="32">
        <v>262</v>
      </c>
      <c r="T50" s="33">
        <v>1</v>
      </c>
      <c r="U50" s="32">
        <v>211</v>
      </c>
      <c r="V50" s="33">
        <v>1</v>
      </c>
      <c r="W50" s="32">
        <v>94</v>
      </c>
      <c r="X50" s="33">
        <v>1</v>
      </c>
      <c r="Y50" s="32">
        <v>271</v>
      </c>
      <c r="Z50" s="33">
        <v>1</v>
      </c>
      <c r="AA50" s="32">
        <v>232</v>
      </c>
      <c r="AB50" s="33">
        <v>1</v>
      </c>
      <c r="AC50" s="32">
        <v>199</v>
      </c>
      <c r="AD50" s="33">
        <v>1</v>
      </c>
      <c r="AE50" s="32">
        <v>214</v>
      </c>
      <c r="AF50" s="33">
        <v>1</v>
      </c>
      <c r="AG50" s="32">
        <v>249</v>
      </c>
      <c r="AH50" s="33">
        <v>1</v>
      </c>
      <c r="AI50" s="32">
        <v>132</v>
      </c>
      <c r="AJ50" s="33">
        <v>1</v>
      </c>
      <c r="AK50" s="32">
        <v>601</v>
      </c>
      <c r="AL50" s="33">
        <v>1</v>
      </c>
      <c r="AM50" s="32">
        <v>235</v>
      </c>
      <c r="AN50" s="33">
        <v>1</v>
      </c>
      <c r="AO50" s="32">
        <v>217</v>
      </c>
      <c r="AP50" s="33">
        <v>1</v>
      </c>
      <c r="AQ50" s="32">
        <v>85</v>
      </c>
      <c r="AR50" s="33">
        <v>1</v>
      </c>
      <c r="AS50" s="32">
        <v>45</v>
      </c>
      <c r="AT50" s="33">
        <v>1</v>
      </c>
      <c r="AU50" s="32">
        <v>48</v>
      </c>
      <c r="AV50" s="33">
        <v>1</v>
      </c>
      <c r="AW50" s="32">
        <v>271</v>
      </c>
      <c r="AX50" s="33">
        <v>1</v>
      </c>
      <c r="AY50" s="32">
        <v>155</v>
      </c>
      <c r="AZ50" s="33">
        <v>1</v>
      </c>
    </row>
    <row r="51" spans="1:52" x14ac:dyDescent="0.25">
      <c r="A51" s="6" t="s">
        <v>159</v>
      </c>
      <c r="B51" s="6"/>
      <c r="C51" s="36">
        <v>1928</v>
      </c>
      <c r="D51" s="37">
        <v>1</v>
      </c>
      <c r="E51" s="36">
        <v>1992</v>
      </c>
      <c r="F51" s="37">
        <v>1</v>
      </c>
      <c r="G51" s="36">
        <v>2179</v>
      </c>
      <c r="H51" s="37">
        <v>1</v>
      </c>
      <c r="I51" s="36">
        <v>1968</v>
      </c>
      <c r="J51" s="37">
        <v>1</v>
      </c>
      <c r="K51" s="36">
        <v>1703</v>
      </c>
      <c r="L51" s="37">
        <v>1</v>
      </c>
      <c r="M51" s="36">
        <v>1825</v>
      </c>
      <c r="N51" s="37">
        <v>1</v>
      </c>
      <c r="O51" s="36">
        <v>1803</v>
      </c>
      <c r="P51" s="37">
        <v>1</v>
      </c>
      <c r="Q51" s="36">
        <v>2021</v>
      </c>
      <c r="R51" s="37">
        <v>1</v>
      </c>
      <c r="S51" s="36">
        <v>1615</v>
      </c>
      <c r="T51" s="37">
        <v>1</v>
      </c>
      <c r="U51" s="36">
        <v>1646</v>
      </c>
      <c r="V51" s="37">
        <v>1</v>
      </c>
      <c r="W51" s="36">
        <v>464</v>
      </c>
      <c r="X51" s="37">
        <v>1</v>
      </c>
      <c r="Y51" s="36">
        <v>1884</v>
      </c>
      <c r="Z51" s="37">
        <v>1</v>
      </c>
      <c r="AA51" s="36">
        <v>1899</v>
      </c>
      <c r="AB51" s="37">
        <v>1</v>
      </c>
      <c r="AC51" s="36">
        <v>1476</v>
      </c>
      <c r="AD51" s="37">
        <v>1</v>
      </c>
      <c r="AE51" s="36">
        <v>1317</v>
      </c>
      <c r="AF51" s="37">
        <v>1</v>
      </c>
      <c r="AG51" s="36">
        <v>2143</v>
      </c>
      <c r="AH51" s="37">
        <v>1</v>
      </c>
      <c r="AI51" s="36">
        <v>1616</v>
      </c>
      <c r="AJ51" s="37">
        <v>1</v>
      </c>
      <c r="AK51" s="36">
        <v>2841</v>
      </c>
      <c r="AL51" s="37">
        <v>1</v>
      </c>
      <c r="AM51" s="36">
        <v>1379</v>
      </c>
      <c r="AN51" s="37">
        <v>1</v>
      </c>
      <c r="AO51" s="36">
        <v>1730</v>
      </c>
      <c r="AP51" s="37">
        <v>1</v>
      </c>
      <c r="AQ51" s="36">
        <v>767</v>
      </c>
      <c r="AR51" s="37">
        <v>1</v>
      </c>
      <c r="AS51" s="36">
        <v>-113</v>
      </c>
      <c r="AT51" s="37"/>
      <c r="AU51" s="36">
        <v>746</v>
      </c>
      <c r="AV51" s="37">
        <v>1</v>
      </c>
      <c r="AW51" s="36">
        <v>2830</v>
      </c>
      <c r="AX51" s="37">
        <v>1</v>
      </c>
      <c r="AY51" s="36">
        <v>627</v>
      </c>
      <c r="AZ51" s="37">
        <v>1</v>
      </c>
    </row>
    <row r="52" spans="1:52" x14ac:dyDescent="0.25">
      <c r="A52" s="10" t="s">
        <v>1724</v>
      </c>
      <c r="B52" s="10"/>
      <c r="C52" s="32">
        <v>1928</v>
      </c>
      <c r="D52" s="33">
        <v>1</v>
      </c>
      <c r="E52" s="32">
        <v>1992</v>
      </c>
      <c r="F52" s="33">
        <v>1</v>
      </c>
      <c r="G52" s="32">
        <v>2179</v>
      </c>
      <c r="H52" s="33">
        <v>1</v>
      </c>
      <c r="I52" s="32">
        <v>1968</v>
      </c>
      <c r="J52" s="33">
        <v>1</v>
      </c>
      <c r="K52" s="32">
        <v>1703</v>
      </c>
      <c r="L52" s="33">
        <v>1</v>
      </c>
      <c r="M52" s="32">
        <v>1825</v>
      </c>
      <c r="N52" s="33">
        <v>1</v>
      </c>
      <c r="O52" s="32">
        <v>1803</v>
      </c>
      <c r="P52" s="33">
        <v>1</v>
      </c>
      <c r="Q52" s="32">
        <v>2021</v>
      </c>
      <c r="R52" s="33">
        <v>1</v>
      </c>
      <c r="S52" s="32">
        <v>1615</v>
      </c>
      <c r="T52" s="33">
        <v>1</v>
      </c>
      <c r="U52" s="32">
        <v>1646</v>
      </c>
      <c r="V52" s="33">
        <v>1</v>
      </c>
      <c r="W52" s="32">
        <v>464</v>
      </c>
      <c r="X52" s="33">
        <v>1</v>
      </c>
      <c r="Y52" s="32">
        <v>1884</v>
      </c>
      <c r="Z52" s="33">
        <v>1</v>
      </c>
      <c r="AA52" s="32">
        <v>1899</v>
      </c>
      <c r="AB52" s="33">
        <v>1</v>
      </c>
      <c r="AC52" s="32">
        <v>1476</v>
      </c>
      <c r="AD52" s="33">
        <v>1</v>
      </c>
      <c r="AE52" s="32">
        <v>1317</v>
      </c>
      <c r="AF52" s="33">
        <v>1</v>
      </c>
      <c r="AG52" s="32">
        <v>2143</v>
      </c>
      <c r="AH52" s="33">
        <v>1</v>
      </c>
      <c r="AI52" s="32">
        <v>1616</v>
      </c>
      <c r="AJ52" s="33">
        <v>1</v>
      </c>
      <c r="AK52" s="32">
        <v>2841</v>
      </c>
      <c r="AL52" s="33">
        <v>1</v>
      </c>
      <c r="AM52" s="32">
        <v>1379</v>
      </c>
      <c r="AN52" s="33">
        <v>1</v>
      </c>
      <c r="AO52" s="32">
        <v>1730</v>
      </c>
      <c r="AP52" s="33">
        <v>1</v>
      </c>
      <c r="AQ52" s="32">
        <v>767</v>
      </c>
      <c r="AR52" s="33">
        <v>1</v>
      </c>
      <c r="AS52" s="32">
        <v>-113</v>
      </c>
      <c r="AT52" s="33">
        <v>1</v>
      </c>
      <c r="AU52" s="32">
        <v>746</v>
      </c>
      <c r="AV52" s="33">
        <v>1</v>
      </c>
      <c r="AW52" s="32">
        <v>2830</v>
      </c>
      <c r="AX52" s="33">
        <v>1</v>
      </c>
      <c r="AY52" s="32">
        <v>627</v>
      </c>
      <c r="AZ52" s="33">
        <v>1</v>
      </c>
    </row>
    <row r="53" spans="1:52" x14ac:dyDescent="0.25">
      <c r="A53" s="6" t="s">
        <v>1758</v>
      </c>
      <c r="B53" s="6"/>
      <c r="C53" s="38" t="s">
        <v>148</v>
      </c>
      <c r="D53" s="39"/>
      <c r="E53" s="38" t="s">
        <v>148</v>
      </c>
      <c r="F53" s="39"/>
      <c r="G53" s="38" t="s">
        <v>148</v>
      </c>
      <c r="H53" s="39"/>
      <c r="I53" s="38" t="s">
        <v>148</v>
      </c>
      <c r="J53" s="39"/>
      <c r="K53" s="38" t="s">
        <v>148</v>
      </c>
      <c r="L53" s="39"/>
      <c r="M53" s="38" t="s">
        <v>148</v>
      </c>
      <c r="N53" s="39"/>
      <c r="O53" s="38" t="s">
        <v>148</v>
      </c>
      <c r="P53" s="39"/>
      <c r="Q53" s="38" t="s">
        <v>148</v>
      </c>
      <c r="R53" s="39"/>
      <c r="S53" s="38" t="s">
        <v>148</v>
      </c>
      <c r="T53" s="39"/>
      <c r="U53" s="38" t="s">
        <v>148</v>
      </c>
      <c r="V53" s="39"/>
      <c r="W53" s="38" t="s">
        <v>148</v>
      </c>
      <c r="X53" s="39"/>
      <c r="Y53" s="38" t="s">
        <v>148</v>
      </c>
      <c r="Z53" s="39"/>
      <c r="AA53" s="38" t="s">
        <v>148</v>
      </c>
      <c r="AB53" s="39"/>
      <c r="AC53" s="38" t="s">
        <v>148</v>
      </c>
      <c r="AD53" s="39"/>
      <c r="AE53" s="38" t="s">
        <v>148</v>
      </c>
      <c r="AF53" s="39"/>
      <c r="AG53" s="38" t="s">
        <v>148</v>
      </c>
      <c r="AH53" s="39"/>
      <c r="AI53" s="38" t="s">
        <v>148</v>
      </c>
      <c r="AJ53" s="39"/>
      <c r="AK53" s="38" t="s">
        <v>148</v>
      </c>
      <c r="AL53" s="39"/>
      <c r="AM53" s="38" t="s">
        <v>148</v>
      </c>
      <c r="AN53" s="39"/>
      <c r="AO53" s="38" t="s">
        <v>148</v>
      </c>
      <c r="AP53" s="39"/>
      <c r="AQ53" s="38" t="s">
        <v>148</v>
      </c>
      <c r="AR53" s="39"/>
      <c r="AS53" s="38" t="s">
        <v>148</v>
      </c>
      <c r="AT53" s="39"/>
      <c r="AU53" s="38" t="s">
        <v>148</v>
      </c>
      <c r="AV53" s="39"/>
      <c r="AW53" s="38" t="s">
        <v>148</v>
      </c>
      <c r="AX53" s="39"/>
      <c r="AY53" s="38" t="s">
        <v>148</v>
      </c>
      <c r="AZ53" s="39"/>
    </row>
    <row r="54" spans="1:52" x14ac:dyDescent="0.25">
      <c r="A54" s="10" t="s">
        <v>1748</v>
      </c>
      <c r="B54" s="10"/>
      <c r="C54" s="34" t="s">
        <v>148</v>
      </c>
      <c r="D54" s="35"/>
      <c r="E54" s="34" t="s">
        <v>148</v>
      </c>
      <c r="F54" s="35"/>
      <c r="G54" s="34" t="s">
        <v>148</v>
      </c>
      <c r="H54" s="35"/>
      <c r="I54" s="34" t="s">
        <v>148</v>
      </c>
      <c r="J54" s="35"/>
      <c r="K54" s="34" t="s">
        <v>148</v>
      </c>
      <c r="L54" s="35"/>
      <c r="M54" s="34" t="s">
        <v>148</v>
      </c>
      <c r="N54" s="35"/>
      <c r="O54" s="34" t="s">
        <v>148</v>
      </c>
      <c r="P54" s="35"/>
      <c r="Q54" s="34" t="s">
        <v>148</v>
      </c>
      <c r="R54" s="35"/>
      <c r="S54" s="34" t="s">
        <v>148</v>
      </c>
      <c r="T54" s="35"/>
      <c r="U54" s="34" t="s">
        <v>148</v>
      </c>
      <c r="V54" s="35"/>
      <c r="W54" s="34" t="s">
        <v>148</v>
      </c>
      <c r="X54" s="35"/>
      <c r="Y54" s="34" t="s">
        <v>148</v>
      </c>
      <c r="Z54" s="35"/>
      <c r="AA54" s="34" t="s">
        <v>148</v>
      </c>
      <c r="AB54" s="35"/>
      <c r="AC54" s="34" t="s">
        <v>148</v>
      </c>
      <c r="AD54" s="35"/>
      <c r="AE54" s="34" t="s">
        <v>148</v>
      </c>
      <c r="AF54" s="35"/>
      <c r="AG54" s="34" t="s">
        <v>148</v>
      </c>
      <c r="AH54" s="35"/>
      <c r="AI54" s="34" t="s">
        <v>148</v>
      </c>
      <c r="AJ54" s="35"/>
      <c r="AK54" s="34" t="s">
        <v>148</v>
      </c>
      <c r="AL54" s="35"/>
      <c r="AM54" s="34" t="s">
        <v>148</v>
      </c>
      <c r="AN54" s="35"/>
      <c r="AO54" s="34" t="s">
        <v>148</v>
      </c>
      <c r="AP54" s="35"/>
      <c r="AQ54" s="34" t="s">
        <v>148</v>
      </c>
      <c r="AR54" s="35"/>
      <c r="AS54" s="34" t="s">
        <v>148</v>
      </c>
      <c r="AT54" s="35"/>
      <c r="AU54" s="34" t="s">
        <v>148</v>
      </c>
      <c r="AV54" s="35"/>
      <c r="AW54" s="34" t="s">
        <v>148</v>
      </c>
      <c r="AX54" s="35"/>
      <c r="AY54" s="34">
        <v>84</v>
      </c>
      <c r="AZ54" s="35"/>
    </row>
    <row r="55" spans="1:52" x14ac:dyDescent="0.25">
      <c r="A55" s="10" t="s">
        <v>1741</v>
      </c>
      <c r="B55" s="10"/>
      <c r="C55" s="34" t="s">
        <v>148</v>
      </c>
      <c r="D55" s="35"/>
      <c r="E55" s="34" t="s">
        <v>148</v>
      </c>
      <c r="F55" s="35"/>
      <c r="G55" s="34" t="s">
        <v>148</v>
      </c>
      <c r="H55" s="35"/>
      <c r="I55" s="34" t="s">
        <v>148</v>
      </c>
      <c r="J55" s="35"/>
      <c r="K55" s="34" t="s">
        <v>148</v>
      </c>
      <c r="L55" s="35"/>
      <c r="M55" s="34" t="s">
        <v>148</v>
      </c>
      <c r="N55" s="35"/>
      <c r="O55" s="34" t="s">
        <v>148</v>
      </c>
      <c r="P55" s="35"/>
      <c r="Q55" s="34">
        <v>31</v>
      </c>
      <c r="R55" s="35"/>
      <c r="S55" s="34">
        <v>45</v>
      </c>
      <c r="T55" s="35"/>
      <c r="U55" s="34">
        <v>23</v>
      </c>
      <c r="V55" s="35"/>
      <c r="W55" s="34">
        <v>73</v>
      </c>
      <c r="X55" s="35"/>
      <c r="Y55" s="34" t="s">
        <v>148</v>
      </c>
      <c r="Z55" s="35"/>
      <c r="AA55" s="34">
        <v>12</v>
      </c>
      <c r="AB55" s="35"/>
      <c r="AC55" s="34">
        <v>2</v>
      </c>
      <c r="AD55" s="35"/>
      <c r="AE55" s="34">
        <v>8</v>
      </c>
      <c r="AF55" s="35"/>
      <c r="AG55" s="34" t="s">
        <v>148</v>
      </c>
      <c r="AH55" s="35"/>
      <c r="AI55" s="34">
        <v>3</v>
      </c>
      <c r="AJ55" s="35"/>
      <c r="AK55" s="34">
        <v>52</v>
      </c>
      <c r="AL55" s="35"/>
      <c r="AM55" s="34">
        <v>29</v>
      </c>
      <c r="AN55" s="35"/>
      <c r="AO55" s="34">
        <v>30</v>
      </c>
      <c r="AP55" s="35"/>
      <c r="AQ55" s="34">
        <v>34</v>
      </c>
      <c r="AR55" s="35"/>
      <c r="AS55" s="34">
        <v>2</v>
      </c>
      <c r="AT55" s="35"/>
      <c r="AU55" s="34" t="s">
        <v>148</v>
      </c>
      <c r="AV55" s="35"/>
      <c r="AW55" s="34">
        <v>9</v>
      </c>
      <c r="AX55" s="35"/>
      <c r="AY55" s="34">
        <v>84</v>
      </c>
      <c r="AZ55" s="35"/>
    </row>
    <row r="56" spans="1:52" x14ac:dyDescent="0.25">
      <c r="A56" s="10" t="s">
        <v>1740</v>
      </c>
      <c r="B56" s="10"/>
      <c r="C56" s="34" t="s">
        <v>148</v>
      </c>
      <c r="D56" s="35"/>
      <c r="E56" s="34" t="s">
        <v>148</v>
      </c>
      <c r="F56" s="35"/>
      <c r="G56" s="34" t="s">
        <v>148</v>
      </c>
      <c r="H56" s="35"/>
      <c r="I56" s="34" t="s">
        <v>148</v>
      </c>
      <c r="J56" s="35"/>
      <c r="K56" s="34" t="s">
        <v>148</v>
      </c>
      <c r="L56" s="35"/>
      <c r="M56" s="34" t="s">
        <v>148</v>
      </c>
      <c r="N56" s="35"/>
      <c r="O56" s="34" t="s">
        <v>148</v>
      </c>
      <c r="P56" s="35"/>
      <c r="Q56" s="34" t="s">
        <v>148</v>
      </c>
      <c r="R56" s="35"/>
      <c r="S56" s="34" t="s">
        <v>148</v>
      </c>
      <c r="T56" s="35"/>
      <c r="U56" s="34" t="s">
        <v>148</v>
      </c>
      <c r="V56" s="35"/>
      <c r="W56" s="34" t="s">
        <v>148</v>
      </c>
      <c r="X56" s="35"/>
      <c r="Y56" s="34" t="s">
        <v>148</v>
      </c>
      <c r="Z56" s="35"/>
      <c r="AA56" s="34" t="s">
        <v>148</v>
      </c>
      <c r="AB56" s="35"/>
      <c r="AC56" s="34" t="s">
        <v>148</v>
      </c>
      <c r="AD56" s="35"/>
      <c r="AE56" s="34" t="s">
        <v>148</v>
      </c>
      <c r="AF56" s="35"/>
      <c r="AG56" s="34">
        <v>0</v>
      </c>
      <c r="AH56" s="35"/>
      <c r="AI56" s="34" t="s">
        <v>148</v>
      </c>
      <c r="AJ56" s="35"/>
      <c r="AK56" s="34">
        <v>0</v>
      </c>
      <c r="AL56" s="35"/>
      <c r="AM56" s="34" t="s">
        <v>148</v>
      </c>
      <c r="AN56" s="35"/>
      <c r="AO56" s="34">
        <v>0</v>
      </c>
      <c r="AP56" s="35"/>
      <c r="AQ56" s="34">
        <v>0</v>
      </c>
      <c r="AR56" s="35"/>
      <c r="AS56" s="34">
        <v>80</v>
      </c>
      <c r="AT56" s="35"/>
      <c r="AU56" s="34" t="s">
        <v>148</v>
      </c>
      <c r="AV56" s="35"/>
      <c r="AW56" s="34">
        <v>67</v>
      </c>
      <c r="AX56" s="35"/>
      <c r="AY56" s="34">
        <v>67</v>
      </c>
      <c r="AZ56" s="35"/>
    </row>
    <row r="57" spans="1:52" x14ac:dyDescent="0.25">
      <c r="A57" s="10" t="s">
        <v>1733</v>
      </c>
      <c r="B57" s="10"/>
      <c r="C57" s="34">
        <v>37</v>
      </c>
      <c r="D57" s="35"/>
      <c r="E57" s="34">
        <v>41</v>
      </c>
      <c r="F57" s="35"/>
      <c r="G57" s="34">
        <v>30</v>
      </c>
      <c r="H57" s="35"/>
      <c r="I57" s="34">
        <v>47</v>
      </c>
      <c r="J57" s="35"/>
      <c r="K57" s="34">
        <v>27</v>
      </c>
      <c r="L57" s="35"/>
      <c r="M57" s="34">
        <v>36</v>
      </c>
      <c r="N57" s="35"/>
      <c r="O57" s="34" t="s">
        <v>148</v>
      </c>
      <c r="P57" s="35"/>
      <c r="Q57" s="34">
        <v>5</v>
      </c>
      <c r="R57" s="35"/>
      <c r="S57" s="34">
        <v>29</v>
      </c>
      <c r="T57" s="35"/>
      <c r="U57" s="34">
        <v>14</v>
      </c>
      <c r="V57" s="35"/>
      <c r="W57" s="34">
        <v>16</v>
      </c>
      <c r="X57" s="35"/>
      <c r="Y57" s="34" t="s">
        <v>148</v>
      </c>
      <c r="Z57" s="35"/>
      <c r="AA57" s="34">
        <v>28</v>
      </c>
      <c r="AB57" s="35"/>
      <c r="AC57" s="34">
        <v>29</v>
      </c>
      <c r="AD57" s="35"/>
      <c r="AE57" s="34">
        <v>29</v>
      </c>
      <c r="AF57" s="35"/>
      <c r="AG57" s="34" t="s">
        <v>148</v>
      </c>
      <c r="AH57" s="35"/>
      <c r="AI57" s="34">
        <v>24</v>
      </c>
      <c r="AJ57" s="35"/>
      <c r="AK57" s="34">
        <v>41</v>
      </c>
      <c r="AL57" s="35"/>
      <c r="AM57" s="34">
        <v>48</v>
      </c>
      <c r="AN57" s="35"/>
      <c r="AO57" s="34">
        <v>55</v>
      </c>
      <c r="AP57" s="35"/>
      <c r="AQ57" s="34">
        <v>47</v>
      </c>
      <c r="AR57" s="35"/>
      <c r="AS57" s="34">
        <v>26</v>
      </c>
      <c r="AT57" s="35"/>
      <c r="AU57" s="34" t="s">
        <v>148</v>
      </c>
      <c r="AV57" s="35"/>
      <c r="AW57" s="34">
        <v>49</v>
      </c>
      <c r="AX57" s="35"/>
      <c r="AY57" s="34">
        <v>58</v>
      </c>
      <c r="AZ57" s="35"/>
    </row>
    <row r="58" spans="1:52" x14ac:dyDescent="0.25">
      <c r="A58" s="10" t="s">
        <v>1745</v>
      </c>
      <c r="B58" s="10"/>
      <c r="C58" s="34" t="s">
        <v>148</v>
      </c>
      <c r="D58" s="35"/>
      <c r="E58" s="34" t="s">
        <v>148</v>
      </c>
      <c r="F58" s="35"/>
      <c r="G58" s="34" t="s">
        <v>148</v>
      </c>
      <c r="H58" s="35"/>
      <c r="I58" s="34" t="s">
        <v>148</v>
      </c>
      <c r="J58" s="35"/>
      <c r="K58" s="34" t="s">
        <v>148</v>
      </c>
      <c r="L58" s="35"/>
      <c r="M58" s="34" t="s">
        <v>148</v>
      </c>
      <c r="N58" s="35"/>
      <c r="O58" s="34" t="s">
        <v>148</v>
      </c>
      <c r="P58" s="35"/>
      <c r="Q58" s="34" t="s">
        <v>148</v>
      </c>
      <c r="R58" s="35"/>
      <c r="S58" s="34" t="s">
        <v>148</v>
      </c>
      <c r="T58" s="35"/>
      <c r="U58" s="34" t="s">
        <v>148</v>
      </c>
      <c r="V58" s="35"/>
      <c r="W58" s="34" t="s">
        <v>148</v>
      </c>
      <c r="X58" s="35"/>
      <c r="Y58" s="34" t="s">
        <v>148</v>
      </c>
      <c r="Z58" s="35"/>
      <c r="AA58" s="34" t="s">
        <v>148</v>
      </c>
      <c r="AB58" s="35"/>
      <c r="AC58" s="34" t="s">
        <v>148</v>
      </c>
      <c r="AD58" s="35"/>
      <c r="AE58" s="34" t="s">
        <v>148</v>
      </c>
      <c r="AF58" s="35"/>
      <c r="AG58" s="34" t="s">
        <v>148</v>
      </c>
      <c r="AH58" s="35"/>
      <c r="AI58" s="34" t="s">
        <v>148</v>
      </c>
      <c r="AJ58" s="35"/>
      <c r="AK58" s="34" t="s">
        <v>148</v>
      </c>
      <c r="AL58" s="35"/>
      <c r="AM58" s="34" t="s">
        <v>148</v>
      </c>
      <c r="AN58" s="35"/>
      <c r="AO58" s="34" t="s">
        <v>148</v>
      </c>
      <c r="AP58" s="35"/>
      <c r="AQ58" s="34" t="s">
        <v>148</v>
      </c>
      <c r="AR58" s="35"/>
      <c r="AS58" s="34" t="s">
        <v>148</v>
      </c>
      <c r="AT58" s="35"/>
      <c r="AU58" s="34" t="s">
        <v>148</v>
      </c>
      <c r="AV58" s="35"/>
      <c r="AW58" s="34" t="s">
        <v>148</v>
      </c>
      <c r="AX58" s="35"/>
      <c r="AY58" s="34">
        <v>55</v>
      </c>
      <c r="AZ58" s="35"/>
    </row>
    <row r="59" spans="1:52" x14ac:dyDescent="0.25">
      <c r="A59" s="10" t="s">
        <v>1729</v>
      </c>
      <c r="B59" s="10"/>
      <c r="C59" s="34">
        <v>62</v>
      </c>
      <c r="D59" s="35"/>
      <c r="E59" s="34">
        <v>15</v>
      </c>
      <c r="F59" s="35"/>
      <c r="G59" s="34">
        <v>3</v>
      </c>
      <c r="H59" s="35"/>
      <c r="I59" s="34">
        <v>40</v>
      </c>
      <c r="J59" s="35"/>
      <c r="K59" s="34">
        <v>26</v>
      </c>
      <c r="L59" s="35"/>
      <c r="M59" s="34">
        <v>62</v>
      </c>
      <c r="N59" s="35"/>
      <c r="O59" s="34" t="s">
        <v>148</v>
      </c>
      <c r="P59" s="35"/>
      <c r="Q59" s="34">
        <v>22</v>
      </c>
      <c r="R59" s="35"/>
      <c r="S59" s="34">
        <v>27</v>
      </c>
      <c r="T59" s="35"/>
      <c r="U59" s="34">
        <v>25</v>
      </c>
      <c r="V59" s="35"/>
      <c r="W59" s="34">
        <v>43</v>
      </c>
      <c r="X59" s="35"/>
      <c r="Y59" s="34" t="s">
        <v>148</v>
      </c>
      <c r="Z59" s="35"/>
      <c r="AA59" s="34">
        <v>8</v>
      </c>
      <c r="AB59" s="35"/>
      <c r="AC59" s="34">
        <v>15</v>
      </c>
      <c r="AD59" s="35"/>
      <c r="AE59" s="34">
        <v>14</v>
      </c>
      <c r="AF59" s="35"/>
      <c r="AG59" s="34">
        <v>14</v>
      </c>
      <c r="AH59" s="35"/>
      <c r="AI59" s="34">
        <v>22</v>
      </c>
      <c r="AJ59" s="35"/>
      <c r="AK59" s="34">
        <v>18</v>
      </c>
      <c r="AL59" s="35"/>
      <c r="AM59" s="34">
        <v>30</v>
      </c>
      <c r="AN59" s="35"/>
      <c r="AO59" s="34">
        <v>31</v>
      </c>
      <c r="AP59" s="35"/>
      <c r="AQ59" s="34">
        <v>25</v>
      </c>
      <c r="AR59" s="35"/>
      <c r="AS59" s="34">
        <v>33</v>
      </c>
      <c r="AT59" s="35"/>
      <c r="AU59" s="34" t="s">
        <v>148</v>
      </c>
      <c r="AV59" s="35"/>
      <c r="AW59" s="34">
        <v>40</v>
      </c>
      <c r="AX59" s="35"/>
      <c r="AY59" s="34">
        <v>45</v>
      </c>
      <c r="AZ59" s="35"/>
    </row>
    <row r="60" spans="1:52" x14ac:dyDescent="0.25">
      <c r="A60" s="10" t="s">
        <v>1732</v>
      </c>
      <c r="B60" s="10"/>
      <c r="C60" s="34" t="s">
        <v>148</v>
      </c>
      <c r="D60" s="35"/>
      <c r="E60" s="34" t="s">
        <v>148</v>
      </c>
      <c r="F60" s="35"/>
      <c r="G60" s="34" t="s">
        <v>148</v>
      </c>
      <c r="H60" s="35"/>
      <c r="I60" s="34" t="s">
        <v>148</v>
      </c>
      <c r="J60" s="35"/>
      <c r="K60" s="34" t="s">
        <v>148</v>
      </c>
      <c r="L60" s="35"/>
      <c r="M60" s="34" t="s">
        <v>148</v>
      </c>
      <c r="N60" s="35"/>
      <c r="O60" s="34" t="s">
        <v>148</v>
      </c>
      <c r="P60" s="35"/>
      <c r="Q60" s="34">
        <v>0</v>
      </c>
      <c r="R60" s="35"/>
      <c r="S60" s="34">
        <v>6</v>
      </c>
      <c r="T60" s="35"/>
      <c r="U60" s="34">
        <v>7</v>
      </c>
      <c r="V60" s="35"/>
      <c r="W60" s="34">
        <v>30</v>
      </c>
      <c r="X60" s="35"/>
      <c r="Y60" s="34" t="s">
        <v>148</v>
      </c>
      <c r="Z60" s="35"/>
      <c r="AA60" s="34">
        <v>59</v>
      </c>
      <c r="AB60" s="35"/>
      <c r="AC60" s="34">
        <v>59</v>
      </c>
      <c r="AD60" s="35"/>
      <c r="AE60" s="34">
        <v>46</v>
      </c>
      <c r="AF60" s="35"/>
      <c r="AG60" s="34" t="s">
        <v>148</v>
      </c>
      <c r="AH60" s="35"/>
      <c r="AI60" s="34">
        <v>57</v>
      </c>
      <c r="AJ60" s="35"/>
      <c r="AK60" s="34">
        <v>49</v>
      </c>
      <c r="AL60" s="35"/>
      <c r="AM60" s="34">
        <v>47</v>
      </c>
      <c r="AN60" s="35"/>
      <c r="AO60" s="34">
        <v>53</v>
      </c>
      <c r="AP60" s="35"/>
      <c r="AQ60" s="34">
        <v>41</v>
      </c>
      <c r="AR60" s="35"/>
      <c r="AS60" s="34">
        <v>35</v>
      </c>
      <c r="AT60" s="35"/>
      <c r="AU60" s="34" t="s">
        <v>148</v>
      </c>
      <c r="AV60" s="35"/>
      <c r="AW60" s="34">
        <v>30</v>
      </c>
      <c r="AX60" s="35"/>
      <c r="AY60" s="34">
        <v>36</v>
      </c>
      <c r="AZ60" s="35"/>
    </row>
    <row r="61" spans="1:52" x14ac:dyDescent="0.25">
      <c r="A61" s="10" t="s">
        <v>1743</v>
      </c>
      <c r="B61" s="10"/>
      <c r="C61" s="34" t="s">
        <v>148</v>
      </c>
      <c r="D61" s="35"/>
      <c r="E61" s="34" t="s">
        <v>148</v>
      </c>
      <c r="F61" s="35"/>
      <c r="G61" s="34" t="s">
        <v>148</v>
      </c>
      <c r="H61" s="35"/>
      <c r="I61" s="34" t="s">
        <v>148</v>
      </c>
      <c r="J61" s="35"/>
      <c r="K61" s="34" t="s">
        <v>148</v>
      </c>
      <c r="L61" s="35"/>
      <c r="M61" s="34" t="s">
        <v>148</v>
      </c>
      <c r="N61" s="35"/>
      <c r="O61" s="34" t="s">
        <v>148</v>
      </c>
      <c r="P61" s="35"/>
      <c r="Q61" s="34" t="s">
        <v>148</v>
      </c>
      <c r="R61" s="35"/>
      <c r="S61" s="34" t="s">
        <v>148</v>
      </c>
      <c r="T61" s="35"/>
      <c r="U61" s="34" t="s">
        <v>148</v>
      </c>
      <c r="V61" s="35"/>
      <c r="W61" s="34" t="s">
        <v>148</v>
      </c>
      <c r="X61" s="35"/>
      <c r="Y61" s="34" t="s">
        <v>148</v>
      </c>
      <c r="Z61" s="35"/>
      <c r="AA61" s="34" t="s">
        <v>148</v>
      </c>
      <c r="AB61" s="35"/>
      <c r="AC61" s="34" t="s">
        <v>148</v>
      </c>
      <c r="AD61" s="35"/>
      <c r="AE61" s="34" t="s">
        <v>148</v>
      </c>
      <c r="AF61" s="35"/>
      <c r="AG61" s="34" t="s">
        <v>148</v>
      </c>
      <c r="AH61" s="35"/>
      <c r="AI61" s="34" t="s">
        <v>148</v>
      </c>
      <c r="AJ61" s="35"/>
      <c r="AK61" s="34" t="s">
        <v>148</v>
      </c>
      <c r="AL61" s="35"/>
      <c r="AM61" s="34" t="s">
        <v>148</v>
      </c>
      <c r="AN61" s="35"/>
      <c r="AO61" s="34" t="s">
        <v>148</v>
      </c>
      <c r="AP61" s="35"/>
      <c r="AQ61" s="34" t="s">
        <v>148</v>
      </c>
      <c r="AR61" s="35"/>
      <c r="AS61" s="34" t="s">
        <v>148</v>
      </c>
      <c r="AT61" s="35"/>
      <c r="AU61" s="34" t="s">
        <v>148</v>
      </c>
      <c r="AV61" s="35"/>
      <c r="AW61" s="34" t="s">
        <v>148</v>
      </c>
      <c r="AX61" s="35"/>
      <c r="AY61" s="34">
        <v>30</v>
      </c>
      <c r="AZ61" s="35"/>
    </row>
    <row r="62" spans="1:52" x14ac:dyDescent="0.25">
      <c r="A62" s="10" t="s">
        <v>1737</v>
      </c>
      <c r="B62" s="10"/>
      <c r="C62" s="34" t="s">
        <v>148</v>
      </c>
      <c r="D62" s="35"/>
      <c r="E62" s="34" t="s">
        <v>148</v>
      </c>
      <c r="F62" s="35"/>
      <c r="G62" s="34" t="s">
        <v>148</v>
      </c>
      <c r="H62" s="35"/>
      <c r="I62" s="34" t="s">
        <v>148</v>
      </c>
      <c r="J62" s="35"/>
      <c r="K62" s="34" t="s">
        <v>148</v>
      </c>
      <c r="L62" s="35"/>
      <c r="M62" s="34" t="s">
        <v>148</v>
      </c>
      <c r="N62" s="35"/>
      <c r="O62" s="34" t="s">
        <v>148</v>
      </c>
      <c r="P62" s="35"/>
      <c r="Q62" s="34" t="s">
        <v>148</v>
      </c>
      <c r="R62" s="35"/>
      <c r="S62" s="34" t="s">
        <v>148</v>
      </c>
      <c r="T62" s="35"/>
      <c r="U62" s="34" t="s">
        <v>148</v>
      </c>
      <c r="V62" s="35"/>
      <c r="W62" s="34" t="s">
        <v>148</v>
      </c>
      <c r="X62" s="35"/>
      <c r="Y62" s="34" t="s">
        <v>148</v>
      </c>
      <c r="Z62" s="35"/>
      <c r="AA62" s="34" t="s">
        <v>148</v>
      </c>
      <c r="AB62" s="35"/>
      <c r="AC62" s="34" t="s">
        <v>148</v>
      </c>
      <c r="AD62" s="35"/>
      <c r="AE62" s="34" t="s">
        <v>148</v>
      </c>
      <c r="AF62" s="35"/>
      <c r="AG62" s="34" t="s">
        <v>148</v>
      </c>
      <c r="AH62" s="35"/>
      <c r="AI62" s="34" t="s">
        <v>148</v>
      </c>
      <c r="AJ62" s="35"/>
      <c r="AK62" s="34" t="s">
        <v>148</v>
      </c>
      <c r="AL62" s="35"/>
      <c r="AM62" s="34" t="s">
        <v>148</v>
      </c>
      <c r="AN62" s="35"/>
      <c r="AO62" s="34" t="s">
        <v>148</v>
      </c>
      <c r="AP62" s="35"/>
      <c r="AQ62" s="34" t="s">
        <v>148</v>
      </c>
      <c r="AR62" s="35"/>
      <c r="AS62" s="34">
        <v>0</v>
      </c>
      <c r="AT62" s="35"/>
      <c r="AU62" s="34" t="s">
        <v>148</v>
      </c>
      <c r="AV62" s="35"/>
      <c r="AW62" s="34" t="s">
        <v>148</v>
      </c>
      <c r="AX62" s="35"/>
      <c r="AY62" s="34">
        <v>27</v>
      </c>
      <c r="AZ62" s="35"/>
    </row>
    <row r="63" spans="1:52" x14ac:dyDescent="0.25">
      <c r="A63" s="10" t="s">
        <v>1736</v>
      </c>
      <c r="B63" s="10"/>
      <c r="C63" s="34">
        <v>6</v>
      </c>
      <c r="D63" s="35"/>
      <c r="E63" s="34">
        <v>24</v>
      </c>
      <c r="F63" s="35"/>
      <c r="G63" s="34">
        <v>11</v>
      </c>
      <c r="H63" s="35"/>
      <c r="I63" s="34">
        <v>49</v>
      </c>
      <c r="J63" s="35"/>
      <c r="K63" s="34">
        <v>19</v>
      </c>
      <c r="L63" s="35"/>
      <c r="M63" s="34">
        <v>5</v>
      </c>
      <c r="N63" s="35"/>
      <c r="O63" s="34" t="s">
        <v>148</v>
      </c>
      <c r="P63" s="35"/>
      <c r="Q63" s="34">
        <v>-2</v>
      </c>
      <c r="R63" s="35"/>
      <c r="S63" s="34">
        <v>-13</v>
      </c>
      <c r="T63" s="35"/>
      <c r="U63" s="34">
        <v>13</v>
      </c>
      <c r="V63" s="35"/>
      <c r="W63" s="34">
        <v>9</v>
      </c>
      <c r="X63" s="35"/>
      <c r="Y63" s="34" t="s">
        <v>148</v>
      </c>
      <c r="Z63" s="35"/>
      <c r="AA63" s="34">
        <v>39</v>
      </c>
      <c r="AB63" s="35"/>
      <c r="AC63" s="34">
        <v>18</v>
      </c>
      <c r="AD63" s="35"/>
      <c r="AE63" s="34">
        <v>66</v>
      </c>
      <c r="AF63" s="35"/>
      <c r="AG63" s="34">
        <v>12</v>
      </c>
      <c r="AH63" s="35"/>
      <c r="AI63" s="34">
        <v>12</v>
      </c>
      <c r="AJ63" s="35"/>
      <c r="AK63" s="34">
        <v>35</v>
      </c>
      <c r="AL63" s="35"/>
      <c r="AM63" s="34">
        <v>2</v>
      </c>
      <c r="AN63" s="35"/>
      <c r="AO63" s="34">
        <v>1</v>
      </c>
      <c r="AP63" s="35"/>
      <c r="AQ63" s="34">
        <v>9</v>
      </c>
      <c r="AR63" s="35"/>
      <c r="AS63" s="34">
        <v>16</v>
      </c>
      <c r="AT63" s="35"/>
      <c r="AU63" s="34" t="s">
        <v>148</v>
      </c>
      <c r="AV63" s="35"/>
      <c r="AW63" s="34">
        <v>0</v>
      </c>
      <c r="AX63" s="35"/>
      <c r="AY63" s="34">
        <v>22</v>
      </c>
      <c r="AZ63" s="35"/>
    </row>
    <row r="64" spans="1:52" x14ac:dyDescent="0.25">
      <c r="A64" s="10" t="s">
        <v>1747</v>
      </c>
      <c r="B64" s="10"/>
      <c r="C64" s="34" t="s">
        <v>148</v>
      </c>
      <c r="D64" s="35"/>
      <c r="E64" s="34" t="s">
        <v>148</v>
      </c>
      <c r="F64" s="35"/>
      <c r="G64" s="34" t="s">
        <v>148</v>
      </c>
      <c r="H64" s="35"/>
      <c r="I64" s="34" t="s">
        <v>148</v>
      </c>
      <c r="J64" s="35"/>
      <c r="K64" s="34" t="s">
        <v>148</v>
      </c>
      <c r="L64" s="35"/>
      <c r="M64" s="34" t="s">
        <v>148</v>
      </c>
      <c r="N64" s="35"/>
      <c r="O64" s="34" t="s">
        <v>148</v>
      </c>
      <c r="P64" s="35"/>
      <c r="Q64" s="34" t="s">
        <v>148</v>
      </c>
      <c r="R64" s="35"/>
      <c r="S64" s="34" t="s">
        <v>148</v>
      </c>
      <c r="T64" s="35"/>
      <c r="U64" s="34" t="s">
        <v>148</v>
      </c>
      <c r="V64" s="35"/>
      <c r="W64" s="34" t="s">
        <v>148</v>
      </c>
      <c r="X64" s="35"/>
      <c r="Y64" s="34" t="s">
        <v>148</v>
      </c>
      <c r="Z64" s="35"/>
      <c r="AA64" s="34">
        <v>0</v>
      </c>
      <c r="AB64" s="35"/>
      <c r="AC64" s="34" t="s">
        <v>148</v>
      </c>
      <c r="AD64" s="35"/>
      <c r="AE64" s="34" t="s">
        <v>148</v>
      </c>
      <c r="AF64" s="35"/>
      <c r="AG64" s="34">
        <v>0</v>
      </c>
      <c r="AH64" s="35"/>
      <c r="AI64" s="34">
        <v>58</v>
      </c>
      <c r="AJ64" s="35"/>
      <c r="AK64" s="34">
        <v>19</v>
      </c>
      <c r="AL64" s="35"/>
      <c r="AM64" s="34">
        <v>0</v>
      </c>
      <c r="AN64" s="35"/>
      <c r="AO64" s="34">
        <v>-31</v>
      </c>
      <c r="AP64" s="35"/>
      <c r="AQ64" s="34">
        <v>8</v>
      </c>
      <c r="AR64" s="35"/>
      <c r="AS64" s="34">
        <v>11</v>
      </c>
      <c r="AT64" s="35"/>
      <c r="AU64" s="34" t="s">
        <v>148</v>
      </c>
      <c r="AV64" s="35"/>
      <c r="AW64" s="34">
        <v>88</v>
      </c>
      <c r="AX64" s="35"/>
      <c r="AY64" s="34">
        <v>10</v>
      </c>
      <c r="AZ64" s="35"/>
    </row>
    <row r="65" spans="1:52" x14ac:dyDescent="0.25">
      <c r="A65" s="10" t="s">
        <v>1734</v>
      </c>
      <c r="B65" s="10"/>
      <c r="C65" s="34">
        <v>11</v>
      </c>
      <c r="D65" s="35"/>
      <c r="E65" s="34">
        <v>10</v>
      </c>
      <c r="F65" s="35"/>
      <c r="G65" s="34">
        <v>2</v>
      </c>
      <c r="H65" s="35"/>
      <c r="I65" s="34">
        <v>15</v>
      </c>
      <c r="J65" s="35"/>
      <c r="K65" s="34">
        <v>6</v>
      </c>
      <c r="L65" s="35"/>
      <c r="M65" s="34">
        <v>14</v>
      </c>
      <c r="N65" s="35"/>
      <c r="O65" s="34" t="s">
        <v>148</v>
      </c>
      <c r="P65" s="35"/>
      <c r="Q65" s="34">
        <v>-2</v>
      </c>
      <c r="R65" s="35"/>
      <c r="S65" s="34">
        <v>2</v>
      </c>
      <c r="T65" s="35"/>
      <c r="U65" s="34">
        <v>-10</v>
      </c>
      <c r="V65" s="35"/>
      <c r="W65" s="34">
        <v>11</v>
      </c>
      <c r="X65" s="35"/>
      <c r="Y65" s="34" t="s">
        <v>148</v>
      </c>
      <c r="Z65" s="35"/>
      <c r="AA65" s="34">
        <v>4</v>
      </c>
      <c r="AB65" s="35"/>
      <c r="AC65" s="34">
        <v>14</v>
      </c>
      <c r="AD65" s="35"/>
      <c r="AE65" s="34">
        <v>13</v>
      </c>
      <c r="AF65" s="35"/>
      <c r="AG65" s="34">
        <v>9</v>
      </c>
      <c r="AH65" s="35"/>
      <c r="AI65" s="34">
        <v>14</v>
      </c>
      <c r="AJ65" s="35"/>
      <c r="AK65" s="34">
        <v>25</v>
      </c>
      <c r="AL65" s="35"/>
      <c r="AM65" s="34">
        <v>9</v>
      </c>
      <c r="AN65" s="35"/>
      <c r="AO65" s="34">
        <v>10</v>
      </c>
      <c r="AP65" s="35"/>
      <c r="AQ65" s="34">
        <v>8</v>
      </c>
      <c r="AR65" s="35"/>
      <c r="AS65" s="34">
        <v>5</v>
      </c>
      <c r="AT65" s="35"/>
      <c r="AU65" s="34" t="s">
        <v>148</v>
      </c>
      <c r="AV65" s="35"/>
      <c r="AW65" s="34">
        <v>8</v>
      </c>
      <c r="AX65" s="35"/>
      <c r="AY65" s="34">
        <v>6</v>
      </c>
      <c r="AZ65" s="35"/>
    </row>
    <row r="66" spans="1:52" x14ac:dyDescent="0.25">
      <c r="A66" s="10" t="s">
        <v>1730</v>
      </c>
      <c r="B66" s="10"/>
      <c r="C66" s="34">
        <v>17</v>
      </c>
      <c r="D66" s="35"/>
      <c r="E66" s="34">
        <v>6</v>
      </c>
      <c r="F66" s="35"/>
      <c r="G66" s="34">
        <v>10</v>
      </c>
      <c r="H66" s="35"/>
      <c r="I66" s="34">
        <v>10</v>
      </c>
      <c r="J66" s="35"/>
      <c r="K66" s="34">
        <v>7</v>
      </c>
      <c r="L66" s="35"/>
      <c r="M66" s="34">
        <v>2</v>
      </c>
      <c r="N66" s="35"/>
      <c r="O66" s="34" t="s">
        <v>148</v>
      </c>
      <c r="P66" s="35"/>
      <c r="Q66" s="34">
        <v>1</v>
      </c>
      <c r="R66" s="35"/>
      <c r="S66" s="34">
        <v>3</v>
      </c>
      <c r="T66" s="35"/>
      <c r="U66" s="34">
        <v>-3</v>
      </c>
      <c r="V66" s="35"/>
      <c r="W66" s="34">
        <v>12</v>
      </c>
      <c r="X66" s="35"/>
      <c r="Y66" s="34" t="s">
        <v>148</v>
      </c>
      <c r="Z66" s="35"/>
      <c r="AA66" s="34">
        <v>9</v>
      </c>
      <c r="AB66" s="35"/>
      <c r="AC66" s="34">
        <v>7</v>
      </c>
      <c r="AD66" s="35"/>
      <c r="AE66" s="34">
        <v>9</v>
      </c>
      <c r="AF66" s="35"/>
      <c r="AG66" s="34">
        <v>-4</v>
      </c>
      <c r="AH66" s="35"/>
      <c r="AI66" s="34">
        <v>-11</v>
      </c>
      <c r="AJ66" s="35"/>
      <c r="AK66" s="34">
        <v>7</v>
      </c>
      <c r="AL66" s="35"/>
      <c r="AM66" s="34">
        <v>-1</v>
      </c>
      <c r="AN66" s="35"/>
      <c r="AO66" s="34">
        <v>5</v>
      </c>
      <c r="AP66" s="35"/>
      <c r="AQ66" s="34">
        <v>9</v>
      </c>
      <c r="AR66" s="35"/>
      <c r="AS66" s="34">
        <v>5</v>
      </c>
      <c r="AT66" s="35"/>
      <c r="AU66" s="34" t="s">
        <v>148</v>
      </c>
      <c r="AV66" s="35"/>
      <c r="AW66" s="34">
        <v>4</v>
      </c>
      <c r="AX66" s="35"/>
      <c r="AY66" s="34">
        <v>6</v>
      </c>
      <c r="AZ66" s="35"/>
    </row>
    <row r="67" spans="1:52" x14ac:dyDescent="0.25">
      <c r="A67" s="10" t="s">
        <v>1726</v>
      </c>
      <c r="B67" s="10"/>
      <c r="C67" s="34">
        <v>14</v>
      </c>
      <c r="D67" s="35"/>
      <c r="E67" s="34">
        <v>20</v>
      </c>
      <c r="F67" s="35"/>
      <c r="G67" s="34">
        <v>14</v>
      </c>
      <c r="H67" s="35"/>
      <c r="I67" s="34">
        <v>18</v>
      </c>
      <c r="J67" s="35"/>
      <c r="K67" s="34">
        <v>15</v>
      </c>
      <c r="L67" s="35"/>
      <c r="M67" s="34">
        <v>10</v>
      </c>
      <c r="N67" s="35"/>
      <c r="O67" s="34" t="s">
        <v>148</v>
      </c>
      <c r="P67" s="35"/>
      <c r="Q67" s="34">
        <v>11</v>
      </c>
      <c r="R67" s="35"/>
      <c r="S67" s="34">
        <v>0</v>
      </c>
      <c r="T67" s="35"/>
      <c r="U67" s="34">
        <v>16</v>
      </c>
      <c r="V67" s="35"/>
      <c r="W67" s="34">
        <v>24</v>
      </c>
      <c r="X67" s="35"/>
      <c r="Y67" s="34" t="s">
        <v>148</v>
      </c>
      <c r="Z67" s="35"/>
      <c r="AA67" s="34">
        <v>17</v>
      </c>
      <c r="AB67" s="35"/>
      <c r="AC67" s="34">
        <v>12</v>
      </c>
      <c r="AD67" s="35"/>
      <c r="AE67" s="34">
        <v>13</v>
      </c>
      <c r="AF67" s="35"/>
      <c r="AG67" s="34">
        <v>7</v>
      </c>
      <c r="AH67" s="35"/>
      <c r="AI67" s="34">
        <v>14</v>
      </c>
      <c r="AJ67" s="35"/>
      <c r="AK67" s="34">
        <v>9</v>
      </c>
      <c r="AL67" s="35"/>
      <c r="AM67" s="34">
        <v>11</v>
      </c>
      <c r="AN67" s="35"/>
      <c r="AO67" s="34">
        <v>14</v>
      </c>
      <c r="AP67" s="35"/>
      <c r="AQ67" s="34">
        <v>12</v>
      </c>
      <c r="AR67" s="35"/>
      <c r="AS67" s="34">
        <v>8</v>
      </c>
      <c r="AT67" s="35"/>
      <c r="AU67" s="34" t="s">
        <v>148</v>
      </c>
      <c r="AV67" s="35"/>
      <c r="AW67" s="34">
        <v>6</v>
      </c>
      <c r="AX67" s="35"/>
      <c r="AY67" s="34">
        <v>5</v>
      </c>
      <c r="AZ67" s="35"/>
    </row>
    <row r="68" spans="1:52" x14ac:dyDescent="0.25">
      <c r="A68" s="10" t="s">
        <v>1731</v>
      </c>
      <c r="B68" s="10"/>
      <c r="C68" s="34" t="s">
        <v>148</v>
      </c>
      <c r="D68" s="35"/>
      <c r="E68" s="34" t="s">
        <v>148</v>
      </c>
      <c r="F68" s="35"/>
      <c r="G68" s="34" t="s">
        <v>148</v>
      </c>
      <c r="H68" s="35"/>
      <c r="I68" s="34" t="s">
        <v>148</v>
      </c>
      <c r="J68" s="35"/>
      <c r="K68" s="34" t="s">
        <v>148</v>
      </c>
      <c r="L68" s="35"/>
      <c r="M68" s="34" t="s">
        <v>148</v>
      </c>
      <c r="N68" s="35"/>
      <c r="O68" s="34" t="s">
        <v>148</v>
      </c>
      <c r="P68" s="35"/>
      <c r="Q68" s="34" t="s">
        <v>148</v>
      </c>
      <c r="R68" s="35"/>
      <c r="S68" s="34" t="s">
        <v>148</v>
      </c>
      <c r="T68" s="35"/>
      <c r="U68" s="34" t="s">
        <v>148</v>
      </c>
      <c r="V68" s="35"/>
      <c r="W68" s="34" t="s">
        <v>148</v>
      </c>
      <c r="X68" s="35"/>
      <c r="Y68" s="34" t="s">
        <v>148</v>
      </c>
      <c r="Z68" s="35"/>
      <c r="AA68" s="34" t="s">
        <v>148</v>
      </c>
      <c r="AB68" s="35"/>
      <c r="AC68" s="34" t="s">
        <v>148</v>
      </c>
      <c r="AD68" s="35"/>
      <c r="AE68" s="34" t="s">
        <v>148</v>
      </c>
      <c r="AF68" s="35"/>
      <c r="AG68" s="34" t="s">
        <v>148</v>
      </c>
      <c r="AH68" s="35"/>
      <c r="AI68" s="34" t="s">
        <v>148</v>
      </c>
      <c r="AJ68" s="35"/>
      <c r="AK68" s="34" t="s">
        <v>148</v>
      </c>
      <c r="AL68" s="35"/>
      <c r="AM68" s="34" t="s">
        <v>148</v>
      </c>
      <c r="AN68" s="35"/>
      <c r="AO68" s="34" t="s">
        <v>148</v>
      </c>
      <c r="AP68" s="35"/>
      <c r="AQ68" s="34" t="s">
        <v>148</v>
      </c>
      <c r="AR68" s="35"/>
      <c r="AS68" s="34">
        <v>0</v>
      </c>
      <c r="AT68" s="35"/>
      <c r="AU68" s="34" t="s">
        <v>148</v>
      </c>
      <c r="AV68" s="35"/>
      <c r="AW68" s="34" t="s">
        <v>148</v>
      </c>
      <c r="AX68" s="35"/>
      <c r="AY68" s="34">
        <v>3</v>
      </c>
      <c r="AZ68" s="35"/>
    </row>
    <row r="69" spans="1:52" x14ac:dyDescent="0.25">
      <c r="A69" s="10" t="s">
        <v>1727</v>
      </c>
      <c r="B69" s="10"/>
      <c r="C69" s="34">
        <v>-8</v>
      </c>
      <c r="D69" s="35"/>
      <c r="E69" s="34">
        <v>4</v>
      </c>
      <c r="F69" s="35"/>
      <c r="G69" s="34">
        <v>5</v>
      </c>
      <c r="H69" s="35"/>
      <c r="I69" s="34">
        <v>6</v>
      </c>
      <c r="J69" s="35"/>
      <c r="K69" s="34">
        <v>2</v>
      </c>
      <c r="L69" s="35"/>
      <c r="M69" s="34">
        <v>0</v>
      </c>
      <c r="N69" s="35"/>
      <c r="O69" s="34" t="s">
        <v>148</v>
      </c>
      <c r="P69" s="35"/>
      <c r="Q69" s="34">
        <v>-3</v>
      </c>
      <c r="R69" s="35"/>
      <c r="S69" s="34">
        <v>-5</v>
      </c>
      <c r="T69" s="35"/>
      <c r="U69" s="34">
        <v>-20</v>
      </c>
      <c r="V69" s="35"/>
      <c r="W69" s="34">
        <v>-8</v>
      </c>
      <c r="X69" s="35"/>
      <c r="Y69" s="34" t="s">
        <v>148</v>
      </c>
      <c r="Z69" s="35"/>
      <c r="AA69" s="34">
        <v>-13</v>
      </c>
      <c r="AB69" s="35"/>
      <c r="AC69" s="34">
        <v>-7</v>
      </c>
      <c r="AD69" s="35"/>
      <c r="AE69" s="34">
        <v>-8</v>
      </c>
      <c r="AF69" s="35"/>
      <c r="AG69" s="34">
        <v>-14</v>
      </c>
      <c r="AH69" s="35"/>
      <c r="AI69" s="34">
        <v>-1</v>
      </c>
      <c r="AJ69" s="35"/>
      <c r="AK69" s="34">
        <v>-33</v>
      </c>
      <c r="AL69" s="35"/>
      <c r="AM69" s="34">
        <v>2</v>
      </c>
      <c r="AN69" s="35"/>
      <c r="AO69" s="34">
        <v>-6</v>
      </c>
      <c r="AP69" s="35"/>
      <c r="AQ69" s="34">
        <v>-8</v>
      </c>
      <c r="AR69" s="35"/>
      <c r="AS69" s="34">
        <v>-2</v>
      </c>
      <c r="AT69" s="35"/>
      <c r="AU69" s="34" t="s">
        <v>148</v>
      </c>
      <c r="AV69" s="35"/>
      <c r="AW69" s="34">
        <v>-20</v>
      </c>
      <c r="AX69" s="35"/>
      <c r="AY69" s="34">
        <v>0</v>
      </c>
      <c r="AZ69" s="35"/>
    </row>
    <row r="70" spans="1:52" x14ac:dyDescent="0.25">
      <c r="A70" s="10" t="s">
        <v>1728</v>
      </c>
      <c r="B70" s="10"/>
      <c r="C70" s="34" t="s">
        <v>148</v>
      </c>
      <c r="D70" s="35"/>
      <c r="E70" s="34" t="s">
        <v>148</v>
      </c>
      <c r="F70" s="35"/>
      <c r="G70" s="34" t="s">
        <v>148</v>
      </c>
      <c r="H70" s="35"/>
      <c r="I70" s="34" t="s">
        <v>148</v>
      </c>
      <c r="J70" s="35"/>
      <c r="K70" s="34" t="s">
        <v>148</v>
      </c>
      <c r="L70" s="35"/>
      <c r="M70" s="34" t="s">
        <v>148</v>
      </c>
      <c r="N70" s="35"/>
      <c r="O70" s="34" t="s">
        <v>148</v>
      </c>
      <c r="P70" s="35"/>
      <c r="Q70" s="34" t="s">
        <v>148</v>
      </c>
      <c r="R70" s="35"/>
      <c r="S70" s="34" t="s">
        <v>148</v>
      </c>
      <c r="T70" s="35"/>
      <c r="U70" s="34">
        <v>-1</v>
      </c>
      <c r="V70" s="35"/>
      <c r="W70" s="34">
        <v>-5</v>
      </c>
      <c r="X70" s="35"/>
      <c r="Y70" s="34" t="s">
        <v>148</v>
      </c>
      <c r="Z70" s="35"/>
      <c r="AA70" s="34">
        <v>2</v>
      </c>
      <c r="AB70" s="35"/>
      <c r="AC70" s="34">
        <v>-5</v>
      </c>
      <c r="AD70" s="35"/>
      <c r="AE70" s="34">
        <v>11</v>
      </c>
      <c r="AF70" s="35"/>
      <c r="AG70" s="34" t="s">
        <v>148</v>
      </c>
      <c r="AH70" s="35"/>
      <c r="AI70" s="34">
        <v>-2</v>
      </c>
      <c r="AJ70" s="35"/>
      <c r="AK70" s="34">
        <v>-13</v>
      </c>
      <c r="AL70" s="35"/>
      <c r="AM70" s="34">
        <v>1</v>
      </c>
      <c r="AN70" s="35"/>
      <c r="AO70" s="34">
        <v>-10</v>
      </c>
      <c r="AP70" s="35"/>
      <c r="AQ70" s="34">
        <v>2</v>
      </c>
      <c r="AR70" s="35"/>
      <c r="AS70" s="34">
        <v>1</v>
      </c>
      <c r="AT70" s="35"/>
      <c r="AU70" s="34" t="s">
        <v>148</v>
      </c>
      <c r="AV70" s="35"/>
      <c r="AW70" s="34">
        <v>-1</v>
      </c>
      <c r="AX70" s="35"/>
      <c r="AY70" s="34">
        <v>-1</v>
      </c>
      <c r="AZ70" s="35"/>
    </row>
    <row r="71" spans="1:52" x14ac:dyDescent="0.25">
      <c r="A71" s="10" t="s">
        <v>1742</v>
      </c>
      <c r="B71" s="10"/>
      <c r="C71" s="34">
        <v>6</v>
      </c>
      <c r="D71" s="35"/>
      <c r="E71" s="34">
        <v>1</v>
      </c>
      <c r="F71" s="35"/>
      <c r="G71" s="34">
        <v>13</v>
      </c>
      <c r="H71" s="35"/>
      <c r="I71" s="34">
        <v>8</v>
      </c>
      <c r="J71" s="35"/>
      <c r="K71" s="34">
        <v>8</v>
      </c>
      <c r="L71" s="35"/>
      <c r="M71" s="34">
        <v>19</v>
      </c>
      <c r="N71" s="35"/>
      <c r="O71" s="34" t="s">
        <v>148</v>
      </c>
      <c r="P71" s="35"/>
      <c r="Q71" s="34">
        <v>-2</v>
      </c>
      <c r="R71" s="35"/>
      <c r="S71" s="34">
        <v>21</v>
      </c>
      <c r="T71" s="35"/>
      <c r="U71" s="34">
        <v>-5</v>
      </c>
      <c r="V71" s="35"/>
      <c r="W71" s="34">
        <v>23</v>
      </c>
      <c r="X71" s="35"/>
      <c r="Y71" s="34" t="s">
        <v>148</v>
      </c>
      <c r="Z71" s="35"/>
      <c r="AA71" s="34">
        <v>10</v>
      </c>
      <c r="AB71" s="35"/>
      <c r="AC71" s="34">
        <v>5</v>
      </c>
      <c r="AD71" s="35"/>
      <c r="AE71" s="34">
        <v>-13</v>
      </c>
      <c r="AF71" s="35"/>
      <c r="AG71" s="34" t="s">
        <v>148</v>
      </c>
      <c r="AH71" s="35"/>
      <c r="AI71" s="34">
        <v>-2</v>
      </c>
      <c r="AJ71" s="35"/>
      <c r="AK71" s="34">
        <v>16</v>
      </c>
      <c r="AL71" s="35"/>
      <c r="AM71" s="34">
        <v>20</v>
      </c>
      <c r="AN71" s="35"/>
      <c r="AO71" s="34">
        <v>2</v>
      </c>
      <c r="AP71" s="35"/>
      <c r="AQ71" s="34">
        <v>5</v>
      </c>
      <c r="AR71" s="35"/>
      <c r="AS71" s="34">
        <v>6</v>
      </c>
      <c r="AT71" s="35"/>
      <c r="AU71" s="34" t="s">
        <v>148</v>
      </c>
      <c r="AV71" s="35"/>
      <c r="AW71" s="34">
        <v>12</v>
      </c>
      <c r="AX71" s="35"/>
      <c r="AY71" s="34">
        <v>-2</v>
      </c>
      <c r="AZ71" s="35"/>
    </row>
    <row r="72" spans="1:52" x14ac:dyDescent="0.25">
      <c r="A72" s="10" t="s">
        <v>1739</v>
      </c>
      <c r="B72" s="10"/>
      <c r="C72" s="34">
        <v>-3</v>
      </c>
      <c r="D72" s="35"/>
      <c r="E72" s="34">
        <v>-9</v>
      </c>
      <c r="F72" s="35"/>
      <c r="G72" s="34">
        <v>-8</v>
      </c>
      <c r="H72" s="35"/>
      <c r="I72" s="34">
        <v>-5</v>
      </c>
      <c r="J72" s="35"/>
      <c r="K72" s="34">
        <v>-10</v>
      </c>
      <c r="L72" s="35"/>
      <c r="M72" s="34">
        <v>2</v>
      </c>
      <c r="N72" s="35"/>
      <c r="O72" s="34" t="s">
        <v>148</v>
      </c>
      <c r="P72" s="35"/>
      <c r="Q72" s="34">
        <v>-15</v>
      </c>
      <c r="R72" s="35"/>
      <c r="S72" s="34">
        <v>-12</v>
      </c>
      <c r="T72" s="35"/>
      <c r="U72" s="34">
        <v>-16</v>
      </c>
      <c r="V72" s="35"/>
      <c r="W72" s="34">
        <v>-5</v>
      </c>
      <c r="X72" s="35"/>
      <c r="Y72" s="34" t="s">
        <v>148</v>
      </c>
      <c r="Z72" s="35"/>
      <c r="AA72" s="34">
        <v>-3</v>
      </c>
      <c r="AB72" s="35"/>
      <c r="AC72" s="34">
        <v>1</v>
      </c>
      <c r="AD72" s="35"/>
      <c r="AE72" s="34">
        <v>-3</v>
      </c>
      <c r="AF72" s="35"/>
      <c r="AG72" s="34">
        <v>-10</v>
      </c>
      <c r="AH72" s="35"/>
      <c r="AI72" s="34">
        <v>-4</v>
      </c>
      <c r="AJ72" s="35"/>
      <c r="AK72" s="34">
        <v>-1</v>
      </c>
      <c r="AL72" s="35"/>
      <c r="AM72" s="34">
        <v>2</v>
      </c>
      <c r="AN72" s="35"/>
      <c r="AO72" s="34">
        <v>-10</v>
      </c>
      <c r="AP72" s="35"/>
      <c r="AQ72" s="34">
        <v>-8</v>
      </c>
      <c r="AR72" s="35"/>
      <c r="AS72" s="34">
        <v>-2</v>
      </c>
      <c r="AT72" s="35"/>
      <c r="AU72" s="34" t="s">
        <v>148</v>
      </c>
      <c r="AV72" s="35"/>
      <c r="AW72" s="34">
        <v>4</v>
      </c>
      <c r="AX72" s="35"/>
      <c r="AY72" s="34">
        <v>-3</v>
      </c>
      <c r="AZ72" s="35"/>
    </row>
    <row r="73" spans="1:52" x14ac:dyDescent="0.25">
      <c r="A73" s="10" t="s">
        <v>1744</v>
      </c>
      <c r="B73" s="10"/>
      <c r="C73" s="34" t="s">
        <v>148</v>
      </c>
      <c r="D73" s="35"/>
      <c r="E73" s="34" t="s">
        <v>148</v>
      </c>
      <c r="F73" s="35"/>
      <c r="G73" s="34" t="s">
        <v>148</v>
      </c>
      <c r="H73" s="35"/>
      <c r="I73" s="34" t="s">
        <v>148</v>
      </c>
      <c r="J73" s="35"/>
      <c r="K73" s="34" t="s">
        <v>148</v>
      </c>
      <c r="L73" s="35"/>
      <c r="M73" s="34" t="s">
        <v>148</v>
      </c>
      <c r="N73" s="35"/>
      <c r="O73" s="34" t="s">
        <v>148</v>
      </c>
      <c r="P73" s="35"/>
      <c r="Q73" s="34">
        <v>0</v>
      </c>
      <c r="R73" s="35"/>
      <c r="S73" s="34" t="s">
        <v>148</v>
      </c>
      <c r="T73" s="35"/>
      <c r="U73" s="34">
        <v>0</v>
      </c>
      <c r="V73" s="35"/>
      <c r="W73" s="34">
        <v>71</v>
      </c>
      <c r="X73" s="35"/>
      <c r="Y73" s="34" t="s">
        <v>148</v>
      </c>
      <c r="Z73" s="35"/>
      <c r="AA73" s="34">
        <v>9</v>
      </c>
      <c r="AB73" s="35"/>
      <c r="AC73" s="34">
        <v>-17</v>
      </c>
      <c r="AD73" s="35"/>
      <c r="AE73" s="34">
        <v>-17</v>
      </c>
      <c r="AF73" s="35"/>
      <c r="AG73" s="34" t="s">
        <v>148</v>
      </c>
      <c r="AH73" s="35"/>
      <c r="AI73" s="34">
        <v>-33</v>
      </c>
      <c r="AJ73" s="35"/>
      <c r="AK73" s="34">
        <v>-17</v>
      </c>
      <c r="AL73" s="35"/>
      <c r="AM73" s="34">
        <v>-19</v>
      </c>
      <c r="AN73" s="35"/>
      <c r="AO73" s="34">
        <v>2</v>
      </c>
      <c r="AP73" s="35"/>
      <c r="AQ73" s="34">
        <v>-8</v>
      </c>
      <c r="AR73" s="35"/>
      <c r="AS73" s="34">
        <v>0</v>
      </c>
      <c r="AT73" s="35"/>
      <c r="AU73" s="34" t="s">
        <v>148</v>
      </c>
      <c r="AV73" s="35"/>
      <c r="AW73" s="34">
        <v>-8</v>
      </c>
      <c r="AX73" s="35"/>
      <c r="AY73" s="34">
        <v>-8</v>
      </c>
      <c r="AZ73" s="35"/>
    </row>
    <row r="74" spans="1:52" x14ac:dyDescent="0.25">
      <c r="A74" s="10" t="s">
        <v>1738</v>
      </c>
      <c r="B74" s="10"/>
      <c r="C74" s="34">
        <v>10</v>
      </c>
      <c r="D74" s="35"/>
      <c r="E74" s="34">
        <v>6</v>
      </c>
      <c r="F74" s="35"/>
      <c r="G74" s="34">
        <v>12</v>
      </c>
      <c r="H74" s="35"/>
      <c r="I74" s="34">
        <v>10</v>
      </c>
      <c r="J74" s="35"/>
      <c r="K74" s="34">
        <v>15</v>
      </c>
      <c r="L74" s="35"/>
      <c r="M74" s="34">
        <v>15</v>
      </c>
      <c r="N74" s="35"/>
      <c r="O74" s="34" t="s">
        <v>148</v>
      </c>
      <c r="P74" s="35"/>
      <c r="Q74" s="34">
        <v>9</v>
      </c>
      <c r="R74" s="35"/>
      <c r="S74" s="34">
        <v>8</v>
      </c>
      <c r="T74" s="35"/>
      <c r="U74" s="34">
        <v>4</v>
      </c>
      <c r="V74" s="35"/>
      <c r="W74" s="34">
        <v>27</v>
      </c>
      <c r="X74" s="35"/>
      <c r="Y74" s="34" t="s">
        <v>148</v>
      </c>
      <c r="Z74" s="35"/>
      <c r="AA74" s="34">
        <v>24</v>
      </c>
      <c r="AB74" s="35"/>
      <c r="AC74" s="34">
        <v>17</v>
      </c>
      <c r="AD74" s="35"/>
      <c r="AE74" s="34">
        <v>16</v>
      </c>
      <c r="AF74" s="35"/>
      <c r="AG74" s="34">
        <v>5</v>
      </c>
      <c r="AH74" s="35"/>
      <c r="AI74" s="34">
        <v>66</v>
      </c>
      <c r="AJ74" s="35"/>
      <c r="AK74" s="34">
        <v>36</v>
      </c>
      <c r="AL74" s="35"/>
      <c r="AM74" s="34">
        <v>9</v>
      </c>
      <c r="AN74" s="35"/>
      <c r="AO74" s="34">
        <v>45</v>
      </c>
      <c r="AP74" s="35"/>
      <c r="AQ74" s="34">
        <v>-18</v>
      </c>
      <c r="AR74" s="35"/>
      <c r="AS74" s="34">
        <v>-12</v>
      </c>
      <c r="AT74" s="35"/>
      <c r="AU74" s="34" t="s">
        <v>148</v>
      </c>
      <c r="AV74" s="35"/>
      <c r="AW74" s="34">
        <v>9</v>
      </c>
      <c r="AX74" s="35"/>
      <c r="AY74" s="34">
        <v>-13</v>
      </c>
      <c r="AZ74" s="35"/>
    </row>
    <row r="75" spans="1:52" x14ac:dyDescent="0.25">
      <c r="A75" s="10" t="s">
        <v>1749</v>
      </c>
      <c r="B75" s="10"/>
      <c r="C75" s="34" t="s">
        <v>148</v>
      </c>
      <c r="D75" s="35"/>
      <c r="E75" s="34" t="s">
        <v>148</v>
      </c>
      <c r="F75" s="35"/>
      <c r="G75" s="34">
        <v>0</v>
      </c>
      <c r="H75" s="35"/>
      <c r="I75" s="34">
        <v>54</v>
      </c>
      <c r="J75" s="35"/>
      <c r="K75" s="34">
        <v>49</v>
      </c>
      <c r="L75" s="35"/>
      <c r="M75" s="34">
        <v>39</v>
      </c>
      <c r="N75" s="35"/>
      <c r="O75" s="34" t="s">
        <v>148</v>
      </c>
      <c r="P75" s="35"/>
      <c r="Q75" s="34">
        <v>17</v>
      </c>
      <c r="R75" s="35"/>
      <c r="S75" s="34">
        <v>-4</v>
      </c>
      <c r="T75" s="35"/>
      <c r="U75" s="34">
        <v>-55</v>
      </c>
      <c r="V75" s="35"/>
      <c r="W75" s="34">
        <v>-62</v>
      </c>
      <c r="X75" s="35"/>
      <c r="Y75" s="34" t="s">
        <v>148</v>
      </c>
      <c r="Z75" s="35"/>
      <c r="AA75" s="34">
        <v>-60</v>
      </c>
      <c r="AB75" s="35"/>
      <c r="AC75" s="34">
        <v>9</v>
      </c>
      <c r="AD75" s="35"/>
      <c r="AE75" s="34">
        <v>45</v>
      </c>
      <c r="AF75" s="35"/>
      <c r="AG75" s="34">
        <v>3</v>
      </c>
      <c r="AH75" s="35"/>
      <c r="AI75" s="34">
        <v>35</v>
      </c>
      <c r="AJ75" s="35"/>
      <c r="AK75" s="34">
        <v>6</v>
      </c>
      <c r="AL75" s="35"/>
      <c r="AM75" s="34">
        <v>-16</v>
      </c>
      <c r="AN75" s="35"/>
      <c r="AO75" s="34">
        <v>-5</v>
      </c>
      <c r="AP75" s="35"/>
      <c r="AQ75" s="34">
        <v>-4</v>
      </c>
      <c r="AR75" s="35"/>
      <c r="AS75" s="34">
        <v>15</v>
      </c>
      <c r="AT75" s="35"/>
      <c r="AU75" s="34" t="s">
        <v>148</v>
      </c>
      <c r="AV75" s="35"/>
      <c r="AW75" s="34">
        <v>-26</v>
      </c>
      <c r="AX75" s="35"/>
      <c r="AY75" s="34">
        <v>-16</v>
      </c>
      <c r="AZ75" s="35"/>
    </row>
    <row r="76" spans="1:52" x14ac:dyDescent="0.25">
      <c r="A76" s="10" t="s">
        <v>1746</v>
      </c>
      <c r="B76" s="10"/>
      <c r="C76" s="34">
        <v>5</v>
      </c>
      <c r="D76" s="35"/>
      <c r="E76" s="34">
        <v>-12</v>
      </c>
      <c r="F76" s="35"/>
      <c r="G76" s="34">
        <v>-25</v>
      </c>
      <c r="H76" s="35"/>
      <c r="I76" s="34">
        <v>-32</v>
      </c>
      <c r="J76" s="35"/>
      <c r="K76" s="34">
        <v>-43</v>
      </c>
      <c r="L76" s="35"/>
      <c r="M76" s="34">
        <v>-40</v>
      </c>
      <c r="N76" s="35"/>
      <c r="O76" s="34" t="s">
        <v>148</v>
      </c>
      <c r="P76" s="35"/>
      <c r="Q76" s="34">
        <v>-22</v>
      </c>
      <c r="R76" s="35"/>
      <c r="S76" s="34">
        <v>-19</v>
      </c>
      <c r="T76" s="35"/>
      <c r="U76" s="34">
        <v>-21</v>
      </c>
      <c r="V76" s="35"/>
      <c r="W76" s="34">
        <v>-18</v>
      </c>
      <c r="X76" s="35"/>
      <c r="Y76" s="34" t="s">
        <v>148</v>
      </c>
      <c r="Z76" s="35"/>
      <c r="AA76" s="34">
        <v>-35</v>
      </c>
      <c r="AB76" s="35"/>
      <c r="AC76" s="34">
        <v>-28</v>
      </c>
      <c r="AD76" s="35"/>
      <c r="AE76" s="34">
        <v>-36</v>
      </c>
      <c r="AF76" s="35"/>
      <c r="AG76" s="34">
        <v>-40</v>
      </c>
      <c r="AH76" s="35"/>
      <c r="AI76" s="34">
        <v>-37</v>
      </c>
      <c r="AJ76" s="35"/>
      <c r="AK76" s="34">
        <v>-28</v>
      </c>
      <c r="AL76" s="35"/>
      <c r="AM76" s="34">
        <v>-24</v>
      </c>
      <c r="AN76" s="35"/>
      <c r="AO76" s="34">
        <v>-50</v>
      </c>
      <c r="AP76" s="35"/>
      <c r="AQ76" s="34">
        <v>8</v>
      </c>
      <c r="AR76" s="35"/>
      <c r="AS76" s="34">
        <v>-53</v>
      </c>
      <c r="AT76" s="35"/>
      <c r="AU76" s="34" t="s">
        <v>148</v>
      </c>
      <c r="AV76" s="35"/>
      <c r="AW76" s="34">
        <v>-11</v>
      </c>
      <c r="AX76" s="35"/>
      <c r="AY76" s="34">
        <v>-59</v>
      </c>
      <c r="AZ76" s="35"/>
    </row>
    <row r="77" spans="1:52" x14ac:dyDescent="0.25">
      <c r="A77" s="10" t="s">
        <v>1751</v>
      </c>
      <c r="B77" s="10"/>
      <c r="C77" s="34">
        <v>-2</v>
      </c>
      <c r="D77" s="35"/>
      <c r="E77" s="34">
        <v>-10</v>
      </c>
      <c r="F77" s="35"/>
      <c r="G77" s="34">
        <v>-11</v>
      </c>
      <c r="H77" s="35"/>
      <c r="I77" s="34">
        <v>-15</v>
      </c>
      <c r="J77" s="35"/>
      <c r="K77" s="34">
        <v>-20</v>
      </c>
      <c r="L77" s="35"/>
      <c r="M77" s="34">
        <v>-29</v>
      </c>
      <c r="N77" s="35"/>
      <c r="O77" s="34" t="s">
        <v>148</v>
      </c>
      <c r="P77" s="35"/>
      <c r="Q77" s="34">
        <v>-31</v>
      </c>
      <c r="R77" s="35"/>
      <c r="S77" s="34">
        <v>-37</v>
      </c>
      <c r="T77" s="35"/>
      <c r="U77" s="34">
        <v>-19</v>
      </c>
      <c r="V77" s="35"/>
      <c r="W77" s="34">
        <v>-19</v>
      </c>
      <c r="X77" s="35"/>
      <c r="Y77" s="34" t="s">
        <v>148</v>
      </c>
      <c r="Z77" s="35"/>
      <c r="AA77" s="34">
        <v>-4</v>
      </c>
      <c r="AB77" s="35"/>
      <c r="AC77" s="34">
        <v>-4</v>
      </c>
      <c r="AD77" s="35"/>
      <c r="AE77" s="34">
        <v>5</v>
      </c>
      <c r="AF77" s="35"/>
      <c r="AG77" s="34" t="s">
        <v>148</v>
      </c>
      <c r="AH77" s="35"/>
      <c r="AI77" s="34">
        <v>-11</v>
      </c>
      <c r="AJ77" s="35"/>
      <c r="AK77" s="34">
        <v>-50</v>
      </c>
      <c r="AL77" s="35"/>
      <c r="AM77" s="34">
        <v>-55</v>
      </c>
      <c r="AN77" s="35"/>
      <c r="AO77" s="34">
        <v>-63</v>
      </c>
      <c r="AP77" s="35"/>
      <c r="AQ77" s="34">
        <v>-52</v>
      </c>
      <c r="AR77" s="35"/>
      <c r="AS77" s="34">
        <v>-32</v>
      </c>
      <c r="AT77" s="35"/>
      <c r="AU77" s="34" t="s">
        <v>148</v>
      </c>
      <c r="AV77" s="35"/>
      <c r="AW77" s="34">
        <v>-34</v>
      </c>
      <c r="AX77" s="35"/>
      <c r="AY77" s="34">
        <v>-65</v>
      </c>
      <c r="AZ77" s="35"/>
    </row>
    <row r="78" spans="1:52" x14ac:dyDescent="0.25">
      <c r="A78" s="10" t="s">
        <v>1752</v>
      </c>
      <c r="B78" s="10"/>
      <c r="C78" s="34" t="s">
        <v>148</v>
      </c>
      <c r="D78" s="35"/>
      <c r="E78" s="34" t="s">
        <v>148</v>
      </c>
      <c r="F78" s="35"/>
      <c r="G78" s="34" t="s">
        <v>148</v>
      </c>
      <c r="H78" s="35"/>
      <c r="I78" s="34" t="s">
        <v>148</v>
      </c>
      <c r="J78" s="35"/>
      <c r="K78" s="34" t="s">
        <v>148</v>
      </c>
      <c r="L78" s="35"/>
      <c r="M78" s="34" t="s">
        <v>148</v>
      </c>
      <c r="N78" s="35"/>
      <c r="O78" s="34" t="s">
        <v>148</v>
      </c>
      <c r="P78" s="35"/>
      <c r="Q78" s="34">
        <v>0</v>
      </c>
      <c r="R78" s="35"/>
      <c r="S78" s="34">
        <v>53</v>
      </c>
      <c r="T78" s="35"/>
      <c r="U78" s="34">
        <v>35</v>
      </c>
      <c r="V78" s="35"/>
      <c r="W78" s="34">
        <v>27</v>
      </c>
      <c r="X78" s="35"/>
      <c r="Y78" s="34" t="s">
        <v>148</v>
      </c>
      <c r="Z78" s="35"/>
      <c r="AA78" s="34">
        <v>-12</v>
      </c>
      <c r="AB78" s="35"/>
      <c r="AC78" s="34">
        <v>-40</v>
      </c>
      <c r="AD78" s="35"/>
      <c r="AE78" s="34">
        <v>-46</v>
      </c>
      <c r="AF78" s="35"/>
      <c r="AG78" s="34" t="s">
        <v>148</v>
      </c>
      <c r="AH78" s="35"/>
      <c r="AI78" s="34">
        <v>-55</v>
      </c>
      <c r="AJ78" s="35"/>
      <c r="AK78" s="34">
        <v>-51</v>
      </c>
      <c r="AL78" s="35"/>
      <c r="AM78" s="34">
        <v>-41</v>
      </c>
      <c r="AN78" s="35"/>
      <c r="AO78" s="34">
        <v>-72</v>
      </c>
      <c r="AP78" s="35"/>
      <c r="AQ78" s="34">
        <v>-33</v>
      </c>
      <c r="AR78" s="35"/>
      <c r="AS78" s="34" t="s">
        <v>148</v>
      </c>
      <c r="AT78" s="35"/>
      <c r="AU78" s="34" t="s">
        <v>148</v>
      </c>
      <c r="AV78" s="35"/>
      <c r="AW78" s="34" t="s">
        <v>148</v>
      </c>
      <c r="AX78" s="35"/>
      <c r="AY78" s="34" t="s">
        <v>148</v>
      </c>
      <c r="AZ78" s="35"/>
    </row>
    <row r="79" spans="1:52" x14ac:dyDescent="0.25">
      <c r="A79" s="10" t="s">
        <v>1759</v>
      </c>
      <c r="B79" s="10"/>
      <c r="C79" s="34" t="s">
        <v>148</v>
      </c>
      <c r="D79" s="35"/>
      <c r="E79" s="34" t="s">
        <v>148</v>
      </c>
      <c r="F79" s="35"/>
      <c r="G79" s="34" t="s">
        <v>148</v>
      </c>
      <c r="H79" s="35"/>
      <c r="I79" s="34" t="s">
        <v>148</v>
      </c>
      <c r="J79" s="35"/>
      <c r="K79" s="34">
        <v>19</v>
      </c>
      <c r="L79" s="35"/>
      <c r="M79" s="34" t="s">
        <v>148</v>
      </c>
      <c r="N79" s="35"/>
      <c r="O79" s="34" t="s">
        <v>148</v>
      </c>
      <c r="P79" s="35"/>
      <c r="Q79" s="34" t="s">
        <v>148</v>
      </c>
      <c r="R79" s="35"/>
      <c r="S79" s="34" t="s">
        <v>148</v>
      </c>
      <c r="T79" s="35"/>
      <c r="U79" s="34" t="s">
        <v>148</v>
      </c>
      <c r="V79" s="35"/>
      <c r="W79" s="34" t="s">
        <v>148</v>
      </c>
      <c r="X79" s="35"/>
      <c r="Y79" s="34" t="s">
        <v>148</v>
      </c>
      <c r="Z79" s="35"/>
      <c r="AA79" s="34" t="s">
        <v>148</v>
      </c>
      <c r="AB79" s="35"/>
      <c r="AC79" s="34" t="s">
        <v>148</v>
      </c>
      <c r="AD79" s="35"/>
      <c r="AE79" s="34" t="s">
        <v>148</v>
      </c>
      <c r="AF79" s="35"/>
      <c r="AG79" s="34" t="s">
        <v>148</v>
      </c>
      <c r="AH79" s="35"/>
      <c r="AI79" s="34" t="s">
        <v>148</v>
      </c>
      <c r="AJ79" s="35"/>
      <c r="AK79" s="34" t="s">
        <v>148</v>
      </c>
      <c r="AL79" s="35"/>
      <c r="AM79" s="34" t="s">
        <v>148</v>
      </c>
      <c r="AN79" s="35"/>
      <c r="AO79" s="34" t="s">
        <v>148</v>
      </c>
      <c r="AP79" s="35"/>
      <c r="AQ79" s="34" t="s">
        <v>148</v>
      </c>
      <c r="AR79" s="35"/>
      <c r="AS79" s="34" t="s">
        <v>148</v>
      </c>
      <c r="AT79" s="35"/>
      <c r="AU79" s="34" t="s">
        <v>148</v>
      </c>
      <c r="AV79" s="35"/>
      <c r="AW79" s="34" t="s">
        <v>148</v>
      </c>
      <c r="AX79" s="35"/>
      <c r="AY79" s="34" t="s">
        <v>148</v>
      </c>
      <c r="AZ79" s="35"/>
    </row>
    <row r="80" spans="1:52" x14ac:dyDescent="0.25">
      <c r="A80" s="10" t="s">
        <v>1753</v>
      </c>
      <c r="B80" s="10"/>
      <c r="C80" s="34" t="s">
        <v>148</v>
      </c>
      <c r="D80" s="35"/>
      <c r="E80" s="34" t="s">
        <v>148</v>
      </c>
      <c r="F80" s="35"/>
      <c r="G80" s="34" t="s">
        <v>148</v>
      </c>
      <c r="H80" s="35"/>
      <c r="I80" s="34" t="s">
        <v>148</v>
      </c>
      <c r="J80" s="35"/>
      <c r="K80" s="34">
        <v>3</v>
      </c>
      <c r="L80" s="35"/>
      <c r="M80" s="34">
        <v>20</v>
      </c>
      <c r="N80" s="35"/>
      <c r="O80" s="34" t="s">
        <v>148</v>
      </c>
      <c r="P80" s="35"/>
      <c r="Q80" s="34">
        <v>59</v>
      </c>
      <c r="R80" s="35"/>
      <c r="S80" s="34">
        <v>6</v>
      </c>
      <c r="T80" s="35"/>
      <c r="U80" s="34">
        <v>-7</v>
      </c>
      <c r="V80" s="35"/>
      <c r="W80" s="34">
        <v>-16</v>
      </c>
      <c r="X80" s="35"/>
      <c r="Y80" s="34" t="s">
        <v>148</v>
      </c>
      <c r="Z80" s="35"/>
      <c r="AA80" s="34">
        <v>-13</v>
      </c>
      <c r="AB80" s="35"/>
      <c r="AC80" s="34">
        <v>53</v>
      </c>
      <c r="AD80" s="35"/>
      <c r="AE80" s="34">
        <v>12</v>
      </c>
      <c r="AF80" s="35"/>
      <c r="AG80" s="34" t="s">
        <v>148</v>
      </c>
      <c r="AH80" s="35"/>
      <c r="AI80" s="34">
        <v>27</v>
      </c>
      <c r="AJ80" s="35"/>
      <c r="AK80" s="34">
        <v>-32</v>
      </c>
      <c r="AL80" s="35"/>
      <c r="AM80" s="34">
        <v>-11</v>
      </c>
      <c r="AN80" s="35"/>
      <c r="AO80" s="34">
        <v>-12</v>
      </c>
      <c r="AP80" s="35"/>
      <c r="AQ80" s="34">
        <v>-32</v>
      </c>
      <c r="AR80" s="35"/>
      <c r="AS80" s="34" t="s">
        <v>148</v>
      </c>
      <c r="AT80" s="35"/>
      <c r="AU80" s="34" t="s">
        <v>148</v>
      </c>
      <c r="AV80" s="35"/>
      <c r="AW80" s="34" t="s">
        <v>148</v>
      </c>
      <c r="AX80" s="35"/>
      <c r="AY80" s="34" t="s">
        <v>148</v>
      </c>
      <c r="AZ80" s="35"/>
    </row>
    <row r="81" spans="1:52" x14ac:dyDescent="0.25">
      <c r="A81" s="10" t="s">
        <v>1754</v>
      </c>
      <c r="B81" s="10"/>
      <c r="C81" s="34">
        <v>8</v>
      </c>
      <c r="D81" s="35"/>
      <c r="E81" s="34">
        <v>-57</v>
      </c>
      <c r="F81" s="35"/>
      <c r="G81" s="34">
        <v>-71</v>
      </c>
      <c r="H81" s="35"/>
      <c r="I81" s="34">
        <v>-73</v>
      </c>
      <c r="J81" s="35"/>
      <c r="K81" s="34">
        <v>-76</v>
      </c>
      <c r="L81" s="35"/>
      <c r="M81" s="34">
        <v>-42</v>
      </c>
      <c r="N81" s="35"/>
      <c r="O81" s="34" t="s">
        <v>148</v>
      </c>
      <c r="P81" s="35"/>
      <c r="Q81" s="34">
        <v>-64</v>
      </c>
      <c r="R81" s="35"/>
      <c r="S81" s="34">
        <v>-58</v>
      </c>
      <c r="T81" s="35"/>
      <c r="U81" s="34">
        <v>-81</v>
      </c>
      <c r="V81" s="35"/>
      <c r="W81" s="34">
        <v>-70</v>
      </c>
      <c r="X81" s="35"/>
      <c r="Y81" s="34" t="s">
        <v>148</v>
      </c>
      <c r="Z81" s="35"/>
      <c r="AA81" s="34">
        <v>-60</v>
      </c>
      <c r="AB81" s="35"/>
      <c r="AC81" s="34">
        <v>-13</v>
      </c>
      <c r="AD81" s="35"/>
      <c r="AE81" s="34">
        <v>-17</v>
      </c>
      <c r="AF81" s="35"/>
      <c r="AG81" s="34" t="s">
        <v>148</v>
      </c>
      <c r="AH81" s="35"/>
      <c r="AI81" s="34">
        <v>-61</v>
      </c>
      <c r="AJ81" s="35"/>
      <c r="AK81" s="34" t="s">
        <v>148</v>
      </c>
      <c r="AL81" s="35"/>
      <c r="AM81" s="34" t="s">
        <v>148</v>
      </c>
      <c r="AN81" s="35"/>
      <c r="AO81" s="34" t="s">
        <v>148</v>
      </c>
      <c r="AP81" s="35"/>
      <c r="AQ81" s="34" t="s">
        <v>148</v>
      </c>
      <c r="AR81" s="35"/>
      <c r="AS81" s="34" t="s">
        <v>148</v>
      </c>
      <c r="AT81" s="35"/>
      <c r="AU81" s="34" t="s">
        <v>148</v>
      </c>
      <c r="AV81" s="35"/>
      <c r="AW81" s="34" t="s">
        <v>148</v>
      </c>
      <c r="AX81" s="35"/>
      <c r="AY81" s="34" t="s">
        <v>148</v>
      </c>
      <c r="AZ81" s="35"/>
    </row>
    <row r="82" spans="1:52" x14ac:dyDescent="0.25">
      <c r="A82" s="10" t="s">
        <v>1755</v>
      </c>
      <c r="B82" s="10"/>
      <c r="C82" s="34">
        <v>-40</v>
      </c>
      <c r="D82" s="35"/>
      <c r="E82" s="34">
        <v>-29</v>
      </c>
      <c r="F82" s="35"/>
      <c r="G82" s="34">
        <v>-26</v>
      </c>
      <c r="H82" s="35"/>
      <c r="I82" s="34">
        <v>-36</v>
      </c>
      <c r="J82" s="35"/>
      <c r="K82" s="34">
        <v>-17</v>
      </c>
      <c r="L82" s="35"/>
      <c r="M82" s="34">
        <v>-11</v>
      </c>
      <c r="N82" s="35"/>
      <c r="O82" s="34" t="s">
        <v>148</v>
      </c>
      <c r="P82" s="35"/>
      <c r="Q82" s="34">
        <v>20</v>
      </c>
      <c r="R82" s="35"/>
      <c r="S82" s="34">
        <v>-26</v>
      </c>
      <c r="T82" s="35"/>
      <c r="U82" s="34">
        <v>-48</v>
      </c>
      <c r="V82" s="35"/>
      <c r="W82" s="34">
        <v>4</v>
      </c>
      <c r="X82" s="35"/>
      <c r="Y82" s="34" t="s">
        <v>148</v>
      </c>
      <c r="Z82" s="35"/>
      <c r="AA82" s="34">
        <v>-33</v>
      </c>
      <c r="AB82" s="35"/>
      <c r="AC82" s="34">
        <v>12</v>
      </c>
      <c r="AD82" s="35"/>
      <c r="AE82" s="34">
        <v>-27</v>
      </c>
      <c r="AF82" s="35"/>
      <c r="AG82" s="34" t="s">
        <v>148</v>
      </c>
      <c r="AH82" s="35"/>
      <c r="AI82" s="34">
        <v>10</v>
      </c>
      <c r="AJ82" s="35"/>
      <c r="AK82" s="34" t="s">
        <v>148</v>
      </c>
      <c r="AL82" s="35"/>
      <c r="AM82" s="34" t="s">
        <v>148</v>
      </c>
      <c r="AN82" s="35"/>
      <c r="AO82" s="34" t="s">
        <v>148</v>
      </c>
      <c r="AP82" s="35"/>
      <c r="AQ82" s="34" t="s">
        <v>148</v>
      </c>
      <c r="AR82" s="35"/>
      <c r="AS82" s="34" t="s">
        <v>148</v>
      </c>
      <c r="AT82" s="35"/>
      <c r="AU82" s="34" t="s">
        <v>148</v>
      </c>
      <c r="AV82" s="35"/>
      <c r="AW82" s="34" t="s">
        <v>148</v>
      </c>
      <c r="AX82" s="35"/>
      <c r="AY82" s="34" t="s">
        <v>148</v>
      </c>
      <c r="AZ82" s="35"/>
    </row>
    <row r="83" spans="1:52" x14ac:dyDescent="0.25">
      <c r="A83" s="6" t="s">
        <v>1760</v>
      </c>
      <c r="B83" s="6"/>
      <c r="C83" s="38" t="s">
        <v>148</v>
      </c>
      <c r="D83" s="39"/>
      <c r="E83" s="38" t="s">
        <v>148</v>
      </c>
      <c r="F83" s="39"/>
      <c r="G83" s="38" t="s">
        <v>148</v>
      </c>
      <c r="H83" s="39"/>
      <c r="I83" s="38" t="s">
        <v>148</v>
      </c>
      <c r="J83" s="39"/>
      <c r="K83" s="38" t="s">
        <v>148</v>
      </c>
      <c r="L83" s="39"/>
      <c r="M83" s="38" t="s">
        <v>148</v>
      </c>
      <c r="N83" s="39"/>
      <c r="O83" s="38" t="s">
        <v>148</v>
      </c>
      <c r="P83" s="39"/>
      <c r="Q83" s="38" t="s">
        <v>148</v>
      </c>
      <c r="R83" s="39"/>
      <c r="S83" s="38" t="s">
        <v>148</v>
      </c>
      <c r="T83" s="39"/>
      <c r="U83" s="38" t="s">
        <v>148</v>
      </c>
      <c r="V83" s="39"/>
      <c r="W83" s="38" t="s">
        <v>148</v>
      </c>
      <c r="X83" s="39"/>
      <c r="Y83" s="38" t="s">
        <v>148</v>
      </c>
      <c r="Z83" s="39"/>
      <c r="AA83" s="38" t="s">
        <v>148</v>
      </c>
      <c r="AB83" s="39"/>
      <c r="AC83" s="38" t="s">
        <v>148</v>
      </c>
      <c r="AD83" s="39"/>
      <c r="AE83" s="38" t="s">
        <v>148</v>
      </c>
      <c r="AF83" s="39"/>
      <c r="AG83" s="38" t="s">
        <v>148</v>
      </c>
      <c r="AH83" s="39"/>
      <c r="AI83" s="38" t="s">
        <v>148</v>
      </c>
      <c r="AJ83" s="39"/>
      <c r="AK83" s="38" t="s">
        <v>148</v>
      </c>
      <c r="AL83" s="39"/>
      <c r="AM83" s="38" t="s">
        <v>148</v>
      </c>
      <c r="AN83" s="39"/>
      <c r="AO83" s="38" t="s">
        <v>148</v>
      </c>
      <c r="AP83" s="39"/>
      <c r="AQ83" s="38" t="s">
        <v>148</v>
      </c>
      <c r="AR83" s="39"/>
      <c r="AS83" s="38" t="s">
        <v>148</v>
      </c>
      <c r="AT83" s="39"/>
      <c r="AU83" s="38" t="s">
        <v>148</v>
      </c>
      <c r="AV83" s="39"/>
      <c r="AW83" s="38" t="s">
        <v>148</v>
      </c>
      <c r="AX83" s="39"/>
      <c r="AY83" s="38" t="s">
        <v>148</v>
      </c>
      <c r="AZ83" s="39"/>
    </row>
    <row r="84" spans="1:52" x14ac:dyDescent="0.25">
      <c r="A84" s="10" t="s">
        <v>1748</v>
      </c>
      <c r="B84" s="10"/>
      <c r="C84" s="34" t="s">
        <v>148</v>
      </c>
      <c r="D84" s="35"/>
      <c r="E84" s="34" t="s">
        <v>148</v>
      </c>
      <c r="F84" s="35"/>
      <c r="G84" s="34" t="s">
        <v>148</v>
      </c>
      <c r="H84" s="35"/>
      <c r="I84" s="34" t="s">
        <v>148</v>
      </c>
      <c r="J84" s="35"/>
      <c r="K84" s="34" t="s">
        <v>148</v>
      </c>
      <c r="L84" s="35"/>
      <c r="M84" s="34" t="s">
        <v>148</v>
      </c>
      <c r="N84" s="35"/>
      <c r="O84" s="34" t="s">
        <v>148</v>
      </c>
      <c r="P84" s="35"/>
      <c r="Q84" s="34" t="s">
        <v>148</v>
      </c>
      <c r="R84" s="35"/>
      <c r="S84" s="34" t="s">
        <v>148</v>
      </c>
      <c r="T84" s="35"/>
      <c r="U84" s="34" t="s">
        <v>148</v>
      </c>
      <c r="V84" s="35"/>
      <c r="W84" s="34" t="s">
        <v>148</v>
      </c>
      <c r="X84" s="35"/>
      <c r="Y84" s="34" t="s">
        <v>148</v>
      </c>
      <c r="Z84" s="35"/>
      <c r="AA84" s="34" t="s">
        <v>148</v>
      </c>
      <c r="AB84" s="35"/>
      <c r="AC84" s="34" t="s">
        <v>148</v>
      </c>
      <c r="AD84" s="35"/>
      <c r="AE84" s="34" t="s">
        <v>148</v>
      </c>
      <c r="AF84" s="35"/>
      <c r="AG84" s="34" t="s">
        <v>148</v>
      </c>
      <c r="AH84" s="35"/>
      <c r="AI84" s="34" t="s">
        <v>148</v>
      </c>
      <c r="AJ84" s="35"/>
      <c r="AK84" s="34" t="s">
        <v>148</v>
      </c>
      <c r="AL84" s="35"/>
      <c r="AM84" s="34" t="s">
        <v>148</v>
      </c>
      <c r="AN84" s="35"/>
      <c r="AO84" s="34" t="s">
        <v>148</v>
      </c>
      <c r="AP84" s="35"/>
      <c r="AQ84" s="34" t="s">
        <v>148</v>
      </c>
      <c r="AR84" s="35"/>
      <c r="AS84" s="34" t="s">
        <v>148</v>
      </c>
      <c r="AT84" s="35"/>
      <c r="AU84" s="34" t="s">
        <v>148</v>
      </c>
      <c r="AV84" s="35"/>
      <c r="AW84" s="34" t="s">
        <v>148</v>
      </c>
      <c r="AX84" s="35"/>
      <c r="AY84" s="34">
        <v>84</v>
      </c>
      <c r="AZ84" s="35"/>
    </row>
    <row r="85" spans="1:52" x14ac:dyDescent="0.25">
      <c r="A85" s="10" t="s">
        <v>1741</v>
      </c>
      <c r="B85" s="10"/>
      <c r="C85" s="34" t="s">
        <v>148</v>
      </c>
      <c r="D85" s="35"/>
      <c r="E85" s="34" t="s">
        <v>148</v>
      </c>
      <c r="F85" s="35"/>
      <c r="G85" s="34" t="s">
        <v>148</v>
      </c>
      <c r="H85" s="35"/>
      <c r="I85" s="34" t="s">
        <v>148</v>
      </c>
      <c r="J85" s="35"/>
      <c r="K85" s="34" t="s">
        <v>148</v>
      </c>
      <c r="L85" s="35"/>
      <c r="M85" s="34" t="s">
        <v>148</v>
      </c>
      <c r="N85" s="35"/>
      <c r="O85" s="34" t="s">
        <v>148</v>
      </c>
      <c r="P85" s="35"/>
      <c r="Q85" s="34">
        <v>31</v>
      </c>
      <c r="R85" s="35"/>
      <c r="S85" s="34">
        <v>45</v>
      </c>
      <c r="T85" s="35"/>
      <c r="U85" s="34">
        <v>23</v>
      </c>
      <c r="V85" s="35"/>
      <c r="W85" s="34">
        <v>73</v>
      </c>
      <c r="X85" s="35"/>
      <c r="Y85" s="34" t="s">
        <v>148</v>
      </c>
      <c r="Z85" s="35"/>
      <c r="AA85" s="34">
        <v>12</v>
      </c>
      <c r="AB85" s="35"/>
      <c r="AC85" s="34">
        <v>2</v>
      </c>
      <c r="AD85" s="35"/>
      <c r="AE85" s="34">
        <v>8</v>
      </c>
      <c r="AF85" s="35"/>
      <c r="AG85" s="34" t="s">
        <v>148</v>
      </c>
      <c r="AH85" s="35"/>
      <c r="AI85" s="34">
        <v>3</v>
      </c>
      <c r="AJ85" s="35"/>
      <c r="AK85" s="34">
        <v>52</v>
      </c>
      <c r="AL85" s="35"/>
      <c r="AM85" s="34">
        <v>29</v>
      </c>
      <c r="AN85" s="35"/>
      <c r="AO85" s="34">
        <v>30</v>
      </c>
      <c r="AP85" s="35"/>
      <c r="AQ85" s="34">
        <v>34</v>
      </c>
      <c r="AR85" s="35"/>
      <c r="AS85" s="34">
        <v>2</v>
      </c>
      <c r="AT85" s="35"/>
      <c r="AU85" s="34" t="s">
        <v>148</v>
      </c>
      <c r="AV85" s="35"/>
      <c r="AW85" s="34">
        <v>9</v>
      </c>
      <c r="AX85" s="35"/>
      <c r="AY85" s="34">
        <v>84</v>
      </c>
      <c r="AZ85" s="35"/>
    </row>
    <row r="86" spans="1:52" x14ac:dyDescent="0.25">
      <c r="A86" s="10" t="s">
        <v>1740</v>
      </c>
      <c r="B86" s="10"/>
      <c r="C86" s="34" t="s">
        <v>148</v>
      </c>
      <c r="D86" s="35"/>
      <c r="E86" s="34" t="s">
        <v>148</v>
      </c>
      <c r="F86" s="35"/>
      <c r="G86" s="34" t="s">
        <v>148</v>
      </c>
      <c r="H86" s="35"/>
      <c r="I86" s="34" t="s">
        <v>148</v>
      </c>
      <c r="J86" s="35"/>
      <c r="K86" s="34" t="s">
        <v>148</v>
      </c>
      <c r="L86" s="35"/>
      <c r="M86" s="34" t="s">
        <v>148</v>
      </c>
      <c r="N86" s="35"/>
      <c r="O86" s="34" t="s">
        <v>148</v>
      </c>
      <c r="P86" s="35"/>
      <c r="Q86" s="34" t="s">
        <v>148</v>
      </c>
      <c r="R86" s="35"/>
      <c r="S86" s="34" t="s">
        <v>148</v>
      </c>
      <c r="T86" s="35"/>
      <c r="U86" s="34" t="s">
        <v>148</v>
      </c>
      <c r="V86" s="35"/>
      <c r="W86" s="34" t="s">
        <v>148</v>
      </c>
      <c r="X86" s="35"/>
      <c r="Y86" s="34" t="s">
        <v>148</v>
      </c>
      <c r="Z86" s="35"/>
      <c r="AA86" s="34" t="s">
        <v>148</v>
      </c>
      <c r="AB86" s="35"/>
      <c r="AC86" s="34" t="s">
        <v>148</v>
      </c>
      <c r="AD86" s="35"/>
      <c r="AE86" s="34" t="s">
        <v>148</v>
      </c>
      <c r="AF86" s="35"/>
      <c r="AG86" s="34">
        <v>0</v>
      </c>
      <c r="AH86" s="35"/>
      <c r="AI86" s="34" t="s">
        <v>148</v>
      </c>
      <c r="AJ86" s="35"/>
      <c r="AK86" s="34">
        <v>0</v>
      </c>
      <c r="AL86" s="35"/>
      <c r="AM86" s="34" t="s">
        <v>148</v>
      </c>
      <c r="AN86" s="35"/>
      <c r="AO86" s="34">
        <v>0</v>
      </c>
      <c r="AP86" s="35"/>
      <c r="AQ86" s="34">
        <v>0</v>
      </c>
      <c r="AR86" s="35"/>
      <c r="AS86" s="34">
        <v>80</v>
      </c>
      <c r="AT86" s="35"/>
      <c r="AU86" s="34" t="s">
        <v>148</v>
      </c>
      <c r="AV86" s="35"/>
      <c r="AW86" s="34">
        <v>67</v>
      </c>
      <c r="AX86" s="35"/>
      <c r="AY86" s="34">
        <v>67</v>
      </c>
      <c r="AZ86" s="35"/>
    </row>
    <row r="87" spans="1:52" x14ac:dyDescent="0.25">
      <c r="A87" s="10" t="s">
        <v>1733</v>
      </c>
      <c r="B87" s="10"/>
      <c r="C87" s="34" t="s">
        <v>148</v>
      </c>
      <c r="D87" s="35"/>
      <c r="E87" s="34" t="s">
        <v>148</v>
      </c>
      <c r="F87" s="35"/>
      <c r="G87" s="34" t="s">
        <v>148</v>
      </c>
      <c r="H87" s="35"/>
      <c r="I87" s="34" t="s">
        <v>148</v>
      </c>
      <c r="J87" s="35"/>
      <c r="K87" s="34">
        <v>27</v>
      </c>
      <c r="L87" s="35"/>
      <c r="M87" s="34">
        <v>36</v>
      </c>
      <c r="N87" s="35"/>
      <c r="O87" s="34" t="s">
        <v>148</v>
      </c>
      <c r="P87" s="35"/>
      <c r="Q87" s="34">
        <v>5</v>
      </c>
      <c r="R87" s="35"/>
      <c r="S87" s="34">
        <v>29</v>
      </c>
      <c r="T87" s="35"/>
      <c r="U87" s="34">
        <v>14</v>
      </c>
      <c r="V87" s="35"/>
      <c r="W87" s="34">
        <v>16</v>
      </c>
      <c r="X87" s="35"/>
      <c r="Y87" s="34" t="s">
        <v>148</v>
      </c>
      <c r="Z87" s="35"/>
      <c r="AA87" s="34">
        <v>28</v>
      </c>
      <c r="AB87" s="35"/>
      <c r="AC87" s="34">
        <v>29</v>
      </c>
      <c r="AD87" s="35"/>
      <c r="AE87" s="34">
        <v>29</v>
      </c>
      <c r="AF87" s="35"/>
      <c r="AG87" s="34" t="s">
        <v>148</v>
      </c>
      <c r="AH87" s="35"/>
      <c r="AI87" s="34">
        <v>24</v>
      </c>
      <c r="AJ87" s="35"/>
      <c r="AK87" s="34">
        <v>41</v>
      </c>
      <c r="AL87" s="35"/>
      <c r="AM87" s="34">
        <v>48</v>
      </c>
      <c r="AN87" s="35"/>
      <c r="AO87" s="34">
        <v>55</v>
      </c>
      <c r="AP87" s="35"/>
      <c r="AQ87" s="34">
        <v>47</v>
      </c>
      <c r="AR87" s="35"/>
      <c r="AS87" s="34">
        <v>26</v>
      </c>
      <c r="AT87" s="35"/>
      <c r="AU87" s="34" t="s">
        <v>148</v>
      </c>
      <c r="AV87" s="35"/>
      <c r="AW87" s="34">
        <v>49</v>
      </c>
      <c r="AX87" s="35"/>
      <c r="AY87" s="34">
        <v>58</v>
      </c>
      <c r="AZ87" s="35"/>
    </row>
    <row r="88" spans="1:52" x14ac:dyDescent="0.25">
      <c r="A88" s="10" t="s">
        <v>1745</v>
      </c>
      <c r="B88" s="10"/>
      <c r="C88" s="34" t="s">
        <v>148</v>
      </c>
      <c r="D88" s="35"/>
      <c r="E88" s="34" t="s">
        <v>148</v>
      </c>
      <c r="F88" s="35"/>
      <c r="G88" s="34" t="s">
        <v>148</v>
      </c>
      <c r="H88" s="35"/>
      <c r="I88" s="34" t="s">
        <v>148</v>
      </c>
      <c r="J88" s="35"/>
      <c r="K88" s="34" t="s">
        <v>148</v>
      </c>
      <c r="L88" s="35"/>
      <c r="M88" s="34" t="s">
        <v>148</v>
      </c>
      <c r="N88" s="35"/>
      <c r="O88" s="34" t="s">
        <v>148</v>
      </c>
      <c r="P88" s="35"/>
      <c r="Q88" s="34" t="s">
        <v>148</v>
      </c>
      <c r="R88" s="35"/>
      <c r="S88" s="34" t="s">
        <v>148</v>
      </c>
      <c r="T88" s="35"/>
      <c r="U88" s="34" t="s">
        <v>148</v>
      </c>
      <c r="V88" s="35"/>
      <c r="W88" s="34" t="s">
        <v>148</v>
      </c>
      <c r="X88" s="35"/>
      <c r="Y88" s="34" t="s">
        <v>148</v>
      </c>
      <c r="Z88" s="35"/>
      <c r="AA88" s="34" t="s">
        <v>148</v>
      </c>
      <c r="AB88" s="35"/>
      <c r="AC88" s="34" t="s">
        <v>148</v>
      </c>
      <c r="AD88" s="35"/>
      <c r="AE88" s="34" t="s">
        <v>148</v>
      </c>
      <c r="AF88" s="35"/>
      <c r="AG88" s="34" t="s">
        <v>148</v>
      </c>
      <c r="AH88" s="35"/>
      <c r="AI88" s="34" t="s">
        <v>148</v>
      </c>
      <c r="AJ88" s="35"/>
      <c r="AK88" s="34" t="s">
        <v>148</v>
      </c>
      <c r="AL88" s="35"/>
      <c r="AM88" s="34" t="s">
        <v>148</v>
      </c>
      <c r="AN88" s="35"/>
      <c r="AO88" s="34" t="s">
        <v>148</v>
      </c>
      <c r="AP88" s="35"/>
      <c r="AQ88" s="34" t="s">
        <v>148</v>
      </c>
      <c r="AR88" s="35"/>
      <c r="AS88" s="34" t="s">
        <v>148</v>
      </c>
      <c r="AT88" s="35"/>
      <c r="AU88" s="34" t="s">
        <v>148</v>
      </c>
      <c r="AV88" s="35"/>
      <c r="AW88" s="34" t="s">
        <v>148</v>
      </c>
      <c r="AX88" s="35"/>
      <c r="AY88" s="34">
        <v>55</v>
      </c>
      <c r="AZ88" s="35"/>
    </row>
    <row r="89" spans="1:52" x14ac:dyDescent="0.25">
      <c r="A89" s="10" t="s">
        <v>1729</v>
      </c>
      <c r="B89" s="10"/>
      <c r="C89" s="34" t="s">
        <v>148</v>
      </c>
      <c r="D89" s="35"/>
      <c r="E89" s="34" t="s">
        <v>148</v>
      </c>
      <c r="F89" s="35"/>
      <c r="G89" s="34" t="s">
        <v>148</v>
      </c>
      <c r="H89" s="35"/>
      <c r="I89" s="34" t="s">
        <v>148</v>
      </c>
      <c r="J89" s="35"/>
      <c r="K89" s="34">
        <v>26</v>
      </c>
      <c r="L89" s="35"/>
      <c r="M89" s="34">
        <v>62</v>
      </c>
      <c r="N89" s="35"/>
      <c r="O89" s="34" t="s">
        <v>148</v>
      </c>
      <c r="P89" s="35"/>
      <c r="Q89" s="34">
        <v>22</v>
      </c>
      <c r="R89" s="35"/>
      <c r="S89" s="34">
        <v>27</v>
      </c>
      <c r="T89" s="35"/>
      <c r="U89" s="34">
        <v>25</v>
      </c>
      <c r="V89" s="35"/>
      <c r="W89" s="34">
        <v>43</v>
      </c>
      <c r="X89" s="35"/>
      <c r="Y89" s="34" t="s">
        <v>148</v>
      </c>
      <c r="Z89" s="35"/>
      <c r="AA89" s="34">
        <v>8</v>
      </c>
      <c r="AB89" s="35"/>
      <c r="AC89" s="34">
        <v>15</v>
      </c>
      <c r="AD89" s="35"/>
      <c r="AE89" s="34">
        <v>14</v>
      </c>
      <c r="AF89" s="35"/>
      <c r="AG89" s="34">
        <v>14</v>
      </c>
      <c r="AH89" s="35"/>
      <c r="AI89" s="34">
        <v>22</v>
      </c>
      <c r="AJ89" s="35"/>
      <c r="AK89" s="34">
        <v>18</v>
      </c>
      <c r="AL89" s="35"/>
      <c r="AM89" s="34">
        <v>30</v>
      </c>
      <c r="AN89" s="35"/>
      <c r="AO89" s="34">
        <v>31</v>
      </c>
      <c r="AP89" s="35"/>
      <c r="AQ89" s="34">
        <v>25</v>
      </c>
      <c r="AR89" s="35"/>
      <c r="AS89" s="34">
        <v>33</v>
      </c>
      <c r="AT89" s="35"/>
      <c r="AU89" s="34" t="s">
        <v>148</v>
      </c>
      <c r="AV89" s="35"/>
      <c r="AW89" s="34">
        <v>40</v>
      </c>
      <c r="AX89" s="35"/>
      <c r="AY89" s="34">
        <v>45</v>
      </c>
      <c r="AZ89" s="35"/>
    </row>
    <row r="90" spans="1:52" x14ac:dyDescent="0.25">
      <c r="A90" s="10" t="s">
        <v>1732</v>
      </c>
      <c r="B90" s="10"/>
      <c r="C90" s="34" t="s">
        <v>148</v>
      </c>
      <c r="D90" s="35"/>
      <c r="E90" s="34" t="s">
        <v>148</v>
      </c>
      <c r="F90" s="35"/>
      <c r="G90" s="34" t="s">
        <v>148</v>
      </c>
      <c r="H90" s="35"/>
      <c r="I90" s="34" t="s">
        <v>148</v>
      </c>
      <c r="J90" s="35"/>
      <c r="K90" s="34" t="s">
        <v>148</v>
      </c>
      <c r="L90" s="35"/>
      <c r="M90" s="34" t="s">
        <v>148</v>
      </c>
      <c r="N90" s="35"/>
      <c r="O90" s="34" t="s">
        <v>148</v>
      </c>
      <c r="P90" s="35"/>
      <c r="Q90" s="34">
        <v>0</v>
      </c>
      <c r="R90" s="35"/>
      <c r="S90" s="34">
        <v>6</v>
      </c>
      <c r="T90" s="35"/>
      <c r="U90" s="34">
        <v>7</v>
      </c>
      <c r="V90" s="35"/>
      <c r="W90" s="34">
        <v>30</v>
      </c>
      <c r="X90" s="35"/>
      <c r="Y90" s="34" t="s">
        <v>148</v>
      </c>
      <c r="Z90" s="35"/>
      <c r="AA90" s="34">
        <v>59</v>
      </c>
      <c r="AB90" s="35"/>
      <c r="AC90" s="34">
        <v>59</v>
      </c>
      <c r="AD90" s="35"/>
      <c r="AE90" s="34">
        <v>46</v>
      </c>
      <c r="AF90" s="35"/>
      <c r="AG90" s="34" t="s">
        <v>148</v>
      </c>
      <c r="AH90" s="35"/>
      <c r="AI90" s="34">
        <v>57</v>
      </c>
      <c r="AJ90" s="35"/>
      <c r="AK90" s="34">
        <v>49</v>
      </c>
      <c r="AL90" s="35"/>
      <c r="AM90" s="34">
        <v>47</v>
      </c>
      <c r="AN90" s="35"/>
      <c r="AO90" s="34">
        <v>53</v>
      </c>
      <c r="AP90" s="35"/>
      <c r="AQ90" s="34">
        <v>41</v>
      </c>
      <c r="AR90" s="35"/>
      <c r="AS90" s="34">
        <v>35</v>
      </c>
      <c r="AT90" s="35"/>
      <c r="AU90" s="34" t="s">
        <v>148</v>
      </c>
      <c r="AV90" s="35"/>
      <c r="AW90" s="34">
        <v>30</v>
      </c>
      <c r="AX90" s="35"/>
      <c r="AY90" s="34">
        <v>36</v>
      </c>
      <c r="AZ90" s="35"/>
    </row>
    <row r="91" spans="1:52" x14ac:dyDescent="0.25">
      <c r="A91" s="10" t="s">
        <v>1743</v>
      </c>
      <c r="B91" s="10"/>
      <c r="C91" s="34" t="s">
        <v>148</v>
      </c>
      <c r="D91" s="35"/>
      <c r="E91" s="34" t="s">
        <v>148</v>
      </c>
      <c r="F91" s="35"/>
      <c r="G91" s="34" t="s">
        <v>148</v>
      </c>
      <c r="H91" s="35"/>
      <c r="I91" s="34" t="s">
        <v>148</v>
      </c>
      <c r="J91" s="35"/>
      <c r="K91" s="34" t="s">
        <v>148</v>
      </c>
      <c r="L91" s="35"/>
      <c r="M91" s="34" t="s">
        <v>148</v>
      </c>
      <c r="N91" s="35"/>
      <c r="O91" s="34" t="s">
        <v>148</v>
      </c>
      <c r="P91" s="35"/>
      <c r="Q91" s="34" t="s">
        <v>148</v>
      </c>
      <c r="R91" s="35"/>
      <c r="S91" s="34" t="s">
        <v>148</v>
      </c>
      <c r="T91" s="35"/>
      <c r="U91" s="34" t="s">
        <v>148</v>
      </c>
      <c r="V91" s="35"/>
      <c r="W91" s="34" t="s">
        <v>148</v>
      </c>
      <c r="X91" s="35"/>
      <c r="Y91" s="34" t="s">
        <v>148</v>
      </c>
      <c r="Z91" s="35"/>
      <c r="AA91" s="34" t="s">
        <v>148</v>
      </c>
      <c r="AB91" s="35"/>
      <c r="AC91" s="34" t="s">
        <v>148</v>
      </c>
      <c r="AD91" s="35"/>
      <c r="AE91" s="34" t="s">
        <v>148</v>
      </c>
      <c r="AF91" s="35"/>
      <c r="AG91" s="34" t="s">
        <v>148</v>
      </c>
      <c r="AH91" s="35"/>
      <c r="AI91" s="34" t="s">
        <v>148</v>
      </c>
      <c r="AJ91" s="35"/>
      <c r="AK91" s="34" t="s">
        <v>148</v>
      </c>
      <c r="AL91" s="35"/>
      <c r="AM91" s="34" t="s">
        <v>148</v>
      </c>
      <c r="AN91" s="35"/>
      <c r="AO91" s="34" t="s">
        <v>148</v>
      </c>
      <c r="AP91" s="35"/>
      <c r="AQ91" s="34" t="s">
        <v>148</v>
      </c>
      <c r="AR91" s="35"/>
      <c r="AS91" s="34" t="s">
        <v>148</v>
      </c>
      <c r="AT91" s="35"/>
      <c r="AU91" s="34" t="s">
        <v>148</v>
      </c>
      <c r="AV91" s="35"/>
      <c r="AW91" s="34" t="s">
        <v>148</v>
      </c>
      <c r="AX91" s="35"/>
      <c r="AY91" s="34">
        <v>30</v>
      </c>
      <c r="AZ91" s="35"/>
    </row>
    <row r="92" spans="1:52" x14ac:dyDescent="0.25">
      <c r="A92" s="10" t="s">
        <v>1737</v>
      </c>
      <c r="B92" s="10"/>
      <c r="C92" s="34" t="s">
        <v>148</v>
      </c>
      <c r="D92" s="35"/>
      <c r="E92" s="34" t="s">
        <v>148</v>
      </c>
      <c r="F92" s="35"/>
      <c r="G92" s="34" t="s">
        <v>148</v>
      </c>
      <c r="H92" s="35"/>
      <c r="I92" s="34" t="s">
        <v>148</v>
      </c>
      <c r="J92" s="35"/>
      <c r="K92" s="34" t="s">
        <v>148</v>
      </c>
      <c r="L92" s="35"/>
      <c r="M92" s="34" t="s">
        <v>148</v>
      </c>
      <c r="N92" s="35"/>
      <c r="O92" s="34" t="s">
        <v>148</v>
      </c>
      <c r="P92" s="35"/>
      <c r="Q92" s="34" t="s">
        <v>148</v>
      </c>
      <c r="R92" s="35"/>
      <c r="S92" s="34" t="s">
        <v>148</v>
      </c>
      <c r="T92" s="35"/>
      <c r="U92" s="34" t="s">
        <v>148</v>
      </c>
      <c r="V92" s="35"/>
      <c r="W92" s="34" t="s">
        <v>148</v>
      </c>
      <c r="X92" s="35"/>
      <c r="Y92" s="34" t="s">
        <v>148</v>
      </c>
      <c r="Z92" s="35"/>
      <c r="AA92" s="34" t="s">
        <v>148</v>
      </c>
      <c r="AB92" s="35"/>
      <c r="AC92" s="34" t="s">
        <v>148</v>
      </c>
      <c r="AD92" s="35"/>
      <c r="AE92" s="34" t="s">
        <v>148</v>
      </c>
      <c r="AF92" s="35"/>
      <c r="AG92" s="34" t="s">
        <v>148</v>
      </c>
      <c r="AH92" s="35"/>
      <c r="AI92" s="34" t="s">
        <v>148</v>
      </c>
      <c r="AJ92" s="35"/>
      <c r="AK92" s="34" t="s">
        <v>148</v>
      </c>
      <c r="AL92" s="35"/>
      <c r="AM92" s="34" t="s">
        <v>148</v>
      </c>
      <c r="AN92" s="35"/>
      <c r="AO92" s="34" t="s">
        <v>148</v>
      </c>
      <c r="AP92" s="35"/>
      <c r="AQ92" s="34" t="s">
        <v>148</v>
      </c>
      <c r="AR92" s="35"/>
      <c r="AS92" s="34" t="s">
        <v>148</v>
      </c>
      <c r="AT92" s="35"/>
      <c r="AU92" s="34" t="s">
        <v>148</v>
      </c>
      <c r="AV92" s="35"/>
      <c r="AW92" s="34" t="s">
        <v>148</v>
      </c>
      <c r="AX92" s="35"/>
      <c r="AY92" s="34">
        <v>27</v>
      </c>
      <c r="AZ92" s="35"/>
    </row>
    <row r="93" spans="1:52" x14ac:dyDescent="0.25">
      <c r="A93" s="10" t="s">
        <v>1736</v>
      </c>
      <c r="B93" s="10"/>
      <c r="C93" s="34" t="s">
        <v>148</v>
      </c>
      <c r="D93" s="35"/>
      <c r="E93" s="34" t="s">
        <v>148</v>
      </c>
      <c r="F93" s="35"/>
      <c r="G93" s="34" t="s">
        <v>148</v>
      </c>
      <c r="H93" s="35"/>
      <c r="I93" s="34" t="s">
        <v>148</v>
      </c>
      <c r="J93" s="35"/>
      <c r="K93" s="34">
        <v>19</v>
      </c>
      <c r="L93" s="35"/>
      <c r="M93" s="34">
        <v>5</v>
      </c>
      <c r="N93" s="35"/>
      <c r="O93" s="34" t="s">
        <v>148</v>
      </c>
      <c r="P93" s="35"/>
      <c r="Q93" s="34">
        <v>-2</v>
      </c>
      <c r="R93" s="35"/>
      <c r="S93" s="34">
        <v>-13</v>
      </c>
      <c r="T93" s="35"/>
      <c r="U93" s="34">
        <v>13</v>
      </c>
      <c r="V93" s="35"/>
      <c r="W93" s="34">
        <v>9</v>
      </c>
      <c r="X93" s="35"/>
      <c r="Y93" s="34" t="s">
        <v>148</v>
      </c>
      <c r="Z93" s="35"/>
      <c r="AA93" s="34">
        <v>39</v>
      </c>
      <c r="AB93" s="35"/>
      <c r="AC93" s="34">
        <v>18</v>
      </c>
      <c r="AD93" s="35"/>
      <c r="AE93" s="34">
        <v>66</v>
      </c>
      <c r="AF93" s="35"/>
      <c r="AG93" s="34">
        <v>12</v>
      </c>
      <c r="AH93" s="35"/>
      <c r="AI93" s="34">
        <v>12</v>
      </c>
      <c r="AJ93" s="35"/>
      <c r="AK93" s="34">
        <v>35</v>
      </c>
      <c r="AL93" s="35"/>
      <c r="AM93" s="34">
        <v>2</v>
      </c>
      <c r="AN93" s="35"/>
      <c r="AO93" s="34">
        <v>1</v>
      </c>
      <c r="AP93" s="35"/>
      <c r="AQ93" s="34">
        <v>9</v>
      </c>
      <c r="AR93" s="35"/>
      <c r="AS93" s="34">
        <v>16</v>
      </c>
      <c r="AT93" s="35"/>
      <c r="AU93" s="34" t="s">
        <v>148</v>
      </c>
      <c r="AV93" s="35"/>
      <c r="AW93" s="34">
        <v>0</v>
      </c>
      <c r="AX93" s="35"/>
      <c r="AY93" s="34">
        <v>22</v>
      </c>
      <c r="AZ93" s="35"/>
    </row>
    <row r="94" spans="1:52" x14ac:dyDescent="0.25">
      <c r="A94" s="10" t="s">
        <v>1747</v>
      </c>
      <c r="B94" s="10"/>
      <c r="C94" s="34" t="s">
        <v>148</v>
      </c>
      <c r="D94" s="35"/>
      <c r="E94" s="34" t="s">
        <v>148</v>
      </c>
      <c r="F94" s="35"/>
      <c r="G94" s="34" t="s">
        <v>148</v>
      </c>
      <c r="H94" s="35"/>
      <c r="I94" s="34" t="s">
        <v>148</v>
      </c>
      <c r="J94" s="35"/>
      <c r="K94" s="34" t="s">
        <v>148</v>
      </c>
      <c r="L94" s="35"/>
      <c r="M94" s="34" t="s">
        <v>148</v>
      </c>
      <c r="N94" s="35"/>
      <c r="O94" s="34" t="s">
        <v>148</v>
      </c>
      <c r="P94" s="35"/>
      <c r="Q94" s="34" t="s">
        <v>148</v>
      </c>
      <c r="R94" s="35"/>
      <c r="S94" s="34" t="s">
        <v>148</v>
      </c>
      <c r="T94" s="35"/>
      <c r="U94" s="34" t="s">
        <v>148</v>
      </c>
      <c r="V94" s="35"/>
      <c r="W94" s="34" t="s">
        <v>148</v>
      </c>
      <c r="X94" s="35"/>
      <c r="Y94" s="34" t="s">
        <v>148</v>
      </c>
      <c r="Z94" s="35"/>
      <c r="AA94" s="34">
        <v>0</v>
      </c>
      <c r="AB94" s="35"/>
      <c r="AC94" s="34" t="s">
        <v>148</v>
      </c>
      <c r="AD94" s="35"/>
      <c r="AE94" s="34" t="s">
        <v>148</v>
      </c>
      <c r="AF94" s="35"/>
      <c r="AG94" s="34">
        <v>0</v>
      </c>
      <c r="AH94" s="35"/>
      <c r="AI94" s="34">
        <v>58</v>
      </c>
      <c r="AJ94" s="35"/>
      <c r="AK94" s="34">
        <v>19</v>
      </c>
      <c r="AL94" s="35"/>
      <c r="AM94" s="34">
        <v>0</v>
      </c>
      <c r="AN94" s="35"/>
      <c r="AO94" s="34">
        <v>-31</v>
      </c>
      <c r="AP94" s="35"/>
      <c r="AQ94" s="34">
        <v>8</v>
      </c>
      <c r="AR94" s="35"/>
      <c r="AS94" s="34">
        <v>11</v>
      </c>
      <c r="AT94" s="35"/>
      <c r="AU94" s="34" t="s">
        <v>148</v>
      </c>
      <c r="AV94" s="35"/>
      <c r="AW94" s="34">
        <v>88</v>
      </c>
      <c r="AX94" s="35"/>
      <c r="AY94" s="34">
        <v>10</v>
      </c>
      <c r="AZ94" s="35"/>
    </row>
    <row r="95" spans="1:52" x14ac:dyDescent="0.25">
      <c r="A95" s="10" t="s">
        <v>1734</v>
      </c>
      <c r="B95" s="10"/>
      <c r="C95" s="34" t="s">
        <v>148</v>
      </c>
      <c r="D95" s="35"/>
      <c r="E95" s="34" t="s">
        <v>148</v>
      </c>
      <c r="F95" s="35"/>
      <c r="G95" s="34" t="s">
        <v>148</v>
      </c>
      <c r="H95" s="35"/>
      <c r="I95" s="34" t="s">
        <v>148</v>
      </c>
      <c r="J95" s="35"/>
      <c r="K95" s="34">
        <v>6</v>
      </c>
      <c r="L95" s="35"/>
      <c r="M95" s="34">
        <v>14</v>
      </c>
      <c r="N95" s="35"/>
      <c r="O95" s="34" t="s">
        <v>148</v>
      </c>
      <c r="P95" s="35"/>
      <c r="Q95" s="34">
        <v>-2</v>
      </c>
      <c r="R95" s="35"/>
      <c r="S95" s="34">
        <v>2</v>
      </c>
      <c r="T95" s="35"/>
      <c r="U95" s="34">
        <v>-10</v>
      </c>
      <c r="V95" s="35"/>
      <c r="W95" s="34">
        <v>11</v>
      </c>
      <c r="X95" s="35"/>
      <c r="Y95" s="34" t="s">
        <v>148</v>
      </c>
      <c r="Z95" s="35"/>
      <c r="AA95" s="34">
        <v>4</v>
      </c>
      <c r="AB95" s="35"/>
      <c r="AC95" s="34">
        <v>14</v>
      </c>
      <c r="AD95" s="35"/>
      <c r="AE95" s="34">
        <v>13</v>
      </c>
      <c r="AF95" s="35"/>
      <c r="AG95" s="34">
        <v>9</v>
      </c>
      <c r="AH95" s="35"/>
      <c r="AI95" s="34">
        <v>14</v>
      </c>
      <c r="AJ95" s="35"/>
      <c r="AK95" s="34">
        <v>25</v>
      </c>
      <c r="AL95" s="35"/>
      <c r="AM95" s="34">
        <v>9</v>
      </c>
      <c r="AN95" s="35"/>
      <c r="AO95" s="34">
        <v>10</v>
      </c>
      <c r="AP95" s="35"/>
      <c r="AQ95" s="34">
        <v>8</v>
      </c>
      <c r="AR95" s="35"/>
      <c r="AS95" s="34">
        <v>5</v>
      </c>
      <c r="AT95" s="35"/>
      <c r="AU95" s="34" t="s">
        <v>148</v>
      </c>
      <c r="AV95" s="35"/>
      <c r="AW95" s="34">
        <v>8</v>
      </c>
      <c r="AX95" s="35"/>
      <c r="AY95" s="34">
        <v>6</v>
      </c>
      <c r="AZ95" s="35"/>
    </row>
    <row r="96" spans="1:52" x14ac:dyDescent="0.25">
      <c r="A96" s="10" t="s">
        <v>1730</v>
      </c>
      <c r="B96" s="10"/>
      <c r="C96" s="34" t="s">
        <v>148</v>
      </c>
      <c r="D96" s="35"/>
      <c r="E96" s="34" t="s">
        <v>148</v>
      </c>
      <c r="F96" s="35"/>
      <c r="G96" s="34" t="s">
        <v>148</v>
      </c>
      <c r="H96" s="35"/>
      <c r="I96" s="34" t="s">
        <v>148</v>
      </c>
      <c r="J96" s="35"/>
      <c r="K96" s="34">
        <v>7</v>
      </c>
      <c r="L96" s="35"/>
      <c r="M96" s="34">
        <v>2</v>
      </c>
      <c r="N96" s="35"/>
      <c r="O96" s="34" t="s">
        <v>148</v>
      </c>
      <c r="P96" s="35"/>
      <c r="Q96" s="34">
        <v>1</v>
      </c>
      <c r="R96" s="35"/>
      <c r="S96" s="34">
        <v>3</v>
      </c>
      <c r="T96" s="35"/>
      <c r="U96" s="34">
        <v>-3</v>
      </c>
      <c r="V96" s="35"/>
      <c r="W96" s="34">
        <v>12</v>
      </c>
      <c r="X96" s="35"/>
      <c r="Y96" s="34" t="s">
        <v>148</v>
      </c>
      <c r="Z96" s="35"/>
      <c r="AA96" s="34">
        <v>9</v>
      </c>
      <c r="AB96" s="35"/>
      <c r="AC96" s="34">
        <v>7</v>
      </c>
      <c r="AD96" s="35"/>
      <c r="AE96" s="34">
        <v>9</v>
      </c>
      <c r="AF96" s="35"/>
      <c r="AG96" s="34">
        <v>-4</v>
      </c>
      <c r="AH96" s="35"/>
      <c r="AI96" s="34">
        <v>-11</v>
      </c>
      <c r="AJ96" s="35"/>
      <c r="AK96" s="34">
        <v>7</v>
      </c>
      <c r="AL96" s="35"/>
      <c r="AM96" s="34">
        <v>-1</v>
      </c>
      <c r="AN96" s="35"/>
      <c r="AO96" s="34">
        <v>5</v>
      </c>
      <c r="AP96" s="35"/>
      <c r="AQ96" s="34">
        <v>9</v>
      </c>
      <c r="AR96" s="35"/>
      <c r="AS96" s="34">
        <v>5</v>
      </c>
      <c r="AT96" s="35"/>
      <c r="AU96" s="34" t="s">
        <v>148</v>
      </c>
      <c r="AV96" s="35"/>
      <c r="AW96" s="34">
        <v>4</v>
      </c>
      <c r="AX96" s="35"/>
      <c r="AY96" s="34">
        <v>6</v>
      </c>
      <c r="AZ96" s="35"/>
    </row>
    <row r="97" spans="1:52" x14ac:dyDescent="0.25">
      <c r="A97" s="10" t="s">
        <v>1726</v>
      </c>
      <c r="B97" s="10"/>
      <c r="C97" s="34" t="s">
        <v>148</v>
      </c>
      <c r="D97" s="35"/>
      <c r="E97" s="34" t="s">
        <v>148</v>
      </c>
      <c r="F97" s="35"/>
      <c r="G97" s="34" t="s">
        <v>148</v>
      </c>
      <c r="H97" s="35"/>
      <c r="I97" s="34" t="s">
        <v>148</v>
      </c>
      <c r="J97" s="35"/>
      <c r="K97" s="34">
        <v>15</v>
      </c>
      <c r="L97" s="35"/>
      <c r="M97" s="34">
        <v>10</v>
      </c>
      <c r="N97" s="35"/>
      <c r="O97" s="34" t="s">
        <v>148</v>
      </c>
      <c r="P97" s="35"/>
      <c r="Q97" s="34">
        <v>11</v>
      </c>
      <c r="R97" s="35"/>
      <c r="S97" s="34">
        <v>0</v>
      </c>
      <c r="T97" s="35"/>
      <c r="U97" s="34">
        <v>16</v>
      </c>
      <c r="V97" s="35"/>
      <c r="W97" s="34">
        <v>24</v>
      </c>
      <c r="X97" s="35"/>
      <c r="Y97" s="34" t="s">
        <v>148</v>
      </c>
      <c r="Z97" s="35"/>
      <c r="AA97" s="34">
        <v>17</v>
      </c>
      <c r="AB97" s="35"/>
      <c r="AC97" s="34">
        <v>12</v>
      </c>
      <c r="AD97" s="35"/>
      <c r="AE97" s="34">
        <v>13</v>
      </c>
      <c r="AF97" s="35"/>
      <c r="AG97" s="34">
        <v>7</v>
      </c>
      <c r="AH97" s="35"/>
      <c r="AI97" s="34">
        <v>14</v>
      </c>
      <c r="AJ97" s="35"/>
      <c r="AK97" s="34">
        <v>9</v>
      </c>
      <c r="AL97" s="35"/>
      <c r="AM97" s="34">
        <v>11</v>
      </c>
      <c r="AN97" s="35"/>
      <c r="AO97" s="34">
        <v>14</v>
      </c>
      <c r="AP97" s="35"/>
      <c r="AQ97" s="34">
        <v>12</v>
      </c>
      <c r="AR97" s="35"/>
      <c r="AS97" s="34">
        <v>8</v>
      </c>
      <c r="AT97" s="35"/>
      <c r="AU97" s="34" t="s">
        <v>148</v>
      </c>
      <c r="AV97" s="35"/>
      <c r="AW97" s="34">
        <v>6</v>
      </c>
      <c r="AX97" s="35"/>
      <c r="AY97" s="34">
        <v>5</v>
      </c>
      <c r="AZ97" s="35"/>
    </row>
    <row r="98" spans="1:52" x14ac:dyDescent="0.25">
      <c r="A98" s="10" t="s">
        <v>1731</v>
      </c>
      <c r="B98" s="10"/>
      <c r="C98" s="34" t="s">
        <v>148</v>
      </c>
      <c r="D98" s="35"/>
      <c r="E98" s="34" t="s">
        <v>148</v>
      </c>
      <c r="F98" s="35"/>
      <c r="G98" s="34" t="s">
        <v>148</v>
      </c>
      <c r="H98" s="35"/>
      <c r="I98" s="34" t="s">
        <v>148</v>
      </c>
      <c r="J98" s="35"/>
      <c r="K98" s="34" t="s">
        <v>148</v>
      </c>
      <c r="L98" s="35"/>
      <c r="M98" s="34" t="s">
        <v>148</v>
      </c>
      <c r="N98" s="35"/>
      <c r="O98" s="34" t="s">
        <v>148</v>
      </c>
      <c r="P98" s="35"/>
      <c r="Q98" s="34" t="s">
        <v>148</v>
      </c>
      <c r="R98" s="35"/>
      <c r="S98" s="34" t="s">
        <v>148</v>
      </c>
      <c r="T98" s="35"/>
      <c r="U98" s="34" t="s">
        <v>148</v>
      </c>
      <c r="V98" s="35"/>
      <c r="W98" s="34" t="s">
        <v>148</v>
      </c>
      <c r="X98" s="35"/>
      <c r="Y98" s="34" t="s">
        <v>148</v>
      </c>
      <c r="Z98" s="35"/>
      <c r="AA98" s="34" t="s">
        <v>148</v>
      </c>
      <c r="AB98" s="35"/>
      <c r="AC98" s="34" t="s">
        <v>148</v>
      </c>
      <c r="AD98" s="35"/>
      <c r="AE98" s="34" t="s">
        <v>148</v>
      </c>
      <c r="AF98" s="35"/>
      <c r="AG98" s="34" t="s">
        <v>148</v>
      </c>
      <c r="AH98" s="35"/>
      <c r="AI98" s="34" t="s">
        <v>148</v>
      </c>
      <c r="AJ98" s="35"/>
      <c r="AK98" s="34" t="s">
        <v>148</v>
      </c>
      <c r="AL98" s="35"/>
      <c r="AM98" s="34" t="s">
        <v>148</v>
      </c>
      <c r="AN98" s="35"/>
      <c r="AO98" s="34" t="s">
        <v>148</v>
      </c>
      <c r="AP98" s="35"/>
      <c r="AQ98" s="34" t="s">
        <v>148</v>
      </c>
      <c r="AR98" s="35"/>
      <c r="AS98" s="34" t="s">
        <v>148</v>
      </c>
      <c r="AT98" s="35"/>
      <c r="AU98" s="34" t="s">
        <v>148</v>
      </c>
      <c r="AV98" s="35"/>
      <c r="AW98" s="34" t="s">
        <v>148</v>
      </c>
      <c r="AX98" s="35"/>
      <c r="AY98" s="34">
        <v>3</v>
      </c>
      <c r="AZ98" s="35"/>
    </row>
    <row r="99" spans="1:52" x14ac:dyDescent="0.25">
      <c r="A99" s="10" t="s">
        <v>1727</v>
      </c>
      <c r="B99" s="10"/>
      <c r="C99" s="34" t="s">
        <v>148</v>
      </c>
      <c r="D99" s="35"/>
      <c r="E99" s="34" t="s">
        <v>148</v>
      </c>
      <c r="F99" s="35"/>
      <c r="G99" s="34" t="s">
        <v>148</v>
      </c>
      <c r="H99" s="35"/>
      <c r="I99" s="34" t="s">
        <v>148</v>
      </c>
      <c r="J99" s="35"/>
      <c r="K99" s="34">
        <v>2</v>
      </c>
      <c r="L99" s="35"/>
      <c r="M99" s="34">
        <v>0</v>
      </c>
      <c r="N99" s="35"/>
      <c r="O99" s="34" t="s">
        <v>148</v>
      </c>
      <c r="P99" s="35"/>
      <c r="Q99" s="34">
        <v>-3</v>
      </c>
      <c r="R99" s="35"/>
      <c r="S99" s="34">
        <v>-5</v>
      </c>
      <c r="T99" s="35"/>
      <c r="U99" s="34">
        <v>-20</v>
      </c>
      <c r="V99" s="35"/>
      <c r="W99" s="34">
        <v>-8</v>
      </c>
      <c r="X99" s="35"/>
      <c r="Y99" s="34" t="s">
        <v>148</v>
      </c>
      <c r="Z99" s="35"/>
      <c r="AA99" s="34">
        <v>-13</v>
      </c>
      <c r="AB99" s="35"/>
      <c r="AC99" s="34">
        <v>-7</v>
      </c>
      <c r="AD99" s="35"/>
      <c r="AE99" s="34">
        <v>-8</v>
      </c>
      <c r="AF99" s="35"/>
      <c r="AG99" s="34">
        <v>-14</v>
      </c>
      <c r="AH99" s="35"/>
      <c r="AI99" s="34">
        <v>-1</v>
      </c>
      <c r="AJ99" s="35"/>
      <c r="AK99" s="34">
        <v>-33</v>
      </c>
      <c r="AL99" s="35"/>
      <c r="AM99" s="34">
        <v>2</v>
      </c>
      <c r="AN99" s="35"/>
      <c r="AO99" s="34">
        <v>-6</v>
      </c>
      <c r="AP99" s="35"/>
      <c r="AQ99" s="34">
        <v>-8</v>
      </c>
      <c r="AR99" s="35"/>
      <c r="AS99" s="34">
        <v>-2</v>
      </c>
      <c r="AT99" s="35"/>
      <c r="AU99" s="34" t="s">
        <v>148</v>
      </c>
      <c r="AV99" s="35"/>
      <c r="AW99" s="34">
        <v>-20</v>
      </c>
      <c r="AX99" s="35"/>
      <c r="AY99" s="34">
        <v>0</v>
      </c>
      <c r="AZ99" s="35"/>
    </row>
    <row r="100" spans="1:52" x14ac:dyDescent="0.25">
      <c r="A100" s="10" t="s">
        <v>1728</v>
      </c>
      <c r="B100" s="10"/>
      <c r="C100" s="34" t="s">
        <v>148</v>
      </c>
      <c r="D100" s="35"/>
      <c r="E100" s="34" t="s">
        <v>148</v>
      </c>
      <c r="F100" s="35"/>
      <c r="G100" s="34" t="s">
        <v>148</v>
      </c>
      <c r="H100" s="35"/>
      <c r="I100" s="34" t="s">
        <v>148</v>
      </c>
      <c r="J100" s="35"/>
      <c r="K100" s="34" t="s">
        <v>148</v>
      </c>
      <c r="L100" s="35"/>
      <c r="M100" s="34" t="s">
        <v>148</v>
      </c>
      <c r="N100" s="35"/>
      <c r="O100" s="34" t="s">
        <v>148</v>
      </c>
      <c r="P100" s="35"/>
      <c r="Q100" s="34" t="s">
        <v>148</v>
      </c>
      <c r="R100" s="35"/>
      <c r="S100" s="34" t="s">
        <v>148</v>
      </c>
      <c r="T100" s="35"/>
      <c r="U100" s="34">
        <v>-1</v>
      </c>
      <c r="V100" s="35"/>
      <c r="W100" s="34">
        <v>-5</v>
      </c>
      <c r="X100" s="35"/>
      <c r="Y100" s="34" t="s">
        <v>148</v>
      </c>
      <c r="Z100" s="35"/>
      <c r="AA100" s="34">
        <v>2</v>
      </c>
      <c r="AB100" s="35"/>
      <c r="AC100" s="34">
        <v>-5</v>
      </c>
      <c r="AD100" s="35"/>
      <c r="AE100" s="34">
        <v>11</v>
      </c>
      <c r="AF100" s="35"/>
      <c r="AG100" s="34">
        <v>3</v>
      </c>
      <c r="AH100" s="35"/>
      <c r="AI100" s="34">
        <v>-2</v>
      </c>
      <c r="AJ100" s="35"/>
      <c r="AK100" s="34">
        <v>-13</v>
      </c>
      <c r="AL100" s="35"/>
      <c r="AM100" s="34">
        <v>1</v>
      </c>
      <c r="AN100" s="35"/>
      <c r="AO100" s="34">
        <v>-10</v>
      </c>
      <c r="AP100" s="35"/>
      <c r="AQ100" s="34">
        <v>2</v>
      </c>
      <c r="AR100" s="35"/>
      <c r="AS100" s="34">
        <v>1</v>
      </c>
      <c r="AT100" s="35"/>
      <c r="AU100" s="34" t="s">
        <v>148</v>
      </c>
      <c r="AV100" s="35"/>
      <c r="AW100" s="34">
        <v>-1</v>
      </c>
      <c r="AX100" s="35"/>
      <c r="AY100" s="34">
        <v>-1</v>
      </c>
      <c r="AZ100" s="35"/>
    </row>
    <row r="101" spans="1:52" x14ac:dyDescent="0.25">
      <c r="A101" s="10" t="s">
        <v>1742</v>
      </c>
      <c r="B101" s="10"/>
      <c r="C101" s="34" t="s">
        <v>148</v>
      </c>
      <c r="D101" s="35"/>
      <c r="E101" s="34" t="s">
        <v>148</v>
      </c>
      <c r="F101" s="35"/>
      <c r="G101" s="34" t="s">
        <v>148</v>
      </c>
      <c r="H101" s="35"/>
      <c r="I101" s="34" t="s">
        <v>148</v>
      </c>
      <c r="J101" s="35"/>
      <c r="K101" s="34">
        <v>8</v>
      </c>
      <c r="L101" s="35"/>
      <c r="M101" s="34">
        <v>19</v>
      </c>
      <c r="N101" s="35"/>
      <c r="O101" s="34" t="s">
        <v>148</v>
      </c>
      <c r="P101" s="35"/>
      <c r="Q101" s="34">
        <v>-2</v>
      </c>
      <c r="R101" s="35"/>
      <c r="S101" s="34">
        <v>21</v>
      </c>
      <c r="T101" s="35"/>
      <c r="U101" s="34">
        <v>-5</v>
      </c>
      <c r="V101" s="35"/>
      <c r="W101" s="34">
        <v>23</v>
      </c>
      <c r="X101" s="35"/>
      <c r="Y101" s="34" t="s">
        <v>148</v>
      </c>
      <c r="Z101" s="35"/>
      <c r="AA101" s="34">
        <v>10</v>
      </c>
      <c r="AB101" s="35"/>
      <c r="AC101" s="34">
        <v>5</v>
      </c>
      <c r="AD101" s="35"/>
      <c r="AE101" s="34">
        <v>-13</v>
      </c>
      <c r="AF101" s="35"/>
      <c r="AG101" s="34" t="s">
        <v>148</v>
      </c>
      <c r="AH101" s="35"/>
      <c r="AI101" s="34">
        <v>-2</v>
      </c>
      <c r="AJ101" s="35"/>
      <c r="AK101" s="34">
        <v>16</v>
      </c>
      <c r="AL101" s="35"/>
      <c r="AM101" s="34">
        <v>20</v>
      </c>
      <c r="AN101" s="35"/>
      <c r="AO101" s="34">
        <v>2</v>
      </c>
      <c r="AP101" s="35"/>
      <c r="AQ101" s="34">
        <v>5</v>
      </c>
      <c r="AR101" s="35"/>
      <c r="AS101" s="34">
        <v>6</v>
      </c>
      <c r="AT101" s="35"/>
      <c r="AU101" s="34" t="s">
        <v>148</v>
      </c>
      <c r="AV101" s="35"/>
      <c r="AW101" s="34">
        <v>12</v>
      </c>
      <c r="AX101" s="35"/>
      <c r="AY101" s="34">
        <v>-2</v>
      </c>
      <c r="AZ101" s="35"/>
    </row>
    <row r="102" spans="1:52" x14ac:dyDescent="0.25">
      <c r="A102" s="10" t="s">
        <v>1739</v>
      </c>
      <c r="B102" s="10"/>
      <c r="C102" s="34" t="s">
        <v>148</v>
      </c>
      <c r="D102" s="35"/>
      <c r="E102" s="34" t="s">
        <v>148</v>
      </c>
      <c r="F102" s="35"/>
      <c r="G102" s="34" t="s">
        <v>148</v>
      </c>
      <c r="H102" s="35"/>
      <c r="I102" s="34" t="s">
        <v>148</v>
      </c>
      <c r="J102" s="35"/>
      <c r="K102" s="34">
        <v>-10</v>
      </c>
      <c r="L102" s="35"/>
      <c r="M102" s="34">
        <v>2</v>
      </c>
      <c r="N102" s="35"/>
      <c r="O102" s="34" t="s">
        <v>148</v>
      </c>
      <c r="P102" s="35"/>
      <c r="Q102" s="34">
        <v>-15</v>
      </c>
      <c r="R102" s="35"/>
      <c r="S102" s="34">
        <v>-12</v>
      </c>
      <c r="T102" s="35"/>
      <c r="U102" s="34">
        <v>-16</v>
      </c>
      <c r="V102" s="35"/>
      <c r="W102" s="34">
        <v>-5</v>
      </c>
      <c r="X102" s="35"/>
      <c r="Y102" s="34" t="s">
        <v>148</v>
      </c>
      <c r="Z102" s="35"/>
      <c r="AA102" s="34">
        <v>-3</v>
      </c>
      <c r="AB102" s="35"/>
      <c r="AC102" s="34">
        <v>1</v>
      </c>
      <c r="AD102" s="35"/>
      <c r="AE102" s="34">
        <v>-3</v>
      </c>
      <c r="AF102" s="35"/>
      <c r="AG102" s="34">
        <v>-10</v>
      </c>
      <c r="AH102" s="35"/>
      <c r="AI102" s="34">
        <v>-4</v>
      </c>
      <c r="AJ102" s="35"/>
      <c r="AK102" s="34">
        <v>-1</v>
      </c>
      <c r="AL102" s="35"/>
      <c r="AM102" s="34">
        <v>2</v>
      </c>
      <c r="AN102" s="35"/>
      <c r="AO102" s="34">
        <v>-10</v>
      </c>
      <c r="AP102" s="35"/>
      <c r="AQ102" s="34">
        <v>-8</v>
      </c>
      <c r="AR102" s="35"/>
      <c r="AS102" s="34">
        <v>-2</v>
      </c>
      <c r="AT102" s="35"/>
      <c r="AU102" s="34" t="s">
        <v>148</v>
      </c>
      <c r="AV102" s="35"/>
      <c r="AW102" s="34">
        <v>4</v>
      </c>
      <c r="AX102" s="35"/>
      <c r="AY102" s="34">
        <v>-3</v>
      </c>
      <c r="AZ102" s="35"/>
    </row>
    <row r="103" spans="1:52" x14ac:dyDescent="0.25">
      <c r="A103" s="10" t="s">
        <v>1744</v>
      </c>
      <c r="B103" s="10"/>
      <c r="C103" s="34" t="s">
        <v>148</v>
      </c>
      <c r="D103" s="35"/>
      <c r="E103" s="34" t="s">
        <v>148</v>
      </c>
      <c r="F103" s="35"/>
      <c r="G103" s="34" t="s">
        <v>148</v>
      </c>
      <c r="H103" s="35"/>
      <c r="I103" s="34" t="s">
        <v>148</v>
      </c>
      <c r="J103" s="35"/>
      <c r="K103" s="34" t="s">
        <v>148</v>
      </c>
      <c r="L103" s="35"/>
      <c r="M103" s="34" t="s">
        <v>148</v>
      </c>
      <c r="N103" s="35"/>
      <c r="O103" s="34" t="s">
        <v>148</v>
      </c>
      <c r="P103" s="35"/>
      <c r="Q103" s="34">
        <v>0</v>
      </c>
      <c r="R103" s="35"/>
      <c r="S103" s="34" t="s">
        <v>148</v>
      </c>
      <c r="T103" s="35"/>
      <c r="U103" s="34">
        <v>0</v>
      </c>
      <c r="V103" s="35"/>
      <c r="W103" s="34">
        <v>71</v>
      </c>
      <c r="X103" s="35"/>
      <c r="Y103" s="34" t="s">
        <v>148</v>
      </c>
      <c r="Z103" s="35"/>
      <c r="AA103" s="34">
        <v>9</v>
      </c>
      <c r="AB103" s="35"/>
      <c r="AC103" s="34">
        <v>-17</v>
      </c>
      <c r="AD103" s="35"/>
      <c r="AE103" s="34">
        <v>-17</v>
      </c>
      <c r="AF103" s="35"/>
      <c r="AG103" s="34" t="s">
        <v>148</v>
      </c>
      <c r="AH103" s="35"/>
      <c r="AI103" s="34">
        <v>-33</v>
      </c>
      <c r="AJ103" s="35"/>
      <c r="AK103" s="34">
        <v>-17</v>
      </c>
      <c r="AL103" s="35"/>
      <c r="AM103" s="34">
        <v>-19</v>
      </c>
      <c r="AN103" s="35"/>
      <c r="AO103" s="34">
        <v>2</v>
      </c>
      <c r="AP103" s="35"/>
      <c r="AQ103" s="34">
        <v>-8</v>
      </c>
      <c r="AR103" s="35"/>
      <c r="AS103" s="34">
        <v>0</v>
      </c>
      <c r="AT103" s="35"/>
      <c r="AU103" s="34" t="s">
        <v>148</v>
      </c>
      <c r="AV103" s="35"/>
      <c r="AW103" s="34">
        <v>-8</v>
      </c>
      <c r="AX103" s="35"/>
      <c r="AY103" s="34">
        <v>-8</v>
      </c>
      <c r="AZ103" s="35"/>
    </row>
    <row r="104" spans="1:52" x14ac:dyDescent="0.25">
      <c r="A104" s="10" t="s">
        <v>1738</v>
      </c>
      <c r="B104" s="10"/>
      <c r="C104" s="34" t="s">
        <v>148</v>
      </c>
      <c r="D104" s="35"/>
      <c r="E104" s="34" t="s">
        <v>148</v>
      </c>
      <c r="F104" s="35"/>
      <c r="G104" s="34" t="s">
        <v>148</v>
      </c>
      <c r="H104" s="35"/>
      <c r="I104" s="34" t="s">
        <v>148</v>
      </c>
      <c r="J104" s="35"/>
      <c r="K104" s="34">
        <v>15</v>
      </c>
      <c r="L104" s="35"/>
      <c r="M104" s="34">
        <v>15</v>
      </c>
      <c r="N104" s="35"/>
      <c r="O104" s="34" t="s">
        <v>148</v>
      </c>
      <c r="P104" s="35"/>
      <c r="Q104" s="34">
        <v>9</v>
      </c>
      <c r="R104" s="35"/>
      <c r="S104" s="34">
        <v>8</v>
      </c>
      <c r="T104" s="35"/>
      <c r="U104" s="34">
        <v>4</v>
      </c>
      <c r="V104" s="35"/>
      <c r="W104" s="34">
        <v>27</v>
      </c>
      <c r="X104" s="35"/>
      <c r="Y104" s="34" t="s">
        <v>148</v>
      </c>
      <c r="Z104" s="35"/>
      <c r="AA104" s="34">
        <v>24</v>
      </c>
      <c r="AB104" s="35"/>
      <c r="AC104" s="34">
        <v>17</v>
      </c>
      <c r="AD104" s="35"/>
      <c r="AE104" s="34">
        <v>16</v>
      </c>
      <c r="AF104" s="35"/>
      <c r="AG104" s="34">
        <v>5</v>
      </c>
      <c r="AH104" s="35"/>
      <c r="AI104" s="34">
        <v>66</v>
      </c>
      <c r="AJ104" s="35"/>
      <c r="AK104" s="34">
        <v>36</v>
      </c>
      <c r="AL104" s="35"/>
      <c r="AM104" s="34">
        <v>9</v>
      </c>
      <c r="AN104" s="35"/>
      <c r="AO104" s="34">
        <v>45</v>
      </c>
      <c r="AP104" s="35"/>
      <c r="AQ104" s="34">
        <v>-18</v>
      </c>
      <c r="AR104" s="35"/>
      <c r="AS104" s="34">
        <v>-12</v>
      </c>
      <c r="AT104" s="35"/>
      <c r="AU104" s="34" t="s">
        <v>148</v>
      </c>
      <c r="AV104" s="35"/>
      <c r="AW104" s="34">
        <v>9</v>
      </c>
      <c r="AX104" s="35"/>
      <c r="AY104" s="34">
        <v>-13</v>
      </c>
      <c r="AZ104" s="35"/>
    </row>
    <row r="105" spans="1:52" x14ac:dyDescent="0.25">
      <c r="A105" s="10" t="s">
        <v>1749</v>
      </c>
      <c r="B105" s="10"/>
      <c r="C105" s="34" t="s">
        <v>148</v>
      </c>
      <c r="D105" s="35"/>
      <c r="E105" s="34" t="s">
        <v>148</v>
      </c>
      <c r="F105" s="35"/>
      <c r="G105" s="34" t="s">
        <v>148</v>
      </c>
      <c r="H105" s="35"/>
      <c r="I105" s="34" t="s">
        <v>148</v>
      </c>
      <c r="J105" s="35"/>
      <c r="K105" s="34">
        <v>49</v>
      </c>
      <c r="L105" s="35"/>
      <c r="M105" s="34">
        <v>39</v>
      </c>
      <c r="N105" s="35"/>
      <c r="O105" s="34" t="s">
        <v>148</v>
      </c>
      <c r="P105" s="35"/>
      <c r="Q105" s="34">
        <v>17</v>
      </c>
      <c r="R105" s="35"/>
      <c r="S105" s="34">
        <v>-4</v>
      </c>
      <c r="T105" s="35"/>
      <c r="U105" s="34">
        <v>-55</v>
      </c>
      <c r="V105" s="35"/>
      <c r="W105" s="34">
        <v>-62</v>
      </c>
      <c r="X105" s="35"/>
      <c r="Y105" s="34" t="s">
        <v>148</v>
      </c>
      <c r="Z105" s="35"/>
      <c r="AA105" s="34">
        <v>-60</v>
      </c>
      <c r="AB105" s="35"/>
      <c r="AC105" s="34">
        <v>9</v>
      </c>
      <c r="AD105" s="35"/>
      <c r="AE105" s="34">
        <v>45</v>
      </c>
      <c r="AF105" s="35"/>
      <c r="AG105" s="34" t="s">
        <v>148</v>
      </c>
      <c r="AH105" s="35"/>
      <c r="AI105" s="34">
        <v>35</v>
      </c>
      <c r="AJ105" s="35"/>
      <c r="AK105" s="34">
        <v>6</v>
      </c>
      <c r="AL105" s="35"/>
      <c r="AM105" s="34">
        <v>-16</v>
      </c>
      <c r="AN105" s="35"/>
      <c r="AO105" s="34">
        <v>-5</v>
      </c>
      <c r="AP105" s="35"/>
      <c r="AQ105" s="34">
        <v>-4</v>
      </c>
      <c r="AR105" s="35"/>
      <c r="AS105" s="34">
        <v>15</v>
      </c>
      <c r="AT105" s="35"/>
      <c r="AU105" s="34" t="s">
        <v>148</v>
      </c>
      <c r="AV105" s="35"/>
      <c r="AW105" s="34">
        <v>-26</v>
      </c>
      <c r="AX105" s="35"/>
      <c r="AY105" s="34">
        <v>-16</v>
      </c>
      <c r="AZ105" s="35"/>
    </row>
    <row r="106" spans="1:52" x14ac:dyDescent="0.25">
      <c r="A106" s="10" t="s">
        <v>1746</v>
      </c>
      <c r="B106" s="10"/>
      <c r="C106" s="34" t="s">
        <v>148</v>
      </c>
      <c r="D106" s="35"/>
      <c r="E106" s="34" t="s">
        <v>148</v>
      </c>
      <c r="F106" s="35"/>
      <c r="G106" s="34" t="s">
        <v>148</v>
      </c>
      <c r="H106" s="35"/>
      <c r="I106" s="34" t="s">
        <v>148</v>
      </c>
      <c r="J106" s="35"/>
      <c r="K106" s="34">
        <v>-43</v>
      </c>
      <c r="L106" s="35"/>
      <c r="M106" s="34">
        <v>-40</v>
      </c>
      <c r="N106" s="35"/>
      <c r="O106" s="34" t="s">
        <v>148</v>
      </c>
      <c r="P106" s="35"/>
      <c r="Q106" s="34">
        <v>-22</v>
      </c>
      <c r="R106" s="35"/>
      <c r="S106" s="34">
        <v>-19</v>
      </c>
      <c r="T106" s="35"/>
      <c r="U106" s="34">
        <v>-21</v>
      </c>
      <c r="V106" s="35"/>
      <c r="W106" s="34">
        <v>-18</v>
      </c>
      <c r="X106" s="35"/>
      <c r="Y106" s="34" t="s">
        <v>148</v>
      </c>
      <c r="Z106" s="35"/>
      <c r="AA106" s="34">
        <v>-35</v>
      </c>
      <c r="AB106" s="35"/>
      <c r="AC106" s="34">
        <v>-28</v>
      </c>
      <c r="AD106" s="35"/>
      <c r="AE106" s="34">
        <v>-36</v>
      </c>
      <c r="AF106" s="35"/>
      <c r="AG106" s="34">
        <v>-40</v>
      </c>
      <c r="AH106" s="35"/>
      <c r="AI106" s="34">
        <v>-37</v>
      </c>
      <c r="AJ106" s="35"/>
      <c r="AK106" s="34">
        <v>-28</v>
      </c>
      <c r="AL106" s="35"/>
      <c r="AM106" s="34">
        <v>-24</v>
      </c>
      <c r="AN106" s="35"/>
      <c r="AO106" s="34">
        <v>-50</v>
      </c>
      <c r="AP106" s="35"/>
      <c r="AQ106" s="34">
        <v>8</v>
      </c>
      <c r="AR106" s="35"/>
      <c r="AS106" s="34">
        <v>-53</v>
      </c>
      <c r="AT106" s="35"/>
      <c r="AU106" s="34" t="s">
        <v>148</v>
      </c>
      <c r="AV106" s="35"/>
      <c r="AW106" s="34">
        <v>-11</v>
      </c>
      <c r="AX106" s="35"/>
      <c r="AY106" s="34">
        <v>-59</v>
      </c>
      <c r="AZ106" s="35"/>
    </row>
    <row r="107" spans="1:52" x14ac:dyDescent="0.25">
      <c r="A107" s="10" t="s">
        <v>1751</v>
      </c>
      <c r="B107" s="10"/>
      <c r="C107" s="34" t="s">
        <v>148</v>
      </c>
      <c r="D107" s="35"/>
      <c r="E107" s="34" t="s">
        <v>148</v>
      </c>
      <c r="F107" s="35"/>
      <c r="G107" s="34" t="s">
        <v>148</v>
      </c>
      <c r="H107" s="35"/>
      <c r="I107" s="34" t="s">
        <v>148</v>
      </c>
      <c r="J107" s="35"/>
      <c r="K107" s="34">
        <v>-20</v>
      </c>
      <c r="L107" s="35"/>
      <c r="M107" s="34">
        <v>-29</v>
      </c>
      <c r="N107" s="35"/>
      <c r="O107" s="34" t="s">
        <v>148</v>
      </c>
      <c r="P107" s="35"/>
      <c r="Q107" s="34">
        <v>-31</v>
      </c>
      <c r="R107" s="35"/>
      <c r="S107" s="34">
        <v>-37</v>
      </c>
      <c r="T107" s="35"/>
      <c r="U107" s="34">
        <v>-19</v>
      </c>
      <c r="V107" s="35"/>
      <c r="W107" s="34">
        <v>-19</v>
      </c>
      <c r="X107" s="35"/>
      <c r="Y107" s="34" t="s">
        <v>148</v>
      </c>
      <c r="Z107" s="35"/>
      <c r="AA107" s="34">
        <v>-4</v>
      </c>
      <c r="AB107" s="35"/>
      <c r="AC107" s="34">
        <v>-4</v>
      </c>
      <c r="AD107" s="35"/>
      <c r="AE107" s="34">
        <v>5</v>
      </c>
      <c r="AF107" s="35"/>
      <c r="AG107" s="34" t="s">
        <v>148</v>
      </c>
      <c r="AH107" s="35"/>
      <c r="AI107" s="34">
        <v>-11</v>
      </c>
      <c r="AJ107" s="35"/>
      <c r="AK107" s="34">
        <v>-50</v>
      </c>
      <c r="AL107" s="35"/>
      <c r="AM107" s="34">
        <v>-55</v>
      </c>
      <c r="AN107" s="35"/>
      <c r="AO107" s="34">
        <v>-63</v>
      </c>
      <c r="AP107" s="35"/>
      <c r="AQ107" s="34">
        <v>-52</v>
      </c>
      <c r="AR107" s="35"/>
      <c r="AS107" s="34">
        <v>-32</v>
      </c>
      <c r="AT107" s="35"/>
      <c r="AU107" s="34" t="s">
        <v>148</v>
      </c>
      <c r="AV107" s="35"/>
      <c r="AW107" s="34">
        <v>-34</v>
      </c>
      <c r="AX107" s="35"/>
      <c r="AY107" s="34">
        <v>-65</v>
      </c>
      <c r="AZ107" s="35"/>
    </row>
    <row r="108" spans="1:52" x14ac:dyDescent="0.25">
      <c r="A108" s="10" t="s">
        <v>1752</v>
      </c>
      <c r="B108" s="10"/>
      <c r="C108" s="34" t="s">
        <v>148</v>
      </c>
      <c r="D108" s="35"/>
      <c r="E108" s="34" t="s">
        <v>148</v>
      </c>
      <c r="F108" s="35"/>
      <c r="G108" s="34" t="s">
        <v>148</v>
      </c>
      <c r="H108" s="35"/>
      <c r="I108" s="34" t="s">
        <v>148</v>
      </c>
      <c r="J108" s="35"/>
      <c r="K108" s="34" t="s">
        <v>148</v>
      </c>
      <c r="L108" s="35"/>
      <c r="M108" s="34" t="s">
        <v>148</v>
      </c>
      <c r="N108" s="35"/>
      <c r="O108" s="34" t="s">
        <v>148</v>
      </c>
      <c r="P108" s="35"/>
      <c r="Q108" s="34">
        <v>0</v>
      </c>
      <c r="R108" s="35"/>
      <c r="S108" s="34">
        <v>53</v>
      </c>
      <c r="T108" s="35"/>
      <c r="U108" s="34">
        <v>35</v>
      </c>
      <c r="V108" s="35"/>
      <c r="W108" s="34">
        <v>27</v>
      </c>
      <c r="X108" s="35"/>
      <c r="Y108" s="34" t="s">
        <v>148</v>
      </c>
      <c r="Z108" s="35"/>
      <c r="AA108" s="34">
        <v>-12</v>
      </c>
      <c r="AB108" s="35"/>
      <c r="AC108" s="34">
        <v>-40</v>
      </c>
      <c r="AD108" s="35"/>
      <c r="AE108" s="34">
        <v>-46</v>
      </c>
      <c r="AF108" s="35"/>
      <c r="AG108" s="34" t="s">
        <v>148</v>
      </c>
      <c r="AH108" s="35"/>
      <c r="AI108" s="34">
        <v>-55</v>
      </c>
      <c r="AJ108" s="35"/>
      <c r="AK108" s="34">
        <v>-51</v>
      </c>
      <c r="AL108" s="35"/>
      <c r="AM108" s="34">
        <v>-41</v>
      </c>
      <c r="AN108" s="35"/>
      <c r="AO108" s="34">
        <v>-72</v>
      </c>
      <c r="AP108" s="35"/>
      <c r="AQ108" s="34">
        <v>-33</v>
      </c>
      <c r="AR108" s="35"/>
      <c r="AS108" s="34" t="s">
        <v>148</v>
      </c>
      <c r="AT108" s="35"/>
      <c r="AU108" s="34" t="s">
        <v>148</v>
      </c>
      <c r="AV108" s="35"/>
      <c r="AW108" s="34" t="s">
        <v>148</v>
      </c>
      <c r="AX108" s="35"/>
      <c r="AY108" s="34" t="s">
        <v>148</v>
      </c>
      <c r="AZ108" s="35"/>
    </row>
    <row r="109" spans="1:52" x14ac:dyDescent="0.25">
      <c r="A109" s="10" t="s">
        <v>1759</v>
      </c>
      <c r="B109" s="10"/>
      <c r="C109" s="34" t="s">
        <v>148</v>
      </c>
      <c r="D109" s="35"/>
      <c r="E109" s="34" t="s">
        <v>148</v>
      </c>
      <c r="F109" s="35"/>
      <c r="G109" s="34" t="s">
        <v>148</v>
      </c>
      <c r="H109" s="35"/>
      <c r="I109" s="34" t="s">
        <v>148</v>
      </c>
      <c r="J109" s="35"/>
      <c r="K109" s="34">
        <v>19</v>
      </c>
      <c r="L109" s="35"/>
      <c r="M109" s="34" t="s">
        <v>148</v>
      </c>
      <c r="N109" s="35"/>
      <c r="O109" s="34" t="s">
        <v>148</v>
      </c>
      <c r="P109" s="35"/>
      <c r="Q109" s="34" t="s">
        <v>148</v>
      </c>
      <c r="R109" s="35"/>
      <c r="S109" s="34" t="s">
        <v>148</v>
      </c>
      <c r="T109" s="35"/>
      <c r="U109" s="34" t="s">
        <v>148</v>
      </c>
      <c r="V109" s="35"/>
      <c r="W109" s="34" t="s">
        <v>148</v>
      </c>
      <c r="X109" s="35"/>
      <c r="Y109" s="34" t="s">
        <v>148</v>
      </c>
      <c r="Z109" s="35"/>
      <c r="AA109" s="34" t="s">
        <v>148</v>
      </c>
      <c r="AB109" s="35"/>
      <c r="AC109" s="34" t="s">
        <v>148</v>
      </c>
      <c r="AD109" s="35"/>
      <c r="AE109" s="34" t="s">
        <v>148</v>
      </c>
      <c r="AF109" s="35"/>
      <c r="AG109" s="34" t="s">
        <v>148</v>
      </c>
      <c r="AH109" s="35"/>
      <c r="AI109" s="34" t="s">
        <v>148</v>
      </c>
      <c r="AJ109" s="35"/>
      <c r="AK109" s="34" t="s">
        <v>148</v>
      </c>
      <c r="AL109" s="35"/>
      <c r="AM109" s="34" t="s">
        <v>148</v>
      </c>
      <c r="AN109" s="35"/>
      <c r="AO109" s="34" t="s">
        <v>148</v>
      </c>
      <c r="AP109" s="35"/>
      <c r="AQ109" s="34" t="s">
        <v>148</v>
      </c>
      <c r="AR109" s="35"/>
      <c r="AS109" s="34" t="s">
        <v>148</v>
      </c>
      <c r="AT109" s="35"/>
      <c r="AU109" s="34" t="s">
        <v>148</v>
      </c>
      <c r="AV109" s="35"/>
      <c r="AW109" s="34" t="s">
        <v>148</v>
      </c>
      <c r="AX109" s="35"/>
      <c r="AY109" s="34" t="s">
        <v>148</v>
      </c>
      <c r="AZ109" s="35"/>
    </row>
    <row r="110" spans="1:52" x14ac:dyDescent="0.25">
      <c r="A110" s="10" t="s">
        <v>1753</v>
      </c>
      <c r="B110" s="10"/>
      <c r="C110" s="34" t="s">
        <v>148</v>
      </c>
      <c r="D110" s="35"/>
      <c r="E110" s="34" t="s">
        <v>148</v>
      </c>
      <c r="F110" s="35"/>
      <c r="G110" s="34" t="s">
        <v>148</v>
      </c>
      <c r="H110" s="35"/>
      <c r="I110" s="34" t="s">
        <v>148</v>
      </c>
      <c r="J110" s="35"/>
      <c r="K110" s="34">
        <v>3</v>
      </c>
      <c r="L110" s="35"/>
      <c r="M110" s="34">
        <v>20</v>
      </c>
      <c r="N110" s="35"/>
      <c r="O110" s="34" t="s">
        <v>148</v>
      </c>
      <c r="P110" s="35"/>
      <c r="Q110" s="34">
        <v>59</v>
      </c>
      <c r="R110" s="35"/>
      <c r="S110" s="34">
        <v>6</v>
      </c>
      <c r="T110" s="35"/>
      <c r="U110" s="34">
        <v>-7</v>
      </c>
      <c r="V110" s="35"/>
      <c r="W110" s="34">
        <v>-16</v>
      </c>
      <c r="X110" s="35"/>
      <c r="Y110" s="34" t="s">
        <v>148</v>
      </c>
      <c r="Z110" s="35"/>
      <c r="AA110" s="34">
        <v>-13</v>
      </c>
      <c r="AB110" s="35"/>
      <c r="AC110" s="34">
        <v>53</v>
      </c>
      <c r="AD110" s="35"/>
      <c r="AE110" s="34">
        <v>12</v>
      </c>
      <c r="AF110" s="35"/>
      <c r="AG110" s="34" t="s">
        <v>148</v>
      </c>
      <c r="AH110" s="35"/>
      <c r="AI110" s="34">
        <v>27</v>
      </c>
      <c r="AJ110" s="35"/>
      <c r="AK110" s="34">
        <v>-32</v>
      </c>
      <c r="AL110" s="35"/>
      <c r="AM110" s="34">
        <v>-11</v>
      </c>
      <c r="AN110" s="35"/>
      <c r="AO110" s="34">
        <v>-12</v>
      </c>
      <c r="AP110" s="35"/>
      <c r="AQ110" s="34">
        <v>-32</v>
      </c>
      <c r="AR110" s="35"/>
      <c r="AS110" s="34" t="s">
        <v>148</v>
      </c>
      <c r="AT110" s="35"/>
      <c r="AU110" s="34" t="s">
        <v>148</v>
      </c>
      <c r="AV110" s="35"/>
      <c r="AW110" s="34" t="s">
        <v>148</v>
      </c>
      <c r="AX110" s="35"/>
      <c r="AY110" s="34" t="s">
        <v>148</v>
      </c>
      <c r="AZ110" s="35"/>
    </row>
    <row r="111" spans="1:52" x14ac:dyDescent="0.25">
      <c r="A111" s="10" t="s">
        <v>1754</v>
      </c>
      <c r="B111" s="10"/>
      <c r="C111" s="34" t="s">
        <v>148</v>
      </c>
      <c r="D111" s="35"/>
      <c r="E111" s="34" t="s">
        <v>148</v>
      </c>
      <c r="F111" s="35"/>
      <c r="G111" s="34" t="s">
        <v>148</v>
      </c>
      <c r="H111" s="35"/>
      <c r="I111" s="34" t="s">
        <v>148</v>
      </c>
      <c r="J111" s="35"/>
      <c r="K111" s="34">
        <v>-76</v>
      </c>
      <c r="L111" s="35"/>
      <c r="M111" s="34">
        <v>-42</v>
      </c>
      <c r="N111" s="35"/>
      <c r="O111" s="34" t="s">
        <v>148</v>
      </c>
      <c r="P111" s="35"/>
      <c r="Q111" s="34">
        <v>-64</v>
      </c>
      <c r="R111" s="35"/>
      <c r="S111" s="34">
        <v>-58</v>
      </c>
      <c r="T111" s="35"/>
      <c r="U111" s="34">
        <v>-81</v>
      </c>
      <c r="V111" s="35"/>
      <c r="W111" s="34">
        <v>-70</v>
      </c>
      <c r="X111" s="35"/>
      <c r="Y111" s="34" t="s">
        <v>148</v>
      </c>
      <c r="Z111" s="35"/>
      <c r="AA111" s="34">
        <v>-60</v>
      </c>
      <c r="AB111" s="35"/>
      <c r="AC111" s="34">
        <v>-13</v>
      </c>
      <c r="AD111" s="35"/>
      <c r="AE111" s="34">
        <v>-17</v>
      </c>
      <c r="AF111" s="35"/>
      <c r="AG111" s="34" t="s">
        <v>148</v>
      </c>
      <c r="AH111" s="35"/>
      <c r="AI111" s="34">
        <v>-61</v>
      </c>
      <c r="AJ111" s="35"/>
      <c r="AK111" s="34" t="s">
        <v>148</v>
      </c>
      <c r="AL111" s="35"/>
      <c r="AM111" s="34" t="s">
        <v>148</v>
      </c>
      <c r="AN111" s="35"/>
      <c r="AO111" s="34" t="s">
        <v>148</v>
      </c>
      <c r="AP111" s="35"/>
      <c r="AQ111" s="34" t="s">
        <v>148</v>
      </c>
      <c r="AR111" s="35"/>
      <c r="AS111" s="34" t="s">
        <v>148</v>
      </c>
      <c r="AT111" s="35"/>
      <c r="AU111" s="34" t="s">
        <v>148</v>
      </c>
      <c r="AV111" s="35"/>
      <c r="AW111" s="34" t="s">
        <v>148</v>
      </c>
      <c r="AX111" s="35"/>
      <c r="AY111" s="34" t="s">
        <v>148</v>
      </c>
      <c r="AZ111" s="35"/>
    </row>
    <row r="112" spans="1:52" x14ac:dyDescent="0.25">
      <c r="A112" s="10" t="s">
        <v>1755</v>
      </c>
      <c r="B112" s="10"/>
      <c r="C112" s="34" t="s">
        <v>148</v>
      </c>
      <c r="D112" s="35"/>
      <c r="E112" s="34" t="s">
        <v>148</v>
      </c>
      <c r="F112" s="35"/>
      <c r="G112" s="34" t="s">
        <v>148</v>
      </c>
      <c r="H112" s="35"/>
      <c r="I112" s="34" t="s">
        <v>148</v>
      </c>
      <c r="J112" s="35"/>
      <c r="K112" s="34">
        <v>-17</v>
      </c>
      <c r="L112" s="35"/>
      <c r="M112" s="34">
        <v>-11</v>
      </c>
      <c r="N112" s="35"/>
      <c r="O112" s="34" t="s">
        <v>148</v>
      </c>
      <c r="P112" s="35"/>
      <c r="Q112" s="34">
        <v>20</v>
      </c>
      <c r="R112" s="35"/>
      <c r="S112" s="34">
        <v>-26</v>
      </c>
      <c r="T112" s="35"/>
      <c r="U112" s="34">
        <v>-48</v>
      </c>
      <c r="V112" s="35"/>
      <c r="W112" s="34">
        <v>4</v>
      </c>
      <c r="X112" s="35"/>
      <c r="Y112" s="34" t="s">
        <v>148</v>
      </c>
      <c r="Z112" s="35"/>
      <c r="AA112" s="34">
        <v>-33</v>
      </c>
      <c r="AB112" s="35"/>
      <c r="AC112" s="34">
        <v>12</v>
      </c>
      <c r="AD112" s="35"/>
      <c r="AE112" s="34">
        <v>-27</v>
      </c>
      <c r="AF112" s="35"/>
      <c r="AG112" s="34" t="s">
        <v>148</v>
      </c>
      <c r="AH112" s="35"/>
      <c r="AI112" s="34">
        <v>10</v>
      </c>
      <c r="AJ112" s="35"/>
      <c r="AK112" s="34" t="s">
        <v>148</v>
      </c>
      <c r="AL112" s="35"/>
      <c r="AM112" s="34" t="s">
        <v>148</v>
      </c>
      <c r="AN112" s="35"/>
      <c r="AO112" s="34" t="s">
        <v>148</v>
      </c>
      <c r="AP112" s="35"/>
      <c r="AQ112" s="34" t="s">
        <v>148</v>
      </c>
      <c r="AR112" s="35"/>
      <c r="AS112" s="34" t="s">
        <v>148</v>
      </c>
      <c r="AT112" s="35"/>
      <c r="AU112" s="34" t="s">
        <v>148</v>
      </c>
      <c r="AV112" s="35"/>
      <c r="AW112" s="34" t="s">
        <v>148</v>
      </c>
      <c r="AX112" s="35"/>
      <c r="AY112" s="34" t="s">
        <v>148</v>
      </c>
      <c r="AZ112" s="35"/>
    </row>
    <row r="113" spans="1:52" x14ac:dyDescent="0.25">
      <c r="A113" s="6" t="s">
        <v>1761</v>
      </c>
      <c r="B113" s="6"/>
      <c r="C113" s="36">
        <v>4958</v>
      </c>
      <c r="D113" s="37">
        <v>1</v>
      </c>
      <c r="E113" s="36">
        <v>5309</v>
      </c>
      <c r="F113" s="37">
        <v>1</v>
      </c>
      <c r="G113" s="36">
        <v>5312</v>
      </c>
      <c r="H113" s="37">
        <v>1</v>
      </c>
      <c r="I113" s="36">
        <v>5323</v>
      </c>
      <c r="J113" s="37">
        <v>1</v>
      </c>
      <c r="K113" s="36">
        <v>5397</v>
      </c>
      <c r="L113" s="37">
        <v>1</v>
      </c>
      <c r="M113" s="36">
        <v>4879</v>
      </c>
      <c r="N113" s="37">
        <v>1</v>
      </c>
      <c r="O113" s="36">
        <v>4843</v>
      </c>
      <c r="P113" s="37">
        <v>1</v>
      </c>
      <c r="Q113" s="36">
        <v>4816</v>
      </c>
      <c r="R113" s="37">
        <v>1</v>
      </c>
      <c r="S113" s="36">
        <v>5297</v>
      </c>
      <c r="T113" s="37">
        <v>1</v>
      </c>
      <c r="U113" s="36">
        <v>4855</v>
      </c>
      <c r="V113" s="37">
        <v>1</v>
      </c>
      <c r="W113" s="36">
        <v>4906</v>
      </c>
      <c r="X113" s="37">
        <v>1</v>
      </c>
      <c r="Y113" s="36">
        <v>4982</v>
      </c>
      <c r="Z113" s="37">
        <v>1</v>
      </c>
      <c r="AA113" s="36">
        <v>5750</v>
      </c>
      <c r="AB113" s="37">
        <v>1</v>
      </c>
      <c r="AC113" s="36">
        <v>5142</v>
      </c>
      <c r="AD113" s="37">
        <v>1</v>
      </c>
      <c r="AE113" s="36">
        <v>5158</v>
      </c>
      <c r="AF113" s="37">
        <v>1</v>
      </c>
      <c r="AG113" s="36">
        <v>5188</v>
      </c>
      <c r="AH113" s="37">
        <v>1</v>
      </c>
      <c r="AI113" s="36">
        <v>6006</v>
      </c>
      <c r="AJ113" s="37">
        <v>1</v>
      </c>
      <c r="AK113" s="36">
        <v>5460</v>
      </c>
      <c r="AL113" s="37">
        <v>1</v>
      </c>
      <c r="AM113" s="36">
        <v>5532</v>
      </c>
      <c r="AN113" s="37">
        <v>1</v>
      </c>
      <c r="AO113" s="36">
        <v>5563</v>
      </c>
      <c r="AP113" s="37">
        <v>1</v>
      </c>
      <c r="AQ113" s="36">
        <v>6592</v>
      </c>
      <c r="AR113" s="37">
        <v>1</v>
      </c>
      <c r="AS113" s="36">
        <v>6002</v>
      </c>
      <c r="AT113" s="37">
        <v>1</v>
      </c>
      <c r="AU113" s="36">
        <v>6097</v>
      </c>
      <c r="AV113" s="37">
        <v>1</v>
      </c>
      <c r="AW113" s="36">
        <v>6156</v>
      </c>
      <c r="AX113" s="37">
        <v>1</v>
      </c>
      <c r="AY113" s="36">
        <v>7100</v>
      </c>
      <c r="AZ113" s="37">
        <v>1</v>
      </c>
    </row>
    <row r="114" spans="1:52" x14ac:dyDescent="0.25">
      <c r="A114" s="10" t="s">
        <v>1724</v>
      </c>
      <c r="B114" s="10"/>
      <c r="C114" s="32">
        <v>4958</v>
      </c>
      <c r="D114" s="33">
        <v>1</v>
      </c>
      <c r="E114" s="32">
        <v>5309</v>
      </c>
      <c r="F114" s="33">
        <v>1</v>
      </c>
      <c r="G114" s="32">
        <v>5312</v>
      </c>
      <c r="H114" s="33">
        <v>1</v>
      </c>
      <c r="I114" s="32">
        <v>5323</v>
      </c>
      <c r="J114" s="33">
        <v>1</v>
      </c>
      <c r="K114" s="32">
        <v>5397</v>
      </c>
      <c r="L114" s="33">
        <v>1</v>
      </c>
      <c r="M114" s="32">
        <v>4879</v>
      </c>
      <c r="N114" s="33">
        <v>1</v>
      </c>
      <c r="O114" s="32">
        <v>4843</v>
      </c>
      <c r="P114" s="33">
        <v>1</v>
      </c>
      <c r="Q114" s="32">
        <v>4816</v>
      </c>
      <c r="R114" s="33">
        <v>1</v>
      </c>
      <c r="S114" s="32">
        <v>5297</v>
      </c>
      <c r="T114" s="33">
        <v>1</v>
      </c>
      <c r="U114" s="32">
        <v>4855</v>
      </c>
      <c r="V114" s="33">
        <v>1</v>
      </c>
      <c r="W114" s="32">
        <v>4906</v>
      </c>
      <c r="X114" s="33">
        <v>1</v>
      </c>
      <c r="Y114" s="32">
        <v>4982</v>
      </c>
      <c r="Z114" s="33">
        <v>1</v>
      </c>
      <c r="AA114" s="32">
        <v>5750</v>
      </c>
      <c r="AB114" s="33">
        <v>1</v>
      </c>
      <c r="AC114" s="32">
        <v>5142</v>
      </c>
      <c r="AD114" s="33">
        <v>1</v>
      </c>
      <c r="AE114" s="32">
        <v>5158</v>
      </c>
      <c r="AF114" s="33">
        <v>1</v>
      </c>
      <c r="AG114" s="32">
        <v>5188</v>
      </c>
      <c r="AH114" s="33">
        <v>1</v>
      </c>
      <c r="AI114" s="32">
        <v>6006</v>
      </c>
      <c r="AJ114" s="33">
        <v>1</v>
      </c>
      <c r="AK114" s="32">
        <v>5460</v>
      </c>
      <c r="AL114" s="33">
        <v>1</v>
      </c>
      <c r="AM114" s="32">
        <v>5532</v>
      </c>
      <c r="AN114" s="33">
        <v>1</v>
      </c>
      <c r="AO114" s="32">
        <v>5563</v>
      </c>
      <c r="AP114" s="33">
        <v>1</v>
      </c>
      <c r="AQ114" s="32">
        <v>6592</v>
      </c>
      <c r="AR114" s="33">
        <v>1</v>
      </c>
      <c r="AS114" s="32">
        <v>6002</v>
      </c>
      <c r="AT114" s="33">
        <v>1</v>
      </c>
      <c r="AU114" s="32">
        <v>6097</v>
      </c>
      <c r="AV114" s="33">
        <v>1</v>
      </c>
      <c r="AW114" s="32">
        <v>6156</v>
      </c>
      <c r="AX114" s="33">
        <v>1</v>
      </c>
      <c r="AY114" s="32">
        <v>7100</v>
      </c>
      <c r="AZ114" s="33">
        <v>1</v>
      </c>
    </row>
    <row r="115" spans="1:52" x14ac:dyDescent="0.25">
      <c r="A115" s="6" t="s">
        <v>873</v>
      </c>
      <c r="B115" s="6"/>
      <c r="C115" s="36">
        <v>14699</v>
      </c>
      <c r="D115" s="37">
        <v>1</v>
      </c>
      <c r="E115" s="36">
        <v>14692</v>
      </c>
      <c r="F115" s="37">
        <v>1</v>
      </c>
      <c r="G115" s="36">
        <v>14689</v>
      </c>
      <c r="H115" s="37">
        <v>1</v>
      </c>
      <c r="I115" s="36">
        <v>14705</v>
      </c>
      <c r="J115" s="37">
        <v>1</v>
      </c>
      <c r="K115" s="36">
        <v>14703</v>
      </c>
      <c r="L115" s="37">
        <v>1</v>
      </c>
      <c r="M115" s="36">
        <v>14683</v>
      </c>
      <c r="N115" s="37">
        <v>1</v>
      </c>
      <c r="O115" s="36">
        <v>14678</v>
      </c>
      <c r="P115" s="37">
        <v>1</v>
      </c>
      <c r="Q115" s="36">
        <v>14674</v>
      </c>
      <c r="R115" s="37">
        <v>1</v>
      </c>
      <c r="S115" s="36">
        <v>14689</v>
      </c>
      <c r="T115" s="37">
        <v>1</v>
      </c>
      <c r="U115" s="36">
        <v>14673</v>
      </c>
      <c r="V115" s="37">
        <v>1</v>
      </c>
      <c r="W115" s="36">
        <v>14676</v>
      </c>
      <c r="X115" s="37">
        <v>1</v>
      </c>
      <c r="Y115" s="36">
        <v>14665</v>
      </c>
      <c r="Z115" s="37">
        <v>1</v>
      </c>
      <c r="AA115" s="36">
        <v>14890</v>
      </c>
      <c r="AB115" s="37">
        <v>1</v>
      </c>
      <c r="AC115" s="36">
        <v>14897</v>
      </c>
      <c r="AD115" s="37">
        <v>1</v>
      </c>
      <c r="AE115" s="36">
        <v>14865</v>
      </c>
      <c r="AF115" s="37">
        <v>1</v>
      </c>
      <c r="AG115" s="36">
        <v>14845</v>
      </c>
      <c r="AH115" s="37">
        <v>1</v>
      </c>
      <c r="AI115" s="36">
        <v>15529</v>
      </c>
      <c r="AJ115" s="37">
        <v>1</v>
      </c>
      <c r="AK115" s="36">
        <v>15531</v>
      </c>
      <c r="AL115" s="37">
        <v>1</v>
      </c>
      <c r="AM115" s="36">
        <v>15531</v>
      </c>
      <c r="AN115" s="37">
        <v>1</v>
      </c>
      <c r="AO115" s="36">
        <v>15509</v>
      </c>
      <c r="AP115" s="37">
        <v>1</v>
      </c>
      <c r="AQ115" s="36">
        <v>18629</v>
      </c>
      <c r="AR115" s="37">
        <v>1</v>
      </c>
      <c r="AS115" s="36">
        <v>18570</v>
      </c>
      <c r="AT115" s="37">
        <v>1</v>
      </c>
      <c r="AU115" s="36">
        <v>18616</v>
      </c>
      <c r="AV115" s="37">
        <v>1</v>
      </c>
      <c r="AW115" s="36">
        <v>18658</v>
      </c>
      <c r="AX115" s="37">
        <v>1</v>
      </c>
      <c r="AY115" s="36">
        <v>18637</v>
      </c>
      <c r="AZ115" s="37">
        <v>1</v>
      </c>
    </row>
    <row r="116" spans="1:52" x14ac:dyDescent="0.25">
      <c r="A116" s="10" t="s">
        <v>1724</v>
      </c>
      <c r="B116" s="10"/>
      <c r="C116" s="32">
        <v>14699</v>
      </c>
      <c r="D116" s="33">
        <v>1</v>
      </c>
      <c r="E116" s="32">
        <v>14692</v>
      </c>
      <c r="F116" s="33">
        <v>1</v>
      </c>
      <c r="G116" s="32">
        <v>14689</v>
      </c>
      <c r="H116" s="33">
        <v>1</v>
      </c>
      <c r="I116" s="32">
        <v>14705</v>
      </c>
      <c r="J116" s="33">
        <v>1</v>
      </c>
      <c r="K116" s="32">
        <v>14703</v>
      </c>
      <c r="L116" s="33">
        <v>1</v>
      </c>
      <c r="M116" s="32">
        <v>14683</v>
      </c>
      <c r="N116" s="33">
        <v>1</v>
      </c>
      <c r="O116" s="32">
        <v>14678</v>
      </c>
      <c r="P116" s="33">
        <v>1</v>
      </c>
      <c r="Q116" s="32">
        <v>14674</v>
      </c>
      <c r="R116" s="33">
        <v>1</v>
      </c>
      <c r="S116" s="32">
        <v>14689</v>
      </c>
      <c r="T116" s="33">
        <v>1</v>
      </c>
      <c r="U116" s="32">
        <v>14673</v>
      </c>
      <c r="V116" s="33">
        <v>1</v>
      </c>
      <c r="W116" s="32">
        <v>14676</v>
      </c>
      <c r="X116" s="33">
        <v>1</v>
      </c>
      <c r="Y116" s="32">
        <v>14665</v>
      </c>
      <c r="Z116" s="33">
        <v>1</v>
      </c>
      <c r="AA116" s="32">
        <v>14890</v>
      </c>
      <c r="AB116" s="33">
        <v>1</v>
      </c>
      <c r="AC116" s="32">
        <v>14897</v>
      </c>
      <c r="AD116" s="33">
        <v>1</v>
      </c>
      <c r="AE116" s="32">
        <v>14865</v>
      </c>
      <c r="AF116" s="33">
        <v>1</v>
      </c>
      <c r="AG116" s="32">
        <v>14845</v>
      </c>
      <c r="AH116" s="33">
        <v>1</v>
      </c>
      <c r="AI116" s="32">
        <v>15529</v>
      </c>
      <c r="AJ116" s="33">
        <v>1</v>
      </c>
      <c r="AK116" s="32">
        <v>15531</v>
      </c>
      <c r="AL116" s="33">
        <v>1</v>
      </c>
      <c r="AM116" s="32">
        <v>15531</v>
      </c>
      <c r="AN116" s="33">
        <v>1</v>
      </c>
      <c r="AO116" s="32">
        <v>15509</v>
      </c>
      <c r="AP116" s="33">
        <v>1</v>
      </c>
      <c r="AQ116" s="32">
        <v>18629</v>
      </c>
      <c r="AR116" s="33">
        <v>1</v>
      </c>
      <c r="AS116" s="32">
        <v>18570</v>
      </c>
      <c r="AT116" s="33">
        <v>1</v>
      </c>
      <c r="AU116" s="32">
        <v>18616</v>
      </c>
      <c r="AV116" s="33">
        <v>1</v>
      </c>
      <c r="AW116" s="32">
        <v>18658</v>
      </c>
      <c r="AX116" s="33">
        <v>1</v>
      </c>
      <c r="AY116" s="32">
        <v>18637</v>
      </c>
      <c r="AZ116" s="33">
        <v>1</v>
      </c>
    </row>
    <row r="117" spans="1:52" x14ac:dyDescent="0.25">
      <c r="A117" s="6" t="s">
        <v>1762</v>
      </c>
      <c r="B117" s="6"/>
      <c r="C117" s="36">
        <v>66416</v>
      </c>
      <c r="D117" s="37">
        <v>1</v>
      </c>
      <c r="E117" s="36">
        <v>63997</v>
      </c>
      <c r="F117" s="37">
        <v>1</v>
      </c>
      <c r="G117" s="36">
        <v>59373</v>
      </c>
      <c r="H117" s="37">
        <v>1</v>
      </c>
      <c r="I117" s="36">
        <v>59535</v>
      </c>
      <c r="J117" s="37">
        <v>1</v>
      </c>
      <c r="K117" s="36">
        <v>59707</v>
      </c>
      <c r="L117" s="37">
        <v>1</v>
      </c>
      <c r="M117" s="36">
        <v>61669</v>
      </c>
      <c r="N117" s="37">
        <v>1</v>
      </c>
      <c r="O117" s="36">
        <v>65011</v>
      </c>
      <c r="P117" s="37">
        <v>1</v>
      </c>
      <c r="Q117" s="36">
        <v>64637</v>
      </c>
      <c r="R117" s="37">
        <v>1</v>
      </c>
      <c r="S117" s="36">
        <v>62948</v>
      </c>
      <c r="T117" s="37">
        <v>1</v>
      </c>
      <c r="U117" s="36">
        <v>62539</v>
      </c>
      <c r="V117" s="37">
        <v>1</v>
      </c>
      <c r="W117" s="36">
        <v>59773</v>
      </c>
      <c r="X117" s="37">
        <v>1</v>
      </c>
      <c r="Y117" s="36">
        <v>64993</v>
      </c>
      <c r="Z117" s="37">
        <v>1</v>
      </c>
      <c r="AA117" s="36">
        <v>61165</v>
      </c>
      <c r="AB117" s="37">
        <v>1</v>
      </c>
      <c r="AC117" s="36">
        <v>59196</v>
      </c>
      <c r="AD117" s="37">
        <v>1</v>
      </c>
      <c r="AE117" s="36">
        <v>59294</v>
      </c>
      <c r="AF117" s="37">
        <v>1</v>
      </c>
      <c r="AG117" s="36">
        <v>63700</v>
      </c>
      <c r="AH117" s="37">
        <v>1</v>
      </c>
      <c r="AI117" s="36">
        <v>65121</v>
      </c>
      <c r="AJ117" s="37">
        <v>1</v>
      </c>
      <c r="AK117" s="36">
        <v>88720</v>
      </c>
      <c r="AL117" s="37">
        <v>1</v>
      </c>
      <c r="AM117" s="36">
        <v>90269</v>
      </c>
      <c r="AN117" s="37">
        <v>1</v>
      </c>
      <c r="AO117" s="36">
        <v>90534</v>
      </c>
      <c r="AP117" s="37">
        <v>1</v>
      </c>
      <c r="AQ117" s="36">
        <v>97154</v>
      </c>
      <c r="AR117" s="37">
        <v>1</v>
      </c>
      <c r="AS117" s="36">
        <v>92980</v>
      </c>
      <c r="AT117" s="37">
        <v>1</v>
      </c>
      <c r="AU117" s="36">
        <v>90907</v>
      </c>
      <c r="AV117" s="37">
        <v>1</v>
      </c>
      <c r="AW117" s="36">
        <v>90883</v>
      </c>
      <c r="AX117" s="37">
        <v>1</v>
      </c>
      <c r="AY117" s="36">
        <v>91839</v>
      </c>
      <c r="AZ117" s="37">
        <v>1</v>
      </c>
    </row>
    <row r="118" spans="1:52" x14ac:dyDescent="0.25">
      <c r="A118" s="10" t="s">
        <v>1724</v>
      </c>
      <c r="B118" s="10"/>
      <c r="C118" s="32">
        <v>66416</v>
      </c>
      <c r="D118" s="33">
        <v>1</v>
      </c>
      <c r="E118" s="32">
        <v>63997</v>
      </c>
      <c r="F118" s="33">
        <v>1</v>
      </c>
      <c r="G118" s="32">
        <v>59373</v>
      </c>
      <c r="H118" s="33">
        <v>1</v>
      </c>
      <c r="I118" s="32">
        <v>59535</v>
      </c>
      <c r="J118" s="33">
        <v>1</v>
      </c>
      <c r="K118" s="32">
        <v>59707</v>
      </c>
      <c r="L118" s="33">
        <v>1</v>
      </c>
      <c r="M118" s="32">
        <v>61669</v>
      </c>
      <c r="N118" s="33">
        <v>1</v>
      </c>
      <c r="O118" s="32">
        <v>65011</v>
      </c>
      <c r="P118" s="33">
        <v>1</v>
      </c>
      <c r="Q118" s="32">
        <v>64637</v>
      </c>
      <c r="R118" s="33">
        <v>1</v>
      </c>
      <c r="S118" s="32">
        <v>62948</v>
      </c>
      <c r="T118" s="33">
        <v>1</v>
      </c>
      <c r="U118" s="32">
        <v>62539</v>
      </c>
      <c r="V118" s="33">
        <v>1</v>
      </c>
      <c r="W118" s="32">
        <v>59773</v>
      </c>
      <c r="X118" s="33">
        <v>1</v>
      </c>
      <c r="Y118" s="32">
        <v>64993</v>
      </c>
      <c r="Z118" s="33">
        <v>1</v>
      </c>
      <c r="AA118" s="32">
        <v>61165</v>
      </c>
      <c r="AB118" s="33">
        <v>1</v>
      </c>
      <c r="AC118" s="32">
        <v>59196</v>
      </c>
      <c r="AD118" s="33">
        <v>1</v>
      </c>
      <c r="AE118" s="32">
        <v>59294</v>
      </c>
      <c r="AF118" s="33">
        <v>1</v>
      </c>
      <c r="AG118" s="32">
        <v>63700</v>
      </c>
      <c r="AH118" s="33">
        <v>1</v>
      </c>
      <c r="AI118" s="32">
        <v>65121</v>
      </c>
      <c r="AJ118" s="33">
        <v>1</v>
      </c>
      <c r="AK118" s="32">
        <v>88720</v>
      </c>
      <c r="AL118" s="33">
        <v>1</v>
      </c>
      <c r="AM118" s="32">
        <v>90269</v>
      </c>
      <c r="AN118" s="33">
        <v>1</v>
      </c>
      <c r="AO118" s="32">
        <v>90534</v>
      </c>
      <c r="AP118" s="33">
        <v>1</v>
      </c>
      <c r="AQ118" s="32">
        <v>97154</v>
      </c>
      <c r="AR118" s="33">
        <v>1</v>
      </c>
      <c r="AS118" s="32">
        <v>92980</v>
      </c>
      <c r="AT118" s="33">
        <v>1</v>
      </c>
      <c r="AU118" s="32">
        <v>90907</v>
      </c>
      <c r="AV118" s="33">
        <v>1</v>
      </c>
      <c r="AW118" s="32">
        <v>90883</v>
      </c>
      <c r="AX118" s="33">
        <v>1</v>
      </c>
      <c r="AY118" s="32">
        <v>91839</v>
      </c>
      <c r="AZ118" s="33">
        <v>1</v>
      </c>
    </row>
    <row r="119" spans="1:52" x14ac:dyDescent="0.25">
      <c r="A119" s="6" t="s">
        <v>1763</v>
      </c>
      <c r="B119" s="6"/>
      <c r="C119" s="36">
        <v>53916</v>
      </c>
      <c r="D119" s="37">
        <v>1</v>
      </c>
      <c r="E119" s="36">
        <v>53165</v>
      </c>
      <c r="F119" s="37">
        <v>1</v>
      </c>
      <c r="G119" s="36">
        <v>48579</v>
      </c>
      <c r="H119" s="37">
        <v>1</v>
      </c>
      <c r="I119" s="36">
        <v>48608</v>
      </c>
      <c r="J119" s="37">
        <v>1</v>
      </c>
      <c r="K119" s="36">
        <v>50034</v>
      </c>
      <c r="L119" s="37">
        <v>1</v>
      </c>
      <c r="M119" s="36">
        <v>52184</v>
      </c>
      <c r="N119" s="37">
        <v>1</v>
      </c>
      <c r="O119" s="36">
        <v>54352</v>
      </c>
      <c r="P119" s="37">
        <v>1</v>
      </c>
      <c r="Q119" s="36">
        <v>53678</v>
      </c>
      <c r="R119" s="37">
        <v>1</v>
      </c>
      <c r="S119" s="36">
        <v>53539</v>
      </c>
      <c r="T119" s="37">
        <v>1</v>
      </c>
      <c r="U119" s="36">
        <v>53205</v>
      </c>
      <c r="V119" s="37">
        <v>1</v>
      </c>
      <c r="W119" s="36">
        <v>51526</v>
      </c>
      <c r="X119" s="37">
        <v>1</v>
      </c>
      <c r="Y119" s="36">
        <v>56776</v>
      </c>
      <c r="Z119" s="37">
        <v>1</v>
      </c>
      <c r="AA119" s="36">
        <v>54465</v>
      </c>
      <c r="AB119" s="37">
        <v>1</v>
      </c>
      <c r="AC119" s="36">
        <v>58280</v>
      </c>
      <c r="AD119" s="37">
        <v>1</v>
      </c>
      <c r="AE119" s="36">
        <v>56875</v>
      </c>
      <c r="AF119" s="37">
        <v>1</v>
      </c>
      <c r="AG119" s="36">
        <v>60047</v>
      </c>
      <c r="AH119" s="37">
        <v>1</v>
      </c>
      <c r="AI119" s="36">
        <v>61460</v>
      </c>
      <c r="AJ119" s="37">
        <v>1</v>
      </c>
      <c r="AK119" s="36">
        <v>83372</v>
      </c>
      <c r="AL119" s="37">
        <v>1</v>
      </c>
      <c r="AM119" s="36">
        <v>83488</v>
      </c>
      <c r="AN119" s="37">
        <v>1</v>
      </c>
      <c r="AO119" s="36">
        <v>82878</v>
      </c>
      <c r="AP119" s="37">
        <v>1</v>
      </c>
      <c r="AQ119" s="36">
        <v>90922</v>
      </c>
      <c r="AR119" s="37">
        <v>1</v>
      </c>
      <c r="AS119" s="36">
        <v>87958</v>
      </c>
      <c r="AT119" s="37">
        <v>1</v>
      </c>
      <c r="AU119" s="36">
        <v>84982</v>
      </c>
      <c r="AV119" s="37">
        <v>1</v>
      </c>
      <c r="AW119" s="36">
        <v>83356</v>
      </c>
      <c r="AX119" s="37">
        <v>1</v>
      </c>
      <c r="AY119" s="36">
        <v>85962</v>
      </c>
      <c r="AZ119" s="37">
        <v>1</v>
      </c>
    </row>
    <row r="120" spans="1:52" x14ac:dyDescent="0.25">
      <c r="A120" s="10" t="s">
        <v>1724</v>
      </c>
      <c r="B120" s="10"/>
      <c r="C120" s="32">
        <v>53916</v>
      </c>
      <c r="D120" s="33">
        <v>1</v>
      </c>
      <c r="E120" s="32">
        <v>53165</v>
      </c>
      <c r="F120" s="33">
        <v>1</v>
      </c>
      <c r="G120" s="32">
        <v>48579</v>
      </c>
      <c r="H120" s="33">
        <v>1</v>
      </c>
      <c r="I120" s="32">
        <v>48608</v>
      </c>
      <c r="J120" s="33">
        <v>1</v>
      </c>
      <c r="K120" s="32">
        <v>50034</v>
      </c>
      <c r="L120" s="33">
        <v>1</v>
      </c>
      <c r="M120" s="32">
        <v>52184</v>
      </c>
      <c r="N120" s="33">
        <v>1</v>
      </c>
      <c r="O120" s="32">
        <v>54352</v>
      </c>
      <c r="P120" s="33">
        <v>1</v>
      </c>
      <c r="Q120" s="32">
        <v>53678</v>
      </c>
      <c r="R120" s="33">
        <v>1</v>
      </c>
      <c r="S120" s="32">
        <v>53539</v>
      </c>
      <c r="T120" s="33">
        <v>1</v>
      </c>
      <c r="U120" s="32">
        <v>53205</v>
      </c>
      <c r="V120" s="33">
        <v>1</v>
      </c>
      <c r="W120" s="32">
        <v>51526</v>
      </c>
      <c r="X120" s="33">
        <v>1</v>
      </c>
      <c r="Y120" s="32">
        <v>56776</v>
      </c>
      <c r="Z120" s="33">
        <v>1</v>
      </c>
      <c r="AA120" s="32">
        <v>54465</v>
      </c>
      <c r="AB120" s="33">
        <v>1</v>
      </c>
      <c r="AC120" s="32">
        <v>58280</v>
      </c>
      <c r="AD120" s="33">
        <v>1</v>
      </c>
      <c r="AE120" s="32">
        <v>56875</v>
      </c>
      <c r="AF120" s="33">
        <v>1</v>
      </c>
      <c r="AG120" s="32">
        <v>60047</v>
      </c>
      <c r="AH120" s="33">
        <v>1</v>
      </c>
      <c r="AI120" s="32">
        <v>61460</v>
      </c>
      <c r="AJ120" s="33">
        <v>1</v>
      </c>
      <c r="AK120" s="32">
        <v>83372</v>
      </c>
      <c r="AL120" s="33">
        <v>1</v>
      </c>
      <c r="AM120" s="32">
        <v>83488</v>
      </c>
      <c r="AN120" s="33">
        <v>1</v>
      </c>
      <c r="AO120" s="32">
        <v>82878</v>
      </c>
      <c r="AP120" s="33">
        <v>1</v>
      </c>
      <c r="AQ120" s="32">
        <v>90922</v>
      </c>
      <c r="AR120" s="33">
        <v>1</v>
      </c>
      <c r="AS120" s="32">
        <v>87958</v>
      </c>
      <c r="AT120" s="33">
        <v>1</v>
      </c>
      <c r="AU120" s="32">
        <v>84982</v>
      </c>
      <c r="AV120" s="33">
        <v>1</v>
      </c>
      <c r="AW120" s="32">
        <v>83356</v>
      </c>
      <c r="AX120" s="33">
        <v>1</v>
      </c>
      <c r="AY120" s="32">
        <v>85962</v>
      </c>
      <c r="AZ120" s="33">
        <v>1</v>
      </c>
    </row>
    <row r="121" spans="1:52" x14ac:dyDescent="0.25">
      <c r="A121" s="6" t="s">
        <v>476</v>
      </c>
      <c r="B121" s="6"/>
      <c r="C121" s="36">
        <v>490</v>
      </c>
      <c r="D121" s="37">
        <v>1</v>
      </c>
      <c r="E121" s="36">
        <v>495</v>
      </c>
      <c r="F121" s="37">
        <v>1</v>
      </c>
      <c r="G121" s="36">
        <v>501</v>
      </c>
      <c r="H121" s="37">
        <v>1</v>
      </c>
      <c r="I121" s="36">
        <v>508</v>
      </c>
      <c r="J121" s="37">
        <v>1</v>
      </c>
      <c r="K121" s="36">
        <v>702</v>
      </c>
      <c r="L121" s="37">
        <v>1</v>
      </c>
      <c r="M121" s="36">
        <v>897</v>
      </c>
      <c r="N121" s="37">
        <v>1</v>
      </c>
      <c r="O121" s="36">
        <v>930</v>
      </c>
      <c r="P121" s="37">
        <v>1</v>
      </c>
      <c r="Q121" s="36">
        <v>901</v>
      </c>
      <c r="R121" s="37">
        <v>1</v>
      </c>
      <c r="S121" s="36">
        <v>873</v>
      </c>
      <c r="T121" s="37">
        <v>1</v>
      </c>
      <c r="U121" s="36">
        <v>841</v>
      </c>
      <c r="V121" s="37">
        <v>1</v>
      </c>
      <c r="W121" s="36">
        <v>855</v>
      </c>
      <c r="X121" s="37">
        <v>1</v>
      </c>
      <c r="Y121" s="36">
        <v>850</v>
      </c>
      <c r="Z121" s="37">
        <v>1</v>
      </c>
      <c r="AA121" s="36">
        <v>852</v>
      </c>
      <c r="AB121" s="37">
        <v>1</v>
      </c>
      <c r="AC121" s="36">
        <v>841</v>
      </c>
      <c r="AD121" s="37">
        <v>1</v>
      </c>
      <c r="AE121" s="36">
        <v>828</v>
      </c>
      <c r="AF121" s="37">
        <v>1</v>
      </c>
      <c r="AG121" s="36">
        <v>837</v>
      </c>
      <c r="AH121" s="37">
        <v>1</v>
      </c>
      <c r="AI121" s="36">
        <v>911</v>
      </c>
      <c r="AJ121" s="37">
        <v>1</v>
      </c>
      <c r="AK121" s="36">
        <v>900</v>
      </c>
      <c r="AL121" s="37">
        <v>1</v>
      </c>
      <c r="AM121" s="36">
        <v>896</v>
      </c>
      <c r="AN121" s="37">
        <v>1</v>
      </c>
      <c r="AO121" s="36">
        <v>895</v>
      </c>
      <c r="AP121" s="37">
        <v>1</v>
      </c>
      <c r="AQ121" s="36">
        <v>1380</v>
      </c>
      <c r="AR121" s="37">
        <v>1</v>
      </c>
      <c r="AS121" s="36">
        <v>1399</v>
      </c>
      <c r="AT121" s="37">
        <v>1</v>
      </c>
      <c r="AU121" s="36">
        <v>1400</v>
      </c>
      <c r="AV121" s="37">
        <v>1</v>
      </c>
      <c r="AW121" s="36">
        <v>1396</v>
      </c>
      <c r="AX121" s="37">
        <v>1</v>
      </c>
      <c r="AY121" s="36">
        <v>1397</v>
      </c>
      <c r="AZ121" s="37">
        <v>1</v>
      </c>
    </row>
    <row r="122" spans="1:52" x14ac:dyDescent="0.25">
      <c r="A122" s="10" t="s">
        <v>1724</v>
      </c>
      <c r="B122" s="10"/>
      <c r="C122" s="32">
        <v>490</v>
      </c>
      <c r="D122" s="33">
        <v>1</v>
      </c>
      <c r="E122" s="32">
        <v>495</v>
      </c>
      <c r="F122" s="33">
        <v>1</v>
      </c>
      <c r="G122" s="32">
        <v>501</v>
      </c>
      <c r="H122" s="33">
        <v>1</v>
      </c>
      <c r="I122" s="32">
        <v>508</v>
      </c>
      <c r="J122" s="33">
        <v>1</v>
      </c>
      <c r="K122" s="32">
        <v>702</v>
      </c>
      <c r="L122" s="33">
        <v>1</v>
      </c>
      <c r="M122" s="32">
        <v>897</v>
      </c>
      <c r="N122" s="33">
        <v>1</v>
      </c>
      <c r="O122" s="32">
        <v>930</v>
      </c>
      <c r="P122" s="33">
        <v>1</v>
      </c>
      <c r="Q122" s="32">
        <v>901</v>
      </c>
      <c r="R122" s="33">
        <v>1</v>
      </c>
      <c r="S122" s="32">
        <v>873</v>
      </c>
      <c r="T122" s="33">
        <v>1</v>
      </c>
      <c r="U122" s="32">
        <v>841</v>
      </c>
      <c r="V122" s="33">
        <v>1</v>
      </c>
      <c r="W122" s="32">
        <v>855</v>
      </c>
      <c r="X122" s="33">
        <v>1</v>
      </c>
      <c r="Y122" s="32">
        <v>850</v>
      </c>
      <c r="Z122" s="33">
        <v>1</v>
      </c>
      <c r="AA122" s="32">
        <v>852</v>
      </c>
      <c r="AB122" s="33">
        <v>1</v>
      </c>
      <c r="AC122" s="32">
        <v>841</v>
      </c>
      <c r="AD122" s="33">
        <v>1</v>
      </c>
      <c r="AE122" s="32">
        <v>828</v>
      </c>
      <c r="AF122" s="33">
        <v>1</v>
      </c>
      <c r="AG122" s="32">
        <v>837</v>
      </c>
      <c r="AH122" s="33">
        <v>1</v>
      </c>
      <c r="AI122" s="32">
        <v>911</v>
      </c>
      <c r="AJ122" s="33">
        <v>1</v>
      </c>
      <c r="AK122" s="32">
        <v>900</v>
      </c>
      <c r="AL122" s="33">
        <v>1</v>
      </c>
      <c r="AM122" s="32">
        <v>896</v>
      </c>
      <c r="AN122" s="33">
        <v>1</v>
      </c>
      <c r="AO122" s="32">
        <v>895</v>
      </c>
      <c r="AP122" s="33">
        <v>1</v>
      </c>
      <c r="AQ122" s="32">
        <v>1380</v>
      </c>
      <c r="AR122" s="33">
        <v>1</v>
      </c>
      <c r="AS122" s="32">
        <v>1399</v>
      </c>
      <c r="AT122" s="33">
        <v>1</v>
      </c>
      <c r="AU122" s="32">
        <v>1400</v>
      </c>
      <c r="AV122" s="33">
        <v>1</v>
      </c>
      <c r="AW122" s="32">
        <v>1396</v>
      </c>
      <c r="AX122" s="33">
        <v>1</v>
      </c>
      <c r="AY122" s="32">
        <v>1397</v>
      </c>
      <c r="AZ122" s="33">
        <v>1</v>
      </c>
    </row>
    <row r="123" spans="1:52" x14ac:dyDescent="0.25">
      <c r="A123" s="6" t="s">
        <v>1764</v>
      </c>
      <c r="B123" s="6"/>
      <c r="C123" s="36">
        <v>173</v>
      </c>
      <c r="D123" s="37">
        <v>1</v>
      </c>
      <c r="E123" s="36">
        <v>180</v>
      </c>
      <c r="F123" s="37">
        <v>1</v>
      </c>
      <c r="G123" s="36">
        <v>186</v>
      </c>
      <c r="H123" s="37">
        <v>1</v>
      </c>
      <c r="I123" s="36">
        <v>191</v>
      </c>
      <c r="J123" s="37">
        <v>1</v>
      </c>
      <c r="K123" s="36">
        <v>250</v>
      </c>
      <c r="L123" s="37">
        <v>1</v>
      </c>
      <c r="M123" s="36">
        <v>188</v>
      </c>
      <c r="N123" s="37">
        <v>1</v>
      </c>
      <c r="O123" s="36">
        <v>217</v>
      </c>
      <c r="P123" s="37">
        <v>1</v>
      </c>
      <c r="Q123" s="36">
        <v>175</v>
      </c>
      <c r="R123" s="37">
        <v>1</v>
      </c>
      <c r="S123" s="36">
        <v>181</v>
      </c>
      <c r="T123" s="37">
        <v>1</v>
      </c>
      <c r="U123" s="36">
        <v>187</v>
      </c>
      <c r="V123" s="37">
        <v>1</v>
      </c>
      <c r="W123" s="36">
        <v>203</v>
      </c>
      <c r="X123" s="37">
        <v>1</v>
      </c>
      <c r="Y123" s="36">
        <v>208</v>
      </c>
      <c r="Z123" s="37">
        <v>1</v>
      </c>
      <c r="AA123" s="36">
        <v>187</v>
      </c>
      <c r="AB123" s="37">
        <v>1</v>
      </c>
      <c r="AC123" s="36">
        <v>204</v>
      </c>
      <c r="AD123" s="37">
        <v>1</v>
      </c>
      <c r="AE123" s="36">
        <v>199</v>
      </c>
      <c r="AF123" s="37">
        <v>1</v>
      </c>
      <c r="AG123" s="36">
        <v>209</v>
      </c>
      <c r="AH123" s="37">
        <v>1</v>
      </c>
      <c r="AI123" s="36">
        <v>49</v>
      </c>
      <c r="AJ123" s="37">
        <v>1</v>
      </c>
      <c r="AK123" s="36">
        <v>207</v>
      </c>
      <c r="AL123" s="37">
        <v>1</v>
      </c>
      <c r="AM123" s="36">
        <v>164</v>
      </c>
      <c r="AN123" s="37">
        <v>1</v>
      </c>
      <c r="AO123" s="36">
        <v>202</v>
      </c>
      <c r="AP123" s="37">
        <v>1</v>
      </c>
      <c r="AQ123" s="36">
        <v>94</v>
      </c>
      <c r="AR123" s="37">
        <v>1</v>
      </c>
      <c r="AS123" s="36">
        <v>199</v>
      </c>
      <c r="AT123" s="37">
        <v>1</v>
      </c>
      <c r="AU123" s="36">
        <v>200</v>
      </c>
      <c r="AV123" s="37">
        <v>1</v>
      </c>
      <c r="AW123" s="36">
        <v>196</v>
      </c>
      <c r="AX123" s="37">
        <v>1</v>
      </c>
      <c r="AY123" s="36">
        <v>99</v>
      </c>
      <c r="AZ123" s="37">
        <v>1</v>
      </c>
    </row>
    <row r="124" spans="1:52" x14ac:dyDescent="0.25">
      <c r="A124" s="10" t="s">
        <v>1724</v>
      </c>
      <c r="B124" s="10"/>
      <c r="C124" s="32">
        <v>173</v>
      </c>
      <c r="D124" s="33">
        <v>1</v>
      </c>
      <c r="E124" s="32">
        <v>180</v>
      </c>
      <c r="F124" s="33">
        <v>1</v>
      </c>
      <c r="G124" s="32">
        <v>186</v>
      </c>
      <c r="H124" s="33">
        <v>1</v>
      </c>
      <c r="I124" s="32">
        <v>191</v>
      </c>
      <c r="J124" s="33">
        <v>1</v>
      </c>
      <c r="K124" s="32">
        <v>250</v>
      </c>
      <c r="L124" s="33">
        <v>1</v>
      </c>
      <c r="M124" s="32">
        <v>188</v>
      </c>
      <c r="N124" s="33">
        <v>1</v>
      </c>
      <c r="O124" s="32">
        <v>217</v>
      </c>
      <c r="P124" s="33">
        <v>1</v>
      </c>
      <c r="Q124" s="32">
        <v>175</v>
      </c>
      <c r="R124" s="33">
        <v>1</v>
      </c>
      <c r="S124" s="32">
        <v>181</v>
      </c>
      <c r="T124" s="33">
        <v>1</v>
      </c>
      <c r="U124" s="32">
        <v>187</v>
      </c>
      <c r="V124" s="33">
        <v>1</v>
      </c>
      <c r="W124" s="32">
        <v>203</v>
      </c>
      <c r="X124" s="33">
        <v>1</v>
      </c>
      <c r="Y124" s="32">
        <v>208</v>
      </c>
      <c r="Z124" s="33">
        <v>1</v>
      </c>
      <c r="AA124" s="32">
        <v>187</v>
      </c>
      <c r="AB124" s="33">
        <v>1</v>
      </c>
      <c r="AC124" s="32">
        <v>204</v>
      </c>
      <c r="AD124" s="33">
        <v>1</v>
      </c>
      <c r="AE124" s="32">
        <v>199</v>
      </c>
      <c r="AF124" s="33">
        <v>1</v>
      </c>
      <c r="AG124" s="32">
        <v>209</v>
      </c>
      <c r="AH124" s="33">
        <v>1</v>
      </c>
      <c r="AI124" s="32">
        <v>49</v>
      </c>
      <c r="AJ124" s="33">
        <v>1</v>
      </c>
      <c r="AK124" s="32">
        <v>207</v>
      </c>
      <c r="AL124" s="33">
        <v>1</v>
      </c>
      <c r="AM124" s="32">
        <v>164</v>
      </c>
      <c r="AN124" s="33">
        <v>1</v>
      </c>
      <c r="AO124" s="32">
        <v>202</v>
      </c>
      <c r="AP124" s="33">
        <v>1</v>
      </c>
      <c r="AQ124" s="32">
        <v>94</v>
      </c>
      <c r="AR124" s="33">
        <v>1</v>
      </c>
      <c r="AS124" s="32">
        <v>199</v>
      </c>
      <c r="AT124" s="33">
        <v>1</v>
      </c>
      <c r="AU124" s="32">
        <v>200</v>
      </c>
      <c r="AV124" s="33">
        <v>1</v>
      </c>
      <c r="AW124" s="32">
        <v>196</v>
      </c>
      <c r="AX124" s="33">
        <v>1</v>
      </c>
      <c r="AY124" s="32">
        <v>99</v>
      </c>
      <c r="AZ124" s="33">
        <v>1</v>
      </c>
    </row>
    <row r="125" spans="1:52" x14ac:dyDescent="0.25">
      <c r="A125" s="6" t="s">
        <v>1765</v>
      </c>
      <c r="B125" s="6"/>
      <c r="C125" s="36">
        <v>1182</v>
      </c>
      <c r="D125" s="37">
        <v>1</v>
      </c>
      <c r="E125" s="36">
        <v>879</v>
      </c>
      <c r="F125" s="37">
        <v>1</v>
      </c>
      <c r="G125" s="36">
        <v>924</v>
      </c>
      <c r="H125" s="37">
        <v>1</v>
      </c>
      <c r="I125" s="36">
        <v>1001</v>
      </c>
      <c r="J125" s="37">
        <v>1</v>
      </c>
      <c r="K125" s="36">
        <v>1312</v>
      </c>
      <c r="L125" s="37">
        <v>1</v>
      </c>
      <c r="M125" s="36">
        <v>952</v>
      </c>
      <c r="N125" s="37">
        <v>1</v>
      </c>
      <c r="O125" s="36">
        <v>964</v>
      </c>
      <c r="P125" s="37">
        <v>1</v>
      </c>
      <c r="Q125" s="36">
        <v>1062</v>
      </c>
      <c r="R125" s="37">
        <v>1</v>
      </c>
      <c r="S125" s="36">
        <v>1229</v>
      </c>
      <c r="T125" s="37">
        <v>1</v>
      </c>
      <c r="U125" s="36">
        <v>967</v>
      </c>
      <c r="V125" s="37">
        <v>1</v>
      </c>
      <c r="W125" s="36">
        <v>1082</v>
      </c>
      <c r="X125" s="37">
        <v>1</v>
      </c>
      <c r="Y125" s="36">
        <v>1422</v>
      </c>
      <c r="Z125" s="37">
        <v>1</v>
      </c>
      <c r="AA125" s="36">
        <v>1348</v>
      </c>
      <c r="AB125" s="37">
        <v>1</v>
      </c>
      <c r="AC125" s="36">
        <v>959</v>
      </c>
      <c r="AD125" s="37">
        <v>1</v>
      </c>
      <c r="AE125" s="36">
        <v>1039</v>
      </c>
      <c r="AF125" s="37">
        <v>1</v>
      </c>
      <c r="AG125" s="36">
        <v>1112</v>
      </c>
      <c r="AH125" s="37">
        <v>1</v>
      </c>
      <c r="AI125" s="36">
        <v>1324</v>
      </c>
      <c r="AJ125" s="37">
        <v>1</v>
      </c>
      <c r="AK125" s="36">
        <v>1058</v>
      </c>
      <c r="AL125" s="37">
        <v>1</v>
      </c>
      <c r="AM125" s="36">
        <v>1113</v>
      </c>
      <c r="AN125" s="37">
        <v>1</v>
      </c>
      <c r="AO125" s="36">
        <v>1079</v>
      </c>
      <c r="AP125" s="37">
        <v>1</v>
      </c>
      <c r="AQ125" s="36">
        <v>1534</v>
      </c>
      <c r="AR125" s="37">
        <v>1</v>
      </c>
      <c r="AS125" s="36">
        <v>1343</v>
      </c>
      <c r="AT125" s="37">
        <v>1</v>
      </c>
      <c r="AU125" s="36">
        <v>1447</v>
      </c>
      <c r="AV125" s="37">
        <v>1</v>
      </c>
      <c r="AW125" s="36">
        <v>1450</v>
      </c>
      <c r="AX125" s="37">
        <v>1</v>
      </c>
      <c r="AY125" s="36">
        <v>1724</v>
      </c>
      <c r="AZ125" s="37">
        <v>1</v>
      </c>
    </row>
    <row r="126" spans="1:52" x14ac:dyDescent="0.25">
      <c r="A126" s="10" t="s">
        <v>1724</v>
      </c>
      <c r="B126" s="10"/>
      <c r="C126" s="32">
        <v>1182</v>
      </c>
      <c r="D126" s="33">
        <v>1</v>
      </c>
      <c r="E126" s="32">
        <v>879</v>
      </c>
      <c r="F126" s="33">
        <v>1</v>
      </c>
      <c r="G126" s="32">
        <v>924</v>
      </c>
      <c r="H126" s="33">
        <v>1</v>
      </c>
      <c r="I126" s="32">
        <v>1001</v>
      </c>
      <c r="J126" s="33">
        <v>1</v>
      </c>
      <c r="K126" s="32">
        <v>1312</v>
      </c>
      <c r="L126" s="33">
        <v>1</v>
      </c>
      <c r="M126" s="32">
        <v>952</v>
      </c>
      <c r="N126" s="33">
        <v>1</v>
      </c>
      <c r="O126" s="32">
        <v>964</v>
      </c>
      <c r="P126" s="33">
        <v>1</v>
      </c>
      <c r="Q126" s="32">
        <v>1062</v>
      </c>
      <c r="R126" s="33">
        <v>1</v>
      </c>
      <c r="S126" s="32">
        <v>1229</v>
      </c>
      <c r="T126" s="33">
        <v>1</v>
      </c>
      <c r="U126" s="32">
        <v>967</v>
      </c>
      <c r="V126" s="33">
        <v>1</v>
      </c>
      <c r="W126" s="32">
        <v>1082</v>
      </c>
      <c r="X126" s="33">
        <v>1</v>
      </c>
      <c r="Y126" s="32">
        <v>1422</v>
      </c>
      <c r="Z126" s="33">
        <v>1</v>
      </c>
      <c r="AA126" s="32">
        <v>1348</v>
      </c>
      <c r="AB126" s="33">
        <v>1</v>
      </c>
      <c r="AC126" s="32">
        <v>959</v>
      </c>
      <c r="AD126" s="33">
        <v>1</v>
      </c>
      <c r="AE126" s="32">
        <v>1039</v>
      </c>
      <c r="AF126" s="33">
        <v>1</v>
      </c>
      <c r="AG126" s="32">
        <v>1112</v>
      </c>
      <c r="AH126" s="33">
        <v>1</v>
      </c>
      <c r="AI126" s="32">
        <v>1324</v>
      </c>
      <c r="AJ126" s="33">
        <v>1</v>
      </c>
      <c r="AK126" s="32">
        <v>1058</v>
      </c>
      <c r="AL126" s="33">
        <v>1</v>
      </c>
      <c r="AM126" s="32">
        <v>1113</v>
      </c>
      <c r="AN126" s="33">
        <v>1</v>
      </c>
      <c r="AO126" s="32">
        <v>1079</v>
      </c>
      <c r="AP126" s="33">
        <v>1</v>
      </c>
      <c r="AQ126" s="32">
        <v>1534</v>
      </c>
      <c r="AR126" s="33">
        <v>1</v>
      </c>
      <c r="AS126" s="32">
        <v>1343</v>
      </c>
      <c r="AT126" s="33">
        <v>1</v>
      </c>
      <c r="AU126" s="32">
        <v>1447</v>
      </c>
      <c r="AV126" s="33">
        <v>1</v>
      </c>
      <c r="AW126" s="32">
        <v>1450</v>
      </c>
      <c r="AX126" s="33">
        <v>1</v>
      </c>
      <c r="AY126" s="32">
        <v>1724</v>
      </c>
      <c r="AZ126" s="33">
        <v>1</v>
      </c>
    </row>
    <row r="127" spans="1:52" x14ac:dyDescent="0.25">
      <c r="A127" s="6" t="s">
        <v>86</v>
      </c>
      <c r="B127" s="6"/>
      <c r="C127" s="36">
        <v>-225</v>
      </c>
      <c r="D127" s="37"/>
      <c r="E127" s="36">
        <v>-116</v>
      </c>
      <c r="F127" s="37"/>
      <c r="G127" s="36">
        <v>-144</v>
      </c>
      <c r="H127" s="37"/>
      <c r="I127" s="36">
        <v>-170</v>
      </c>
      <c r="J127" s="37"/>
      <c r="K127" s="36">
        <v>-188</v>
      </c>
      <c r="L127" s="37"/>
      <c r="M127" s="36">
        <v>-142</v>
      </c>
      <c r="N127" s="37"/>
      <c r="O127" s="36">
        <v>-158</v>
      </c>
      <c r="P127" s="37"/>
      <c r="Q127" s="36">
        <v>-135</v>
      </c>
      <c r="R127" s="37"/>
      <c r="S127" s="36">
        <v>-173</v>
      </c>
      <c r="T127" s="37"/>
      <c r="U127" s="36">
        <v>-166</v>
      </c>
      <c r="V127" s="37"/>
      <c r="W127" s="36">
        <v>-185</v>
      </c>
      <c r="X127" s="37"/>
      <c r="Y127" s="36">
        <v>-242</v>
      </c>
      <c r="Z127" s="37"/>
      <c r="AA127" s="36">
        <v>-287</v>
      </c>
      <c r="AB127" s="37"/>
      <c r="AC127" s="36">
        <v>-190</v>
      </c>
      <c r="AD127" s="37"/>
      <c r="AE127" s="36">
        <v>-246</v>
      </c>
      <c r="AF127" s="37"/>
      <c r="AG127" s="36">
        <v>-160</v>
      </c>
      <c r="AH127" s="37"/>
      <c r="AI127" s="36">
        <v>-340</v>
      </c>
      <c r="AJ127" s="37"/>
      <c r="AK127" s="36">
        <v>-344</v>
      </c>
      <c r="AL127" s="37"/>
      <c r="AM127" s="36">
        <v>-271</v>
      </c>
      <c r="AN127" s="37"/>
      <c r="AO127" s="36">
        <v>-248</v>
      </c>
      <c r="AP127" s="37"/>
      <c r="AQ127" s="36">
        <v>-249</v>
      </c>
      <c r="AR127" s="37"/>
      <c r="AS127" s="36">
        <v>-230</v>
      </c>
      <c r="AT127" s="37"/>
      <c r="AU127" s="36">
        <v>-238</v>
      </c>
      <c r="AV127" s="37"/>
      <c r="AW127" s="36">
        <v>-257</v>
      </c>
      <c r="AX127" s="37"/>
      <c r="AY127" s="36">
        <v>-371</v>
      </c>
      <c r="AZ127" s="37"/>
    </row>
    <row r="128" spans="1:52" x14ac:dyDescent="0.25">
      <c r="A128" s="10" t="s">
        <v>1724</v>
      </c>
      <c r="B128" s="10"/>
      <c r="C128" s="32">
        <v>-225</v>
      </c>
      <c r="D128" s="33">
        <v>1</v>
      </c>
      <c r="E128" s="32">
        <v>-116</v>
      </c>
      <c r="F128" s="33">
        <v>1</v>
      </c>
      <c r="G128" s="32">
        <v>-144</v>
      </c>
      <c r="H128" s="33">
        <v>1</v>
      </c>
      <c r="I128" s="32">
        <v>-170</v>
      </c>
      <c r="J128" s="33">
        <v>1</v>
      </c>
      <c r="K128" s="32">
        <v>-188</v>
      </c>
      <c r="L128" s="33">
        <v>1</v>
      </c>
      <c r="M128" s="32">
        <v>-142</v>
      </c>
      <c r="N128" s="33">
        <v>1</v>
      </c>
      <c r="O128" s="32">
        <v>-158</v>
      </c>
      <c r="P128" s="33">
        <v>1</v>
      </c>
      <c r="Q128" s="32">
        <v>-135</v>
      </c>
      <c r="R128" s="33">
        <v>1</v>
      </c>
      <c r="S128" s="32">
        <v>-173</v>
      </c>
      <c r="T128" s="33">
        <v>1</v>
      </c>
      <c r="U128" s="32">
        <v>-166</v>
      </c>
      <c r="V128" s="33">
        <v>1</v>
      </c>
      <c r="W128" s="32">
        <v>-185</v>
      </c>
      <c r="X128" s="33">
        <v>1</v>
      </c>
      <c r="Y128" s="32">
        <v>-242</v>
      </c>
      <c r="Z128" s="33">
        <v>1</v>
      </c>
      <c r="AA128" s="32">
        <v>-287</v>
      </c>
      <c r="AB128" s="33">
        <v>1</v>
      </c>
      <c r="AC128" s="32">
        <v>-190</v>
      </c>
      <c r="AD128" s="33">
        <v>1</v>
      </c>
      <c r="AE128" s="32">
        <v>-246</v>
      </c>
      <c r="AF128" s="33">
        <v>1</v>
      </c>
      <c r="AG128" s="32">
        <v>-160</v>
      </c>
      <c r="AH128" s="33">
        <v>1</v>
      </c>
      <c r="AI128" s="32">
        <v>-340</v>
      </c>
      <c r="AJ128" s="33">
        <v>1</v>
      </c>
      <c r="AK128" s="32">
        <v>-344</v>
      </c>
      <c r="AL128" s="33">
        <v>1</v>
      </c>
      <c r="AM128" s="32">
        <v>-271</v>
      </c>
      <c r="AN128" s="33">
        <v>1</v>
      </c>
      <c r="AO128" s="32">
        <v>-248</v>
      </c>
      <c r="AP128" s="33">
        <v>1</v>
      </c>
      <c r="AQ128" s="32">
        <v>-249</v>
      </c>
      <c r="AR128" s="33">
        <v>1</v>
      </c>
      <c r="AS128" s="32">
        <v>-230</v>
      </c>
      <c r="AT128" s="33">
        <v>1</v>
      </c>
      <c r="AU128" s="32">
        <v>-238</v>
      </c>
      <c r="AV128" s="33">
        <v>1</v>
      </c>
      <c r="AW128" s="32">
        <v>-257</v>
      </c>
      <c r="AX128" s="33">
        <v>1</v>
      </c>
      <c r="AY128" s="32">
        <v>-371</v>
      </c>
      <c r="AZ128" s="33">
        <v>1</v>
      </c>
    </row>
    <row r="129" spans="1:52" x14ac:dyDescent="0.25">
      <c r="A129" s="7" t="s">
        <v>90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T131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3" width="11.85546875" customWidth="1"/>
    <col min="4" max="4" width="7" customWidth="1"/>
    <col min="5" max="5" width="11.85546875" customWidth="1"/>
    <col min="6" max="6" width="7" customWidth="1"/>
    <col min="7" max="7" width="11.85546875" customWidth="1"/>
    <col min="8" max="8" width="7" customWidth="1"/>
    <col min="9" max="9" width="11.85546875" customWidth="1"/>
    <col min="10" max="10" width="7" customWidth="1"/>
    <col min="11" max="11" width="11.85546875" customWidth="1"/>
    <col min="12" max="12" width="7" customWidth="1"/>
    <col min="13" max="13" width="11.85546875" customWidth="1"/>
    <col min="14" max="14" width="7" customWidth="1"/>
    <col min="15" max="15" width="11.85546875" customWidth="1"/>
    <col min="16" max="16" width="7" customWidth="1"/>
    <col min="17" max="17" width="11.85546875" customWidth="1"/>
    <col min="18" max="18" width="7" customWidth="1"/>
    <col min="19" max="19" width="11.85546875" customWidth="1"/>
    <col min="20" max="20" width="7" customWidth="1"/>
    <col min="21" max="21" width="11.85546875" customWidth="1"/>
    <col min="22" max="22" width="7" customWidth="1"/>
    <col min="23" max="23" width="11.85546875" customWidth="1"/>
    <col min="24" max="24" width="7" customWidth="1"/>
    <col min="25" max="25" width="11.85546875" customWidth="1"/>
    <col min="26" max="26" width="7" customWidth="1"/>
    <col min="27" max="27" width="11.85546875" customWidth="1"/>
    <col min="28" max="28" width="7" customWidth="1"/>
    <col min="29" max="29" width="11.85546875" customWidth="1"/>
    <col min="30" max="30" width="7" customWidth="1"/>
    <col min="31" max="31" width="11.85546875" customWidth="1"/>
    <col min="32" max="32" width="7" customWidth="1"/>
    <col min="33" max="33" width="11.85546875" customWidth="1"/>
    <col min="34" max="34" width="7" customWidth="1"/>
    <col min="35" max="35" width="11.85546875" customWidth="1"/>
    <col min="36" max="36" width="7" customWidth="1"/>
    <col min="37" max="37" width="11.85546875" customWidth="1"/>
    <col min="38" max="38" width="7" customWidth="1"/>
    <col min="39" max="39" width="11.85546875" customWidth="1"/>
    <col min="40" max="40" width="7" customWidth="1"/>
    <col min="41" max="41" width="11.85546875" customWidth="1"/>
    <col min="42" max="42" width="7" customWidth="1"/>
    <col min="43" max="43" width="11.85546875" customWidth="1"/>
    <col min="44" max="44" width="7" customWidth="1"/>
    <col min="45" max="45" width="11.85546875" customWidth="1"/>
    <col min="46" max="46" width="7" customWidth="1"/>
  </cols>
  <sheetData>
    <row r="1" spans="1:4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20.25" x14ac:dyDescent="0.25">
      <c r="A2" s="8" t="s">
        <v>1766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</row>
    <row r="3" spans="1:4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1:46" x14ac:dyDescent="0.25">
      <c r="A4" s="3" t="s">
        <v>92</v>
      </c>
      <c r="B4" s="3"/>
      <c r="C4" s="30" t="s">
        <v>93</v>
      </c>
      <c r="D4" s="30"/>
      <c r="E4" s="30" t="s">
        <v>94</v>
      </c>
      <c r="F4" s="30"/>
      <c r="G4" s="30" t="s">
        <v>9</v>
      </c>
      <c r="H4" s="30"/>
      <c r="I4" s="30" t="s">
        <v>10</v>
      </c>
      <c r="J4" s="30"/>
      <c r="K4" s="30" t="s">
        <v>11</v>
      </c>
      <c r="L4" s="30"/>
      <c r="M4" s="30" t="s">
        <v>12</v>
      </c>
      <c r="N4" s="30"/>
      <c r="O4" s="30" t="s">
        <v>14</v>
      </c>
      <c r="P4" s="30"/>
      <c r="Q4" s="30" t="s">
        <v>15</v>
      </c>
      <c r="R4" s="30"/>
      <c r="S4" s="30" t="s">
        <v>16</v>
      </c>
      <c r="T4" s="30"/>
      <c r="U4" s="30" t="s">
        <v>17</v>
      </c>
      <c r="V4" s="30"/>
      <c r="W4" s="30" t="s">
        <v>19</v>
      </c>
      <c r="X4" s="30"/>
      <c r="Y4" s="30" t="s">
        <v>20</v>
      </c>
      <c r="Z4" s="30"/>
      <c r="AA4" s="30" t="s">
        <v>21</v>
      </c>
      <c r="AB4" s="30"/>
      <c r="AC4" s="30" t="s">
        <v>22</v>
      </c>
      <c r="AD4" s="30"/>
      <c r="AE4" s="30" t="s">
        <v>23</v>
      </c>
      <c r="AF4" s="30"/>
      <c r="AG4" s="30" t="s">
        <v>24</v>
      </c>
      <c r="AH4" s="30"/>
      <c r="AI4" s="30" t="s">
        <v>25</v>
      </c>
      <c r="AJ4" s="30"/>
      <c r="AK4" s="30" t="s">
        <v>26</v>
      </c>
      <c r="AL4" s="30"/>
      <c r="AM4" s="30" t="s">
        <v>27</v>
      </c>
      <c r="AN4" s="30"/>
      <c r="AO4" s="30" t="s">
        <v>28</v>
      </c>
      <c r="AP4" s="30"/>
      <c r="AQ4" s="30" t="s">
        <v>30</v>
      </c>
      <c r="AR4" s="30"/>
      <c r="AS4" s="30" t="s">
        <v>31</v>
      </c>
      <c r="AT4" s="30"/>
    </row>
    <row r="5" spans="1:46" x14ac:dyDescent="0.25">
      <c r="A5" s="9" t="s">
        <v>34</v>
      </c>
      <c r="B5" s="9"/>
      <c r="C5" s="31" t="s">
        <v>95</v>
      </c>
      <c r="D5" s="31"/>
      <c r="E5" s="31" t="s">
        <v>96</v>
      </c>
      <c r="F5" s="31"/>
      <c r="G5" s="31" t="s">
        <v>35</v>
      </c>
      <c r="H5" s="31"/>
      <c r="I5" s="31" t="s">
        <v>36</v>
      </c>
      <c r="J5" s="31"/>
      <c r="K5" s="31" t="s">
        <v>37</v>
      </c>
      <c r="L5" s="31"/>
      <c r="M5" s="31" t="s">
        <v>38</v>
      </c>
      <c r="N5" s="31"/>
      <c r="O5" s="31" t="s">
        <v>40</v>
      </c>
      <c r="P5" s="31"/>
      <c r="Q5" s="31" t="s">
        <v>41</v>
      </c>
      <c r="R5" s="31"/>
      <c r="S5" s="31" t="s">
        <v>42</v>
      </c>
      <c r="T5" s="31"/>
      <c r="U5" s="31" t="s">
        <v>43</v>
      </c>
      <c r="V5" s="31"/>
      <c r="W5" s="31" t="s">
        <v>45</v>
      </c>
      <c r="X5" s="31"/>
      <c r="Y5" s="31" t="s">
        <v>46</v>
      </c>
      <c r="Z5" s="31"/>
      <c r="AA5" s="31" t="s">
        <v>47</v>
      </c>
      <c r="AB5" s="31"/>
      <c r="AC5" s="31" t="s">
        <v>48</v>
      </c>
      <c r="AD5" s="31"/>
      <c r="AE5" s="31" t="s">
        <v>49</v>
      </c>
      <c r="AF5" s="31"/>
      <c r="AG5" s="31" t="s">
        <v>50</v>
      </c>
      <c r="AH5" s="31"/>
      <c r="AI5" s="31" t="s">
        <v>51</v>
      </c>
      <c r="AJ5" s="31"/>
      <c r="AK5" s="31" t="s">
        <v>52</v>
      </c>
      <c r="AL5" s="31"/>
      <c r="AM5" s="31" t="s">
        <v>53</v>
      </c>
      <c r="AN5" s="31"/>
      <c r="AO5" s="31" t="s">
        <v>54</v>
      </c>
      <c r="AP5" s="31"/>
      <c r="AQ5" s="31" t="s">
        <v>56</v>
      </c>
      <c r="AR5" s="31"/>
      <c r="AS5" s="31" t="s">
        <v>57</v>
      </c>
      <c r="AT5" s="31"/>
    </row>
    <row r="6" spans="1:46" x14ac:dyDescent="0.25">
      <c r="A6" s="6" t="s">
        <v>0</v>
      </c>
      <c r="B6" s="6"/>
      <c r="C6" s="36">
        <v>6230</v>
      </c>
      <c r="D6" s="37">
        <v>1</v>
      </c>
      <c r="E6" s="36">
        <v>5557</v>
      </c>
      <c r="F6" s="37">
        <v>1</v>
      </c>
      <c r="G6" s="36">
        <v>5871</v>
      </c>
      <c r="H6" s="37">
        <v>1</v>
      </c>
      <c r="I6" s="36">
        <v>5737</v>
      </c>
      <c r="J6" s="37">
        <v>1</v>
      </c>
      <c r="K6" s="36">
        <v>6197</v>
      </c>
      <c r="L6" s="37">
        <v>1</v>
      </c>
      <c r="M6" s="36">
        <v>6161</v>
      </c>
      <c r="N6" s="37">
        <v>1</v>
      </c>
      <c r="O6" s="36">
        <v>6423</v>
      </c>
      <c r="P6" s="37">
        <v>1</v>
      </c>
      <c r="Q6" s="36">
        <v>6634</v>
      </c>
      <c r="R6" s="37">
        <v>1</v>
      </c>
      <c r="S6" s="36">
        <v>5901</v>
      </c>
      <c r="T6" s="37">
        <v>1</v>
      </c>
      <c r="U6" s="36">
        <v>6517</v>
      </c>
      <c r="V6" s="37">
        <v>1</v>
      </c>
      <c r="W6" s="36">
        <v>6846</v>
      </c>
      <c r="X6" s="37">
        <v>1</v>
      </c>
      <c r="Y6" s="36">
        <v>6238</v>
      </c>
      <c r="Z6" s="37">
        <v>1</v>
      </c>
      <c r="AA6" s="36">
        <v>6594</v>
      </c>
      <c r="AB6" s="37">
        <v>1</v>
      </c>
      <c r="AC6" s="36">
        <v>6652</v>
      </c>
      <c r="AD6" s="37">
        <v>1</v>
      </c>
      <c r="AE6" s="36">
        <v>6839</v>
      </c>
      <c r="AF6" s="37">
        <v>1</v>
      </c>
      <c r="AG6" s="36">
        <v>6105</v>
      </c>
      <c r="AH6" s="37">
        <v>1</v>
      </c>
      <c r="AI6" s="36">
        <v>6986</v>
      </c>
      <c r="AJ6" s="37">
        <v>1</v>
      </c>
      <c r="AK6" s="36">
        <v>6903</v>
      </c>
      <c r="AL6" s="37">
        <v>1</v>
      </c>
      <c r="AM6" s="36">
        <v>8196</v>
      </c>
      <c r="AN6" s="37">
        <v>1</v>
      </c>
      <c r="AO6" s="36">
        <v>7447</v>
      </c>
      <c r="AP6" s="37">
        <v>1</v>
      </c>
      <c r="AQ6" s="36">
        <v>8503</v>
      </c>
      <c r="AR6" s="37">
        <v>1</v>
      </c>
      <c r="AS6" s="36">
        <v>9086</v>
      </c>
      <c r="AT6" s="37">
        <v>1</v>
      </c>
    </row>
    <row r="7" spans="1:46" x14ac:dyDescent="0.25">
      <c r="A7" s="10" t="s">
        <v>1767</v>
      </c>
      <c r="B7" s="10"/>
      <c r="C7" s="32">
        <v>4655</v>
      </c>
      <c r="D7" s="33">
        <v>0.74719101123595499</v>
      </c>
      <c r="E7" s="32">
        <v>3991</v>
      </c>
      <c r="F7" s="33">
        <v>0.71819326974986497</v>
      </c>
      <c r="G7" s="32">
        <v>4142</v>
      </c>
      <c r="H7" s="33">
        <v>0.70550161812297696</v>
      </c>
      <c r="I7" s="32">
        <v>4029</v>
      </c>
      <c r="J7" s="33">
        <v>0.70228342339201699</v>
      </c>
      <c r="K7" s="32">
        <v>4369</v>
      </c>
      <c r="L7" s="33">
        <v>0.70501855736646801</v>
      </c>
      <c r="M7" s="32">
        <v>4279</v>
      </c>
      <c r="N7" s="33">
        <v>0.69453010874858001</v>
      </c>
      <c r="O7" s="32">
        <v>4618</v>
      </c>
      <c r="P7" s="33">
        <v>0.71897867040323804</v>
      </c>
      <c r="Q7" s="32">
        <v>4660</v>
      </c>
      <c r="R7" s="33">
        <v>0.702441965631595</v>
      </c>
      <c r="S7" s="32">
        <v>3903</v>
      </c>
      <c r="T7" s="33">
        <v>0.66141331977630902</v>
      </c>
      <c r="U7" s="32">
        <v>4365</v>
      </c>
      <c r="V7" s="33">
        <v>0.66978671167715198</v>
      </c>
      <c r="W7" s="32">
        <v>4451</v>
      </c>
      <c r="X7" s="33">
        <v>0.65016067776803999</v>
      </c>
      <c r="Y7" s="32">
        <v>4037</v>
      </c>
      <c r="Z7" s="33">
        <v>0.64716255210003204</v>
      </c>
      <c r="AA7" s="32">
        <v>4446</v>
      </c>
      <c r="AB7" s="33">
        <v>0.67424931756141904</v>
      </c>
      <c r="AC7" s="32">
        <v>4466</v>
      </c>
      <c r="AD7" s="33">
        <v>0.67137702946482303</v>
      </c>
      <c r="AE7" s="32">
        <v>4794</v>
      </c>
      <c r="AF7" s="33">
        <v>0.70097967539113903</v>
      </c>
      <c r="AG7" s="32">
        <v>3975</v>
      </c>
      <c r="AH7" s="33">
        <v>0.651105651105651</v>
      </c>
      <c r="AI7" s="32">
        <v>4736</v>
      </c>
      <c r="AJ7" s="33">
        <v>0.67792728313770401</v>
      </c>
      <c r="AK7" s="32">
        <v>4691</v>
      </c>
      <c r="AL7" s="33">
        <v>0.67955961176300195</v>
      </c>
      <c r="AM7" s="32">
        <v>5870</v>
      </c>
      <c r="AN7" s="33">
        <v>0.71620302586627604</v>
      </c>
      <c r="AO7" s="32">
        <v>4973</v>
      </c>
      <c r="AP7" s="33">
        <v>0.66778568551094397</v>
      </c>
      <c r="AQ7" s="32">
        <v>5979</v>
      </c>
      <c r="AR7" s="33">
        <v>0.70316358932141598</v>
      </c>
      <c r="AS7" s="32">
        <v>6509</v>
      </c>
      <c r="AT7" s="33">
        <v>0.71637684349548802</v>
      </c>
    </row>
    <row r="8" spans="1:46" x14ac:dyDescent="0.25">
      <c r="A8" s="10" t="s">
        <v>1768</v>
      </c>
      <c r="B8" s="10"/>
      <c r="C8" s="32">
        <v>1263</v>
      </c>
      <c r="D8" s="33">
        <v>0.202728731942215</v>
      </c>
      <c r="E8" s="32">
        <v>1106</v>
      </c>
      <c r="F8" s="33">
        <v>0.19902825265431001</v>
      </c>
      <c r="G8" s="32">
        <v>1315</v>
      </c>
      <c r="H8" s="33">
        <v>0.223982285811616</v>
      </c>
      <c r="I8" s="32">
        <v>1323</v>
      </c>
      <c r="J8" s="33">
        <v>0.23060833188077401</v>
      </c>
      <c r="K8" s="32">
        <v>1306</v>
      </c>
      <c r="L8" s="33">
        <v>0.21074713571082801</v>
      </c>
      <c r="M8" s="32">
        <v>1117</v>
      </c>
      <c r="N8" s="33">
        <v>0.18130173673104999</v>
      </c>
      <c r="O8" s="32">
        <v>1289</v>
      </c>
      <c r="P8" s="33">
        <v>0.20068503814416899</v>
      </c>
      <c r="Q8" s="32">
        <v>1236</v>
      </c>
      <c r="R8" s="33">
        <v>0.18631293337353</v>
      </c>
      <c r="S8" s="32">
        <v>894</v>
      </c>
      <c r="T8" s="33">
        <v>0.151499745805796</v>
      </c>
      <c r="U8" s="32">
        <v>1113</v>
      </c>
      <c r="V8" s="33">
        <v>0.17078410311493</v>
      </c>
      <c r="W8" s="32">
        <v>1082</v>
      </c>
      <c r="X8" s="33">
        <v>0.15804849547180799</v>
      </c>
      <c r="Y8" s="32">
        <v>843</v>
      </c>
      <c r="Z8" s="33">
        <v>0.13513946777813399</v>
      </c>
      <c r="AA8" s="32">
        <v>1036</v>
      </c>
      <c r="AB8" s="33">
        <v>0.15711252653927801</v>
      </c>
      <c r="AC8" s="32">
        <v>1086</v>
      </c>
      <c r="AD8" s="33">
        <v>0.16325917017438399</v>
      </c>
      <c r="AE8" s="32">
        <v>1079</v>
      </c>
      <c r="AF8" s="33">
        <v>0.157771604035678</v>
      </c>
      <c r="AG8" s="32">
        <v>564</v>
      </c>
      <c r="AH8" s="33">
        <v>9.2383292383292404E-2</v>
      </c>
      <c r="AI8" s="32">
        <v>1055</v>
      </c>
      <c r="AJ8" s="33">
        <v>0.151016318350988</v>
      </c>
      <c r="AK8" s="32">
        <v>1026</v>
      </c>
      <c r="AL8" s="33">
        <v>0.14863102998696201</v>
      </c>
      <c r="AM8" s="32">
        <v>1005</v>
      </c>
      <c r="AN8" s="33">
        <v>0.122620790629575</v>
      </c>
      <c r="AO8" s="32">
        <v>561</v>
      </c>
      <c r="AP8" s="33">
        <v>7.5332348596750406E-2</v>
      </c>
      <c r="AQ8" s="32">
        <v>817</v>
      </c>
      <c r="AR8" s="33">
        <v>9.6083735152299204E-2</v>
      </c>
      <c r="AS8" s="32">
        <v>1008</v>
      </c>
      <c r="AT8" s="33">
        <v>0.110939907550077</v>
      </c>
    </row>
    <row r="9" spans="1:46" x14ac:dyDescent="0.25">
      <c r="A9" s="10" t="s">
        <v>1769</v>
      </c>
      <c r="B9" s="10"/>
      <c r="C9" s="32">
        <v>430</v>
      </c>
      <c r="D9" s="33">
        <v>6.9020866773675804E-2</v>
      </c>
      <c r="E9" s="32">
        <v>390</v>
      </c>
      <c r="F9" s="33">
        <v>7.0181752744286494E-2</v>
      </c>
      <c r="G9" s="32">
        <v>458</v>
      </c>
      <c r="H9" s="33">
        <v>7.8010560381536406E-2</v>
      </c>
      <c r="I9" s="32">
        <v>425</v>
      </c>
      <c r="J9" s="33">
        <v>7.4080529893672697E-2</v>
      </c>
      <c r="K9" s="32">
        <v>499</v>
      </c>
      <c r="L9" s="33">
        <v>8.0522833629175394E-2</v>
      </c>
      <c r="M9" s="32">
        <v>422</v>
      </c>
      <c r="N9" s="33">
        <v>6.8495374127576697E-2</v>
      </c>
      <c r="O9" s="32">
        <v>478</v>
      </c>
      <c r="P9" s="33">
        <v>7.4420052934765696E-2</v>
      </c>
      <c r="Q9" s="32">
        <v>489</v>
      </c>
      <c r="R9" s="33">
        <v>7.3711184805547197E-2</v>
      </c>
      <c r="S9" s="32">
        <v>501</v>
      </c>
      <c r="T9" s="33">
        <v>8.4900864260294806E-2</v>
      </c>
      <c r="U9" s="32">
        <v>538</v>
      </c>
      <c r="V9" s="33">
        <v>8.2553322080712005E-2</v>
      </c>
      <c r="W9" s="32">
        <v>581</v>
      </c>
      <c r="X9" s="33">
        <v>8.4867075664621705E-2</v>
      </c>
      <c r="Y9" s="32">
        <v>582</v>
      </c>
      <c r="Z9" s="33">
        <v>9.3299134337928802E-2</v>
      </c>
      <c r="AA9" s="32">
        <v>611</v>
      </c>
      <c r="AB9" s="33">
        <v>9.2659993933879303E-2</v>
      </c>
      <c r="AC9" s="32">
        <v>590</v>
      </c>
      <c r="AD9" s="33">
        <v>8.8695129284425703E-2</v>
      </c>
      <c r="AE9" s="32">
        <v>682</v>
      </c>
      <c r="AF9" s="33">
        <v>9.9722181605497895E-2</v>
      </c>
      <c r="AG9" s="32">
        <v>623</v>
      </c>
      <c r="AH9" s="33">
        <v>0.102047502047502</v>
      </c>
      <c r="AI9" s="32">
        <v>691</v>
      </c>
      <c r="AJ9" s="33">
        <v>9.8912109934154002E-2</v>
      </c>
      <c r="AK9" s="32">
        <v>673</v>
      </c>
      <c r="AL9" s="33">
        <v>9.7493843256555093E-2</v>
      </c>
      <c r="AM9" s="32">
        <v>746</v>
      </c>
      <c r="AN9" s="33">
        <v>9.1020009760858903E-2</v>
      </c>
      <c r="AO9" s="32">
        <v>657</v>
      </c>
      <c r="AP9" s="33">
        <v>8.8223445682825294E-2</v>
      </c>
      <c r="AQ9" s="32">
        <v>683</v>
      </c>
      <c r="AR9" s="33">
        <v>8.0324591320710306E-2</v>
      </c>
      <c r="AS9" s="32">
        <v>775</v>
      </c>
      <c r="AT9" s="33">
        <v>8.5296059872331104E-2</v>
      </c>
    </row>
    <row r="10" spans="1:46" x14ac:dyDescent="0.25">
      <c r="A10" s="10" t="s">
        <v>1770</v>
      </c>
      <c r="B10" s="10"/>
      <c r="C10" s="32" t="s">
        <v>148</v>
      </c>
      <c r="D10" s="33"/>
      <c r="E10" s="32">
        <v>0</v>
      </c>
      <c r="F10" s="33"/>
      <c r="G10" s="32">
        <v>0</v>
      </c>
      <c r="H10" s="33"/>
      <c r="I10" s="32">
        <v>0</v>
      </c>
      <c r="J10" s="33"/>
      <c r="K10" s="32">
        <v>139</v>
      </c>
      <c r="L10" s="33">
        <v>2.2430208165241199E-2</v>
      </c>
      <c r="M10" s="32">
        <v>377</v>
      </c>
      <c r="N10" s="33">
        <v>6.1191365038143201E-2</v>
      </c>
      <c r="O10" s="32">
        <v>439</v>
      </c>
      <c r="P10" s="33">
        <v>6.8348123929627899E-2</v>
      </c>
      <c r="Q10" s="32">
        <v>510</v>
      </c>
      <c r="R10" s="33">
        <v>7.6876695809466405E-2</v>
      </c>
      <c r="S10" s="32">
        <v>366</v>
      </c>
      <c r="T10" s="33">
        <v>6.20233858668022E-2</v>
      </c>
      <c r="U10" s="32">
        <v>423</v>
      </c>
      <c r="V10" s="33">
        <v>6.49071658738683E-2</v>
      </c>
      <c r="W10" s="32">
        <v>520</v>
      </c>
      <c r="X10" s="33">
        <v>7.5956763073327493E-2</v>
      </c>
      <c r="Y10" s="32">
        <v>350</v>
      </c>
      <c r="Z10" s="33">
        <v>5.6107726835524202E-2</v>
      </c>
      <c r="AA10" s="32">
        <v>487</v>
      </c>
      <c r="AB10" s="33">
        <v>7.3855019714892306E-2</v>
      </c>
      <c r="AC10" s="32">
        <v>529</v>
      </c>
      <c r="AD10" s="33">
        <v>7.9524954900781694E-2</v>
      </c>
      <c r="AE10" s="32">
        <v>520</v>
      </c>
      <c r="AF10" s="33">
        <v>7.6034507969001297E-2</v>
      </c>
      <c r="AG10" s="32">
        <v>294</v>
      </c>
      <c r="AH10" s="33">
        <v>4.81572481572482E-2</v>
      </c>
      <c r="AI10" s="32">
        <v>495</v>
      </c>
      <c r="AJ10" s="33">
        <v>7.0855997709705104E-2</v>
      </c>
      <c r="AK10" s="32">
        <v>462</v>
      </c>
      <c r="AL10" s="33">
        <v>6.6927422859626204E-2</v>
      </c>
      <c r="AM10" s="32">
        <v>526</v>
      </c>
      <c r="AN10" s="33">
        <v>6.4177647632991705E-2</v>
      </c>
      <c r="AO10" s="32">
        <v>293</v>
      </c>
      <c r="AP10" s="33">
        <v>3.9344702564791202E-2</v>
      </c>
      <c r="AQ10" s="32">
        <v>460</v>
      </c>
      <c r="AR10" s="33">
        <v>5.4098553451722903E-2</v>
      </c>
      <c r="AS10" s="32">
        <v>514</v>
      </c>
      <c r="AT10" s="33">
        <v>5.6570548095971798E-2</v>
      </c>
    </row>
    <row r="11" spans="1:46" x14ac:dyDescent="0.25">
      <c r="A11" s="10" t="s">
        <v>1771</v>
      </c>
      <c r="B11" s="10"/>
      <c r="C11" s="32" t="s">
        <v>148</v>
      </c>
      <c r="D11" s="33"/>
      <c r="E11" s="32" t="s">
        <v>148</v>
      </c>
      <c r="F11" s="33"/>
      <c r="G11" s="32" t="s">
        <v>148</v>
      </c>
      <c r="H11" s="33"/>
      <c r="I11" s="32" t="s">
        <v>148</v>
      </c>
      <c r="J11" s="33"/>
      <c r="K11" s="32" t="s">
        <v>148</v>
      </c>
      <c r="L11" s="33"/>
      <c r="M11" s="32" t="s">
        <v>148</v>
      </c>
      <c r="N11" s="33"/>
      <c r="O11" s="32" t="s">
        <v>148</v>
      </c>
      <c r="P11" s="33"/>
      <c r="Q11" s="32" t="s">
        <v>148</v>
      </c>
      <c r="R11" s="33"/>
      <c r="S11" s="32" t="s">
        <v>148</v>
      </c>
      <c r="T11" s="33"/>
      <c r="U11" s="32" t="s">
        <v>148</v>
      </c>
      <c r="V11" s="33"/>
      <c r="W11" s="32" t="s">
        <v>148</v>
      </c>
      <c r="X11" s="33"/>
      <c r="Y11" s="32" t="s">
        <v>148</v>
      </c>
      <c r="Z11" s="33"/>
      <c r="AA11" s="32" t="s">
        <v>148</v>
      </c>
      <c r="AB11" s="33"/>
      <c r="AC11" s="32" t="s">
        <v>148</v>
      </c>
      <c r="AD11" s="33"/>
      <c r="AE11" s="32" t="s">
        <v>148</v>
      </c>
      <c r="AF11" s="33"/>
      <c r="AG11" s="32" t="s">
        <v>148</v>
      </c>
      <c r="AH11" s="33"/>
      <c r="AI11" s="32" t="s">
        <v>148</v>
      </c>
      <c r="AJ11" s="33"/>
      <c r="AK11" s="32" t="s">
        <v>148</v>
      </c>
      <c r="AL11" s="33"/>
      <c r="AM11" s="32">
        <v>441</v>
      </c>
      <c r="AN11" s="33">
        <v>5.3806734992679399E-2</v>
      </c>
      <c r="AO11" s="32">
        <v>419</v>
      </c>
      <c r="AP11" s="33">
        <v>5.6264267490264502E-2</v>
      </c>
      <c r="AQ11" s="32">
        <v>482</v>
      </c>
      <c r="AR11" s="33">
        <v>5.6685875573327098E-2</v>
      </c>
      <c r="AS11" s="32">
        <v>456</v>
      </c>
      <c r="AT11" s="33">
        <v>5.0187101034558701E-2</v>
      </c>
    </row>
    <row r="12" spans="1:46" x14ac:dyDescent="0.25">
      <c r="A12" s="10" t="s">
        <v>1772</v>
      </c>
      <c r="B12" s="10"/>
      <c r="C12" s="32">
        <v>344</v>
      </c>
      <c r="D12" s="33">
        <v>5.5216693418940602E-2</v>
      </c>
      <c r="E12" s="32">
        <v>356</v>
      </c>
      <c r="F12" s="33">
        <v>6.4063343530681993E-2</v>
      </c>
      <c r="G12" s="32">
        <v>379</v>
      </c>
      <c r="H12" s="33">
        <v>6.4554590359393593E-2</v>
      </c>
      <c r="I12" s="32">
        <v>356</v>
      </c>
      <c r="J12" s="33">
        <v>6.2053337981523397E-2</v>
      </c>
      <c r="K12" s="32">
        <v>366</v>
      </c>
      <c r="L12" s="33">
        <v>5.9060835888333101E-2</v>
      </c>
      <c r="M12" s="32">
        <v>355</v>
      </c>
      <c r="N12" s="33">
        <v>5.7620516149975702E-2</v>
      </c>
      <c r="O12" s="32">
        <v>363</v>
      </c>
      <c r="P12" s="33">
        <v>5.65156468939748E-2</v>
      </c>
      <c r="Q12" s="32">
        <v>369</v>
      </c>
      <c r="R12" s="33">
        <v>5.5622550497437397E-2</v>
      </c>
      <c r="S12" s="32">
        <v>334</v>
      </c>
      <c r="T12" s="33">
        <v>5.6600576173529898E-2</v>
      </c>
      <c r="U12" s="32">
        <v>355</v>
      </c>
      <c r="V12" s="33">
        <v>5.4472916986343399E-2</v>
      </c>
      <c r="W12" s="32">
        <v>373</v>
      </c>
      <c r="X12" s="33">
        <v>5.4484370435290697E-2</v>
      </c>
      <c r="Y12" s="32">
        <v>368</v>
      </c>
      <c r="Z12" s="33">
        <v>5.8993267072779701E-2</v>
      </c>
      <c r="AA12" s="32">
        <v>391</v>
      </c>
      <c r="AB12" s="33">
        <v>5.92963299969669E-2</v>
      </c>
      <c r="AC12" s="32">
        <v>363</v>
      </c>
      <c r="AD12" s="33">
        <v>5.4570054119061899E-2</v>
      </c>
      <c r="AE12" s="32">
        <v>358</v>
      </c>
      <c r="AF12" s="33">
        <v>5.2346834332504803E-2</v>
      </c>
      <c r="AG12" s="32">
        <v>384</v>
      </c>
      <c r="AH12" s="33">
        <v>6.2899262899262898E-2</v>
      </c>
      <c r="AI12" s="32">
        <v>387</v>
      </c>
      <c r="AJ12" s="33">
        <v>5.5396507300314902E-2</v>
      </c>
      <c r="AK12" s="32">
        <v>374</v>
      </c>
      <c r="AL12" s="33">
        <v>5.41793423149355E-2</v>
      </c>
      <c r="AM12" s="32">
        <v>382</v>
      </c>
      <c r="AN12" s="33">
        <v>4.6608101512933098E-2</v>
      </c>
      <c r="AO12" s="32">
        <v>366</v>
      </c>
      <c r="AP12" s="33">
        <v>4.9147307640660699E-2</v>
      </c>
      <c r="AQ12" s="32">
        <v>373</v>
      </c>
      <c r="AR12" s="33">
        <v>4.3866870516288403E-2</v>
      </c>
      <c r="AS12" s="32">
        <v>369</v>
      </c>
      <c r="AT12" s="33">
        <v>4.0611930442438902E-2</v>
      </c>
    </row>
    <row r="13" spans="1:46" x14ac:dyDescent="0.25">
      <c r="A13" s="10" t="s">
        <v>1773</v>
      </c>
      <c r="B13" s="10"/>
      <c r="C13" s="32" t="s">
        <v>148</v>
      </c>
      <c r="D13" s="33"/>
      <c r="E13" s="32" t="s">
        <v>148</v>
      </c>
      <c r="F13" s="33"/>
      <c r="G13" s="32" t="s">
        <v>148</v>
      </c>
      <c r="H13" s="33"/>
      <c r="I13" s="32" t="s">
        <v>148</v>
      </c>
      <c r="J13" s="33"/>
      <c r="K13" s="32" t="s">
        <v>148</v>
      </c>
      <c r="L13" s="33"/>
      <c r="M13" s="32" t="s">
        <v>148</v>
      </c>
      <c r="N13" s="33"/>
      <c r="O13" s="32" t="s">
        <v>148</v>
      </c>
      <c r="P13" s="33"/>
      <c r="Q13" s="32" t="s">
        <v>148</v>
      </c>
      <c r="R13" s="33"/>
      <c r="S13" s="32" t="s">
        <v>148</v>
      </c>
      <c r="T13" s="33"/>
      <c r="U13" s="32" t="s">
        <v>148</v>
      </c>
      <c r="V13" s="33"/>
      <c r="W13" s="32" t="s">
        <v>148</v>
      </c>
      <c r="X13" s="33"/>
      <c r="Y13" s="32" t="s">
        <v>148</v>
      </c>
      <c r="Z13" s="33"/>
      <c r="AA13" s="32" t="s">
        <v>148</v>
      </c>
      <c r="AB13" s="33"/>
      <c r="AC13" s="32" t="s">
        <v>148</v>
      </c>
      <c r="AD13" s="33"/>
      <c r="AE13" s="32" t="s">
        <v>148</v>
      </c>
      <c r="AF13" s="33"/>
      <c r="AG13" s="32" t="s">
        <v>148</v>
      </c>
      <c r="AH13" s="33"/>
      <c r="AI13" s="32" t="s">
        <v>148</v>
      </c>
      <c r="AJ13" s="33"/>
      <c r="AK13" s="32" t="s">
        <v>148</v>
      </c>
      <c r="AL13" s="33"/>
      <c r="AM13" s="32">
        <v>272</v>
      </c>
      <c r="AN13" s="33">
        <v>3.3186920448999499E-2</v>
      </c>
      <c r="AO13" s="32">
        <v>235</v>
      </c>
      <c r="AP13" s="33">
        <v>3.1556331408620901E-2</v>
      </c>
      <c r="AQ13" s="32">
        <v>310</v>
      </c>
      <c r="AR13" s="33">
        <v>3.6457720804422E-2</v>
      </c>
      <c r="AS13" s="32">
        <v>346</v>
      </c>
      <c r="AT13" s="33">
        <v>3.80805635042923E-2</v>
      </c>
    </row>
    <row r="14" spans="1:46" x14ac:dyDescent="0.25">
      <c r="A14" s="10" t="s">
        <v>1774</v>
      </c>
      <c r="B14" s="10"/>
      <c r="C14" s="32" t="s">
        <v>148</v>
      </c>
      <c r="D14" s="33"/>
      <c r="E14" s="32">
        <v>0</v>
      </c>
      <c r="F14" s="33"/>
      <c r="G14" s="32">
        <v>3</v>
      </c>
      <c r="H14" s="33">
        <v>5.1098620337250899E-4</v>
      </c>
      <c r="I14" s="32">
        <v>12</v>
      </c>
      <c r="J14" s="33">
        <v>2.09168554993899E-3</v>
      </c>
      <c r="K14" s="32">
        <v>27</v>
      </c>
      <c r="L14" s="33">
        <v>4.35694690979506E-3</v>
      </c>
      <c r="M14" s="32">
        <v>37</v>
      </c>
      <c r="N14" s="33">
        <v>6.00551858464535E-3</v>
      </c>
      <c r="O14" s="32">
        <v>54</v>
      </c>
      <c r="P14" s="33">
        <v>8.4072863148061706E-3</v>
      </c>
      <c r="Q14" s="32">
        <v>60</v>
      </c>
      <c r="R14" s="33">
        <v>9.0443171540548692E-3</v>
      </c>
      <c r="S14" s="32">
        <v>57</v>
      </c>
      <c r="T14" s="33">
        <v>9.6593797661413301E-3</v>
      </c>
      <c r="U14" s="32">
        <v>79</v>
      </c>
      <c r="V14" s="33">
        <v>1.21221420899187E-2</v>
      </c>
      <c r="W14" s="32">
        <v>101</v>
      </c>
      <c r="X14" s="33">
        <v>1.47531405200117E-2</v>
      </c>
      <c r="Y14" s="32">
        <v>110</v>
      </c>
      <c r="Z14" s="33">
        <v>1.76338570054505E-2</v>
      </c>
      <c r="AA14" s="32">
        <v>130</v>
      </c>
      <c r="AB14" s="33">
        <v>1.97148923263573E-2</v>
      </c>
      <c r="AC14" s="32">
        <v>136</v>
      </c>
      <c r="AD14" s="33">
        <v>2.0444978953698099E-2</v>
      </c>
      <c r="AE14" s="32">
        <v>157</v>
      </c>
      <c r="AF14" s="33">
        <v>2.29565725983331E-2</v>
      </c>
      <c r="AG14" s="32">
        <v>164</v>
      </c>
      <c r="AH14" s="33">
        <v>2.68632268632269E-2</v>
      </c>
      <c r="AI14" s="32">
        <v>192</v>
      </c>
      <c r="AJ14" s="33">
        <v>2.7483538505582598E-2</v>
      </c>
      <c r="AK14" s="32">
        <v>214</v>
      </c>
      <c r="AL14" s="33">
        <v>3.1001014051861502E-2</v>
      </c>
      <c r="AM14" s="32">
        <v>239</v>
      </c>
      <c r="AN14" s="33">
        <v>2.9160566129819401E-2</v>
      </c>
      <c r="AO14" s="32">
        <v>236</v>
      </c>
      <c r="AP14" s="33">
        <v>3.1690613669934198E-2</v>
      </c>
      <c r="AQ14" s="32">
        <v>289</v>
      </c>
      <c r="AR14" s="33">
        <v>3.3988004233799801E-2</v>
      </c>
      <c r="AS14" s="32">
        <v>325</v>
      </c>
      <c r="AT14" s="33">
        <v>3.5769315430332398E-2</v>
      </c>
    </row>
    <row r="15" spans="1:46" x14ac:dyDescent="0.25">
      <c r="A15" s="10" t="s">
        <v>1775</v>
      </c>
      <c r="B15" s="10"/>
      <c r="C15" s="32">
        <v>104</v>
      </c>
      <c r="D15" s="33">
        <v>1.6693418940610001E-2</v>
      </c>
      <c r="E15" s="32">
        <v>83</v>
      </c>
      <c r="F15" s="33">
        <v>1.4936116609681501E-2</v>
      </c>
      <c r="G15" s="32">
        <v>91</v>
      </c>
      <c r="H15" s="33">
        <v>1.5499914835632801E-2</v>
      </c>
      <c r="I15" s="32">
        <v>85</v>
      </c>
      <c r="J15" s="33">
        <v>1.4816105978734499E-2</v>
      </c>
      <c r="K15" s="32">
        <v>117</v>
      </c>
      <c r="L15" s="33">
        <v>1.88801032757786E-2</v>
      </c>
      <c r="M15" s="32">
        <v>124</v>
      </c>
      <c r="N15" s="33">
        <v>2.0126602824216799E-2</v>
      </c>
      <c r="O15" s="32">
        <v>92</v>
      </c>
      <c r="P15" s="33">
        <v>1.43235248326327E-2</v>
      </c>
      <c r="Q15" s="32">
        <v>128</v>
      </c>
      <c r="R15" s="33">
        <v>1.9294543261983699E-2</v>
      </c>
      <c r="S15" s="32">
        <v>139</v>
      </c>
      <c r="T15" s="33">
        <v>2.3555329605151699E-2</v>
      </c>
      <c r="U15" s="32">
        <v>143</v>
      </c>
      <c r="V15" s="33">
        <v>2.1942611631118599E-2</v>
      </c>
      <c r="W15" s="32">
        <v>136</v>
      </c>
      <c r="X15" s="33">
        <v>1.9865614957639499E-2</v>
      </c>
      <c r="Y15" s="32">
        <v>165</v>
      </c>
      <c r="Z15" s="33">
        <v>2.64507855081757E-2</v>
      </c>
      <c r="AA15" s="32">
        <v>154</v>
      </c>
      <c r="AB15" s="33">
        <v>2.3354564755838601E-2</v>
      </c>
      <c r="AC15" s="32">
        <v>142</v>
      </c>
      <c r="AD15" s="33">
        <v>2.1346963319302501E-2</v>
      </c>
      <c r="AE15" s="32">
        <v>147</v>
      </c>
      <c r="AF15" s="33">
        <v>2.14943705220061E-2</v>
      </c>
      <c r="AG15" s="32">
        <v>197</v>
      </c>
      <c r="AH15" s="33">
        <v>3.2268632268632302E-2</v>
      </c>
      <c r="AI15" s="32">
        <v>212</v>
      </c>
      <c r="AJ15" s="33">
        <v>3.03464070999141E-2</v>
      </c>
      <c r="AK15" s="32">
        <v>183</v>
      </c>
      <c r="AL15" s="33">
        <v>2.6510212950890899E-2</v>
      </c>
      <c r="AM15" s="32">
        <v>201</v>
      </c>
      <c r="AN15" s="33">
        <v>2.4524158125915099E-2</v>
      </c>
      <c r="AO15" s="32">
        <v>273</v>
      </c>
      <c r="AP15" s="33">
        <v>3.6659057338525598E-2</v>
      </c>
      <c r="AQ15" s="32">
        <v>281</v>
      </c>
      <c r="AR15" s="33">
        <v>3.3047159825943799E-2</v>
      </c>
      <c r="AS15" s="32">
        <v>315</v>
      </c>
      <c r="AT15" s="33">
        <v>3.46687211093991E-2</v>
      </c>
    </row>
    <row r="16" spans="1:46" x14ac:dyDescent="0.25">
      <c r="A16" s="10" t="s">
        <v>1776</v>
      </c>
      <c r="B16" s="10"/>
      <c r="C16" s="32" t="s">
        <v>148</v>
      </c>
      <c r="D16" s="33"/>
      <c r="E16" s="32" t="s">
        <v>148</v>
      </c>
      <c r="F16" s="33"/>
      <c r="G16" s="32" t="s">
        <v>148</v>
      </c>
      <c r="H16" s="33"/>
      <c r="I16" s="32" t="s">
        <v>148</v>
      </c>
      <c r="J16" s="33"/>
      <c r="K16" s="32" t="s">
        <v>148</v>
      </c>
      <c r="L16" s="33"/>
      <c r="M16" s="32" t="s">
        <v>148</v>
      </c>
      <c r="N16" s="33"/>
      <c r="O16" s="32" t="s">
        <v>148</v>
      </c>
      <c r="P16" s="33"/>
      <c r="Q16" s="32" t="s">
        <v>148</v>
      </c>
      <c r="R16" s="33"/>
      <c r="S16" s="32" t="s">
        <v>148</v>
      </c>
      <c r="T16" s="33"/>
      <c r="U16" s="32" t="s">
        <v>148</v>
      </c>
      <c r="V16" s="33"/>
      <c r="W16" s="32" t="s">
        <v>148</v>
      </c>
      <c r="X16" s="33"/>
      <c r="Y16" s="32">
        <v>7</v>
      </c>
      <c r="Z16" s="33">
        <v>1.1221545367104801E-3</v>
      </c>
      <c r="AA16" s="32">
        <v>29</v>
      </c>
      <c r="AB16" s="33">
        <v>4.3979375189566296E-3</v>
      </c>
      <c r="AC16" s="32">
        <v>55</v>
      </c>
      <c r="AD16" s="33">
        <v>8.2681900180396894E-3</v>
      </c>
      <c r="AE16" s="32">
        <v>79</v>
      </c>
      <c r="AF16" s="33">
        <v>1.1551396402982901E-2</v>
      </c>
      <c r="AG16" s="32">
        <v>96</v>
      </c>
      <c r="AH16" s="33">
        <v>1.57248157248157E-2</v>
      </c>
      <c r="AI16" s="32">
        <v>133</v>
      </c>
      <c r="AJ16" s="33">
        <v>1.90380761523046E-2</v>
      </c>
      <c r="AK16" s="32">
        <v>161</v>
      </c>
      <c r="AL16" s="33">
        <v>2.3323192814718199E-2</v>
      </c>
      <c r="AM16" s="32">
        <v>177</v>
      </c>
      <c r="AN16" s="33">
        <v>2.1595900439238699E-2</v>
      </c>
      <c r="AO16" s="32">
        <v>173</v>
      </c>
      <c r="AP16" s="33">
        <v>2.3230831207197499E-2</v>
      </c>
      <c r="AQ16" s="32">
        <v>269</v>
      </c>
      <c r="AR16" s="33">
        <v>3.1635893214159702E-2</v>
      </c>
      <c r="AS16" s="32">
        <v>296</v>
      </c>
      <c r="AT16" s="33">
        <v>3.25775918996258E-2</v>
      </c>
    </row>
    <row r="17" spans="1:46" x14ac:dyDescent="0.25">
      <c r="A17" s="10" t="s">
        <v>1777</v>
      </c>
      <c r="B17" s="10"/>
      <c r="C17" s="32">
        <v>21</v>
      </c>
      <c r="D17" s="33">
        <v>3.3707865168539301E-3</v>
      </c>
      <c r="E17" s="32">
        <v>23</v>
      </c>
      <c r="F17" s="33">
        <v>4.1389238797912504E-3</v>
      </c>
      <c r="G17" s="32">
        <v>27</v>
      </c>
      <c r="H17" s="33">
        <v>4.5988758303525798E-3</v>
      </c>
      <c r="I17" s="32">
        <v>28</v>
      </c>
      <c r="J17" s="33">
        <v>4.8805996165243197E-3</v>
      </c>
      <c r="K17" s="32">
        <v>27</v>
      </c>
      <c r="L17" s="33">
        <v>4.35694690979506E-3</v>
      </c>
      <c r="M17" s="32">
        <v>24</v>
      </c>
      <c r="N17" s="33">
        <v>3.8954715143645498E-3</v>
      </c>
      <c r="O17" s="32">
        <v>31</v>
      </c>
      <c r="P17" s="33">
        <v>4.8264051066479801E-3</v>
      </c>
      <c r="Q17" s="32">
        <v>31</v>
      </c>
      <c r="R17" s="33">
        <v>4.6728971962616802E-3</v>
      </c>
      <c r="S17" s="32">
        <v>42</v>
      </c>
      <c r="T17" s="33">
        <v>7.1174377224199302E-3</v>
      </c>
      <c r="U17" s="32">
        <v>38</v>
      </c>
      <c r="V17" s="33">
        <v>5.83090379008746E-3</v>
      </c>
      <c r="W17" s="32">
        <v>61</v>
      </c>
      <c r="X17" s="33">
        <v>8.9103125912941908E-3</v>
      </c>
      <c r="Y17" s="32">
        <v>57</v>
      </c>
      <c r="Z17" s="33">
        <v>9.1375440846425092E-3</v>
      </c>
      <c r="AA17" s="32">
        <v>69</v>
      </c>
      <c r="AB17" s="33">
        <v>1.04640582347589E-2</v>
      </c>
      <c r="AC17" s="32">
        <v>80</v>
      </c>
      <c r="AD17" s="33">
        <v>1.20264582080577E-2</v>
      </c>
      <c r="AE17" s="32">
        <v>90</v>
      </c>
      <c r="AF17" s="33">
        <v>1.31598186869425E-2</v>
      </c>
      <c r="AG17" s="32">
        <v>152</v>
      </c>
      <c r="AH17" s="33">
        <v>2.4897624897624902E-2</v>
      </c>
      <c r="AI17" s="32">
        <v>124</v>
      </c>
      <c r="AJ17" s="33">
        <v>1.77497852848554E-2</v>
      </c>
      <c r="AK17" s="32">
        <v>136</v>
      </c>
      <c r="AL17" s="33">
        <v>1.97015790236129E-2</v>
      </c>
      <c r="AM17" s="32">
        <v>137</v>
      </c>
      <c r="AN17" s="33">
        <v>1.6715470961444601E-2</v>
      </c>
      <c r="AO17" s="32">
        <v>236</v>
      </c>
      <c r="AP17" s="33">
        <v>3.1690613669934198E-2</v>
      </c>
      <c r="AQ17" s="32">
        <v>151</v>
      </c>
      <c r="AR17" s="33">
        <v>1.7758438198282999E-2</v>
      </c>
      <c r="AS17" s="32">
        <v>294</v>
      </c>
      <c r="AT17" s="33">
        <v>3.2357473035439101E-2</v>
      </c>
    </row>
    <row r="18" spans="1:46" x14ac:dyDescent="0.25">
      <c r="A18" s="10" t="s">
        <v>1778</v>
      </c>
      <c r="B18" s="10"/>
      <c r="C18" s="32">
        <v>37</v>
      </c>
      <c r="D18" s="33">
        <v>5.9390048154093098E-3</v>
      </c>
      <c r="E18" s="32">
        <v>40</v>
      </c>
      <c r="F18" s="33">
        <v>7.1981284865934901E-3</v>
      </c>
      <c r="G18" s="32">
        <v>39</v>
      </c>
      <c r="H18" s="33">
        <v>6.6428206438426196E-3</v>
      </c>
      <c r="I18" s="32">
        <v>47</v>
      </c>
      <c r="J18" s="33">
        <v>8.1924350705943894E-3</v>
      </c>
      <c r="K18" s="32">
        <v>50</v>
      </c>
      <c r="L18" s="33">
        <v>8.0684202033241906E-3</v>
      </c>
      <c r="M18" s="32">
        <v>57</v>
      </c>
      <c r="N18" s="33">
        <v>9.2517448466158097E-3</v>
      </c>
      <c r="O18" s="32">
        <v>54</v>
      </c>
      <c r="P18" s="33">
        <v>8.4072863148061706E-3</v>
      </c>
      <c r="Q18" s="32">
        <v>64</v>
      </c>
      <c r="R18" s="33">
        <v>9.6472716309918601E-3</v>
      </c>
      <c r="S18" s="32">
        <v>65</v>
      </c>
      <c r="T18" s="33">
        <v>1.10150821894594E-2</v>
      </c>
      <c r="U18" s="32">
        <v>62</v>
      </c>
      <c r="V18" s="33">
        <v>9.51357986803744E-3</v>
      </c>
      <c r="W18" s="32">
        <v>77</v>
      </c>
      <c r="X18" s="33">
        <v>1.12474437627812E-2</v>
      </c>
      <c r="Y18" s="32">
        <v>79</v>
      </c>
      <c r="Z18" s="33">
        <v>1.2664315485732601E-2</v>
      </c>
      <c r="AA18" s="32">
        <v>77</v>
      </c>
      <c r="AB18" s="33">
        <v>1.1677282377919301E-2</v>
      </c>
      <c r="AC18" s="32">
        <v>84</v>
      </c>
      <c r="AD18" s="33">
        <v>1.26277811184606E-2</v>
      </c>
      <c r="AE18" s="32">
        <v>96</v>
      </c>
      <c r="AF18" s="33">
        <v>1.4037139932738699E-2</v>
      </c>
      <c r="AG18" s="32">
        <v>126</v>
      </c>
      <c r="AH18" s="33">
        <v>2.0638820638820599E-2</v>
      </c>
      <c r="AI18" s="32">
        <v>145</v>
      </c>
      <c r="AJ18" s="33">
        <v>2.0755797308903499E-2</v>
      </c>
      <c r="AK18" s="32">
        <v>147</v>
      </c>
      <c r="AL18" s="33">
        <v>2.1295089091699301E-2</v>
      </c>
      <c r="AM18" s="32">
        <v>148</v>
      </c>
      <c r="AN18" s="33">
        <v>1.8057589067838001E-2</v>
      </c>
      <c r="AO18" s="32">
        <v>153</v>
      </c>
      <c r="AP18" s="33">
        <v>2.0545185980931899E-2</v>
      </c>
      <c r="AQ18" s="32">
        <v>237</v>
      </c>
      <c r="AR18" s="33">
        <v>2.7872515582735499E-2</v>
      </c>
      <c r="AS18" s="32">
        <v>245</v>
      </c>
      <c r="AT18" s="33">
        <v>2.6964560862865899E-2</v>
      </c>
    </row>
    <row r="19" spans="1:46" x14ac:dyDescent="0.25">
      <c r="A19" s="10" t="s">
        <v>1779</v>
      </c>
      <c r="B19" s="10"/>
      <c r="C19" s="32">
        <v>153</v>
      </c>
      <c r="D19" s="33">
        <v>2.4558587479935799E-2</v>
      </c>
      <c r="E19" s="32">
        <v>154</v>
      </c>
      <c r="F19" s="33">
        <v>2.7712794673384899E-2</v>
      </c>
      <c r="G19" s="32">
        <v>166</v>
      </c>
      <c r="H19" s="33">
        <v>2.8274569919945501E-2</v>
      </c>
      <c r="I19" s="32">
        <v>163</v>
      </c>
      <c r="J19" s="33">
        <v>2.8412062053337999E-2</v>
      </c>
      <c r="K19" s="32">
        <v>171</v>
      </c>
      <c r="L19" s="33">
        <v>2.7593997095368701E-2</v>
      </c>
      <c r="M19" s="32">
        <v>187</v>
      </c>
      <c r="N19" s="33">
        <v>3.03522155494238E-2</v>
      </c>
      <c r="O19" s="32">
        <v>173</v>
      </c>
      <c r="P19" s="33">
        <v>2.6934454304841999E-2</v>
      </c>
      <c r="Q19" s="32">
        <v>183</v>
      </c>
      <c r="R19" s="33">
        <v>2.75851673198673E-2</v>
      </c>
      <c r="S19" s="32">
        <v>159</v>
      </c>
      <c r="T19" s="33">
        <v>2.6944585663446902E-2</v>
      </c>
      <c r="U19" s="32">
        <v>190</v>
      </c>
      <c r="V19" s="33">
        <v>2.9154518950437299E-2</v>
      </c>
      <c r="W19" s="32">
        <v>189</v>
      </c>
      <c r="X19" s="33">
        <v>2.7607361963190202E-2</v>
      </c>
      <c r="Y19" s="32">
        <v>196</v>
      </c>
      <c r="Z19" s="33">
        <v>3.1420327027893602E-2</v>
      </c>
      <c r="AA19" s="32">
        <v>213</v>
      </c>
      <c r="AB19" s="33">
        <v>3.23020928116469E-2</v>
      </c>
      <c r="AC19" s="32">
        <v>217</v>
      </c>
      <c r="AD19" s="33">
        <v>3.2621767889356598E-2</v>
      </c>
      <c r="AE19" s="32">
        <v>224</v>
      </c>
      <c r="AF19" s="33">
        <v>3.2753326509723603E-2</v>
      </c>
      <c r="AG19" s="32">
        <v>234</v>
      </c>
      <c r="AH19" s="33">
        <v>3.8329238329238298E-2</v>
      </c>
      <c r="AI19" s="32">
        <v>234</v>
      </c>
      <c r="AJ19" s="33">
        <v>3.3495562553678797E-2</v>
      </c>
      <c r="AK19" s="32">
        <v>231</v>
      </c>
      <c r="AL19" s="33">
        <v>3.3463711429813102E-2</v>
      </c>
      <c r="AM19" s="32">
        <v>222</v>
      </c>
      <c r="AN19" s="33">
        <v>2.7086383601757E-2</v>
      </c>
      <c r="AO19" s="32">
        <v>234</v>
      </c>
      <c r="AP19" s="33">
        <v>3.1422049147307597E-2</v>
      </c>
      <c r="AQ19" s="32">
        <v>238</v>
      </c>
      <c r="AR19" s="33">
        <v>2.7990121133717499E-2</v>
      </c>
      <c r="AS19" s="32">
        <v>236</v>
      </c>
      <c r="AT19" s="33">
        <v>2.5974025974026E-2</v>
      </c>
    </row>
    <row r="20" spans="1:46" x14ac:dyDescent="0.25">
      <c r="A20" s="10" t="s">
        <v>1780</v>
      </c>
      <c r="B20" s="10"/>
      <c r="C20" s="32">
        <v>112</v>
      </c>
      <c r="D20" s="33">
        <v>1.79775280898876E-2</v>
      </c>
      <c r="E20" s="32">
        <v>114</v>
      </c>
      <c r="F20" s="33">
        <v>2.0514666186791399E-2</v>
      </c>
      <c r="G20" s="32">
        <v>122</v>
      </c>
      <c r="H20" s="33">
        <v>2.0780105603815401E-2</v>
      </c>
      <c r="I20" s="32">
        <v>119</v>
      </c>
      <c r="J20" s="33">
        <v>2.0742548370228299E-2</v>
      </c>
      <c r="K20" s="32">
        <v>125</v>
      </c>
      <c r="L20" s="33">
        <v>2.0171050508310501E-2</v>
      </c>
      <c r="M20" s="32">
        <v>127</v>
      </c>
      <c r="N20" s="33">
        <v>2.0613536763512401E-2</v>
      </c>
      <c r="O20" s="32">
        <v>118</v>
      </c>
      <c r="P20" s="33">
        <v>1.8371477502724599E-2</v>
      </c>
      <c r="Q20" s="32">
        <v>133</v>
      </c>
      <c r="R20" s="33">
        <v>2.0048236358154999E-2</v>
      </c>
      <c r="S20" s="32">
        <v>112</v>
      </c>
      <c r="T20" s="33">
        <v>1.89798339264531E-2</v>
      </c>
      <c r="U20" s="32">
        <v>136</v>
      </c>
      <c r="V20" s="33">
        <v>2.0868497775049899E-2</v>
      </c>
      <c r="W20" s="32">
        <v>162</v>
      </c>
      <c r="X20" s="33">
        <v>2.3663453111305899E-2</v>
      </c>
      <c r="Y20" s="32">
        <v>156</v>
      </c>
      <c r="Z20" s="33">
        <v>2.5008015389547899E-2</v>
      </c>
      <c r="AA20" s="32">
        <v>156</v>
      </c>
      <c r="AB20" s="33">
        <v>2.3657870791628802E-2</v>
      </c>
      <c r="AC20" s="32">
        <v>162</v>
      </c>
      <c r="AD20" s="33">
        <v>2.4353577871316898E-2</v>
      </c>
      <c r="AE20" s="32">
        <v>374</v>
      </c>
      <c r="AF20" s="33">
        <v>5.4686357654627898E-2</v>
      </c>
      <c r="AG20" s="32">
        <v>246</v>
      </c>
      <c r="AH20" s="33">
        <v>4.0294840294840303E-2</v>
      </c>
      <c r="AI20" s="32">
        <v>176</v>
      </c>
      <c r="AJ20" s="33">
        <v>2.51932436301174E-2</v>
      </c>
      <c r="AK20" s="32">
        <v>322</v>
      </c>
      <c r="AL20" s="33">
        <v>4.6646385629436501E-2</v>
      </c>
      <c r="AM20" s="32">
        <v>252</v>
      </c>
      <c r="AN20" s="33">
        <v>3.07467057101025E-2</v>
      </c>
      <c r="AO20" s="32">
        <v>190</v>
      </c>
      <c r="AP20" s="33">
        <v>2.5513629649523299E-2</v>
      </c>
      <c r="AQ20" s="32">
        <v>345</v>
      </c>
      <c r="AR20" s="33">
        <v>4.0573915088792198E-2</v>
      </c>
      <c r="AS20" s="32">
        <v>221</v>
      </c>
      <c r="AT20" s="33">
        <v>2.4323134492625999E-2</v>
      </c>
    </row>
    <row r="21" spans="1:46" x14ac:dyDescent="0.25">
      <c r="A21" s="10" t="s">
        <v>1781</v>
      </c>
      <c r="B21" s="10"/>
      <c r="C21" s="32">
        <v>95</v>
      </c>
      <c r="D21" s="33">
        <v>1.52487961476726E-2</v>
      </c>
      <c r="E21" s="32">
        <v>59</v>
      </c>
      <c r="F21" s="33">
        <v>1.06172395177254E-2</v>
      </c>
      <c r="G21" s="32">
        <v>83</v>
      </c>
      <c r="H21" s="33">
        <v>1.41372849599727E-2</v>
      </c>
      <c r="I21" s="32">
        <v>66</v>
      </c>
      <c r="J21" s="33">
        <v>1.15042705246645E-2</v>
      </c>
      <c r="K21" s="32">
        <v>98</v>
      </c>
      <c r="L21" s="33">
        <v>1.58141035985154E-2</v>
      </c>
      <c r="M21" s="32">
        <v>71</v>
      </c>
      <c r="N21" s="33">
        <v>1.15241032299951E-2</v>
      </c>
      <c r="O21" s="32">
        <v>105</v>
      </c>
      <c r="P21" s="33">
        <v>1.6347501167678701E-2</v>
      </c>
      <c r="Q21" s="32">
        <v>104</v>
      </c>
      <c r="R21" s="33">
        <v>1.5676816400361799E-2</v>
      </c>
      <c r="S21" s="32">
        <v>66</v>
      </c>
      <c r="T21" s="33">
        <v>1.11845449923742E-2</v>
      </c>
      <c r="U21" s="32">
        <v>82</v>
      </c>
      <c r="V21" s="33">
        <v>1.25824765996624E-2</v>
      </c>
      <c r="W21" s="32">
        <v>88</v>
      </c>
      <c r="X21" s="33">
        <v>1.28542214431785E-2</v>
      </c>
      <c r="Y21" s="32">
        <v>98</v>
      </c>
      <c r="Z21" s="33">
        <v>1.5710163513946801E-2</v>
      </c>
      <c r="AA21" s="32">
        <v>88</v>
      </c>
      <c r="AB21" s="33">
        <v>1.33454655747649E-2</v>
      </c>
      <c r="AC21" s="32">
        <v>103</v>
      </c>
      <c r="AD21" s="33">
        <v>1.54840649428743E-2</v>
      </c>
      <c r="AE21" s="32">
        <v>109</v>
      </c>
      <c r="AF21" s="33">
        <v>1.59380026319637E-2</v>
      </c>
      <c r="AG21" s="32">
        <v>64</v>
      </c>
      <c r="AH21" s="33">
        <v>1.0483210483210499E-2</v>
      </c>
      <c r="AI21" s="32">
        <v>78</v>
      </c>
      <c r="AJ21" s="33">
        <v>1.11651875178929E-2</v>
      </c>
      <c r="AK21" s="32">
        <v>88</v>
      </c>
      <c r="AL21" s="33">
        <v>1.2748080544690701E-2</v>
      </c>
      <c r="AM21" s="32">
        <v>73</v>
      </c>
      <c r="AN21" s="33">
        <v>8.9067837969741305E-3</v>
      </c>
      <c r="AO21" s="32">
        <v>65</v>
      </c>
      <c r="AP21" s="33">
        <v>8.7283469853632299E-3</v>
      </c>
      <c r="AQ21" s="32">
        <v>77</v>
      </c>
      <c r="AR21" s="33">
        <v>9.05562742561449E-3</v>
      </c>
      <c r="AS21" s="32">
        <v>205</v>
      </c>
      <c r="AT21" s="33">
        <v>2.25621835791327E-2</v>
      </c>
    </row>
    <row r="22" spans="1:46" x14ac:dyDescent="0.25">
      <c r="A22" s="10" t="s">
        <v>1782</v>
      </c>
      <c r="B22" s="10"/>
      <c r="C22" s="32" t="s">
        <v>148</v>
      </c>
      <c r="D22" s="33"/>
      <c r="E22" s="32" t="s">
        <v>148</v>
      </c>
      <c r="F22" s="33"/>
      <c r="G22" s="32" t="s">
        <v>148</v>
      </c>
      <c r="H22" s="33"/>
      <c r="I22" s="32" t="s">
        <v>148</v>
      </c>
      <c r="J22" s="33"/>
      <c r="K22" s="32">
        <v>0</v>
      </c>
      <c r="L22" s="33"/>
      <c r="M22" s="32" t="s">
        <v>148</v>
      </c>
      <c r="N22" s="33"/>
      <c r="O22" s="32" t="s">
        <v>148</v>
      </c>
      <c r="P22" s="33"/>
      <c r="Q22" s="32">
        <v>0</v>
      </c>
      <c r="R22" s="33"/>
      <c r="S22" s="32">
        <v>0</v>
      </c>
      <c r="T22" s="33"/>
      <c r="U22" s="32" t="s">
        <v>148</v>
      </c>
      <c r="V22" s="33"/>
      <c r="W22" s="32">
        <v>0</v>
      </c>
      <c r="X22" s="33"/>
      <c r="Y22" s="32">
        <v>0</v>
      </c>
      <c r="Z22" s="33"/>
      <c r="AA22" s="32">
        <v>0</v>
      </c>
      <c r="AB22" s="33"/>
      <c r="AC22" s="32" t="s">
        <v>148</v>
      </c>
      <c r="AD22" s="33"/>
      <c r="AE22" s="32">
        <v>0</v>
      </c>
      <c r="AF22" s="33"/>
      <c r="AG22" s="32">
        <v>51</v>
      </c>
      <c r="AH22" s="33">
        <v>8.3538083538083497E-3</v>
      </c>
      <c r="AI22" s="32">
        <v>19</v>
      </c>
      <c r="AJ22" s="33">
        <v>2.7197251646149398E-3</v>
      </c>
      <c r="AK22" s="32">
        <v>23</v>
      </c>
      <c r="AL22" s="33">
        <v>3.33188468781689E-3</v>
      </c>
      <c r="AM22" s="32">
        <v>33</v>
      </c>
      <c r="AN22" s="33">
        <v>4.0263543191800897E-3</v>
      </c>
      <c r="AO22" s="32">
        <v>30</v>
      </c>
      <c r="AP22" s="33">
        <v>4.0284678393984197E-3</v>
      </c>
      <c r="AQ22" s="32">
        <v>28</v>
      </c>
      <c r="AR22" s="33">
        <v>3.2929554274961801E-3</v>
      </c>
      <c r="AS22" s="32">
        <v>153</v>
      </c>
      <c r="AT22" s="33">
        <v>1.6839093110279601E-2</v>
      </c>
    </row>
    <row r="23" spans="1:46" x14ac:dyDescent="0.25">
      <c r="A23" s="10" t="s">
        <v>1783</v>
      </c>
      <c r="B23" s="10"/>
      <c r="C23" s="32">
        <v>74</v>
      </c>
      <c r="D23" s="33">
        <v>1.1878009630818601E-2</v>
      </c>
      <c r="E23" s="32">
        <v>78</v>
      </c>
      <c r="F23" s="33">
        <v>1.4036350548857299E-2</v>
      </c>
      <c r="G23" s="32">
        <v>79</v>
      </c>
      <c r="H23" s="33">
        <v>1.34559700221427E-2</v>
      </c>
      <c r="I23" s="32">
        <v>79</v>
      </c>
      <c r="J23" s="33">
        <v>1.3770263203764999E-2</v>
      </c>
      <c r="K23" s="32">
        <v>80</v>
      </c>
      <c r="L23" s="33">
        <v>1.2909472325318701E-2</v>
      </c>
      <c r="M23" s="32">
        <v>80</v>
      </c>
      <c r="N23" s="33">
        <v>1.2984905047881801E-2</v>
      </c>
      <c r="O23" s="32">
        <v>90</v>
      </c>
      <c r="P23" s="33">
        <v>1.4012143858010299E-2</v>
      </c>
      <c r="Q23" s="32">
        <v>93</v>
      </c>
      <c r="R23" s="33">
        <v>1.4018691588785E-2</v>
      </c>
      <c r="S23" s="32">
        <v>79</v>
      </c>
      <c r="T23" s="33">
        <v>1.33875614302661E-2</v>
      </c>
      <c r="U23" s="32">
        <v>92</v>
      </c>
      <c r="V23" s="33">
        <v>1.4116924965474901E-2</v>
      </c>
      <c r="W23" s="32">
        <v>92</v>
      </c>
      <c r="X23" s="33">
        <v>1.3438504236050201E-2</v>
      </c>
      <c r="Y23" s="32">
        <v>85</v>
      </c>
      <c r="Z23" s="33">
        <v>1.3626162231484501E-2</v>
      </c>
      <c r="AA23" s="32">
        <v>96</v>
      </c>
      <c r="AB23" s="33">
        <v>1.4558689717925399E-2</v>
      </c>
      <c r="AC23" s="32">
        <v>106</v>
      </c>
      <c r="AD23" s="33">
        <v>1.5935057125676499E-2</v>
      </c>
      <c r="AE23" s="32">
        <v>109</v>
      </c>
      <c r="AF23" s="33">
        <v>1.59380026319637E-2</v>
      </c>
      <c r="AG23" s="32">
        <v>111</v>
      </c>
      <c r="AH23" s="33">
        <v>1.8181818181818198E-2</v>
      </c>
      <c r="AI23" s="32">
        <v>118</v>
      </c>
      <c r="AJ23" s="33">
        <v>1.6890924706555999E-2</v>
      </c>
      <c r="AK23" s="32">
        <v>116</v>
      </c>
      <c r="AL23" s="33">
        <v>1.6804287990728702E-2</v>
      </c>
      <c r="AM23" s="32">
        <v>116</v>
      </c>
      <c r="AN23" s="33">
        <v>1.41532454856027E-2</v>
      </c>
      <c r="AO23" s="32">
        <v>120</v>
      </c>
      <c r="AP23" s="33">
        <v>1.61138713575937E-2</v>
      </c>
      <c r="AQ23" s="32">
        <v>132</v>
      </c>
      <c r="AR23" s="33">
        <v>1.5523932729624801E-2</v>
      </c>
      <c r="AS23" s="32">
        <v>134</v>
      </c>
      <c r="AT23" s="33">
        <v>1.4747963900506301E-2</v>
      </c>
    </row>
    <row r="24" spans="1:46" x14ac:dyDescent="0.25">
      <c r="A24" s="10" t="s">
        <v>1784</v>
      </c>
      <c r="B24" s="10"/>
      <c r="C24" s="32" t="s">
        <v>148</v>
      </c>
      <c r="D24" s="33"/>
      <c r="E24" s="32">
        <v>0</v>
      </c>
      <c r="F24" s="33"/>
      <c r="G24" s="32">
        <v>0</v>
      </c>
      <c r="H24" s="33"/>
      <c r="I24" s="32">
        <v>42</v>
      </c>
      <c r="J24" s="33">
        <v>7.3208994247864704E-3</v>
      </c>
      <c r="K24" s="32">
        <v>79</v>
      </c>
      <c r="L24" s="33">
        <v>1.27481039212522E-2</v>
      </c>
      <c r="M24" s="32">
        <v>108</v>
      </c>
      <c r="N24" s="33">
        <v>1.75296218146405E-2</v>
      </c>
      <c r="O24" s="32">
        <v>185</v>
      </c>
      <c r="P24" s="33">
        <v>2.8802740152576702E-2</v>
      </c>
      <c r="Q24" s="32">
        <v>214</v>
      </c>
      <c r="R24" s="33">
        <v>3.2258064516128997E-2</v>
      </c>
      <c r="S24" s="32">
        <v>224</v>
      </c>
      <c r="T24" s="33">
        <v>3.7959667852906297E-2</v>
      </c>
      <c r="U24" s="32">
        <v>206</v>
      </c>
      <c r="V24" s="33">
        <v>3.1609636335737303E-2</v>
      </c>
      <c r="W24" s="32">
        <v>209</v>
      </c>
      <c r="X24" s="33">
        <v>3.05287759275489E-2</v>
      </c>
      <c r="Y24" s="32">
        <v>168</v>
      </c>
      <c r="Z24" s="33">
        <v>2.6931708881051598E-2</v>
      </c>
      <c r="AA24" s="32">
        <v>161</v>
      </c>
      <c r="AB24" s="33">
        <v>2.4416135881104001E-2</v>
      </c>
      <c r="AC24" s="32">
        <v>139</v>
      </c>
      <c r="AD24" s="33">
        <v>2.08959711365003E-2</v>
      </c>
      <c r="AE24" s="32">
        <v>134</v>
      </c>
      <c r="AF24" s="33">
        <v>1.95935078227811E-2</v>
      </c>
      <c r="AG24" s="32">
        <v>121</v>
      </c>
      <c r="AH24" s="33">
        <v>1.9819819819819801E-2</v>
      </c>
      <c r="AI24" s="32">
        <v>123</v>
      </c>
      <c r="AJ24" s="33">
        <v>1.7606641855138799E-2</v>
      </c>
      <c r="AK24" s="32">
        <v>140</v>
      </c>
      <c r="AL24" s="33">
        <v>2.02810372301898E-2</v>
      </c>
      <c r="AM24" s="32">
        <v>127</v>
      </c>
      <c r="AN24" s="33">
        <v>1.54953635919961E-2</v>
      </c>
      <c r="AO24" s="32">
        <v>105</v>
      </c>
      <c r="AP24" s="33">
        <v>1.40996374378945E-2</v>
      </c>
      <c r="AQ24" s="32">
        <v>136</v>
      </c>
      <c r="AR24" s="33">
        <v>1.59943549335529E-2</v>
      </c>
      <c r="AS24" s="32">
        <v>108</v>
      </c>
      <c r="AT24" s="33">
        <v>1.1886418666079699E-2</v>
      </c>
    </row>
    <row r="25" spans="1:46" x14ac:dyDescent="0.25">
      <c r="A25" s="10" t="s">
        <v>1785</v>
      </c>
      <c r="B25" s="10"/>
      <c r="C25" s="32" t="s">
        <v>148</v>
      </c>
      <c r="D25" s="33"/>
      <c r="E25" s="32" t="s">
        <v>148</v>
      </c>
      <c r="F25" s="33"/>
      <c r="G25" s="32" t="s">
        <v>148</v>
      </c>
      <c r="H25" s="33"/>
      <c r="I25" s="32" t="s">
        <v>148</v>
      </c>
      <c r="J25" s="33"/>
      <c r="K25" s="32" t="s">
        <v>148</v>
      </c>
      <c r="L25" s="33"/>
      <c r="M25" s="32" t="s">
        <v>148</v>
      </c>
      <c r="N25" s="33"/>
      <c r="O25" s="32" t="s">
        <v>148</v>
      </c>
      <c r="P25" s="33"/>
      <c r="Q25" s="32" t="s">
        <v>148</v>
      </c>
      <c r="R25" s="33"/>
      <c r="S25" s="32" t="s">
        <v>148</v>
      </c>
      <c r="T25" s="33"/>
      <c r="U25" s="32" t="s">
        <v>148</v>
      </c>
      <c r="V25" s="33"/>
      <c r="W25" s="32" t="s">
        <v>148</v>
      </c>
      <c r="X25" s="33"/>
      <c r="Y25" s="32" t="s">
        <v>148</v>
      </c>
      <c r="Z25" s="33"/>
      <c r="AA25" s="32" t="s">
        <v>148</v>
      </c>
      <c r="AB25" s="33"/>
      <c r="AC25" s="32" t="s">
        <v>148</v>
      </c>
      <c r="AD25" s="33"/>
      <c r="AE25" s="32" t="s">
        <v>148</v>
      </c>
      <c r="AF25" s="33"/>
      <c r="AG25" s="32" t="s">
        <v>148</v>
      </c>
      <c r="AH25" s="33"/>
      <c r="AI25" s="32" t="s">
        <v>148</v>
      </c>
      <c r="AJ25" s="33"/>
      <c r="AK25" s="32" t="s">
        <v>148</v>
      </c>
      <c r="AL25" s="33"/>
      <c r="AM25" s="32">
        <v>60</v>
      </c>
      <c r="AN25" s="33">
        <v>7.3206442166910699E-3</v>
      </c>
      <c r="AO25" s="32">
        <v>70</v>
      </c>
      <c r="AP25" s="33">
        <v>9.3997582919296396E-3</v>
      </c>
      <c r="AQ25" s="32">
        <v>74</v>
      </c>
      <c r="AR25" s="33">
        <v>8.7028107726684692E-3</v>
      </c>
      <c r="AS25" s="32">
        <v>93</v>
      </c>
      <c r="AT25" s="33">
        <v>1.02355271846797E-2</v>
      </c>
    </row>
    <row r="26" spans="1:46" x14ac:dyDescent="0.25">
      <c r="A26" s="10" t="s">
        <v>1786</v>
      </c>
      <c r="B26" s="10"/>
      <c r="C26" s="32">
        <v>228</v>
      </c>
      <c r="D26" s="33">
        <v>3.6597110754414103E-2</v>
      </c>
      <c r="E26" s="32">
        <v>182</v>
      </c>
      <c r="F26" s="33">
        <v>3.2751484614000403E-2</v>
      </c>
      <c r="G26" s="32">
        <v>192</v>
      </c>
      <c r="H26" s="33">
        <v>3.2703117015840603E-2</v>
      </c>
      <c r="I26" s="32">
        <v>204</v>
      </c>
      <c r="J26" s="33">
        <v>3.5558654348962902E-2</v>
      </c>
      <c r="K26" s="32">
        <v>180</v>
      </c>
      <c r="L26" s="33">
        <v>2.9046312731967099E-2</v>
      </c>
      <c r="M26" s="32">
        <v>175</v>
      </c>
      <c r="N26" s="33">
        <v>2.8404479792241501E-2</v>
      </c>
      <c r="O26" s="32">
        <v>158</v>
      </c>
      <c r="P26" s="33">
        <v>2.4599096995173601E-2</v>
      </c>
      <c r="Q26" s="32">
        <v>140</v>
      </c>
      <c r="R26" s="33">
        <v>2.1103406692794702E-2</v>
      </c>
      <c r="S26" s="32">
        <v>125</v>
      </c>
      <c r="T26" s="33">
        <v>2.1182850364345002E-2</v>
      </c>
      <c r="U26" s="32">
        <v>135</v>
      </c>
      <c r="V26" s="33">
        <v>2.0715052938468599E-2</v>
      </c>
      <c r="W26" s="32">
        <v>128</v>
      </c>
      <c r="X26" s="33">
        <v>1.8697049371896E-2</v>
      </c>
      <c r="Y26" s="32">
        <v>137</v>
      </c>
      <c r="Z26" s="33">
        <v>2.1962167361333801E-2</v>
      </c>
      <c r="AA26" s="32">
        <v>132</v>
      </c>
      <c r="AB26" s="33">
        <v>2.00181983621474E-2</v>
      </c>
      <c r="AC26" s="32">
        <v>128</v>
      </c>
      <c r="AD26" s="33">
        <v>1.9242333132892399E-2</v>
      </c>
      <c r="AE26" s="32">
        <v>124</v>
      </c>
      <c r="AF26" s="33">
        <v>1.8131305746454201E-2</v>
      </c>
      <c r="AG26" s="32">
        <v>115</v>
      </c>
      <c r="AH26" s="33">
        <v>1.8837018837018799E-2</v>
      </c>
      <c r="AI26" s="32">
        <v>123</v>
      </c>
      <c r="AJ26" s="33">
        <v>1.7606641855138799E-2</v>
      </c>
      <c r="AK26" s="32">
        <v>107</v>
      </c>
      <c r="AL26" s="33">
        <v>1.5500507025930799E-2</v>
      </c>
      <c r="AM26" s="32">
        <v>107</v>
      </c>
      <c r="AN26" s="33">
        <v>1.3055148853099101E-2</v>
      </c>
      <c r="AO26" s="32">
        <v>100</v>
      </c>
      <c r="AP26" s="33">
        <v>1.3428226131328099E-2</v>
      </c>
      <c r="AQ26" s="32">
        <v>105</v>
      </c>
      <c r="AR26" s="33">
        <v>1.23485828531107E-2</v>
      </c>
      <c r="AS26" s="32">
        <v>90</v>
      </c>
      <c r="AT26" s="33">
        <v>9.9053488883997405E-3</v>
      </c>
    </row>
    <row r="27" spans="1:46" x14ac:dyDescent="0.25">
      <c r="A27" s="10" t="s">
        <v>1787</v>
      </c>
      <c r="B27" s="10"/>
      <c r="C27" s="32" t="s">
        <v>148</v>
      </c>
      <c r="D27" s="33"/>
      <c r="E27" s="32" t="s">
        <v>148</v>
      </c>
      <c r="F27" s="33"/>
      <c r="G27" s="32" t="s">
        <v>148</v>
      </c>
      <c r="H27" s="33"/>
      <c r="I27" s="32" t="s">
        <v>148</v>
      </c>
      <c r="J27" s="33"/>
      <c r="K27" s="32" t="s">
        <v>148</v>
      </c>
      <c r="L27" s="33"/>
      <c r="M27" s="32" t="s">
        <v>148</v>
      </c>
      <c r="N27" s="33"/>
      <c r="O27" s="32" t="s">
        <v>148</v>
      </c>
      <c r="P27" s="33"/>
      <c r="Q27" s="32" t="s">
        <v>148</v>
      </c>
      <c r="R27" s="33"/>
      <c r="S27" s="32" t="s">
        <v>148</v>
      </c>
      <c r="T27" s="33"/>
      <c r="U27" s="32" t="s">
        <v>148</v>
      </c>
      <c r="V27" s="33"/>
      <c r="W27" s="32" t="s">
        <v>148</v>
      </c>
      <c r="X27" s="33"/>
      <c r="Y27" s="32" t="s">
        <v>148</v>
      </c>
      <c r="Z27" s="33"/>
      <c r="AA27" s="32" t="s">
        <v>148</v>
      </c>
      <c r="AB27" s="33"/>
      <c r="AC27" s="32" t="s">
        <v>148</v>
      </c>
      <c r="AD27" s="33"/>
      <c r="AE27" s="32" t="s">
        <v>148</v>
      </c>
      <c r="AF27" s="33"/>
      <c r="AG27" s="32">
        <v>23</v>
      </c>
      <c r="AH27" s="33">
        <v>3.7674037674037702E-3</v>
      </c>
      <c r="AI27" s="32">
        <v>29</v>
      </c>
      <c r="AJ27" s="33">
        <v>4.1511594617807002E-3</v>
      </c>
      <c r="AK27" s="32">
        <v>32</v>
      </c>
      <c r="AL27" s="33">
        <v>4.6356656526147996E-3</v>
      </c>
      <c r="AM27" s="32">
        <v>42</v>
      </c>
      <c r="AN27" s="33">
        <v>5.12445095168375E-3</v>
      </c>
      <c r="AO27" s="32">
        <v>45</v>
      </c>
      <c r="AP27" s="33">
        <v>6.04270175909762E-3</v>
      </c>
      <c r="AQ27" s="32">
        <v>74</v>
      </c>
      <c r="AR27" s="33">
        <v>8.7028107726684692E-3</v>
      </c>
      <c r="AS27" s="32">
        <v>76</v>
      </c>
      <c r="AT27" s="33">
        <v>8.3645168390931099E-3</v>
      </c>
    </row>
    <row r="28" spans="1:46" x14ac:dyDescent="0.25">
      <c r="A28" s="10" t="s">
        <v>1788</v>
      </c>
      <c r="B28" s="10"/>
      <c r="C28" s="32">
        <v>1012</v>
      </c>
      <c r="D28" s="33">
        <v>0.16243980738362801</v>
      </c>
      <c r="E28" s="32">
        <v>893</v>
      </c>
      <c r="F28" s="33">
        <v>0.16069821846320001</v>
      </c>
      <c r="G28" s="32">
        <v>719</v>
      </c>
      <c r="H28" s="33">
        <v>0.122466360074945</v>
      </c>
      <c r="I28" s="32">
        <v>619</v>
      </c>
      <c r="J28" s="33">
        <v>0.10789611295102</v>
      </c>
      <c r="K28" s="32">
        <v>583</v>
      </c>
      <c r="L28" s="33">
        <v>9.4077779570760106E-2</v>
      </c>
      <c r="M28" s="32">
        <v>534</v>
      </c>
      <c r="N28" s="33">
        <v>8.6674241194611298E-2</v>
      </c>
      <c r="O28" s="32">
        <v>484</v>
      </c>
      <c r="P28" s="33">
        <v>7.5354195858632997E-2</v>
      </c>
      <c r="Q28" s="32">
        <v>463</v>
      </c>
      <c r="R28" s="33">
        <v>6.9791980705456697E-2</v>
      </c>
      <c r="S28" s="32">
        <v>421</v>
      </c>
      <c r="T28" s="33">
        <v>7.1343840027114094E-2</v>
      </c>
      <c r="U28" s="32">
        <v>434</v>
      </c>
      <c r="V28" s="33">
        <v>6.6595059076262106E-2</v>
      </c>
      <c r="W28" s="32">
        <v>299</v>
      </c>
      <c r="X28" s="33">
        <v>4.36751387671633E-2</v>
      </c>
      <c r="Y28" s="32">
        <v>304</v>
      </c>
      <c r="Z28" s="33">
        <v>4.87335684514267E-2</v>
      </c>
      <c r="AA28" s="32">
        <v>263</v>
      </c>
      <c r="AB28" s="33">
        <v>3.98847437063998E-2</v>
      </c>
      <c r="AC28" s="32">
        <v>205</v>
      </c>
      <c r="AD28" s="33">
        <v>3.0817799158147901E-2</v>
      </c>
      <c r="AE28" s="32">
        <v>187</v>
      </c>
      <c r="AF28" s="33">
        <v>2.7343178827313901E-2</v>
      </c>
      <c r="AG28" s="32">
        <v>211</v>
      </c>
      <c r="AH28" s="33">
        <v>3.4561834561834599E-2</v>
      </c>
      <c r="AI28" s="32">
        <v>199</v>
      </c>
      <c r="AJ28" s="33">
        <v>2.84855425135986E-2</v>
      </c>
      <c r="AK28" s="32">
        <v>92</v>
      </c>
      <c r="AL28" s="33">
        <v>1.33275387512676E-2</v>
      </c>
      <c r="AM28" s="32">
        <v>208</v>
      </c>
      <c r="AN28" s="33">
        <v>2.5378233284529001E-2</v>
      </c>
      <c r="AO28" s="32">
        <v>87</v>
      </c>
      <c r="AP28" s="33">
        <v>1.16825567342554E-2</v>
      </c>
      <c r="AQ28" s="32">
        <v>84</v>
      </c>
      <c r="AR28" s="33">
        <v>9.8788662824885309E-3</v>
      </c>
      <c r="AS28" s="32">
        <v>72</v>
      </c>
      <c r="AT28" s="33">
        <v>7.9242791107197903E-3</v>
      </c>
    </row>
    <row r="29" spans="1:46" x14ac:dyDescent="0.25">
      <c r="A29" s="10" t="s">
        <v>1789</v>
      </c>
      <c r="B29" s="10"/>
      <c r="C29" s="32" t="s">
        <v>148</v>
      </c>
      <c r="D29" s="33"/>
      <c r="E29" s="32" t="s">
        <v>148</v>
      </c>
      <c r="F29" s="33"/>
      <c r="G29" s="32" t="s">
        <v>148</v>
      </c>
      <c r="H29" s="33"/>
      <c r="I29" s="32" t="s">
        <v>148</v>
      </c>
      <c r="J29" s="33"/>
      <c r="K29" s="32" t="s">
        <v>148</v>
      </c>
      <c r="L29" s="33"/>
      <c r="M29" s="32" t="s">
        <v>148</v>
      </c>
      <c r="N29" s="33"/>
      <c r="O29" s="32" t="s">
        <v>148</v>
      </c>
      <c r="P29" s="33"/>
      <c r="Q29" s="32" t="s">
        <v>148</v>
      </c>
      <c r="R29" s="33"/>
      <c r="S29" s="32" t="s">
        <v>148</v>
      </c>
      <c r="T29" s="33"/>
      <c r="U29" s="32" t="s">
        <v>148</v>
      </c>
      <c r="V29" s="33"/>
      <c r="W29" s="32" t="s">
        <v>148</v>
      </c>
      <c r="X29" s="33"/>
      <c r="Y29" s="32" t="s">
        <v>148</v>
      </c>
      <c r="Z29" s="33"/>
      <c r="AA29" s="32" t="s">
        <v>148</v>
      </c>
      <c r="AB29" s="33"/>
      <c r="AC29" s="32" t="s">
        <v>148</v>
      </c>
      <c r="AD29" s="33"/>
      <c r="AE29" s="32" t="s">
        <v>148</v>
      </c>
      <c r="AF29" s="33"/>
      <c r="AG29" s="32" t="s">
        <v>148</v>
      </c>
      <c r="AH29" s="33"/>
      <c r="AI29" s="32" t="s">
        <v>148</v>
      </c>
      <c r="AJ29" s="33"/>
      <c r="AK29" s="32" t="s">
        <v>148</v>
      </c>
      <c r="AL29" s="33"/>
      <c r="AM29" s="32" t="s">
        <v>148</v>
      </c>
      <c r="AN29" s="33"/>
      <c r="AO29" s="32" t="s">
        <v>148</v>
      </c>
      <c r="AP29" s="33"/>
      <c r="AQ29" s="32">
        <v>36</v>
      </c>
      <c r="AR29" s="33">
        <v>4.23379983535223E-3</v>
      </c>
      <c r="AS29" s="32">
        <v>67</v>
      </c>
      <c r="AT29" s="33">
        <v>7.37398195025314E-3</v>
      </c>
    </row>
    <row r="30" spans="1:46" x14ac:dyDescent="0.25">
      <c r="A30" s="10" t="s">
        <v>1790</v>
      </c>
      <c r="B30" s="10"/>
      <c r="C30" s="32" t="s">
        <v>148</v>
      </c>
      <c r="D30" s="33"/>
      <c r="E30" s="32" t="s">
        <v>148</v>
      </c>
      <c r="F30" s="33"/>
      <c r="G30" s="32" t="s">
        <v>148</v>
      </c>
      <c r="H30" s="33"/>
      <c r="I30" s="32" t="s">
        <v>148</v>
      </c>
      <c r="J30" s="33"/>
      <c r="K30" s="32" t="s">
        <v>148</v>
      </c>
      <c r="L30" s="33"/>
      <c r="M30" s="32" t="s">
        <v>148</v>
      </c>
      <c r="N30" s="33"/>
      <c r="O30" s="32" t="s">
        <v>148</v>
      </c>
      <c r="P30" s="33"/>
      <c r="Q30" s="32" t="s">
        <v>148</v>
      </c>
      <c r="R30" s="33"/>
      <c r="S30" s="32">
        <v>0</v>
      </c>
      <c r="T30" s="33"/>
      <c r="U30" s="32">
        <v>9</v>
      </c>
      <c r="V30" s="33">
        <v>1.38100352923124E-3</v>
      </c>
      <c r="W30" s="32">
        <v>40</v>
      </c>
      <c r="X30" s="33">
        <v>5.8428279287174997E-3</v>
      </c>
      <c r="Y30" s="32">
        <v>48</v>
      </c>
      <c r="Z30" s="33">
        <v>7.6947739660147502E-3</v>
      </c>
      <c r="AA30" s="32">
        <v>51</v>
      </c>
      <c r="AB30" s="33">
        <v>7.7343039126478597E-3</v>
      </c>
      <c r="AC30" s="32">
        <v>61</v>
      </c>
      <c r="AD30" s="33">
        <v>9.1701743836440208E-3</v>
      </c>
      <c r="AE30" s="32">
        <v>62</v>
      </c>
      <c r="AF30" s="33">
        <v>9.0656528732270796E-3</v>
      </c>
      <c r="AG30" s="32">
        <v>48</v>
      </c>
      <c r="AH30" s="33">
        <v>7.8624078624078605E-3</v>
      </c>
      <c r="AI30" s="32">
        <v>50</v>
      </c>
      <c r="AJ30" s="33">
        <v>7.1571714858288003E-3</v>
      </c>
      <c r="AK30" s="32">
        <v>48</v>
      </c>
      <c r="AL30" s="33">
        <v>6.9534984789222098E-3</v>
      </c>
      <c r="AM30" s="32">
        <v>51</v>
      </c>
      <c r="AN30" s="33">
        <v>6.2225475841874104E-3</v>
      </c>
      <c r="AO30" s="32">
        <v>53</v>
      </c>
      <c r="AP30" s="33">
        <v>7.1169598496038699E-3</v>
      </c>
      <c r="AQ30" s="32">
        <v>53</v>
      </c>
      <c r="AR30" s="33">
        <v>6.2330942020463404E-3</v>
      </c>
      <c r="AS30" s="32">
        <v>53</v>
      </c>
      <c r="AT30" s="33">
        <v>5.8331499009465103E-3</v>
      </c>
    </row>
    <row r="31" spans="1:46" x14ac:dyDescent="0.25">
      <c r="A31" s="10" t="s">
        <v>1791</v>
      </c>
      <c r="B31" s="10"/>
      <c r="C31" s="32">
        <v>108</v>
      </c>
      <c r="D31" s="33">
        <v>1.7335473515248799E-2</v>
      </c>
      <c r="E31" s="32">
        <v>109</v>
      </c>
      <c r="F31" s="33">
        <v>1.96149001259672E-2</v>
      </c>
      <c r="G31" s="32">
        <v>148</v>
      </c>
      <c r="H31" s="33">
        <v>2.5208652699710399E-2</v>
      </c>
      <c r="I31" s="32">
        <v>137</v>
      </c>
      <c r="J31" s="33">
        <v>2.3880076695136799E-2</v>
      </c>
      <c r="K31" s="32">
        <v>156</v>
      </c>
      <c r="L31" s="33">
        <v>2.5173471034371502E-2</v>
      </c>
      <c r="M31" s="32">
        <v>146</v>
      </c>
      <c r="N31" s="33">
        <v>2.3697451712384399E-2</v>
      </c>
      <c r="O31" s="32">
        <v>156</v>
      </c>
      <c r="P31" s="33">
        <v>2.42877160205511E-2</v>
      </c>
      <c r="Q31" s="32">
        <v>143</v>
      </c>
      <c r="R31" s="33">
        <v>2.1555622550497401E-2</v>
      </c>
      <c r="S31" s="32">
        <v>46</v>
      </c>
      <c r="T31" s="33">
        <v>7.7952889340789696E-3</v>
      </c>
      <c r="U31" s="32">
        <v>37</v>
      </c>
      <c r="V31" s="33">
        <v>5.6774589535062104E-3</v>
      </c>
      <c r="W31" s="32">
        <v>43</v>
      </c>
      <c r="X31" s="33">
        <v>6.28104002337131E-3</v>
      </c>
      <c r="Y31" s="32">
        <v>57</v>
      </c>
      <c r="Z31" s="33">
        <v>9.1375440846425092E-3</v>
      </c>
      <c r="AA31" s="32">
        <v>71</v>
      </c>
      <c r="AB31" s="33">
        <v>1.0767364270549E-2</v>
      </c>
      <c r="AC31" s="32">
        <v>61</v>
      </c>
      <c r="AD31" s="33">
        <v>9.1701743836440208E-3</v>
      </c>
      <c r="AE31" s="32">
        <v>64</v>
      </c>
      <c r="AF31" s="33">
        <v>9.3580932884924709E-3</v>
      </c>
      <c r="AG31" s="32">
        <v>58</v>
      </c>
      <c r="AH31" s="33">
        <v>9.5004095004094999E-3</v>
      </c>
      <c r="AI31" s="32">
        <v>54</v>
      </c>
      <c r="AJ31" s="33">
        <v>7.7297452046951E-3</v>
      </c>
      <c r="AK31" s="32">
        <v>59</v>
      </c>
      <c r="AL31" s="33">
        <v>8.5470085470085496E-3</v>
      </c>
      <c r="AM31" s="32">
        <v>57</v>
      </c>
      <c r="AN31" s="33">
        <v>6.9546120058565199E-3</v>
      </c>
      <c r="AO31" s="32">
        <v>65</v>
      </c>
      <c r="AP31" s="33">
        <v>8.7283469853632299E-3</v>
      </c>
      <c r="AQ31" s="32">
        <v>32</v>
      </c>
      <c r="AR31" s="33">
        <v>3.7633776314241999E-3</v>
      </c>
      <c r="AS31" s="32">
        <v>39</v>
      </c>
      <c r="AT31" s="33">
        <v>4.29231785163989E-3</v>
      </c>
    </row>
    <row r="32" spans="1:46" x14ac:dyDescent="0.25">
      <c r="A32" s="10" t="s">
        <v>1792</v>
      </c>
      <c r="B32" s="10"/>
      <c r="C32" s="32">
        <v>264</v>
      </c>
      <c r="D32" s="33">
        <v>4.23756019261637E-2</v>
      </c>
      <c r="E32" s="32">
        <v>219</v>
      </c>
      <c r="F32" s="33">
        <v>3.9409753464099299E-2</v>
      </c>
      <c r="G32" s="32">
        <v>223</v>
      </c>
      <c r="H32" s="33">
        <v>3.7983307784023201E-2</v>
      </c>
      <c r="I32" s="32">
        <v>215</v>
      </c>
      <c r="J32" s="33">
        <v>3.7476032769740299E-2</v>
      </c>
      <c r="K32" s="32">
        <v>210</v>
      </c>
      <c r="L32" s="33">
        <v>3.3887364853961599E-2</v>
      </c>
      <c r="M32" s="32">
        <v>155</v>
      </c>
      <c r="N32" s="33">
        <v>2.51582535302711E-2</v>
      </c>
      <c r="O32" s="32">
        <v>149</v>
      </c>
      <c r="P32" s="33">
        <v>2.3197882609372601E-2</v>
      </c>
      <c r="Q32" s="32">
        <v>133</v>
      </c>
      <c r="R32" s="33">
        <v>2.0048236358154999E-2</v>
      </c>
      <c r="S32" s="32">
        <v>125</v>
      </c>
      <c r="T32" s="33">
        <v>2.1182850364345002E-2</v>
      </c>
      <c r="U32" s="32">
        <v>130</v>
      </c>
      <c r="V32" s="33">
        <v>1.9947828755562402E-2</v>
      </c>
      <c r="W32" s="32">
        <v>128</v>
      </c>
      <c r="X32" s="33">
        <v>1.8697049371896E-2</v>
      </c>
      <c r="Y32" s="32">
        <v>120</v>
      </c>
      <c r="Z32" s="33">
        <v>1.9236934915036901E-2</v>
      </c>
      <c r="AA32" s="32">
        <v>136</v>
      </c>
      <c r="AB32" s="33">
        <v>2.0624810433727599E-2</v>
      </c>
      <c r="AC32" s="32">
        <v>136</v>
      </c>
      <c r="AD32" s="33">
        <v>2.0444978953698099E-2</v>
      </c>
      <c r="AE32" s="32">
        <v>114</v>
      </c>
      <c r="AF32" s="33">
        <v>1.6669103670127201E-2</v>
      </c>
      <c r="AG32" s="32">
        <v>60</v>
      </c>
      <c r="AH32" s="33">
        <v>9.8280098280098295E-3</v>
      </c>
      <c r="AI32" s="32">
        <v>61</v>
      </c>
      <c r="AJ32" s="33">
        <v>8.7317492127111408E-3</v>
      </c>
      <c r="AK32" s="32">
        <v>50</v>
      </c>
      <c r="AL32" s="33">
        <v>7.2432275822106301E-3</v>
      </c>
      <c r="AM32" s="32">
        <v>55</v>
      </c>
      <c r="AN32" s="33">
        <v>6.7105905319668098E-3</v>
      </c>
      <c r="AO32" s="32">
        <v>41</v>
      </c>
      <c r="AP32" s="33">
        <v>5.5055727138445002E-3</v>
      </c>
      <c r="AQ32" s="32">
        <v>33</v>
      </c>
      <c r="AR32" s="33">
        <v>3.8809831824062101E-3</v>
      </c>
      <c r="AS32" s="32">
        <v>19</v>
      </c>
      <c r="AT32" s="33">
        <v>2.0911292097732801E-3</v>
      </c>
    </row>
    <row r="33" spans="1:46" x14ac:dyDescent="0.25">
      <c r="A33" s="10" t="s">
        <v>1793</v>
      </c>
      <c r="B33" s="10"/>
      <c r="C33" s="32" t="s">
        <v>148</v>
      </c>
      <c r="D33" s="33"/>
      <c r="E33" s="32" t="s">
        <v>148</v>
      </c>
      <c r="F33" s="33"/>
      <c r="G33" s="32" t="s">
        <v>148</v>
      </c>
      <c r="H33" s="33"/>
      <c r="I33" s="32" t="s">
        <v>148</v>
      </c>
      <c r="J33" s="33"/>
      <c r="K33" s="32" t="s">
        <v>148</v>
      </c>
      <c r="L33" s="33"/>
      <c r="M33" s="32" t="s">
        <v>148</v>
      </c>
      <c r="N33" s="33"/>
      <c r="O33" s="32" t="s">
        <v>148</v>
      </c>
      <c r="P33" s="33"/>
      <c r="Q33" s="32" t="s">
        <v>148</v>
      </c>
      <c r="R33" s="33"/>
      <c r="S33" s="32" t="s">
        <v>148</v>
      </c>
      <c r="T33" s="33"/>
      <c r="U33" s="32" t="s">
        <v>148</v>
      </c>
      <c r="V33" s="33"/>
      <c r="W33" s="32" t="s">
        <v>148</v>
      </c>
      <c r="X33" s="33"/>
      <c r="Y33" s="32" t="s">
        <v>148</v>
      </c>
      <c r="Z33" s="33"/>
      <c r="AA33" s="32" t="s">
        <v>148</v>
      </c>
      <c r="AB33" s="33"/>
      <c r="AC33" s="32" t="s">
        <v>148</v>
      </c>
      <c r="AD33" s="33"/>
      <c r="AE33" s="32" t="s">
        <v>148</v>
      </c>
      <c r="AF33" s="33"/>
      <c r="AG33" s="32" t="s">
        <v>148</v>
      </c>
      <c r="AH33" s="33"/>
      <c r="AI33" s="32" t="s">
        <v>148</v>
      </c>
      <c r="AJ33" s="33"/>
      <c r="AK33" s="32" t="s">
        <v>148</v>
      </c>
      <c r="AL33" s="33"/>
      <c r="AM33" s="32">
        <v>162</v>
      </c>
      <c r="AN33" s="33">
        <v>1.97657393850659E-2</v>
      </c>
      <c r="AO33" s="32">
        <v>166</v>
      </c>
      <c r="AP33" s="33">
        <v>2.2290855378004602E-2</v>
      </c>
      <c r="AQ33" s="32">
        <v>180</v>
      </c>
      <c r="AR33" s="33">
        <v>2.11689991767611E-2</v>
      </c>
      <c r="AS33" s="32" t="s">
        <v>148</v>
      </c>
      <c r="AT33" s="33"/>
    </row>
    <row r="34" spans="1:46" x14ac:dyDescent="0.25">
      <c r="A34" s="10" t="s">
        <v>1794</v>
      </c>
      <c r="B34" s="10"/>
      <c r="C34" s="32" t="s">
        <v>148</v>
      </c>
      <c r="D34" s="33"/>
      <c r="E34" s="32">
        <v>0</v>
      </c>
      <c r="F34" s="33"/>
      <c r="G34" s="32">
        <v>0</v>
      </c>
      <c r="H34" s="33"/>
      <c r="I34" s="32">
        <v>39</v>
      </c>
      <c r="J34" s="33">
        <v>6.7979780373017204E-3</v>
      </c>
      <c r="K34" s="32">
        <v>79</v>
      </c>
      <c r="L34" s="33">
        <v>1.27481039212522E-2</v>
      </c>
      <c r="M34" s="32">
        <v>96</v>
      </c>
      <c r="N34" s="33">
        <v>1.5581886057458199E-2</v>
      </c>
      <c r="O34" s="32">
        <v>149</v>
      </c>
      <c r="P34" s="33">
        <v>2.3197882609372601E-2</v>
      </c>
      <c r="Q34" s="32">
        <v>129</v>
      </c>
      <c r="R34" s="33">
        <v>1.9445281881218E-2</v>
      </c>
      <c r="S34" s="32">
        <v>130</v>
      </c>
      <c r="T34" s="33">
        <v>2.20301643789188E-2</v>
      </c>
      <c r="U34" s="32">
        <v>132</v>
      </c>
      <c r="V34" s="33">
        <v>2.0254718428724901E-2</v>
      </c>
      <c r="W34" s="32">
        <v>125</v>
      </c>
      <c r="X34" s="33">
        <v>1.8258837277242201E-2</v>
      </c>
      <c r="Y34" s="32">
        <v>80</v>
      </c>
      <c r="Z34" s="33">
        <v>1.28246232766912E-2</v>
      </c>
      <c r="AA34" s="32">
        <v>69</v>
      </c>
      <c r="AB34" s="33">
        <v>1.04640582347589E-2</v>
      </c>
      <c r="AC34" s="32">
        <v>58</v>
      </c>
      <c r="AD34" s="33">
        <v>8.7191822008418508E-3</v>
      </c>
      <c r="AE34" s="32">
        <v>50</v>
      </c>
      <c r="AF34" s="33">
        <v>7.31101038163474E-3</v>
      </c>
      <c r="AG34" s="32">
        <v>33</v>
      </c>
      <c r="AH34" s="33">
        <v>5.40540540540541E-3</v>
      </c>
      <c r="AI34" s="32">
        <v>38</v>
      </c>
      <c r="AJ34" s="33">
        <v>5.4394503292298901E-3</v>
      </c>
      <c r="AK34" s="32">
        <v>7</v>
      </c>
      <c r="AL34" s="33">
        <v>1.01405186150949E-3</v>
      </c>
      <c r="AM34" s="32">
        <v>31</v>
      </c>
      <c r="AN34" s="33">
        <v>3.78233284529039E-3</v>
      </c>
      <c r="AO34" s="32" t="s">
        <v>148</v>
      </c>
      <c r="AP34" s="33"/>
      <c r="AQ34" s="32" t="s">
        <v>148</v>
      </c>
      <c r="AR34" s="33"/>
      <c r="AS34" s="32" t="s">
        <v>148</v>
      </c>
      <c r="AT34" s="33"/>
    </row>
    <row r="35" spans="1:46" x14ac:dyDescent="0.25">
      <c r="A35" s="10" t="s">
        <v>1795</v>
      </c>
      <c r="B35" s="10"/>
      <c r="C35" s="32">
        <v>367</v>
      </c>
      <c r="D35" s="33">
        <v>5.8908507223113998E-2</v>
      </c>
      <c r="E35" s="32">
        <v>135</v>
      </c>
      <c r="F35" s="33">
        <v>2.4293683642253001E-2</v>
      </c>
      <c r="G35" s="32">
        <v>43</v>
      </c>
      <c r="H35" s="33">
        <v>7.32413558167263E-3</v>
      </c>
      <c r="I35" s="32">
        <v>38</v>
      </c>
      <c r="J35" s="33">
        <v>6.6236709081401402E-3</v>
      </c>
      <c r="K35" s="32">
        <v>36</v>
      </c>
      <c r="L35" s="33">
        <v>5.80926254639342E-3</v>
      </c>
      <c r="M35" s="32">
        <v>42</v>
      </c>
      <c r="N35" s="33">
        <v>6.8170751501379599E-3</v>
      </c>
      <c r="O35" s="32">
        <v>7</v>
      </c>
      <c r="P35" s="33">
        <v>1.08983341117858E-3</v>
      </c>
      <c r="Q35" s="32">
        <v>11</v>
      </c>
      <c r="R35" s="33">
        <v>1.6581248115767301E-3</v>
      </c>
      <c r="S35" s="32">
        <v>0</v>
      </c>
      <c r="T35" s="33"/>
      <c r="U35" s="32">
        <v>4</v>
      </c>
      <c r="V35" s="33">
        <v>6.1377934632499598E-4</v>
      </c>
      <c r="W35" s="32">
        <v>2</v>
      </c>
      <c r="X35" s="33">
        <v>2.9214139643587501E-4</v>
      </c>
      <c r="Y35" s="32">
        <v>4</v>
      </c>
      <c r="Z35" s="33">
        <v>6.4123116383456205E-4</v>
      </c>
      <c r="AA35" s="32">
        <v>5</v>
      </c>
      <c r="AB35" s="33">
        <v>7.5826508947528096E-4</v>
      </c>
      <c r="AC35" s="32">
        <v>4</v>
      </c>
      <c r="AD35" s="33">
        <v>6.0132291040288605E-4</v>
      </c>
      <c r="AE35" s="32">
        <v>-3</v>
      </c>
      <c r="AF35" s="33">
        <v>-4.38660622898085E-4</v>
      </c>
      <c r="AG35" s="32" t="s">
        <v>148</v>
      </c>
      <c r="AH35" s="33"/>
      <c r="AI35" s="32" t="s">
        <v>148</v>
      </c>
      <c r="AJ35" s="33"/>
      <c r="AK35" s="32" t="s">
        <v>148</v>
      </c>
      <c r="AL35" s="33"/>
      <c r="AM35" s="32" t="s">
        <v>148</v>
      </c>
      <c r="AN35" s="33"/>
      <c r="AO35" s="32" t="s">
        <v>148</v>
      </c>
      <c r="AP35" s="33"/>
      <c r="AQ35" s="32" t="s">
        <v>148</v>
      </c>
      <c r="AR35" s="33"/>
      <c r="AS35" s="32" t="s">
        <v>148</v>
      </c>
      <c r="AT35" s="33"/>
    </row>
    <row r="36" spans="1:46" x14ac:dyDescent="0.25">
      <c r="A36" s="10" t="s">
        <v>1796</v>
      </c>
      <c r="B36" s="10"/>
      <c r="C36" s="32">
        <v>43</v>
      </c>
      <c r="D36" s="33">
        <v>6.9020866773675804E-3</v>
      </c>
      <c r="E36" s="32">
        <v>50</v>
      </c>
      <c r="F36" s="33">
        <v>8.9976606082418607E-3</v>
      </c>
      <c r="G36" s="32">
        <v>55</v>
      </c>
      <c r="H36" s="33">
        <v>9.3680803951626604E-3</v>
      </c>
      <c r="I36" s="32">
        <v>32</v>
      </c>
      <c r="J36" s="33">
        <v>5.5778281331706498E-3</v>
      </c>
      <c r="K36" s="32">
        <v>41</v>
      </c>
      <c r="L36" s="33">
        <v>6.6161045667258297E-3</v>
      </c>
      <c r="M36" s="32">
        <v>45</v>
      </c>
      <c r="N36" s="33">
        <v>7.3040090894335302E-3</v>
      </c>
      <c r="O36" s="32">
        <v>44</v>
      </c>
      <c r="P36" s="33">
        <v>6.8503814416939098E-3</v>
      </c>
      <c r="Q36" s="32">
        <v>27</v>
      </c>
      <c r="R36" s="33">
        <v>4.0699427193246901E-3</v>
      </c>
      <c r="S36" s="32">
        <v>18</v>
      </c>
      <c r="T36" s="33">
        <v>3.0503304524656799E-3</v>
      </c>
      <c r="U36" s="32">
        <v>36</v>
      </c>
      <c r="V36" s="33">
        <v>5.5240141169249704E-3</v>
      </c>
      <c r="W36" s="32">
        <v>15</v>
      </c>
      <c r="X36" s="33">
        <v>2.1910604732690601E-3</v>
      </c>
      <c r="Y36" s="32">
        <v>23</v>
      </c>
      <c r="Z36" s="33">
        <v>3.68707919204873E-3</v>
      </c>
      <c r="AA36" s="32">
        <v>21</v>
      </c>
      <c r="AB36" s="33">
        <v>3.1847133757961798E-3</v>
      </c>
      <c r="AC36" s="32">
        <v>21</v>
      </c>
      <c r="AD36" s="33">
        <v>3.15694527961515E-3</v>
      </c>
      <c r="AE36" s="32">
        <v>22</v>
      </c>
      <c r="AF36" s="33">
        <v>3.2168445679192901E-3</v>
      </c>
      <c r="AG36" s="32" t="s">
        <v>148</v>
      </c>
      <c r="AH36" s="33"/>
      <c r="AI36" s="32" t="s">
        <v>148</v>
      </c>
      <c r="AJ36" s="33"/>
      <c r="AK36" s="32" t="s">
        <v>148</v>
      </c>
      <c r="AL36" s="33"/>
      <c r="AM36" s="32" t="s">
        <v>148</v>
      </c>
      <c r="AN36" s="33"/>
      <c r="AO36" s="32" t="s">
        <v>148</v>
      </c>
      <c r="AP36" s="33"/>
      <c r="AQ36" s="32" t="s">
        <v>148</v>
      </c>
      <c r="AR36" s="33"/>
      <c r="AS36" s="32" t="s">
        <v>148</v>
      </c>
      <c r="AT36" s="33"/>
    </row>
    <row r="37" spans="1:46" x14ac:dyDescent="0.25">
      <c r="A37" s="10" t="s">
        <v>1797</v>
      </c>
      <c r="B37" s="10"/>
      <c r="C37" s="32">
        <v>1346</v>
      </c>
      <c r="D37" s="33">
        <v>0.216051364365971</v>
      </c>
      <c r="E37" s="32">
        <v>1295</v>
      </c>
      <c r="F37" s="33">
        <v>0.23303940975346399</v>
      </c>
      <c r="G37" s="32">
        <v>1432</v>
      </c>
      <c r="H37" s="33">
        <v>0.243910747743144</v>
      </c>
      <c r="I37" s="32">
        <v>1434</v>
      </c>
      <c r="J37" s="33">
        <v>0.24995642321771</v>
      </c>
      <c r="K37" s="32">
        <v>1512</v>
      </c>
      <c r="L37" s="33">
        <v>0.24398902694852401</v>
      </c>
      <c r="M37" s="32">
        <v>1615</v>
      </c>
      <c r="N37" s="33">
        <v>0.262132770654115</v>
      </c>
      <c r="O37" s="32">
        <v>1486</v>
      </c>
      <c r="P37" s="33">
        <v>0.23135606414448101</v>
      </c>
      <c r="Q37" s="32">
        <v>1674</v>
      </c>
      <c r="R37" s="33">
        <v>0.25233644859813098</v>
      </c>
      <c r="S37" s="32">
        <v>1689</v>
      </c>
      <c r="T37" s="33">
        <v>0.28622267412302999</v>
      </c>
      <c r="U37" s="32">
        <v>1740</v>
      </c>
      <c r="V37" s="33">
        <v>0.26699401565137298</v>
      </c>
      <c r="W37" s="32">
        <v>1820</v>
      </c>
      <c r="X37" s="33">
        <v>0.26584867075664598</v>
      </c>
      <c r="Y37" s="32">
        <v>1694</v>
      </c>
      <c r="Z37" s="33">
        <v>0.27156139788393702</v>
      </c>
      <c r="AA37" s="32">
        <v>1835</v>
      </c>
      <c r="AB37" s="33">
        <v>0.27828328783742801</v>
      </c>
      <c r="AC37" s="32">
        <v>1771</v>
      </c>
      <c r="AD37" s="33">
        <v>0.26623571858087802</v>
      </c>
      <c r="AE37" s="32">
        <v>1758</v>
      </c>
      <c r="AF37" s="33">
        <v>0.25705512501827799</v>
      </c>
      <c r="AG37" s="32">
        <v>1871</v>
      </c>
      <c r="AH37" s="33">
        <v>0.30647010647010597</v>
      </c>
      <c r="AI37" s="32">
        <v>1947</v>
      </c>
      <c r="AJ37" s="33">
        <v>0.27870025765817302</v>
      </c>
      <c r="AK37" s="32">
        <v>1857</v>
      </c>
      <c r="AL37" s="33">
        <v>0.26901347240330298</v>
      </c>
      <c r="AM37" s="32">
        <v>1963</v>
      </c>
      <c r="AN37" s="33">
        <v>0.23950707662274301</v>
      </c>
      <c r="AO37" s="32">
        <v>2145</v>
      </c>
      <c r="AP37" s="33">
        <v>0.28803545051698698</v>
      </c>
      <c r="AQ37" s="32">
        <v>2172</v>
      </c>
      <c r="AR37" s="33">
        <v>0.25543925673291801</v>
      </c>
      <c r="AS37" s="32">
        <v>2207</v>
      </c>
      <c r="AT37" s="33">
        <v>0.24290116662997999</v>
      </c>
    </row>
    <row r="38" spans="1:46" x14ac:dyDescent="0.25">
      <c r="A38" s="10" t="s">
        <v>1769</v>
      </c>
      <c r="B38" s="10"/>
      <c r="C38" s="32">
        <v>225</v>
      </c>
      <c r="D38" s="33">
        <v>3.6115569823435001E-2</v>
      </c>
      <c r="E38" s="32">
        <v>202</v>
      </c>
      <c r="F38" s="33">
        <v>3.6350548857297098E-2</v>
      </c>
      <c r="G38" s="32">
        <v>240</v>
      </c>
      <c r="H38" s="33">
        <v>4.0878896269800701E-2</v>
      </c>
      <c r="I38" s="32">
        <v>205</v>
      </c>
      <c r="J38" s="33">
        <v>3.5732961478124499E-2</v>
      </c>
      <c r="K38" s="32">
        <v>253</v>
      </c>
      <c r="L38" s="33">
        <v>4.0826206228820397E-2</v>
      </c>
      <c r="M38" s="32">
        <v>232</v>
      </c>
      <c r="N38" s="33">
        <v>3.7656224638857302E-2</v>
      </c>
      <c r="O38" s="32">
        <v>223</v>
      </c>
      <c r="P38" s="33">
        <v>3.4718978670403203E-2</v>
      </c>
      <c r="Q38" s="32">
        <v>260</v>
      </c>
      <c r="R38" s="33">
        <v>3.9192041000904398E-2</v>
      </c>
      <c r="S38" s="32">
        <v>257</v>
      </c>
      <c r="T38" s="33">
        <v>4.3551940349093397E-2</v>
      </c>
      <c r="U38" s="32">
        <v>276</v>
      </c>
      <c r="V38" s="33">
        <v>4.2350774896424699E-2</v>
      </c>
      <c r="W38" s="32">
        <v>292</v>
      </c>
      <c r="X38" s="33">
        <v>4.26526438796377E-2</v>
      </c>
      <c r="Y38" s="32">
        <v>270</v>
      </c>
      <c r="Z38" s="33">
        <v>4.3283103558832997E-2</v>
      </c>
      <c r="AA38" s="32">
        <v>311</v>
      </c>
      <c r="AB38" s="33">
        <v>4.71640885653625E-2</v>
      </c>
      <c r="AC38" s="32">
        <v>272</v>
      </c>
      <c r="AD38" s="33">
        <v>4.0889957907396302E-2</v>
      </c>
      <c r="AE38" s="32">
        <v>310</v>
      </c>
      <c r="AF38" s="33">
        <v>4.53282643661354E-2</v>
      </c>
      <c r="AG38" s="32">
        <v>304</v>
      </c>
      <c r="AH38" s="33">
        <v>4.9795249795249803E-2</v>
      </c>
      <c r="AI38" s="32">
        <v>337</v>
      </c>
      <c r="AJ38" s="33">
        <v>4.8239335814486098E-2</v>
      </c>
      <c r="AK38" s="32">
        <v>313</v>
      </c>
      <c r="AL38" s="33">
        <v>4.5342604664638603E-2</v>
      </c>
      <c r="AM38" s="32">
        <v>361</v>
      </c>
      <c r="AN38" s="33">
        <v>4.40458760370913E-2</v>
      </c>
      <c r="AO38" s="32">
        <v>342</v>
      </c>
      <c r="AP38" s="33">
        <v>4.5924533369141901E-2</v>
      </c>
      <c r="AQ38" s="32">
        <v>362</v>
      </c>
      <c r="AR38" s="33">
        <v>4.2573209455486302E-2</v>
      </c>
      <c r="AS38" s="32">
        <v>390</v>
      </c>
      <c r="AT38" s="33">
        <v>4.2923178516398902E-2</v>
      </c>
    </row>
    <row r="39" spans="1:46" x14ac:dyDescent="0.25">
      <c r="A39" s="10" t="s">
        <v>1775</v>
      </c>
      <c r="B39" s="10"/>
      <c r="C39" s="32">
        <v>55</v>
      </c>
      <c r="D39" s="33">
        <v>8.8282504012841094E-3</v>
      </c>
      <c r="E39" s="32">
        <v>58</v>
      </c>
      <c r="F39" s="33">
        <v>1.04372863055606E-2</v>
      </c>
      <c r="G39" s="32">
        <v>61</v>
      </c>
      <c r="H39" s="33">
        <v>1.03900528019077E-2</v>
      </c>
      <c r="I39" s="32">
        <v>83</v>
      </c>
      <c r="J39" s="33">
        <v>1.44674917204114E-2</v>
      </c>
      <c r="K39" s="32">
        <v>83</v>
      </c>
      <c r="L39" s="33">
        <v>1.33935775375182E-2</v>
      </c>
      <c r="M39" s="32">
        <v>105</v>
      </c>
      <c r="N39" s="33">
        <v>1.7042687875344902E-2</v>
      </c>
      <c r="O39" s="32">
        <v>113</v>
      </c>
      <c r="P39" s="33">
        <v>1.7593025066168499E-2</v>
      </c>
      <c r="Q39" s="32">
        <v>125</v>
      </c>
      <c r="R39" s="33">
        <v>1.8842327404281E-2</v>
      </c>
      <c r="S39" s="32">
        <v>147</v>
      </c>
      <c r="T39" s="33">
        <v>2.4911032028469799E-2</v>
      </c>
      <c r="U39" s="32">
        <v>143</v>
      </c>
      <c r="V39" s="33">
        <v>2.1942611631118599E-2</v>
      </c>
      <c r="W39" s="32">
        <v>137</v>
      </c>
      <c r="X39" s="33">
        <v>2.0011685655857401E-2</v>
      </c>
      <c r="Y39" s="32">
        <v>164</v>
      </c>
      <c r="Z39" s="33">
        <v>2.6290477717217101E-2</v>
      </c>
      <c r="AA39" s="32">
        <v>171</v>
      </c>
      <c r="AB39" s="33">
        <v>2.59326660600546E-2</v>
      </c>
      <c r="AC39" s="32">
        <v>167</v>
      </c>
      <c r="AD39" s="33">
        <v>2.5105231509320501E-2</v>
      </c>
      <c r="AE39" s="32">
        <v>186</v>
      </c>
      <c r="AF39" s="33">
        <v>2.7196958619681199E-2</v>
      </c>
      <c r="AG39" s="32">
        <v>191</v>
      </c>
      <c r="AH39" s="33">
        <v>3.1285831285831303E-2</v>
      </c>
      <c r="AI39" s="32">
        <v>212</v>
      </c>
      <c r="AJ39" s="33">
        <v>3.03464070999141E-2</v>
      </c>
      <c r="AK39" s="32">
        <v>223</v>
      </c>
      <c r="AL39" s="33">
        <v>3.23047950166594E-2</v>
      </c>
      <c r="AM39" s="32">
        <v>216</v>
      </c>
      <c r="AN39" s="33">
        <v>2.6354319180087901E-2</v>
      </c>
      <c r="AO39" s="32">
        <v>244</v>
      </c>
      <c r="AP39" s="33">
        <v>3.2764871760440399E-2</v>
      </c>
      <c r="AQ39" s="32">
        <v>286</v>
      </c>
      <c r="AR39" s="33">
        <v>3.36351875808538E-2</v>
      </c>
      <c r="AS39" s="32">
        <v>291</v>
      </c>
      <c r="AT39" s="33">
        <v>3.20272947391591E-2</v>
      </c>
    </row>
    <row r="40" spans="1:46" x14ac:dyDescent="0.25">
      <c r="A40" s="10" t="s">
        <v>1786</v>
      </c>
      <c r="B40" s="10"/>
      <c r="C40" s="32">
        <v>246</v>
      </c>
      <c r="D40" s="33">
        <v>3.9486356340288901E-2</v>
      </c>
      <c r="E40" s="32">
        <v>232</v>
      </c>
      <c r="F40" s="33">
        <v>4.1749145222242198E-2</v>
      </c>
      <c r="G40" s="32">
        <v>244</v>
      </c>
      <c r="H40" s="33">
        <v>4.1560211207630697E-2</v>
      </c>
      <c r="I40" s="32">
        <v>248</v>
      </c>
      <c r="J40" s="33">
        <v>4.3228168032072502E-2</v>
      </c>
      <c r="K40" s="32">
        <v>247</v>
      </c>
      <c r="L40" s="33">
        <v>3.9857995804421502E-2</v>
      </c>
      <c r="M40" s="32">
        <v>247</v>
      </c>
      <c r="N40" s="33">
        <v>4.0090894335335199E-2</v>
      </c>
      <c r="O40" s="32">
        <v>226</v>
      </c>
      <c r="P40" s="33">
        <v>3.5186050132336902E-2</v>
      </c>
      <c r="Q40" s="32">
        <v>235</v>
      </c>
      <c r="R40" s="33">
        <v>3.5423575520048198E-2</v>
      </c>
      <c r="S40" s="32">
        <v>230</v>
      </c>
      <c r="T40" s="33">
        <v>3.8976444670394801E-2</v>
      </c>
      <c r="U40" s="32">
        <v>232</v>
      </c>
      <c r="V40" s="33">
        <v>3.5599202086849802E-2</v>
      </c>
      <c r="W40" s="32">
        <v>234</v>
      </c>
      <c r="X40" s="33">
        <v>3.4180543382997398E-2</v>
      </c>
      <c r="Y40" s="32">
        <v>221</v>
      </c>
      <c r="Z40" s="33">
        <v>3.5428021801859597E-2</v>
      </c>
      <c r="AA40" s="32">
        <v>225</v>
      </c>
      <c r="AB40" s="33">
        <v>3.4121929026387603E-2</v>
      </c>
      <c r="AC40" s="32">
        <v>230</v>
      </c>
      <c r="AD40" s="33">
        <v>3.4576067348165998E-2</v>
      </c>
      <c r="AE40" s="32">
        <v>224</v>
      </c>
      <c r="AF40" s="33">
        <v>3.2753326509723603E-2</v>
      </c>
      <c r="AG40" s="32">
        <v>240</v>
      </c>
      <c r="AH40" s="33">
        <v>3.9312039312039297E-2</v>
      </c>
      <c r="AI40" s="32">
        <v>242</v>
      </c>
      <c r="AJ40" s="33">
        <v>3.4640709991411403E-2</v>
      </c>
      <c r="AK40" s="32">
        <v>216</v>
      </c>
      <c r="AL40" s="33">
        <v>3.1290743155149903E-2</v>
      </c>
      <c r="AM40" s="32">
        <v>212</v>
      </c>
      <c r="AN40" s="33">
        <v>2.5866276232308399E-2</v>
      </c>
      <c r="AO40" s="32">
        <v>249</v>
      </c>
      <c r="AP40" s="33">
        <v>3.34362830670068E-2</v>
      </c>
      <c r="AQ40" s="32">
        <v>232</v>
      </c>
      <c r="AR40" s="33">
        <v>2.7284487827825499E-2</v>
      </c>
      <c r="AS40" s="32">
        <v>218</v>
      </c>
      <c r="AT40" s="33">
        <v>2.3992956196346001E-2</v>
      </c>
    </row>
    <row r="41" spans="1:46" x14ac:dyDescent="0.25">
      <c r="A41" s="10" t="s">
        <v>1772</v>
      </c>
      <c r="B41" s="10"/>
      <c r="C41" s="32">
        <v>112</v>
      </c>
      <c r="D41" s="33">
        <v>1.79775280898876E-2</v>
      </c>
      <c r="E41" s="32">
        <v>115</v>
      </c>
      <c r="F41" s="33">
        <v>2.0694619398956299E-2</v>
      </c>
      <c r="G41" s="32">
        <v>120</v>
      </c>
      <c r="H41" s="33">
        <v>2.0439448134900399E-2</v>
      </c>
      <c r="I41" s="32">
        <v>120</v>
      </c>
      <c r="J41" s="33">
        <v>2.0916855499389899E-2</v>
      </c>
      <c r="K41" s="32">
        <v>123</v>
      </c>
      <c r="L41" s="33">
        <v>1.9848313700177499E-2</v>
      </c>
      <c r="M41" s="32">
        <v>126</v>
      </c>
      <c r="N41" s="33">
        <v>2.0451225450413901E-2</v>
      </c>
      <c r="O41" s="32">
        <v>118</v>
      </c>
      <c r="P41" s="33">
        <v>1.8371477502724599E-2</v>
      </c>
      <c r="Q41" s="32">
        <v>133</v>
      </c>
      <c r="R41" s="33">
        <v>2.0048236358154999E-2</v>
      </c>
      <c r="S41" s="32">
        <v>134</v>
      </c>
      <c r="T41" s="33">
        <v>2.2708015590577901E-2</v>
      </c>
      <c r="U41" s="32">
        <v>133</v>
      </c>
      <c r="V41" s="33">
        <v>2.04081632653061E-2</v>
      </c>
      <c r="W41" s="32">
        <v>172</v>
      </c>
      <c r="X41" s="33">
        <v>2.5124160093485198E-2</v>
      </c>
      <c r="Y41" s="32">
        <v>134</v>
      </c>
      <c r="Z41" s="33">
        <v>2.1481243988457799E-2</v>
      </c>
      <c r="AA41" s="32">
        <v>142</v>
      </c>
      <c r="AB41" s="33">
        <v>2.1534728541097999E-2</v>
      </c>
      <c r="AC41" s="32">
        <v>132</v>
      </c>
      <c r="AD41" s="33">
        <v>1.9843656043295299E-2</v>
      </c>
      <c r="AE41" s="32">
        <v>126</v>
      </c>
      <c r="AF41" s="33">
        <v>1.84237461617195E-2</v>
      </c>
      <c r="AG41" s="32">
        <v>152</v>
      </c>
      <c r="AH41" s="33">
        <v>2.4897624897624902E-2</v>
      </c>
      <c r="AI41" s="32">
        <v>143</v>
      </c>
      <c r="AJ41" s="33">
        <v>2.0469510449470402E-2</v>
      </c>
      <c r="AK41" s="32">
        <v>145</v>
      </c>
      <c r="AL41" s="33">
        <v>2.1005359988410799E-2</v>
      </c>
      <c r="AM41" s="32">
        <v>145</v>
      </c>
      <c r="AN41" s="33">
        <v>1.7691556857003399E-2</v>
      </c>
      <c r="AO41" s="32">
        <v>195</v>
      </c>
      <c r="AP41" s="33">
        <v>2.61850409560897E-2</v>
      </c>
      <c r="AQ41" s="32">
        <v>168</v>
      </c>
      <c r="AR41" s="33">
        <v>1.97577325649771E-2</v>
      </c>
      <c r="AS41" s="32">
        <v>192</v>
      </c>
      <c r="AT41" s="33">
        <v>2.1131410961919402E-2</v>
      </c>
    </row>
    <row r="42" spans="1:46" x14ac:dyDescent="0.25">
      <c r="A42" s="10" t="s">
        <v>1798</v>
      </c>
      <c r="B42" s="10"/>
      <c r="C42" s="32" t="s">
        <v>148</v>
      </c>
      <c r="D42" s="33"/>
      <c r="E42" s="32">
        <v>31</v>
      </c>
      <c r="F42" s="33">
        <v>5.5785495771099496E-3</v>
      </c>
      <c r="G42" s="32">
        <v>52</v>
      </c>
      <c r="H42" s="33">
        <v>8.8570941917901509E-3</v>
      </c>
      <c r="I42" s="32">
        <v>61</v>
      </c>
      <c r="J42" s="33">
        <v>1.0632734878856499E-2</v>
      </c>
      <c r="K42" s="32">
        <v>71</v>
      </c>
      <c r="L42" s="33">
        <v>1.1457156688720301E-2</v>
      </c>
      <c r="M42" s="32">
        <v>86</v>
      </c>
      <c r="N42" s="33">
        <v>1.3958772926473E-2</v>
      </c>
      <c r="O42" s="32">
        <v>80</v>
      </c>
      <c r="P42" s="33">
        <v>1.2455238984898E-2</v>
      </c>
      <c r="Q42" s="32">
        <v>103</v>
      </c>
      <c r="R42" s="33">
        <v>1.55260777811275E-2</v>
      </c>
      <c r="S42" s="32">
        <v>106</v>
      </c>
      <c r="T42" s="33">
        <v>1.7963057108964599E-2</v>
      </c>
      <c r="U42" s="32">
        <v>107</v>
      </c>
      <c r="V42" s="33">
        <v>1.6418597514193601E-2</v>
      </c>
      <c r="W42" s="32">
        <v>115</v>
      </c>
      <c r="X42" s="33">
        <v>1.6798130295062799E-2</v>
      </c>
      <c r="Y42" s="32">
        <v>108</v>
      </c>
      <c r="Z42" s="33">
        <v>1.7313241423533202E-2</v>
      </c>
      <c r="AA42" s="32">
        <v>116</v>
      </c>
      <c r="AB42" s="33">
        <v>1.7591750075826501E-2</v>
      </c>
      <c r="AC42" s="32">
        <v>117</v>
      </c>
      <c r="AD42" s="33">
        <v>1.7588695129284401E-2</v>
      </c>
      <c r="AE42" s="32">
        <v>119</v>
      </c>
      <c r="AF42" s="33">
        <v>1.7400204708290699E-2</v>
      </c>
      <c r="AG42" s="32">
        <v>113</v>
      </c>
      <c r="AH42" s="33">
        <v>1.85094185094185E-2</v>
      </c>
      <c r="AI42" s="32">
        <v>131</v>
      </c>
      <c r="AJ42" s="33">
        <v>1.8751789292871499E-2</v>
      </c>
      <c r="AK42" s="32">
        <v>129</v>
      </c>
      <c r="AL42" s="33">
        <v>1.8687527162103399E-2</v>
      </c>
      <c r="AM42" s="32">
        <v>127</v>
      </c>
      <c r="AN42" s="33">
        <v>1.54953635919961E-2</v>
      </c>
      <c r="AO42" s="32">
        <v>138</v>
      </c>
      <c r="AP42" s="33">
        <v>1.8530952061232699E-2</v>
      </c>
      <c r="AQ42" s="32">
        <v>138</v>
      </c>
      <c r="AR42" s="33">
        <v>1.6229566035516899E-2</v>
      </c>
      <c r="AS42" s="32">
        <v>141</v>
      </c>
      <c r="AT42" s="33">
        <v>1.5518379925159601E-2</v>
      </c>
    </row>
    <row r="43" spans="1:46" x14ac:dyDescent="0.25">
      <c r="A43" s="10" t="s">
        <v>1778</v>
      </c>
      <c r="B43" s="10"/>
      <c r="C43" s="32">
        <v>26</v>
      </c>
      <c r="D43" s="33">
        <v>4.1733547351524899E-3</v>
      </c>
      <c r="E43" s="32">
        <v>29</v>
      </c>
      <c r="F43" s="33">
        <v>5.21864315278028E-3</v>
      </c>
      <c r="G43" s="32">
        <v>39</v>
      </c>
      <c r="H43" s="33">
        <v>6.6428206438426196E-3</v>
      </c>
      <c r="I43" s="32">
        <v>38</v>
      </c>
      <c r="J43" s="33">
        <v>6.6236709081401402E-3</v>
      </c>
      <c r="K43" s="32">
        <v>30</v>
      </c>
      <c r="L43" s="33">
        <v>4.8410521219945102E-3</v>
      </c>
      <c r="M43" s="32">
        <v>37</v>
      </c>
      <c r="N43" s="33">
        <v>6.00551858464535E-3</v>
      </c>
      <c r="O43" s="32">
        <v>35</v>
      </c>
      <c r="P43" s="33">
        <v>5.4491670558928897E-3</v>
      </c>
      <c r="Q43" s="32">
        <v>39</v>
      </c>
      <c r="R43" s="33">
        <v>5.8788061501356603E-3</v>
      </c>
      <c r="S43" s="32">
        <v>42</v>
      </c>
      <c r="T43" s="33">
        <v>7.1174377224199302E-3</v>
      </c>
      <c r="U43" s="32">
        <v>46</v>
      </c>
      <c r="V43" s="33">
        <v>7.05846248273746E-3</v>
      </c>
      <c r="W43" s="32">
        <v>55</v>
      </c>
      <c r="X43" s="33">
        <v>8.0338884019865598E-3</v>
      </c>
      <c r="Y43" s="32">
        <v>59</v>
      </c>
      <c r="Z43" s="33">
        <v>9.4581596665597907E-3</v>
      </c>
      <c r="AA43" s="32">
        <v>62</v>
      </c>
      <c r="AB43" s="33">
        <v>9.4024871094934796E-3</v>
      </c>
      <c r="AC43" s="32">
        <v>58</v>
      </c>
      <c r="AD43" s="33">
        <v>8.7191822008418508E-3</v>
      </c>
      <c r="AE43" s="32">
        <v>68</v>
      </c>
      <c r="AF43" s="33">
        <v>9.9429741190232498E-3</v>
      </c>
      <c r="AG43" s="32">
        <v>68</v>
      </c>
      <c r="AH43" s="33">
        <v>1.1138411138411099E-2</v>
      </c>
      <c r="AI43" s="32">
        <v>61</v>
      </c>
      <c r="AJ43" s="33">
        <v>8.7317492127111408E-3</v>
      </c>
      <c r="AK43" s="32">
        <v>73</v>
      </c>
      <c r="AL43" s="33">
        <v>1.05751122700275E-2</v>
      </c>
      <c r="AM43" s="32">
        <v>93</v>
      </c>
      <c r="AN43" s="33">
        <v>1.13469985358712E-2</v>
      </c>
      <c r="AO43" s="32">
        <v>91</v>
      </c>
      <c r="AP43" s="33">
        <v>1.22196857795085E-2</v>
      </c>
      <c r="AQ43" s="32">
        <v>90</v>
      </c>
      <c r="AR43" s="33">
        <v>1.05844995883806E-2</v>
      </c>
      <c r="AS43" s="32">
        <v>136</v>
      </c>
      <c r="AT43" s="33">
        <v>1.49680827646929E-2</v>
      </c>
    </row>
    <row r="44" spans="1:46" x14ac:dyDescent="0.25">
      <c r="A44" s="10" t="s">
        <v>1779</v>
      </c>
      <c r="B44" s="10"/>
      <c r="C44" s="32">
        <v>98</v>
      </c>
      <c r="D44" s="33">
        <v>1.57303370786517E-2</v>
      </c>
      <c r="E44" s="32">
        <v>91</v>
      </c>
      <c r="F44" s="33">
        <v>1.6375742307000202E-2</v>
      </c>
      <c r="G44" s="32">
        <v>101</v>
      </c>
      <c r="H44" s="33">
        <v>1.7203202180207801E-2</v>
      </c>
      <c r="I44" s="32">
        <v>103</v>
      </c>
      <c r="J44" s="33">
        <v>1.7953634303642999E-2</v>
      </c>
      <c r="K44" s="32">
        <v>95</v>
      </c>
      <c r="L44" s="33">
        <v>1.5329998386315999E-2</v>
      </c>
      <c r="M44" s="32">
        <v>93</v>
      </c>
      <c r="N44" s="33">
        <v>1.50949521181626E-2</v>
      </c>
      <c r="O44" s="32">
        <v>87</v>
      </c>
      <c r="P44" s="33">
        <v>1.35450723960766E-2</v>
      </c>
      <c r="Q44" s="32">
        <v>89</v>
      </c>
      <c r="R44" s="33">
        <v>1.3415737111848101E-2</v>
      </c>
      <c r="S44" s="32">
        <v>92</v>
      </c>
      <c r="T44" s="33">
        <v>1.5590577868157899E-2</v>
      </c>
      <c r="U44" s="32">
        <v>90</v>
      </c>
      <c r="V44" s="33">
        <v>1.38100352923124E-2</v>
      </c>
      <c r="W44" s="32">
        <v>95</v>
      </c>
      <c r="X44" s="33">
        <v>1.38767163307041E-2</v>
      </c>
      <c r="Y44" s="32">
        <v>91</v>
      </c>
      <c r="Z44" s="33">
        <v>1.45880089772363E-2</v>
      </c>
      <c r="AA44" s="32">
        <v>104</v>
      </c>
      <c r="AB44" s="33">
        <v>1.5771913861085798E-2</v>
      </c>
      <c r="AC44" s="32">
        <v>101</v>
      </c>
      <c r="AD44" s="33">
        <v>1.51834034876729E-2</v>
      </c>
      <c r="AE44" s="32">
        <v>101</v>
      </c>
      <c r="AF44" s="33">
        <v>1.4768240970902201E-2</v>
      </c>
      <c r="AG44" s="32">
        <v>124</v>
      </c>
      <c r="AH44" s="33">
        <v>2.0311220311220301E-2</v>
      </c>
      <c r="AI44" s="32">
        <v>112</v>
      </c>
      <c r="AJ44" s="33">
        <v>1.6032064128256501E-2</v>
      </c>
      <c r="AK44" s="32">
        <v>118</v>
      </c>
      <c r="AL44" s="33">
        <v>1.7094017094017099E-2</v>
      </c>
      <c r="AM44" s="32">
        <v>128</v>
      </c>
      <c r="AN44" s="33">
        <v>1.56173743289409E-2</v>
      </c>
      <c r="AO44" s="32">
        <v>142</v>
      </c>
      <c r="AP44" s="33">
        <v>1.90680811064858E-2</v>
      </c>
      <c r="AQ44" s="32">
        <v>140</v>
      </c>
      <c r="AR44" s="33">
        <v>1.6464777137480902E-2</v>
      </c>
      <c r="AS44" s="32">
        <v>136</v>
      </c>
      <c r="AT44" s="33">
        <v>1.49680827646929E-2</v>
      </c>
    </row>
    <row r="45" spans="1:46" x14ac:dyDescent="0.25">
      <c r="A45" s="10" t="s">
        <v>1780</v>
      </c>
      <c r="B45" s="10"/>
      <c r="C45" s="32">
        <v>70</v>
      </c>
      <c r="D45" s="33">
        <v>1.1235955056179799E-2</v>
      </c>
      <c r="E45" s="32">
        <v>75</v>
      </c>
      <c r="F45" s="33">
        <v>1.34964909123628E-2</v>
      </c>
      <c r="G45" s="32">
        <v>79</v>
      </c>
      <c r="H45" s="33">
        <v>1.34559700221427E-2</v>
      </c>
      <c r="I45" s="32">
        <v>76</v>
      </c>
      <c r="J45" s="33">
        <v>1.32473418162803E-2</v>
      </c>
      <c r="K45" s="32">
        <v>85</v>
      </c>
      <c r="L45" s="33">
        <v>1.37163143456511E-2</v>
      </c>
      <c r="M45" s="32">
        <v>91</v>
      </c>
      <c r="N45" s="33">
        <v>1.4770329491965601E-2</v>
      </c>
      <c r="O45" s="32">
        <v>94</v>
      </c>
      <c r="P45" s="33">
        <v>1.46349058072552E-2</v>
      </c>
      <c r="Q45" s="32">
        <v>94</v>
      </c>
      <c r="R45" s="33">
        <v>1.41694302080193E-2</v>
      </c>
      <c r="S45" s="32">
        <v>115</v>
      </c>
      <c r="T45" s="33">
        <v>1.9488222335197401E-2</v>
      </c>
      <c r="U45" s="32">
        <v>109</v>
      </c>
      <c r="V45" s="33">
        <v>1.67254871873561E-2</v>
      </c>
      <c r="W45" s="32">
        <v>120</v>
      </c>
      <c r="X45" s="33">
        <v>1.7528483786152502E-2</v>
      </c>
      <c r="Y45" s="32">
        <v>110</v>
      </c>
      <c r="Z45" s="33">
        <v>1.76338570054505E-2</v>
      </c>
      <c r="AA45" s="32">
        <v>128</v>
      </c>
      <c r="AB45" s="33">
        <v>1.94115862905672E-2</v>
      </c>
      <c r="AC45" s="32">
        <v>126</v>
      </c>
      <c r="AD45" s="33">
        <v>1.89416716776909E-2</v>
      </c>
      <c r="AE45" s="32">
        <v>95</v>
      </c>
      <c r="AF45" s="33">
        <v>1.3890919725105999E-2</v>
      </c>
      <c r="AG45" s="32">
        <v>116</v>
      </c>
      <c r="AH45" s="33">
        <v>1.9000819000819E-2</v>
      </c>
      <c r="AI45" s="32">
        <v>134</v>
      </c>
      <c r="AJ45" s="33">
        <v>1.9181219582021201E-2</v>
      </c>
      <c r="AK45" s="32">
        <v>97</v>
      </c>
      <c r="AL45" s="33">
        <v>1.4051861509488599E-2</v>
      </c>
      <c r="AM45" s="32">
        <v>134</v>
      </c>
      <c r="AN45" s="33">
        <v>1.6349438750610099E-2</v>
      </c>
      <c r="AO45" s="32">
        <v>127</v>
      </c>
      <c r="AP45" s="33">
        <v>1.7053847186786601E-2</v>
      </c>
      <c r="AQ45" s="32">
        <v>111</v>
      </c>
      <c r="AR45" s="33">
        <v>1.30542161590027E-2</v>
      </c>
      <c r="AS45" s="32">
        <v>116</v>
      </c>
      <c r="AT45" s="33">
        <v>1.27668941228263E-2</v>
      </c>
    </row>
    <row r="46" spans="1:46" x14ac:dyDescent="0.25">
      <c r="A46" s="10" t="s">
        <v>1783</v>
      </c>
      <c r="B46" s="10"/>
      <c r="C46" s="32">
        <v>94</v>
      </c>
      <c r="D46" s="33">
        <v>1.50882825040128E-2</v>
      </c>
      <c r="E46" s="32">
        <v>92</v>
      </c>
      <c r="F46" s="33">
        <v>1.6555695519165001E-2</v>
      </c>
      <c r="G46" s="32">
        <v>117</v>
      </c>
      <c r="H46" s="33">
        <v>1.9928461931527801E-2</v>
      </c>
      <c r="I46" s="32">
        <v>117</v>
      </c>
      <c r="J46" s="33">
        <v>2.0393934111905199E-2</v>
      </c>
      <c r="K46" s="32">
        <v>102</v>
      </c>
      <c r="L46" s="33">
        <v>1.64595772147813E-2</v>
      </c>
      <c r="M46" s="32">
        <v>122</v>
      </c>
      <c r="N46" s="33">
        <v>1.9801980198019799E-2</v>
      </c>
      <c r="O46" s="32">
        <v>103</v>
      </c>
      <c r="P46" s="33">
        <v>1.60361201930562E-2</v>
      </c>
      <c r="Q46" s="32">
        <v>128</v>
      </c>
      <c r="R46" s="33">
        <v>1.9294543261983699E-2</v>
      </c>
      <c r="S46" s="32">
        <v>112</v>
      </c>
      <c r="T46" s="33">
        <v>1.89798339264531E-2</v>
      </c>
      <c r="U46" s="32">
        <v>147</v>
      </c>
      <c r="V46" s="33">
        <v>2.2556390977443601E-2</v>
      </c>
      <c r="W46" s="32">
        <v>151</v>
      </c>
      <c r="X46" s="33">
        <v>2.2056675430908598E-2</v>
      </c>
      <c r="Y46" s="32">
        <v>116</v>
      </c>
      <c r="Z46" s="33">
        <v>1.85957037512023E-2</v>
      </c>
      <c r="AA46" s="32">
        <v>111</v>
      </c>
      <c r="AB46" s="33">
        <v>1.6833484986351201E-2</v>
      </c>
      <c r="AC46" s="32">
        <v>141</v>
      </c>
      <c r="AD46" s="33">
        <v>2.1196632591701701E-2</v>
      </c>
      <c r="AE46" s="32">
        <v>129</v>
      </c>
      <c r="AF46" s="33">
        <v>1.8862406784617598E-2</v>
      </c>
      <c r="AG46" s="32">
        <v>122</v>
      </c>
      <c r="AH46" s="33">
        <v>1.9983619983619999E-2</v>
      </c>
      <c r="AI46" s="32">
        <v>130</v>
      </c>
      <c r="AJ46" s="33">
        <v>1.8608645863154898E-2</v>
      </c>
      <c r="AK46" s="32">
        <v>136</v>
      </c>
      <c r="AL46" s="33">
        <v>1.97015790236129E-2</v>
      </c>
      <c r="AM46" s="32">
        <v>135</v>
      </c>
      <c r="AN46" s="33">
        <v>1.6471449487554898E-2</v>
      </c>
      <c r="AO46" s="32">
        <v>127</v>
      </c>
      <c r="AP46" s="33">
        <v>1.7053847186786601E-2</v>
      </c>
      <c r="AQ46" s="32">
        <v>150</v>
      </c>
      <c r="AR46" s="33">
        <v>1.7640832647301E-2</v>
      </c>
      <c r="AS46" s="32">
        <v>112</v>
      </c>
      <c r="AT46" s="33">
        <v>1.2326656394453E-2</v>
      </c>
    </row>
    <row r="47" spans="1:46" x14ac:dyDescent="0.25">
      <c r="A47" s="10" t="s">
        <v>1770</v>
      </c>
      <c r="B47" s="10"/>
      <c r="C47" s="32" t="s">
        <v>148</v>
      </c>
      <c r="D47" s="33"/>
      <c r="E47" s="32">
        <v>0</v>
      </c>
      <c r="F47" s="33"/>
      <c r="G47" s="32">
        <v>0</v>
      </c>
      <c r="H47" s="33"/>
      <c r="I47" s="32">
        <v>0</v>
      </c>
      <c r="J47" s="33"/>
      <c r="K47" s="32">
        <v>39</v>
      </c>
      <c r="L47" s="33">
        <v>6.2933677585928702E-3</v>
      </c>
      <c r="M47" s="32">
        <v>102</v>
      </c>
      <c r="N47" s="33">
        <v>1.65557539360493E-2</v>
      </c>
      <c r="O47" s="32">
        <v>99</v>
      </c>
      <c r="P47" s="33">
        <v>1.54133582438113E-2</v>
      </c>
      <c r="Q47" s="32">
        <v>107</v>
      </c>
      <c r="R47" s="33">
        <v>1.6129032258064498E-2</v>
      </c>
      <c r="S47" s="32">
        <v>110</v>
      </c>
      <c r="T47" s="33">
        <v>1.8640908320623598E-2</v>
      </c>
      <c r="U47" s="32">
        <v>111</v>
      </c>
      <c r="V47" s="33">
        <v>1.7032376860518599E-2</v>
      </c>
      <c r="W47" s="32">
        <v>110</v>
      </c>
      <c r="X47" s="33">
        <v>1.6067776803973099E-2</v>
      </c>
      <c r="Y47" s="32">
        <v>101</v>
      </c>
      <c r="Z47" s="33">
        <v>1.6191086886822699E-2</v>
      </c>
      <c r="AA47" s="32">
        <v>107</v>
      </c>
      <c r="AB47" s="33">
        <v>1.6226872914770998E-2</v>
      </c>
      <c r="AC47" s="32">
        <v>98</v>
      </c>
      <c r="AD47" s="33">
        <v>1.4732411304870701E-2</v>
      </c>
      <c r="AE47" s="32">
        <v>96</v>
      </c>
      <c r="AF47" s="33">
        <v>1.4037139932738699E-2</v>
      </c>
      <c r="AG47" s="32">
        <v>98</v>
      </c>
      <c r="AH47" s="33">
        <v>1.6052416052416099E-2</v>
      </c>
      <c r="AI47" s="32">
        <v>105</v>
      </c>
      <c r="AJ47" s="33">
        <v>1.5030060120240499E-2</v>
      </c>
      <c r="AK47" s="32">
        <v>105</v>
      </c>
      <c r="AL47" s="33">
        <v>1.5210777922642299E-2</v>
      </c>
      <c r="AM47" s="32">
        <v>103</v>
      </c>
      <c r="AN47" s="33">
        <v>1.25671059053197E-2</v>
      </c>
      <c r="AO47" s="32">
        <v>101</v>
      </c>
      <c r="AP47" s="33">
        <v>1.3562508392641301E-2</v>
      </c>
      <c r="AQ47" s="32">
        <v>104</v>
      </c>
      <c r="AR47" s="33">
        <v>1.2230977302128699E-2</v>
      </c>
      <c r="AS47" s="32">
        <v>110</v>
      </c>
      <c r="AT47" s="33">
        <v>1.21065375302663E-2</v>
      </c>
    </row>
    <row r="48" spans="1:46" x14ac:dyDescent="0.25">
      <c r="A48" s="10" t="s">
        <v>1774</v>
      </c>
      <c r="B48" s="10"/>
      <c r="C48" s="32" t="s">
        <v>148</v>
      </c>
      <c r="D48" s="33"/>
      <c r="E48" s="32">
        <v>17</v>
      </c>
      <c r="F48" s="33">
        <v>3.0592046068022298E-3</v>
      </c>
      <c r="G48" s="32">
        <v>25</v>
      </c>
      <c r="H48" s="33">
        <v>4.2582183614375702E-3</v>
      </c>
      <c r="I48" s="32">
        <v>47</v>
      </c>
      <c r="J48" s="33">
        <v>8.1924350705943894E-3</v>
      </c>
      <c r="K48" s="32">
        <v>58</v>
      </c>
      <c r="L48" s="33">
        <v>9.35936743585606E-3</v>
      </c>
      <c r="M48" s="32">
        <v>63</v>
      </c>
      <c r="N48" s="33">
        <v>1.02256127252069E-2</v>
      </c>
      <c r="O48" s="32">
        <v>5</v>
      </c>
      <c r="P48" s="33">
        <v>7.78452436556126E-4</v>
      </c>
      <c r="Q48" s="32">
        <v>30</v>
      </c>
      <c r="R48" s="33">
        <v>4.5221585770274303E-3</v>
      </c>
      <c r="S48" s="32">
        <v>50</v>
      </c>
      <c r="T48" s="33">
        <v>8.4731401457380107E-3</v>
      </c>
      <c r="U48" s="32">
        <v>52</v>
      </c>
      <c r="V48" s="33">
        <v>7.9791315022249495E-3</v>
      </c>
      <c r="W48" s="32">
        <v>42</v>
      </c>
      <c r="X48" s="33">
        <v>6.13496932515337E-3</v>
      </c>
      <c r="Y48" s="32">
        <v>60</v>
      </c>
      <c r="Z48" s="33">
        <v>9.6184674575184297E-3</v>
      </c>
      <c r="AA48" s="32">
        <v>61</v>
      </c>
      <c r="AB48" s="33">
        <v>9.2508340915984193E-3</v>
      </c>
      <c r="AC48" s="32">
        <v>65</v>
      </c>
      <c r="AD48" s="33">
        <v>9.7714972940469002E-3</v>
      </c>
      <c r="AE48" s="32">
        <v>68</v>
      </c>
      <c r="AF48" s="33">
        <v>9.9429741190232498E-3</v>
      </c>
      <c r="AG48" s="32">
        <v>90</v>
      </c>
      <c r="AH48" s="33">
        <v>1.4742014742014699E-2</v>
      </c>
      <c r="AI48" s="32">
        <v>89</v>
      </c>
      <c r="AJ48" s="33">
        <v>1.2739765244775301E-2</v>
      </c>
      <c r="AK48" s="32">
        <v>93</v>
      </c>
      <c r="AL48" s="33">
        <v>1.3472403302911801E-2</v>
      </c>
      <c r="AM48" s="32">
        <v>79</v>
      </c>
      <c r="AN48" s="33">
        <v>9.6388482186432391E-3</v>
      </c>
      <c r="AO48" s="32">
        <v>106</v>
      </c>
      <c r="AP48" s="33">
        <v>1.42339196992077E-2</v>
      </c>
      <c r="AQ48" s="32">
        <v>110</v>
      </c>
      <c r="AR48" s="33">
        <v>1.2936610608020699E-2</v>
      </c>
      <c r="AS48" s="32">
        <v>106</v>
      </c>
      <c r="AT48" s="33">
        <v>1.1666299801893E-2</v>
      </c>
    </row>
    <row r="49" spans="1:46" x14ac:dyDescent="0.25">
      <c r="A49" s="10" t="s">
        <v>1777</v>
      </c>
      <c r="B49" s="10"/>
      <c r="C49" s="32">
        <v>52</v>
      </c>
      <c r="D49" s="33">
        <v>8.3467094703049798E-3</v>
      </c>
      <c r="E49" s="32">
        <v>38</v>
      </c>
      <c r="F49" s="33">
        <v>6.8382220622638101E-3</v>
      </c>
      <c r="G49" s="32">
        <v>52</v>
      </c>
      <c r="H49" s="33">
        <v>8.8570941917901509E-3</v>
      </c>
      <c r="I49" s="32">
        <v>57</v>
      </c>
      <c r="J49" s="33">
        <v>9.9355063622102203E-3</v>
      </c>
      <c r="K49" s="32">
        <v>60</v>
      </c>
      <c r="L49" s="33">
        <v>9.6821042439890308E-3</v>
      </c>
      <c r="M49" s="32">
        <v>40</v>
      </c>
      <c r="N49" s="33">
        <v>6.4924525239409203E-3</v>
      </c>
      <c r="O49" s="32">
        <v>52</v>
      </c>
      <c r="P49" s="33">
        <v>8.0959053401837098E-3</v>
      </c>
      <c r="Q49" s="32">
        <v>45</v>
      </c>
      <c r="R49" s="33">
        <v>6.7832378655411502E-3</v>
      </c>
      <c r="S49" s="32">
        <v>30</v>
      </c>
      <c r="T49" s="33">
        <v>5.0838840874428103E-3</v>
      </c>
      <c r="U49" s="32">
        <v>30</v>
      </c>
      <c r="V49" s="33">
        <v>4.6033450974374704E-3</v>
      </c>
      <c r="W49" s="32">
        <v>45</v>
      </c>
      <c r="X49" s="33">
        <v>6.5731814198071899E-3</v>
      </c>
      <c r="Y49" s="32">
        <v>28</v>
      </c>
      <c r="Z49" s="33">
        <v>4.4886181468419403E-3</v>
      </c>
      <c r="AA49" s="32">
        <v>44</v>
      </c>
      <c r="AB49" s="33">
        <v>6.6727327873824698E-3</v>
      </c>
      <c r="AC49" s="32">
        <v>34</v>
      </c>
      <c r="AD49" s="33">
        <v>5.1112447384245299E-3</v>
      </c>
      <c r="AE49" s="32">
        <v>29</v>
      </c>
      <c r="AF49" s="33">
        <v>4.2403860213481503E-3</v>
      </c>
      <c r="AG49" s="32">
        <v>41</v>
      </c>
      <c r="AH49" s="33">
        <v>6.7158067158067198E-3</v>
      </c>
      <c r="AI49" s="32">
        <v>50</v>
      </c>
      <c r="AJ49" s="33">
        <v>7.1571714858288003E-3</v>
      </c>
      <c r="AK49" s="32">
        <v>31</v>
      </c>
      <c r="AL49" s="33">
        <v>4.4908011009705904E-3</v>
      </c>
      <c r="AM49" s="32">
        <v>38</v>
      </c>
      <c r="AN49" s="33">
        <v>4.6364080039043402E-3</v>
      </c>
      <c r="AO49" s="32">
        <v>51</v>
      </c>
      <c r="AP49" s="33">
        <v>6.84839532697731E-3</v>
      </c>
      <c r="AQ49" s="32">
        <v>48</v>
      </c>
      <c r="AR49" s="33">
        <v>5.6450664471363104E-3</v>
      </c>
      <c r="AS49" s="32">
        <v>67</v>
      </c>
      <c r="AT49" s="33">
        <v>7.37398195025314E-3</v>
      </c>
    </row>
    <row r="50" spans="1:46" x14ac:dyDescent="0.25">
      <c r="A50" s="10" t="s">
        <v>1784</v>
      </c>
      <c r="B50" s="10"/>
      <c r="C50" s="32" t="s">
        <v>148</v>
      </c>
      <c r="D50" s="33"/>
      <c r="E50" s="32">
        <v>0</v>
      </c>
      <c r="F50" s="33"/>
      <c r="G50" s="32">
        <v>0</v>
      </c>
      <c r="H50" s="33"/>
      <c r="I50" s="32">
        <v>1</v>
      </c>
      <c r="J50" s="33">
        <v>1.74307129161583E-4</v>
      </c>
      <c r="K50" s="32">
        <v>5</v>
      </c>
      <c r="L50" s="33">
        <v>8.0684202033241901E-4</v>
      </c>
      <c r="M50" s="32">
        <v>7</v>
      </c>
      <c r="N50" s="33">
        <v>1.13617919168966E-3</v>
      </c>
      <c r="O50" s="32">
        <v>46</v>
      </c>
      <c r="P50" s="33">
        <v>7.1617624163163602E-3</v>
      </c>
      <c r="Q50" s="32">
        <v>66</v>
      </c>
      <c r="R50" s="33">
        <v>9.9487488694603599E-3</v>
      </c>
      <c r="S50" s="32">
        <v>70</v>
      </c>
      <c r="T50" s="33">
        <v>1.1862396204033201E-2</v>
      </c>
      <c r="U50" s="32">
        <v>88</v>
      </c>
      <c r="V50" s="33">
        <v>1.3503145619149899E-2</v>
      </c>
      <c r="W50" s="32">
        <v>95</v>
      </c>
      <c r="X50" s="33">
        <v>1.38767163307041E-2</v>
      </c>
      <c r="Y50" s="32">
        <v>76</v>
      </c>
      <c r="Z50" s="33">
        <v>1.2183392112856699E-2</v>
      </c>
      <c r="AA50" s="32">
        <v>82</v>
      </c>
      <c r="AB50" s="33">
        <v>1.24355474673946E-2</v>
      </c>
      <c r="AC50" s="32">
        <v>70</v>
      </c>
      <c r="AD50" s="33">
        <v>1.0523150932050499E-2</v>
      </c>
      <c r="AE50" s="32">
        <v>71</v>
      </c>
      <c r="AF50" s="33">
        <v>1.0381634741921299E-2</v>
      </c>
      <c r="AG50" s="32">
        <v>81</v>
      </c>
      <c r="AH50" s="33">
        <v>1.3267813267813299E-2</v>
      </c>
      <c r="AI50" s="32">
        <v>74</v>
      </c>
      <c r="AJ50" s="33">
        <v>1.0592613799026601E-2</v>
      </c>
      <c r="AK50" s="32">
        <v>73</v>
      </c>
      <c r="AL50" s="33">
        <v>1.05751122700275E-2</v>
      </c>
      <c r="AM50" s="32">
        <v>61</v>
      </c>
      <c r="AN50" s="33">
        <v>7.4426549536359202E-3</v>
      </c>
      <c r="AO50" s="32">
        <v>97</v>
      </c>
      <c r="AP50" s="33">
        <v>1.30253793473882E-2</v>
      </c>
      <c r="AQ50" s="32">
        <v>59</v>
      </c>
      <c r="AR50" s="33">
        <v>6.9387275079383698E-3</v>
      </c>
      <c r="AS50" s="32">
        <v>65</v>
      </c>
      <c r="AT50" s="33">
        <v>7.1538630860664802E-3</v>
      </c>
    </row>
    <row r="51" spans="1:46" x14ac:dyDescent="0.25">
      <c r="A51" s="10" t="s">
        <v>1791</v>
      </c>
      <c r="B51" s="10"/>
      <c r="C51" s="32">
        <v>12</v>
      </c>
      <c r="D51" s="33">
        <v>1.9261637239165301E-3</v>
      </c>
      <c r="E51" s="32">
        <v>17</v>
      </c>
      <c r="F51" s="33">
        <v>3.0592046068022298E-3</v>
      </c>
      <c r="G51" s="32">
        <v>20</v>
      </c>
      <c r="H51" s="33">
        <v>3.4065746891500598E-3</v>
      </c>
      <c r="I51" s="32">
        <v>20</v>
      </c>
      <c r="J51" s="33">
        <v>3.4861425832316498E-3</v>
      </c>
      <c r="K51" s="32">
        <v>23</v>
      </c>
      <c r="L51" s="33">
        <v>3.7114732935291301E-3</v>
      </c>
      <c r="M51" s="32">
        <v>29</v>
      </c>
      <c r="N51" s="33">
        <v>4.7070280798571697E-3</v>
      </c>
      <c r="O51" s="32">
        <v>27</v>
      </c>
      <c r="P51" s="33">
        <v>4.2036431574030801E-3</v>
      </c>
      <c r="Q51" s="32">
        <v>29</v>
      </c>
      <c r="R51" s="33">
        <v>4.3714199577931899E-3</v>
      </c>
      <c r="S51" s="32">
        <v>33</v>
      </c>
      <c r="T51" s="33">
        <v>5.5922724961870902E-3</v>
      </c>
      <c r="U51" s="32">
        <v>34</v>
      </c>
      <c r="V51" s="33">
        <v>5.2171244437624704E-3</v>
      </c>
      <c r="W51" s="32">
        <v>26</v>
      </c>
      <c r="X51" s="33">
        <v>3.79783815366637E-3</v>
      </c>
      <c r="Y51" s="32">
        <v>29</v>
      </c>
      <c r="Z51" s="33">
        <v>4.6489259378005802E-3</v>
      </c>
      <c r="AA51" s="32">
        <v>32</v>
      </c>
      <c r="AB51" s="33">
        <v>4.8528965726418001E-3</v>
      </c>
      <c r="AC51" s="32">
        <v>39</v>
      </c>
      <c r="AD51" s="33">
        <v>5.8628983764281396E-3</v>
      </c>
      <c r="AE51" s="32">
        <v>29</v>
      </c>
      <c r="AF51" s="33">
        <v>4.2403860213481503E-3</v>
      </c>
      <c r="AG51" s="32">
        <v>33</v>
      </c>
      <c r="AH51" s="33">
        <v>5.40540540540541E-3</v>
      </c>
      <c r="AI51" s="32">
        <v>33</v>
      </c>
      <c r="AJ51" s="33">
        <v>4.7237331806470103E-3</v>
      </c>
      <c r="AK51" s="32">
        <v>36</v>
      </c>
      <c r="AL51" s="33">
        <v>5.21512385919166E-3</v>
      </c>
      <c r="AM51" s="32">
        <v>32</v>
      </c>
      <c r="AN51" s="33">
        <v>3.9043435822352398E-3</v>
      </c>
      <c r="AO51" s="32">
        <v>40</v>
      </c>
      <c r="AP51" s="33">
        <v>5.3712904525312199E-3</v>
      </c>
      <c r="AQ51" s="32">
        <v>38</v>
      </c>
      <c r="AR51" s="33">
        <v>4.4690109373162401E-3</v>
      </c>
      <c r="AS51" s="32">
        <v>36</v>
      </c>
      <c r="AT51" s="33">
        <v>3.96213955535989E-3</v>
      </c>
    </row>
    <row r="52" spans="1:46" x14ac:dyDescent="0.25">
      <c r="A52" s="10" t="s">
        <v>1799</v>
      </c>
      <c r="B52" s="10"/>
      <c r="C52" s="32" t="s">
        <v>148</v>
      </c>
      <c r="D52" s="33"/>
      <c r="E52" s="32" t="s">
        <v>148</v>
      </c>
      <c r="F52" s="33"/>
      <c r="G52" s="32" t="s">
        <v>148</v>
      </c>
      <c r="H52" s="33"/>
      <c r="I52" s="32" t="s">
        <v>148</v>
      </c>
      <c r="J52" s="33"/>
      <c r="K52" s="32" t="s">
        <v>148</v>
      </c>
      <c r="L52" s="33"/>
      <c r="M52" s="32" t="s">
        <v>148</v>
      </c>
      <c r="N52" s="33"/>
      <c r="O52" s="32" t="s">
        <v>148</v>
      </c>
      <c r="P52" s="33"/>
      <c r="Q52" s="32" t="s">
        <v>148</v>
      </c>
      <c r="R52" s="33"/>
      <c r="S52" s="32">
        <v>0</v>
      </c>
      <c r="T52" s="33"/>
      <c r="U52" s="32">
        <v>0</v>
      </c>
      <c r="V52" s="33"/>
      <c r="W52" s="32">
        <v>5</v>
      </c>
      <c r="X52" s="33">
        <v>7.3035349108968703E-4</v>
      </c>
      <c r="Y52" s="32">
        <v>14</v>
      </c>
      <c r="Z52" s="33">
        <v>2.2443090734209701E-3</v>
      </c>
      <c r="AA52" s="32">
        <v>26</v>
      </c>
      <c r="AB52" s="33">
        <v>3.94297846527146E-3</v>
      </c>
      <c r="AC52" s="32">
        <v>14</v>
      </c>
      <c r="AD52" s="33">
        <v>2.1046301864101002E-3</v>
      </c>
      <c r="AE52" s="32">
        <v>9</v>
      </c>
      <c r="AF52" s="33">
        <v>1.3159818686942499E-3</v>
      </c>
      <c r="AG52" s="32">
        <v>26</v>
      </c>
      <c r="AH52" s="33">
        <v>4.2588042588042599E-3</v>
      </c>
      <c r="AI52" s="32">
        <v>27</v>
      </c>
      <c r="AJ52" s="33">
        <v>3.86487260234755E-3</v>
      </c>
      <c r="AK52" s="32">
        <v>4</v>
      </c>
      <c r="AL52" s="33">
        <v>5.7945820657685104E-4</v>
      </c>
      <c r="AM52" s="32">
        <v>26</v>
      </c>
      <c r="AN52" s="33">
        <v>3.1722791605661299E-3</v>
      </c>
      <c r="AO52" s="32">
        <v>29</v>
      </c>
      <c r="AP52" s="33">
        <v>3.8941855780851302E-3</v>
      </c>
      <c r="AQ52" s="32">
        <v>45</v>
      </c>
      <c r="AR52" s="33">
        <v>5.2922497941902897E-3</v>
      </c>
      <c r="AS52" s="32">
        <v>32</v>
      </c>
      <c r="AT52" s="33">
        <v>3.52190182698657E-3</v>
      </c>
    </row>
    <row r="53" spans="1:46" x14ac:dyDescent="0.25">
      <c r="A53" s="10" t="s">
        <v>1788</v>
      </c>
      <c r="B53" s="10"/>
      <c r="C53" s="32">
        <v>157</v>
      </c>
      <c r="D53" s="33">
        <v>2.5200642054574601E-2</v>
      </c>
      <c r="E53" s="32">
        <v>128</v>
      </c>
      <c r="F53" s="33">
        <v>2.3034011157099198E-2</v>
      </c>
      <c r="G53" s="32">
        <v>105</v>
      </c>
      <c r="H53" s="33">
        <v>1.7884517118037801E-2</v>
      </c>
      <c r="I53" s="32">
        <v>92</v>
      </c>
      <c r="J53" s="33">
        <v>1.6036255882865599E-2</v>
      </c>
      <c r="K53" s="32">
        <v>82</v>
      </c>
      <c r="L53" s="33">
        <v>1.3232209133451699E-2</v>
      </c>
      <c r="M53" s="32">
        <v>75</v>
      </c>
      <c r="N53" s="33">
        <v>1.21733484823892E-2</v>
      </c>
      <c r="O53" s="32">
        <v>71</v>
      </c>
      <c r="P53" s="33">
        <v>1.1054024599097E-2</v>
      </c>
      <c r="Q53" s="32">
        <v>73</v>
      </c>
      <c r="R53" s="33">
        <v>1.1003919204100101E-2</v>
      </c>
      <c r="S53" s="32">
        <v>61</v>
      </c>
      <c r="T53" s="33">
        <v>1.0337230977800401E-2</v>
      </c>
      <c r="U53" s="32">
        <v>52</v>
      </c>
      <c r="V53" s="33">
        <v>7.9791315022249495E-3</v>
      </c>
      <c r="W53" s="32">
        <v>52</v>
      </c>
      <c r="X53" s="33">
        <v>7.5956763073327504E-3</v>
      </c>
      <c r="Y53" s="32">
        <v>44</v>
      </c>
      <c r="Z53" s="33">
        <v>7.0535428021801898E-3</v>
      </c>
      <c r="AA53" s="32">
        <v>47</v>
      </c>
      <c r="AB53" s="33">
        <v>7.1276918410676402E-3</v>
      </c>
      <c r="AC53" s="32">
        <v>42</v>
      </c>
      <c r="AD53" s="33">
        <v>6.3138905592303096E-3</v>
      </c>
      <c r="AE53" s="32">
        <v>34</v>
      </c>
      <c r="AF53" s="33">
        <v>4.9714870595116197E-3</v>
      </c>
      <c r="AG53" s="32">
        <v>38</v>
      </c>
      <c r="AH53" s="33">
        <v>6.2244062244062202E-3</v>
      </c>
      <c r="AI53" s="32">
        <v>37</v>
      </c>
      <c r="AJ53" s="33">
        <v>5.2963068995133099E-3</v>
      </c>
      <c r="AK53" s="32">
        <v>32</v>
      </c>
      <c r="AL53" s="33">
        <v>4.6356656526147996E-3</v>
      </c>
      <c r="AM53" s="32">
        <v>31</v>
      </c>
      <c r="AN53" s="33">
        <v>3.78233284529039E-3</v>
      </c>
      <c r="AO53" s="32">
        <v>31</v>
      </c>
      <c r="AP53" s="33">
        <v>4.1627501007117E-3</v>
      </c>
      <c r="AQ53" s="32">
        <v>26</v>
      </c>
      <c r="AR53" s="33">
        <v>3.0577443255321701E-3</v>
      </c>
      <c r="AS53" s="32">
        <v>26</v>
      </c>
      <c r="AT53" s="33">
        <v>2.8615452344265902E-3</v>
      </c>
    </row>
    <row r="54" spans="1:46" x14ac:dyDescent="0.25">
      <c r="A54" s="10" t="s">
        <v>1800</v>
      </c>
      <c r="B54" s="10"/>
      <c r="C54" s="32" t="s">
        <v>148</v>
      </c>
      <c r="D54" s="33"/>
      <c r="E54" s="32" t="s">
        <v>148</v>
      </c>
      <c r="F54" s="33"/>
      <c r="G54" s="32" t="s">
        <v>148</v>
      </c>
      <c r="H54" s="33"/>
      <c r="I54" s="32" t="s">
        <v>148</v>
      </c>
      <c r="J54" s="33"/>
      <c r="K54" s="32">
        <v>0</v>
      </c>
      <c r="L54" s="33"/>
      <c r="M54" s="32" t="s">
        <v>148</v>
      </c>
      <c r="N54" s="33"/>
      <c r="O54" s="32" t="s">
        <v>148</v>
      </c>
      <c r="P54" s="33"/>
      <c r="Q54" s="32">
        <v>0</v>
      </c>
      <c r="R54" s="33"/>
      <c r="S54" s="32">
        <v>0</v>
      </c>
      <c r="T54" s="33"/>
      <c r="U54" s="32">
        <v>0</v>
      </c>
      <c r="V54" s="33"/>
      <c r="W54" s="32">
        <v>2</v>
      </c>
      <c r="X54" s="33">
        <v>2.9214139643587501E-4</v>
      </c>
      <c r="Y54" s="32">
        <v>3</v>
      </c>
      <c r="Z54" s="33">
        <v>4.80923372875922E-4</v>
      </c>
      <c r="AA54" s="32">
        <v>4</v>
      </c>
      <c r="AB54" s="33">
        <v>6.0661207158022403E-4</v>
      </c>
      <c r="AC54" s="32">
        <v>4</v>
      </c>
      <c r="AD54" s="33">
        <v>6.0132291040288605E-4</v>
      </c>
      <c r="AE54" s="32">
        <v>5</v>
      </c>
      <c r="AF54" s="33">
        <v>7.3110103816347396E-4</v>
      </c>
      <c r="AG54" s="32">
        <v>5</v>
      </c>
      <c r="AH54" s="33">
        <v>8.1900081900081905E-4</v>
      </c>
      <c r="AI54" s="32">
        <v>4</v>
      </c>
      <c r="AJ54" s="33">
        <v>5.7257371886630399E-4</v>
      </c>
      <c r="AK54" s="32">
        <v>6</v>
      </c>
      <c r="AL54" s="33">
        <v>8.6918730986527601E-4</v>
      </c>
      <c r="AM54" s="32">
        <v>5</v>
      </c>
      <c r="AN54" s="33">
        <v>6.1005368472425597E-4</v>
      </c>
      <c r="AO54" s="32">
        <v>5</v>
      </c>
      <c r="AP54" s="33">
        <v>6.7141130656640303E-4</v>
      </c>
      <c r="AQ54" s="32">
        <v>5</v>
      </c>
      <c r="AR54" s="33">
        <v>5.8802775491003203E-4</v>
      </c>
      <c r="AS54" s="32">
        <v>9</v>
      </c>
      <c r="AT54" s="33">
        <v>9.9053488883997401E-4</v>
      </c>
    </row>
    <row r="55" spans="1:46" x14ac:dyDescent="0.25">
      <c r="A55" s="10" t="s">
        <v>1785</v>
      </c>
      <c r="B55" s="10"/>
      <c r="C55" s="32" t="s">
        <v>148</v>
      </c>
      <c r="D55" s="33"/>
      <c r="E55" s="32" t="s">
        <v>148</v>
      </c>
      <c r="F55" s="33"/>
      <c r="G55" s="32" t="s">
        <v>148</v>
      </c>
      <c r="H55" s="33"/>
      <c r="I55" s="32" t="s">
        <v>148</v>
      </c>
      <c r="J55" s="33"/>
      <c r="K55" s="32" t="s">
        <v>148</v>
      </c>
      <c r="L55" s="33"/>
      <c r="M55" s="32" t="s">
        <v>148</v>
      </c>
      <c r="N55" s="33"/>
      <c r="O55" s="32" t="s">
        <v>148</v>
      </c>
      <c r="P55" s="33"/>
      <c r="Q55" s="32" t="s">
        <v>148</v>
      </c>
      <c r="R55" s="33"/>
      <c r="S55" s="32" t="s">
        <v>148</v>
      </c>
      <c r="T55" s="33"/>
      <c r="U55" s="32" t="s">
        <v>148</v>
      </c>
      <c r="V55" s="33"/>
      <c r="W55" s="32" t="s">
        <v>148</v>
      </c>
      <c r="X55" s="33"/>
      <c r="Y55" s="32" t="s">
        <v>148</v>
      </c>
      <c r="Z55" s="33"/>
      <c r="AA55" s="32" t="s">
        <v>148</v>
      </c>
      <c r="AB55" s="33"/>
      <c r="AC55" s="32" t="s">
        <v>148</v>
      </c>
      <c r="AD55" s="33"/>
      <c r="AE55" s="32" t="s">
        <v>148</v>
      </c>
      <c r="AF55" s="33"/>
      <c r="AG55" s="32" t="s">
        <v>148</v>
      </c>
      <c r="AH55" s="33"/>
      <c r="AI55" s="32" t="s">
        <v>148</v>
      </c>
      <c r="AJ55" s="33"/>
      <c r="AK55" s="32" t="s">
        <v>148</v>
      </c>
      <c r="AL55" s="33"/>
      <c r="AM55" s="32">
        <v>5</v>
      </c>
      <c r="AN55" s="33">
        <v>6.1005368472425597E-4</v>
      </c>
      <c r="AO55" s="32">
        <v>10</v>
      </c>
      <c r="AP55" s="33">
        <v>1.34282261313281E-3</v>
      </c>
      <c r="AQ55" s="32">
        <v>32</v>
      </c>
      <c r="AR55" s="33">
        <v>3.7633776314241999E-3</v>
      </c>
      <c r="AS55" s="32">
        <v>8</v>
      </c>
      <c r="AT55" s="33">
        <v>8.8047545674664303E-4</v>
      </c>
    </row>
    <row r="56" spans="1:46" x14ac:dyDescent="0.25">
      <c r="A56" s="10" t="s">
        <v>1768</v>
      </c>
      <c r="B56" s="10"/>
      <c r="C56" s="32">
        <v>52</v>
      </c>
      <c r="D56" s="33">
        <v>8.3467094703049798E-3</v>
      </c>
      <c r="E56" s="32">
        <v>45</v>
      </c>
      <c r="F56" s="33">
        <v>8.0978945474176698E-3</v>
      </c>
      <c r="G56" s="32">
        <v>48</v>
      </c>
      <c r="H56" s="33">
        <v>8.1757792539601404E-3</v>
      </c>
      <c r="I56" s="32">
        <v>43</v>
      </c>
      <c r="J56" s="33">
        <v>7.4952065539480601E-3</v>
      </c>
      <c r="K56" s="32">
        <v>40</v>
      </c>
      <c r="L56" s="33">
        <v>6.4547361626593504E-3</v>
      </c>
      <c r="M56" s="32">
        <v>36</v>
      </c>
      <c r="N56" s="33">
        <v>5.8432072715468297E-3</v>
      </c>
      <c r="O56" s="32">
        <v>36</v>
      </c>
      <c r="P56" s="33">
        <v>5.6048575432041097E-3</v>
      </c>
      <c r="Q56" s="32">
        <v>36</v>
      </c>
      <c r="R56" s="33">
        <v>5.4265902924329201E-3</v>
      </c>
      <c r="S56" s="32">
        <v>30</v>
      </c>
      <c r="T56" s="33">
        <v>5.0838840874428103E-3</v>
      </c>
      <c r="U56" s="32">
        <v>31</v>
      </c>
      <c r="V56" s="33">
        <v>4.75678993401872E-3</v>
      </c>
      <c r="W56" s="32">
        <v>26</v>
      </c>
      <c r="X56" s="33">
        <v>3.79783815366637E-3</v>
      </c>
      <c r="Y56" s="32">
        <v>19</v>
      </c>
      <c r="Z56" s="33">
        <v>3.04584802821417E-3</v>
      </c>
      <c r="AA56" s="32">
        <v>15</v>
      </c>
      <c r="AB56" s="33">
        <v>2.2747952684258402E-3</v>
      </c>
      <c r="AC56" s="32">
        <v>20</v>
      </c>
      <c r="AD56" s="33">
        <v>3.0066145520144302E-3</v>
      </c>
      <c r="AE56" s="32">
        <v>19</v>
      </c>
      <c r="AF56" s="33">
        <v>2.7781839450211998E-3</v>
      </c>
      <c r="AG56" s="32">
        <v>15</v>
      </c>
      <c r="AH56" s="33">
        <v>2.45700245700246E-3</v>
      </c>
      <c r="AI56" s="32">
        <v>13</v>
      </c>
      <c r="AJ56" s="33">
        <v>1.8608645863154899E-3</v>
      </c>
      <c r="AK56" s="32">
        <v>9</v>
      </c>
      <c r="AL56" s="33">
        <v>1.30378096479791E-3</v>
      </c>
      <c r="AM56" s="32">
        <v>10</v>
      </c>
      <c r="AN56" s="33">
        <v>1.22010736944851E-3</v>
      </c>
      <c r="AO56" s="32">
        <v>6</v>
      </c>
      <c r="AP56" s="33">
        <v>8.0569356787968296E-4</v>
      </c>
      <c r="AQ56" s="32">
        <v>8</v>
      </c>
      <c r="AR56" s="33">
        <v>9.4084440785605105E-4</v>
      </c>
      <c r="AS56" s="32">
        <v>7</v>
      </c>
      <c r="AT56" s="33">
        <v>7.7041602465331303E-4</v>
      </c>
    </row>
    <row r="57" spans="1:46" x14ac:dyDescent="0.25">
      <c r="A57" s="10" t="s">
        <v>1787</v>
      </c>
      <c r="B57" s="10"/>
      <c r="C57" s="32" t="s">
        <v>148</v>
      </c>
      <c r="D57" s="33"/>
      <c r="E57" s="32" t="s">
        <v>148</v>
      </c>
      <c r="F57" s="33"/>
      <c r="G57" s="32" t="s">
        <v>148</v>
      </c>
      <c r="H57" s="33"/>
      <c r="I57" s="32" t="s">
        <v>148</v>
      </c>
      <c r="J57" s="33"/>
      <c r="K57" s="32" t="s">
        <v>148</v>
      </c>
      <c r="L57" s="33"/>
      <c r="M57" s="32" t="s">
        <v>148</v>
      </c>
      <c r="N57" s="33"/>
      <c r="O57" s="32" t="s">
        <v>148</v>
      </c>
      <c r="P57" s="33"/>
      <c r="Q57" s="32" t="s">
        <v>148</v>
      </c>
      <c r="R57" s="33"/>
      <c r="S57" s="32" t="s">
        <v>148</v>
      </c>
      <c r="T57" s="33"/>
      <c r="U57" s="32" t="s">
        <v>148</v>
      </c>
      <c r="V57" s="33"/>
      <c r="W57" s="32" t="s">
        <v>148</v>
      </c>
      <c r="X57" s="33"/>
      <c r="Y57" s="32" t="s">
        <v>148</v>
      </c>
      <c r="Z57" s="33"/>
      <c r="AA57" s="32" t="s">
        <v>148</v>
      </c>
      <c r="AB57" s="33"/>
      <c r="AC57" s="32" t="s">
        <v>148</v>
      </c>
      <c r="AD57" s="33"/>
      <c r="AE57" s="32" t="s">
        <v>148</v>
      </c>
      <c r="AF57" s="33"/>
      <c r="AG57" s="32">
        <v>0</v>
      </c>
      <c r="AH57" s="33"/>
      <c r="AI57" s="32">
        <v>1</v>
      </c>
      <c r="AJ57" s="33">
        <v>1.43143429716576E-4</v>
      </c>
      <c r="AK57" s="32">
        <v>5</v>
      </c>
      <c r="AL57" s="33">
        <v>7.2432275822106298E-4</v>
      </c>
      <c r="AM57" s="32">
        <v>2</v>
      </c>
      <c r="AN57" s="33">
        <v>2.44021473889702E-4</v>
      </c>
      <c r="AO57" s="32">
        <v>6</v>
      </c>
      <c r="AP57" s="33">
        <v>8.0569356787968296E-4</v>
      </c>
      <c r="AQ57" s="32">
        <v>6</v>
      </c>
      <c r="AR57" s="33">
        <v>7.0563330589203804E-4</v>
      </c>
      <c r="AS57" s="32">
        <v>5</v>
      </c>
      <c r="AT57" s="33">
        <v>5.5029716046665195E-4</v>
      </c>
    </row>
    <row r="58" spans="1:46" x14ac:dyDescent="0.25">
      <c r="A58" s="10" t="s">
        <v>1771</v>
      </c>
      <c r="B58" s="10"/>
      <c r="C58" s="32" t="s">
        <v>148</v>
      </c>
      <c r="D58" s="33"/>
      <c r="E58" s="32" t="s">
        <v>148</v>
      </c>
      <c r="F58" s="33"/>
      <c r="G58" s="32" t="s">
        <v>148</v>
      </c>
      <c r="H58" s="33"/>
      <c r="I58" s="32" t="s">
        <v>148</v>
      </c>
      <c r="J58" s="33"/>
      <c r="K58" s="32" t="s">
        <v>148</v>
      </c>
      <c r="L58" s="33"/>
      <c r="M58" s="32" t="s">
        <v>148</v>
      </c>
      <c r="N58" s="33"/>
      <c r="O58" s="32" t="s">
        <v>148</v>
      </c>
      <c r="P58" s="33"/>
      <c r="Q58" s="32" t="s">
        <v>148</v>
      </c>
      <c r="R58" s="33"/>
      <c r="S58" s="32" t="s">
        <v>148</v>
      </c>
      <c r="T58" s="33"/>
      <c r="U58" s="32" t="s">
        <v>148</v>
      </c>
      <c r="V58" s="33"/>
      <c r="W58" s="32" t="s">
        <v>148</v>
      </c>
      <c r="X58" s="33"/>
      <c r="Y58" s="32" t="s">
        <v>148</v>
      </c>
      <c r="Z58" s="33"/>
      <c r="AA58" s="32" t="s">
        <v>148</v>
      </c>
      <c r="AB58" s="33"/>
      <c r="AC58" s="32" t="s">
        <v>148</v>
      </c>
      <c r="AD58" s="33"/>
      <c r="AE58" s="32" t="s">
        <v>148</v>
      </c>
      <c r="AF58" s="33"/>
      <c r="AG58" s="32" t="s">
        <v>148</v>
      </c>
      <c r="AH58" s="33"/>
      <c r="AI58" s="32" t="s">
        <v>148</v>
      </c>
      <c r="AJ58" s="33"/>
      <c r="AK58" s="32" t="s">
        <v>148</v>
      </c>
      <c r="AL58" s="33"/>
      <c r="AM58" s="32">
        <v>7</v>
      </c>
      <c r="AN58" s="33">
        <v>8.5407515861395805E-4</v>
      </c>
      <c r="AO58" s="32">
        <v>5</v>
      </c>
      <c r="AP58" s="33">
        <v>6.7141130656640303E-4</v>
      </c>
      <c r="AQ58" s="32">
        <v>6</v>
      </c>
      <c r="AR58" s="33">
        <v>7.0563330589203804E-4</v>
      </c>
      <c r="AS58" s="32">
        <v>4</v>
      </c>
      <c r="AT58" s="33">
        <v>4.40237728373322E-4</v>
      </c>
    </row>
    <row r="59" spans="1:46" x14ac:dyDescent="0.25">
      <c r="A59" s="10" t="s">
        <v>1789</v>
      </c>
      <c r="B59" s="10"/>
      <c r="C59" s="32" t="s">
        <v>148</v>
      </c>
      <c r="D59" s="33"/>
      <c r="E59" s="32" t="s">
        <v>148</v>
      </c>
      <c r="F59" s="33"/>
      <c r="G59" s="32" t="s">
        <v>148</v>
      </c>
      <c r="H59" s="33"/>
      <c r="I59" s="32" t="s">
        <v>148</v>
      </c>
      <c r="J59" s="33"/>
      <c r="K59" s="32" t="s">
        <v>148</v>
      </c>
      <c r="L59" s="33"/>
      <c r="M59" s="32" t="s">
        <v>148</v>
      </c>
      <c r="N59" s="33"/>
      <c r="O59" s="32" t="s">
        <v>148</v>
      </c>
      <c r="P59" s="33"/>
      <c r="Q59" s="32" t="s">
        <v>148</v>
      </c>
      <c r="R59" s="33"/>
      <c r="S59" s="32" t="s">
        <v>148</v>
      </c>
      <c r="T59" s="33"/>
      <c r="U59" s="32" t="s">
        <v>148</v>
      </c>
      <c r="V59" s="33"/>
      <c r="W59" s="32" t="s">
        <v>148</v>
      </c>
      <c r="X59" s="33"/>
      <c r="Y59" s="32" t="s">
        <v>148</v>
      </c>
      <c r="Z59" s="33"/>
      <c r="AA59" s="32" t="s">
        <v>148</v>
      </c>
      <c r="AB59" s="33"/>
      <c r="AC59" s="32" t="s">
        <v>148</v>
      </c>
      <c r="AD59" s="33"/>
      <c r="AE59" s="32" t="s">
        <v>148</v>
      </c>
      <c r="AF59" s="33"/>
      <c r="AG59" s="32" t="s">
        <v>148</v>
      </c>
      <c r="AH59" s="33"/>
      <c r="AI59" s="32" t="s">
        <v>148</v>
      </c>
      <c r="AJ59" s="33"/>
      <c r="AK59" s="32" t="s">
        <v>148</v>
      </c>
      <c r="AL59" s="33"/>
      <c r="AM59" s="32" t="s">
        <v>148</v>
      </c>
      <c r="AN59" s="33"/>
      <c r="AO59" s="32" t="s">
        <v>148</v>
      </c>
      <c r="AP59" s="33"/>
      <c r="AQ59" s="32" t="s">
        <v>148</v>
      </c>
      <c r="AR59" s="33"/>
      <c r="AS59" s="32">
        <v>0</v>
      </c>
      <c r="AT59" s="33"/>
    </row>
    <row r="60" spans="1:46" x14ac:dyDescent="0.25">
      <c r="A60" s="10" t="s">
        <v>1773</v>
      </c>
      <c r="B60" s="10"/>
      <c r="C60" s="32" t="s">
        <v>148</v>
      </c>
      <c r="D60" s="33"/>
      <c r="E60" s="32" t="s">
        <v>148</v>
      </c>
      <c r="F60" s="33"/>
      <c r="G60" s="32" t="s">
        <v>148</v>
      </c>
      <c r="H60" s="33"/>
      <c r="I60" s="32" t="s">
        <v>148</v>
      </c>
      <c r="J60" s="33"/>
      <c r="K60" s="32" t="s">
        <v>148</v>
      </c>
      <c r="L60" s="33"/>
      <c r="M60" s="32" t="s">
        <v>148</v>
      </c>
      <c r="N60" s="33"/>
      <c r="O60" s="32" t="s">
        <v>148</v>
      </c>
      <c r="P60" s="33"/>
      <c r="Q60" s="32" t="s">
        <v>148</v>
      </c>
      <c r="R60" s="33"/>
      <c r="S60" s="32" t="s">
        <v>148</v>
      </c>
      <c r="T60" s="33"/>
      <c r="U60" s="32" t="s">
        <v>148</v>
      </c>
      <c r="V60" s="33"/>
      <c r="W60" s="32" t="s">
        <v>148</v>
      </c>
      <c r="X60" s="33"/>
      <c r="Y60" s="32" t="s">
        <v>148</v>
      </c>
      <c r="Z60" s="33"/>
      <c r="AA60" s="32" t="s">
        <v>148</v>
      </c>
      <c r="AB60" s="33"/>
      <c r="AC60" s="32" t="s">
        <v>148</v>
      </c>
      <c r="AD60" s="33"/>
      <c r="AE60" s="32" t="s">
        <v>148</v>
      </c>
      <c r="AF60" s="33"/>
      <c r="AG60" s="32" t="s">
        <v>148</v>
      </c>
      <c r="AH60" s="33"/>
      <c r="AI60" s="32" t="s">
        <v>148</v>
      </c>
      <c r="AJ60" s="33"/>
      <c r="AK60" s="32" t="s">
        <v>148</v>
      </c>
      <c r="AL60" s="33"/>
      <c r="AM60" s="32">
        <v>0</v>
      </c>
      <c r="AN60" s="33"/>
      <c r="AO60" s="32">
        <v>0</v>
      </c>
      <c r="AP60" s="33"/>
      <c r="AQ60" s="32">
        <v>0</v>
      </c>
      <c r="AR60" s="33"/>
      <c r="AS60" s="32">
        <v>0</v>
      </c>
      <c r="AT60" s="33"/>
    </row>
    <row r="61" spans="1:46" x14ac:dyDescent="0.25">
      <c r="A61" s="10" t="s">
        <v>1801</v>
      </c>
      <c r="B61" s="10"/>
      <c r="C61" s="32" t="s">
        <v>148</v>
      </c>
      <c r="D61" s="33"/>
      <c r="E61" s="32" t="s">
        <v>148</v>
      </c>
      <c r="F61" s="33"/>
      <c r="G61" s="32" t="s">
        <v>148</v>
      </c>
      <c r="H61" s="33"/>
      <c r="I61" s="32" t="s">
        <v>148</v>
      </c>
      <c r="J61" s="33"/>
      <c r="K61" s="32" t="s">
        <v>148</v>
      </c>
      <c r="L61" s="33"/>
      <c r="M61" s="32" t="s">
        <v>148</v>
      </c>
      <c r="N61" s="33"/>
      <c r="O61" s="32" t="s">
        <v>148</v>
      </c>
      <c r="P61" s="33"/>
      <c r="Q61" s="32" t="s">
        <v>148</v>
      </c>
      <c r="R61" s="33"/>
      <c r="S61" s="32" t="s">
        <v>148</v>
      </c>
      <c r="T61" s="33"/>
      <c r="U61" s="32" t="s">
        <v>148</v>
      </c>
      <c r="V61" s="33"/>
      <c r="W61" s="32" t="s">
        <v>148</v>
      </c>
      <c r="X61" s="33"/>
      <c r="Y61" s="32">
        <v>0</v>
      </c>
      <c r="Z61" s="33"/>
      <c r="AA61" s="32">
        <v>0</v>
      </c>
      <c r="AB61" s="33"/>
      <c r="AC61" s="32" t="s">
        <v>148</v>
      </c>
      <c r="AD61" s="33"/>
      <c r="AE61" s="32">
        <v>0</v>
      </c>
      <c r="AF61" s="33"/>
      <c r="AG61" s="32">
        <v>0</v>
      </c>
      <c r="AH61" s="33"/>
      <c r="AI61" s="32" t="s">
        <v>148</v>
      </c>
      <c r="AJ61" s="33"/>
      <c r="AK61" s="32">
        <v>0</v>
      </c>
      <c r="AL61" s="33"/>
      <c r="AM61" s="32">
        <v>0</v>
      </c>
      <c r="AN61" s="33"/>
      <c r="AO61" s="32">
        <v>0</v>
      </c>
      <c r="AP61" s="33"/>
      <c r="AQ61" s="32">
        <v>0</v>
      </c>
      <c r="AR61" s="33"/>
      <c r="AS61" s="32">
        <v>0</v>
      </c>
      <c r="AT61" s="33"/>
    </row>
    <row r="62" spans="1:46" x14ac:dyDescent="0.25">
      <c r="A62" s="10" t="s">
        <v>1792</v>
      </c>
      <c r="B62" s="10"/>
      <c r="C62" s="32">
        <v>0</v>
      </c>
      <c r="D62" s="33"/>
      <c r="E62" s="32" t="s">
        <v>148</v>
      </c>
      <c r="F62" s="33"/>
      <c r="G62" s="32" t="s">
        <v>148</v>
      </c>
      <c r="H62" s="33"/>
      <c r="I62" s="32" t="s">
        <v>148</v>
      </c>
      <c r="J62" s="33"/>
      <c r="K62" s="32">
        <v>0</v>
      </c>
      <c r="L62" s="33"/>
      <c r="M62" s="32" t="s">
        <v>148</v>
      </c>
      <c r="N62" s="33"/>
      <c r="O62" s="32" t="s">
        <v>148</v>
      </c>
      <c r="P62" s="33"/>
      <c r="Q62" s="32">
        <v>0</v>
      </c>
      <c r="R62" s="33"/>
      <c r="S62" s="32">
        <v>0</v>
      </c>
      <c r="T62" s="33"/>
      <c r="U62" s="32" t="s">
        <v>148</v>
      </c>
      <c r="V62" s="33"/>
      <c r="W62" s="32">
        <v>0</v>
      </c>
      <c r="X62" s="33"/>
      <c r="Y62" s="32">
        <v>0</v>
      </c>
      <c r="Z62" s="33"/>
      <c r="AA62" s="32">
        <v>0</v>
      </c>
      <c r="AB62" s="33"/>
      <c r="AC62" s="32" t="s">
        <v>148</v>
      </c>
      <c r="AD62" s="33"/>
      <c r="AE62" s="32">
        <v>0</v>
      </c>
      <c r="AF62" s="33"/>
      <c r="AG62" s="32">
        <v>0</v>
      </c>
      <c r="AH62" s="33"/>
      <c r="AI62" s="32" t="s">
        <v>148</v>
      </c>
      <c r="AJ62" s="33"/>
      <c r="AK62" s="32">
        <v>0</v>
      </c>
      <c r="AL62" s="33"/>
      <c r="AM62" s="32">
        <v>0</v>
      </c>
      <c r="AN62" s="33"/>
      <c r="AO62" s="32">
        <v>0</v>
      </c>
      <c r="AP62" s="33"/>
      <c r="AQ62" s="32">
        <v>0</v>
      </c>
      <c r="AR62" s="33"/>
      <c r="AS62" s="32">
        <v>0</v>
      </c>
      <c r="AT62" s="33"/>
    </row>
    <row r="63" spans="1:46" x14ac:dyDescent="0.25">
      <c r="A63" s="10" t="s">
        <v>1793</v>
      </c>
      <c r="B63" s="10"/>
      <c r="C63" s="32" t="s">
        <v>148</v>
      </c>
      <c r="D63" s="33"/>
      <c r="E63" s="32" t="s">
        <v>148</v>
      </c>
      <c r="F63" s="33"/>
      <c r="G63" s="32" t="s">
        <v>148</v>
      </c>
      <c r="H63" s="33"/>
      <c r="I63" s="32" t="s">
        <v>148</v>
      </c>
      <c r="J63" s="33"/>
      <c r="K63" s="32" t="s">
        <v>148</v>
      </c>
      <c r="L63" s="33"/>
      <c r="M63" s="32" t="s">
        <v>148</v>
      </c>
      <c r="N63" s="33"/>
      <c r="O63" s="32" t="s">
        <v>148</v>
      </c>
      <c r="P63" s="33"/>
      <c r="Q63" s="32" t="s">
        <v>148</v>
      </c>
      <c r="R63" s="33"/>
      <c r="S63" s="32" t="s">
        <v>148</v>
      </c>
      <c r="T63" s="33"/>
      <c r="U63" s="32" t="s">
        <v>148</v>
      </c>
      <c r="V63" s="33"/>
      <c r="W63" s="32" t="s">
        <v>148</v>
      </c>
      <c r="X63" s="33"/>
      <c r="Y63" s="32" t="s">
        <v>148</v>
      </c>
      <c r="Z63" s="33"/>
      <c r="AA63" s="32" t="s">
        <v>148</v>
      </c>
      <c r="AB63" s="33"/>
      <c r="AC63" s="32" t="s">
        <v>148</v>
      </c>
      <c r="AD63" s="33"/>
      <c r="AE63" s="32" t="s">
        <v>148</v>
      </c>
      <c r="AF63" s="33"/>
      <c r="AG63" s="32" t="s">
        <v>148</v>
      </c>
      <c r="AH63" s="33"/>
      <c r="AI63" s="32" t="s">
        <v>148</v>
      </c>
      <c r="AJ63" s="33"/>
      <c r="AK63" s="32" t="s">
        <v>148</v>
      </c>
      <c r="AL63" s="33"/>
      <c r="AM63" s="32">
        <v>2</v>
      </c>
      <c r="AN63" s="33">
        <v>2.44021473889702E-4</v>
      </c>
      <c r="AO63" s="32">
        <v>3</v>
      </c>
      <c r="AP63" s="33">
        <v>4.0284678393984202E-4</v>
      </c>
      <c r="AQ63" s="32">
        <v>8</v>
      </c>
      <c r="AR63" s="33">
        <v>9.4084440785605105E-4</v>
      </c>
      <c r="AS63" s="32" t="s">
        <v>148</v>
      </c>
      <c r="AT63" s="33"/>
    </row>
    <row r="64" spans="1:46" x14ac:dyDescent="0.25">
      <c r="A64" s="10" t="s">
        <v>1802</v>
      </c>
      <c r="B64" s="10"/>
      <c r="C64" s="32" t="s">
        <v>148</v>
      </c>
      <c r="D64" s="33"/>
      <c r="E64" s="32">
        <v>24</v>
      </c>
      <c r="F64" s="33">
        <v>4.3188770919560899E-3</v>
      </c>
      <c r="G64" s="32">
        <v>30</v>
      </c>
      <c r="H64" s="33">
        <v>5.1098620337250902E-3</v>
      </c>
      <c r="I64" s="32">
        <v>30</v>
      </c>
      <c r="J64" s="33">
        <v>5.22921387484748E-3</v>
      </c>
      <c r="K64" s="32">
        <v>24</v>
      </c>
      <c r="L64" s="33">
        <v>3.8728416975956099E-3</v>
      </c>
      <c r="M64" s="32">
        <v>23</v>
      </c>
      <c r="N64" s="33">
        <v>3.73316020126603E-3</v>
      </c>
      <c r="O64" s="32">
        <v>18</v>
      </c>
      <c r="P64" s="33">
        <v>2.8024287716020601E-3</v>
      </c>
      <c r="Q64" s="32">
        <v>29</v>
      </c>
      <c r="R64" s="33">
        <v>4.3714199577931899E-3</v>
      </c>
      <c r="S64" s="32">
        <v>31</v>
      </c>
      <c r="T64" s="33">
        <v>5.2533468903575697E-3</v>
      </c>
      <c r="U64" s="32">
        <v>24</v>
      </c>
      <c r="V64" s="33">
        <v>3.68267607794998E-3</v>
      </c>
      <c r="W64" s="32">
        <v>14</v>
      </c>
      <c r="X64" s="33">
        <v>2.0449897750511202E-3</v>
      </c>
      <c r="Y64" s="32">
        <v>16</v>
      </c>
      <c r="Z64" s="33">
        <v>2.5649246553382499E-3</v>
      </c>
      <c r="AA64" s="32">
        <v>16</v>
      </c>
      <c r="AB64" s="33">
        <v>2.4264482863209E-3</v>
      </c>
      <c r="AC64" s="32">
        <v>14</v>
      </c>
      <c r="AD64" s="33">
        <v>2.1046301864101002E-3</v>
      </c>
      <c r="AE64" s="32">
        <v>13</v>
      </c>
      <c r="AF64" s="33">
        <v>1.90086269922503E-3</v>
      </c>
      <c r="AG64" s="32">
        <v>14</v>
      </c>
      <c r="AH64" s="33">
        <v>2.29320229320229E-3</v>
      </c>
      <c r="AI64" s="32">
        <v>12</v>
      </c>
      <c r="AJ64" s="33">
        <v>1.71772115659891E-3</v>
      </c>
      <c r="AK64" s="32">
        <v>13</v>
      </c>
      <c r="AL64" s="33">
        <v>1.88323917137476E-3</v>
      </c>
      <c r="AM64" s="32">
        <v>11</v>
      </c>
      <c r="AN64" s="33">
        <v>1.3421181063933601E-3</v>
      </c>
      <c r="AO64" s="32" t="s">
        <v>148</v>
      </c>
      <c r="AP64" s="33"/>
      <c r="AQ64" s="32" t="s">
        <v>148</v>
      </c>
      <c r="AR64" s="33"/>
      <c r="AS64" s="32" t="s">
        <v>148</v>
      </c>
      <c r="AT64" s="33"/>
    </row>
    <row r="65" spans="1:46" x14ac:dyDescent="0.25">
      <c r="A65" s="10" t="s">
        <v>1795</v>
      </c>
      <c r="B65" s="10"/>
      <c r="C65" s="32">
        <v>81</v>
      </c>
      <c r="D65" s="33">
        <v>1.3001605136436599E-2</v>
      </c>
      <c r="E65" s="32">
        <v>78</v>
      </c>
      <c r="F65" s="33">
        <v>1.4036350548857299E-2</v>
      </c>
      <c r="G65" s="32">
        <v>79</v>
      </c>
      <c r="H65" s="33">
        <v>1.34559700221427E-2</v>
      </c>
      <c r="I65" s="32">
        <v>71</v>
      </c>
      <c r="J65" s="33">
        <v>1.23758061704724E-2</v>
      </c>
      <c r="K65" s="32">
        <v>71</v>
      </c>
      <c r="L65" s="33">
        <v>1.1457156688720301E-2</v>
      </c>
      <c r="M65" s="32">
        <v>81</v>
      </c>
      <c r="N65" s="33">
        <v>1.31472163609804E-2</v>
      </c>
      <c r="O65" s="32">
        <v>32</v>
      </c>
      <c r="P65" s="33">
        <v>4.9820955939592097E-3</v>
      </c>
      <c r="Q65" s="32">
        <v>34</v>
      </c>
      <c r="R65" s="33">
        <v>5.1251130539644299E-3</v>
      </c>
      <c r="S65" s="32">
        <v>23</v>
      </c>
      <c r="T65" s="33">
        <v>3.89764446703948E-3</v>
      </c>
      <c r="U65" s="32">
        <v>20</v>
      </c>
      <c r="V65" s="33">
        <v>3.06889673162498E-3</v>
      </c>
      <c r="W65" s="32">
        <v>16</v>
      </c>
      <c r="X65" s="33">
        <v>2.3371311714870001E-3</v>
      </c>
      <c r="Y65" s="32">
        <v>16</v>
      </c>
      <c r="Z65" s="33">
        <v>2.5649246553382499E-3</v>
      </c>
      <c r="AA65" s="32">
        <v>15</v>
      </c>
      <c r="AB65" s="33">
        <v>2.2747952684258402E-3</v>
      </c>
      <c r="AC65" s="32">
        <v>13</v>
      </c>
      <c r="AD65" s="33">
        <v>1.9542994588093799E-3</v>
      </c>
      <c r="AE65" s="32">
        <v>10</v>
      </c>
      <c r="AF65" s="33">
        <v>1.4622020763269501E-3</v>
      </c>
      <c r="AG65" s="32" t="s">
        <v>148</v>
      </c>
      <c r="AH65" s="33"/>
      <c r="AI65" s="32" t="s">
        <v>148</v>
      </c>
      <c r="AJ65" s="33"/>
      <c r="AK65" s="32" t="s">
        <v>148</v>
      </c>
      <c r="AL65" s="33"/>
      <c r="AM65" s="32" t="s">
        <v>148</v>
      </c>
      <c r="AN65" s="33"/>
      <c r="AO65" s="32" t="s">
        <v>148</v>
      </c>
      <c r="AP65" s="33"/>
      <c r="AQ65" s="32" t="s">
        <v>148</v>
      </c>
      <c r="AR65" s="33"/>
      <c r="AS65" s="32" t="s">
        <v>148</v>
      </c>
      <c r="AT65" s="33"/>
    </row>
    <row r="66" spans="1:46" x14ac:dyDescent="0.25">
      <c r="A66" s="10" t="s">
        <v>1796</v>
      </c>
      <c r="B66" s="10"/>
      <c r="C66" s="32">
        <v>32</v>
      </c>
      <c r="D66" s="33">
        <v>5.13643659711075E-3</v>
      </c>
      <c r="E66" s="32">
        <v>23</v>
      </c>
      <c r="F66" s="33">
        <v>4.1389238797912504E-3</v>
      </c>
      <c r="G66" s="32">
        <v>20</v>
      </c>
      <c r="H66" s="33">
        <v>3.4065746891500598E-3</v>
      </c>
      <c r="I66" s="32">
        <v>22</v>
      </c>
      <c r="J66" s="33">
        <v>3.8347568415548201E-3</v>
      </c>
      <c r="K66" s="32">
        <v>21</v>
      </c>
      <c r="L66" s="33">
        <v>3.3887364853961602E-3</v>
      </c>
      <c r="M66" s="32">
        <v>20</v>
      </c>
      <c r="N66" s="33">
        <v>3.2462262619704601E-3</v>
      </c>
      <c r="O66" s="32">
        <v>21</v>
      </c>
      <c r="P66" s="33">
        <v>3.2695002335357301E-3</v>
      </c>
      <c r="Q66" s="32">
        <v>19</v>
      </c>
      <c r="R66" s="33">
        <v>2.86403376545071E-3</v>
      </c>
      <c r="S66" s="32">
        <v>16</v>
      </c>
      <c r="T66" s="33">
        <v>2.7114048466361602E-3</v>
      </c>
      <c r="U66" s="32">
        <v>24</v>
      </c>
      <c r="V66" s="33">
        <v>3.68267607794998E-3</v>
      </c>
      <c r="W66" s="32">
        <v>16</v>
      </c>
      <c r="X66" s="33">
        <v>2.3371311714870001E-3</v>
      </c>
      <c r="Y66" s="32">
        <v>15</v>
      </c>
      <c r="Z66" s="33">
        <v>2.40461686437961E-3</v>
      </c>
      <c r="AA66" s="32">
        <v>16</v>
      </c>
      <c r="AB66" s="33">
        <v>2.4264482863209E-3</v>
      </c>
      <c r="AC66" s="32">
        <v>14</v>
      </c>
      <c r="AD66" s="33">
        <v>2.1046301864101002E-3</v>
      </c>
      <c r="AE66" s="32">
        <v>12</v>
      </c>
      <c r="AF66" s="33">
        <v>1.75464249159234E-3</v>
      </c>
      <c r="AG66" s="32" t="s">
        <v>148</v>
      </c>
      <c r="AH66" s="33"/>
      <c r="AI66" s="32" t="s">
        <v>148</v>
      </c>
      <c r="AJ66" s="33"/>
      <c r="AK66" s="32" t="s">
        <v>148</v>
      </c>
      <c r="AL66" s="33"/>
      <c r="AM66" s="32" t="s">
        <v>148</v>
      </c>
      <c r="AN66" s="33"/>
      <c r="AO66" s="32" t="s">
        <v>148</v>
      </c>
      <c r="AP66" s="33"/>
      <c r="AQ66" s="32" t="s">
        <v>148</v>
      </c>
      <c r="AR66" s="33"/>
      <c r="AS66" s="32" t="s">
        <v>148</v>
      </c>
      <c r="AT66" s="33"/>
    </row>
    <row r="67" spans="1:46" x14ac:dyDescent="0.25">
      <c r="A67" s="10" t="s">
        <v>1803</v>
      </c>
      <c r="B67" s="10"/>
      <c r="C67" s="32">
        <v>34</v>
      </c>
      <c r="D67" s="33">
        <v>5.4574638844301802E-3</v>
      </c>
      <c r="E67" s="32" t="s">
        <v>148</v>
      </c>
      <c r="F67" s="33"/>
      <c r="G67" s="32" t="s">
        <v>148</v>
      </c>
      <c r="H67" s="33"/>
      <c r="I67" s="32" t="s">
        <v>148</v>
      </c>
      <c r="J67" s="33"/>
      <c r="K67" s="32" t="s">
        <v>148</v>
      </c>
      <c r="L67" s="33"/>
      <c r="M67" s="32" t="s">
        <v>148</v>
      </c>
      <c r="N67" s="33"/>
      <c r="O67" s="32" t="s">
        <v>148</v>
      </c>
      <c r="P67" s="33"/>
      <c r="Q67" s="32" t="s">
        <v>148</v>
      </c>
      <c r="R67" s="33"/>
      <c r="S67" s="32" t="s">
        <v>148</v>
      </c>
      <c r="T67" s="33"/>
      <c r="U67" s="32" t="s">
        <v>148</v>
      </c>
      <c r="V67" s="33"/>
      <c r="W67" s="32" t="s">
        <v>148</v>
      </c>
      <c r="X67" s="33"/>
      <c r="Y67" s="32" t="s">
        <v>148</v>
      </c>
      <c r="Z67" s="33"/>
      <c r="AA67" s="32" t="s">
        <v>148</v>
      </c>
      <c r="AB67" s="33"/>
      <c r="AC67" s="32" t="s">
        <v>148</v>
      </c>
      <c r="AD67" s="33"/>
      <c r="AE67" s="32" t="s">
        <v>148</v>
      </c>
      <c r="AF67" s="33"/>
      <c r="AG67" s="32" t="s">
        <v>148</v>
      </c>
      <c r="AH67" s="33"/>
      <c r="AI67" s="32" t="s">
        <v>148</v>
      </c>
      <c r="AJ67" s="33"/>
      <c r="AK67" s="32" t="s">
        <v>148</v>
      </c>
      <c r="AL67" s="33"/>
      <c r="AM67" s="32" t="s">
        <v>148</v>
      </c>
      <c r="AN67" s="33"/>
      <c r="AO67" s="32" t="s">
        <v>148</v>
      </c>
      <c r="AP67" s="33"/>
      <c r="AQ67" s="32" t="s">
        <v>148</v>
      </c>
      <c r="AR67" s="33"/>
      <c r="AS67" s="32" t="s">
        <v>148</v>
      </c>
      <c r="AT67" s="33"/>
    </row>
    <row r="68" spans="1:46" x14ac:dyDescent="0.25">
      <c r="A68" s="10" t="s">
        <v>1804</v>
      </c>
      <c r="B68" s="10"/>
      <c r="C68" s="32">
        <v>229</v>
      </c>
      <c r="D68" s="33">
        <v>3.6757624398073799E-2</v>
      </c>
      <c r="E68" s="32">
        <v>271</v>
      </c>
      <c r="F68" s="33">
        <v>4.8767320496670902E-2</v>
      </c>
      <c r="G68" s="32">
        <v>297</v>
      </c>
      <c r="H68" s="33">
        <v>5.0587634133878401E-2</v>
      </c>
      <c r="I68" s="32">
        <v>274</v>
      </c>
      <c r="J68" s="33">
        <v>4.7760153390273702E-2</v>
      </c>
      <c r="K68" s="32">
        <v>316</v>
      </c>
      <c r="L68" s="33">
        <v>5.0992415685008903E-2</v>
      </c>
      <c r="M68" s="32">
        <v>267</v>
      </c>
      <c r="N68" s="33">
        <v>4.3337120597305601E-2</v>
      </c>
      <c r="O68" s="32">
        <v>319</v>
      </c>
      <c r="P68" s="33">
        <v>4.96652654522809E-2</v>
      </c>
      <c r="Q68" s="32">
        <v>300</v>
      </c>
      <c r="R68" s="33">
        <v>4.5221585770274297E-2</v>
      </c>
      <c r="S68" s="32">
        <v>309</v>
      </c>
      <c r="T68" s="33">
        <v>5.2364006100660901E-2</v>
      </c>
      <c r="U68" s="32">
        <v>412</v>
      </c>
      <c r="V68" s="33">
        <v>6.3219272671474605E-2</v>
      </c>
      <c r="W68" s="32">
        <v>575</v>
      </c>
      <c r="X68" s="33">
        <v>8.3990651475314093E-2</v>
      </c>
      <c r="Y68" s="32">
        <v>507</v>
      </c>
      <c r="Z68" s="33">
        <v>8.1276050016030804E-2</v>
      </c>
      <c r="AA68" s="32">
        <v>313</v>
      </c>
      <c r="AB68" s="33">
        <v>4.7467394601152603E-2</v>
      </c>
      <c r="AC68" s="32">
        <v>415</v>
      </c>
      <c r="AD68" s="33">
        <v>6.2387251954299498E-2</v>
      </c>
      <c r="AE68" s="32">
        <v>287</v>
      </c>
      <c r="AF68" s="33">
        <v>4.1965199590583403E-2</v>
      </c>
      <c r="AG68" s="32">
        <v>259</v>
      </c>
      <c r="AH68" s="33">
        <v>4.2424242424242399E-2</v>
      </c>
      <c r="AI68" s="32">
        <v>303</v>
      </c>
      <c r="AJ68" s="33">
        <v>4.3372459204122499E-2</v>
      </c>
      <c r="AK68" s="32">
        <v>355</v>
      </c>
      <c r="AL68" s="33">
        <v>5.1426915833695498E-2</v>
      </c>
      <c r="AM68" s="32">
        <v>363</v>
      </c>
      <c r="AN68" s="33">
        <v>4.4289897510981002E-2</v>
      </c>
      <c r="AO68" s="32">
        <v>329</v>
      </c>
      <c r="AP68" s="33">
        <v>4.4178863972069299E-2</v>
      </c>
      <c r="AQ68" s="32">
        <v>352</v>
      </c>
      <c r="AR68" s="33">
        <v>4.1397153945666197E-2</v>
      </c>
      <c r="AS68" s="32">
        <v>370</v>
      </c>
      <c r="AT68" s="33">
        <v>4.0721989874532197E-2</v>
      </c>
    </row>
    <row r="69" spans="1:46" x14ac:dyDescent="0.25">
      <c r="A69" s="6" t="s">
        <v>1758</v>
      </c>
      <c r="B69" s="6"/>
      <c r="C69" s="38" t="s">
        <v>148</v>
      </c>
      <c r="D69" s="39"/>
      <c r="E69" s="38" t="s">
        <v>148</v>
      </c>
      <c r="F69" s="39"/>
      <c r="G69" s="38" t="s">
        <v>148</v>
      </c>
      <c r="H69" s="39"/>
      <c r="I69" s="38" t="s">
        <v>148</v>
      </c>
      <c r="J69" s="39"/>
      <c r="K69" s="38" t="s">
        <v>148</v>
      </c>
      <c r="L69" s="39"/>
      <c r="M69" s="38" t="s">
        <v>148</v>
      </c>
      <c r="N69" s="39"/>
      <c r="O69" s="38" t="s">
        <v>148</v>
      </c>
      <c r="P69" s="39"/>
      <c r="Q69" s="38" t="s">
        <v>148</v>
      </c>
      <c r="R69" s="39"/>
      <c r="S69" s="38" t="s">
        <v>148</v>
      </c>
      <c r="T69" s="39"/>
      <c r="U69" s="38" t="s">
        <v>148</v>
      </c>
      <c r="V69" s="39"/>
      <c r="W69" s="38" t="s">
        <v>148</v>
      </c>
      <c r="X69" s="39"/>
      <c r="Y69" s="38" t="s">
        <v>148</v>
      </c>
      <c r="Z69" s="39"/>
      <c r="AA69" s="38" t="s">
        <v>148</v>
      </c>
      <c r="AB69" s="39"/>
      <c r="AC69" s="38" t="s">
        <v>148</v>
      </c>
      <c r="AD69" s="39"/>
      <c r="AE69" s="38" t="s">
        <v>148</v>
      </c>
      <c r="AF69" s="39"/>
      <c r="AG69" s="38" t="s">
        <v>148</v>
      </c>
      <c r="AH69" s="39"/>
      <c r="AI69" s="38" t="s">
        <v>148</v>
      </c>
      <c r="AJ69" s="39"/>
      <c r="AK69" s="38" t="s">
        <v>148</v>
      </c>
      <c r="AL69" s="39"/>
      <c r="AM69" s="38" t="s">
        <v>148</v>
      </c>
      <c r="AN69" s="39"/>
      <c r="AO69" s="38" t="s">
        <v>148</v>
      </c>
      <c r="AP69" s="39"/>
      <c r="AQ69" s="38" t="s">
        <v>148</v>
      </c>
      <c r="AR69" s="39"/>
      <c r="AS69" s="38" t="s">
        <v>148</v>
      </c>
      <c r="AT69" s="39"/>
    </row>
    <row r="70" spans="1:46" x14ac:dyDescent="0.25">
      <c r="A70" s="10" t="s">
        <v>1767</v>
      </c>
      <c r="B70" s="10"/>
      <c r="C70" s="34" t="s">
        <v>148</v>
      </c>
      <c r="D70" s="35"/>
      <c r="E70" s="34">
        <v>-4</v>
      </c>
      <c r="F70" s="35"/>
      <c r="G70" s="34">
        <v>-5</v>
      </c>
      <c r="H70" s="35"/>
      <c r="I70" s="34">
        <v>-5</v>
      </c>
      <c r="J70" s="35"/>
      <c r="K70" s="34" t="s">
        <v>148</v>
      </c>
      <c r="L70" s="35"/>
      <c r="M70" s="34">
        <v>7</v>
      </c>
      <c r="N70" s="35"/>
      <c r="O70" s="34">
        <v>15</v>
      </c>
      <c r="P70" s="35"/>
      <c r="Q70" s="34" t="s">
        <v>148</v>
      </c>
      <c r="R70" s="35"/>
      <c r="S70" s="34">
        <v>-9</v>
      </c>
      <c r="T70" s="35"/>
      <c r="U70" s="34">
        <v>-1</v>
      </c>
      <c r="V70" s="35"/>
      <c r="W70" s="34" t="s">
        <v>148</v>
      </c>
      <c r="X70" s="35"/>
      <c r="Y70" s="34">
        <v>3</v>
      </c>
      <c r="Z70" s="35"/>
      <c r="AA70" s="34">
        <v>2</v>
      </c>
      <c r="AB70" s="35"/>
      <c r="AC70" s="34" t="s">
        <v>148</v>
      </c>
      <c r="AD70" s="35"/>
      <c r="AE70" s="34" t="s">
        <v>148</v>
      </c>
      <c r="AF70" s="35"/>
      <c r="AG70" s="34" t="s">
        <v>148</v>
      </c>
      <c r="AH70" s="35"/>
      <c r="AI70" s="34">
        <v>7</v>
      </c>
      <c r="AJ70" s="35"/>
      <c r="AK70" s="34">
        <v>5</v>
      </c>
      <c r="AL70" s="35"/>
      <c r="AM70" s="34" t="s">
        <v>148</v>
      </c>
      <c r="AN70" s="35"/>
      <c r="AO70" s="34">
        <v>25</v>
      </c>
      <c r="AP70" s="35"/>
      <c r="AQ70" s="34">
        <v>27</v>
      </c>
      <c r="AR70" s="35"/>
      <c r="AS70" s="34" t="s">
        <v>148</v>
      </c>
      <c r="AT70" s="35"/>
    </row>
    <row r="71" spans="1:46" x14ac:dyDescent="0.25">
      <c r="A71" s="10" t="s">
        <v>1776</v>
      </c>
      <c r="B71" s="10"/>
      <c r="C71" s="34" t="s">
        <v>148</v>
      </c>
      <c r="D71" s="35"/>
      <c r="E71" s="34" t="s">
        <v>148</v>
      </c>
      <c r="F71" s="35"/>
      <c r="G71" s="34" t="s">
        <v>148</v>
      </c>
      <c r="H71" s="35"/>
      <c r="I71" s="34" t="s">
        <v>148</v>
      </c>
      <c r="J71" s="35"/>
      <c r="K71" s="34" t="s">
        <v>148</v>
      </c>
      <c r="L71" s="35"/>
      <c r="M71" s="34" t="s">
        <v>148</v>
      </c>
      <c r="N71" s="35"/>
      <c r="O71" s="34" t="s">
        <v>148</v>
      </c>
      <c r="P71" s="35"/>
      <c r="Q71" s="34" t="s">
        <v>148</v>
      </c>
      <c r="R71" s="35"/>
      <c r="S71" s="34" t="s">
        <v>148</v>
      </c>
      <c r="T71" s="35"/>
      <c r="U71" s="34" t="s">
        <v>148</v>
      </c>
      <c r="V71" s="35"/>
      <c r="W71" s="34" t="s">
        <v>148</v>
      </c>
      <c r="X71" s="35"/>
      <c r="Y71" s="34" t="s">
        <v>148</v>
      </c>
      <c r="Z71" s="35"/>
      <c r="AA71" s="34" t="s">
        <v>148</v>
      </c>
      <c r="AB71" s="35"/>
      <c r="AC71" s="34" t="s">
        <v>148</v>
      </c>
      <c r="AD71" s="35"/>
      <c r="AE71" s="34" t="s">
        <v>148</v>
      </c>
      <c r="AF71" s="35"/>
      <c r="AG71" s="34">
        <v>0</v>
      </c>
      <c r="AH71" s="35"/>
      <c r="AI71" s="34" t="s">
        <v>148</v>
      </c>
      <c r="AJ71" s="35"/>
      <c r="AK71" s="34" t="s">
        <v>148</v>
      </c>
      <c r="AL71" s="35"/>
      <c r="AM71" s="34" t="s">
        <v>148</v>
      </c>
      <c r="AN71" s="35"/>
      <c r="AO71" s="34">
        <v>80</v>
      </c>
      <c r="AP71" s="35"/>
      <c r="AQ71" s="34">
        <v>67</v>
      </c>
      <c r="AR71" s="35"/>
      <c r="AS71" s="34" t="s">
        <v>148</v>
      </c>
      <c r="AT71" s="35"/>
    </row>
    <row r="72" spans="1:46" x14ac:dyDescent="0.25">
      <c r="A72" s="10" t="s">
        <v>1778</v>
      </c>
      <c r="B72" s="10"/>
      <c r="C72" s="34" t="s">
        <v>148</v>
      </c>
      <c r="D72" s="35"/>
      <c r="E72" s="34">
        <v>33</v>
      </c>
      <c r="F72" s="35"/>
      <c r="G72" s="34">
        <v>15</v>
      </c>
      <c r="H72" s="35"/>
      <c r="I72" s="34">
        <v>42</v>
      </c>
      <c r="J72" s="35"/>
      <c r="K72" s="34" t="s">
        <v>148</v>
      </c>
      <c r="L72" s="35"/>
      <c r="M72" s="34">
        <v>43</v>
      </c>
      <c r="N72" s="35"/>
      <c r="O72" s="34">
        <v>15</v>
      </c>
      <c r="P72" s="35"/>
      <c r="Q72" s="34">
        <v>2</v>
      </c>
      <c r="R72" s="35"/>
      <c r="S72" s="34">
        <v>14</v>
      </c>
      <c r="T72" s="35"/>
      <c r="U72" s="34">
        <v>11</v>
      </c>
      <c r="V72" s="35"/>
      <c r="W72" s="34" t="s">
        <v>148</v>
      </c>
      <c r="X72" s="35"/>
      <c r="Y72" s="34">
        <v>22</v>
      </c>
      <c r="Z72" s="35"/>
      <c r="AA72" s="34">
        <v>24</v>
      </c>
      <c r="AB72" s="35"/>
      <c r="AC72" s="34">
        <v>14</v>
      </c>
      <c r="AD72" s="35"/>
      <c r="AE72" s="34" t="s">
        <v>148</v>
      </c>
      <c r="AF72" s="35"/>
      <c r="AG72" s="34">
        <v>59</v>
      </c>
      <c r="AH72" s="35"/>
      <c r="AI72" s="34">
        <v>88</v>
      </c>
      <c r="AJ72" s="35"/>
      <c r="AK72" s="34">
        <v>75</v>
      </c>
      <c r="AL72" s="35"/>
      <c r="AM72" s="34" t="s">
        <v>148</v>
      </c>
      <c r="AN72" s="35"/>
      <c r="AO72" s="34">
        <v>21</v>
      </c>
      <c r="AP72" s="35"/>
      <c r="AQ72" s="34">
        <v>61</v>
      </c>
      <c r="AR72" s="35"/>
      <c r="AS72" s="34" t="s">
        <v>148</v>
      </c>
      <c r="AT72" s="35"/>
    </row>
    <row r="73" spans="1:46" x14ac:dyDescent="0.25">
      <c r="A73" s="10" t="s">
        <v>1775</v>
      </c>
      <c r="B73" s="10"/>
      <c r="C73" s="34" t="s">
        <v>148</v>
      </c>
      <c r="D73" s="35"/>
      <c r="E73" s="34">
        <v>-1</v>
      </c>
      <c r="F73" s="35"/>
      <c r="G73" s="34">
        <v>-7</v>
      </c>
      <c r="H73" s="35"/>
      <c r="I73" s="34">
        <v>18</v>
      </c>
      <c r="J73" s="35"/>
      <c r="K73" s="34" t="s">
        <v>148</v>
      </c>
      <c r="L73" s="35"/>
      <c r="M73" s="34">
        <v>49</v>
      </c>
      <c r="N73" s="35"/>
      <c r="O73" s="34">
        <v>8</v>
      </c>
      <c r="P73" s="35"/>
      <c r="Q73" s="34">
        <v>2</v>
      </c>
      <c r="R73" s="35"/>
      <c r="S73" s="34">
        <v>12</v>
      </c>
      <c r="T73" s="35"/>
      <c r="U73" s="34">
        <v>24</v>
      </c>
      <c r="V73" s="35"/>
      <c r="W73" s="34" t="s">
        <v>148</v>
      </c>
      <c r="X73" s="35"/>
      <c r="Y73" s="34">
        <v>19</v>
      </c>
      <c r="Z73" s="35"/>
      <c r="AA73" s="34">
        <v>8</v>
      </c>
      <c r="AB73" s="35"/>
      <c r="AC73" s="34" t="s">
        <v>148</v>
      </c>
      <c r="AD73" s="35"/>
      <c r="AE73" s="34" t="s">
        <v>148</v>
      </c>
      <c r="AF73" s="35"/>
      <c r="AG73" s="34">
        <v>19</v>
      </c>
      <c r="AH73" s="35"/>
      <c r="AI73" s="34">
        <v>38</v>
      </c>
      <c r="AJ73" s="35"/>
      <c r="AK73" s="34">
        <v>29</v>
      </c>
      <c r="AL73" s="35"/>
      <c r="AM73" s="34" t="s">
        <v>148</v>
      </c>
      <c r="AN73" s="35"/>
      <c r="AO73" s="34">
        <v>39</v>
      </c>
      <c r="AP73" s="35"/>
      <c r="AQ73" s="34">
        <v>54</v>
      </c>
      <c r="AR73" s="35"/>
      <c r="AS73" s="34" t="s">
        <v>148</v>
      </c>
      <c r="AT73" s="35"/>
    </row>
    <row r="74" spans="1:46" x14ac:dyDescent="0.25">
      <c r="A74" s="10" t="s">
        <v>1774</v>
      </c>
      <c r="B74" s="10"/>
      <c r="C74" s="34" t="s">
        <v>148</v>
      </c>
      <c r="D74" s="35"/>
      <c r="E74" s="34" t="s">
        <v>148</v>
      </c>
      <c r="F74" s="35"/>
      <c r="G74" s="34" t="s">
        <v>148</v>
      </c>
      <c r="H74" s="35"/>
      <c r="I74" s="34" t="s">
        <v>148</v>
      </c>
      <c r="J74" s="35"/>
      <c r="K74" s="34" t="s">
        <v>148</v>
      </c>
      <c r="L74" s="35"/>
      <c r="M74" s="34" t="s">
        <v>148</v>
      </c>
      <c r="N74" s="35"/>
      <c r="O74" s="34" t="s">
        <v>148</v>
      </c>
      <c r="P74" s="35"/>
      <c r="Q74" s="34" t="s">
        <v>148</v>
      </c>
      <c r="R74" s="35"/>
      <c r="S74" s="34">
        <v>54</v>
      </c>
      <c r="T74" s="35"/>
      <c r="U74" s="34">
        <v>98</v>
      </c>
      <c r="V74" s="35"/>
      <c r="W74" s="34" t="s">
        <v>148</v>
      </c>
      <c r="X74" s="35"/>
      <c r="Y74" s="34">
        <v>93</v>
      </c>
      <c r="Z74" s="35"/>
      <c r="AA74" s="34">
        <v>65</v>
      </c>
      <c r="AB74" s="35"/>
      <c r="AC74" s="34">
        <v>45</v>
      </c>
      <c r="AD74" s="35"/>
      <c r="AE74" s="34" t="s">
        <v>148</v>
      </c>
      <c r="AF74" s="35"/>
      <c r="AG74" s="34">
        <v>49</v>
      </c>
      <c r="AH74" s="35"/>
      <c r="AI74" s="34">
        <v>48</v>
      </c>
      <c r="AJ74" s="35"/>
      <c r="AK74" s="34">
        <v>57</v>
      </c>
      <c r="AL74" s="35"/>
      <c r="AM74" s="34" t="s">
        <v>148</v>
      </c>
      <c r="AN74" s="35"/>
      <c r="AO74" s="34">
        <v>44</v>
      </c>
      <c r="AP74" s="35"/>
      <c r="AQ74" s="34">
        <v>35</v>
      </c>
      <c r="AR74" s="35"/>
      <c r="AS74" s="34" t="s">
        <v>148</v>
      </c>
      <c r="AT74" s="35"/>
    </row>
    <row r="75" spans="1:46" x14ac:dyDescent="0.25">
      <c r="A75" s="10" t="s">
        <v>1777</v>
      </c>
      <c r="B75" s="10"/>
      <c r="C75" s="34" t="s">
        <v>148</v>
      </c>
      <c r="D75" s="35"/>
      <c r="E75" s="34">
        <v>21</v>
      </c>
      <c r="F75" s="35"/>
      <c r="G75" s="34">
        <v>23</v>
      </c>
      <c r="H75" s="35"/>
      <c r="I75" s="34">
        <v>22</v>
      </c>
      <c r="J75" s="35"/>
      <c r="K75" s="34" t="s">
        <v>148</v>
      </c>
      <c r="L75" s="35"/>
      <c r="M75" s="34">
        <v>4</v>
      </c>
      <c r="N75" s="35"/>
      <c r="O75" s="34">
        <v>11</v>
      </c>
      <c r="P75" s="35"/>
      <c r="Q75" s="34" t="s">
        <v>148</v>
      </c>
      <c r="R75" s="35"/>
      <c r="S75" s="34">
        <v>75</v>
      </c>
      <c r="T75" s="35"/>
      <c r="U75" s="34" t="s">
        <v>148</v>
      </c>
      <c r="V75" s="35"/>
      <c r="W75" s="34" t="s">
        <v>148</v>
      </c>
      <c r="X75" s="35"/>
      <c r="Y75" s="34">
        <v>52</v>
      </c>
      <c r="Z75" s="35"/>
      <c r="AA75" s="34" t="s">
        <v>148</v>
      </c>
      <c r="AB75" s="35"/>
      <c r="AC75" s="34">
        <v>31</v>
      </c>
      <c r="AD75" s="35"/>
      <c r="AE75" s="34" t="s">
        <v>148</v>
      </c>
      <c r="AF75" s="35"/>
      <c r="AG75" s="34">
        <v>81</v>
      </c>
      <c r="AH75" s="35"/>
      <c r="AI75" s="34">
        <v>31</v>
      </c>
      <c r="AJ75" s="35"/>
      <c r="AK75" s="34">
        <v>30</v>
      </c>
      <c r="AL75" s="35"/>
      <c r="AM75" s="34" t="s">
        <v>148</v>
      </c>
      <c r="AN75" s="35"/>
      <c r="AO75" s="34">
        <v>41</v>
      </c>
      <c r="AP75" s="35"/>
      <c r="AQ75" s="34">
        <v>23</v>
      </c>
      <c r="AR75" s="35"/>
      <c r="AS75" s="34" t="s">
        <v>148</v>
      </c>
      <c r="AT75" s="35"/>
    </row>
    <row r="76" spans="1:46" x14ac:dyDescent="0.25">
      <c r="A76" s="10" t="s">
        <v>1782</v>
      </c>
      <c r="B76" s="10"/>
      <c r="C76" s="34" t="s">
        <v>148</v>
      </c>
      <c r="D76" s="35"/>
      <c r="E76" s="34" t="s">
        <v>148</v>
      </c>
      <c r="F76" s="35"/>
      <c r="G76" s="34" t="s">
        <v>148</v>
      </c>
      <c r="H76" s="35"/>
      <c r="I76" s="34" t="s">
        <v>148</v>
      </c>
      <c r="J76" s="35"/>
      <c r="K76" s="34" t="s">
        <v>148</v>
      </c>
      <c r="L76" s="35"/>
      <c r="M76" s="34" t="s">
        <v>148</v>
      </c>
      <c r="N76" s="35"/>
      <c r="O76" s="34" t="s">
        <v>148</v>
      </c>
      <c r="P76" s="35"/>
      <c r="Q76" s="34" t="s">
        <v>148</v>
      </c>
      <c r="R76" s="35"/>
      <c r="S76" s="34">
        <v>0</v>
      </c>
      <c r="T76" s="35"/>
      <c r="U76" s="34" t="s">
        <v>148</v>
      </c>
      <c r="V76" s="35"/>
      <c r="W76" s="34" t="s">
        <v>148</v>
      </c>
      <c r="X76" s="35"/>
      <c r="Y76" s="34">
        <v>0</v>
      </c>
      <c r="Z76" s="35"/>
      <c r="AA76" s="34" t="s">
        <v>148</v>
      </c>
      <c r="AB76" s="35"/>
      <c r="AC76" s="34" t="s">
        <v>148</v>
      </c>
      <c r="AD76" s="35"/>
      <c r="AE76" s="34" t="s">
        <v>148</v>
      </c>
      <c r="AF76" s="35"/>
      <c r="AG76" s="34" t="s">
        <v>148</v>
      </c>
      <c r="AH76" s="35"/>
      <c r="AI76" s="34" t="s">
        <v>148</v>
      </c>
      <c r="AJ76" s="35"/>
      <c r="AK76" s="34" t="s">
        <v>148</v>
      </c>
      <c r="AL76" s="35"/>
      <c r="AM76" s="34" t="s">
        <v>148</v>
      </c>
      <c r="AN76" s="35"/>
      <c r="AO76" s="34">
        <v>-41</v>
      </c>
      <c r="AP76" s="35"/>
      <c r="AQ76" s="34">
        <v>22</v>
      </c>
      <c r="AR76" s="35"/>
      <c r="AS76" s="34" t="s">
        <v>148</v>
      </c>
      <c r="AT76" s="35"/>
    </row>
    <row r="77" spans="1:46" x14ac:dyDescent="0.25">
      <c r="A77" s="10" t="s">
        <v>1783</v>
      </c>
      <c r="B77" s="10"/>
      <c r="C77" s="34" t="s">
        <v>148</v>
      </c>
      <c r="D77" s="35"/>
      <c r="E77" s="34">
        <v>4</v>
      </c>
      <c r="F77" s="35"/>
      <c r="G77" s="34">
        <v>16</v>
      </c>
      <c r="H77" s="35"/>
      <c r="I77" s="34">
        <v>11</v>
      </c>
      <c r="J77" s="35"/>
      <c r="K77" s="34" t="s">
        <v>148</v>
      </c>
      <c r="L77" s="35"/>
      <c r="M77" s="34">
        <v>3</v>
      </c>
      <c r="N77" s="35"/>
      <c r="O77" s="34">
        <v>14</v>
      </c>
      <c r="P77" s="35"/>
      <c r="Q77" s="34">
        <v>2</v>
      </c>
      <c r="R77" s="35"/>
      <c r="S77" s="34">
        <v>-1</v>
      </c>
      <c r="T77" s="35"/>
      <c r="U77" s="34">
        <v>16</v>
      </c>
      <c r="V77" s="35"/>
      <c r="W77" s="34" t="s">
        <v>148</v>
      </c>
      <c r="X77" s="35"/>
      <c r="Y77" s="34">
        <v>8</v>
      </c>
      <c r="Z77" s="35"/>
      <c r="AA77" s="34">
        <v>4</v>
      </c>
      <c r="AB77" s="35"/>
      <c r="AC77" s="34">
        <v>26</v>
      </c>
      <c r="AD77" s="35"/>
      <c r="AE77" s="34" t="s">
        <v>148</v>
      </c>
      <c r="AF77" s="35"/>
      <c r="AG77" s="34">
        <v>31</v>
      </c>
      <c r="AH77" s="35"/>
      <c r="AI77" s="34">
        <v>23</v>
      </c>
      <c r="AJ77" s="35"/>
      <c r="AK77" s="34">
        <v>1</v>
      </c>
      <c r="AL77" s="35"/>
      <c r="AM77" s="34" t="s">
        <v>148</v>
      </c>
      <c r="AN77" s="35"/>
      <c r="AO77" s="34">
        <v>8</v>
      </c>
      <c r="AP77" s="35"/>
      <c r="AQ77" s="34">
        <v>14</v>
      </c>
      <c r="AR77" s="35"/>
      <c r="AS77" s="34" t="s">
        <v>148</v>
      </c>
      <c r="AT77" s="35"/>
    </row>
    <row r="78" spans="1:46" x14ac:dyDescent="0.25">
      <c r="A78" s="10" t="s">
        <v>1790</v>
      </c>
      <c r="B78" s="10"/>
      <c r="C78" s="34" t="s">
        <v>148</v>
      </c>
      <c r="D78" s="35"/>
      <c r="E78" s="34" t="s">
        <v>148</v>
      </c>
      <c r="F78" s="35"/>
      <c r="G78" s="34" t="s">
        <v>148</v>
      </c>
      <c r="H78" s="35"/>
      <c r="I78" s="34" t="s">
        <v>148</v>
      </c>
      <c r="J78" s="35"/>
      <c r="K78" s="34" t="s">
        <v>148</v>
      </c>
      <c r="L78" s="35"/>
      <c r="M78" s="34" t="s">
        <v>148</v>
      </c>
      <c r="N78" s="35"/>
      <c r="O78" s="34" t="s">
        <v>148</v>
      </c>
      <c r="P78" s="35"/>
      <c r="Q78" s="34" t="s">
        <v>148</v>
      </c>
      <c r="R78" s="35"/>
      <c r="S78" s="34" t="s">
        <v>148</v>
      </c>
      <c r="T78" s="35"/>
      <c r="U78" s="34" t="s">
        <v>148</v>
      </c>
      <c r="V78" s="35"/>
      <c r="W78" s="34" t="s">
        <v>148</v>
      </c>
      <c r="X78" s="35"/>
      <c r="Y78" s="34" t="s">
        <v>148</v>
      </c>
      <c r="Z78" s="35"/>
      <c r="AA78" s="34" t="s">
        <v>148</v>
      </c>
      <c r="AB78" s="35"/>
      <c r="AC78" s="34">
        <v>85</v>
      </c>
      <c r="AD78" s="35"/>
      <c r="AE78" s="34" t="s">
        <v>148</v>
      </c>
      <c r="AF78" s="35"/>
      <c r="AG78" s="34">
        <v>0</v>
      </c>
      <c r="AH78" s="35"/>
      <c r="AI78" s="34">
        <v>-2</v>
      </c>
      <c r="AJ78" s="35"/>
      <c r="AK78" s="34">
        <v>-21</v>
      </c>
      <c r="AL78" s="35"/>
      <c r="AM78" s="34" t="s">
        <v>148</v>
      </c>
      <c r="AN78" s="35"/>
      <c r="AO78" s="34">
        <v>10</v>
      </c>
      <c r="AP78" s="35"/>
      <c r="AQ78" s="34">
        <v>10</v>
      </c>
      <c r="AR78" s="35"/>
      <c r="AS78" s="34" t="s">
        <v>148</v>
      </c>
      <c r="AT78" s="35"/>
    </row>
    <row r="79" spans="1:46" x14ac:dyDescent="0.25">
      <c r="A79" s="10" t="s">
        <v>1780</v>
      </c>
      <c r="B79" s="10"/>
      <c r="C79" s="34" t="s">
        <v>148</v>
      </c>
      <c r="D79" s="35"/>
      <c r="E79" s="34">
        <v>2</v>
      </c>
      <c r="F79" s="35"/>
      <c r="G79" s="34">
        <v>14</v>
      </c>
      <c r="H79" s="35"/>
      <c r="I79" s="34">
        <v>11</v>
      </c>
      <c r="J79" s="35"/>
      <c r="K79" s="34" t="s">
        <v>148</v>
      </c>
      <c r="L79" s="35"/>
      <c r="M79" s="34">
        <v>11</v>
      </c>
      <c r="N79" s="35"/>
      <c r="O79" s="34">
        <v>-1</v>
      </c>
      <c r="P79" s="35"/>
      <c r="Q79" s="34">
        <v>0</v>
      </c>
      <c r="R79" s="35"/>
      <c r="S79" s="34">
        <v>-12</v>
      </c>
      <c r="T79" s="35"/>
      <c r="U79" s="34">
        <v>27</v>
      </c>
      <c r="V79" s="35"/>
      <c r="W79" s="34" t="s">
        <v>148</v>
      </c>
      <c r="X79" s="35"/>
      <c r="Y79" s="34">
        <v>39</v>
      </c>
      <c r="Z79" s="35"/>
      <c r="AA79" s="34">
        <v>15</v>
      </c>
      <c r="AB79" s="35"/>
      <c r="AC79" s="34" t="s">
        <v>148</v>
      </c>
      <c r="AD79" s="35"/>
      <c r="AE79" s="34" t="s">
        <v>148</v>
      </c>
      <c r="AF79" s="35"/>
      <c r="AG79" s="34">
        <v>58</v>
      </c>
      <c r="AH79" s="35"/>
      <c r="AI79" s="34">
        <v>13</v>
      </c>
      <c r="AJ79" s="35"/>
      <c r="AK79" s="34">
        <v>99</v>
      </c>
      <c r="AL79" s="35"/>
      <c r="AM79" s="34" t="s">
        <v>148</v>
      </c>
      <c r="AN79" s="35"/>
      <c r="AO79" s="34">
        <v>-23</v>
      </c>
      <c r="AP79" s="35"/>
      <c r="AQ79" s="34">
        <v>7</v>
      </c>
      <c r="AR79" s="35"/>
      <c r="AS79" s="34" t="s">
        <v>148</v>
      </c>
      <c r="AT79" s="35"/>
    </row>
    <row r="80" spans="1:46" x14ac:dyDescent="0.25">
      <c r="A80" s="10" t="s">
        <v>1779</v>
      </c>
      <c r="B80" s="10"/>
      <c r="C80" s="34" t="s">
        <v>148</v>
      </c>
      <c r="D80" s="35"/>
      <c r="E80" s="34">
        <v>12</v>
      </c>
      <c r="F80" s="35"/>
      <c r="G80" s="34">
        <v>10</v>
      </c>
      <c r="H80" s="35"/>
      <c r="I80" s="34">
        <v>15</v>
      </c>
      <c r="J80" s="35"/>
      <c r="K80" s="34" t="s">
        <v>148</v>
      </c>
      <c r="L80" s="35"/>
      <c r="M80" s="34">
        <v>21</v>
      </c>
      <c r="N80" s="35"/>
      <c r="O80" s="34">
        <v>6</v>
      </c>
      <c r="P80" s="35"/>
      <c r="Q80" s="34">
        <v>-1</v>
      </c>
      <c r="R80" s="35"/>
      <c r="S80" s="34">
        <v>-15</v>
      </c>
      <c r="T80" s="35"/>
      <c r="U80" s="34">
        <v>14</v>
      </c>
      <c r="V80" s="35"/>
      <c r="W80" s="34" t="s">
        <v>148</v>
      </c>
      <c r="X80" s="35"/>
      <c r="Y80" s="34">
        <v>23</v>
      </c>
      <c r="Z80" s="35"/>
      <c r="AA80" s="34">
        <v>12</v>
      </c>
      <c r="AB80" s="35"/>
      <c r="AC80" s="34" t="s">
        <v>148</v>
      </c>
      <c r="AD80" s="35"/>
      <c r="AE80" s="34" t="s">
        <v>148</v>
      </c>
      <c r="AF80" s="35"/>
      <c r="AG80" s="34">
        <v>19</v>
      </c>
      <c r="AH80" s="35"/>
      <c r="AI80" s="34">
        <v>10</v>
      </c>
      <c r="AJ80" s="35"/>
      <c r="AK80" s="34">
        <v>6</v>
      </c>
      <c r="AL80" s="35"/>
      <c r="AM80" s="34" t="s">
        <v>148</v>
      </c>
      <c r="AN80" s="35"/>
      <c r="AO80" s="34">
        <v>0</v>
      </c>
      <c r="AP80" s="35"/>
      <c r="AQ80" s="34">
        <v>3</v>
      </c>
      <c r="AR80" s="35"/>
      <c r="AS80" s="34" t="s">
        <v>148</v>
      </c>
      <c r="AT80" s="35"/>
    </row>
    <row r="81" spans="1:46" x14ac:dyDescent="0.25">
      <c r="A81" s="10" t="s">
        <v>1769</v>
      </c>
      <c r="B81" s="10"/>
      <c r="C81" s="34" t="s">
        <v>148</v>
      </c>
      <c r="D81" s="35"/>
      <c r="E81" s="34">
        <v>22</v>
      </c>
      <c r="F81" s="35"/>
      <c r="G81" s="34">
        <v>16</v>
      </c>
      <c r="H81" s="35"/>
      <c r="I81" s="34">
        <v>20</v>
      </c>
      <c r="J81" s="35"/>
      <c r="K81" s="34" t="s">
        <v>148</v>
      </c>
      <c r="L81" s="35"/>
      <c r="M81" s="34">
        <v>8</v>
      </c>
      <c r="N81" s="35"/>
      <c r="O81" s="34">
        <v>12</v>
      </c>
      <c r="P81" s="35"/>
      <c r="Q81" s="34">
        <v>5</v>
      </c>
      <c r="R81" s="35"/>
      <c r="S81" s="34">
        <v>19</v>
      </c>
      <c r="T81" s="35"/>
      <c r="U81" s="34">
        <v>22</v>
      </c>
      <c r="V81" s="35"/>
      <c r="W81" s="34" t="s">
        <v>148</v>
      </c>
      <c r="X81" s="35"/>
      <c r="Y81" s="34">
        <v>16</v>
      </c>
      <c r="Z81" s="35"/>
      <c r="AA81" s="34">
        <v>14</v>
      </c>
      <c r="AB81" s="35"/>
      <c r="AC81" s="34" t="s">
        <v>148</v>
      </c>
      <c r="AD81" s="35"/>
      <c r="AE81" s="34" t="s">
        <v>148</v>
      </c>
      <c r="AF81" s="35"/>
      <c r="AG81" s="34">
        <v>7</v>
      </c>
      <c r="AH81" s="35"/>
      <c r="AI81" s="34">
        <v>13</v>
      </c>
      <c r="AJ81" s="35"/>
      <c r="AK81" s="34">
        <v>14</v>
      </c>
      <c r="AL81" s="35"/>
      <c r="AM81" s="34" t="s">
        <v>148</v>
      </c>
      <c r="AN81" s="35"/>
      <c r="AO81" s="34">
        <v>5</v>
      </c>
      <c r="AP81" s="35"/>
      <c r="AQ81" s="34">
        <v>1</v>
      </c>
      <c r="AR81" s="35"/>
      <c r="AS81" s="34" t="s">
        <v>148</v>
      </c>
      <c r="AT81" s="35"/>
    </row>
    <row r="82" spans="1:46" x14ac:dyDescent="0.25">
      <c r="A82" s="10" t="s">
        <v>1770</v>
      </c>
      <c r="B82" s="10"/>
      <c r="C82" s="34" t="s">
        <v>148</v>
      </c>
      <c r="D82" s="35"/>
      <c r="E82" s="34" t="s">
        <v>148</v>
      </c>
      <c r="F82" s="35"/>
      <c r="G82" s="34" t="s">
        <v>148</v>
      </c>
      <c r="H82" s="35"/>
      <c r="I82" s="34" t="s">
        <v>148</v>
      </c>
      <c r="J82" s="35"/>
      <c r="K82" s="34" t="s">
        <v>148</v>
      </c>
      <c r="L82" s="35"/>
      <c r="M82" s="34" t="s">
        <v>148</v>
      </c>
      <c r="N82" s="35"/>
      <c r="O82" s="34" t="s">
        <v>148</v>
      </c>
      <c r="P82" s="35"/>
      <c r="Q82" s="34">
        <v>7</v>
      </c>
      <c r="R82" s="35"/>
      <c r="S82" s="34">
        <v>-3</v>
      </c>
      <c r="T82" s="35"/>
      <c r="U82" s="34">
        <v>-9</v>
      </c>
      <c r="V82" s="35"/>
      <c r="W82" s="34" t="s">
        <v>148</v>
      </c>
      <c r="X82" s="35"/>
      <c r="Y82" s="34">
        <v>-4</v>
      </c>
      <c r="Z82" s="35"/>
      <c r="AA82" s="34">
        <v>15</v>
      </c>
      <c r="AB82" s="35"/>
      <c r="AC82" s="34" t="s">
        <v>148</v>
      </c>
      <c r="AD82" s="35"/>
      <c r="AE82" s="34" t="s">
        <v>148</v>
      </c>
      <c r="AF82" s="35"/>
      <c r="AG82" s="34">
        <v>-16</v>
      </c>
      <c r="AH82" s="35"/>
      <c r="AI82" s="34">
        <v>2</v>
      </c>
      <c r="AJ82" s="35"/>
      <c r="AK82" s="34">
        <v>-13</v>
      </c>
      <c r="AL82" s="35"/>
      <c r="AM82" s="34" t="s">
        <v>148</v>
      </c>
      <c r="AN82" s="35"/>
      <c r="AO82" s="34">
        <v>0</v>
      </c>
      <c r="AP82" s="35"/>
      <c r="AQ82" s="34">
        <v>0</v>
      </c>
      <c r="AR82" s="35"/>
      <c r="AS82" s="34" t="s">
        <v>148</v>
      </c>
      <c r="AT82" s="35"/>
    </row>
    <row r="83" spans="1:46" x14ac:dyDescent="0.25">
      <c r="A83" s="10" t="s">
        <v>1772</v>
      </c>
      <c r="B83" s="10"/>
      <c r="C83" s="34" t="s">
        <v>148</v>
      </c>
      <c r="D83" s="35"/>
      <c r="E83" s="34">
        <v>7</v>
      </c>
      <c r="F83" s="35"/>
      <c r="G83" s="34">
        <v>12</v>
      </c>
      <c r="H83" s="35"/>
      <c r="I83" s="34">
        <v>10</v>
      </c>
      <c r="J83" s="35"/>
      <c r="K83" s="34" t="s">
        <v>148</v>
      </c>
      <c r="L83" s="35"/>
      <c r="M83" s="34">
        <v>0</v>
      </c>
      <c r="N83" s="35"/>
      <c r="O83" s="34">
        <v>2</v>
      </c>
      <c r="P83" s="35"/>
      <c r="Q83" s="34">
        <v>3</v>
      </c>
      <c r="R83" s="35"/>
      <c r="S83" s="34">
        <v>-3</v>
      </c>
      <c r="T83" s="35"/>
      <c r="U83" s="34">
        <v>12</v>
      </c>
      <c r="V83" s="35"/>
      <c r="W83" s="34" t="s">
        <v>148</v>
      </c>
      <c r="X83" s="35"/>
      <c r="Y83" s="34">
        <v>6</v>
      </c>
      <c r="Z83" s="35"/>
      <c r="AA83" s="34">
        <v>10</v>
      </c>
      <c r="AB83" s="35"/>
      <c r="AC83" s="34" t="s">
        <v>148</v>
      </c>
      <c r="AD83" s="35"/>
      <c r="AE83" s="34" t="s">
        <v>148</v>
      </c>
      <c r="AF83" s="35"/>
      <c r="AG83" s="34">
        <v>4</v>
      </c>
      <c r="AH83" s="35"/>
      <c r="AI83" s="34">
        <v>-1</v>
      </c>
      <c r="AJ83" s="35"/>
      <c r="AK83" s="34" t="s">
        <v>148</v>
      </c>
      <c r="AL83" s="35"/>
      <c r="AM83" s="34" t="s">
        <v>148</v>
      </c>
      <c r="AN83" s="35"/>
      <c r="AO83" s="34">
        <v>-5</v>
      </c>
      <c r="AP83" s="35"/>
      <c r="AQ83" s="34">
        <v>0</v>
      </c>
      <c r="AR83" s="35"/>
      <c r="AS83" s="34" t="s">
        <v>148</v>
      </c>
      <c r="AT83" s="35"/>
    </row>
    <row r="84" spans="1:46" x14ac:dyDescent="0.25">
      <c r="A84" s="10" t="s">
        <v>1786</v>
      </c>
      <c r="B84" s="10"/>
      <c r="C84" s="34" t="s">
        <v>148</v>
      </c>
      <c r="D84" s="35"/>
      <c r="E84" s="34">
        <v>-19</v>
      </c>
      <c r="F84" s="35"/>
      <c r="G84" s="34">
        <v>-20</v>
      </c>
      <c r="H84" s="35"/>
      <c r="I84" s="34">
        <v>-18</v>
      </c>
      <c r="J84" s="35"/>
      <c r="K84" s="34" t="s">
        <v>148</v>
      </c>
      <c r="L84" s="35"/>
      <c r="M84" s="34">
        <v>-4</v>
      </c>
      <c r="N84" s="35"/>
      <c r="O84" s="34">
        <v>-23</v>
      </c>
      <c r="P84" s="35"/>
      <c r="Q84" s="34" t="s">
        <v>148</v>
      </c>
      <c r="R84" s="35"/>
      <c r="S84" s="34">
        <v>-29</v>
      </c>
      <c r="T84" s="35"/>
      <c r="U84" s="34">
        <v>-13</v>
      </c>
      <c r="V84" s="35"/>
      <c r="W84" s="34" t="s">
        <v>148</v>
      </c>
      <c r="X84" s="35"/>
      <c r="Y84" s="34">
        <v>10</v>
      </c>
      <c r="Z84" s="35"/>
      <c r="AA84" s="34">
        <v>-2</v>
      </c>
      <c r="AB84" s="35"/>
      <c r="AC84" s="34" t="s">
        <v>148</v>
      </c>
      <c r="AD84" s="35"/>
      <c r="AE84" s="34" t="s">
        <v>148</v>
      </c>
      <c r="AF84" s="35"/>
      <c r="AG84" s="34">
        <v>-16</v>
      </c>
      <c r="AH84" s="35"/>
      <c r="AI84" s="34">
        <v>-7</v>
      </c>
      <c r="AJ84" s="35"/>
      <c r="AK84" s="34">
        <v>-16</v>
      </c>
      <c r="AL84" s="35"/>
      <c r="AM84" s="34" t="s">
        <v>148</v>
      </c>
      <c r="AN84" s="35"/>
      <c r="AO84" s="34">
        <v>-13</v>
      </c>
      <c r="AP84" s="35"/>
      <c r="AQ84" s="34">
        <v>-2</v>
      </c>
      <c r="AR84" s="35"/>
      <c r="AS84" s="34" t="s">
        <v>148</v>
      </c>
      <c r="AT84" s="35"/>
    </row>
    <row r="85" spans="1:46" x14ac:dyDescent="0.25">
      <c r="A85" s="10" t="s">
        <v>1784</v>
      </c>
      <c r="B85" s="10"/>
      <c r="C85" s="34" t="s">
        <v>148</v>
      </c>
      <c r="D85" s="35"/>
      <c r="E85" s="34" t="s">
        <v>148</v>
      </c>
      <c r="F85" s="35"/>
      <c r="G85" s="34" t="s">
        <v>148</v>
      </c>
      <c r="H85" s="35"/>
      <c r="I85" s="34" t="s">
        <v>148</v>
      </c>
      <c r="J85" s="35"/>
      <c r="K85" s="34" t="s">
        <v>148</v>
      </c>
      <c r="L85" s="35"/>
      <c r="M85" s="34" t="s">
        <v>148</v>
      </c>
      <c r="N85" s="35"/>
      <c r="O85" s="34" t="s">
        <v>148</v>
      </c>
      <c r="P85" s="35"/>
      <c r="Q85" s="34">
        <v>2</v>
      </c>
      <c r="R85" s="35"/>
      <c r="S85" s="34">
        <v>0</v>
      </c>
      <c r="T85" s="35"/>
      <c r="U85" s="34">
        <v>38</v>
      </c>
      <c r="V85" s="35"/>
      <c r="W85" s="34" t="s">
        <v>148</v>
      </c>
      <c r="X85" s="35"/>
      <c r="Y85" s="34">
        <v>-25</v>
      </c>
      <c r="Z85" s="35"/>
      <c r="AA85" s="34">
        <v>-22</v>
      </c>
      <c r="AB85" s="35"/>
      <c r="AC85" s="34">
        <v>-26</v>
      </c>
      <c r="AD85" s="35"/>
      <c r="AE85" s="34" t="s">
        <v>148</v>
      </c>
      <c r="AF85" s="35"/>
      <c r="AG85" s="34">
        <v>-28</v>
      </c>
      <c r="AH85" s="35"/>
      <c r="AI85" s="34">
        <v>-24</v>
      </c>
      <c r="AJ85" s="35"/>
      <c r="AK85" s="34" t="s">
        <v>148</v>
      </c>
      <c r="AL85" s="35"/>
      <c r="AM85" s="34" t="s">
        <v>148</v>
      </c>
      <c r="AN85" s="35"/>
      <c r="AO85" s="34">
        <v>-13</v>
      </c>
      <c r="AP85" s="35"/>
      <c r="AQ85" s="34">
        <v>-3</v>
      </c>
      <c r="AR85" s="35"/>
      <c r="AS85" s="34" t="s">
        <v>148</v>
      </c>
      <c r="AT85" s="35"/>
    </row>
    <row r="86" spans="1:46" x14ac:dyDescent="0.25">
      <c r="A86" s="10" t="s">
        <v>1788</v>
      </c>
      <c r="B86" s="10"/>
      <c r="C86" s="34" t="s">
        <v>148</v>
      </c>
      <c r="D86" s="35"/>
      <c r="E86" s="34">
        <v>-11</v>
      </c>
      <c r="F86" s="35"/>
      <c r="G86" s="34">
        <v>-24</v>
      </c>
      <c r="H86" s="35"/>
      <c r="I86" s="34">
        <v>-31</v>
      </c>
      <c r="J86" s="35"/>
      <c r="K86" s="34" t="s">
        <v>148</v>
      </c>
      <c r="L86" s="35"/>
      <c r="M86" s="34">
        <v>-40</v>
      </c>
      <c r="N86" s="35"/>
      <c r="O86" s="34">
        <v>-22</v>
      </c>
      <c r="P86" s="35"/>
      <c r="Q86" s="34">
        <v>3</v>
      </c>
      <c r="R86" s="35"/>
      <c r="S86" s="34">
        <v>-21</v>
      </c>
      <c r="T86" s="35"/>
      <c r="U86" s="34">
        <v>-17</v>
      </c>
      <c r="V86" s="35"/>
      <c r="W86" s="34" t="s">
        <v>148</v>
      </c>
      <c r="X86" s="35"/>
      <c r="Y86" s="34">
        <v>-28</v>
      </c>
      <c r="Z86" s="35"/>
      <c r="AA86" s="34">
        <v>-39</v>
      </c>
      <c r="AB86" s="35"/>
      <c r="AC86" s="34" t="s">
        <v>148</v>
      </c>
      <c r="AD86" s="35"/>
      <c r="AE86" s="34" t="s">
        <v>148</v>
      </c>
      <c r="AF86" s="35"/>
      <c r="AG86" s="34">
        <v>-31</v>
      </c>
      <c r="AH86" s="35"/>
      <c r="AI86" s="34">
        <v>-24</v>
      </c>
      <c r="AJ86" s="35"/>
      <c r="AK86" s="34">
        <v>-55</v>
      </c>
      <c r="AL86" s="35"/>
      <c r="AM86" s="34" t="s">
        <v>148</v>
      </c>
      <c r="AN86" s="35"/>
      <c r="AO86" s="34">
        <v>-59</v>
      </c>
      <c r="AP86" s="35"/>
      <c r="AQ86" s="34">
        <v>-9</v>
      </c>
      <c r="AR86" s="35"/>
      <c r="AS86" s="34" t="s">
        <v>148</v>
      </c>
      <c r="AT86" s="35"/>
    </row>
    <row r="87" spans="1:46" x14ac:dyDescent="0.25">
      <c r="A87" s="10" t="s">
        <v>1781</v>
      </c>
      <c r="B87" s="10"/>
      <c r="C87" s="34" t="s">
        <v>148</v>
      </c>
      <c r="D87" s="35"/>
      <c r="E87" s="34" t="s">
        <v>148</v>
      </c>
      <c r="F87" s="35"/>
      <c r="G87" s="34" t="s">
        <v>148</v>
      </c>
      <c r="H87" s="35"/>
      <c r="I87" s="34" t="s">
        <v>148</v>
      </c>
      <c r="J87" s="35"/>
      <c r="K87" s="34" t="s">
        <v>148</v>
      </c>
      <c r="L87" s="35"/>
      <c r="M87" s="34">
        <v>20</v>
      </c>
      <c r="N87" s="35"/>
      <c r="O87" s="34">
        <v>59</v>
      </c>
      <c r="P87" s="35"/>
      <c r="Q87" s="34">
        <v>2</v>
      </c>
      <c r="R87" s="35"/>
      <c r="S87" s="34">
        <v>-7</v>
      </c>
      <c r="T87" s="35"/>
      <c r="U87" s="34">
        <v>-16</v>
      </c>
      <c r="V87" s="35"/>
      <c r="W87" s="34" t="s">
        <v>148</v>
      </c>
      <c r="X87" s="35"/>
      <c r="Y87" s="34">
        <v>48</v>
      </c>
      <c r="Z87" s="35"/>
      <c r="AA87" s="34">
        <v>26</v>
      </c>
      <c r="AB87" s="35"/>
      <c r="AC87" s="34">
        <v>34</v>
      </c>
      <c r="AD87" s="35"/>
      <c r="AE87" s="34" t="s">
        <v>148</v>
      </c>
      <c r="AF87" s="35"/>
      <c r="AG87" s="34">
        <v>-35</v>
      </c>
      <c r="AH87" s="35"/>
      <c r="AI87" s="34">
        <v>-11</v>
      </c>
      <c r="AJ87" s="35"/>
      <c r="AK87" s="34">
        <v>-15</v>
      </c>
      <c r="AL87" s="35"/>
      <c r="AM87" s="34" t="s">
        <v>148</v>
      </c>
      <c r="AN87" s="35"/>
      <c r="AO87" s="34">
        <v>2</v>
      </c>
      <c r="AP87" s="35"/>
      <c r="AQ87" s="34">
        <v>-13</v>
      </c>
      <c r="AR87" s="35"/>
      <c r="AS87" s="34" t="s">
        <v>148</v>
      </c>
      <c r="AT87" s="35"/>
    </row>
    <row r="88" spans="1:46" x14ac:dyDescent="0.25">
      <c r="A88" s="10" t="s">
        <v>1768</v>
      </c>
      <c r="B88" s="10"/>
      <c r="C88" s="34" t="s">
        <v>148</v>
      </c>
      <c r="D88" s="35"/>
      <c r="E88" s="34">
        <v>5</v>
      </c>
      <c r="F88" s="35"/>
      <c r="G88" s="34">
        <v>5</v>
      </c>
      <c r="H88" s="35"/>
      <c r="I88" s="34">
        <v>7</v>
      </c>
      <c r="J88" s="35"/>
      <c r="K88" s="34" t="s">
        <v>148</v>
      </c>
      <c r="L88" s="35"/>
      <c r="M88" s="34">
        <v>1</v>
      </c>
      <c r="N88" s="35"/>
      <c r="O88" s="34">
        <v>-3</v>
      </c>
      <c r="P88" s="35"/>
      <c r="Q88" s="34">
        <v>5</v>
      </c>
      <c r="R88" s="35"/>
      <c r="S88" s="34">
        <v>-20</v>
      </c>
      <c r="T88" s="35"/>
      <c r="U88" s="34">
        <v>-8</v>
      </c>
      <c r="V88" s="35"/>
      <c r="W88" s="34" t="s">
        <v>148</v>
      </c>
      <c r="X88" s="35"/>
      <c r="Y88" s="34">
        <v>-6</v>
      </c>
      <c r="Z88" s="35"/>
      <c r="AA88" s="34">
        <v>-7</v>
      </c>
      <c r="AB88" s="35"/>
      <c r="AC88" s="34" t="s">
        <v>148</v>
      </c>
      <c r="AD88" s="35"/>
      <c r="AE88" s="34" t="s">
        <v>148</v>
      </c>
      <c r="AF88" s="35"/>
      <c r="AG88" s="34">
        <v>-33</v>
      </c>
      <c r="AH88" s="35"/>
      <c r="AI88" s="34">
        <v>2</v>
      </c>
      <c r="AJ88" s="35"/>
      <c r="AK88" s="34">
        <v>-6</v>
      </c>
      <c r="AL88" s="35"/>
      <c r="AM88" s="34" t="s">
        <v>148</v>
      </c>
      <c r="AN88" s="35"/>
      <c r="AO88" s="34">
        <v>-1</v>
      </c>
      <c r="AP88" s="35"/>
      <c r="AQ88" s="34">
        <v>-20</v>
      </c>
      <c r="AR88" s="35"/>
      <c r="AS88" s="34" t="s">
        <v>148</v>
      </c>
      <c r="AT88" s="35"/>
    </row>
    <row r="89" spans="1:46" x14ac:dyDescent="0.25">
      <c r="A89" s="10" t="s">
        <v>1792</v>
      </c>
      <c r="B89" s="10"/>
      <c r="C89" s="34" t="s">
        <v>148</v>
      </c>
      <c r="D89" s="35"/>
      <c r="E89" s="34">
        <v>-10</v>
      </c>
      <c r="F89" s="35"/>
      <c r="G89" s="34">
        <v>-11</v>
      </c>
      <c r="H89" s="35"/>
      <c r="I89" s="34">
        <v>-15</v>
      </c>
      <c r="J89" s="35"/>
      <c r="K89" s="34" t="s">
        <v>148</v>
      </c>
      <c r="L89" s="35"/>
      <c r="M89" s="34">
        <v>-29</v>
      </c>
      <c r="N89" s="35"/>
      <c r="O89" s="34">
        <v>-31</v>
      </c>
      <c r="P89" s="35"/>
      <c r="Q89" s="34" t="s">
        <v>148</v>
      </c>
      <c r="R89" s="35"/>
      <c r="S89" s="34">
        <v>-19</v>
      </c>
      <c r="T89" s="35"/>
      <c r="U89" s="34">
        <v>-19</v>
      </c>
      <c r="V89" s="35"/>
      <c r="W89" s="34" t="s">
        <v>148</v>
      </c>
      <c r="X89" s="35"/>
      <c r="Y89" s="34">
        <v>-4</v>
      </c>
      <c r="Z89" s="35"/>
      <c r="AA89" s="34">
        <v>5</v>
      </c>
      <c r="AB89" s="35"/>
      <c r="AC89" s="34">
        <v>-1</v>
      </c>
      <c r="AD89" s="35"/>
      <c r="AE89" s="34" t="s">
        <v>148</v>
      </c>
      <c r="AF89" s="35"/>
      <c r="AG89" s="34">
        <v>-50</v>
      </c>
      <c r="AH89" s="35"/>
      <c r="AI89" s="34">
        <v>-55</v>
      </c>
      <c r="AJ89" s="35"/>
      <c r="AK89" s="34">
        <v>-63</v>
      </c>
      <c r="AL89" s="35"/>
      <c r="AM89" s="34" t="s">
        <v>148</v>
      </c>
      <c r="AN89" s="35"/>
      <c r="AO89" s="34">
        <v>-32</v>
      </c>
      <c r="AP89" s="35"/>
      <c r="AQ89" s="34">
        <v>-34</v>
      </c>
      <c r="AR89" s="35"/>
      <c r="AS89" s="34" t="s">
        <v>148</v>
      </c>
      <c r="AT89" s="35"/>
    </row>
    <row r="90" spans="1:46" x14ac:dyDescent="0.25">
      <c r="A90" s="10" t="s">
        <v>1791</v>
      </c>
      <c r="B90" s="10"/>
      <c r="C90" s="34" t="s">
        <v>148</v>
      </c>
      <c r="D90" s="35"/>
      <c r="E90" s="34" t="s">
        <v>148</v>
      </c>
      <c r="F90" s="35"/>
      <c r="G90" s="34" t="s">
        <v>148</v>
      </c>
      <c r="H90" s="35"/>
      <c r="I90" s="34">
        <v>49</v>
      </c>
      <c r="J90" s="35"/>
      <c r="K90" s="34" t="s">
        <v>148</v>
      </c>
      <c r="L90" s="35"/>
      <c r="M90" s="34">
        <v>34</v>
      </c>
      <c r="N90" s="35"/>
      <c r="O90" s="34">
        <v>14</v>
      </c>
      <c r="P90" s="35"/>
      <c r="Q90" s="34">
        <v>2</v>
      </c>
      <c r="R90" s="35"/>
      <c r="S90" s="34">
        <v>-68</v>
      </c>
      <c r="T90" s="35"/>
      <c r="U90" s="34">
        <v>-77</v>
      </c>
      <c r="V90" s="35"/>
      <c r="W90" s="34" t="s">
        <v>148</v>
      </c>
      <c r="X90" s="35"/>
      <c r="Y90" s="34">
        <v>24</v>
      </c>
      <c r="Z90" s="35"/>
      <c r="AA90" s="34">
        <v>54</v>
      </c>
      <c r="AB90" s="35"/>
      <c r="AC90" s="34">
        <v>0</v>
      </c>
      <c r="AD90" s="35"/>
      <c r="AE90" s="34" t="s">
        <v>148</v>
      </c>
      <c r="AF90" s="35"/>
      <c r="AG90" s="34">
        <v>2</v>
      </c>
      <c r="AH90" s="35"/>
      <c r="AI90" s="34">
        <v>-24</v>
      </c>
      <c r="AJ90" s="35"/>
      <c r="AK90" s="34">
        <v>-3</v>
      </c>
      <c r="AL90" s="35"/>
      <c r="AM90" s="34" t="s">
        <v>148</v>
      </c>
      <c r="AN90" s="35"/>
      <c r="AO90" s="34">
        <v>12</v>
      </c>
      <c r="AP90" s="35"/>
      <c r="AQ90" s="34">
        <v>-46</v>
      </c>
      <c r="AR90" s="35"/>
      <c r="AS90" s="34" t="s">
        <v>148</v>
      </c>
      <c r="AT90" s="35"/>
    </row>
    <row r="91" spans="1:46" x14ac:dyDescent="0.25">
      <c r="A91" s="10" t="s">
        <v>1787</v>
      </c>
      <c r="B91" s="10"/>
      <c r="C91" s="34" t="s">
        <v>148</v>
      </c>
      <c r="D91" s="35"/>
      <c r="E91" s="34" t="s">
        <v>148</v>
      </c>
      <c r="F91" s="35"/>
      <c r="G91" s="34" t="s">
        <v>148</v>
      </c>
      <c r="H91" s="35"/>
      <c r="I91" s="34" t="s">
        <v>148</v>
      </c>
      <c r="J91" s="35"/>
      <c r="K91" s="34" t="s">
        <v>148</v>
      </c>
      <c r="L91" s="35"/>
      <c r="M91" s="34" t="s">
        <v>148</v>
      </c>
      <c r="N91" s="35"/>
      <c r="O91" s="34" t="s">
        <v>148</v>
      </c>
      <c r="P91" s="35"/>
      <c r="Q91" s="34" t="s">
        <v>148</v>
      </c>
      <c r="R91" s="35"/>
      <c r="S91" s="34" t="s">
        <v>148</v>
      </c>
      <c r="T91" s="35"/>
      <c r="U91" s="34" t="s">
        <v>148</v>
      </c>
      <c r="V91" s="35"/>
      <c r="W91" s="34" t="s">
        <v>148</v>
      </c>
      <c r="X91" s="35"/>
      <c r="Y91" s="34" t="s">
        <v>148</v>
      </c>
      <c r="Z91" s="35"/>
      <c r="AA91" s="34" t="s">
        <v>148</v>
      </c>
      <c r="AB91" s="35"/>
      <c r="AC91" s="34" t="s">
        <v>148</v>
      </c>
      <c r="AD91" s="35"/>
      <c r="AE91" s="34" t="s">
        <v>148</v>
      </c>
      <c r="AF91" s="35"/>
      <c r="AG91" s="34" t="s">
        <v>148</v>
      </c>
      <c r="AH91" s="35"/>
      <c r="AI91" s="34" t="s">
        <v>148</v>
      </c>
      <c r="AJ91" s="35"/>
      <c r="AK91" s="34" t="s">
        <v>148</v>
      </c>
      <c r="AL91" s="35"/>
      <c r="AM91" s="34" t="s">
        <v>148</v>
      </c>
      <c r="AN91" s="35"/>
      <c r="AO91" s="34">
        <v>96</v>
      </c>
      <c r="AP91" s="35"/>
      <c r="AQ91" s="34" t="s">
        <v>148</v>
      </c>
      <c r="AR91" s="35"/>
      <c r="AS91" s="34" t="s">
        <v>148</v>
      </c>
      <c r="AT91" s="35"/>
    </row>
    <row r="92" spans="1:46" x14ac:dyDescent="0.25">
      <c r="A92" s="10" t="s">
        <v>1805</v>
      </c>
      <c r="B92" s="10"/>
      <c r="C92" s="34" t="s">
        <v>148</v>
      </c>
      <c r="D92" s="35"/>
      <c r="E92" s="34" t="s">
        <v>148</v>
      </c>
      <c r="F92" s="35"/>
      <c r="G92" s="34" t="s">
        <v>148</v>
      </c>
      <c r="H92" s="35"/>
      <c r="I92" s="34" t="s">
        <v>148</v>
      </c>
      <c r="J92" s="35"/>
      <c r="K92" s="34" t="s">
        <v>148</v>
      </c>
      <c r="L92" s="35"/>
      <c r="M92" s="34" t="s">
        <v>148</v>
      </c>
      <c r="N92" s="35"/>
      <c r="O92" s="34" t="s">
        <v>148</v>
      </c>
      <c r="P92" s="35"/>
      <c r="Q92" s="34" t="s">
        <v>148</v>
      </c>
      <c r="R92" s="35"/>
      <c r="S92" s="34">
        <v>-6</v>
      </c>
      <c r="T92" s="35"/>
      <c r="U92" s="34">
        <v>12</v>
      </c>
      <c r="V92" s="35"/>
      <c r="W92" s="34" t="s">
        <v>148</v>
      </c>
      <c r="X92" s="35"/>
      <c r="Y92" s="34">
        <v>10</v>
      </c>
      <c r="Z92" s="35"/>
      <c r="AA92" s="34">
        <v>10</v>
      </c>
      <c r="AB92" s="35"/>
      <c r="AC92" s="34" t="s">
        <v>148</v>
      </c>
      <c r="AD92" s="35"/>
      <c r="AE92" s="34" t="s">
        <v>148</v>
      </c>
      <c r="AF92" s="35"/>
      <c r="AG92" s="34" t="s">
        <v>148</v>
      </c>
      <c r="AH92" s="35"/>
      <c r="AI92" s="34" t="s">
        <v>148</v>
      </c>
      <c r="AJ92" s="35"/>
      <c r="AK92" s="34">
        <v>3</v>
      </c>
      <c r="AL92" s="35"/>
      <c r="AM92" s="34" t="s">
        <v>148</v>
      </c>
      <c r="AN92" s="35"/>
      <c r="AO92" s="34" t="s">
        <v>148</v>
      </c>
      <c r="AP92" s="35"/>
      <c r="AQ92" s="34" t="s">
        <v>148</v>
      </c>
      <c r="AR92" s="35"/>
      <c r="AS92" s="34" t="s">
        <v>148</v>
      </c>
      <c r="AT92" s="35"/>
    </row>
    <row r="93" spans="1:46" x14ac:dyDescent="0.25">
      <c r="A93" s="10" t="s">
        <v>1794</v>
      </c>
      <c r="B93" s="10"/>
      <c r="C93" s="34" t="s">
        <v>148</v>
      </c>
      <c r="D93" s="35"/>
      <c r="E93" s="34" t="s">
        <v>148</v>
      </c>
      <c r="F93" s="35"/>
      <c r="G93" s="34" t="s">
        <v>148</v>
      </c>
      <c r="H93" s="35"/>
      <c r="I93" s="34" t="s">
        <v>148</v>
      </c>
      <c r="J93" s="35"/>
      <c r="K93" s="34" t="s">
        <v>148</v>
      </c>
      <c r="L93" s="35"/>
      <c r="M93" s="34" t="s">
        <v>148</v>
      </c>
      <c r="N93" s="35"/>
      <c r="O93" s="34" t="s">
        <v>148</v>
      </c>
      <c r="P93" s="35"/>
      <c r="Q93" s="34">
        <v>3</v>
      </c>
      <c r="R93" s="35"/>
      <c r="S93" s="34">
        <v>35</v>
      </c>
      <c r="T93" s="35"/>
      <c r="U93" s="34">
        <v>31</v>
      </c>
      <c r="V93" s="35"/>
      <c r="W93" s="34" t="s">
        <v>148</v>
      </c>
      <c r="X93" s="35"/>
      <c r="Y93" s="34">
        <v>-38</v>
      </c>
      <c r="Z93" s="35"/>
      <c r="AA93" s="34">
        <v>-43</v>
      </c>
      <c r="AB93" s="35"/>
      <c r="AC93" s="34">
        <v>-37</v>
      </c>
      <c r="AD93" s="35"/>
      <c r="AE93" s="34" t="s">
        <v>148</v>
      </c>
      <c r="AF93" s="35"/>
      <c r="AG93" s="34">
        <v>-59</v>
      </c>
      <c r="AH93" s="35"/>
      <c r="AI93" s="34">
        <v>-45</v>
      </c>
      <c r="AJ93" s="35"/>
      <c r="AK93" s="34">
        <v>-88</v>
      </c>
      <c r="AL93" s="35"/>
      <c r="AM93" s="34" t="s">
        <v>148</v>
      </c>
      <c r="AN93" s="35"/>
      <c r="AO93" s="34" t="s">
        <v>148</v>
      </c>
      <c r="AP93" s="35"/>
      <c r="AQ93" s="34" t="s">
        <v>148</v>
      </c>
      <c r="AR93" s="35"/>
      <c r="AS93" s="34" t="s">
        <v>148</v>
      </c>
      <c r="AT93" s="35"/>
    </row>
    <row r="94" spans="1:46" x14ac:dyDescent="0.25">
      <c r="A94" s="10" t="s">
        <v>1806</v>
      </c>
      <c r="B94" s="10"/>
      <c r="C94" s="34" t="s">
        <v>148</v>
      </c>
      <c r="D94" s="35"/>
      <c r="E94" s="34" t="s">
        <v>148</v>
      </c>
      <c r="F94" s="35"/>
      <c r="G94" s="34" t="s">
        <v>148</v>
      </c>
      <c r="H94" s="35"/>
      <c r="I94" s="34" t="s">
        <v>148</v>
      </c>
      <c r="J94" s="35"/>
      <c r="K94" s="34" t="s">
        <v>148</v>
      </c>
      <c r="L94" s="35"/>
      <c r="M94" s="34" t="s">
        <v>148</v>
      </c>
      <c r="N94" s="35"/>
      <c r="O94" s="34" t="s">
        <v>148</v>
      </c>
      <c r="P94" s="35"/>
      <c r="Q94" s="34" t="s">
        <v>148</v>
      </c>
      <c r="R94" s="35"/>
      <c r="S94" s="34">
        <v>-60</v>
      </c>
      <c r="T94" s="35"/>
      <c r="U94" s="34" t="s">
        <v>148</v>
      </c>
      <c r="V94" s="35"/>
      <c r="W94" s="34" t="s">
        <v>148</v>
      </c>
      <c r="X94" s="35"/>
      <c r="Y94" s="34">
        <v>28</v>
      </c>
      <c r="Z94" s="35"/>
      <c r="AA94" s="34" t="s">
        <v>148</v>
      </c>
      <c r="AB94" s="35"/>
      <c r="AC94" s="34" t="s">
        <v>148</v>
      </c>
      <c r="AD94" s="35"/>
      <c r="AE94" s="34" t="s">
        <v>148</v>
      </c>
      <c r="AF94" s="35"/>
      <c r="AG94" s="34" t="s">
        <v>148</v>
      </c>
      <c r="AH94" s="35"/>
      <c r="AI94" s="34" t="s">
        <v>148</v>
      </c>
      <c r="AJ94" s="35"/>
      <c r="AK94" s="34" t="s">
        <v>148</v>
      </c>
      <c r="AL94" s="35"/>
      <c r="AM94" s="34" t="s">
        <v>148</v>
      </c>
      <c r="AN94" s="35"/>
      <c r="AO94" s="34" t="s">
        <v>148</v>
      </c>
      <c r="AP94" s="35"/>
      <c r="AQ94" s="34" t="s">
        <v>148</v>
      </c>
      <c r="AR94" s="35"/>
      <c r="AS94" s="34" t="s">
        <v>148</v>
      </c>
      <c r="AT94" s="35"/>
    </row>
    <row r="95" spans="1:46" x14ac:dyDescent="0.25">
      <c r="A95" s="10" t="s">
        <v>1797</v>
      </c>
      <c r="B95" s="10"/>
      <c r="C95" s="34" t="s">
        <v>148</v>
      </c>
      <c r="D95" s="35"/>
      <c r="E95" s="34">
        <v>8</v>
      </c>
      <c r="F95" s="35"/>
      <c r="G95" s="34">
        <v>9</v>
      </c>
      <c r="H95" s="35"/>
      <c r="I95" s="34">
        <v>15</v>
      </c>
      <c r="J95" s="35"/>
      <c r="K95" s="34" t="s">
        <v>148</v>
      </c>
      <c r="L95" s="35"/>
      <c r="M95" s="34">
        <v>25</v>
      </c>
      <c r="N95" s="35"/>
      <c r="O95" s="34">
        <v>4</v>
      </c>
      <c r="P95" s="35"/>
      <c r="Q95" s="34" t="s">
        <v>148</v>
      </c>
      <c r="R95" s="35"/>
      <c r="S95" s="34">
        <v>5</v>
      </c>
      <c r="T95" s="35"/>
      <c r="U95" s="34">
        <v>18</v>
      </c>
      <c r="V95" s="35"/>
      <c r="W95" s="34" t="s">
        <v>148</v>
      </c>
      <c r="X95" s="35"/>
      <c r="Y95" s="34">
        <v>0</v>
      </c>
      <c r="Z95" s="35"/>
      <c r="AA95" s="34">
        <v>5</v>
      </c>
      <c r="AB95" s="35"/>
      <c r="AC95" s="34" t="s">
        <v>148</v>
      </c>
      <c r="AD95" s="35"/>
      <c r="AE95" s="34" t="s">
        <v>148</v>
      </c>
      <c r="AF95" s="35"/>
      <c r="AG95" s="34" t="s">
        <v>148</v>
      </c>
      <c r="AH95" s="35"/>
      <c r="AI95" s="34">
        <v>6</v>
      </c>
      <c r="AJ95" s="35"/>
      <c r="AK95" s="34">
        <v>5</v>
      </c>
      <c r="AL95" s="35"/>
      <c r="AM95" s="34" t="s">
        <v>148</v>
      </c>
      <c r="AN95" s="35"/>
      <c r="AO95" s="34">
        <v>15</v>
      </c>
      <c r="AP95" s="35"/>
      <c r="AQ95" s="34">
        <v>17</v>
      </c>
      <c r="AR95" s="35"/>
      <c r="AS95" s="34" t="s">
        <v>148</v>
      </c>
      <c r="AT95" s="35"/>
    </row>
    <row r="96" spans="1:46" x14ac:dyDescent="0.25">
      <c r="A96" s="10" t="s">
        <v>1775</v>
      </c>
      <c r="B96" s="10"/>
      <c r="C96" s="34" t="s">
        <v>148</v>
      </c>
      <c r="D96" s="35"/>
      <c r="E96" s="34">
        <v>49</v>
      </c>
      <c r="F96" s="35"/>
      <c r="G96" s="34">
        <v>22</v>
      </c>
      <c r="H96" s="35"/>
      <c r="I96" s="34">
        <v>73</v>
      </c>
      <c r="J96" s="35"/>
      <c r="K96" s="34" t="s">
        <v>148</v>
      </c>
      <c r="L96" s="35"/>
      <c r="M96" s="34">
        <v>81</v>
      </c>
      <c r="N96" s="35"/>
      <c r="O96" s="34">
        <v>36</v>
      </c>
      <c r="P96" s="35"/>
      <c r="Q96" s="34">
        <v>11</v>
      </c>
      <c r="R96" s="35"/>
      <c r="S96" s="34">
        <v>40</v>
      </c>
      <c r="T96" s="35"/>
      <c r="U96" s="34">
        <v>68</v>
      </c>
      <c r="V96" s="35"/>
      <c r="W96" s="34" t="s">
        <v>148</v>
      </c>
      <c r="X96" s="35"/>
      <c r="Y96" s="34">
        <v>12</v>
      </c>
      <c r="Z96" s="35"/>
      <c r="AA96" s="34">
        <v>20</v>
      </c>
      <c r="AB96" s="35"/>
      <c r="AC96" s="34" t="s">
        <v>148</v>
      </c>
      <c r="AD96" s="35"/>
      <c r="AE96" s="34" t="s">
        <v>148</v>
      </c>
      <c r="AF96" s="35"/>
      <c r="AG96" s="34">
        <v>16</v>
      </c>
      <c r="AH96" s="35"/>
      <c r="AI96" s="34">
        <v>24</v>
      </c>
      <c r="AJ96" s="35"/>
      <c r="AK96" s="34">
        <v>34</v>
      </c>
      <c r="AL96" s="35"/>
      <c r="AM96" s="34" t="s">
        <v>148</v>
      </c>
      <c r="AN96" s="35"/>
      <c r="AO96" s="34">
        <v>28</v>
      </c>
      <c r="AP96" s="35"/>
      <c r="AQ96" s="34">
        <v>28</v>
      </c>
      <c r="AR96" s="35"/>
      <c r="AS96" s="34" t="s">
        <v>148</v>
      </c>
      <c r="AT96" s="35"/>
    </row>
    <row r="97" spans="1:46" x14ac:dyDescent="0.25">
      <c r="A97" s="10" t="s">
        <v>1778</v>
      </c>
      <c r="B97" s="10"/>
      <c r="C97" s="34" t="s">
        <v>148</v>
      </c>
      <c r="D97" s="35"/>
      <c r="E97" s="34">
        <v>53</v>
      </c>
      <c r="F97" s="35"/>
      <c r="G97" s="34">
        <v>50</v>
      </c>
      <c r="H97" s="35"/>
      <c r="I97" s="34">
        <v>52</v>
      </c>
      <c r="J97" s="35"/>
      <c r="K97" s="34" t="s">
        <v>148</v>
      </c>
      <c r="L97" s="35"/>
      <c r="M97" s="34">
        <v>28</v>
      </c>
      <c r="N97" s="35"/>
      <c r="O97" s="34">
        <v>-8</v>
      </c>
      <c r="P97" s="35"/>
      <c r="Q97" s="34">
        <v>8</v>
      </c>
      <c r="R97" s="35"/>
      <c r="S97" s="34">
        <v>14</v>
      </c>
      <c r="T97" s="35"/>
      <c r="U97" s="34">
        <v>24</v>
      </c>
      <c r="V97" s="35"/>
      <c r="W97" s="34" t="s">
        <v>148</v>
      </c>
      <c r="X97" s="35"/>
      <c r="Y97" s="34">
        <v>40</v>
      </c>
      <c r="Z97" s="35"/>
      <c r="AA97" s="34">
        <v>35</v>
      </c>
      <c r="AB97" s="35"/>
      <c r="AC97" s="34">
        <v>14</v>
      </c>
      <c r="AD97" s="35"/>
      <c r="AE97" s="34" t="s">
        <v>148</v>
      </c>
      <c r="AF97" s="35"/>
      <c r="AG97" s="34">
        <v>15</v>
      </c>
      <c r="AH97" s="35"/>
      <c r="AI97" s="34">
        <v>-2</v>
      </c>
      <c r="AJ97" s="35"/>
      <c r="AK97" s="34">
        <v>26</v>
      </c>
      <c r="AL97" s="35"/>
      <c r="AM97" s="34" t="s">
        <v>148</v>
      </c>
      <c r="AN97" s="35"/>
      <c r="AO97" s="34">
        <v>34</v>
      </c>
      <c r="AP97" s="35"/>
      <c r="AQ97" s="34">
        <v>23</v>
      </c>
      <c r="AR97" s="35"/>
      <c r="AS97" s="34" t="s">
        <v>148</v>
      </c>
      <c r="AT97" s="35"/>
    </row>
    <row r="98" spans="1:46" x14ac:dyDescent="0.25">
      <c r="A98" s="10" t="s">
        <v>1787</v>
      </c>
      <c r="B98" s="10"/>
      <c r="C98" s="34" t="s">
        <v>148</v>
      </c>
      <c r="D98" s="35"/>
      <c r="E98" s="34" t="s">
        <v>148</v>
      </c>
      <c r="F98" s="35"/>
      <c r="G98" s="34" t="s">
        <v>148</v>
      </c>
      <c r="H98" s="35"/>
      <c r="I98" s="34" t="s">
        <v>148</v>
      </c>
      <c r="J98" s="35"/>
      <c r="K98" s="34" t="s">
        <v>148</v>
      </c>
      <c r="L98" s="35"/>
      <c r="M98" s="34" t="s">
        <v>148</v>
      </c>
      <c r="N98" s="35"/>
      <c r="O98" s="34" t="s">
        <v>148</v>
      </c>
      <c r="P98" s="35"/>
      <c r="Q98" s="34" t="s">
        <v>148</v>
      </c>
      <c r="R98" s="35"/>
      <c r="S98" s="34" t="s">
        <v>148</v>
      </c>
      <c r="T98" s="35"/>
      <c r="U98" s="34" t="s">
        <v>148</v>
      </c>
      <c r="V98" s="35"/>
      <c r="W98" s="34" t="s">
        <v>148</v>
      </c>
      <c r="X98" s="35"/>
      <c r="Y98" s="34" t="s">
        <v>148</v>
      </c>
      <c r="Z98" s="35"/>
      <c r="AA98" s="34" t="s">
        <v>148</v>
      </c>
      <c r="AB98" s="35"/>
      <c r="AC98" s="34" t="s">
        <v>148</v>
      </c>
      <c r="AD98" s="35"/>
      <c r="AE98" s="34" t="s">
        <v>148</v>
      </c>
      <c r="AF98" s="35"/>
      <c r="AG98" s="34" t="s">
        <v>148</v>
      </c>
      <c r="AH98" s="35"/>
      <c r="AI98" s="34" t="s">
        <v>148</v>
      </c>
      <c r="AJ98" s="35"/>
      <c r="AK98" s="34" t="s">
        <v>148</v>
      </c>
      <c r="AL98" s="35"/>
      <c r="AM98" s="34" t="s">
        <v>148</v>
      </c>
      <c r="AN98" s="35"/>
      <c r="AO98" s="34" t="s">
        <v>148</v>
      </c>
      <c r="AP98" s="35"/>
      <c r="AQ98" s="34">
        <v>20</v>
      </c>
      <c r="AR98" s="35"/>
      <c r="AS98" s="34" t="s">
        <v>148</v>
      </c>
      <c r="AT98" s="35"/>
    </row>
    <row r="99" spans="1:46" x14ac:dyDescent="0.25">
      <c r="A99" s="10" t="s">
        <v>1779</v>
      </c>
      <c r="B99" s="10"/>
      <c r="C99" s="34" t="s">
        <v>148</v>
      </c>
      <c r="D99" s="35"/>
      <c r="E99" s="34">
        <v>7</v>
      </c>
      <c r="F99" s="35"/>
      <c r="G99" s="34">
        <v>-10</v>
      </c>
      <c r="H99" s="35"/>
      <c r="I99" s="34">
        <v>14</v>
      </c>
      <c r="J99" s="35"/>
      <c r="K99" s="34" t="s">
        <v>148</v>
      </c>
      <c r="L99" s="35"/>
      <c r="M99" s="34">
        <v>2</v>
      </c>
      <c r="N99" s="35"/>
      <c r="O99" s="34">
        <v>-16</v>
      </c>
      <c r="P99" s="35"/>
      <c r="Q99" s="34">
        <v>6</v>
      </c>
      <c r="R99" s="35"/>
      <c r="S99" s="34">
        <v>-1</v>
      </c>
      <c r="T99" s="35"/>
      <c r="U99" s="34">
        <v>5</v>
      </c>
      <c r="V99" s="35"/>
      <c r="W99" s="34" t="s">
        <v>148</v>
      </c>
      <c r="X99" s="35"/>
      <c r="Y99" s="34">
        <v>-1</v>
      </c>
      <c r="Z99" s="35"/>
      <c r="AA99" s="34">
        <v>16</v>
      </c>
      <c r="AB99" s="35"/>
      <c r="AC99" s="34" t="s">
        <v>148</v>
      </c>
      <c r="AD99" s="35"/>
      <c r="AE99" s="34" t="s">
        <v>148</v>
      </c>
      <c r="AF99" s="35"/>
      <c r="AG99" s="34">
        <v>36</v>
      </c>
      <c r="AH99" s="35"/>
      <c r="AI99" s="34">
        <v>8</v>
      </c>
      <c r="AJ99" s="35"/>
      <c r="AK99" s="34">
        <v>17</v>
      </c>
      <c r="AL99" s="35"/>
      <c r="AM99" s="34" t="s">
        <v>148</v>
      </c>
      <c r="AN99" s="35"/>
      <c r="AO99" s="34">
        <v>15</v>
      </c>
      <c r="AP99" s="35"/>
      <c r="AQ99" s="34">
        <v>19</v>
      </c>
      <c r="AR99" s="35"/>
      <c r="AS99" s="34" t="s">
        <v>148</v>
      </c>
      <c r="AT99" s="35"/>
    </row>
    <row r="100" spans="1:46" x14ac:dyDescent="0.25">
      <c r="A100" s="10" t="s">
        <v>1774</v>
      </c>
      <c r="B100" s="10"/>
      <c r="C100" s="34" t="s">
        <v>148</v>
      </c>
      <c r="D100" s="35"/>
      <c r="E100" s="34" t="s">
        <v>148</v>
      </c>
      <c r="F100" s="35"/>
      <c r="G100" s="34" t="s">
        <v>148</v>
      </c>
      <c r="H100" s="35"/>
      <c r="I100" s="34" t="s">
        <v>148</v>
      </c>
      <c r="J100" s="35"/>
      <c r="K100" s="34" t="s">
        <v>148</v>
      </c>
      <c r="L100" s="35"/>
      <c r="M100" s="34" t="s">
        <v>148</v>
      </c>
      <c r="N100" s="35"/>
      <c r="O100" s="34">
        <v>-89</v>
      </c>
      <c r="P100" s="35"/>
      <c r="Q100" s="34" t="s">
        <v>148</v>
      </c>
      <c r="R100" s="35"/>
      <c r="S100" s="34">
        <v>-21</v>
      </c>
      <c r="T100" s="35"/>
      <c r="U100" s="34">
        <v>-15</v>
      </c>
      <c r="V100" s="35"/>
      <c r="W100" s="34" t="s">
        <v>148</v>
      </c>
      <c r="X100" s="35"/>
      <c r="Y100" s="34">
        <v>20</v>
      </c>
      <c r="Z100" s="35"/>
      <c r="AA100" s="34">
        <v>17</v>
      </c>
      <c r="AB100" s="35"/>
      <c r="AC100" s="34">
        <v>18</v>
      </c>
      <c r="AD100" s="35"/>
      <c r="AE100" s="34" t="s">
        <v>148</v>
      </c>
      <c r="AF100" s="35"/>
      <c r="AG100" s="34">
        <v>50</v>
      </c>
      <c r="AH100" s="35"/>
      <c r="AI100" s="34">
        <v>46</v>
      </c>
      <c r="AJ100" s="35"/>
      <c r="AK100" s="34">
        <v>43</v>
      </c>
      <c r="AL100" s="35"/>
      <c r="AM100" s="34" t="s">
        <v>148</v>
      </c>
      <c r="AN100" s="35"/>
      <c r="AO100" s="34">
        <v>18</v>
      </c>
      <c r="AP100" s="35"/>
      <c r="AQ100" s="34">
        <v>18</v>
      </c>
      <c r="AR100" s="35"/>
      <c r="AS100" s="34" t="s">
        <v>148</v>
      </c>
      <c r="AT100" s="35"/>
    </row>
    <row r="101" spans="1:46" x14ac:dyDescent="0.25">
      <c r="A101" s="10" t="s">
        <v>1772</v>
      </c>
      <c r="B101" s="10"/>
      <c r="C101" s="34" t="s">
        <v>148</v>
      </c>
      <c r="D101" s="35"/>
      <c r="E101" s="34">
        <v>2</v>
      </c>
      <c r="F101" s="35"/>
      <c r="G101" s="34">
        <v>6</v>
      </c>
      <c r="H101" s="35"/>
      <c r="I101" s="34">
        <v>9</v>
      </c>
      <c r="J101" s="35"/>
      <c r="K101" s="34" t="s">
        <v>148</v>
      </c>
      <c r="L101" s="35"/>
      <c r="M101" s="34">
        <v>10</v>
      </c>
      <c r="N101" s="35"/>
      <c r="O101" s="34">
        <v>-2</v>
      </c>
      <c r="P101" s="35"/>
      <c r="Q101" s="34">
        <v>0</v>
      </c>
      <c r="R101" s="35"/>
      <c r="S101" s="34">
        <v>-3</v>
      </c>
      <c r="T101" s="35"/>
      <c r="U101" s="34">
        <v>14</v>
      </c>
      <c r="V101" s="35"/>
      <c r="W101" s="34" t="s">
        <v>148</v>
      </c>
      <c r="X101" s="35"/>
      <c r="Y101" s="34">
        <v>0</v>
      </c>
      <c r="Z101" s="35"/>
      <c r="AA101" s="34">
        <v>7</v>
      </c>
      <c r="AB101" s="35"/>
      <c r="AC101" s="34" t="s">
        <v>148</v>
      </c>
      <c r="AD101" s="35"/>
      <c r="AE101" s="34" t="s">
        <v>148</v>
      </c>
      <c r="AF101" s="35"/>
      <c r="AG101" s="34">
        <v>13</v>
      </c>
      <c r="AH101" s="35"/>
      <c r="AI101" s="34">
        <v>1</v>
      </c>
      <c r="AJ101" s="35"/>
      <c r="AK101" s="34">
        <v>10</v>
      </c>
      <c r="AL101" s="35"/>
      <c r="AM101" s="34" t="s">
        <v>148</v>
      </c>
      <c r="AN101" s="35"/>
      <c r="AO101" s="34">
        <v>28</v>
      </c>
      <c r="AP101" s="35"/>
      <c r="AQ101" s="34">
        <v>16</v>
      </c>
      <c r="AR101" s="35"/>
      <c r="AS101" s="34" t="s">
        <v>148</v>
      </c>
      <c r="AT101" s="35"/>
    </row>
    <row r="102" spans="1:46" x14ac:dyDescent="0.25">
      <c r="A102" s="10" t="s">
        <v>1769</v>
      </c>
      <c r="B102" s="10"/>
      <c r="C102" s="34" t="s">
        <v>148</v>
      </c>
      <c r="D102" s="35"/>
      <c r="E102" s="34">
        <v>16</v>
      </c>
      <c r="F102" s="35"/>
      <c r="G102" s="34">
        <v>12</v>
      </c>
      <c r="H102" s="35"/>
      <c r="I102" s="34">
        <v>15</v>
      </c>
      <c r="J102" s="35"/>
      <c r="K102" s="34" t="s">
        <v>148</v>
      </c>
      <c r="L102" s="35"/>
      <c r="M102" s="34">
        <v>15</v>
      </c>
      <c r="N102" s="35"/>
      <c r="O102" s="34">
        <v>9</v>
      </c>
      <c r="P102" s="35"/>
      <c r="Q102" s="34">
        <v>1</v>
      </c>
      <c r="R102" s="35"/>
      <c r="S102" s="34">
        <v>11</v>
      </c>
      <c r="T102" s="35"/>
      <c r="U102" s="34">
        <v>27</v>
      </c>
      <c r="V102" s="35"/>
      <c r="W102" s="34" t="s">
        <v>148</v>
      </c>
      <c r="X102" s="35"/>
      <c r="Y102" s="34">
        <v>5</v>
      </c>
      <c r="Z102" s="35"/>
      <c r="AA102" s="34">
        <v>13</v>
      </c>
      <c r="AB102" s="35"/>
      <c r="AC102" s="34" t="s">
        <v>148</v>
      </c>
      <c r="AD102" s="35"/>
      <c r="AE102" s="34" t="s">
        <v>148</v>
      </c>
      <c r="AF102" s="35"/>
      <c r="AG102" s="34">
        <v>13</v>
      </c>
      <c r="AH102" s="35"/>
      <c r="AI102" s="34">
        <v>8</v>
      </c>
      <c r="AJ102" s="35"/>
      <c r="AK102" s="34">
        <v>15</v>
      </c>
      <c r="AL102" s="35"/>
      <c r="AM102" s="34" t="s">
        <v>148</v>
      </c>
      <c r="AN102" s="35"/>
      <c r="AO102" s="34">
        <v>13</v>
      </c>
      <c r="AP102" s="35"/>
      <c r="AQ102" s="34">
        <v>16</v>
      </c>
      <c r="AR102" s="35"/>
      <c r="AS102" s="34" t="s">
        <v>148</v>
      </c>
      <c r="AT102" s="35"/>
    </row>
    <row r="103" spans="1:46" x14ac:dyDescent="0.25">
      <c r="A103" s="10" t="s">
        <v>1780</v>
      </c>
      <c r="B103" s="10"/>
      <c r="C103" s="34" t="s">
        <v>148</v>
      </c>
      <c r="D103" s="35"/>
      <c r="E103" s="34">
        <v>12</v>
      </c>
      <c r="F103" s="35"/>
      <c r="G103" s="34">
        <v>10</v>
      </c>
      <c r="H103" s="35"/>
      <c r="I103" s="34">
        <v>9</v>
      </c>
      <c r="J103" s="35"/>
      <c r="K103" s="34" t="s">
        <v>148</v>
      </c>
      <c r="L103" s="35"/>
      <c r="M103" s="34">
        <v>21</v>
      </c>
      <c r="N103" s="35"/>
      <c r="O103" s="34">
        <v>24</v>
      </c>
      <c r="P103" s="35"/>
      <c r="Q103" s="34">
        <v>0</v>
      </c>
      <c r="R103" s="35"/>
      <c r="S103" s="34">
        <v>26</v>
      </c>
      <c r="T103" s="35"/>
      <c r="U103" s="34">
        <v>27</v>
      </c>
      <c r="V103" s="35"/>
      <c r="W103" s="34" t="s">
        <v>148</v>
      </c>
      <c r="X103" s="35"/>
      <c r="Y103" s="34">
        <v>-4</v>
      </c>
      <c r="Z103" s="35"/>
      <c r="AA103" s="34">
        <v>17</v>
      </c>
      <c r="AB103" s="35"/>
      <c r="AC103" s="34" t="s">
        <v>148</v>
      </c>
      <c r="AD103" s="35"/>
      <c r="AE103" s="34" t="s">
        <v>148</v>
      </c>
      <c r="AF103" s="35"/>
      <c r="AG103" s="34">
        <v>5</v>
      </c>
      <c r="AH103" s="35"/>
      <c r="AI103" s="34">
        <v>5</v>
      </c>
      <c r="AJ103" s="35"/>
      <c r="AK103" s="34">
        <v>-23</v>
      </c>
      <c r="AL103" s="35"/>
      <c r="AM103" s="34" t="s">
        <v>148</v>
      </c>
      <c r="AN103" s="35"/>
      <c r="AO103" s="34">
        <v>9</v>
      </c>
      <c r="AP103" s="35"/>
      <c r="AQ103" s="34">
        <v>14</v>
      </c>
      <c r="AR103" s="35"/>
      <c r="AS103" s="34" t="s">
        <v>148</v>
      </c>
      <c r="AT103" s="35"/>
    </row>
    <row r="104" spans="1:46" x14ac:dyDescent="0.25">
      <c r="A104" s="10" t="s">
        <v>1783</v>
      </c>
      <c r="B104" s="10"/>
      <c r="C104" s="34" t="s">
        <v>148</v>
      </c>
      <c r="D104" s="35"/>
      <c r="E104" s="34">
        <v>-2</v>
      </c>
      <c r="F104" s="35"/>
      <c r="G104" s="34">
        <v>11</v>
      </c>
      <c r="H104" s="35"/>
      <c r="I104" s="34">
        <v>6</v>
      </c>
      <c r="J104" s="35"/>
      <c r="K104" s="34" t="s">
        <v>148</v>
      </c>
      <c r="L104" s="35"/>
      <c r="M104" s="34">
        <v>33</v>
      </c>
      <c r="N104" s="35"/>
      <c r="O104" s="34">
        <v>-12</v>
      </c>
      <c r="P104" s="35"/>
      <c r="Q104" s="34">
        <v>15</v>
      </c>
      <c r="R104" s="35"/>
      <c r="S104" s="34">
        <v>-8</v>
      </c>
      <c r="T104" s="35"/>
      <c r="U104" s="34">
        <v>27</v>
      </c>
      <c r="V104" s="35"/>
      <c r="W104" s="34" t="s">
        <v>148</v>
      </c>
      <c r="X104" s="35"/>
      <c r="Y104" s="34">
        <v>4</v>
      </c>
      <c r="Z104" s="35"/>
      <c r="AA104" s="34" t="s">
        <v>148</v>
      </c>
      <c r="AB104" s="35"/>
      <c r="AC104" s="34">
        <v>22</v>
      </c>
      <c r="AD104" s="35"/>
      <c r="AE104" s="34" t="s">
        <v>148</v>
      </c>
      <c r="AF104" s="35"/>
      <c r="AG104" s="34">
        <v>5</v>
      </c>
      <c r="AH104" s="35"/>
      <c r="AI104" s="34">
        <v>17</v>
      </c>
      <c r="AJ104" s="35"/>
      <c r="AK104" s="34">
        <v>-4</v>
      </c>
      <c r="AL104" s="35"/>
      <c r="AM104" s="34" t="s">
        <v>148</v>
      </c>
      <c r="AN104" s="35"/>
      <c r="AO104" s="34">
        <v>4</v>
      </c>
      <c r="AP104" s="35"/>
      <c r="AQ104" s="34">
        <v>10</v>
      </c>
      <c r="AR104" s="35"/>
      <c r="AS104" s="34" t="s">
        <v>148</v>
      </c>
      <c r="AT104" s="35"/>
    </row>
    <row r="105" spans="1:46" x14ac:dyDescent="0.25">
      <c r="A105" s="10" t="s">
        <v>1798</v>
      </c>
      <c r="B105" s="10"/>
      <c r="C105" s="34" t="s">
        <v>148</v>
      </c>
      <c r="D105" s="35"/>
      <c r="E105" s="34" t="s">
        <v>148</v>
      </c>
      <c r="F105" s="35"/>
      <c r="G105" s="34" t="s">
        <v>148</v>
      </c>
      <c r="H105" s="35"/>
      <c r="I105" s="34" t="s">
        <v>148</v>
      </c>
      <c r="J105" s="35"/>
      <c r="K105" s="34" t="s">
        <v>148</v>
      </c>
      <c r="L105" s="35"/>
      <c r="M105" s="34" t="s">
        <v>148</v>
      </c>
      <c r="N105" s="35"/>
      <c r="O105" s="34">
        <v>31</v>
      </c>
      <c r="P105" s="35"/>
      <c r="Q105" s="34">
        <v>28</v>
      </c>
      <c r="R105" s="35"/>
      <c r="S105" s="34">
        <v>23</v>
      </c>
      <c r="T105" s="35"/>
      <c r="U105" s="34">
        <v>73</v>
      </c>
      <c r="V105" s="35"/>
      <c r="W105" s="34" t="s">
        <v>148</v>
      </c>
      <c r="X105" s="35"/>
      <c r="Y105" s="34">
        <v>2</v>
      </c>
      <c r="Z105" s="35"/>
      <c r="AA105" s="34">
        <v>8</v>
      </c>
      <c r="AB105" s="35"/>
      <c r="AC105" s="34">
        <v>5</v>
      </c>
      <c r="AD105" s="35"/>
      <c r="AE105" s="34" t="s">
        <v>148</v>
      </c>
      <c r="AF105" s="35"/>
      <c r="AG105" s="34">
        <v>5</v>
      </c>
      <c r="AH105" s="35"/>
      <c r="AI105" s="34">
        <v>13</v>
      </c>
      <c r="AJ105" s="35"/>
      <c r="AK105" s="34">
        <v>10</v>
      </c>
      <c r="AL105" s="35"/>
      <c r="AM105" s="34" t="s">
        <v>148</v>
      </c>
      <c r="AN105" s="35"/>
      <c r="AO105" s="34">
        <v>22</v>
      </c>
      <c r="AP105" s="35"/>
      <c r="AQ105" s="34">
        <v>7</v>
      </c>
      <c r="AR105" s="35"/>
      <c r="AS105" s="34" t="s">
        <v>148</v>
      </c>
      <c r="AT105" s="35"/>
    </row>
    <row r="106" spans="1:46" x14ac:dyDescent="0.25">
      <c r="A106" s="10" t="s">
        <v>1786</v>
      </c>
      <c r="B106" s="10"/>
      <c r="C106" s="34" t="s">
        <v>148</v>
      </c>
      <c r="D106" s="35"/>
      <c r="E106" s="34">
        <v>1</v>
      </c>
      <c r="F106" s="35"/>
      <c r="G106" s="34">
        <v>6</v>
      </c>
      <c r="H106" s="35"/>
      <c r="I106" s="34">
        <v>8</v>
      </c>
      <c r="J106" s="35"/>
      <c r="K106" s="34" t="s">
        <v>148</v>
      </c>
      <c r="L106" s="35"/>
      <c r="M106" s="34">
        <v>6</v>
      </c>
      <c r="N106" s="35"/>
      <c r="O106" s="34">
        <v>-9</v>
      </c>
      <c r="P106" s="35"/>
      <c r="Q106" s="34" t="s">
        <v>148</v>
      </c>
      <c r="R106" s="35"/>
      <c r="S106" s="34">
        <v>-7</v>
      </c>
      <c r="T106" s="35"/>
      <c r="U106" s="34">
        <v>0</v>
      </c>
      <c r="V106" s="35"/>
      <c r="W106" s="34" t="s">
        <v>148</v>
      </c>
      <c r="X106" s="35"/>
      <c r="Y106" s="34">
        <v>-4</v>
      </c>
      <c r="Z106" s="35"/>
      <c r="AA106" s="34">
        <v>-3</v>
      </c>
      <c r="AB106" s="35"/>
      <c r="AC106" s="34" t="s">
        <v>148</v>
      </c>
      <c r="AD106" s="35"/>
      <c r="AE106" s="34" t="s">
        <v>148</v>
      </c>
      <c r="AF106" s="35"/>
      <c r="AG106" s="34">
        <v>9</v>
      </c>
      <c r="AH106" s="35"/>
      <c r="AI106" s="34">
        <v>8</v>
      </c>
      <c r="AJ106" s="35"/>
      <c r="AK106" s="34">
        <v>-6</v>
      </c>
      <c r="AL106" s="35"/>
      <c r="AM106" s="34" t="s">
        <v>148</v>
      </c>
      <c r="AN106" s="35"/>
      <c r="AO106" s="34">
        <v>4</v>
      </c>
      <c r="AP106" s="35"/>
      <c r="AQ106" s="34">
        <v>7</v>
      </c>
      <c r="AR106" s="35"/>
      <c r="AS106" s="34" t="s">
        <v>148</v>
      </c>
      <c r="AT106" s="35"/>
    </row>
    <row r="107" spans="1:46" x14ac:dyDescent="0.25">
      <c r="A107" s="10" t="s">
        <v>1791</v>
      </c>
      <c r="B107" s="10"/>
      <c r="C107" s="34" t="s">
        <v>148</v>
      </c>
      <c r="D107" s="35"/>
      <c r="E107" s="34" t="s">
        <v>148</v>
      </c>
      <c r="F107" s="35"/>
      <c r="G107" s="34" t="s">
        <v>148</v>
      </c>
      <c r="H107" s="35"/>
      <c r="I107" s="34">
        <v>100</v>
      </c>
      <c r="J107" s="35"/>
      <c r="K107" s="34" t="s">
        <v>148</v>
      </c>
      <c r="L107" s="35"/>
      <c r="M107" s="34">
        <v>71</v>
      </c>
      <c r="N107" s="35"/>
      <c r="O107" s="34">
        <v>35</v>
      </c>
      <c r="P107" s="35"/>
      <c r="Q107" s="34">
        <v>-1</v>
      </c>
      <c r="R107" s="35"/>
      <c r="S107" s="34">
        <v>14</v>
      </c>
      <c r="T107" s="35"/>
      <c r="U107" s="34">
        <v>31</v>
      </c>
      <c r="V107" s="35"/>
      <c r="W107" s="34" t="s">
        <v>148</v>
      </c>
      <c r="X107" s="35"/>
      <c r="Y107" s="34">
        <v>-12</v>
      </c>
      <c r="Z107" s="35"/>
      <c r="AA107" s="34">
        <v>-6</v>
      </c>
      <c r="AB107" s="35"/>
      <c r="AC107" s="34">
        <v>5</v>
      </c>
      <c r="AD107" s="35"/>
      <c r="AE107" s="34" t="s">
        <v>148</v>
      </c>
      <c r="AF107" s="35"/>
      <c r="AG107" s="34">
        <v>14</v>
      </c>
      <c r="AH107" s="35"/>
      <c r="AI107" s="34">
        <v>3</v>
      </c>
      <c r="AJ107" s="35"/>
      <c r="AK107" s="34">
        <v>-8</v>
      </c>
      <c r="AL107" s="35"/>
      <c r="AM107" s="34" t="s">
        <v>148</v>
      </c>
      <c r="AN107" s="35"/>
      <c r="AO107" s="34">
        <v>21</v>
      </c>
      <c r="AP107" s="35"/>
      <c r="AQ107" s="34">
        <v>6</v>
      </c>
      <c r="AR107" s="35"/>
      <c r="AS107" s="34" t="s">
        <v>148</v>
      </c>
      <c r="AT107" s="35"/>
    </row>
    <row r="108" spans="1:46" x14ac:dyDescent="0.25">
      <c r="A108" s="10" t="s">
        <v>1777</v>
      </c>
      <c r="B108" s="10"/>
      <c r="C108" s="34" t="s">
        <v>148</v>
      </c>
      <c r="D108" s="35"/>
      <c r="E108" s="34">
        <v>25</v>
      </c>
      <c r="F108" s="35"/>
      <c r="G108" s="34">
        <v>6</v>
      </c>
      <c r="H108" s="35"/>
      <c r="I108" s="34">
        <v>27</v>
      </c>
      <c r="J108" s="35"/>
      <c r="K108" s="34" t="s">
        <v>148</v>
      </c>
      <c r="L108" s="35"/>
      <c r="M108" s="34">
        <v>5</v>
      </c>
      <c r="N108" s="35"/>
      <c r="O108" s="34">
        <v>-9</v>
      </c>
      <c r="P108" s="35"/>
      <c r="Q108" s="34" t="s">
        <v>148</v>
      </c>
      <c r="R108" s="35"/>
      <c r="S108" s="34">
        <v>-25</v>
      </c>
      <c r="T108" s="35"/>
      <c r="U108" s="34">
        <v>-19</v>
      </c>
      <c r="V108" s="35"/>
      <c r="W108" s="34" t="s">
        <v>148</v>
      </c>
      <c r="X108" s="35"/>
      <c r="Y108" s="34">
        <v>-7</v>
      </c>
      <c r="Z108" s="35"/>
      <c r="AA108" s="34">
        <v>20</v>
      </c>
      <c r="AB108" s="35"/>
      <c r="AC108" s="34">
        <v>6</v>
      </c>
      <c r="AD108" s="35"/>
      <c r="AE108" s="34" t="s">
        <v>148</v>
      </c>
      <c r="AF108" s="35"/>
      <c r="AG108" s="34">
        <v>81</v>
      </c>
      <c r="AH108" s="35"/>
      <c r="AI108" s="34">
        <v>-33</v>
      </c>
      <c r="AJ108" s="35"/>
      <c r="AK108" s="34">
        <v>-49</v>
      </c>
      <c r="AL108" s="35"/>
      <c r="AM108" s="34" t="s">
        <v>148</v>
      </c>
      <c r="AN108" s="35"/>
      <c r="AO108" s="34">
        <v>-7</v>
      </c>
      <c r="AP108" s="35"/>
      <c r="AQ108" s="34">
        <v>5</v>
      </c>
      <c r="AR108" s="35"/>
      <c r="AS108" s="34" t="s">
        <v>148</v>
      </c>
      <c r="AT108" s="35"/>
    </row>
    <row r="109" spans="1:46" x14ac:dyDescent="0.25">
      <c r="A109" s="10" t="s">
        <v>1770</v>
      </c>
      <c r="B109" s="10"/>
      <c r="C109" s="34" t="s">
        <v>148</v>
      </c>
      <c r="D109" s="35"/>
      <c r="E109" s="34" t="s">
        <v>148</v>
      </c>
      <c r="F109" s="35"/>
      <c r="G109" s="34" t="s">
        <v>148</v>
      </c>
      <c r="H109" s="35"/>
      <c r="I109" s="34" t="s">
        <v>148</v>
      </c>
      <c r="J109" s="35"/>
      <c r="K109" s="34" t="s">
        <v>148</v>
      </c>
      <c r="L109" s="35"/>
      <c r="M109" s="34" t="s">
        <v>148</v>
      </c>
      <c r="N109" s="35"/>
      <c r="O109" s="34" t="s">
        <v>148</v>
      </c>
      <c r="P109" s="35"/>
      <c r="Q109" s="34">
        <v>5</v>
      </c>
      <c r="R109" s="35"/>
      <c r="S109" s="34">
        <v>8</v>
      </c>
      <c r="T109" s="35"/>
      <c r="U109" s="34">
        <v>14</v>
      </c>
      <c r="V109" s="35"/>
      <c r="W109" s="34" t="s">
        <v>148</v>
      </c>
      <c r="X109" s="35"/>
      <c r="Y109" s="34">
        <v>-8</v>
      </c>
      <c r="Z109" s="35"/>
      <c r="AA109" s="34">
        <v>-4</v>
      </c>
      <c r="AB109" s="35"/>
      <c r="AC109" s="34" t="s">
        <v>148</v>
      </c>
      <c r="AD109" s="35"/>
      <c r="AE109" s="34" t="s">
        <v>148</v>
      </c>
      <c r="AF109" s="35"/>
      <c r="AG109" s="34">
        <v>-3</v>
      </c>
      <c r="AH109" s="35"/>
      <c r="AI109" s="34">
        <v>-2</v>
      </c>
      <c r="AJ109" s="35"/>
      <c r="AK109" s="34">
        <v>7</v>
      </c>
      <c r="AL109" s="35"/>
      <c r="AM109" s="34" t="s">
        <v>148</v>
      </c>
      <c r="AN109" s="35"/>
      <c r="AO109" s="34">
        <v>3</v>
      </c>
      <c r="AP109" s="35"/>
      <c r="AQ109" s="34">
        <v>-1</v>
      </c>
      <c r="AR109" s="35"/>
      <c r="AS109" s="34" t="s">
        <v>148</v>
      </c>
      <c r="AT109" s="35"/>
    </row>
    <row r="110" spans="1:46" x14ac:dyDescent="0.25">
      <c r="A110" s="10" t="s">
        <v>1768</v>
      </c>
      <c r="B110" s="10"/>
      <c r="C110" s="34" t="s">
        <v>148</v>
      </c>
      <c r="D110" s="35"/>
      <c r="E110" s="34">
        <v>-18</v>
      </c>
      <c r="F110" s="35"/>
      <c r="G110" s="34">
        <v>-4</v>
      </c>
      <c r="H110" s="35"/>
      <c r="I110" s="34">
        <v>-14</v>
      </c>
      <c r="J110" s="35"/>
      <c r="K110" s="34" t="s">
        <v>148</v>
      </c>
      <c r="L110" s="35"/>
      <c r="M110" s="34">
        <v>-20</v>
      </c>
      <c r="N110" s="35"/>
      <c r="O110" s="34">
        <v>-16</v>
      </c>
      <c r="P110" s="35"/>
      <c r="Q110" s="34">
        <v>-3</v>
      </c>
      <c r="R110" s="35"/>
      <c r="S110" s="34">
        <v>-17</v>
      </c>
      <c r="T110" s="35"/>
      <c r="U110" s="34">
        <v>-6</v>
      </c>
      <c r="V110" s="35"/>
      <c r="W110" s="34" t="s">
        <v>148</v>
      </c>
      <c r="X110" s="35"/>
      <c r="Y110" s="34">
        <v>-37</v>
      </c>
      <c r="Z110" s="35"/>
      <c r="AA110" s="34">
        <v>-52</v>
      </c>
      <c r="AB110" s="35"/>
      <c r="AC110" s="34" t="s">
        <v>148</v>
      </c>
      <c r="AD110" s="35"/>
      <c r="AE110" s="34" t="s">
        <v>148</v>
      </c>
      <c r="AF110" s="35"/>
      <c r="AG110" s="34">
        <v>-21</v>
      </c>
      <c r="AH110" s="35"/>
      <c r="AI110" s="34">
        <v>-13</v>
      </c>
      <c r="AJ110" s="35"/>
      <c r="AK110" s="34">
        <v>-55</v>
      </c>
      <c r="AL110" s="35"/>
      <c r="AM110" s="34" t="s">
        <v>148</v>
      </c>
      <c r="AN110" s="35"/>
      <c r="AO110" s="34">
        <v>-60</v>
      </c>
      <c r="AP110" s="35"/>
      <c r="AQ110" s="34">
        <v>-11</v>
      </c>
      <c r="AR110" s="35"/>
      <c r="AS110" s="34" t="s">
        <v>148</v>
      </c>
      <c r="AT110" s="35"/>
    </row>
    <row r="111" spans="1:46" x14ac:dyDescent="0.25">
      <c r="A111" s="10" t="s">
        <v>1800</v>
      </c>
      <c r="B111" s="10"/>
      <c r="C111" s="34" t="s">
        <v>148</v>
      </c>
      <c r="D111" s="35"/>
      <c r="E111" s="34" t="s">
        <v>148</v>
      </c>
      <c r="F111" s="35"/>
      <c r="G111" s="34" t="s">
        <v>148</v>
      </c>
      <c r="H111" s="35"/>
      <c r="I111" s="34" t="s">
        <v>148</v>
      </c>
      <c r="J111" s="35"/>
      <c r="K111" s="34" t="s">
        <v>148</v>
      </c>
      <c r="L111" s="35"/>
      <c r="M111" s="34" t="s">
        <v>148</v>
      </c>
      <c r="N111" s="35"/>
      <c r="O111" s="34" t="s">
        <v>148</v>
      </c>
      <c r="P111" s="35"/>
      <c r="Q111" s="34">
        <v>1</v>
      </c>
      <c r="R111" s="35"/>
      <c r="S111" s="34">
        <v>0</v>
      </c>
      <c r="T111" s="35"/>
      <c r="U111" s="34" t="s">
        <v>148</v>
      </c>
      <c r="V111" s="35"/>
      <c r="W111" s="34" t="s">
        <v>148</v>
      </c>
      <c r="X111" s="35"/>
      <c r="Y111" s="34">
        <v>0</v>
      </c>
      <c r="Z111" s="35"/>
      <c r="AA111" s="34" t="s">
        <v>148</v>
      </c>
      <c r="AB111" s="35"/>
      <c r="AC111" s="34">
        <v>100</v>
      </c>
      <c r="AD111" s="35"/>
      <c r="AE111" s="34" t="s">
        <v>148</v>
      </c>
      <c r="AF111" s="35"/>
      <c r="AG111" s="34">
        <v>67</v>
      </c>
      <c r="AH111" s="35"/>
      <c r="AI111" s="34">
        <v>0</v>
      </c>
      <c r="AJ111" s="35"/>
      <c r="AK111" s="34">
        <v>50</v>
      </c>
      <c r="AL111" s="35"/>
      <c r="AM111" s="34" t="s">
        <v>148</v>
      </c>
      <c r="AN111" s="35"/>
      <c r="AO111" s="34">
        <v>0</v>
      </c>
      <c r="AP111" s="35"/>
      <c r="AQ111" s="34">
        <v>-17</v>
      </c>
      <c r="AR111" s="35"/>
      <c r="AS111" s="34" t="s">
        <v>148</v>
      </c>
      <c r="AT111" s="35"/>
    </row>
    <row r="112" spans="1:46" x14ac:dyDescent="0.25">
      <c r="A112" s="10" t="s">
        <v>1784</v>
      </c>
      <c r="B112" s="10"/>
      <c r="C112" s="34" t="s">
        <v>148</v>
      </c>
      <c r="D112" s="35"/>
      <c r="E112" s="34" t="s">
        <v>148</v>
      </c>
      <c r="F112" s="35"/>
      <c r="G112" s="34" t="s">
        <v>148</v>
      </c>
      <c r="H112" s="35"/>
      <c r="I112" s="34" t="s">
        <v>148</v>
      </c>
      <c r="J112" s="35"/>
      <c r="K112" s="34" t="s">
        <v>148</v>
      </c>
      <c r="L112" s="35"/>
      <c r="M112" s="34" t="s">
        <v>148</v>
      </c>
      <c r="N112" s="35"/>
      <c r="O112" s="34" t="s">
        <v>148</v>
      </c>
      <c r="P112" s="35"/>
      <c r="Q112" s="34">
        <v>25</v>
      </c>
      <c r="R112" s="35"/>
      <c r="S112" s="34">
        <v>0</v>
      </c>
      <c r="T112" s="35"/>
      <c r="U112" s="34" t="s">
        <v>148</v>
      </c>
      <c r="V112" s="35"/>
      <c r="W112" s="34" t="s">
        <v>148</v>
      </c>
      <c r="X112" s="35"/>
      <c r="Y112" s="34">
        <v>9</v>
      </c>
      <c r="Z112" s="35"/>
      <c r="AA112" s="34">
        <v>-7</v>
      </c>
      <c r="AB112" s="35"/>
      <c r="AC112" s="34">
        <v>-20</v>
      </c>
      <c r="AD112" s="35"/>
      <c r="AE112" s="34" t="s">
        <v>148</v>
      </c>
      <c r="AF112" s="35"/>
      <c r="AG112" s="34">
        <v>7</v>
      </c>
      <c r="AH112" s="35"/>
      <c r="AI112" s="34">
        <v>-10</v>
      </c>
      <c r="AJ112" s="35"/>
      <c r="AK112" s="34">
        <v>4</v>
      </c>
      <c r="AL112" s="35"/>
      <c r="AM112" s="34" t="s">
        <v>148</v>
      </c>
      <c r="AN112" s="35"/>
      <c r="AO112" s="34">
        <v>20</v>
      </c>
      <c r="AP112" s="35"/>
      <c r="AQ112" s="34">
        <v>-19</v>
      </c>
      <c r="AR112" s="35"/>
      <c r="AS112" s="34" t="s">
        <v>148</v>
      </c>
      <c r="AT112" s="35"/>
    </row>
    <row r="113" spans="1:46" x14ac:dyDescent="0.25">
      <c r="A113" s="10" t="s">
        <v>1788</v>
      </c>
      <c r="B113" s="10"/>
      <c r="C113" s="34" t="s">
        <v>148</v>
      </c>
      <c r="D113" s="35"/>
      <c r="E113" s="34">
        <v>-12</v>
      </c>
      <c r="F113" s="35"/>
      <c r="G113" s="34">
        <v>-31</v>
      </c>
      <c r="H113" s="35"/>
      <c r="I113" s="34">
        <v>-40</v>
      </c>
      <c r="J113" s="35"/>
      <c r="K113" s="34" t="s">
        <v>148</v>
      </c>
      <c r="L113" s="35"/>
      <c r="M113" s="34">
        <v>-41</v>
      </c>
      <c r="N113" s="35"/>
      <c r="O113" s="34">
        <v>-23</v>
      </c>
      <c r="P113" s="35"/>
      <c r="Q113" s="34">
        <v>3</v>
      </c>
      <c r="R113" s="35"/>
      <c r="S113" s="34">
        <v>-19</v>
      </c>
      <c r="T113" s="35"/>
      <c r="U113" s="34">
        <v>-29</v>
      </c>
      <c r="V113" s="35"/>
      <c r="W113" s="34" t="s">
        <v>148</v>
      </c>
      <c r="X113" s="35"/>
      <c r="Y113" s="34">
        <v>-28</v>
      </c>
      <c r="Z113" s="35"/>
      <c r="AA113" s="34">
        <v>-10</v>
      </c>
      <c r="AB113" s="35"/>
      <c r="AC113" s="34" t="s">
        <v>148</v>
      </c>
      <c r="AD113" s="35"/>
      <c r="AE113" s="34" t="s">
        <v>148</v>
      </c>
      <c r="AF113" s="35"/>
      <c r="AG113" s="34">
        <v>-14</v>
      </c>
      <c r="AH113" s="35"/>
      <c r="AI113" s="34">
        <v>-21</v>
      </c>
      <c r="AJ113" s="35"/>
      <c r="AK113" s="34">
        <v>-24</v>
      </c>
      <c r="AL113" s="35"/>
      <c r="AM113" s="34" t="s">
        <v>148</v>
      </c>
      <c r="AN113" s="35"/>
      <c r="AO113" s="34">
        <v>-18</v>
      </c>
      <c r="AP113" s="35"/>
      <c r="AQ113" s="34">
        <v>-19</v>
      </c>
      <c r="AR113" s="35"/>
      <c r="AS113" s="34" t="s">
        <v>148</v>
      </c>
      <c r="AT113" s="35"/>
    </row>
    <row r="114" spans="1:46" x14ac:dyDescent="0.25">
      <c r="A114" s="10" t="s">
        <v>1799</v>
      </c>
      <c r="B114" s="10"/>
      <c r="C114" s="34" t="s">
        <v>148</v>
      </c>
      <c r="D114" s="35"/>
      <c r="E114" s="34" t="s">
        <v>148</v>
      </c>
      <c r="F114" s="35"/>
      <c r="G114" s="34" t="s">
        <v>148</v>
      </c>
      <c r="H114" s="35"/>
      <c r="I114" s="34" t="s">
        <v>148</v>
      </c>
      <c r="J114" s="35"/>
      <c r="K114" s="34" t="s">
        <v>148</v>
      </c>
      <c r="L114" s="35"/>
      <c r="M114" s="34" t="s">
        <v>148</v>
      </c>
      <c r="N114" s="35"/>
      <c r="O114" s="34" t="s">
        <v>148</v>
      </c>
      <c r="P114" s="35"/>
      <c r="Q114" s="34" t="s">
        <v>148</v>
      </c>
      <c r="R114" s="35"/>
      <c r="S114" s="34" t="s">
        <v>148</v>
      </c>
      <c r="T114" s="35"/>
      <c r="U114" s="34" t="s">
        <v>148</v>
      </c>
      <c r="V114" s="35"/>
      <c r="W114" s="34" t="s">
        <v>148</v>
      </c>
      <c r="X114" s="35"/>
      <c r="Y114" s="34" t="s">
        <v>148</v>
      </c>
      <c r="Z114" s="35"/>
      <c r="AA114" s="34" t="s">
        <v>148</v>
      </c>
      <c r="AB114" s="35"/>
      <c r="AC114" s="34">
        <v>0</v>
      </c>
      <c r="AD114" s="35"/>
      <c r="AE114" s="34" t="s">
        <v>148</v>
      </c>
      <c r="AF114" s="35"/>
      <c r="AG114" s="34">
        <v>86</v>
      </c>
      <c r="AH114" s="35"/>
      <c r="AI114" s="34">
        <v>4</v>
      </c>
      <c r="AJ114" s="35"/>
      <c r="AK114" s="34">
        <v>-71</v>
      </c>
      <c r="AL114" s="35"/>
      <c r="AM114" s="34" t="s">
        <v>148</v>
      </c>
      <c r="AN114" s="35"/>
      <c r="AO114" s="34">
        <v>12</v>
      </c>
      <c r="AP114" s="35"/>
      <c r="AQ114" s="34" t="s">
        <v>148</v>
      </c>
      <c r="AR114" s="35"/>
      <c r="AS114" s="34" t="s">
        <v>148</v>
      </c>
      <c r="AT114" s="35"/>
    </row>
    <row r="115" spans="1:46" x14ac:dyDescent="0.25">
      <c r="A115" s="10" t="s">
        <v>1805</v>
      </c>
      <c r="B115" s="10"/>
      <c r="C115" s="34" t="s">
        <v>148</v>
      </c>
      <c r="D115" s="35"/>
      <c r="E115" s="34" t="s">
        <v>148</v>
      </c>
      <c r="F115" s="35"/>
      <c r="G115" s="34" t="s">
        <v>148</v>
      </c>
      <c r="H115" s="35"/>
      <c r="I115" s="34" t="s">
        <v>148</v>
      </c>
      <c r="J115" s="35"/>
      <c r="K115" s="34" t="s">
        <v>148</v>
      </c>
      <c r="L115" s="35"/>
      <c r="M115" s="34">
        <v>15</v>
      </c>
      <c r="N115" s="35"/>
      <c r="O115" s="34" t="s">
        <v>148</v>
      </c>
      <c r="P115" s="35"/>
      <c r="Q115" s="34" t="s">
        <v>148</v>
      </c>
      <c r="R115" s="35"/>
      <c r="S115" s="34">
        <v>6</v>
      </c>
      <c r="T115" s="35"/>
      <c r="U115" s="34" t="s">
        <v>148</v>
      </c>
      <c r="V115" s="35"/>
      <c r="W115" s="34" t="s">
        <v>148</v>
      </c>
      <c r="X115" s="35"/>
      <c r="Y115" s="34">
        <v>0</v>
      </c>
      <c r="Z115" s="35"/>
      <c r="AA115" s="34" t="s">
        <v>148</v>
      </c>
      <c r="AB115" s="35"/>
      <c r="AC115" s="34" t="s">
        <v>148</v>
      </c>
      <c r="AD115" s="35"/>
      <c r="AE115" s="34" t="s">
        <v>148</v>
      </c>
      <c r="AF115" s="35"/>
      <c r="AG115" s="34" t="s">
        <v>148</v>
      </c>
      <c r="AH115" s="35"/>
      <c r="AI115" s="34" t="s">
        <v>148</v>
      </c>
      <c r="AJ115" s="35"/>
      <c r="AK115" s="34" t="s">
        <v>148</v>
      </c>
      <c r="AL115" s="35"/>
      <c r="AM115" s="34" t="s">
        <v>148</v>
      </c>
      <c r="AN115" s="35"/>
      <c r="AO115" s="34" t="s">
        <v>148</v>
      </c>
      <c r="AP115" s="35"/>
      <c r="AQ115" s="34" t="s">
        <v>148</v>
      </c>
      <c r="AR115" s="35"/>
      <c r="AS115" s="34" t="s">
        <v>148</v>
      </c>
      <c r="AT115" s="35"/>
    </row>
    <row r="116" spans="1:46" x14ac:dyDescent="0.25">
      <c r="A116" s="10" t="s">
        <v>1806</v>
      </c>
      <c r="B116" s="10"/>
      <c r="C116" s="34" t="s">
        <v>148</v>
      </c>
      <c r="D116" s="35"/>
      <c r="E116" s="34" t="s">
        <v>148</v>
      </c>
      <c r="F116" s="35"/>
      <c r="G116" s="34" t="s">
        <v>148</v>
      </c>
      <c r="H116" s="35"/>
      <c r="I116" s="34" t="s">
        <v>148</v>
      </c>
      <c r="J116" s="35"/>
      <c r="K116" s="34" t="s">
        <v>148</v>
      </c>
      <c r="L116" s="35"/>
      <c r="M116" s="34">
        <v>-13</v>
      </c>
      <c r="N116" s="35"/>
      <c r="O116" s="34" t="s">
        <v>148</v>
      </c>
      <c r="P116" s="35"/>
      <c r="Q116" s="34" t="s">
        <v>148</v>
      </c>
      <c r="R116" s="35"/>
      <c r="S116" s="34">
        <v>-20</v>
      </c>
      <c r="T116" s="35"/>
      <c r="U116" s="34" t="s">
        <v>148</v>
      </c>
      <c r="V116" s="35"/>
      <c r="W116" s="34" t="s">
        <v>148</v>
      </c>
      <c r="X116" s="35"/>
      <c r="Y116" s="34">
        <v>-28</v>
      </c>
      <c r="Z116" s="35"/>
      <c r="AA116" s="34" t="s">
        <v>148</v>
      </c>
      <c r="AB116" s="35"/>
      <c r="AC116" s="34" t="s">
        <v>148</v>
      </c>
      <c r="AD116" s="35"/>
      <c r="AE116" s="34" t="s">
        <v>148</v>
      </c>
      <c r="AF116" s="35"/>
      <c r="AG116" s="34" t="s">
        <v>148</v>
      </c>
      <c r="AH116" s="35"/>
      <c r="AI116" s="34" t="s">
        <v>148</v>
      </c>
      <c r="AJ116" s="35"/>
      <c r="AK116" s="34" t="s">
        <v>148</v>
      </c>
      <c r="AL116" s="35"/>
      <c r="AM116" s="34" t="s">
        <v>148</v>
      </c>
      <c r="AN116" s="35"/>
      <c r="AO116" s="34" t="s">
        <v>148</v>
      </c>
      <c r="AP116" s="35"/>
      <c r="AQ116" s="34" t="s">
        <v>148</v>
      </c>
      <c r="AR116" s="35"/>
      <c r="AS116" s="34" t="s">
        <v>148</v>
      </c>
      <c r="AT116" s="35"/>
    </row>
    <row r="117" spans="1:46" x14ac:dyDescent="0.25">
      <c r="A117" s="10" t="s">
        <v>1802</v>
      </c>
      <c r="B117" s="10"/>
      <c r="C117" s="34" t="s">
        <v>148</v>
      </c>
      <c r="D117" s="35"/>
      <c r="E117" s="34" t="s">
        <v>148</v>
      </c>
      <c r="F117" s="35"/>
      <c r="G117" s="34" t="s">
        <v>148</v>
      </c>
      <c r="H117" s="35"/>
      <c r="I117" s="34" t="s">
        <v>148</v>
      </c>
      <c r="J117" s="35"/>
      <c r="K117" s="34" t="s">
        <v>148</v>
      </c>
      <c r="L117" s="35"/>
      <c r="M117" s="34" t="s">
        <v>148</v>
      </c>
      <c r="N117" s="35"/>
      <c r="O117" s="34">
        <v>-40</v>
      </c>
      <c r="P117" s="35"/>
      <c r="Q117" s="34">
        <v>24</v>
      </c>
      <c r="R117" s="35"/>
      <c r="S117" s="34">
        <v>35</v>
      </c>
      <c r="T117" s="35"/>
      <c r="U117" s="34">
        <v>9</v>
      </c>
      <c r="V117" s="35"/>
      <c r="W117" s="34" t="s">
        <v>148</v>
      </c>
      <c r="X117" s="35"/>
      <c r="Y117" s="34">
        <v>-48</v>
      </c>
      <c r="Z117" s="35"/>
      <c r="AA117" s="34">
        <v>-33</v>
      </c>
      <c r="AB117" s="35"/>
      <c r="AC117" s="34">
        <v>-42</v>
      </c>
      <c r="AD117" s="35"/>
      <c r="AE117" s="34" t="s">
        <v>148</v>
      </c>
      <c r="AF117" s="35"/>
      <c r="AG117" s="34">
        <v>-13</v>
      </c>
      <c r="AH117" s="35"/>
      <c r="AI117" s="34">
        <v>-25</v>
      </c>
      <c r="AJ117" s="35"/>
      <c r="AK117" s="34">
        <v>-7</v>
      </c>
      <c r="AL117" s="35"/>
      <c r="AM117" s="34" t="s">
        <v>148</v>
      </c>
      <c r="AN117" s="35"/>
      <c r="AO117" s="34" t="s">
        <v>148</v>
      </c>
      <c r="AP117" s="35"/>
      <c r="AQ117" s="34" t="s">
        <v>148</v>
      </c>
      <c r="AR117" s="35"/>
      <c r="AS117" s="34" t="s">
        <v>148</v>
      </c>
      <c r="AT117" s="35"/>
    </row>
    <row r="118" spans="1:46" x14ac:dyDescent="0.25">
      <c r="A118" s="10" t="s">
        <v>1795</v>
      </c>
      <c r="B118" s="10"/>
      <c r="C118" s="34" t="s">
        <v>148</v>
      </c>
      <c r="D118" s="35"/>
      <c r="E118" s="34">
        <v>-11</v>
      </c>
      <c r="F118" s="35"/>
      <c r="G118" s="34">
        <v>-12</v>
      </c>
      <c r="H118" s="35"/>
      <c r="I118" s="34">
        <v>-10</v>
      </c>
      <c r="J118" s="35"/>
      <c r="K118" s="34" t="s">
        <v>148</v>
      </c>
      <c r="L118" s="35"/>
      <c r="M118" s="34">
        <v>4</v>
      </c>
      <c r="N118" s="35"/>
      <c r="O118" s="34">
        <v>-55</v>
      </c>
      <c r="P118" s="35"/>
      <c r="Q118" s="34" t="s">
        <v>148</v>
      </c>
      <c r="R118" s="35"/>
      <c r="S118" s="34">
        <v>-72</v>
      </c>
      <c r="T118" s="35"/>
      <c r="U118" s="34">
        <v>-59</v>
      </c>
      <c r="V118" s="35"/>
      <c r="W118" s="34" t="s">
        <v>148</v>
      </c>
      <c r="X118" s="35"/>
      <c r="Y118" s="34">
        <v>-30</v>
      </c>
      <c r="Z118" s="35"/>
      <c r="AA118" s="34">
        <v>-25</v>
      </c>
      <c r="AB118" s="35"/>
      <c r="AC118" s="34" t="s">
        <v>148</v>
      </c>
      <c r="AD118" s="35"/>
      <c r="AE118" s="34" t="s">
        <v>148</v>
      </c>
      <c r="AF118" s="35"/>
      <c r="AG118" s="34" t="s">
        <v>148</v>
      </c>
      <c r="AH118" s="35"/>
      <c r="AI118" s="34" t="s">
        <v>148</v>
      </c>
      <c r="AJ118" s="35"/>
      <c r="AK118" s="34" t="s">
        <v>148</v>
      </c>
      <c r="AL118" s="35"/>
      <c r="AM118" s="34" t="s">
        <v>148</v>
      </c>
      <c r="AN118" s="35"/>
      <c r="AO118" s="34" t="s">
        <v>148</v>
      </c>
      <c r="AP118" s="35"/>
      <c r="AQ118" s="34" t="s">
        <v>148</v>
      </c>
      <c r="AR118" s="35"/>
      <c r="AS118" s="34" t="s">
        <v>148</v>
      </c>
      <c r="AT118" s="35"/>
    </row>
    <row r="119" spans="1:46" x14ac:dyDescent="0.25">
      <c r="A119" s="10" t="s">
        <v>1804</v>
      </c>
      <c r="B119" s="10"/>
      <c r="C119" s="34" t="s">
        <v>148</v>
      </c>
      <c r="D119" s="35"/>
      <c r="E119" s="34">
        <v>28</v>
      </c>
      <c r="F119" s="35"/>
      <c r="G119" s="34">
        <v>-22</v>
      </c>
      <c r="H119" s="35"/>
      <c r="I119" s="34">
        <v>-30</v>
      </c>
      <c r="J119" s="35"/>
      <c r="K119" s="34" t="s">
        <v>148</v>
      </c>
      <c r="L119" s="35"/>
      <c r="M119" s="34">
        <v>11</v>
      </c>
      <c r="N119" s="35"/>
      <c r="O119" s="34" t="s">
        <v>148</v>
      </c>
      <c r="P119" s="35"/>
      <c r="Q119" s="34" t="s">
        <v>148</v>
      </c>
      <c r="R119" s="35"/>
      <c r="S119" s="34">
        <v>16</v>
      </c>
      <c r="T119" s="35"/>
      <c r="U119" s="34">
        <v>38</v>
      </c>
      <c r="V119" s="35"/>
      <c r="W119" s="34" t="s">
        <v>148</v>
      </c>
      <c r="X119" s="35"/>
      <c r="Y119" s="34">
        <v>64</v>
      </c>
      <c r="Z119" s="35"/>
      <c r="AA119" s="34" t="s">
        <v>148</v>
      </c>
      <c r="AB119" s="35"/>
      <c r="AC119" s="34" t="s">
        <v>148</v>
      </c>
      <c r="AD119" s="35"/>
      <c r="AE119" s="34" t="s">
        <v>148</v>
      </c>
      <c r="AF119" s="35"/>
      <c r="AG119" s="34">
        <v>-49</v>
      </c>
      <c r="AH119" s="35"/>
      <c r="AI119" s="34">
        <v>-3</v>
      </c>
      <c r="AJ119" s="35"/>
      <c r="AK119" s="34" t="s">
        <v>148</v>
      </c>
      <c r="AL119" s="35"/>
      <c r="AM119" s="34" t="s">
        <v>148</v>
      </c>
      <c r="AN119" s="35"/>
      <c r="AO119" s="34">
        <v>27</v>
      </c>
      <c r="AP119" s="35"/>
      <c r="AQ119" s="34" t="s">
        <v>148</v>
      </c>
      <c r="AR119" s="35"/>
      <c r="AS119" s="34" t="s">
        <v>148</v>
      </c>
      <c r="AT119" s="35"/>
    </row>
    <row r="120" spans="1:46" x14ac:dyDescent="0.25">
      <c r="A120" s="10" t="s">
        <v>1755</v>
      </c>
      <c r="B120" s="10"/>
      <c r="C120" s="34" t="s">
        <v>148</v>
      </c>
      <c r="D120" s="35"/>
      <c r="E120" s="34">
        <v>-39</v>
      </c>
      <c r="F120" s="35"/>
      <c r="G120" s="34">
        <v>-49</v>
      </c>
      <c r="H120" s="35"/>
      <c r="I120" s="34">
        <v>-33</v>
      </c>
      <c r="J120" s="35"/>
      <c r="K120" s="34" t="s">
        <v>148</v>
      </c>
      <c r="L120" s="35"/>
      <c r="M120" s="34">
        <v>-13</v>
      </c>
      <c r="N120" s="35"/>
      <c r="O120" s="34">
        <v>-5</v>
      </c>
      <c r="P120" s="35"/>
      <c r="Q120" s="34" t="s">
        <v>148</v>
      </c>
      <c r="R120" s="35"/>
      <c r="S120" s="34">
        <v>18</v>
      </c>
      <c r="T120" s="35"/>
      <c r="U120" s="34">
        <v>-29</v>
      </c>
      <c r="V120" s="35"/>
      <c r="W120" s="34" t="s">
        <v>148</v>
      </c>
      <c r="X120" s="35"/>
      <c r="Y120" s="34">
        <v>-6</v>
      </c>
      <c r="Z120" s="35"/>
      <c r="AA120" s="34">
        <v>7</v>
      </c>
      <c r="AB120" s="35"/>
      <c r="AC120" s="34">
        <v>-30</v>
      </c>
      <c r="AD120" s="35"/>
      <c r="AE120" s="34" t="s">
        <v>148</v>
      </c>
      <c r="AF120" s="35"/>
      <c r="AG120" s="34" t="s">
        <v>148</v>
      </c>
      <c r="AH120" s="35"/>
      <c r="AI120" s="34" t="s">
        <v>148</v>
      </c>
      <c r="AJ120" s="35"/>
      <c r="AK120" s="34" t="s">
        <v>148</v>
      </c>
      <c r="AL120" s="35"/>
      <c r="AM120" s="34" t="s">
        <v>148</v>
      </c>
      <c r="AN120" s="35"/>
      <c r="AO120" s="34" t="s">
        <v>148</v>
      </c>
      <c r="AP120" s="35"/>
      <c r="AQ120" s="34" t="s">
        <v>148</v>
      </c>
      <c r="AR120" s="35"/>
      <c r="AS120" s="34" t="s">
        <v>148</v>
      </c>
      <c r="AT120" s="35"/>
    </row>
    <row r="121" spans="1:46" x14ac:dyDescent="0.25">
      <c r="A121" s="10" t="s">
        <v>1807</v>
      </c>
      <c r="B121" s="10"/>
      <c r="C121" s="34" t="s">
        <v>148</v>
      </c>
      <c r="D121" s="35"/>
      <c r="E121" s="34">
        <v>-67</v>
      </c>
      <c r="F121" s="35"/>
      <c r="G121" s="34">
        <v>-87</v>
      </c>
      <c r="H121" s="35"/>
      <c r="I121" s="34">
        <v>-88</v>
      </c>
      <c r="J121" s="35"/>
      <c r="K121" s="34" t="s">
        <v>148</v>
      </c>
      <c r="L121" s="35"/>
      <c r="M121" s="34">
        <v>-69</v>
      </c>
      <c r="N121" s="35"/>
      <c r="O121" s="34">
        <v>-82</v>
      </c>
      <c r="P121" s="35"/>
      <c r="Q121" s="34" t="s">
        <v>148</v>
      </c>
      <c r="R121" s="35"/>
      <c r="S121" s="34">
        <v>-100</v>
      </c>
      <c r="T121" s="35"/>
      <c r="U121" s="34">
        <v>-88</v>
      </c>
      <c r="V121" s="35"/>
      <c r="W121" s="34" t="s">
        <v>148</v>
      </c>
      <c r="X121" s="35"/>
      <c r="Y121" s="34">
        <v>0</v>
      </c>
      <c r="Z121" s="35"/>
      <c r="AA121" s="34">
        <v>25</v>
      </c>
      <c r="AB121" s="35"/>
      <c r="AC121" s="34">
        <v>-32</v>
      </c>
      <c r="AD121" s="35"/>
      <c r="AE121" s="34" t="s">
        <v>148</v>
      </c>
      <c r="AF121" s="35"/>
      <c r="AG121" s="34" t="s">
        <v>148</v>
      </c>
      <c r="AH121" s="35"/>
      <c r="AI121" s="34" t="s">
        <v>148</v>
      </c>
      <c r="AJ121" s="35"/>
      <c r="AK121" s="34" t="s">
        <v>148</v>
      </c>
      <c r="AL121" s="35"/>
      <c r="AM121" s="34" t="s">
        <v>148</v>
      </c>
      <c r="AN121" s="35"/>
      <c r="AO121" s="34" t="s">
        <v>148</v>
      </c>
      <c r="AP121" s="35"/>
      <c r="AQ121" s="34" t="s">
        <v>148</v>
      </c>
      <c r="AR121" s="35"/>
      <c r="AS121" s="34" t="s">
        <v>148</v>
      </c>
      <c r="AT121" s="35"/>
    </row>
    <row r="122" spans="1:46" x14ac:dyDescent="0.25">
      <c r="A122" s="10" t="s">
        <v>1755</v>
      </c>
      <c r="B122" s="10"/>
      <c r="C122" s="34" t="s">
        <v>148</v>
      </c>
      <c r="D122" s="35"/>
      <c r="E122" s="34">
        <v>-23</v>
      </c>
      <c r="F122" s="35"/>
      <c r="G122" s="34">
        <v>-13</v>
      </c>
      <c r="H122" s="35"/>
      <c r="I122" s="34">
        <v>-38</v>
      </c>
      <c r="J122" s="35"/>
      <c r="K122" s="34" t="s">
        <v>148</v>
      </c>
      <c r="L122" s="35"/>
      <c r="M122" s="34">
        <v>-10</v>
      </c>
      <c r="N122" s="35"/>
      <c r="O122" s="34">
        <v>38</v>
      </c>
      <c r="P122" s="35"/>
      <c r="Q122" s="34" t="s">
        <v>148</v>
      </c>
      <c r="R122" s="35"/>
      <c r="S122" s="34">
        <v>0</v>
      </c>
      <c r="T122" s="35"/>
      <c r="U122" s="34">
        <v>29</v>
      </c>
      <c r="V122" s="35"/>
      <c r="W122" s="34" t="s">
        <v>148</v>
      </c>
      <c r="X122" s="35"/>
      <c r="Y122" s="34">
        <v>28</v>
      </c>
      <c r="Z122" s="35"/>
      <c r="AA122" s="34">
        <v>-42</v>
      </c>
      <c r="AB122" s="35"/>
      <c r="AC122" s="34">
        <v>-34</v>
      </c>
      <c r="AD122" s="35"/>
      <c r="AE122" s="34" t="s">
        <v>148</v>
      </c>
      <c r="AF122" s="35"/>
      <c r="AG122" s="34" t="s">
        <v>148</v>
      </c>
      <c r="AH122" s="35"/>
      <c r="AI122" s="34" t="s">
        <v>148</v>
      </c>
      <c r="AJ122" s="35"/>
      <c r="AK122" s="34" t="s">
        <v>148</v>
      </c>
      <c r="AL122" s="35"/>
      <c r="AM122" s="34" t="s">
        <v>148</v>
      </c>
      <c r="AN122" s="35"/>
      <c r="AO122" s="34" t="s">
        <v>148</v>
      </c>
      <c r="AP122" s="35"/>
      <c r="AQ122" s="34" t="s">
        <v>148</v>
      </c>
      <c r="AR122" s="35"/>
      <c r="AS122" s="34" t="s">
        <v>148</v>
      </c>
      <c r="AT122" s="35"/>
    </row>
    <row r="123" spans="1:46" x14ac:dyDescent="0.25">
      <c r="A123" s="6" t="s">
        <v>1761</v>
      </c>
      <c r="B123" s="6"/>
      <c r="C123" s="36">
        <v>4958</v>
      </c>
      <c r="D123" s="37">
        <v>1</v>
      </c>
      <c r="E123" s="36" t="s">
        <v>148</v>
      </c>
      <c r="F123" s="37"/>
      <c r="G123" s="36" t="s">
        <v>148</v>
      </c>
      <c r="H123" s="37"/>
      <c r="I123" s="36" t="s">
        <v>148</v>
      </c>
      <c r="J123" s="37"/>
      <c r="K123" s="36" t="s">
        <v>148</v>
      </c>
      <c r="L123" s="37"/>
      <c r="M123" s="36" t="s">
        <v>148</v>
      </c>
      <c r="N123" s="37"/>
      <c r="O123" s="36" t="s">
        <v>148</v>
      </c>
      <c r="P123" s="37"/>
      <c r="Q123" s="36" t="s">
        <v>148</v>
      </c>
      <c r="R123" s="37"/>
      <c r="S123" s="36" t="s">
        <v>148</v>
      </c>
      <c r="T123" s="37"/>
      <c r="U123" s="36" t="s">
        <v>148</v>
      </c>
      <c r="V123" s="37"/>
      <c r="W123" s="36" t="s">
        <v>148</v>
      </c>
      <c r="X123" s="37"/>
      <c r="Y123" s="36" t="s">
        <v>148</v>
      </c>
      <c r="Z123" s="37"/>
      <c r="AA123" s="36" t="s">
        <v>148</v>
      </c>
      <c r="AB123" s="37"/>
      <c r="AC123" s="36" t="s">
        <v>148</v>
      </c>
      <c r="AD123" s="37"/>
      <c r="AE123" s="36" t="s">
        <v>148</v>
      </c>
      <c r="AF123" s="37"/>
      <c r="AG123" s="36" t="s">
        <v>148</v>
      </c>
      <c r="AH123" s="37"/>
      <c r="AI123" s="36" t="s">
        <v>148</v>
      </c>
      <c r="AJ123" s="37"/>
      <c r="AK123" s="36" t="s">
        <v>148</v>
      </c>
      <c r="AL123" s="37"/>
      <c r="AM123" s="36" t="s">
        <v>148</v>
      </c>
      <c r="AN123" s="37"/>
      <c r="AO123" s="36" t="s">
        <v>148</v>
      </c>
      <c r="AP123" s="37"/>
      <c r="AQ123" s="36" t="s">
        <v>148</v>
      </c>
      <c r="AR123" s="37"/>
      <c r="AS123" s="36" t="s">
        <v>148</v>
      </c>
      <c r="AT123" s="37"/>
    </row>
    <row r="124" spans="1:46" x14ac:dyDescent="0.25">
      <c r="A124" s="10" t="s">
        <v>1767</v>
      </c>
      <c r="B124" s="10"/>
      <c r="C124" s="32">
        <v>2373</v>
      </c>
      <c r="D124" s="33">
        <v>0.47862041145623202</v>
      </c>
      <c r="E124" s="32" t="s">
        <v>148</v>
      </c>
      <c r="F124" s="33"/>
      <c r="G124" s="32" t="s">
        <v>148</v>
      </c>
      <c r="H124" s="33"/>
      <c r="I124" s="32" t="s">
        <v>148</v>
      </c>
      <c r="J124" s="33"/>
      <c r="K124" s="32" t="s">
        <v>148</v>
      </c>
      <c r="L124" s="33"/>
      <c r="M124" s="32" t="s">
        <v>148</v>
      </c>
      <c r="N124" s="33"/>
      <c r="O124" s="32" t="s">
        <v>148</v>
      </c>
      <c r="P124" s="33"/>
      <c r="Q124" s="32" t="s">
        <v>148</v>
      </c>
      <c r="R124" s="33"/>
      <c r="S124" s="32" t="s">
        <v>148</v>
      </c>
      <c r="T124" s="33"/>
      <c r="U124" s="32" t="s">
        <v>148</v>
      </c>
      <c r="V124" s="33"/>
      <c r="W124" s="32" t="s">
        <v>148</v>
      </c>
      <c r="X124" s="33"/>
      <c r="Y124" s="32" t="s">
        <v>148</v>
      </c>
      <c r="Z124" s="33"/>
      <c r="AA124" s="32" t="s">
        <v>148</v>
      </c>
      <c r="AB124" s="33"/>
      <c r="AC124" s="32" t="s">
        <v>148</v>
      </c>
      <c r="AD124" s="33"/>
      <c r="AE124" s="32" t="s">
        <v>148</v>
      </c>
      <c r="AF124" s="33"/>
      <c r="AG124" s="32" t="s">
        <v>148</v>
      </c>
      <c r="AH124" s="33"/>
      <c r="AI124" s="32" t="s">
        <v>148</v>
      </c>
      <c r="AJ124" s="33"/>
      <c r="AK124" s="32" t="s">
        <v>148</v>
      </c>
      <c r="AL124" s="33"/>
      <c r="AM124" s="32" t="s">
        <v>148</v>
      </c>
      <c r="AN124" s="33"/>
      <c r="AO124" s="32" t="s">
        <v>148</v>
      </c>
      <c r="AP124" s="33"/>
      <c r="AQ124" s="32" t="s">
        <v>148</v>
      </c>
      <c r="AR124" s="33"/>
      <c r="AS124" s="32" t="s">
        <v>148</v>
      </c>
      <c r="AT124" s="33"/>
    </row>
    <row r="125" spans="1:46" x14ac:dyDescent="0.25">
      <c r="A125" s="10" t="s">
        <v>1808</v>
      </c>
      <c r="B125" s="10"/>
      <c r="C125" s="32">
        <v>1476</v>
      </c>
      <c r="D125" s="33">
        <v>0.297700685760387</v>
      </c>
      <c r="E125" s="32" t="s">
        <v>148</v>
      </c>
      <c r="F125" s="33"/>
      <c r="G125" s="32" t="s">
        <v>148</v>
      </c>
      <c r="H125" s="33"/>
      <c r="I125" s="32" t="s">
        <v>148</v>
      </c>
      <c r="J125" s="33"/>
      <c r="K125" s="32" t="s">
        <v>148</v>
      </c>
      <c r="L125" s="33"/>
      <c r="M125" s="32" t="s">
        <v>148</v>
      </c>
      <c r="N125" s="33"/>
      <c r="O125" s="32" t="s">
        <v>148</v>
      </c>
      <c r="P125" s="33"/>
      <c r="Q125" s="32" t="s">
        <v>148</v>
      </c>
      <c r="R125" s="33"/>
      <c r="S125" s="32" t="s">
        <v>148</v>
      </c>
      <c r="T125" s="33"/>
      <c r="U125" s="32" t="s">
        <v>148</v>
      </c>
      <c r="V125" s="33"/>
      <c r="W125" s="32" t="s">
        <v>148</v>
      </c>
      <c r="X125" s="33"/>
      <c r="Y125" s="32" t="s">
        <v>148</v>
      </c>
      <c r="Z125" s="33"/>
      <c r="AA125" s="32" t="s">
        <v>148</v>
      </c>
      <c r="AB125" s="33"/>
      <c r="AC125" s="32" t="s">
        <v>148</v>
      </c>
      <c r="AD125" s="33"/>
      <c r="AE125" s="32" t="s">
        <v>148</v>
      </c>
      <c r="AF125" s="33"/>
      <c r="AG125" s="32" t="s">
        <v>148</v>
      </c>
      <c r="AH125" s="33"/>
      <c r="AI125" s="32" t="s">
        <v>148</v>
      </c>
      <c r="AJ125" s="33"/>
      <c r="AK125" s="32" t="s">
        <v>148</v>
      </c>
      <c r="AL125" s="33"/>
      <c r="AM125" s="32" t="s">
        <v>148</v>
      </c>
      <c r="AN125" s="33"/>
      <c r="AO125" s="32" t="s">
        <v>148</v>
      </c>
      <c r="AP125" s="33"/>
      <c r="AQ125" s="32" t="s">
        <v>148</v>
      </c>
      <c r="AR125" s="33"/>
      <c r="AS125" s="32" t="s">
        <v>148</v>
      </c>
      <c r="AT125" s="33"/>
    </row>
    <row r="126" spans="1:46" x14ac:dyDescent="0.25">
      <c r="A126" s="10" t="s">
        <v>1797</v>
      </c>
      <c r="B126" s="10"/>
      <c r="C126" s="32">
        <v>1109</v>
      </c>
      <c r="D126" s="33">
        <v>0.22367890278338001</v>
      </c>
      <c r="E126" s="32" t="s">
        <v>148</v>
      </c>
      <c r="F126" s="33"/>
      <c r="G126" s="32" t="s">
        <v>148</v>
      </c>
      <c r="H126" s="33"/>
      <c r="I126" s="32" t="s">
        <v>148</v>
      </c>
      <c r="J126" s="33"/>
      <c r="K126" s="32" t="s">
        <v>148</v>
      </c>
      <c r="L126" s="33"/>
      <c r="M126" s="32" t="s">
        <v>148</v>
      </c>
      <c r="N126" s="33"/>
      <c r="O126" s="32" t="s">
        <v>148</v>
      </c>
      <c r="P126" s="33"/>
      <c r="Q126" s="32" t="s">
        <v>148</v>
      </c>
      <c r="R126" s="33"/>
      <c r="S126" s="32" t="s">
        <v>148</v>
      </c>
      <c r="T126" s="33"/>
      <c r="U126" s="32" t="s">
        <v>148</v>
      </c>
      <c r="V126" s="33"/>
      <c r="W126" s="32" t="s">
        <v>148</v>
      </c>
      <c r="X126" s="33"/>
      <c r="Y126" s="32" t="s">
        <v>148</v>
      </c>
      <c r="Z126" s="33"/>
      <c r="AA126" s="32" t="s">
        <v>148</v>
      </c>
      <c r="AB126" s="33"/>
      <c r="AC126" s="32" t="s">
        <v>148</v>
      </c>
      <c r="AD126" s="33"/>
      <c r="AE126" s="32" t="s">
        <v>148</v>
      </c>
      <c r="AF126" s="33"/>
      <c r="AG126" s="32" t="s">
        <v>148</v>
      </c>
      <c r="AH126" s="33"/>
      <c r="AI126" s="32" t="s">
        <v>148</v>
      </c>
      <c r="AJ126" s="33"/>
      <c r="AK126" s="32" t="s">
        <v>148</v>
      </c>
      <c r="AL126" s="33"/>
      <c r="AM126" s="32" t="s">
        <v>148</v>
      </c>
      <c r="AN126" s="33"/>
      <c r="AO126" s="32" t="s">
        <v>148</v>
      </c>
      <c r="AP126" s="33"/>
      <c r="AQ126" s="32" t="s">
        <v>148</v>
      </c>
      <c r="AR126" s="33"/>
      <c r="AS126" s="32" t="s">
        <v>148</v>
      </c>
      <c r="AT126" s="33"/>
    </row>
    <row r="127" spans="1:46" x14ac:dyDescent="0.25">
      <c r="A127" s="6" t="s">
        <v>1809</v>
      </c>
      <c r="B127" s="6"/>
      <c r="C127" s="36" t="s">
        <v>148</v>
      </c>
      <c r="D127" s="37"/>
      <c r="E127" s="36" t="s">
        <v>148</v>
      </c>
      <c r="F127" s="37"/>
      <c r="G127" s="36" t="s">
        <v>148</v>
      </c>
      <c r="H127" s="37"/>
      <c r="I127" s="36" t="s">
        <v>148</v>
      </c>
      <c r="J127" s="37"/>
      <c r="K127" s="36">
        <v>4928</v>
      </c>
      <c r="L127" s="37">
        <v>1</v>
      </c>
      <c r="M127" s="36" t="s">
        <v>148</v>
      </c>
      <c r="N127" s="37"/>
      <c r="O127" s="36" t="s">
        <v>148</v>
      </c>
      <c r="P127" s="37"/>
      <c r="Q127" s="36">
        <v>4889</v>
      </c>
      <c r="R127" s="37">
        <v>1</v>
      </c>
      <c r="S127" s="36" t="s">
        <v>148</v>
      </c>
      <c r="T127" s="37"/>
      <c r="U127" s="36" t="s">
        <v>148</v>
      </c>
      <c r="V127" s="37"/>
      <c r="W127" s="36">
        <v>5184</v>
      </c>
      <c r="X127" s="37">
        <v>1</v>
      </c>
      <c r="Y127" s="36" t="s">
        <v>148</v>
      </c>
      <c r="Z127" s="37"/>
      <c r="AA127" s="36" t="s">
        <v>148</v>
      </c>
      <c r="AB127" s="37"/>
      <c r="AC127" s="36" t="s">
        <v>148</v>
      </c>
      <c r="AD127" s="37"/>
      <c r="AE127" s="36" t="s">
        <v>148</v>
      </c>
      <c r="AF127" s="37"/>
      <c r="AG127" s="36" t="s">
        <v>148</v>
      </c>
      <c r="AH127" s="37"/>
      <c r="AI127" s="36" t="s">
        <v>148</v>
      </c>
      <c r="AJ127" s="37"/>
      <c r="AK127" s="36" t="s">
        <v>148</v>
      </c>
      <c r="AL127" s="37"/>
      <c r="AM127" s="36">
        <v>5941</v>
      </c>
      <c r="AN127" s="37">
        <v>1</v>
      </c>
      <c r="AO127" s="36" t="s">
        <v>148</v>
      </c>
      <c r="AP127" s="37"/>
      <c r="AQ127" s="36" t="s">
        <v>148</v>
      </c>
      <c r="AR127" s="37"/>
      <c r="AS127" s="36">
        <v>6543</v>
      </c>
      <c r="AT127" s="37">
        <v>1</v>
      </c>
    </row>
    <row r="128" spans="1:46" x14ac:dyDescent="0.25">
      <c r="A128" s="10" t="s">
        <v>1767</v>
      </c>
      <c r="B128" s="10"/>
      <c r="C128" s="32" t="s">
        <v>148</v>
      </c>
      <c r="D128" s="33"/>
      <c r="E128" s="32" t="s">
        <v>148</v>
      </c>
      <c r="F128" s="33"/>
      <c r="G128" s="32" t="s">
        <v>148</v>
      </c>
      <c r="H128" s="33"/>
      <c r="I128" s="32" t="s">
        <v>148</v>
      </c>
      <c r="J128" s="33"/>
      <c r="K128" s="32">
        <v>2433</v>
      </c>
      <c r="L128" s="33">
        <v>0.493709415584416</v>
      </c>
      <c r="M128" s="32" t="s">
        <v>148</v>
      </c>
      <c r="N128" s="33"/>
      <c r="O128" s="32" t="s">
        <v>148</v>
      </c>
      <c r="P128" s="33"/>
      <c r="Q128" s="32">
        <v>2473</v>
      </c>
      <c r="R128" s="33">
        <v>0.50582941296788697</v>
      </c>
      <c r="S128" s="32" t="s">
        <v>148</v>
      </c>
      <c r="T128" s="33"/>
      <c r="U128" s="32" t="s">
        <v>148</v>
      </c>
      <c r="V128" s="33"/>
      <c r="W128" s="32">
        <v>2801</v>
      </c>
      <c r="X128" s="33">
        <v>0.54031635802469102</v>
      </c>
      <c r="Y128" s="32" t="s">
        <v>148</v>
      </c>
      <c r="Z128" s="33"/>
      <c r="AA128" s="32" t="s">
        <v>148</v>
      </c>
      <c r="AB128" s="33"/>
      <c r="AC128" s="32" t="s">
        <v>148</v>
      </c>
      <c r="AD128" s="33"/>
      <c r="AE128" s="32" t="s">
        <v>148</v>
      </c>
      <c r="AF128" s="33"/>
      <c r="AG128" s="32" t="s">
        <v>148</v>
      </c>
      <c r="AH128" s="33"/>
      <c r="AI128" s="32" t="s">
        <v>148</v>
      </c>
      <c r="AJ128" s="33"/>
      <c r="AK128" s="32" t="s">
        <v>148</v>
      </c>
      <c r="AL128" s="33"/>
      <c r="AM128" s="32">
        <v>3658</v>
      </c>
      <c r="AN128" s="33">
        <v>0.61572125904729802</v>
      </c>
      <c r="AO128" s="32" t="s">
        <v>148</v>
      </c>
      <c r="AP128" s="33"/>
      <c r="AQ128" s="32" t="s">
        <v>148</v>
      </c>
      <c r="AR128" s="33"/>
      <c r="AS128" s="32">
        <v>4156</v>
      </c>
      <c r="AT128" s="33">
        <v>0.63518263793367002</v>
      </c>
    </row>
    <row r="129" spans="1:46" x14ac:dyDescent="0.25">
      <c r="A129" s="10" t="s">
        <v>1797</v>
      </c>
      <c r="B129" s="10"/>
      <c r="C129" s="32" t="s">
        <v>148</v>
      </c>
      <c r="D129" s="33"/>
      <c r="E129" s="32" t="s">
        <v>148</v>
      </c>
      <c r="F129" s="33"/>
      <c r="G129" s="32" t="s">
        <v>148</v>
      </c>
      <c r="H129" s="33"/>
      <c r="I129" s="32" t="s">
        <v>148</v>
      </c>
      <c r="J129" s="33"/>
      <c r="K129" s="32">
        <v>1093</v>
      </c>
      <c r="L129" s="33">
        <v>0.221793831168831</v>
      </c>
      <c r="M129" s="32" t="s">
        <v>148</v>
      </c>
      <c r="N129" s="33"/>
      <c r="O129" s="32" t="s">
        <v>148</v>
      </c>
      <c r="P129" s="33"/>
      <c r="Q129" s="32">
        <v>1085</v>
      </c>
      <c r="R129" s="33">
        <v>0.221926774391491</v>
      </c>
      <c r="S129" s="32" t="s">
        <v>148</v>
      </c>
      <c r="T129" s="33"/>
      <c r="U129" s="32" t="s">
        <v>148</v>
      </c>
      <c r="V129" s="33"/>
      <c r="W129" s="32">
        <v>1072</v>
      </c>
      <c r="X129" s="33">
        <v>0.20679012345678999</v>
      </c>
      <c r="Y129" s="32" t="s">
        <v>148</v>
      </c>
      <c r="Z129" s="33"/>
      <c r="AA129" s="32" t="s">
        <v>148</v>
      </c>
      <c r="AB129" s="33"/>
      <c r="AC129" s="32" t="s">
        <v>148</v>
      </c>
      <c r="AD129" s="33"/>
      <c r="AE129" s="32" t="s">
        <v>148</v>
      </c>
      <c r="AF129" s="33"/>
      <c r="AG129" s="32" t="s">
        <v>148</v>
      </c>
      <c r="AH129" s="33"/>
      <c r="AI129" s="32" t="s">
        <v>148</v>
      </c>
      <c r="AJ129" s="33"/>
      <c r="AK129" s="32" t="s">
        <v>148</v>
      </c>
      <c r="AL129" s="33"/>
      <c r="AM129" s="32">
        <v>1135</v>
      </c>
      <c r="AN129" s="33">
        <v>0.19104527857263101</v>
      </c>
      <c r="AO129" s="32" t="s">
        <v>148</v>
      </c>
      <c r="AP129" s="33"/>
      <c r="AQ129" s="32" t="s">
        <v>148</v>
      </c>
      <c r="AR129" s="33"/>
      <c r="AS129" s="32">
        <v>1213</v>
      </c>
      <c r="AT129" s="33">
        <v>0.18538896530643401</v>
      </c>
    </row>
    <row r="130" spans="1:46" x14ac:dyDescent="0.25">
      <c r="A130" s="10" t="s">
        <v>1808</v>
      </c>
      <c r="B130" s="10"/>
      <c r="C130" s="32" t="s">
        <v>148</v>
      </c>
      <c r="D130" s="33"/>
      <c r="E130" s="32" t="s">
        <v>148</v>
      </c>
      <c r="F130" s="33"/>
      <c r="G130" s="32" t="s">
        <v>148</v>
      </c>
      <c r="H130" s="33"/>
      <c r="I130" s="32" t="s">
        <v>148</v>
      </c>
      <c r="J130" s="33"/>
      <c r="K130" s="32">
        <v>1402</v>
      </c>
      <c r="L130" s="33">
        <v>0.284496753246753</v>
      </c>
      <c r="M130" s="32" t="s">
        <v>148</v>
      </c>
      <c r="N130" s="33"/>
      <c r="O130" s="32" t="s">
        <v>148</v>
      </c>
      <c r="P130" s="33"/>
      <c r="Q130" s="32">
        <v>1331</v>
      </c>
      <c r="R130" s="33">
        <v>0.27224381264062197</v>
      </c>
      <c r="S130" s="32" t="s">
        <v>148</v>
      </c>
      <c r="T130" s="33"/>
      <c r="U130" s="32" t="s">
        <v>148</v>
      </c>
      <c r="V130" s="33"/>
      <c r="W130" s="32">
        <v>1311</v>
      </c>
      <c r="X130" s="33">
        <v>0.25289351851851899</v>
      </c>
      <c r="Y130" s="32" t="s">
        <v>148</v>
      </c>
      <c r="Z130" s="33"/>
      <c r="AA130" s="32" t="s">
        <v>148</v>
      </c>
      <c r="AB130" s="33"/>
      <c r="AC130" s="32" t="s">
        <v>148</v>
      </c>
      <c r="AD130" s="33"/>
      <c r="AE130" s="32" t="s">
        <v>148</v>
      </c>
      <c r="AF130" s="33"/>
      <c r="AG130" s="32" t="s">
        <v>148</v>
      </c>
      <c r="AH130" s="33"/>
      <c r="AI130" s="32" t="s">
        <v>148</v>
      </c>
      <c r="AJ130" s="33"/>
      <c r="AK130" s="32" t="s">
        <v>148</v>
      </c>
      <c r="AL130" s="33"/>
      <c r="AM130" s="32">
        <v>1148</v>
      </c>
      <c r="AN130" s="33">
        <v>0.193233462380071</v>
      </c>
      <c r="AO130" s="32" t="s">
        <v>148</v>
      </c>
      <c r="AP130" s="33"/>
      <c r="AQ130" s="32" t="s">
        <v>148</v>
      </c>
      <c r="AR130" s="33"/>
      <c r="AS130" s="32">
        <v>1174</v>
      </c>
      <c r="AT130" s="33">
        <v>0.179428396759896</v>
      </c>
    </row>
    <row r="131" spans="1:46" x14ac:dyDescent="0.25">
      <c r="A131" s="7" t="s">
        <v>90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41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1810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1811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1812</v>
      </c>
      <c r="B7" s="10"/>
      <c r="C7" s="13">
        <v>6230</v>
      </c>
      <c r="D7" s="13">
        <v>5557</v>
      </c>
      <c r="E7" s="13">
        <v>5871</v>
      </c>
      <c r="F7" s="13">
        <v>5737</v>
      </c>
      <c r="G7" s="13">
        <v>6197</v>
      </c>
      <c r="H7" s="13">
        <v>6161</v>
      </c>
      <c r="I7" s="13">
        <v>6206</v>
      </c>
      <c r="J7" s="13">
        <v>6423</v>
      </c>
      <c r="K7" s="13">
        <v>6634</v>
      </c>
      <c r="L7" s="13">
        <v>5901</v>
      </c>
      <c r="M7" s="13">
        <v>6526</v>
      </c>
      <c r="N7" s="13">
        <v>6706</v>
      </c>
      <c r="O7" s="13">
        <v>6846</v>
      </c>
      <c r="P7" s="13">
        <v>6238</v>
      </c>
      <c r="Q7" s="13">
        <v>6594</v>
      </c>
      <c r="R7" s="13">
        <v>6652</v>
      </c>
      <c r="S7" s="13">
        <v>6839</v>
      </c>
      <c r="T7" s="13">
        <v>6105</v>
      </c>
      <c r="U7" s="13">
        <v>6986</v>
      </c>
      <c r="V7" s="13">
        <v>6903</v>
      </c>
      <c r="W7" s="13">
        <v>8196</v>
      </c>
      <c r="X7" s="13">
        <v>7447</v>
      </c>
      <c r="Y7" s="13">
        <v>8388</v>
      </c>
      <c r="Z7" s="13">
        <v>8503</v>
      </c>
      <c r="AA7" s="13">
        <v>9086</v>
      </c>
    </row>
    <row r="8" spans="1:27" x14ac:dyDescent="0.25">
      <c r="A8" s="10" t="s">
        <v>1813</v>
      </c>
      <c r="B8" s="10"/>
      <c r="C8" s="13">
        <v>2382</v>
      </c>
      <c r="D8" s="13">
        <v>2472</v>
      </c>
      <c r="E8" s="13">
        <v>2678</v>
      </c>
      <c r="F8" s="13">
        <v>2476</v>
      </c>
      <c r="G8" s="13">
        <v>2048</v>
      </c>
      <c r="H8" s="13">
        <v>2355</v>
      </c>
      <c r="I8" s="13">
        <v>2323</v>
      </c>
      <c r="J8" s="13">
        <v>2453</v>
      </c>
      <c r="K8" s="13">
        <v>2008</v>
      </c>
      <c r="L8" s="13">
        <v>2129</v>
      </c>
      <c r="M8" s="13">
        <v>828</v>
      </c>
      <c r="N8" s="13">
        <v>2378</v>
      </c>
      <c r="O8" s="13">
        <v>2304</v>
      </c>
      <c r="P8" s="13">
        <v>2500</v>
      </c>
      <c r="Q8" s="13">
        <v>2176</v>
      </c>
      <c r="R8" s="13">
        <v>2660</v>
      </c>
      <c r="S8" s="13">
        <v>2230</v>
      </c>
      <c r="T8" s="13">
        <v>1921</v>
      </c>
      <c r="U8" s="13">
        <v>2684</v>
      </c>
      <c r="V8" s="13">
        <v>2021</v>
      </c>
      <c r="W8" s="13">
        <v>1271</v>
      </c>
      <c r="X8" s="13">
        <v>991</v>
      </c>
      <c r="Y8" s="13">
        <v>1909</v>
      </c>
      <c r="Z8" s="13">
        <v>2047</v>
      </c>
      <c r="AA8" s="13">
        <v>2311</v>
      </c>
    </row>
    <row r="9" spans="1:27" x14ac:dyDescent="0.25">
      <c r="A9" s="10" t="s">
        <v>1814</v>
      </c>
      <c r="B9" s="10"/>
      <c r="C9" s="13">
        <v>66416</v>
      </c>
      <c r="D9" s="13">
        <v>63997</v>
      </c>
      <c r="E9" s="13">
        <v>59373</v>
      </c>
      <c r="F9" s="13">
        <v>59535</v>
      </c>
      <c r="G9" s="13">
        <v>59707</v>
      </c>
      <c r="H9" s="13">
        <v>61669</v>
      </c>
      <c r="I9" s="13">
        <v>65011</v>
      </c>
      <c r="J9" s="13">
        <v>64637</v>
      </c>
      <c r="K9" s="13">
        <v>62948</v>
      </c>
      <c r="L9" s="13">
        <v>62539</v>
      </c>
      <c r="M9" s="13">
        <v>59773</v>
      </c>
      <c r="N9" s="13">
        <v>64993</v>
      </c>
      <c r="O9" s="13">
        <v>61165</v>
      </c>
      <c r="P9" s="13">
        <v>59196</v>
      </c>
      <c r="Q9" s="13">
        <v>59294</v>
      </c>
      <c r="R9" s="13">
        <v>63700</v>
      </c>
      <c r="S9" s="13">
        <v>65121</v>
      </c>
      <c r="T9" s="13">
        <v>88720</v>
      </c>
      <c r="U9" s="13">
        <v>90269</v>
      </c>
      <c r="V9" s="13">
        <v>90534</v>
      </c>
      <c r="W9" s="13">
        <v>97154</v>
      </c>
      <c r="X9" s="13">
        <v>92980</v>
      </c>
      <c r="Y9" s="13">
        <v>90907</v>
      </c>
      <c r="Z9" s="13">
        <v>90883</v>
      </c>
      <c r="AA9" s="13">
        <v>91839</v>
      </c>
    </row>
    <row r="10" spans="1:27" x14ac:dyDescent="0.25">
      <c r="A10" s="10" t="s">
        <v>1815</v>
      </c>
      <c r="B10" s="10"/>
      <c r="C10" s="13">
        <v>490</v>
      </c>
      <c r="D10" s="13">
        <v>495</v>
      </c>
      <c r="E10" s="13">
        <v>501</v>
      </c>
      <c r="F10" s="13">
        <v>508</v>
      </c>
      <c r="G10" s="13">
        <v>702</v>
      </c>
      <c r="H10" s="13">
        <v>897</v>
      </c>
      <c r="I10" s="13">
        <v>930</v>
      </c>
      <c r="J10" s="13">
        <v>901</v>
      </c>
      <c r="K10" s="13">
        <v>873</v>
      </c>
      <c r="L10" s="13">
        <v>841</v>
      </c>
      <c r="M10" s="13">
        <v>855</v>
      </c>
      <c r="N10" s="13">
        <v>850</v>
      </c>
      <c r="O10" s="13">
        <v>852</v>
      </c>
      <c r="P10" s="13">
        <v>841</v>
      </c>
      <c r="Q10" s="13">
        <v>828</v>
      </c>
      <c r="R10" s="13">
        <v>837</v>
      </c>
      <c r="S10" s="13">
        <v>911</v>
      </c>
      <c r="T10" s="13">
        <v>900</v>
      </c>
      <c r="U10" s="13">
        <v>896</v>
      </c>
      <c r="V10" s="13">
        <v>895</v>
      </c>
      <c r="W10" s="13">
        <v>1380</v>
      </c>
      <c r="X10" s="13">
        <v>1399</v>
      </c>
      <c r="Y10" s="13">
        <v>1400</v>
      </c>
      <c r="Z10" s="13">
        <v>1396</v>
      </c>
      <c r="AA10" s="13">
        <v>1397</v>
      </c>
    </row>
    <row r="11" spans="1:27" x14ac:dyDescent="0.25">
      <c r="A11" s="10" t="s">
        <v>1816</v>
      </c>
      <c r="B11" s="10"/>
      <c r="C11" s="13">
        <v>-225</v>
      </c>
      <c r="D11" s="13">
        <v>-116</v>
      </c>
      <c r="E11" s="13">
        <v>-144</v>
      </c>
      <c r="F11" s="13">
        <v>-170</v>
      </c>
      <c r="G11" s="13">
        <v>-188</v>
      </c>
      <c r="H11" s="13">
        <v>-142</v>
      </c>
      <c r="I11" s="13">
        <v>-158</v>
      </c>
      <c r="J11" s="13">
        <v>-135</v>
      </c>
      <c r="K11" s="13">
        <v>-173</v>
      </c>
      <c r="L11" s="13">
        <v>-166</v>
      </c>
      <c r="M11" s="13">
        <v>-185</v>
      </c>
      <c r="N11" s="13">
        <v>-242</v>
      </c>
      <c r="O11" s="13">
        <v>-287</v>
      </c>
      <c r="P11" s="13">
        <v>-190</v>
      </c>
      <c r="Q11" s="13">
        <v>-246</v>
      </c>
      <c r="R11" s="13">
        <v>-160</v>
      </c>
      <c r="S11" s="13">
        <v>-340</v>
      </c>
      <c r="T11" s="13">
        <v>-344</v>
      </c>
      <c r="U11" s="13">
        <v>-271</v>
      </c>
      <c r="V11" s="13">
        <v>-248</v>
      </c>
      <c r="W11" s="13">
        <v>-249</v>
      </c>
      <c r="X11" s="13">
        <v>-230</v>
      </c>
      <c r="Y11" s="13">
        <v>-238</v>
      </c>
      <c r="Z11" s="13">
        <v>-257</v>
      </c>
      <c r="AA11" s="13">
        <v>-371</v>
      </c>
    </row>
    <row r="12" spans="1:27" x14ac:dyDescent="0.25">
      <c r="A12" s="10" t="s">
        <v>1817</v>
      </c>
      <c r="B12" s="10"/>
      <c r="C12" s="13">
        <v>4958</v>
      </c>
      <c r="D12" s="13">
        <v>5309</v>
      </c>
      <c r="E12" s="13">
        <v>5312</v>
      </c>
      <c r="F12" s="13">
        <v>5323</v>
      </c>
      <c r="G12" s="13">
        <v>5397</v>
      </c>
      <c r="H12" s="13">
        <v>4879</v>
      </c>
      <c r="I12" s="13">
        <v>4843</v>
      </c>
      <c r="J12" s="13">
        <v>4816</v>
      </c>
      <c r="K12" s="13">
        <v>5297</v>
      </c>
      <c r="L12" s="13">
        <v>4855</v>
      </c>
      <c r="M12" s="13">
        <v>4906</v>
      </c>
      <c r="N12" s="13">
        <v>4982</v>
      </c>
      <c r="O12" s="13">
        <v>5750</v>
      </c>
      <c r="P12" s="13">
        <v>5142</v>
      </c>
      <c r="Q12" s="13">
        <v>5158</v>
      </c>
      <c r="R12" s="13">
        <v>5188</v>
      </c>
      <c r="S12" s="13">
        <v>6006</v>
      </c>
      <c r="T12" s="13">
        <v>5460</v>
      </c>
      <c r="U12" s="13">
        <v>5532</v>
      </c>
      <c r="V12" s="13">
        <v>5563</v>
      </c>
      <c r="W12" s="13">
        <v>6592</v>
      </c>
      <c r="X12" s="13">
        <v>6002</v>
      </c>
      <c r="Y12" s="13">
        <v>6097</v>
      </c>
      <c r="Z12" s="13">
        <v>6156</v>
      </c>
      <c r="AA12" s="13">
        <v>7100</v>
      </c>
    </row>
    <row r="13" spans="1:27" x14ac:dyDescent="0.25">
      <c r="A13" s="10" t="s">
        <v>1818</v>
      </c>
      <c r="B13" s="10"/>
      <c r="C13" s="13">
        <v>53916</v>
      </c>
      <c r="D13" s="13">
        <v>53165</v>
      </c>
      <c r="E13" s="13">
        <v>48579</v>
      </c>
      <c r="F13" s="13">
        <v>48608</v>
      </c>
      <c r="G13" s="13">
        <v>50034</v>
      </c>
      <c r="H13" s="13">
        <v>52184</v>
      </c>
      <c r="I13" s="13">
        <v>54352</v>
      </c>
      <c r="J13" s="13">
        <v>53678</v>
      </c>
      <c r="K13" s="13">
        <v>53539</v>
      </c>
      <c r="L13" s="13">
        <v>53205</v>
      </c>
      <c r="M13" s="13">
        <v>51526</v>
      </c>
      <c r="N13" s="13">
        <v>56776</v>
      </c>
      <c r="O13" s="13">
        <v>54465</v>
      </c>
      <c r="P13" s="13">
        <v>58280</v>
      </c>
      <c r="Q13" s="13">
        <v>56875</v>
      </c>
      <c r="R13" s="13">
        <v>60047</v>
      </c>
      <c r="S13" s="13">
        <v>61460</v>
      </c>
      <c r="T13" s="13">
        <v>83372</v>
      </c>
      <c r="U13" s="13">
        <v>83488</v>
      </c>
      <c r="V13" s="13">
        <v>82878</v>
      </c>
      <c r="W13" s="13">
        <v>90922</v>
      </c>
      <c r="X13" s="13">
        <v>87958</v>
      </c>
      <c r="Y13" s="13">
        <v>84982</v>
      </c>
      <c r="Z13" s="13">
        <v>83356</v>
      </c>
      <c r="AA13" s="13">
        <v>85962</v>
      </c>
    </row>
    <row r="14" spans="1:27" x14ac:dyDescent="0.25">
      <c r="A14" s="10" t="s">
        <v>1819</v>
      </c>
      <c r="B14" s="10"/>
      <c r="C14" s="13">
        <v>14699</v>
      </c>
      <c r="D14" s="13">
        <v>14692</v>
      </c>
      <c r="E14" s="13">
        <v>14689</v>
      </c>
      <c r="F14" s="13">
        <v>14705</v>
      </c>
      <c r="G14" s="13">
        <v>14703</v>
      </c>
      <c r="H14" s="13">
        <v>14683</v>
      </c>
      <c r="I14" s="13">
        <v>14678</v>
      </c>
      <c r="J14" s="13">
        <v>14674</v>
      </c>
      <c r="K14" s="13">
        <v>14689</v>
      </c>
      <c r="L14" s="13">
        <v>14673</v>
      </c>
      <c r="M14" s="13">
        <v>14676</v>
      </c>
      <c r="N14" s="13">
        <v>14665</v>
      </c>
      <c r="O14" s="13">
        <v>14890</v>
      </c>
      <c r="P14" s="13">
        <v>14897</v>
      </c>
      <c r="Q14" s="13">
        <v>14865</v>
      </c>
      <c r="R14" s="13">
        <v>14845</v>
      </c>
      <c r="S14" s="13">
        <v>15529</v>
      </c>
      <c r="T14" s="13">
        <v>15531</v>
      </c>
      <c r="U14" s="13">
        <v>15531</v>
      </c>
      <c r="V14" s="13">
        <v>15509</v>
      </c>
      <c r="W14" s="13">
        <v>18629</v>
      </c>
      <c r="X14" s="13">
        <v>18570</v>
      </c>
      <c r="Y14" s="13">
        <v>18616</v>
      </c>
      <c r="Z14" s="13">
        <v>18658</v>
      </c>
      <c r="AA14" s="13">
        <v>18637</v>
      </c>
    </row>
    <row r="15" spans="1:27" x14ac:dyDescent="0.25">
      <c r="A15" s="10" t="s">
        <v>1820</v>
      </c>
      <c r="B15" s="10"/>
      <c r="C15" s="13">
        <v>1928</v>
      </c>
      <c r="D15" s="13">
        <v>1992</v>
      </c>
      <c r="E15" s="13">
        <v>2179</v>
      </c>
      <c r="F15" s="13">
        <v>1968</v>
      </c>
      <c r="G15" s="13">
        <v>1703</v>
      </c>
      <c r="H15" s="13">
        <v>1825</v>
      </c>
      <c r="I15" s="13">
        <v>1803</v>
      </c>
      <c r="J15" s="13">
        <v>2021</v>
      </c>
      <c r="K15" s="13">
        <v>1615</v>
      </c>
      <c r="L15" s="13">
        <v>1646</v>
      </c>
      <c r="M15" s="13">
        <v>464</v>
      </c>
      <c r="N15" s="13">
        <v>1884</v>
      </c>
      <c r="O15" s="13">
        <v>1899</v>
      </c>
      <c r="P15" s="13">
        <v>1476</v>
      </c>
      <c r="Q15" s="13">
        <v>1317</v>
      </c>
      <c r="R15" s="13">
        <v>2143</v>
      </c>
      <c r="S15" s="13">
        <v>1616</v>
      </c>
      <c r="T15" s="13">
        <v>2841</v>
      </c>
      <c r="U15" s="13">
        <v>1379</v>
      </c>
      <c r="V15" s="13">
        <v>1730</v>
      </c>
      <c r="W15" s="13">
        <v>767</v>
      </c>
      <c r="X15" s="13">
        <v>-113</v>
      </c>
      <c r="Y15" s="13">
        <v>746</v>
      </c>
      <c r="Z15" s="13">
        <v>2830</v>
      </c>
      <c r="AA15" s="13">
        <v>627</v>
      </c>
    </row>
    <row r="16" spans="1:27" x14ac:dyDescent="0.25">
      <c r="A16" s="10" t="s">
        <v>1821</v>
      </c>
      <c r="B16" s="10"/>
      <c r="C16" s="13">
        <v>5134</v>
      </c>
      <c r="D16" s="13">
        <v>4502</v>
      </c>
      <c r="E16" s="13">
        <v>4859</v>
      </c>
      <c r="F16" s="13">
        <v>4701</v>
      </c>
      <c r="G16" s="13">
        <v>4944</v>
      </c>
      <c r="H16" s="13">
        <v>4648</v>
      </c>
      <c r="I16" s="13">
        <v>4718</v>
      </c>
      <c r="J16" s="13">
        <v>4862</v>
      </c>
      <c r="K16" s="13">
        <v>5037</v>
      </c>
      <c r="L16" s="13">
        <v>4411</v>
      </c>
      <c r="M16" s="13">
        <v>4889</v>
      </c>
      <c r="N16" s="13">
        <v>5097</v>
      </c>
      <c r="O16" s="13">
        <v>5128</v>
      </c>
      <c r="P16" s="13">
        <v>4677</v>
      </c>
      <c r="Q16" s="13">
        <v>5084</v>
      </c>
      <c r="R16" s="13">
        <v>5064</v>
      </c>
      <c r="S16" s="13">
        <v>5092</v>
      </c>
      <c r="T16" s="13">
        <v>4385</v>
      </c>
      <c r="U16" s="13">
        <v>5173</v>
      </c>
      <c r="V16" s="13">
        <v>5097</v>
      </c>
      <c r="W16" s="13">
        <v>5084</v>
      </c>
      <c r="X16" s="13">
        <v>4247</v>
      </c>
      <c r="Y16" s="13">
        <v>5152</v>
      </c>
      <c r="Z16" s="13">
        <v>5193</v>
      </c>
      <c r="AA16" s="13">
        <v>5974</v>
      </c>
    </row>
    <row r="17" spans="1:27" x14ac:dyDescent="0.25">
      <c r="A17" s="10" t="s">
        <v>1822</v>
      </c>
      <c r="B17" s="10"/>
      <c r="C17" s="13">
        <v>173</v>
      </c>
      <c r="D17" s="13">
        <v>180</v>
      </c>
      <c r="E17" s="13">
        <v>186</v>
      </c>
      <c r="F17" s="13">
        <v>191</v>
      </c>
      <c r="G17" s="13">
        <v>250</v>
      </c>
      <c r="H17" s="13">
        <v>188</v>
      </c>
      <c r="I17" s="13">
        <v>217</v>
      </c>
      <c r="J17" s="13">
        <v>175</v>
      </c>
      <c r="K17" s="13">
        <v>181</v>
      </c>
      <c r="L17" s="13">
        <v>187</v>
      </c>
      <c r="M17" s="13">
        <v>203</v>
      </c>
      <c r="N17" s="13">
        <v>208</v>
      </c>
      <c r="O17" s="13">
        <v>187</v>
      </c>
      <c r="P17" s="13">
        <v>204</v>
      </c>
      <c r="Q17" s="13">
        <v>199</v>
      </c>
      <c r="R17" s="13">
        <v>209</v>
      </c>
      <c r="S17" s="13">
        <v>49</v>
      </c>
      <c r="T17" s="13">
        <v>207</v>
      </c>
      <c r="U17" s="13">
        <v>164</v>
      </c>
      <c r="V17" s="13">
        <v>202</v>
      </c>
      <c r="W17" s="13">
        <v>94</v>
      </c>
      <c r="X17" s="13">
        <v>199</v>
      </c>
      <c r="Y17" s="13">
        <v>200</v>
      </c>
      <c r="Z17" s="13">
        <v>196</v>
      </c>
      <c r="AA17" s="13">
        <v>99</v>
      </c>
    </row>
    <row r="18" spans="1:27" x14ac:dyDescent="0.25">
      <c r="A18" s="10" t="s">
        <v>1823</v>
      </c>
      <c r="B18" s="10"/>
      <c r="C18" s="13">
        <v>2185</v>
      </c>
      <c r="D18" s="13">
        <v>2314</v>
      </c>
      <c r="E18" s="13">
        <v>2564</v>
      </c>
      <c r="F18" s="13">
        <v>2277</v>
      </c>
      <c r="G18" s="13">
        <v>1983</v>
      </c>
      <c r="H18" s="13">
        <v>2020</v>
      </c>
      <c r="I18" s="13">
        <v>2030</v>
      </c>
      <c r="J18" s="13">
        <v>2206</v>
      </c>
      <c r="K18" s="13">
        <v>1877</v>
      </c>
      <c r="L18" s="13">
        <v>1857</v>
      </c>
      <c r="M18" s="13">
        <v>558</v>
      </c>
      <c r="N18" s="13">
        <v>2155</v>
      </c>
      <c r="O18" s="13">
        <v>2131</v>
      </c>
      <c r="P18" s="13">
        <v>1675</v>
      </c>
      <c r="Q18" s="13">
        <v>1531</v>
      </c>
      <c r="R18" s="13">
        <v>2392</v>
      </c>
      <c r="S18" s="13">
        <v>1748</v>
      </c>
      <c r="T18" s="13">
        <v>3442</v>
      </c>
      <c r="U18" s="13">
        <v>1614</v>
      </c>
      <c r="V18" s="13">
        <v>1947</v>
      </c>
      <c r="W18" s="13">
        <v>852</v>
      </c>
      <c r="X18" s="13">
        <v>-68</v>
      </c>
      <c r="Y18" s="13">
        <v>794</v>
      </c>
      <c r="Z18" s="13">
        <v>3101</v>
      </c>
      <c r="AA18" s="13">
        <v>782</v>
      </c>
    </row>
    <row r="19" spans="1:27" x14ac:dyDescent="0.25">
      <c r="A19" s="10" t="s">
        <v>1824</v>
      </c>
      <c r="B19" s="10"/>
      <c r="C19" s="13">
        <v>1182</v>
      </c>
      <c r="D19" s="13">
        <v>879</v>
      </c>
      <c r="E19" s="13">
        <v>924</v>
      </c>
      <c r="F19" s="13">
        <v>1001</v>
      </c>
      <c r="G19" s="13">
        <v>1312</v>
      </c>
      <c r="H19" s="13">
        <v>952</v>
      </c>
      <c r="I19" s="13">
        <v>964</v>
      </c>
      <c r="J19" s="13">
        <v>1062</v>
      </c>
      <c r="K19" s="13">
        <v>1229</v>
      </c>
      <c r="L19" s="13">
        <v>967</v>
      </c>
      <c r="M19" s="13">
        <v>1082</v>
      </c>
      <c r="N19" s="13">
        <v>1422</v>
      </c>
      <c r="O19" s="13">
        <v>1348</v>
      </c>
      <c r="P19" s="13">
        <v>959</v>
      </c>
      <c r="Q19" s="13">
        <v>1039</v>
      </c>
      <c r="R19" s="13">
        <v>1112</v>
      </c>
      <c r="S19" s="13">
        <v>1324</v>
      </c>
      <c r="T19" s="13">
        <v>1058</v>
      </c>
      <c r="U19" s="13">
        <v>1113</v>
      </c>
      <c r="V19" s="13">
        <v>1079</v>
      </c>
      <c r="W19" s="13">
        <v>1534</v>
      </c>
      <c r="X19" s="13">
        <v>1343</v>
      </c>
      <c r="Y19" s="13">
        <v>1447</v>
      </c>
      <c r="Z19" s="13">
        <v>1450</v>
      </c>
      <c r="AA19" s="13">
        <v>1724</v>
      </c>
    </row>
    <row r="20" spans="1:27" x14ac:dyDescent="0.25">
      <c r="A20" s="10" t="s">
        <v>1825</v>
      </c>
      <c r="B20" s="10"/>
      <c r="C20" s="13">
        <v>352</v>
      </c>
      <c r="D20" s="13">
        <v>343</v>
      </c>
      <c r="E20" s="13">
        <v>332</v>
      </c>
      <c r="F20" s="13">
        <v>313</v>
      </c>
      <c r="G20" s="13">
        <v>301</v>
      </c>
      <c r="H20" s="13">
        <v>346</v>
      </c>
      <c r="I20" s="13">
        <v>296</v>
      </c>
      <c r="J20" s="13">
        <v>302</v>
      </c>
      <c r="K20" s="13">
        <v>318</v>
      </c>
      <c r="L20" s="13">
        <v>285</v>
      </c>
      <c r="M20" s="13">
        <v>281</v>
      </c>
      <c r="N20" s="13">
        <v>296</v>
      </c>
      <c r="O20" s="13">
        <v>335</v>
      </c>
      <c r="P20" s="13">
        <v>295</v>
      </c>
      <c r="Q20" s="13">
        <v>328</v>
      </c>
      <c r="R20" s="13">
        <v>368</v>
      </c>
      <c r="S20" s="13">
        <v>415</v>
      </c>
      <c r="T20" s="13">
        <v>543</v>
      </c>
      <c r="U20" s="13">
        <v>752</v>
      </c>
      <c r="V20" s="13">
        <v>759</v>
      </c>
      <c r="W20" s="13">
        <v>821</v>
      </c>
      <c r="X20" s="13">
        <v>824</v>
      </c>
      <c r="Y20" s="13">
        <v>808</v>
      </c>
      <c r="Z20" s="13">
        <v>776</v>
      </c>
      <c r="AA20" s="13">
        <v>747</v>
      </c>
    </row>
    <row r="21" spans="1:27" x14ac:dyDescent="0.25">
      <c r="A21" s="10" t="s">
        <v>1826</v>
      </c>
      <c r="B21" s="10"/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</row>
    <row r="22" spans="1:27" x14ac:dyDescent="0.25">
      <c r="A22" s="10" t="s">
        <v>1827</v>
      </c>
      <c r="B22" s="10"/>
      <c r="C22" s="13">
        <v>257</v>
      </c>
      <c r="D22" s="13">
        <v>322</v>
      </c>
      <c r="E22" s="13">
        <v>385</v>
      </c>
      <c r="F22" s="13">
        <v>309</v>
      </c>
      <c r="G22" s="13">
        <v>280</v>
      </c>
      <c r="H22" s="13">
        <v>195</v>
      </c>
      <c r="I22" s="13">
        <v>227</v>
      </c>
      <c r="J22" s="13">
        <v>185</v>
      </c>
      <c r="K22" s="13">
        <v>262</v>
      </c>
      <c r="L22" s="13">
        <v>211</v>
      </c>
      <c r="M22" s="13">
        <v>94</v>
      </c>
      <c r="N22" s="13">
        <v>271</v>
      </c>
      <c r="O22" s="13">
        <v>232</v>
      </c>
      <c r="P22" s="13">
        <v>199</v>
      </c>
      <c r="Q22" s="13">
        <v>214</v>
      </c>
      <c r="R22" s="13">
        <v>249</v>
      </c>
      <c r="S22" s="13">
        <v>132</v>
      </c>
      <c r="T22" s="13">
        <v>601</v>
      </c>
      <c r="U22" s="13">
        <v>235</v>
      </c>
      <c r="V22" s="13">
        <v>217</v>
      </c>
      <c r="W22" s="13">
        <v>85</v>
      </c>
      <c r="X22" s="13">
        <v>45</v>
      </c>
      <c r="Y22" s="13">
        <v>48</v>
      </c>
      <c r="Z22" s="13">
        <v>271</v>
      </c>
      <c r="AA22" s="13">
        <v>155</v>
      </c>
    </row>
    <row r="23" spans="1:27" x14ac:dyDescent="0.25">
      <c r="A23" s="6" t="s">
        <v>1828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 x14ac:dyDescent="0.25">
      <c r="A24" s="10" t="s">
        <v>1829</v>
      </c>
      <c r="B24" s="10"/>
      <c r="C24" s="13">
        <v>1169</v>
      </c>
      <c r="D24" s="13">
        <v>1021</v>
      </c>
      <c r="E24" s="13">
        <v>824</v>
      </c>
      <c r="F24" s="13">
        <v>711</v>
      </c>
      <c r="G24" s="13">
        <v>665</v>
      </c>
      <c r="H24" s="13">
        <v>609</v>
      </c>
      <c r="I24" s="13" t="s">
        <v>148</v>
      </c>
      <c r="J24" s="13">
        <v>555</v>
      </c>
      <c r="K24" s="13">
        <v>536</v>
      </c>
      <c r="L24" s="13">
        <v>482</v>
      </c>
      <c r="M24" s="13">
        <v>486</v>
      </c>
      <c r="N24" s="13" t="s">
        <v>148</v>
      </c>
      <c r="O24" s="13">
        <v>351</v>
      </c>
      <c r="P24" s="13">
        <v>348</v>
      </c>
      <c r="Q24" s="13">
        <v>310</v>
      </c>
      <c r="R24" s="13">
        <v>247</v>
      </c>
      <c r="S24" s="13">
        <v>221</v>
      </c>
      <c r="T24" s="13">
        <v>249</v>
      </c>
      <c r="U24" s="13">
        <v>236</v>
      </c>
      <c r="V24" s="13">
        <v>124</v>
      </c>
      <c r="W24" s="13">
        <v>239</v>
      </c>
      <c r="X24" s="13">
        <v>118</v>
      </c>
      <c r="Y24" s="13" t="s">
        <v>148</v>
      </c>
      <c r="Z24" s="13">
        <v>110</v>
      </c>
      <c r="AA24" s="13">
        <v>98</v>
      </c>
    </row>
    <row r="25" spans="1:27" x14ac:dyDescent="0.25">
      <c r="A25" s="10" t="s">
        <v>1830</v>
      </c>
      <c r="B25" s="10"/>
      <c r="C25" s="14">
        <v>5</v>
      </c>
      <c r="D25" s="14">
        <v>-12</v>
      </c>
      <c r="E25" s="14">
        <v>-25</v>
      </c>
      <c r="F25" s="14">
        <v>-32</v>
      </c>
      <c r="G25" s="14">
        <v>-43</v>
      </c>
      <c r="H25" s="14">
        <v>-40</v>
      </c>
      <c r="I25" s="14" t="s">
        <v>148</v>
      </c>
      <c r="J25" s="14">
        <v>-22</v>
      </c>
      <c r="K25" s="14">
        <v>-19</v>
      </c>
      <c r="L25" s="14">
        <v>-21</v>
      </c>
      <c r="M25" s="14">
        <v>-18</v>
      </c>
      <c r="N25" s="14" t="s">
        <v>148</v>
      </c>
      <c r="O25" s="14">
        <v>-35</v>
      </c>
      <c r="P25" s="14">
        <v>-28</v>
      </c>
      <c r="Q25" s="14">
        <v>-36</v>
      </c>
      <c r="R25" s="14">
        <v>-40</v>
      </c>
      <c r="S25" s="14">
        <v>-37</v>
      </c>
      <c r="T25" s="14">
        <v>-28</v>
      </c>
      <c r="U25" s="14">
        <v>-24</v>
      </c>
      <c r="V25" s="14">
        <v>-50</v>
      </c>
      <c r="W25" s="14">
        <v>8</v>
      </c>
      <c r="X25" s="14">
        <v>-53</v>
      </c>
      <c r="Y25" s="14" t="s">
        <v>148</v>
      </c>
      <c r="Z25" s="14">
        <v>-11</v>
      </c>
      <c r="AA25" s="14">
        <v>-59</v>
      </c>
    </row>
    <row r="26" spans="1:27" x14ac:dyDescent="0.25">
      <c r="A26" s="10" t="s">
        <v>1831</v>
      </c>
      <c r="B26" s="10"/>
      <c r="C26" s="14" t="s">
        <v>148</v>
      </c>
      <c r="D26" s="14" t="s">
        <v>148</v>
      </c>
      <c r="E26" s="14" t="s">
        <v>148</v>
      </c>
      <c r="F26" s="14" t="s">
        <v>148</v>
      </c>
      <c r="G26" s="14">
        <v>-43</v>
      </c>
      <c r="H26" s="14">
        <v>-40</v>
      </c>
      <c r="I26" s="14" t="s">
        <v>148</v>
      </c>
      <c r="J26" s="14">
        <v>-22</v>
      </c>
      <c r="K26" s="14">
        <v>-19</v>
      </c>
      <c r="L26" s="14">
        <v>-21</v>
      </c>
      <c r="M26" s="14">
        <v>-18</v>
      </c>
      <c r="N26" s="14" t="s">
        <v>148</v>
      </c>
      <c r="O26" s="14">
        <v>-35</v>
      </c>
      <c r="P26" s="14">
        <v>-28</v>
      </c>
      <c r="Q26" s="14">
        <v>-36</v>
      </c>
      <c r="R26" s="14">
        <v>-40</v>
      </c>
      <c r="S26" s="14">
        <v>-37</v>
      </c>
      <c r="T26" s="14">
        <v>-28</v>
      </c>
      <c r="U26" s="14">
        <v>-24</v>
      </c>
      <c r="V26" s="14">
        <v>-50</v>
      </c>
      <c r="W26" s="14">
        <v>8</v>
      </c>
      <c r="X26" s="14">
        <v>-53</v>
      </c>
      <c r="Y26" s="14" t="s">
        <v>148</v>
      </c>
      <c r="Z26" s="14">
        <v>-11</v>
      </c>
      <c r="AA26" s="14">
        <v>-59</v>
      </c>
    </row>
    <row r="27" spans="1:27" x14ac:dyDescent="0.25">
      <c r="A27" s="6" t="s">
        <v>1832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x14ac:dyDescent="0.25">
      <c r="A28" s="10" t="s">
        <v>1829</v>
      </c>
      <c r="B28" s="10"/>
      <c r="C28" s="13">
        <v>73</v>
      </c>
      <c r="D28" s="13">
        <v>61</v>
      </c>
      <c r="E28" s="13">
        <v>79</v>
      </c>
      <c r="F28" s="13">
        <v>85</v>
      </c>
      <c r="G28" s="13">
        <v>87</v>
      </c>
      <c r="H28" s="13">
        <v>64</v>
      </c>
      <c r="I28" s="13" t="s">
        <v>148</v>
      </c>
      <c r="J28" s="13">
        <v>83</v>
      </c>
      <c r="K28" s="13">
        <v>76</v>
      </c>
      <c r="L28" s="13">
        <v>72</v>
      </c>
      <c r="M28" s="13">
        <v>77</v>
      </c>
      <c r="N28" s="13" t="s">
        <v>148</v>
      </c>
      <c r="O28" s="13">
        <v>106</v>
      </c>
      <c r="P28" s="13">
        <v>85</v>
      </c>
      <c r="Q28" s="13">
        <v>113</v>
      </c>
      <c r="R28" s="13">
        <v>114</v>
      </c>
      <c r="S28" s="13">
        <v>119</v>
      </c>
      <c r="T28" s="13">
        <v>193</v>
      </c>
      <c r="U28" s="13">
        <v>174</v>
      </c>
      <c r="V28" s="13">
        <v>167</v>
      </c>
      <c r="W28" s="13">
        <v>175</v>
      </c>
      <c r="X28" s="13">
        <v>357</v>
      </c>
      <c r="Y28" s="13" t="s">
        <v>148</v>
      </c>
      <c r="Z28" s="13">
        <v>281</v>
      </c>
      <c r="AA28" s="13">
        <v>361</v>
      </c>
    </row>
    <row r="29" spans="1:27" x14ac:dyDescent="0.25">
      <c r="A29" s="10" t="s">
        <v>1830</v>
      </c>
      <c r="B29" s="10"/>
      <c r="C29" s="14">
        <v>6</v>
      </c>
      <c r="D29" s="14">
        <v>24</v>
      </c>
      <c r="E29" s="14">
        <v>11</v>
      </c>
      <c r="F29" s="14">
        <v>49</v>
      </c>
      <c r="G29" s="14">
        <v>19</v>
      </c>
      <c r="H29" s="14">
        <v>5</v>
      </c>
      <c r="I29" s="14" t="s">
        <v>148</v>
      </c>
      <c r="J29" s="14">
        <v>-2</v>
      </c>
      <c r="K29" s="14">
        <v>-13</v>
      </c>
      <c r="L29" s="14">
        <v>13</v>
      </c>
      <c r="M29" s="14">
        <v>9</v>
      </c>
      <c r="N29" s="14" t="s">
        <v>148</v>
      </c>
      <c r="O29" s="14">
        <v>39</v>
      </c>
      <c r="P29" s="14">
        <v>18</v>
      </c>
      <c r="Q29" s="14">
        <v>66</v>
      </c>
      <c r="R29" s="14">
        <v>12</v>
      </c>
      <c r="S29" s="14">
        <v>12</v>
      </c>
      <c r="T29" s="14">
        <v>35</v>
      </c>
      <c r="U29" s="14">
        <v>2</v>
      </c>
      <c r="V29" s="14">
        <v>1</v>
      </c>
      <c r="W29" s="14">
        <v>9</v>
      </c>
      <c r="X29" s="14">
        <v>16</v>
      </c>
      <c r="Y29" s="14" t="s">
        <v>148</v>
      </c>
      <c r="Z29" s="14">
        <v>0</v>
      </c>
      <c r="AA29" s="14">
        <v>22</v>
      </c>
    </row>
    <row r="30" spans="1:27" x14ac:dyDescent="0.25">
      <c r="A30" s="10" t="s">
        <v>1831</v>
      </c>
      <c r="B30" s="10"/>
      <c r="C30" s="14" t="s">
        <v>148</v>
      </c>
      <c r="D30" s="14" t="s">
        <v>148</v>
      </c>
      <c r="E30" s="14" t="s">
        <v>148</v>
      </c>
      <c r="F30" s="14" t="s">
        <v>148</v>
      </c>
      <c r="G30" s="14">
        <v>19</v>
      </c>
      <c r="H30" s="14">
        <v>5</v>
      </c>
      <c r="I30" s="14" t="s">
        <v>148</v>
      </c>
      <c r="J30" s="14">
        <v>-2</v>
      </c>
      <c r="K30" s="14">
        <v>-13</v>
      </c>
      <c r="L30" s="14">
        <v>13</v>
      </c>
      <c r="M30" s="14">
        <v>9</v>
      </c>
      <c r="N30" s="14" t="s">
        <v>148</v>
      </c>
      <c r="O30" s="14">
        <v>39</v>
      </c>
      <c r="P30" s="14">
        <v>18</v>
      </c>
      <c r="Q30" s="14">
        <v>66</v>
      </c>
      <c r="R30" s="14">
        <v>12</v>
      </c>
      <c r="S30" s="14">
        <v>12</v>
      </c>
      <c r="T30" s="14">
        <v>35</v>
      </c>
      <c r="U30" s="14">
        <v>2</v>
      </c>
      <c r="V30" s="14">
        <v>1</v>
      </c>
      <c r="W30" s="14">
        <v>9</v>
      </c>
      <c r="X30" s="14">
        <v>16</v>
      </c>
      <c r="Y30" s="14" t="s">
        <v>148</v>
      </c>
      <c r="Z30" s="14">
        <v>0</v>
      </c>
      <c r="AA30" s="14">
        <v>22</v>
      </c>
    </row>
    <row r="31" spans="1:27" x14ac:dyDescent="0.25">
      <c r="A31" s="6" t="s">
        <v>1833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 x14ac:dyDescent="0.25">
      <c r="A32" s="10" t="s">
        <v>1829</v>
      </c>
      <c r="B32" s="10"/>
      <c r="C32" s="13">
        <v>0</v>
      </c>
      <c r="D32" s="13">
        <v>17</v>
      </c>
      <c r="E32" s="13">
        <v>28</v>
      </c>
      <c r="F32" s="13">
        <v>59</v>
      </c>
      <c r="G32" s="13">
        <v>85</v>
      </c>
      <c r="H32" s="13">
        <v>100</v>
      </c>
      <c r="I32" s="13" t="s">
        <v>148</v>
      </c>
      <c r="J32" s="13">
        <v>59</v>
      </c>
      <c r="K32" s="13">
        <v>90</v>
      </c>
      <c r="L32" s="13">
        <v>107</v>
      </c>
      <c r="M32" s="13">
        <v>131</v>
      </c>
      <c r="N32" s="13" t="s">
        <v>148</v>
      </c>
      <c r="O32" s="13">
        <v>143</v>
      </c>
      <c r="P32" s="13">
        <v>170</v>
      </c>
      <c r="Q32" s="13">
        <v>191</v>
      </c>
      <c r="R32" s="13">
        <v>201</v>
      </c>
      <c r="S32" s="13">
        <v>225</v>
      </c>
      <c r="T32" s="13">
        <v>254</v>
      </c>
      <c r="U32" s="13">
        <v>281</v>
      </c>
      <c r="V32" s="13">
        <v>307</v>
      </c>
      <c r="W32" s="13">
        <v>318</v>
      </c>
      <c r="X32" s="13">
        <v>342</v>
      </c>
      <c r="Y32" s="13" t="s">
        <v>148</v>
      </c>
      <c r="Z32" s="13">
        <v>399</v>
      </c>
      <c r="AA32" s="13">
        <v>431</v>
      </c>
    </row>
    <row r="33" spans="1:27" x14ac:dyDescent="0.25">
      <c r="A33" s="10" t="s">
        <v>1830</v>
      </c>
      <c r="B33" s="10"/>
      <c r="C33" s="14" t="s">
        <v>148</v>
      </c>
      <c r="D33" s="14" t="s">
        <v>148</v>
      </c>
      <c r="E33" s="14" t="s">
        <v>148</v>
      </c>
      <c r="F33" s="14" t="s">
        <v>148</v>
      </c>
      <c r="G33" s="14" t="s">
        <v>148</v>
      </c>
      <c r="H33" s="14" t="s">
        <v>148</v>
      </c>
      <c r="I33" s="14" t="s">
        <v>148</v>
      </c>
      <c r="J33" s="14">
        <v>0</v>
      </c>
      <c r="K33" s="14">
        <v>6</v>
      </c>
      <c r="L33" s="14">
        <v>7</v>
      </c>
      <c r="M33" s="14">
        <v>30</v>
      </c>
      <c r="N33" s="14" t="s">
        <v>148</v>
      </c>
      <c r="O33" s="14">
        <v>59</v>
      </c>
      <c r="P33" s="14">
        <v>59</v>
      </c>
      <c r="Q33" s="14">
        <v>46</v>
      </c>
      <c r="R33" s="14" t="s">
        <v>148</v>
      </c>
      <c r="S33" s="14">
        <v>57</v>
      </c>
      <c r="T33" s="14">
        <v>49</v>
      </c>
      <c r="U33" s="14">
        <v>47</v>
      </c>
      <c r="V33" s="14">
        <v>53</v>
      </c>
      <c r="W33" s="14">
        <v>41</v>
      </c>
      <c r="X33" s="14">
        <v>35</v>
      </c>
      <c r="Y33" s="14" t="s">
        <v>148</v>
      </c>
      <c r="Z33" s="14">
        <v>30</v>
      </c>
      <c r="AA33" s="14">
        <v>36</v>
      </c>
    </row>
    <row r="34" spans="1:27" x14ac:dyDescent="0.25">
      <c r="A34" s="10" t="s">
        <v>1831</v>
      </c>
      <c r="B34" s="10"/>
      <c r="C34" s="14" t="s">
        <v>148</v>
      </c>
      <c r="D34" s="14" t="s">
        <v>148</v>
      </c>
      <c r="E34" s="14" t="s">
        <v>148</v>
      </c>
      <c r="F34" s="14" t="s">
        <v>148</v>
      </c>
      <c r="G34" s="14" t="s">
        <v>148</v>
      </c>
      <c r="H34" s="14" t="s">
        <v>148</v>
      </c>
      <c r="I34" s="14" t="s">
        <v>148</v>
      </c>
      <c r="J34" s="14">
        <v>0</v>
      </c>
      <c r="K34" s="14">
        <v>6</v>
      </c>
      <c r="L34" s="14">
        <v>7</v>
      </c>
      <c r="M34" s="14">
        <v>30</v>
      </c>
      <c r="N34" s="14" t="s">
        <v>148</v>
      </c>
      <c r="O34" s="14">
        <v>59</v>
      </c>
      <c r="P34" s="14">
        <v>59</v>
      </c>
      <c r="Q34" s="14">
        <v>46</v>
      </c>
      <c r="R34" s="14" t="s">
        <v>148</v>
      </c>
      <c r="S34" s="14">
        <v>57</v>
      </c>
      <c r="T34" s="14">
        <v>49</v>
      </c>
      <c r="U34" s="14">
        <v>47</v>
      </c>
      <c r="V34" s="14">
        <v>53</v>
      </c>
      <c r="W34" s="14">
        <v>41</v>
      </c>
      <c r="X34" s="14">
        <v>35</v>
      </c>
      <c r="Y34" s="14" t="s">
        <v>148</v>
      </c>
      <c r="Z34" s="14">
        <v>30</v>
      </c>
      <c r="AA34" s="14">
        <v>36</v>
      </c>
    </row>
    <row r="35" spans="1:27" x14ac:dyDescent="0.25">
      <c r="A35" s="6" t="s">
        <v>1834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 x14ac:dyDescent="0.25">
      <c r="A36" s="10" t="s">
        <v>1829</v>
      </c>
      <c r="B36" s="10"/>
      <c r="C36" s="13">
        <v>264</v>
      </c>
      <c r="D36" s="13">
        <v>219</v>
      </c>
      <c r="E36" s="13">
        <v>223</v>
      </c>
      <c r="F36" s="13">
        <v>215</v>
      </c>
      <c r="G36" s="13">
        <v>210</v>
      </c>
      <c r="H36" s="13">
        <v>155</v>
      </c>
      <c r="I36" s="13" t="s">
        <v>148</v>
      </c>
      <c r="J36" s="13">
        <v>149</v>
      </c>
      <c r="K36" s="13">
        <v>133</v>
      </c>
      <c r="L36" s="13">
        <v>125</v>
      </c>
      <c r="M36" s="13">
        <v>130</v>
      </c>
      <c r="N36" s="13" t="s">
        <v>148</v>
      </c>
      <c r="O36" s="13">
        <v>128</v>
      </c>
      <c r="P36" s="13">
        <v>120</v>
      </c>
      <c r="Q36" s="13">
        <v>136</v>
      </c>
      <c r="R36" s="13">
        <v>136</v>
      </c>
      <c r="S36" s="13">
        <v>114</v>
      </c>
      <c r="T36" s="13">
        <v>60</v>
      </c>
      <c r="U36" s="13">
        <v>61</v>
      </c>
      <c r="V36" s="13">
        <v>50</v>
      </c>
      <c r="W36" s="13">
        <v>55</v>
      </c>
      <c r="X36" s="13">
        <v>41</v>
      </c>
      <c r="Y36" s="13" t="s">
        <v>148</v>
      </c>
      <c r="Z36" s="13">
        <v>33</v>
      </c>
      <c r="AA36" s="13">
        <v>19</v>
      </c>
    </row>
    <row r="37" spans="1:27" x14ac:dyDescent="0.25">
      <c r="A37" s="10" t="s">
        <v>1830</v>
      </c>
      <c r="B37" s="10"/>
      <c r="C37" s="14">
        <v>-2</v>
      </c>
      <c r="D37" s="14">
        <v>-10</v>
      </c>
      <c r="E37" s="14">
        <v>-11</v>
      </c>
      <c r="F37" s="14">
        <v>-15</v>
      </c>
      <c r="G37" s="14">
        <v>-20</v>
      </c>
      <c r="H37" s="14">
        <v>-29</v>
      </c>
      <c r="I37" s="14" t="s">
        <v>148</v>
      </c>
      <c r="J37" s="14">
        <v>-31</v>
      </c>
      <c r="K37" s="14">
        <v>-37</v>
      </c>
      <c r="L37" s="14">
        <v>-19</v>
      </c>
      <c r="M37" s="14">
        <v>-19</v>
      </c>
      <c r="N37" s="14" t="s">
        <v>148</v>
      </c>
      <c r="O37" s="14">
        <v>-4</v>
      </c>
      <c r="P37" s="14">
        <v>-4</v>
      </c>
      <c r="Q37" s="14">
        <v>5</v>
      </c>
      <c r="R37" s="14" t="s">
        <v>148</v>
      </c>
      <c r="S37" s="14">
        <v>-11</v>
      </c>
      <c r="T37" s="14">
        <v>-50</v>
      </c>
      <c r="U37" s="14">
        <v>-55</v>
      </c>
      <c r="V37" s="14">
        <v>-63</v>
      </c>
      <c r="W37" s="14">
        <v>-52</v>
      </c>
      <c r="X37" s="14">
        <v>-32</v>
      </c>
      <c r="Y37" s="14" t="s">
        <v>148</v>
      </c>
      <c r="Z37" s="14">
        <v>-34</v>
      </c>
      <c r="AA37" s="14">
        <v>-65</v>
      </c>
    </row>
    <row r="38" spans="1:27" x14ac:dyDescent="0.25">
      <c r="A38" s="10" t="s">
        <v>1831</v>
      </c>
      <c r="B38" s="10"/>
      <c r="C38" s="14" t="s">
        <v>148</v>
      </c>
      <c r="D38" s="14" t="s">
        <v>148</v>
      </c>
      <c r="E38" s="14" t="s">
        <v>148</v>
      </c>
      <c r="F38" s="14" t="s">
        <v>148</v>
      </c>
      <c r="G38" s="14">
        <v>-20</v>
      </c>
      <c r="H38" s="14">
        <v>-29</v>
      </c>
      <c r="I38" s="14" t="s">
        <v>148</v>
      </c>
      <c r="J38" s="14">
        <v>-31</v>
      </c>
      <c r="K38" s="14">
        <v>-37</v>
      </c>
      <c r="L38" s="14">
        <v>-19</v>
      </c>
      <c r="M38" s="14">
        <v>-19</v>
      </c>
      <c r="N38" s="14" t="s">
        <v>148</v>
      </c>
      <c r="O38" s="14">
        <v>-4</v>
      </c>
      <c r="P38" s="14">
        <v>-4</v>
      </c>
      <c r="Q38" s="14">
        <v>5</v>
      </c>
      <c r="R38" s="14" t="s">
        <v>148</v>
      </c>
      <c r="S38" s="14">
        <v>-11</v>
      </c>
      <c r="T38" s="14">
        <v>-50</v>
      </c>
      <c r="U38" s="14">
        <v>-55</v>
      </c>
      <c r="V38" s="14">
        <v>-63</v>
      </c>
      <c r="W38" s="14">
        <v>-52</v>
      </c>
      <c r="X38" s="14">
        <v>-32</v>
      </c>
      <c r="Y38" s="14" t="s">
        <v>148</v>
      </c>
      <c r="Z38" s="14">
        <v>-34</v>
      </c>
      <c r="AA38" s="14">
        <v>-65</v>
      </c>
    </row>
    <row r="39" spans="1:27" x14ac:dyDescent="0.25">
      <c r="A39" s="6" t="s">
        <v>1835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x14ac:dyDescent="0.25">
      <c r="A40" s="10" t="s">
        <v>1829</v>
      </c>
      <c r="B40" s="10"/>
      <c r="C40" s="13">
        <v>1315</v>
      </c>
      <c r="D40" s="13">
        <v>1151</v>
      </c>
      <c r="E40" s="13">
        <v>1363</v>
      </c>
      <c r="F40" s="13">
        <v>1366</v>
      </c>
      <c r="G40" s="13">
        <v>1346</v>
      </c>
      <c r="H40" s="13">
        <v>1153</v>
      </c>
      <c r="I40" s="13" t="s">
        <v>148</v>
      </c>
      <c r="J40" s="13">
        <v>1325</v>
      </c>
      <c r="K40" s="13">
        <v>1272</v>
      </c>
      <c r="L40" s="13">
        <v>924</v>
      </c>
      <c r="M40" s="13">
        <v>1144</v>
      </c>
      <c r="N40" s="13" t="s">
        <v>148</v>
      </c>
      <c r="O40" s="13">
        <v>1108</v>
      </c>
      <c r="P40" s="13">
        <v>862</v>
      </c>
      <c r="Q40" s="13">
        <v>1051</v>
      </c>
      <c r="R40" s="13">
        <v>1106</v>
      </c>
      <c r="S40" s="13">
        <v>1098</v>
      </c>
      <c r="T40" s="13">
        <v>579</v>
      </c>
      <c r="U40" s="13">
        <v>1068</v>
      </c>
      <c r="V40" s="13">
        <v>1035</v>
      </c>
      <c r="W40" s="13">
        <v>1015</v>
      </c>
      <c r="X40" s="13">
        <v>567</v>
      </c>
      <c r="Y40" s="13" t="s">
        <v>148</v>
      </c>
      <c r="Z40" s="13">
        <v>825</v>
      </c>
      <c r="AA40" s="13">
        <v>1015</v>
      </c>
    </row>
    <row r="41" spans="1:27" x14ac:dyDescent="0.25">
      <c r="A41" s="10" t="s">
        <v>1830</v>
      </c>
      <c r="B41" s="10"/>
      <c r="C41" s="14">
        <v>-8</v>
      </c>
      <c r="D41" s="14">
        <v>4</v>
      </c>
      <c r="E41" s="14">
        <v>5</v>
      </c>
      <c r="F41" s="14">
        <v>6</v>
      </c>
      <c r="G41" s="14">
        <v>2</v>
      </c>
      <c r="H41" s="14">
        <v>0</v>
      </c>
      <c r="I41" s="14" t="s">
        <v>148</v>
      </c>
      <c r="J41" s="14">
        <v>-3</v>
      </c>
      <c r="K41" s="14">
        <v>-5</v>
      </c>
      <c r="L41" s="14">
        <v>-20</v>
      </c>
      <c r="M41" s="14">
        <v>-8</v>
      </c>
      <c r="N41" s="14" t="s">
        <v>148</v>
      </c>
      <c r="O41" s="14">
        <v>-13</v>
      </c>
      <c r="P41" s="14">
        <v>-7</v>
      </c>
      <c r="Q41" s="14">
        <v>-8</v>
      </c>
      <c r="R41" s="14">
        <v>-14</v>
      </c>
      <c r="S41" s="14">
        <v>-1</v>
      </c>
      <c r="T41" s="14">
        <v>-33</v>
      </c>
      <c r="U41" s="14">
        <v>2</v>
      </c>
      <c r="V41" s="14">
        <v>-6</v>
      </c>
      <c r="W41" s="14">
        <v>-8</v>
      </c>
      <c r="X41" s="14">
        <v>-2</v>
      </c>
      <c r="Y41" s="14" t="s">
        <v>148</v>
      </c>
      <c r="Z41" s="14">
        <v>-20</v>
      </c>
      <c r="AA41" s="14">
        <v>0</v>
      </c>
    </row>
    <row r="42" spans="1:27" x14ac:dyDescent="0.25">
      <c r="A42" s="10" t="s">
        <v>1831</v>
      </c>
      <c r="B42" s="10"/>
      <c r="C42" s="14" t="s">
        <v>148</v>
      </c>
      <c r="D42" s="14" t="s">
        <v>148</v>
      </c>
      <c r="E42" s="14" t="s">
        <v>148</v>
      </c>
      <c r="F42" s="14" t="s">
        <v>148</v>
      </c>
      <c r="G42" s="14">
        <v>2</v>
      </c>
      <c r="H42" s="14">
        <v>0</v>
      </c>
      <c r="I42" s="14" t="s">
        <v>148</v>
      </c>
      <c r="J42" s="14">
        <v>-3</v>
      </c>
      <c r="K42" s="14">
        <v>-5</v>
      </c>
      <c r="L42" s="14">
        <v>-20</v>
      </c>
      <c r="M42" s="14">
        <v>-8</v>
      </c>
      <c r="N42" s="14" t="s">
        <v>148</v>
      </c>
      <c r="O42" s="14">
        <v>-13</v>
      </c>
      <c r="P42" s="14">
        <v>-7</v>
      </c>
      <c r="Q42" s="14">
        <v>-8</v>
      </c>
      <c r="R42" s="14">
        <v>-14</v>
      </c>
      <c r="S42" s="14">
        <v>-1</v>
      </c>
      <c r="T42" s="14">
        <v>-33</v>
      </c>
      <c r="U42" s="14">
        <v>2</v>
      </c>
      <c r="V42" s="14">
        <v>-6</v>
      </c>
      <c r="W42" s="14">
        <v>-8</v>
      </c>
      <c r="X42" s="14">
        <v>-2</v>
      </c>
      <c r="Y42" s="14" t="s">
        <v>148</v>
      </c>
      <c r="Z42" s="14">
        <v>-20</v>
      </c>
      <c r="AA42" s="14">
        <v>0</v>
      </c>
    </row>
    <row r="43" spans="1:27" x14ac:dyDescent="0.25">
      <c r="A43" s="6" t="s">
        <v>1836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 x14ac:dyDescent="0.25">
      <c r="A44" s="10" t="s">
        <v>1829</v>
      </c>
      <c r="B44" s="10"/>
      <c r="C44" s="13">
        <v>474</v>
      </c>
      <c r="D44" s="13">
        <v>414</v>
      </c>
      <c r="E44" s="13">
        <v>436</v>
      </c>
      <c r="F44" s="13">
        <v>452</v>
      </c>
      <c r="G44" s="13">
        <v>427</v>
      </c>
      <c r="H44" s="13">
        <v>422</v>
      </c>
      <c r="I44" s="13" t="s">
        <v>148</v>
      </c>
      <c r="J44" s="13">
        <v>384</v>
      </c>
      <c r="K44" s="13">
        <v>375</v>
      </c>
      <c r="L44" s="13">
        <v>355</v>
      </c>
      <c r="M44" s="13">
        <v>367</v>
      </c>
      <c r="N44" s="13" t="s">
        <v>148</v>
      </c>
      <c r="O44" s="13">
        <v>362</v>
      </c>
      <c r="P44" s="13">
        <v>358</v>
      </c>
      <c r="Q44" s="13">
        <v>357</v>
      </c>
      <c r="R44" s="13">
        <v>358</v>
      </c>
      <c r="S44" s="13">
        <v>348</v>
      </c>
      <c r="T44" s="13">
        <v>355</v>
      </c>
      <c r="U44" s="13">
        <v>365</v>
      </c>
      <c r="V44" s="13">
        <v>323</v>
      </c>
      <c r="W44" s="13">
        <v>319</v>
      </c>
      <c r="X44" s="13">
        <v>349</v>
      </c>
      <c r="Y44" s="13" t="s">
        <v>148</v>
      </c>
      <c r="Z44" s="13">
        <v>337</v>
      </c>
      <c r="AA44" s="13">
        <v>308</v>
      </c>
    </row>
    <row r="45" spans="1:27" x14ac:dyDescent="0.25">
      <c r="A45" s="10" t="s">
        <v>1830</v>
      </c>
      <c r="B45" s="10"/>
      <c r="C45" s="14">
        <v>-3</v>
      </c>
      <c r="D45" s="14">
        <v>-9</v>
      </c>
      <c r="E45" s="14">
        <v>-8</v>
      </c>
      <c r="F45" s="14">
        <v>-5</v>
      </c>
      <c r="G45" s="14">
        <v>-10</v>
      </c>
      <c r="H45" s="14">
        <v>2</v>
      </c>
      <c r="I45" s="14" t="s">
        <v>148</v>
      </c>
      <c r="J45" s="14">
        <v>-15</v>
      </c>
      <c r="K45" s="14">
        <v>-12</v>
      </c>
      <c r="L45" s="14">
        <v>-16</v>
      </c>
      <c r="M45" s="14">
        <v>-5</v>
      </c>
      <c r="N45" s="14" t="s">
        <v>148</v>
      </c>
      <c r="O45" s="14">
        <v>-3</v>
      </c>
      <c r="P45" s="14">
        <v>1</v>
      </c>
      <c r="Q45" s="14">
        <v>-3</v>
      </c>
      <c r="R45" s="14">
        <v>-10</v>
      </c>
      <c r="S45" s="14">
        <v>-4</v>
      </c>
      <c r="T45" s="14">
        <v>-1</v>
      </c>
      <c r="U45" s="14">
        <v>2</v>
      </c>
      <c r="V45" s="14">
        <v>-10</v>
      </c>
      <c r="W45" s="14">
        <v>-8</v>
      </c>
      <c r="X45" s="14">
        <v>-2</v>
      </c>
      <c r="Y45" s="14" t="s">
        <v>148</v>
      </c>
      <c r="Z45" s="14">
        <v>4</v>
      </c>
      <c r="AA45" s="14">
        <v>-3</v>
      </c>
    </row>
    <row r="46" spans="1:27" x14ac:dyDescent="0.25">
      <c r="A46" s="10" t="s">
        <v>1831</v>
      </c>
      <c r="B46" s="10"/>
      <c r="C46" s="14" t="s">
        <v>148</v>
      </c>
      <c r="D46" s="14" t="s">
        <v>148</v>
      </c>
      <c r="E46" s="14" t="s">
        <v>148</v>
      </c>
      <c r="F46" s="14" t="s">
        <v>148</v>
      </c>
      <c r="G46" s="14">
        <v>-10</v>
      </c>
      <c r="H46" s="14">
        <v>2</v>
      </c>
      <c r="I46" s="14" t="s">
        <v>148</v>
      </c>
      <c r="J46" s="14">
        <v>-15</v>
      </c>
      <c r="K46" s="14">
        <v>-12</v>
      </c>
      <c r="L46" s="14">
        <v>-16</v>
      </c>
      <c r="M46" s="14">
        <v>-5</v>
      </c>
      <c r="N46" s="14" t="s">
        <v>148</v>
      </c>
      <c r="O46" s="14">
        <v>-3</v>
      </c>
      <c r="P46" s="14">
        <v>1</v>
      </c>
      <c r="Q46" s="14">
        <v>-3</v>
      </c>
      <c r="R46" s="14">
        <v>-10</v>
      </c>
      <c r="S46" s="14">
        <v>-4</v>
      </c>
      <c r="T46" s="14">
        <v>-1</v>
      </c>
      <c r="U46" s="14">
        <v>2</v>
      </c>
      <c r="V46" s="14">
        <v>-10</v>
      </c>
      <c r="W46" s="14">
        <v>-8</v>
      </c>
      <c r="X46" s="14">
        <v>-2</v>
      </c>
      <c r="Y46" s="14" t="s">
        <v>148</v>
      </c>
      <c r="Z46" s="14">
        <v>4</v>
      </c>
      <c r="AA46" s="14">
        <v>-3</v>
      </c>
    </row>
    <row r="47" spans="1:27" x14ac:dyDescent="0.25">
      <c r="A47" s="6" t="s">
        <v>1837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 x14ac:dyDescent="0.25">
      <c r="A48" s="10" t="s">
        <v>1829</v>
      </c>
      <c r="B48" s="10"/>
      <c r="C48" s="13">
        <v>182</v>
      </c>
      <c r="D48" s="13">
        <v>189</v>
      </c>
      <c r="E48" s="13">
        <v>201</v>
      </c>
      <c r="F48" s="13">
        <v>195</v>
      </c>
      <c r="G48" s="13">
        <v>210</v>
      </c>
      <c r="H48" s="13">
        <v>218</v>
      </c>
      <c r="I48" s="13" t="s">
        <v>148</v>
      </c>
      <c r="J48" s="13">
        <v>212</v>
      </c>
      <c r="K48" s="13">
        <v>227</v>
      </c>
      <c r="L48" s="13">
        <v>227</v>
      </c>
      <c r="M48" s="13">
        <v>245</v>
      </c>
      <c r="N48" s="13" t="s">
        <v>148</v>
      </c>
      <c r="O48" s="13">
        <v>282</v>
      </c>
      <c r="P48" s="13">
        <v>266</v>
      </c>
      <c r="Q48" s="13">
        <v>284</v>
      </c>
      <c r="R48" s="13">
        <v>288</v>
      </c>
      <c r="S48" s="13">
        <v>469</v>
      </c>
      <c r="T48" s="13">
        <v>362</v>
      </c>
      <c r="U48" s="13">
        <v>310</v>
      </c>
      <c r="V48" s="13">
        <v>419</v>
      </c>
      <c r="W48" s="13">
        <v>386</v>
      </c>
      <c r="X48" s="13">
        <v>317</v>
      </c>
      <c r="Y48" s="13" t="s">
        <v>148</v>
      </c>
      <c r="Z48" s="13">
        <v>456</v>
      </c>
      <c r="AA48" s="13">
        <v>337</v>
      </c>
    </row>
    <row r="49" spans="1:27" x14ac:dyDescent="0.25">
      <c r="A49" s="10" t="s">
        <v>1830</v>
      </c>
      <c r="B49" s="10"/>
      <c r="C49" s="14">
        <v>10</v>
      </c>
      <c r="D49" s="14">
        <v>6</v>
      </c>
      <c r="E49" s="14">
        <v>12</v>
      </c>
      <c r="F49" s="14">
        <v>10</v>
      </c>
      <c r="G49" s="14">
        <v>15</v>
      </c>
      <c r="H49" s="14">
        <v>15</v>
      </c>
      <c r="I49" s="14" t="s">
        <v>148</v>
      </c>
      <c r="J49" s="14">
        <v>9</v>
      </c>
      <c r="K49" s="14">
        <v>8</v>
      </c>
      <c r="L49" s="14">
        <v>4</v>
      </c>
      <c r="M49" s="14">
        <v>27</v>
      </c>
      <c r="N49" s="14" t="s">
        <v>148</v>
      </c>
      <c r="O49" s="14">
        <v>24</v>
      </c>
      <c r="P49" s="14">
        <v>17</v>
      </c>
      <c r="Q49" s="14">
        <v>16</v>
      </c>
      <c r="R49" s="14">
        <v>5</v>
      </c>
      <c r="S49" s="14">
        <v>66</v>
      </c>
      <c r="T49" s="14">
        <v>36</v>
      </c>
      <c r="U49" s="14">
        <v>9</v>
      </c>
      <c r="V49" s="14">
        <v>45</v>
      </c>
      <c r="W49" s="14">
        <v>-18</v>
      </c>
      <c r="X49" s="14">
        <v>-12</v>
      </c>
      <c r="Y49" s="14" t="s">
        <v>148</v>
      </c>
      <c r="Z49" s="14">
        <v>9</v>
      </c>
      <c r="AA49" s="14">
        <v>-13</v>
      </c>
    </row>
    <row r="50" spans="1:27" x14ac:dyDescent="0.25">
      <c r="A50" s="10" t="s">
        <v>1831</v>
      </c>
      <c r="B50" s="10"/>
      <c r="C50" s="14" t="s">
        <v>148</v>
      </c>
      <c r="D50" s="14" t="s">
        <v>148</v>
      </c>
      <c r="E50" s="14" t="s">
        <v>148</v>
      </c>
      <c r="F50" s="14" t="s">
        <v>148</v>
      </c>
      <c r="G50" s="14">
        <v>15</v>
      </c>
      <c r="H50" s="14">
        <v>15</v>
      </c>
      <c r="I50" s="14" t="s">
        <v>148</v>
      </c>
      <c r="J50" s="14">
        <v>9</v>
      </c>
      <c r="K50" s="14">
        <v>8</v>
      </c>
      <c r="L50" s="14">
        <v>4</v>
      </c>
      <c r="M50" s="14">
        <v>27</v>
      </c>
      <c r="N50" s="14" t="s">
        <v>148</v>
      </c>
      <c r="O50" s="14">
        <v>24</v>
      </c>
      <c r="P50" s="14">
        <v>17</v>
      </c>
      <c r="Q50" s="14">
        <v>16</v>
      </c>
      <c r="R50" s="14">
        <v>5</v>
      </c>
      <c r="S50" s="14">
        <v>66</v>
      </c>
      <c r="T50" s="14">
        <v>36</v>
      </c>
      <c r="U50" s="14">
        <v>9</v>
      </c>
      <c r="V50" s="14">
        <v>45</v>
      </c>
      <c r="W50" s="14">
        <v>-18</v>
      </c>
      <c r="X50" s="14">
        <v>-12</v>
      </c>
      <c r="Y50" s="14" t="s">
        <v>148</v>
      </c>
      <c r="Z50" s="14">
        <v>9</v>
      </c>
      <c r="AA50" s="14">
        <v>-13</v>
      </c>
    </row>
    <row r="51" spans="1:27" x14ac:dyDescent="0.25">
      <c r="A51" s="6" t="s">
        <v>1838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x14ac:dyDescent="0.25">
      <c r="A52" s="10" t="s">
        <v>1829</v>
      </c>
      <c r="B52" s="10"/>
      <c r="C52" s="13">
        <v>655</v>
      </c>
      <c r="D52" s="13">
        <v>592</v>
      </c>
      <c r="E52" s="13">
        <v>698</v>
      </c>
      <c r="F52" s="13">
        <v>630</v>
      </c>
      <c r="G52" s="13">
        <v>752</v>
      </c>
      <c r="H52" s="13">
        <v>654</v>
      </c>
      <c r="I52" s="13" t="s">
        <v>148</v>
      </c>
      <c r="J52" s="13">
        <v>701</v>
      </c>
      <c r="K52" s="13">
        <v>749</v>
      </c>
      <c r="L52" s="13">
        <v>758</v>
      </c>
      <c r="M52" s="13">
        <v>814</v>
      </c>
      <c r="N52" s="13" t="s">
        <v>148</v>
      </c>
      <c r="O52" s="13">
        <v>873</v>
      </c>
      <c r="P52" s="13">
        <v>852</v>
      </c>
      <c r="Q52" s="13">
        <v>922</v>
      </c>
      <c r="R52" s="13">
        <v>862</v>
      </c>
      <c r="S52" s="13">
        <v>992</v>
      </c>
      <c r="T52" s="13">
        <v>927</v>
      </c>
      <c r="U52" s="13">
        <v>1028</v>
      </c>
      <c r="V52" s="13">
        <v>986</v>
      </c>
      <c r="W52" s="13">
        <v>1107</v>
      </c>
      <c r="X52" s="13">
        <v>999</v>
      </c>
      <c r="Y52" s="13" t="s">
        <v>148</v>
      </c>
      <c r="Z52" s="13">
        <v>1045</v>
      </c>
      <c r="AA52" s="13">
        <v>1165</v>
      </c>
    </row>
    <row r="53" spans="1:27" x14ac:dyDescent="0.25">
      <c r="A53" s="10" t="s">
        <v>1830</v>
      </c>
      <c r="B53" s="10"/>
      <c r="C53" s="14">
        <v>14</v>
      </c>
      <c r="D53" s="14">
        <v>20</v>
      </c>
      <c r="E53" s="14">
        <v>14</v>
      </c>
      <c r="F53" s="14">
        <v>18</v>
      </c>
      <c r="G53" s="14">
        <v>15</v>
      </c>
      <c r="H53" s="14">
        <v>10</v>
      </c>
      <c r="I53" s="14" t="s">
        <v>148</v>
      </c>
      <c r="J53" s="14">
        <v>11</v>
      </c>
      <c r="K53" s="14">
        <v>0</v>
      </c>
      <c r="L53" s="14">
        <v>16</v>
      </c>
      <c r="M53" s="14">
        <v>24</v>
      </c>
      <c r="N53" s="14" t="s">
        <v>148</v>
      </c>
      <c r="O53" s="14">
        <v>17</v>
      </c>
      <c r="P53" s="14">
        <v>12</v>
      </c>
      <c r="Q53" s="14">
        <v>13</v>
      </c>
      <c r="R53" s="14">
        <v>7</v>
      </c>
      <c r="S53" s="14">
        <v>14</v>
      </c>
      <c r="T53" s="14">
        <v>9</v>
      </c>
      <c r="U53" s="14">
        <v>11</v>
      </c>
      <c r="V53" s="14">
        <v>14</v>
      </c>
      <c r="W53" s="14">
        <v>12</v>
      </c>
      <c r="X53" s="14">
        <v>8</v>
      </c>
      <c r="Y53" s="14" t="s">
        <v>148</v>
      </c>
      <c r="Z53" s="14">
        <v>6</v>
      </c>
      <c r="AA53" s="14">
        <v>5</v>
      </c>
    </row>
    <row r="54" spans="1:27" x14ac:dyDescent="0.25">
      <c r="A54" s="10" t="s">
        <v>1831</v>
      </c>
      <c r="B54" s="10"/>
      <c r="C54" s="14" t="s">
        <v>148</v>
      </c>
      <c r="D54" s="14" t="s">
        <v>148</v>
      </c>
      <c r="E54" s="14" t="s">
        <v>148</v>
      </c>
      <c r="F54" s="14" t="s">
        <v>148</v>
      </c>
      <c r="G54" s="14">
        <v>15</v>
      </c>
      <c r="H54" s="14">
        <v>10</v>
      </c>
      <c r="I54" s="14" t="s">
        <v>148</v>
      </c>
      <c r="J54" s="14">
        <v>11</v>
      </c>
      <c r="K54" s="14">
        <v>0</v>
      </c>
      <c r="L54" s="14">
        <v>16</v>
      </c>
      <c r="M54" s="14">
        <v>24</v>
      </c>
      <c r="N54" s="14" t="s">
        <v>148</v>
      </c>
      <c r="O54" s="14">
        <v>17</v>
      </c>
      <c r="P54" s="14">
        <v>12</v>
      </c>
      <c r="Q54" s="14">
        <v>13</v>
      </c>
      <c r="R54" s="14">
        <v>7</v>
      </c>
      <c r="S54" s="14">
        <v>14</v>
      </c>
      <c r="T54" s="14">
        <v>9</v>
      </c>
      <c r="U54" s="14">
        <v>11</v>
      </c>
      <c r="V54" s="14">
        <v>14</v>
      </c>
      <c r="W54" s="14">
        <v>12</v>
      </c>
      <c r="X54" s="14">
        <v>8</v>
      </c>
      <c r="Y54" s="14" t="s">
        <v>148</v>
      </c>
      <c r="Z54" s="14">
        <v>6</v>
      </c>
      <c r="AA54" s="14">
        <v>5</v>
      </c>
    </row>
    <row r="55" spans="1:27" x14ac:dyDescent="0.25">
      <c r="A55" s="6" t="s">
        <v>1839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 x14ac:dyDescent="0.25">
      <c r="A56" s="10" t="s">
        <v>1829</v>
      </c>
      <c r="B56" s="10"/>
      <c r="C56" s="13">
        <v>168</v>
      </c>
      <c r="D56" s="13">
        <v>170</v>
      </c>
      <c r="E56" s="13">
        <v>196</v>
      </c>
      <c r="F56" s="13">
        <v>196</v>
      </c>
      <c r="G56" s="13">
        <v>182</v>
      </c>
      <c r="H56" s="13">
        <v>202</v>
      </c>
      <c r="I56" s="13" t="s">
        <v>148</v>
      </c>
      <c r="J56" s="13">
        <v>193</v>
      </c>
      <c r="K56" s="13">
        <v>221</v>
      </c>
      <c r="L56" s="13">
        <v>191</v>
      </c>
      <c r="M56" s="13">
        <v>239</v>
      </c>
      <c r="N56" s="13" t="s">
        <v>148</v>
      </c>
      <c r="O56" s="13">
        <v>243</v>
      </c>
      <c r="P56" s="13">
        <v>201</v>
      </c>
      <c r="Q56" s="13">
        <v>207</v>
      </c>
      <c r="R56" s="13">
        <v>247</v>
      </c>
      <c r="S56" s="13">
        <v>238</v>
      </c>
      <c r="T56" s="13">
        <v>233</v>
      </c>
      <c r="U56" s="13">
        <v>248</v>
      </c>
      <c r="V56" s="13">
        <v>252</v>
      </c>
      <c r="W56" s="13">
        <v>251</v>
      </c>
      <c r="X56" s="13">
        <v>247</v>
      </c>
      <c r="Y56" s="13" t="s">
        <v>148</v>
      </c>
      <c r="Z56" s="13">
        <v>282</v>
      </c>
      <c r="AA56" s="13">
        <v>246</v>
      </c>
    </row>
    <row r="57" spans="1:27" x14ac:dyDescent="0.25">
      <c r="A57" s="10" t="s">
        <v>1830</v>
      </c>
      <c r="B57" s="10"/>
      <c r="C57" s="14">
        <v>6</v>
      </c>
      <c r="D57" s="14">
        <v>1</v>
      </c>
      <c r="E57" s="14">
        <v>13</v>
      </c>
      <c r="F57" s="14">
        <v>8</v>
      </c>
      <c r="G57" s="14">
        <v>8</v>
      </c>
      <c r="H57" s="14">
        <v>19</v>
      </c>
      <c r="I57" s="14" t="s">
        <v>148</v>
      </c>
      <c r="J57" s="14">
        <v>-2</v>
      </c>
      <c r="K57" s="14">
        <v>21</v>
      </c>
      <c r="L57" s="14">
        <v>-5</v>
      </c>
      <c r="M57" s="14">
        <v>23</v>
      </c>
      <c r="N57" s="14" t="s">
        <v>148</v>
      </c>
      <c r="O57" s="14">
        <v>10</v>
      </c>
      <c r="P57" s="14">
        <v>5</v>
      </c>
      <c r="Q57" s="14">
        <v>-13</v>
      </c>
      <c r="R57" s="14" t="s">
        <v>148</v>
      </c>
      <c r="S57" s="14">
        <v>-2</v>
      </c>
      <c r="T57" s="14">
        <v>16</v>
      </c>
      <c r="U57" s="14">
        <v>20</v>
      </c>
      <c r="V57" s="14">
        <v>2</v>
      </c>
      <c r="W57" s="14">
        <v>5</v>
      </c>
      <c r="X57" s="14">
        <v>6</v>
      </c>
      <c r="Y57" s="14" t="s">
        <v>148</v>
      </c>
      <c r="Z57" s="14">
        <v>12</v>
      </c>
      <c r="AA57" s="14">
        <v>-2</v>
      </c>
    </row>
    <row r="58" spans="1:27" x14ac:dyDescent="0.25">
      <c r="A58" s="10" t="s">
        <v>1831</v>
      </c>
      <c r="B58" s="10"/>
      <c r="C58" s="14" t="s">
        <v>148</v>
      </c>
      <c r="D58" s="14" t="s">
        <v>148</v>
      </c>
      <c r="E58" s="14" t="s">
        <v>148</v>
      </c>
      <c r="F58" s="14" t="s">
        <v>148</v>
      </c>
      <c r="G58" s="14">
        <v>8</v>
      </c>
      <c r="H58" s="14">
        <v>19</v>
      </c>
      <c r="I58" s="14" t="s">
        <v>148</v>
      </c>
      <c r="J58" s="14">
        <v>-2</v>
      </c>
      <c r="K58" s="14">
        <v>21</v>
      </c>
      <c r="L58" s="14">
        <v>-5</v>
      </c>
      <c r="M58" s="14">
        <v>23</v>
      </c>
      <c r="N58" s="14" t="s">
        <v>148</v>
      </c>
      <c r="O58" s="14">
        <v>10</v>
      </c>
      <c r="P58" s="14">
        <v>5</v>
      </c>
      <c r="Q58" s="14">
        <v>-13</v>
      </c>
      <c r="R58" s="14" t="s">
        <v>148</v>
      </c>
      <c r="S58" s="14">
        <v>-2</v>
      </c>
      <c r="T58" s="14">
        <v>16</v>
      </c>
      <c r="U58" s="14">
        <v>20</v>
      </c>
      <c r="V58" s="14">
        <v>2</v>
      </c>
      <c r="W58" s="14">
        <v>5</v>
      </c>
      <c r="X58" s="14">
        <v>6</v>
      </c>
      <c r="Y58" s="14" t="s">
        <v>148</v>
      </c>
      <c r="Z58" s="14">
        <v>12</v>
      </c>
      <c r="AA58" s="14">
        <v>-2</v>
      </c>
    </row>
    <row r="59" spans="1:27" x14ac:dyDescent="0.25">
      <c r="A59" s="6" t="s">
        <v>1840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 x14ac:dyDescent="0.25">
      <c r="A60" s="10" t="s">
        <v>1829</v>
      </c>
      <c r="B60" s="10"/>
      <c r="C60" s="13">
        <v>456</v>
      </c>
      <c r="D60" s="13">
        <v>471</v>
      </c>
      <c r="E60" s="13">
        <v>499</v>
      </c>
      <c r="F60" s="13">
        <v>476</v>
      </c>
      <c r="G60" s="13">
        <v>489</v>
      </c>
      <c r="H60" s="13">
        <v>481</v>
      </c>
      <c r="I60" s="13" t="s">
        <v>148</v>
      </c>
      <c r="J60" s="13">
        <v>481</v>
      </c>
      <c r="K60" s="13">
        <v>502</v>
      </c>
      <c r="L60" s="13">
        <v>468</v>
      </c>
      <c r="M60" s="13">
        <v>488</v>
      </c>
      <c r="N60" s="13" t="s">
        <v>148</v>
      </c>
      <c r="O60" s="13">
        <v>545</v>
      </c>
      <c r="P60" s="13">
        <v>502</v>
      </c>
      <c r="Q60" s="13">
        <v>533</v>
      </c>
      <c r="R60" s="13">
        <v>495</v>
      </c>
      <c r="S60" s="13">
        <v>484</v>
      </c>
      <c r="T60" s="13">
        <v>536</v>
      </c>
      <c r="U60" s="13">
        <v>530</v>
      </c>
      <c r="V60" s="13">
        <v>519</v>
      </c>
      <c r="W60" s="13">
        <v>527</v>
      </c>
      <c r="X60" s="13">
        <v>561</v>
      </c>
      <c r="Y60" s="13" t="s">
        <v>148</v>
      </c>
      <c r="Z60" s="13">
        <v>541</v>
      </c>
      <c r="AA60" s="13">
        <v>561</v>
      </c>
    </row>
    <row r="61" spans="1:27" x14ac:dyDescent="0.25">
      <c r="A61" s="10" t="s">
        <v>1830</v>
      </c>
      <c r="B61" s="10"/>
      <c r="C61" s="14">
        <v>17</v>
      </c>
      <c r="D61" s="14">
        <v>6</v>
      </c>
      <c r="E61" s="14">
        <v>10</v>
      </c>
      <c r="F61" s="14">
        <v>10</v>
      </c>
      <c r="G61" s="14">
        <v>7</v>
      </c>
      <c r="H61" s="14">
        <v>2</v>
      </c>
      <c r="I61" s="14" t="s">
        <v>148</v>
      </c>
      <c r="J61" s="14">
        <v>1</v>
      </c>
      <c r="K61" s="14">
        <v>3</v>
      </c>
      <c r="L61" s="14">
        <v>-3</v>
      </c>
      <c r="M61" s="14">
        <v>12</v>
      </c>
      <c r="N61" s="14" t="s">
        <v>148</v>
      </c>
      <c r="O61" s="14">
        <v>9</v>
      </c>
      <c r="P61" s="14">
        <v>7</v>
      </c>
      <c r="Q61" s="14">
        <v>9</v>
      </c>
      <c r="R61" s="14">
        <v>-4</v>
      </c>
      <c r="S61" s="14">
        <v>-11</v>
      </c>
      <c r="T61" s="14">
        <v>7</v>
      </c>
      <c r="U61" s="14">
        <v>-1</v>
      </c>
      <c r="V61" s="14">
        <v>5</v>
      </c>
      <c r="W61" s="14">
        <v>9</v>
      </c>
      <c r="X61" s="14">
        <v>5</v>
      </c>
      <c r="Y61" s="14" t="s">
        <v>148</v>
      </c>
      <c r="Z61" s="14">
        <v>4</v>
      </c>
      <c r="AA61" s="14">
        <v>6</v>
      </c>
    </row>
    <row r="62" spans="1:27" x14ac:dyDescent="0.25">
      <c r="A62" s="10" t="s">
        <v>1831</v>
      </c>
      <c r="B62" s="10"/>
      <c r="C62" s="14" t="s">
        <v>148</v>
      </c>
      <c r="D62" s="14" t="s">
        <v>148</v>
      </c>
      <c r="E62" s="14" t="s">
        <v>148</v>
      </c>
      <c r="F62" s="14" t="s">
        <v>148</v>
      </c>
      <c r="G62" s="14">
        <v>7</v>
      </c>
      <c r="H62" s="14">
        <v>2</v>
      </c>
      <c r="I62" s="14" t="s">
        <v>148</v>
      </c>
      <c r="J62" s="14">
        <v>1</v>
      </c>
      <c r="K62" s="14">
        <v>3</v>
      </c>
      <c r="L62" s="14">
        <v>-3</v>
      </c>
      <c r="M62" s="14">
        <v>12</v>
      </c>
      <c r="N62" s="14" t="s">
        <v>148</v>
      </c>
      <c r="O62" s="14">
        <v>9</v>
      </c>
      <c r="P62" s="14">
        <v>7</v>
      </c>
      <c r="Q62" s="14">
        <v>9</v>
      </c>
      <c r="R62" s="14">
        <v>-4</v>
      </c>
      <c r="S62" s="14">
        <v>-11</v>
      </c>
      <c r="T62" s="14">
        <v>7</v>
      </c>
      <c r="U62" s="14">
        <v>-1</v>
      </c>
      <c r="V62" s="14">
        <v>5</v>
      </c>
      <c r="W62" s="14">
        <v>9</v>
      </c>
      <c r="X62" s="14">
        <v>5</v>
      </c>
      <c r="Y62" s="14" t="s">
        <v>148</v>
      </c>
      <c r="Z62" s="14">
        <v>4</v>
      </c>
      <c r="AA62" s="14">
        <v>6</v>
      </c>
    </row>
    <row r="63" spans="1:27" x14ac:dyDescent="0.25">
      <c r="A63" s="6" t="s">
        <v>1841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 x14ac:dyDescent="0.25">
      <c r="A64" s="10" t="s">
        <v>1829</v>
      </c>
      <c r="B64" s="10"/>
      <c r="C64" s="13">
        <v>159</v>
      </c>
      <c r="D64" s="13">
        <v>141</v>
      </c>
      <c r="E64" s="13">
        <v>152</v>
      </c>
      <c r="F64" s="13">
        <v>168</v>
      </c>
      <c r="G64" s="13">
        <v>200</v>
      </c>
      <c r="H64" s="13">
        <v>229</v>
      </c>
      <c r="I64" s="13" t="s">
        <v>148</v>
      </c>
      <c r="J64" s="13">
        <v>205</v>
      </c>
      <c r="K64" s="13">
        <v>253</v>
      </c>
      <c r="L64" s="13">
        <v>286</v>
      </c>
      <c r="M64" s="13">
        <v>286</v>
      </c>
      <c r="N64" s="13" t="s">
        <v>148</v>
      </c>
      <c r="O64" s="13">
        <v>273</v>
      </c>
      <c r="P64" s="13">
        <v>329</v>
      </c>
      <c r="Q64" s="13">
        <v>325</v>
      </c>
      <c r="R64" s="13">
        <v>309</v>
      </c>
      <c r="S64" s="13">
        <v>333</v>
      </c>
      <c r="T64" s="13">
        <v>388</v>
      </c>
      <c r="U64" s="13">
        <v>424</v>
      </c>
      <c r="V64" s="13">
        <v>406</v>
      </c>
      <c r="W64" s="13">
        <v>417</v>
      </c>
      <c r="X64" s="13">
        <v>517</v>
      </c>
      <c r="Y64" s="13" t="s">
        <v>148</v>
      </c>
      <c r="Z64" s="13">
        <v>567</v>
      </c>
      <c r="AA64" s="13">
        <v>606</v>
      </c>
    </row>
    <row r="65" spans="1:27" x14ac:dyDescent="0.25">
      <c r="A65" s="10" t="s">
        <v>1830</v>
      </c>
      <c r="B65" s="10"/>
      <c r="C65" s="14">
        <v>62</v>
      </c>
      <c r="D65" s="14">
        <v>15</v>
      </c>
      <c r="E65" s="14">
        <v>3</v>
      </c>
      <c r="F65" s="14">
        <v>40</v>
      </c>
      <c r="G65" s="14">
        <v>26</v>
      </c>
      <c r="H65" s="14">
        <v>62</v>
      </c>
      <c r="I65" s="14" t="s">
        <v>148</v>
      </c>
      <c r="J65" s="14">
        <v>22</v>
      </c>
      <c r="K65" s="14">
        <v>27</v>
      </c>
      <c r="L65" s="14">
        <v>25</v>
      </c>
      <c r="M65" s="14">
        <v>43</v>
      </c>
      <c r="N65" s="14" t="s">
        <v>148</v>
      </c>
      <c r="O65" s="14">
        <v>8</v>
      </c>
      <c r="P65" s="14">
        <v>15</v>
      </c>
      <c r="Q65" s="14">
        <v>14</v>
      </c>
      <c r="R65" s="14">
        <v>14</v>
      </c>
      <c r="S65" s="14">
        <v>22</v>
      </c>
      <c r="T65" s="14">
        <v>18</v>
      </c>
      <c r="U65" s="14">
        <v>30</v>
      </c>
      <c r="V65" s="14">
        <v>31</v>
      </c>
      <c r="W65" s="14">
        <v>25</v>
      </c>
      <c r="X65" s="14">
        <v>33</v>
      </c>
      <c r="Y65" s="14" t="s">
        <v>148</v>
      </c>
      <c r="Z65" s="14">
        <v>40</v>
      </c>
      <c r="AA65" s="14">
        <v>45</v>
      </c>
    </row>
    <row r="66" spans="1:27" x14ac:dyDescent="0.25">
      <c r="A66" s="10" t="s">
        <v>1831</v>
      </c>
      <c r="B66" s="10"/>
      <c r="C66" s="14" t="s">
        <v>148</v>
      </c>
      <c r="D66" s="14" t="s">
        <v>148</v>
      </c>
      <c r="E66" s="14" t="s">
        <v>148</v>
      </c>
      <c r="F66" s="14" t="s">
        <v>148</v>
      </c>
      <c r="G66" s="14">
        <v>26</v>
      </c>
      <c r="H66" s="14">
        <v>62</v>
      </c>
      <c r="I66" s="14" t="s">
        <v>148</v>
      </c>
      <c r="J66" s="14">
        <v>22</v>
      </c>
      <c r="K66" s="14">
        <v>27</v>
      </c>
      <c r="L66" s="14">
        <v>25</v>
      </c>
      <c r="M66" s="14">
        <v>43</v>
      </c>
      <c r="N66" s="14" t="s">
        <v>148</v>
      </c>
      <c r="O66" s="14">
        <v>8</v>
      </c>
      <c r="P66" s="14">
        <v>15</v>
      </c>
      <c r="Q66" s="14">
        <v>14</v>
      </c>
      <c r="R66" s="14">
        <v>14</v>
      </c>
      <c r="S66" s="14">
        <v>22</v>
      </c>
      <c r="T66" s="14">
        <v>18</v>
      </c>
      <c r="U66" s="14">
        <v>30</v>
      </c>
      <c r="V66" s="14">
        <v>31</v>
      </c>
      <c r="W66" s="14">
        <v>25</v>
      </c>
      <c r="X66" s="14">
        <v>33</v>
      </c>
      <c r="Y66" s="14" t="s">
        <v>148</v>
      </c>
      <c r="Z66" s="14">
        <v>40</v>
      </c>
      <c r="AA66" s="14">
        <v>45</v>
      </c>
    </row>
    <row r="67" spans="1:27" x14ac:dyDescent="0.25">
      <c r="A67" s="6" t="s">
        <v>1842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 x14ac:dyDescent="0.25">
      <c r="A68" s="10" t="s">
        <v>1829</v>
      </c>
      <c r="B68" s="10"/>
      <c r="C68" s="13">
        <v>251</v>
      </c>
      <c r="D68" s="13">
        <v>245</v>
      </c>
      <c r="E68" s="13">
        <v>267</v>
      </c>
      <c r="F68" s="13">
        <v>266</v>
      </c>
      <c r="G68" s="13">
        <v>266</v>
      </c>
      <c r="H68" s="13">
        <v>280</v>
      </c>
      <c r="I68" s="13" t="s">
        <v>148</v>
      </c>
      <c r="J68" s="13">
        <v>260</v>
      </c>
      <c r="K68" s="13">
        <v>272</v>
      </c>
      <c r="L68" s="13">
        <v>251</v>
      </c>
      <c r="M68" s="13">
        <v>280</v>
      </c>
      <c r="N68" s="13" t="s">
        <v>148</v>
      </c>
      <c r="O68" s="13">
        <v>284</v>
      </c>
      <c r="P68" s="13">
        <v>287</v>
      </c>
      <c r="Q68" s="13">
        <v>317</v>
      </c>
      <c r="R68" s="13">
        <v>318</v>
      </c>
      <c r="S68" s="13">
        <v>325</v>
      </c>
      <c r="T68" s="13">
        <v>358</v>
      </c>
      <c r="U68" s="13">
        <v>346</v>
      </c>
      <c r="V68" s="13">
        <v>349</v>
      </c>
      <c r="W68" s="13">
        <v>350</v>
      </c>
      <c r="X68" s="13">
        <v>376</v>
      </c>
      <c r="Y68" s="13" t="s">
        <v>148</v>
      </c>
      <c r="Z68" s="13">
        <v>378</v>
      </c>
      <c r="AA68" s="13">
        <v>372</v>
      </c>
    </row>
    <row r="69" spans="1:27" x14ac:dyDescent="0.25">
      <c r="A69" s="10" t="s">
        <v>1830</v>
      </c>
      <c r="B69" s="10"/>
      <c r="C69" s="14">
        <v>11</v>
      </c>
      <c r="D69" s="14">
        <v>10</v>
      </c>
      <c r="E69" s="14">
        <v>2</v>
      </c>
      <c r="F69" s="14">
        <v>15</v>
      </c>
      <c r="G69" s="14">
        <v>6</v>
      </c>
      <c r="H69" s="14">
        <v>14</v>
      </c>
      <c r="I69" s="14" t="s">
        <v>148</v>
      </c>
      <c r="J69" s="14">
        <v>-2</v>
      </c>
      <c r="K69" s="14">
        <v>2</v>
      </c>
      <c r="L69" s="14">
        <v>-10</v>
      </c>
      <c r="M69" s="14">
        <v>11</v>
      </c>
      <c r="N69" s="14" t="s">
        <v>148</v>
      </c>
      <c r="O69" s="14">
        <v>4</v>
      </c>
      <c r="P69" s="14">
        <v>14</v>
      </c>
      <c r="Q69" s="14">
        <v>13</v>
      </c>
      <c r="R69" s="14">
        <v>9</v>
      </c>
      <c r="S69" s="14">
        <v>14</v>
      </c>
      <c r="T69" s="14">
        <v>25</v>
      </c>
      <c r="U69" s="14">
        <v>9</v>
      </c>
      <c r="V69" s="14">
        <v>10</v>
      </c>
      <c r="W69" s="14">
        <v>8</v>
      </c>
      <c r="X69" s="14">
        <v>5</v>
      </c>
      <c r="Y69" s="14" t="s">
        <v>148</v>
      </c>
      <c r="Z69" s="14">
        <v>8</v>
      </c>
      <c r="AA69" s="14">
        <v>6</v>
      </c>
    </row>
    <row r="70" spans="1:27" x14ac:dyDescent="0.25">
      <c r="A70" s="10" t="s">
        <v>1831</v>
      </c>
      <c r="B70" s="10"/>
      <c r="C70" s="14" t="s">
        <v>148</v>
      </c>
      <c r="D70" s="14" t="s">
        <v>148</v>
      </c>
      <c r="E70" s="14" t="s">
        <v>148</v>
      </c>
      <c r="F70" s="14" t="s">
        <v>148</v>
      </c>
      <c r="G70" s="14">
        <v>6</v>
      </c>
      <c r="H70" s="14">
        <v>14</v>
      </c>
      <c r="I70" s="14" t="s">
        <v>148</v>
      </c>
      <c r="J70" s="14">
        <v>-2</v>
      </c>
      <c r="K70" s="14">
        <v>2</v>
      </c>
      <c r="L70" s="14">
        <v>-10</v>
      </c>
      <c r="M70" s="14">
        <v>11</v>
      </c>
      <c r="N70" s="14" t="s">
        <v>148</v>
      </c>
      <c r="O70" s="14">
        <v>4</v>
      </c>
      <c r="P70" s="14">
        <v>14</v>
      </c>
      <c r="Q70" s="14">
        <v>13</v>
      </c>
      <c r="R70" s="14">
        <v>9</v>
      </c>
      <c r="S70" s="14">
        <v>14</v>
      </c>
      <c r="T70" s="14">
        <v>25</v>
      </c>
      <c r="U70" s="14">
        <v>9</v>
      </c>
      <c r="V70" s="14">
        <v>10</v>
      </c>
      <c r="W70" s="14">
        <v>8</v>
      </c>
      <c r="X70" s="14">
        <v>5</v>
      </c>
      <c r="Y70" s="14" t="s">
        <v>148</v>
      </c>
      <c r="Z70" s="14">
        <v>8</v>
      </c>
      <c r="AA70" s="14">
        <v>6</v>
      </c>
    </row>
    <row r="71" spans="1:27" x14ac:dyDescent="0.25">
      <c r="A71" s="6" t="s">
        <v>1843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 x14ac:dyDescent="0.25">
      <c r="A72" s="10" t="s">
        <v>1829</v>
      </c>
      <c r="B72" s="10"/>
      <c r="C72" s="13">
        <v>63</v>
      </c>
      <c r="D72" s="13">
        <v>69</v>
      </c>
      <c r="E72" s="13">
        <v>78</v>
      </c>
      <c r="F72" s="13">
        <v>85</v>
      </c>
      <c r="G72" s="13">
        <v>80</v>
      </c>
      <c r="H72" s="13">
        <v>94</v>
      </c>
      <c r="I72" s="13" t="s">
        <v>148</v>
      </c>
      <c r="J72" s="13">
        <v>89</v>
      </c>
      <c r="K72" s="13">
        <v>103</v>
      </c>
      <c r="L72" s="13">
        <v>107</v>
      </c>
      <c r="M72" s="13">
        <v>108</v>
      </c>
      <c r="N72" s="13" t="s">
        <v>148</v>
      </c>
      <c r="O72" s="13">
        <v>132</v>
      </c>
      <c r="P72" s="13">
        <v>138</v>
      </c>
      <c r="Q72" s="13">
        <v>139</v>
      </c>
      <c r="R72" s="13">
        <v>142</v>
      </c>
      <c r="S72" s="13">
        <v>164</v>
      </c>
      <c r="T72" s="13">
        <v>194</v>
      </c>
      <c r="U72" s="13">
        <v>206</v>
      </c>
      <c r="V72" s="13">
        <v>220</v>
      </c>
      <c r="W72" s="13">
        <v>241</v>
      </c>
      <c r="X72" s="13">
        <v>244</v>
      </c>
      <c r="Y72" s="13" t="s">
        <v>148</v>
      </c>
      <c r="Z72" s="13">
        <v>327</v>
      </c>
      <c r="AA72" s="13">
        <v>381</v>
      </c>
    </row>
    <row r="73" spans="1:27" x14ac:dyDescent="0.25">
      <c r="A73" s="10" t="s">
        <v>1830</v>
      </c>
      <c r="B73" s="10"/>
      <c r="C73" s="14">
        <v>37</v>
      </c>
      <c r="D73" s="14">
        <v>41</v>
      </c>
      <c r="E73" s="14">
        <v>30</v>
      </c>
      <c r="F73" s="14">
        <v>47</v>
      </c>
      <c r="G73" s="14">
        <v>27</v>
      </c>
      <c r="H73" s="14">
        <v>36</v>
      </c>
      <c r="I73" s="14" t="s">
        <v>148</v>
      </c>
      <c r="J73" s="14">
        <v>5</v>
      </c>
      <c r="K73" s="14">
        <v>29</v>
      </c>
      <c r="L73" s="14">
        <v>14</v>
      </c>
      <c r="M73" s="14">
        <v>16</v>
      </c>
      <c r="N73" s="14" t="s">
        <v>148</v>
      </c>
      <c r="O73" s="14">
        <v>28</v>
      </c>
      <c r="P73" s="14">
        <v>29</v>
      </c>
      <c r="Q73" s="14">
        <v>29</v>
      </c>
      <c r="R73" s="14" t="s">
        <v>148</v>
      </c>
      <c r="S73" s="14">
        <v>24</v>
      </c>
      <c r="T73" s="14">
        <v>41</v>
      </c>
      <c r="U73" s="14">
        <v>48</v>
      </c>
      <c r="V73" s="14">
        <v>55</v>
      </c>
      <c r="W73" s="14">
        <v>47</v>
      </c>
      <c r="X73" s="14">
        <v>26</v>
      </c>
      <c r="Y73" s="14" t="s">
        <v>148</v>
      </c>
      <c r="Z73" s="14">
        <v>49</v>
      </c>
      <c r="AA73" s="14">
        <v>58</v>
      </c>
    </row>
    <row r="74" spans="1:27" x14ac:dyDescent="0.25">
      <c r="A74" s="10" t="s">
        <v>1831</v>
      </c>
      <c r="B74" s="10"/>
      <c r="C74" s="14" t="s">
        <v>148</v>
      </c>
      <c r="D74" s="14" t="s">
        <v>148</v>
      </c>
      <c r="E74" s="14" t="s">
        <v>148</v>
      </c>
      <c r="F74" s="14" t="s">
        <v>148</v>
      </c>
      <c r="G74" s="14">
        <v>27</v>
      </c>
      <c r="H74" s="14">
        <v>36</v>
      </c>
      <c r="I74" s="14" t="s">
        <v>148</v>
      </c>
      <c r="J74" s="14">
        <v>5</v>
      </c>
      <c r="K74" s="14">
        <v>29</v>
      </c>
      <c r="L74" s="14">
        <v>14</v>
      </c>
      <c r="M74" s="14">
        <v>16</v>
      </c>
      <c r="N74" s="14" t="s">
        <v>148</v>
      </c>
      <c r="O74" s="14">
        <v>28</v>
      </c>
      <c r="P74" s="14">
        <v>29</v>
      </c>
      <c r="Q74" s="14">
        <v>29</v>
      </c>
      <c r="R74" s="14" t="s">
        <v>148</v>
      </c>
      <c r="S74" s="14">
        <v>24</v>
      </c>
      <c r="T74" s="14">
        <v>41</v>
      </c>
      <c r="U74" s="14">
        <v>48</v>
      </c>
      <c r="V74" s="14">
        <v>55</v>
      </c>
      <c r="W74" s="14">
        <v>47</v>
      </c>
      <c r="X74" s="14">
        <v>26</v>
      </c>
      <c r="Y74" s="14" t="s">
        <v>148</v>
      </c>
      <c r="Z74" s="14">
        <v>49</v>
      </c>
      <c r="AA74" s="14">
        <v>58</v>
      </c>
    </row>
    <row r="75" spans="1:27" x14ac:dyDescent="0.25">
      <c r="A75" s="6" t="s">
        <v>1844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 x14ac:dyDescent="0.25">
      <c r="A76" s="10" t="s">
        <v>1829</v>
      </c>
      <c r="B76" s="10"/>
      <c r="C76" s="13">
        <v>229</v>
      </c>
      <c r="D76" s="13">
        <v>271</v>
      </c>
      <c r="E76" s="13">
        <v>297</v>
      </c>
      <c r="F76" s="13">
        <v>274</v>
      </c>
      <c r="G76" s="13">
        <v>316</v>
      </c>
      <c r="H76" s="13">
        <v>267</v>
      </c>
      <c r="I76" s="13" t="s">
        <v>148</v>
      </c>
      <c r="J76" s="13">
        <v>319</v>
      </c>
      <c r="K76" s="13">
        <v>300</v>
      </c>
      <c r="L76" s="13">
        <v>309</v>
      </c>
      <c r="M76" s="13">
        <v>412</v>
      </c>
      <c r="N76" s="13" t="s">
        <v>148</v>
      </c>
      <c r="O76" s="13">
        <v>575</v>
      </c>
      <c r="P76" s="13">
        <v>507</v>
      </c>
      <c r="Q76" s="13">
        <v>313</v>
      </c>
      <c r="R76" s="13">
        <v>415</v>
      </c>
      <c r="S76" s="13">
        <v>287</v>
      </c>
      <c r="T76" s="13">
        <v>259</v>
      </c>
      <c r="U76" s="13">
        <v>303</v>
      </c>
      <c r="V76" s="13">
        <v>355</v>
      </c>
      <c r="W76" s="13">
        <v>363</v>
      </c>
      <c r="X76" s="13">
        <v>329</v>
      </c>
      <c r="Y76" s="13" t="s">
        <v>148</v>
      </c>
      <c r="Z76" s="13">
        <v>352</v>
      </c>
      <c r="AA76" s="13">
        <v>370</v>
      </c>
    </row>
    <row r="77" spans="1:27" x14ac:dyDescent="0.25">
      <c r="A77" s="10" t="s">
        <v>1830</v>
      </c>
      <c r="B77" s="10"/>
      <c r="C77" s="14" t="s">
        <v>148</v>
      </c>
      <c r="D77" s="14" t="s">
        <v>148</v>
      </c>
      <c r="E77" s="14" t="s">
        <v>148</v>
      </c>
      <c r="F77" s="14" t="s">
        <v>148</v>
      </c>
      <c r="G77" s="14">
        <v>19</v>
      </c>
      <c r="H77" s="14" t="s">
        <v>148</v>
      </c>
      <c r="I77" s="14" t="s">
        <v>148</v>
      </c>
      <c r="J77" s="14" t="s">
        <v>148</v>
      </c>
      <c r="K77" s="14" t="s">
        <v>148</v>
      </c>
      <c r="L77" s="14" t="s">
        <v>148</v>
      </c>
      <c r="M77" s="14" t="s">
        <v>148</v>
      </c>
      <c r="N77" s="14" t="s">
        <v>148</v>
      </c>
      <c r="O77" s="14" t="s">
        <v>148</v>
      </c>
      <c r="P77" s="14" t="s">
        <v>148</v>
      </c>
      <c r="Q77" s="14" t="s">
        <v>148</v>
      </c>
      <c r="R77" s="14" t="s">
        <v>148</v>
      </c>
      <c r="S77" s="14" t="s">
        <v>148</v>
      </c>
      <c r="T77" s="14" t="s">
        <v>148</v>
      </c>
      <c r="U77" s="14" t="s">
        <v>148</v>
      </c>
      <c r="V77" s="14" t="s">
        <v>148</v>
      </c>
      <c r="W77" s="14" t="s">
        <v>148</v>
      </c>
      <c r="X77" s="14" t="s">
        <v>148</v>
      </c>
      <c r="Y77" s="14" t="s">
        <v>148</v>
      </c>
      <c r="Z77" s="14" t="s">
        <v>148</v>
      </c>
      <c r="AA77" s="14" t="s">
        <v>148</v>
      </c>
    </row>
    <row r="78" spans="1:27" x14ac:dyDescent="0.25">
      <c r="A78" s="10" t="s">
        <v>1831</v>
      </c>
      <c r="B78" s="10"/>
      <c r="C78" s="14" t="s">
        <v>148</v>
      </c>
      <c r="D78" s="14" t="s">
        <v>148</v>
      </c>
      <c r="E78" s="14" t="s">
        <v>148</v>
      </c>
      <c r="F78" s="14" t="s">
        <v>148</v>
      </c>
      <c r="G78" s="14">
        <v>19</v>
      </c>
      <c r="H78" s="14" t="s">
        <v>148</v>
      </c>
      <c r="I78" s="14" t="s">
        <v>148</v>
      </c>
      <c r="J78" s="14" t="s">
        <v>148</v>
      </c>
      <c r="K78" s="14" t="s">
        <v>148</v>
      </c>
      <c r="L78" s="14" t="s">
        <v>148</v>
      </c>
      <c r="M78" s="14" t="s">
        <v>148</v>
      </c>
      <c r="N78" s="14" t="s">
        <v>148</v>
      </c>
      <c r="O78" s="14" t="s">
        <v>148</v>
      </c>
      <c r="P78" s="14" t="s">
        <v>148</v>
      </c>
      <c r="Q78" s="14" t="s">
        <v>148</v>
      </c>
      <c r="R78" s="14" t="s">
        <v>148</v>
      </c>
      <c r="S78" s="14" t="s">
        <v>148</v>
      </c>
      <c r="T78" s="14" t="s">
        <v>148</v>
      </c>
      <c r="U78" s="14" t="s">
        <v>148</v>
      </c>
      <c r="V78" s="14" t="s">
        <v>148</v>
      </c>
      <c r="W78" s="14" t="s">
        <v>148</v>
      </c>
      <c r="X78" s="14" t="s">
        <v>148</v>
      </c>
      <c r="Y78" s="14" t="s">
        <v>148</v>
      </c>
      <c r="Z78" s="14" t="s">
        <v>148</v>
      </c>
      <c r="AA78" s="14" t="s">
        <v>148</v>
      </c>
    </row>
    <row r="79" spans="1:27" x14ac:dyDescent="0.25">
      <c r="A79" s="6" t="s">
        <v>1845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 x14ac:dyDescent="0.25">
      <c r="A80" s="10" t="s">
        <v>1829</v>
      </c>
      <c r="B80" s="10"/>
      <c r="C80" s="13">
        <v>120</v>
      </c>
      <c r="D80" s="13">
        <v>126</v>
      </c>
      <c r="E80" s="13">
        <v>168</v>
      </c>
      <c r="F80" s="13">
        <v>157</v>
      </c>
      <c r="G80" s="13">
        <v>179</v>
      </c>
      <c r="H80" s="13">
        <v>175</v>
      </c>
      <c r="I80" s="13" t="s">
        <v>148</v>
      </c>
      <c r="J80" s="13">
        <v>183</v>
      </c>
      <c r="K80" s="13">
        <v>172</v>
      </c>
      <c r="L80" s="13">
        <v>79</v>
      </c>
      <c r="M80" s="13">
        <v>71</v>
      </c>
      <c r="N80" s="13" t="s">
        <v>148</v>
      </c>
      <c r="O80" s="13">
        <v>69</v>
      </c>
      <c r="P80" s="13">
        <v>86</v>
      </c>
      <c r="Q80" s="13">
        <v>103</v>
      </c>
      <c r="R80" s="13">
        <v>100</v>
      </c>
      <c r="S80" s="13">
        <v>93</v>
      </c>
      <c r="T80" s="13">
        <v>91</v>
      </c>
      <c r="U80" s="13">
        <v>87</v>
      </c>
      <c r="V80" s="13">
        <v>95</v>
      </c>
      <c r="W80" s="13">
        <v>89</v>
      </c>
      <c r="X80" s="13">
        <v>105</v>
      </c>
      <c r="Y80" s="13" t="s">
        <v>148</v>
      </c>
      <c r="Z80" s="13">
        <v>70</v>
      </c>
      <c r="AA80" s="13">
        <v>75</v>
      </c>
    </row>
    <row r="81" spans="1:27" x14ac:dyDescent="0.25">
      <c r="A81" s="10" t="s">
        <v>1830</v>
      </c>
      <c r="B81" s="10"/>
      <c r="C81" s="14" t="s">
        <v>148</v>
      </c>
      <c r="D81" s="14" t="s">
        <v>148</v>
      </c>
      <c r="E81" s="14">
        <v>0</v>
      </c>
      <c r="F81" s="14">
        <v>54</v>
      </c>
      <c r="G81" s="14">
        <v>49</v>
      </c>
      <c r="H81" s="14">
        <v>39</v>
      </c>
      <c r="I81" s="14" t="s">
        <v>148</v>
      </c>
      <c r="J81" s="14">
        <v>17</v>
      </c>
      <c r="K81" s="14">
        <v>-4</v>
      </c>
      <c r="L81" s="14">
        <v>-55</v>
      </c>
      <c r="M81" s="14">
        <v>-62</v>
      </c>
      <c r="N81" s="14" t="s">
        <v>148</v>
      </c>
      <c r="O81" s="14">
        <v>-60</v>
      </c>
      <c r="P81" s="14">
        <v>9</v>
      </c>
      <c r="Q81" s="14">
        <v>45</v>
      </c>
      <c r="R81" s="14">
        <v>3</v>
      </c>
      <c r="S81" s="14">
        <v>35</v>
      </c>
      <c r="T81" s="14">
        <v>6</v>
      </c>
      <c r="U81" s="14">
        <v>-16</v>
      </c>
      <c r="V81" s="14">
        <v>-5</v>
      </c>
      <c r="W81" s="14">
        <v>-4</v>
      </c>
      <c r="X81" s="14">
        <v>15</v>
      </c>
      <c r="Y81" s="14" t="s">
        <v>148</v>
      </c>
      <c r="Z81" s="14">
        <v>-26</v>
      </c>
      <c r="AA81" s="14">
        <v>-16</v>
      </c>
    </row>
    <row r="82" spans="1:27" x14ac:dyDescent="0.25">
      <c r="A82" s="10" t="s">
        <v>1831</v>
      </c>
      <c r="B82" s="10"/>
      <c r="C82" s="14" t="s">
        <v>148</v>
      </c>
      <c r="D82" s="14" t="s">
        <v>148</v>
      </c>
      <c r="E82" s="14" t="s">
        <v>148</v>
      </c>
      <c r="F82" s="14" t="s">
        <v>148</v>
      </c>
      <c r="G82" s="14">
        <v>49</v>
      </c>
      <c r="H82" s="14">
        <v>39</v>
      </c>
      <c r="I82" s="14" t="s">
        <v>148</v>
      </c>
      <c r="J82" s="14">
        <v>17</v>
      </c>
      <c r="K82" s="14">
        <v>-4</v>
      </c>
      <c r="L82" s="14">
        <v>-55</v>
      </c>
      <c r="M82" s="14">
        <v>-62</v>
      </c>
      <c r="N82" s="14" t="s">
        <v>148</v>
      </c>
      <c r="O82" s="14">
        <v>-60</v>
      </c>
      <c r="P82" s="14">
        <v>9</v>
      </c>
      <c r="Q82" s="14">
        <v>45</v>
      </c>
      <c r="R82" s="14" t="s">
        <v>148</v>
      </c>
      <c r="S82" s="14">
        <v>35</v>
      </c>
      <c r="T82" s="14">
        <v>6</v>
      </c>
      <c r="U82" s="14">
        <v>-16</v>
      </c>
      <c r="V82" s="14">
        <v>-5</v>
      </c>
      <c r="W82" s="14">
        <v>-4</v>
      </c>
      <c r="X82" s="14">
        <v>15</v>
      </c>
      <c r="Y82" s="14" t="s">
        <v>148</v>
      </c>
      <c r="Z82" s="14">
        <v>-26</v>
      </c>
      <c r="AA82" s="14">
        <v>-16</v>
      </c>
    </row>
    <row r="83" spans="1:27" x14ac:dyDescent="0.25">
      <c r="A83" s="6" t="s">
        <v>1846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 x14ac:dyDescent="0.25">
      <c r="A84" s="10" t="s">
        <v>1829</v>
      </c>
      <c r="B84" s="10"/>
      <c r="C84" s="13">
        <v>0</v>
      </c>
      <c r="D84" s="13">
        <v>0</v>
      </c>
      <c r="E84" s="13">
        <v>0</v>
      </c>
      <c r="F84" s="13">
        <v>0</v>
      </c>
      <c r="G84" s="13">
        <v>178</v>
      </c>
      <c r="H84" s="13">
        <v>479</v>
      </c>
      <c r="I84" s="13" t="s">
        <v>148</v>
      </c>
      <c r="J84" s="13">
        <v>538</v>
      </c>
      <c r="K84" s="13">
        <v>617</v>
      </c>
      <c r="L84" s="13">
        <v>476</v>
      </c>
      <c r="M84" s="13">
        <v>534</v>
      </c>
      <c r="N84" s="13" t="s">
        <v>148</v>
      </c>
      <c r="O84" s="13">
        <v>630</v>
      </c>
      <c r="P84" s="13">
        <v>451</v>
      </c>
      <c r="Q84" s="13">
        <v>594</v>
      </c>
      <c r="R84" s="13">
        <v>627</v>
      </c>
      <c r="S84" s="13">
        <v>616</v>
      </c>
      <c r="T84" s="13">
        <v>392</v>
      </c>
      <c r="U84" s="13">
        <v>600</v>
      </c>
      <c r="V84" s="13">
        <v>567</v>
      </c>
      <c r="W84" s="13">
        <v>629</v>
      </c>
      <c r="X84" s="13">
        <v>394</v>
      </c>
      <c r="Y84" s="13" t="s">
        <v>148</v>
      </c>
      <c r="Z84" s="13">
        <v>564</v>
      </c>
      <c r="AA84" s="13">
        <v>624</v>
      </c>
    </row>
    <row r="85" spans="1:27" x14ac:dyDescent="0.25">
      <c r="A85" s="10" t="s">
        <v>1830</v>
      </c>
      <c r="B85" s="10"/>
      <c r="C85" s="14" t="s">
        <v>148</v>
      </c>
      <c r="D85" s="14" t="s">
        <v>148</v>
      </c>
      <c r="E85" s="14" t="s">
        <v>148</v>
      </c>
      <c r="F85" s="14" t="s">
        <v>148</v>
      </c>
      <c r="G85" s="14" t="s">
        <v>148</v>
      </c>
      <c r="H85" s="14" t="s">
        <v>148</v>
      </c>
      <c r="I85" s="14" t="s">
        <v>148</v>
      </c>
      <c r="J85" s="14" t="s">
        <v>148</v>
      </c>
      <c r="K85" s="14" t="s">
        <v>148</v>
      </c>
      <c r="L85" s="14">
        <v>-1</v>
      </c>
      <c r="M85" s="14">
        <v>-5</v>
      </c>
      <c r="N85" s="14" t="s">
        <v>148</v>
      </c>
      <c r="O85" s="14">
        <v>2</v>
      </c>
      <c r="P85" s="14">
        <v>-5</v>
      </c>
      <c r="Q85" s="14">
        <v>11</v>
      </c>
      <c r="R85" s="14" t="s">
        <v>148</v>
      </c>
      <c r="S85" s="14">
        <v>-2</v>
      </c>
      <c r="T85" s="14">
        <v>-13</v>
      </c>
      <c r="U85" s="14">
        <v>1</v>
      </c>
      <c r="V85" s="14">
        <v>-10</v>
      </c>
      <c r="W85" s="14">
        <v>2</v>
      </c>
      <c r="X85" s="14">
        <v>1</v>
      </c>
      <c r="Y85" s="14" t="s">
        <v>148</v>
      </c>
      <c r="Z85" s="14">
        <v>-1</v>
      </c>
      <c r="AA85" s="14">
        <v>-1</v>
      </c>
    </row>
    <row r="86" spans="1:27" x14ac:dyDescent="0.25">
      <c r="A86" s="10" t="s">
        <v>1831</v>
      </c>
      <c r="B86" s="10"/>
      <c r="C86" s="14" t="s">
        <v>148</v>
      </c>
      <c r="D86" s="14" t="s">
        <v>148</v>
      </c>
      <c r="E86" s="14" t="s">
        <v>148</v>
      </c>
      <c r="F86" s="14" t="s">
        <v>148</v>
      </c>
      <c r="G86" s="14" t="s">
        <v>148</v>
      </c>
      <c r="H86" s="14" t="s">
        <v>148</v>
      </c>
      <c r="I86" s="14" t="s">
        <v>148</v>
      </c>
      <c r="J86" s="14" t="s">
        <v>148</v>
      </c>
      <c r="K86" s="14" t="s">
        <v>148</v>
      </c>
      <c r="L86" s="14">
        <v>-1</v>
      </c>
      <c r="M86" s="14">
        <v>-5</v>
      </c>
      <c r="N86" s="14" t="s">
        <v>148</v>
      </c>
      <c r="O86" s="14">
        <v>2</v>
      </c>
      <c r="P86" s="14">
        <v>-5</v>
      </c>
      <c r="Q86" s="14">
        <v>11</v>
      </c>
      <c r="R86" s="14">
        <v>3</v>
      </c>
      <c r="S86" s="14">
        <v>-2</v>
      </c>
      <c r="T86" s="14">
        <v>-13</v>
      </c>
      <c r="U86" s="14">
        <v>1</v>
      </c>
      <c r="V86" s="14">
        <v>-10</v>
      </c>
      <c r="W86" s="14">
        <v>2</v>
      </c>
      <c r="X86" s="14">
        <v>1</v>
      </c>
      <c r="Y86" s="14" t="s">
        <v>148</v>
      </c>
      <c r="Z86" s="14">
        <v>-1</v>
      </c>
      <c r="AA86" s="14">
        <v>-1</v>
      </c>
    </row>
    <row r="87" spans="1:27" x14ac:dyDescent="0.25">
      <c r="A87" s="6" t="s">
        <v>1847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 x14ac:dyDescent="0.25">
      <c r="A88" s="10" t="s">
        <v>1829</v>
      </c>
      <c r="B88" s="10"/>
      <c r="C88" s="13">
        <v>11</v>
      </c>
      <c r="D88" s="13">
        <v>31</v>
      </c>
      <c r="E88" s="13">
        <v>52</v>
      </c>
      <c r="F88" s="13">
        <v>61</v>
      </c>
      <c r="G88" s="13">
        <v>71</v>
      </c>
      <c r="H88" s="13">
        <v>86</v>
      </c>
      <c r="I88" s="13" t="s">
        <v>148</v>
      </c>
      <c r="J88" s="13">
        <v>80</v>
      </c>
      <c r="K88" s="13">
        <v>103</v>
      </c>
      <c r="L88" s="13">
        <v>106</v>
      </c>
      <c r="M88" s="13">
        <v>107</v>
      </c>
      <c r="N88" s="13" t="s">
        <v>148</v>
      </c>
      <c r="O88" s="13">
        <v>115</v>
      </c>
      <c r="P88" s="13">
        <v>108</v>
      </c>
      <c r="Q88" s="13">
        <v>116</v>
      </c>
      <c r="R88" s="13">
        <v>117</v>
      </c>
      <c r="S88" s="13">
        <v>119</v>
      </c>
      <c r="T88" s="13">
        <v>164</v>
      </c>
      <c r="U88" s="13">
        <v>150</v>
      </c>
      <c r="V88" s="13">
        <v>152</v>
      </c>
      <c r="W88" s="13">
        <v>160</v>
      </c>
      <c r="X88" s="13">
        <v>168</v>
      </c>
      <c r="Y88" s="13" t="s">
        <v>148</v>
      </c>
      <c r="Z88" s="13">
        <v>166</v>
      </c>
      <c r="AA88" s="13">
        <v>294</v>
      </c>
    </row>
    <row r="89" spans="1:27" x14ac:dyDescent="0.25">
      <c r="A89" s="10" t="s">
        <v>1830</v>
      </c>
      <c r="B89" s="10"/>
      <c r="C89" s="14" t="s">
        <v>148</v>
      </c>
      <c r="D89" s="14" t="s">
        <v>148</v>
      </c>
      <c r="E89" s="14" t="s">
        <v>148</v>
      </c>
      <c r="F89" s="14" t="s">
        <v>148</v>
      </c>
      <c r="G89" s="14" t="s">
        <v>148</v>
      </c>
      <c r="H89" s="14" t="s">
        <v>148</v>
      </c>
      <c r="I89" s="14" t="s">
        <v>148</v>
      </c>
      <c r="J89" s="14">
        <v>31</v>
      </c>
      <c r="K89" s="14">
        <v>45</v>
      </c>
      <c r="L89" s="14">
        <v>23</v>
      </c>
      <c r="M89" s="14">
        <v>73</v>
      </c>
      <c r="N89" s="14" t="s">
        <v>148</v>
      </c>
      <c r="O89" s="14">
        <v>12</v>
      </c>
      <c r="P89" s="14">
        <v>2</v>
      </c>
      <c r="Q89" s="14">
        <v>8</v>
      </c>
      <c r="R89" s="14" t="s">
        <v>148</v>
      </c>
      <c r="S89" s="14">
        <v>3</v>
      </c>
      <c r="T89" s="14">
        <v>52</v>
      </c>
      <c r="U89" s="14">
        <v>29</v>
      </c>
      <c r="V89" s="14">
        <v>30</v>
      </c>
      <c r="W89" s="14">
        <v>34</v>
      </c>
      <c r="X89" s="14">
        <v>2</v>
      </c>
      <c r="Y89" s="14" t="s">
        <v>148</v>
      </c>
      <c r="Z89" s="14">
        <v>9</v>
      </c>
      <c r="AA89" s="14">
        <v>84</v>
      </c>
    </row>
    <row r="90" spans="1:27" x14ac:dyDescent="0.25">
      <c r="A90" s="10" t="s">
        <v>1831</v>
      </c>
      <c r="B90" s="10"/>
      <c r="C90" s="14" t="s">
        <v>148</v>
      </c>
      <c r="D90" s="14" t="s">
        <v>148</v>
      </c>
      <c r="E90" s="14" t="s">
        <v>148</v>
      </c>
      <c r="F90" s="14" t="s">
        <v>148</v>
      </c>
      <c r="G90" s="14" t="s">
        <v>148</v>
      </c>
      <c r="H90" s="14" t="s">
        <v>148</v>
      </c>
      <c r="I90" s="14" t="s">
        <v>148</v>
      </c>
      <c r="J90" s="14">
        <v>31</v>
      </c>
      <c r="K90" s="14">
        <v>45</v>
      </c>
      <c r="L90" s="14">
        <v>23</v>
      </c>
      <c r="M90" s="14">
        <v>73</v>
      </c>
      <c r="N90" s="14" t="s">
        <v>148</v>
      </c>
      <c r="O90" s="14">
        <v>12</v>
      </c>
      <c r="P90" s="14">
        <v>2</v>
      </c>
      <c r="Q90" s="14">
        <v>8</v>
      </c>
      <c r="R90" s="14" t="s">
        <v>148</v>
      </c>
      <c r="S90" s="14">
        <v>3</v>
      </c>
      <c r="T90" s="14">
        <v>52</v>
      </c>
      <c r="U90" s="14">
        <v>29</v>
      </c>
      <c r="V90" s="14">
        <v>30</v>
      </c>
      <c r="W90" s="14">
        <v>34</v>
      </c>
      <c r="X90" s="14">
        <v>2</v>
      </c>
      <c r="Y90" s="14" t="s">
        <v>148</v>
      </c>
      <c r="Z90" s="14">
        <v>9</v>
      </c>
      <c r="AA90" s="14">
        <v>84</v>
      </c>
    </row>
    <row r="91" spans="1:27" x14ac:dyDescent="0.25">
      <c r="A91" s="6" t="s">
        <v>1848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 x14ac:dyDescent="0.25">
      <c r="A92" s="10" t="s">
        <v>1829</v>
      </c>
      <c r="B92" s="10"/>
      <c r="C92" s="13">
        <v>0</v>
      </c>
      <c r="D92" s="13">
        <v>0</v>
      </c>
      <c r="E92" s="13">
        <v>0</v>
      </c>
      <c r="F92" s="13">
        <v>43</v>
      </c>
      <c r="G92" s="13">
        <v>84</v>
      </c>
      <c r="H92" s="13">
        <v>115</v>
      </c>
      <c r="I92" s="13" t="s">
        <v>148</v>
      </c>
      <c r="J92" s="13">
        <v>231</v>
      </c>
      <c r="K92" s="13">
        <v>280</v>
      </c>
      <c r="L92" s="13">
        <v>294</v>
      </c>
      <c r="M92" s="13">
        <v>294</v>
      </c>
      <c r="N92" s="13" t="s">
        <v>148</v>
      </c>
      <c r="O92" s="13">
        <v>304</v>
      </c>
      <c r="P92" s="13">
        <v>244</v>
      </c>
      <c r="Q92" s="13">
        <v>243</v>
      </c>
      <c r="R92" s="13">
        <v>209</v>
      </c>
      <c r="S92" s="13">
        <v>205</v>
      </c>
      <c r="T92" s="13">
        <v>202</v>
      </c>
      <c r="U92" s="13">
        <v>197</v>
      </c>
      <c r="V92" s="13">
        <v>213</v>
      </c>
      <c r="W92" s="13">
        <v>188</v>
      </c>
      <c r="X92" s="13">
        <v>202</v>
      </c>
      <c r="Y92" s="13" t="s">
        <v>148</v>
      </c>
      <c r="Z92" s="13">
        <v>195</v>
      </c>
      <c r="AA92" s="13">
        <v>173</v>
      </c>
    </row>
    <row r="93" spans="1:27" x14ac:dyDescent="0.25">
      <c r="A93" s="10" t="s">
        <v>1830</v>
      </c>
      <c r="B93" s="10"/>
      <c r="C93" s="14" t="s">
        <v>148</v>
      </c>
      <c r="D93" s="14" t="s">
        <v>148</v>
      </c>
      <c r="E93" s="14" t="s">
        <v>148</v>
      </c>
      <c r="F93" s="14" t="s">
        <v>148</v>
      </c>
      <c r="G93" s="14" t="s">
        <v>148</v>
      </c>
      <c r="H93" s="14" t="s">
        <v>148</v>
      </c>
      <c r="I93" s="14" t="s">
        <v>148</v>
      </c>
      <c r="J93" s="14">
        <v>0</v>
      </c>
      <c r="K93" s="14" t="s">
        <v>148</v>
      </c>
      <c r="L93" s="14">
        <v>0</v>
      </c>
      <c r="M93" s="14">
        <v>71</v>
      </c>
      <c r="N93" s="14" t="s">
        <v>148</v>
      </c>
      <c r="O93" s="14">
        <v>9</v>
      </c>
      <c r="P93" s="14">
        <v>-17</v>
      </c>
      <c r="Q93" s="14">
        <v>-17</v>
      </c>
      <c r="R93" s="14" t="s">
        <v>148</v>
      </c>
      <c r="S93" s="14">
        <v>-33</v>
      </c>
      <c r="T93" s="14">
        <v>-17</v>
      </c>
      <c r="U93" s="14">
        <v>-19</v>
      </c>
      <c r="V93" s="14">
        <v>2</v>
      </c>
      <c r="W93" s="14">
        <v>-8</v>
      </c>
      <c r="X93" s="14">
        <v>0</v>
      </c>
      <c r="Y93" s="14" t="s">
        <v>148</v>
      </c>
      <c r="Z93" s="14">
        <v>-8</v>
      </c>
      <c r="AA93" s="14">
        <v>-8</v>
      </c>
    </row>
    <row r="94" spans="1:27" x14ac:dyDescent="0.25">
      <c r="A94" s="10" t="s">
        <v>1831</v>
      </c>
      <c r="B94" s="10"/>
      <c r="C94" s="14" t="s">
        <v>148</v>
      </c>
      <c r="D94" s="14" t="s">
        <v>148</v>
      </c>
      <c r="E94" s="14" t="s">
        <v>148</v>
      </c>
      <c r="F94" s="14" t="s">
        <v>148</v>
      </c>
      <c r="G94" s="14" t="s">
        <v>148</v>
      </c>
      <c r="H94" s="14" t="s">
        <v>148</v>
      </c>
      <c r="I94" s="14" t="s">
        <v>148</v>
      </c>
      <c r="J94" s="14">
        <v>0</v>
      </c>
      <c r="K94" s="14" t="s">
        <v>148</v>
      </c>
      <c r="L94" s="14">
        <v>0</v>
      </c>
      <c r="M94" s="14">
        <v>71</v>
      </c>
      <c r="N94" s="14" t="s">
        <v>148</v>
      </c>
      <c r="O94" s="14">
        <v>9</v>
      </c>
      <c r="P94" s="14">
        <v>-17</v>
      </c>
      <c r="Q94" s="14">
        <v>-17</v>
      </c>
      <c r="R94" s="14" t="s">
        <v>148</v>
      </c>
      <c r="S94" s="14">
        <v>-33</v>
      </c>
      <c r="T94" s="14">
        <v>-17</v>
      </c>
      <c r="U94" s="14">
        <v>-19</v>
      </c>
      <c r="V94" s="14">
        <v>2</v>
      </c>
      <c r="W94" s="14">
        <v>-8</v>
      </c>
      <c r="X94" s="14">
        <v>0</v>
      </c>
      <c r="Y94" s="14" t="s">
        <v>148</v>
      </c>
      <c r="Z94" s="14">
        <v>-8</v>
      </c>
      <c r="AA94" s="14">
        <v>-8</v>
      </c>
    </row>
    <row r="95" spans="1:27" x14ac:dyDescent="0.25">
      <c r="A95" s="6" t="s">
        <v>1849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 x14ac:dyDescent="0.25">
      <c r="A96" s="10" t="s">
        <v>1829</v>
      </c>
      <c r="B96" s="10"/>
      <c r="C96" s="13" t="s">
        <v>148</v>
      </c>
      <c r="D96" s="13" t="s">
        <v>148</v>
      </c>
      <c r="E96" s="13" t="s">
        <v>148</v>
      </c>
      <c r="F96" s="13" t="s">
        <v>148</v>
      </c>
      <c r="G96" s="13" t="s">
        <v>148</v>
      </c>
      <c r="H96" s="13" t="s">
        <v>148</v>
      </c>
      <c r="I96" s="13" t="s">
        <v>148</v>
      </c>
      <c r="J96" s="13" t="s">
        <v>148</v>
      </c>
      <c r="K96" s="13" t="s">
        <v>148</v>
      </c>
      <c r="L96" s="13" t="s">
        <v>148</v>
      </c>
      <c r="M96" s="13" t="s">
        <v>148</v>
      </c>
      <c r="N96" s="13" t="s">
        <v>148</v>
      </c>
      <c r="O96" s="13">
        <v>45</v>
      </c>
      <c r="P96" s="13">
        <v>62</v>
      </c>
      <c r="Q96" s="13">
        <v>77</v>
      </c>
      <c r="R96" s="13">
        <v>75</v>
      </c>
      <c r="S96" s="13">
        <v>71</v>
      </c>
      <c r="T96" s="13">
        <v>74</v>
      </c>
      <c r="U96" s="13">
        <v>77</v>
      </c>
      <c r="V96" s="13">
        <v>52</v>
      </c>
      <c r="W96" s="13">
        <v>77</v>
      </c>
      <c r="X96" s="13">
        <v>82</v>
      </c>
      <c r="Y96" s="13" t="s">
        <v>148</v>
      </c>
      <c r="Z96" s="13">
        <v>98</v>
      </c>
      <c r="AA96" s="13">
        <v>85</v>
      </c>
    </row>
    <row r="97" spans="1:27" x14ac:dyDescent="0.25">
      <c r="A97" s="10" t="s">
        <v>1830</v>
      </c>
      <c r="B97" s="10"/>
      <c r="C97" s="14" t="s">
        <v>148</v>
      </c>
      <c r="D97" s="14" t="s">
        <v>148</v>
      </c>
      <c r="E97" s="14" t="s">
        <v>148</v>
      </c>
      <c r="F97" s="14" t="s">
        <v>148</v>
      </c>
      <c r="G97" s="14" t="s">
        <v>148</v>
      </c>
      <c r="H97" s="14" t="s">
        <v>148</v>
      </c>
      <c r="I97" s="14" t="s">
        <v>148</v>
      </c>
      <c r="J97" s="14" t="s">
        <v>148</v>
      </c>
      <c r="K97" s="14" t="s">
        <v>148</v>
      </c>
      <c r="L97" s="14" t="s">
        <v>148</v>
      </c>
      <c r="M97" s="14" t="s">
        <v>148</v>
      </c>
      <c r="N97" s="14" t="s">
        <v>148</v>
      </c>
      <c r="O97" s="14">
        <v>0</v>
      </c>
      <c r="P97" s="14" t="s">
        <v>148</v>
      </c>
      <c r="Q97" s="14" t="s">
        <v>148</v>
      </c>
      <c r="R97" s="14">
        <v>0</v>
      </c>
      <c r="S97" s="14">
        <v>58</v>
      </c>
      <c r="T97" s="14">
        <v>19</v>
      </c>
      <c r="U97" s="14">
        <v>0</v>
      </c>
      <c r="V97" s="14">
        <v>-31</v>
      </c>
      <c r="W97" s="14">
        <v>8</v>
      </c>
      <c r="X97" s="14">
        <v>11</v>
      </c>
      <c r="Y97" s="14" t="s">
        <v>148</v>
      </c>
      <c r="Z97" s="14">
        <v>88</v>
      </c>
      <c r="AA97" s="14">
        <v>10</v>
      </c>
    </row>
    <row r="98" spans="1:27" x14ac:dyDescent="0.25">
      <c r="A98" s="10" t="s">
        <v>1831</v>
      </c>
      <c r="B98" s="10"/>
      <c r="C98" s="14" t="s">
        <v>148</v>
      </c>
      <c r="D98" s="14" t="s">
        <v>148</v>
      </c>
      <c r="E98" s="14" t="s">
        <v>148</v>
      </c>
      <c r="F98" s="14" t="s">
        <v>148</v>
      </c>
      <c r="G98" s="14" t="s">
        <v>148</v>
      </c>
      <c r="H98" s="14" t="s">
        <v>148</v>
      </c>
      <c r="I98" s="14" t="s">
        <v>148</v>
      </c>
      <c r="J98" s="14" t="s">
        <v>148</v>
      </c>
      <c r="K98" s="14" t="s">
        <v>148</v>
      </c>
      <c r="L98" s="14" t="s">
        <v>148</v>
      </c>
      <c r="M98" s="14" t="s">
        <v>148</v>
      </c>
      <c r="N98" s="14" t="s">
        <v>148</v>
      </c>
      <c r="O98" s="14">
        <v>0</v>
      </c>
      <c r="P98" s="14" t="s">
        <v>148</v>
      </c>
      <c r="Q98" s="14" t="s">
        <v>148</v>
      </c>
      <c r="R98" s="14">
        <v>0</v>
      </c>
      <c r="S98" s="14">
        <v>58</v>
      </c>
      <c r="T98" s="14">
        <v>19</v>
      </c>
      <c r="U98" s="14">
        <v>0</v>
      </c>
      <c r="V98" s="14">
        <v>-31</v>
      </c>
      <c r="W98" s="14">
        <v>8</v>
      </c>
      <c r="X98" s="14">
        <v>11</v>
      </c>
      <c r="Y98" s="14" t="s">
        <v>148</v>
      </c>
      <c r="Z98" s="14">
        <v>88</v>
      </c>
      <c r="AA98" s="14">
        <v>10</v>
      </c>
    </row>
    <row r="99" spans="1:27" x14ac:dyDescent="0.25">
      <c r="A99" s="6" t="s">
        <v>1850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 x14ac:dyDescent="0.25">
      <c r="A100" s="10" t="s">
        <v>1829</v>
      </c>
      <c r="B100" s="10"/>
      <c r="C100" s="13" t="s">
        <v>148</v>
      </c>
      <c r="D100" s="13" t="s">
        <v>148</v>
      </c>
      <c r="E100" s="13" t="s">
        <v>148</v>
      </c>
      <c r="F100" s="13" t="s">
        <v>148</v>
      </c>
      <c r="G100" s="13" t="s">
        <v>148</v>
      </c>
      <c r="H100" s="13" t="s">
        <v>148</v>
      </c>
      <c r="I100" s="13" t="s">
        <v>148</v>
      </c>
      <c r="J100" s="13" t="s">
        <v>148</v>
      </c>
      <c r="K100" s="13" t="s">
        <v>148</v>
      </c>
      <c r="L100" s="13" t="s">
        <v>148</v>
      </c>
      <c r="M100" s="13" t="s">
        <v>148</v>
      </c>
      <c r="N100" s="13" t="s">
        <v>148</v>
      </c>
      <c r="O100" s="13" t="s">
        <v>148</v>
      </c>
      <c r="P100" s="13">
        <v>7</v>
      </c>
      <c r="Q100" s="13">
        <v>29</v>
      </c>
      <c r="R100" s="13">
        <v>55</v>
      </c>
      <c r="S100" s="13">
        <v>79</v>
      </c>
      <c r="T100" s="13">
        <v>96</v>
      </c>
      <c r="U100" s="13">
        <v>133</v>
      </c>
      <c r="V100" s="13">
        <v>161</v>
      </c>
      <c r="W100" s="13">
        <v>177</v>
      </c>
      <c r="X100" s="13">
        <v>173</v>
      </c>
      <c r="Y100" s="13" t="s">
        <v>148</v>
      </c>
      <c r="Z100" s="13">
        <v>269</v>
      </c>
      <c r="AA100" s="13">
        <v>296</v>
      </c>
    </row>
    <row r="101" spans="1:27" x14ac:dyDescent="0.25">
      <c r="A101" s="10" t="s">
        <v>1830</v>
      </c>
      <c r="B101" s="10"/>
      <c r="C101" s="14" t="s">
        <v>148</v>
      </c>
      <c r="D101" s="14" t="s">
        <v>148</v>
      </c>
      <c r="E101" s="14" t="s">
        <v>148</v>
      </c>
      <c r="F101" s="14" t="s">
        <v>148</v>
      </c>
      <c r="G101" s="14" t="s">
        <v>148</v>
      </c>
      <c r="H101" s="14" t="s">
        <v>148</v>
      </c>
      <c r="I101" s="14" t="s">
        <v>148</v>
      </c>
      <c r="J101" s="14" t="s">
        <v>148</v>
      </c>
      <c r="K101" s="14" t="s">
        <v>148</v>
      </c>
      <c r="L101" s="14" t="s">
        <v>148</v>
      </c>
      <c r="M101" s="14" t="s">
        <v>148</v>
      </c>
      <c r="N101" s="14" t="s">
        <v>148</v>
      </c>
      <c r="O101" s="14" t="s">
        <v>148</v>
      </c>
      <c r="P101" s="14" t="s">
        <v>148</v>
      </c>
      <c r="Q101" s="14" t="s">
        <v>148</v>
      </c>
      <c r="R101" s="14">
        <v>0</v>
      </c>
      <c r="S101" s="14" t="s">
        <v>148</v>
      </c>
      <c r="T101" s="14">
        <v>0</v>
      </c>
      <c r="U101" s="14" t="s">
        <v>148</v>
      </c>
      <c r="V101" s="14">
        <v>0</v>
      </c>
      <c r="W101" s="14">
        <v>0</v>
      </c>
      <c r="X101" s="14">
        <v>80</v>
      </c>
      <c r="Y101" s="14" t="s">
        <v>148</v>
      </c>
      <c r="Z101" s="14">
        <v>67</v>
      </c>
      <c r="AA101" s="14">
        <v>67</v>
      </c>
    </row>
    <row r="102" spans="1:27" x14ac:dyDescent="0.25">
      <c r="A102" s="10" t="s">
        <v>1831</v>
      </c>
      <c r="B102" s="10"/>
      <c r="C102" s="14" t="s">
        <v>148</v>
      </c>
      <c r="D102" s="14" t="s">
        <v>148</v>
      </c>
      <c r="E102" s="14" t="s">
        <v>148</v>
      </c>
      <c r="F102" s="14" t="s">
        <v>148</v>
      </c>
      <c r="G102" s="14" t="s">
        <v>148</v>
      </c>
      <c r="H102" s="14" t="s">
        <v>148</v>
      </c>
      <c r="I102" s="14" t="s">
        <v>148</v>
      </c>
      <c r="J102" s="14" t="s">
        <v>148</v>
      </c>
      <c r="K102" s="14" t="s">
        <v>148</v>
      </c>
      <c r="L102" s="14" t="s">
        <v>148</v>
      </c>
      <c r="M102" s="14" t="s">
        <v>148</v>
      </c>
      <c r="N102" s="14" t="s">
        <v>148</v>
      </c>
      <c r="O102" s="14" t="s">
        <v>148</v>
      </c>
      <c r="P102" s="14" t="s">
        <v>148</v>
      </c>
      <c r="Q102" s="14" t="s">
        <v>148</v>
      </c>
      <c r="R102" s="14">
        <v>0</v>
      </c>
      <c r="S102" s="14" t="s">
        <v>148</v>
      </c>
      <c r="T102" s="14">
        <v>0</v>
      </c>
      <c r="U102" s="14" t="s">
        <v>148</v>
      </c>
      <c r="V102" s="14">
        <v>0</v>
      </c>
      <c r="W102" s="14">
        <v>0</v>
      </c>
      <c r="X102" s="14">
        <v>80</v>
      </c>
      <c r="Y102" s="14" t="s">
        <v>148</v>
      </c>
      <c r="Z102" s="14">
        <v>67</v>
      </c>
      <c r="AA102" s="14">
        <v>67</v>
      </c>
    </row>
    <row r="103" spans="1:27" x14ac:dyDescent="0.25">
      <c r="A103" s="6" t="s">
        <v>1851</v>
      </c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 x14ac:dyDescent="0.25">
      <c r="A104" s="10" t="s">
        <v>1829</v>
      </c>
      <c r="B104" s="10"/>
      <c r="C104" s="13" t="s">
        <v>148</v>
      </c>
      <c r="D104" s="13" t="s">
        <v>148</v>
      </c>
      <c r="E104" s="13" t="s">
        <v>148</v>
      </c>
      <c r="F104" s="13" t="s">
        <v>148</v>
      </c>
      <c r="G104" s="13" t="s">
        <v>148</v>
      </c>
      <c r="H104" s="13" t="s">
        <v>148</v>
      </c>
      <c r="I104" s="13" t="s">
        <v>148</v>
      </c>
      <c r="J104" s="13" t="s">
        <v>148</v>
      </c>
      <c r="K104" s="13" t="s">
        <v>148</v>
      </c>
      <c r="L104" s="13" t="s">
        <v>148</v>
      </c>
      <c r="M104" s="13" t="s">
        <v>148</v>
      </c>
      <c r="N104" s="13" t="s">
        <v>148</v>
      </c>
      <c r="O104" s="13" t="s">
        <v>148</v>
      </c>
      <c r="P104" s="13" t="s">
        <v>148</v>
      </c>
      <c r="Q104" s="13" t="s">
        <v>148</v>
      </c>
      <c r="R104" s="13" t="s">
        <v>148</v>
      </c>
      <c r="S104" s="13">
        <v>21</v>
      </c>
      <c r="T104" s="13">
        <v>23</v>
      </c>
      <c r="U104" s="13">
        <v>30</v>
      </c>
      <c r="V104" s="13">
        <v>37</v>
      </c>
      <c r="W104" s="13">
        <v>44</v>
      </c>
      <c r="X104" s="13">
        <v>51</v>
      </c>
      <c r="Y104" s="13" t="s">
        <v>148</v>
      </c>
      <c r="Z104" s="13">
        <v>80</v>
      </c>
      <c r="AA104" s="13">
        <v>81</v>
      </c>
    </row>
    <row r="105" spans="1:27" x14ac:dyDescent="0.25">
      <c r="A105" s="10" t="s">
        <v>1830</v>
      </c>
      <c r="B105" s="10"/>
      <c r="C105" s="14" t="s">
        <v>148</v>
      </c>
      <c r="D105" s="14" t="s">
        <v>148</v>
      </c>
      <c r="E105" s="14" t="s">
        <v>148</v>
      </c>
      <c r="F105" s="14" t="s">
        <v>148</v>
      </c>
      <c r="G105" s="14" t="s">
        <v>148</v>
      </c>
      <c r="H105" s="14" t="s">
        <v>148</v>
      </c>
      <c r="I105" s="14" t="s">
        <v>148</v>
      </c>
      <c r="J105" s="14" t="s">
        <v>148</v>
      </c>
      <c r="K105" s="14" t="s">
        <v>148</v>
      </c>
      <c r="L105" s="14" t="s">
        <v>148</v>
      </c>
      <c r="M105" s="14" t="s">
        <v>148</v>
      </c>
      <c r="N105" s="14" t="s">
        <v>148</v>
      </c>
      <c r="O105" s="14" t="s">
        <v>148</v>
      </c>
      <c r="P105" s="14" t="s">
        <v>148</v>
      </c>
      <c r="Q105" s="14" t="s">
        <v>148</v>
      </c>
      <c r="R105" s="14" t="s">
        <v>148</v>
      </c>
      <c r="S105" s="14" t="s">
        <v>148</v>
      </c>
      <c r="T105" s="14" t="s">
        <v>148</v>
      </c>
      <c r="U105" s="14" t="s">
        <v>148</v>
      </c>
      <c r="V105" s="14" t="s">
        <v>148</v>
      </c>
      <c r="W105" s="14" t="s">
        <v>148</v>
      </c>
      <c r="X105" s="14" t="s">
        <v>148</v>
      </c>
      <c r="Y105" s="14" t="s">
        <v>148</v>
      </c>
      <c r="Z105" s="14" t="s">
        <v>148</v>
      </c>
      <c r="AA105" s="14">
        <v>84</v>
      </c>
    </row>
    <row r="106" spans="1:27" x14ac:dyDescent="0.25">
      <c r="A106" s="10" t="s">
        <v>1831</v>
      </c>
      <c r="B106" s="10"/>
      <c r="C106" s="14" t="s">
        <v>148</v>
      </c>
      <c r="D106" s="14" t="s">
        <v>148</v>
      </c>
      <c r="E106" s="14" t="s">
        <v>148</v>
      </c>
      <c r="F106" s="14" t="s">
        <v>148</v>
      </c>
      <c r="G106" s="14" t="s">
        <v>148</v>
      </c>
      <c r="H106" s="14" t="s">
        <v>148</v>
      </c>
      <c r="I106" s="14" t="s">
        <v>148</v>
      </c>
      <c r="J106" s="14" t="s">
        <v>148</v>
      </c>
      <c r="K106" s="14" t="s">
        <v>148</v>
      </c>
      <c r="L106" s="14" t="s">
        <v>148</v>
      </c>
      <c r="M106" s="14" t="s">
        <v>148</v>
      </c>
      <c r="N106" s="14" t="s">
        <v>148</v>
      </c>
      <c r="O106" s="14" t="s">
        <v>148</v>
      </c>
      <c r="P106" s="14" t="s">
        <v>148</v>
      </c>
      <c r="Q106" s="14" t="s">
        <v>148</v>
      </c>
      <c r="R106" s="14" t="s">
        <v>148</v>
      </c>
      <c r="S106" s="14" t="s">
        <v>148</v>
      </c>
      <c r="T106" s="14" t="s">
        <v>148</v>
      </c>
      <c r="U106" s="14" t="s">
        <v>148</v>
      </c>
      <c r="V106" s="14" t="s">
        <v>148</v>
      </c>
      <c r="W106" s="14" t="s">
        <v>148</v>
      </c>
      <c r="X106" s="14" t="s">
        <v>148</v>
      </c>
      <c r="Y106" s="14" t="s">
        <v>148</v>
      </c>
      <c r="Z106" s="14" t="s">
        <v>148</v>
      </c>
      <c r="AA106" s="14">
        <v>84</v>
      </c>
    </row>
    <row r="107" spans="1:27" x14ac:dyDescent="0.25">
      <c r="A107" s="6" t="s">
        <v>1852</v>
      </c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 x14ac:dyDescent="0.25">
      <c r="A108" s="10" t="s">
        <v>1829</v>
      </c>
      <c r="B108" s="10"/>
      <c r="C108" s="13" t="s">
        <v>148</v>
      </c>
      <c r="D108" s="13" t="s">
        <v>148</v>
      </c>
      <c r="E108" s="13" t="s">
        <v>148</v>
      </c>
      <c r="F108" s="13" t="s">
        <v>148</v>
      </c>
      <c r="G108" s="13" t="s">
        <v>148</v>
      </c>
      <c r="H108" s="13" t="s">
        <v>148</v>
      </c>
      <c r="I108" s="13" t="s">
        <v>148</v>
      </c>
      <c r="J108" s="13" t="s">
        <v>148</v>
      </c>
      <c r="K108" s="13" t="s">
        <v>148</v>
      </c>
      <c r="L108" s="13" t="s">
        <v>148</v>
      </c>
      <c r="M108" s="13" t="s">
        <v>148</v>
      </c>
      <c r="N108" s="13" t="s">
        <v>148</v>
      </c>
      <c r="O108" s="13" t="s">
        <v>148</v>
      </c>
      <c r="P108" s="13" t="s">
        <v>148</v>
      </c>
      <c r="Q108" s="13" t="s">
        <v>148</v>
      </c>
      <c r="R108" s="13" t="s">
        <v>148</v>
      </c>
      <c r="S108" s="13" t="s">
        <v>148</v>
      </c>
      <c r="T108" s="13" t="s">
        <v>148</v>
      </c>
      <c r="U108" s="13" t="s">
        <v>148</v>
      </c>
      <c r="V108" s="13" t="s">
        <v>148</v>
      </c>
      <c r="W108" s="13">
        <v>448</v>
      </c>
      <c r="X108" s="13">
        <v>424</v>
      </c>
      <c r="Y108" s="13" t="s">
        <v>148</v>
      </c>
      <c r="Z108" s="13">
        <v>488</v>
      </c>
      <c r="AA108" s="13">
        <v>460</v>
      </c>
    </row>
    <row r="109" spans="1:27" x14ac:dyDescent="0.25">
      <c r="A109" s="10" t="s">
        <v>1830</v>
      </c>
      <c r="B109" s="10"/>
      <c r="C109" s="14" t="s">
        <v>148</v>
      </c>
      <c r="D109" s="14" t="s">
        <v>148</v>
      </c>
      <c r="E109" s="14" t="s">
        <v>148</v>
      </c>
      <c r="F109" s="14" t="s">
        <v>148</v>
      </c>
      <c r="G109" s="14" t="s">
        <v>148</v>
      </c>
      <c r="H109" s="14" t="s">
        <v>148</v>
      </c>
      <c r="I109" s="14" t="s">
        <v>148</v>
      </c>
      <c r="J109" s="14" t="s">
        <v>148</v>
      </c>
      <c r="K109" s="14" t="s">
        <v>148</v>
      </c>
      <c r="L109" s="14" t="s">
        <v>148</v>
      </c>
      <c r="M109" s="14" t="s">
        <v>148</v>
      </c>
      <c r="N109" s="14" t="s">
        <v>148</v>
      </c>
      <c r="O109" s="14" t="s">
        <v>148</v>
      </c>
      <c r="P109" s="14" t="s">
        <v>148</v>
      </c>
      <c r="Q109" s="14" t="s">
        <v>148</v>
      </c>
      <c r="R109" s="14" t="s">
        <v>148</v>
      </c>
      <c r="S109" s="14" t="s">
        <v>148</v>
      </c>
      <c r="T109" s="14" t="s">
        <v>148</v>
      </c>
      <c r="U109" s="14" t="s">
        <v>148</v>
      </c>
      <c r="V109" s="14" t="s">
        <v>148</v>
      </c>
      <c r="W109" s="14" t="s">
        <v>148</v>
      </c>
      <c r="X109" s="14">
        <v>0</v>
      </c>
      <c r="Y109" s="14" t="s">
        <v>148</v>
      </c>
      <c r="Z109" s="14" t="s">
        <v>148</v>
      </c>
      <c r="AA109" s="14">
        <v>3</v>
      </c>
    </row>
    <row r="110" spans="1:27" x14ac:dyDescent="0.25">
      <c r="A110" s="10" t="s">
        <v>1831</v>
      </c>
      <c r="B110" s="10"/>
      <c r="C110" s="14" t="s">
        <v>148</v>
      </c>
      <c r="D110" s="14" t="s">
        <v>148</v>
      </c>
      <c r="E110" s="14" t="s">
        <v>148</v>
      </c>
      <c r="F110" s="14" t="s">
        <v>148</v>
      </c>
      <c r="G110" s="14" t="s">
        <v>148</v>
      </c>
      <c r="H110" s="14" t="s">
        <v>148</v>
      </c>
      <c r="I110" s="14" t="s">
        <v>148</v>
      </c>
      <c r="J110" s="14" t="s">
        <v>148</v>
      </c>
      <c r="K110" s="14" t="s">
        <v>148</v>
      </c>
      <c r="L110" s="14" t="s">
        <v>148</v>
      </c>
      <c r="M110" s="14" t="s">
        <v>148</v>
      </c>
      <c r="N110" s="14" t="s">
        <v>148</v>
      </c>
      <c r="O110" s="14" t="s">
        <v>148</v>
      </c>
      <c r="P110" s="14" t="s">
        <v>148</v>
      </c>
      <c r="Q110" s="14" t="s">
        <v>148</v>
      </c>
      <c r="R110" s="14" t="s">
        <v>148</v>
      </c>
      <c r="S110" s="14" t="s">
        <v>148</v>
      </c>
      <c r="T110" s="14" t="s">
        <v>148</v>
      </c>
      <c r="U110" s="14" t="s">
        <v>148</v>
      </c>
      <c r="V110" s="14" t="s">
        <v>148</v>
      </c>
      <c r="W110" s="14" t="s">
        <v>148</v>
      </c>
      <c r="X110" s="14" t="s">
        <v>148</v>
      </c>
      <c r="Y110" s="14" t="s">
        <v>148</v>
      </c>
      <c r="Z110" s="14" t="s">
        <v>148</v>
      </c>
      <c r="AA110" s="14">
        <v>3</v>
      </c>
    </row>
    <row r="111" spans="1:27" x14ac:dyDescent="0.25">
      <c r="A111" s="6" t="s">
        <v>1853</v>
      </c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 x14ac:dyDescent="0.25">
      <c r="A112" s="10" t="s">
        <v>1829</v>
      </c>
      <c r="B112" s="10"/>
      <c r="C112" s="13" t="s">
        <v>148</v>
      </c>
      <c r="D112" s="13" t="s">
        <v>148</v>
      </c>
      <c r="E112" s="13" t="s">
        <v>148</v>
      </c>
      <c r="F112" s="13" t="s">
        <v>148</v>
      </c>
      <c r="G112" s="13" t="s">
        <v>148</v>
      </c>
      <c r="H112" s="13" t="s">
        <v>148</v>
      </c>
      <c r="I112" s="13" t="s">
        <v>148</v>
      </c>
      <c r="J112" s="13" t="s">
        <v>148</v>
      </c>
      <c r="K112" s="13" t="s">
        <v>148</v>
      </c>
      <c r="L112" s="13" t="s">
        <v>148</v>
      </c>
      <c r="M112" s="13" t="s">
        <v>148</v>
      </c>
      <c r="N112" s="13" t="s">
        <v>148</v>
      </c>
      <c r="O112" s="13" t="s">
        <v>148</v>
      </c>
      <c r="P112" s="13" t="s">
        <v>148</v>
      </c>
      <c r="Q112" s="13" t="s">
        <v>148</v>
      </c>
      <c r="R112" s="13" t="s">
        <v>148</v>
      </c>
      <c r="S112" s="13" t="s">
        <v>148</v>
      </c>
      <c r="T112" s="13" t="s">
        <v>148</v>
      </c>
      <c r="U112" s="13" t="s">
        <v>148</v>
      </c>
      <c r="V112" s="13" t="s">
        <v>148</v>
      </c>
      <c r="W112" s="13">
        <v>272</v>
      </c>
      <c r="X112" s="13">
        <v>235</v>
      </c>
      <c r="Y112" s="13" t="s">
        <v>148</v>
      </c>
      <c r="Z112" s="13">
        <v>310</v>
      </c>
      <c r="AA112" s="13">
        <v>346</v>
      </c>
    </row>
    <row r="113" spans="1:27" x14ac:dyDescent="0.25">
      <c r="A113" s="10" t="s">
        <v>1830</v>
      </c>
      <c r="B113" s="10"/>
      <c r="C113" s="14" t="s">
        <v>148</v>
      </c>
      <c r="D113" s="14" t="s">
        <v>148</v>
      </c>
      <c r="E113" s="14" t="s">
        <v>148</v>
      </c>
      <c r="F113" s="14" t="s">
        <v>148</v>
      </c>
      <c r="G113" s="14" t="s">
        <v>148</v>
      </c>
      <c r="H113" s="14" t="s">
        <v>148</v>
      </c>
      <c r="I113" s="14" t="s">
        <v>148</v>
      </c>
      <c r="J113" s="14" t="s">
        <v>148</v>
      </c>
      <c r="K113" s="14" t="s">
        <v>148</v>
      </c>
      <c r="L113" s="14" t="s">
        <v>148</v>
      </c>
      <c r="M113" s="14" t="s">
        <v>148</v>
      </c>
      <c r="N113" s="14" t="s">
        <v>148</v>
      </c>
      <c r="O113" s="14" t="s">
        <v>148</v>
      </c>
      <c r="P113" s="14" t="s">
        <v>148</v>
      </c>
      <c r="Q113" s="14" t="s">
        <v>148</v>
      </c>
      <c r="R113" s="14" t="s">
        <v>148</v>
      </c>
      <c r="S113" s="14" t="s">
        <v>148</v>
      </c>
      <c r="T113" s="14" t="s">
        <v>148</v>
      </c>
      <c r="U113" s="14" t="s">
        <v>148</v>
      </c>
      <c r="V113" s="14" t="s">
        <v>148</v>
      </c>
      <c r="W113" s="14" t="s">
        <v>148</v>
      </c>
      <c r="X113" s="14">
        <v>0</v>
      </c>
      <c r="Y113" s="14" t="s">
        <v>148</v>
      </c>
      <c r="Z113" s="14" t="s">
        <v>148</v>
      </c>
      <c r="AA113" s="14">
        <v>27</v>
      </c>
    </row>
    <row r="114" spans="1:27" x14ac:dyDescent="0.25">
      <c r="A114" s="10" t="s">
        <v>1831</v>
      </c>
      <c r="B114" s="10"/>
      <c r="C114" s="14" t="s">
        <v>148</v>
      </c>
      <c r="D114" s="14" t="s">
        <v>148</v>
      </c>
      <c r="E114" s="14" t="s">
        <v>148</v>
      </c>
      <c r="F114" s="14" t="s">
        <v>148</v>
      </c>
      <c r="G114" s="14" t="s">
        <v>148</v>
      </c>
      <c r="H114" s="14" t="s">
        <v>148</v>
      </c>
      <c r="I114" s="14" t="s">
        <v>148</v>
      </c>
      <c r="J114" s="14" t="s">
        <v>148</v>
      </c>
      <c r="K114" s="14" t="s">
        <v>148</v>
      </c>
      <c r="L114" s="14" t="s">
        <v>148</v>
      </c>
      <c r="M114" s="14" t="s">
        <v>148</v>
      </c>
      <c r="N114" s="14" t="s">
        <v>148</v>
      </c>
      <c r="O114" s="14" t="s">
        <v>148</v>
      </c>
      <c r="P114" s="14" t="s">
        <v>148</v>
      </c>
      <c r="Q114" s="14" t="s">
        <v>148</v>
      </c>
      <c r="R114" s="14" t="s">
        <v>148</v>
      </c>
      <c r="S114" s="14" t="s">
        <v>148</v>
      </c>
      <c r="T114" s="14" t="s">
        <v>148</v>
      </c>
      <c r="U114" s="14" t="s">
        <v>148</v>
      </c>
      <c r="V114" s="14" t="s">
        <v>148</v>
      </c>
      <c r="W114" s="14" t="s">
        <v>148</v>
      </c>
      <c r="X114" s="14" t="s">
        <v>148</v>
      </c>
      <c r="Y114" s="14" t="s">
        <v>148</v>
      </c>
      <c r="Z114" s="14" t="s">
        <v>148</v>
      </c>
      <c r="AA114" s="14">
        <v>27</v>
      </c>
    </row>
    <row r="115" spans="1:27" x14ac:dyDescent="0.25">
      <c r="A115" s="6" t="s">
        <v>1854</v>
      </c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 x14ac:dyDescent="0.25">
      <c r="A116" s="10" t="s">
        <v>1829</v>
      </c>
      <c r="B116" s="10"/>
      <c r="C116" s="13" t="s">
        <v>148</v>
      </c>
      <c r="D116" s="13" t="s">
        <v>148</v>
      </c>
      <c r="E116" s="13" t="s">
        <v>148</v>
      </c>
      <c r="F116" s="13" t="s">
        <v>148</v>
      </c>
      <c r="G116" s="13" t="s">
        <v>148</v>
      </c>
      <c r="H116" s="13" t="s">
        <v>148</v>
      </c>
      <c r="I116" s="13" t="s">
        <v>148</v>
      </c>
      <c r="J116" s="13" t="s">
        <v>148</v>
      </c>
      <c r="K116" s="13" t="s">
        <v>148</v>
      </c>
      <c r="L116" s="13" t="s">
        <v>148</v>
      </c>
      <c r="M116" s="13" t="s">
        <v>148</v>
      </c>
      <c r="N116" s="13" t="s">
        <v>148</v>
      </c>
      <c r="O116" s="13" t="s">
        <v>148</v>
      </c>
      <c r="P116" s="13" t="s">
        <v>148</v>
      </c>
      <c r="Q116" s="13" t="s">
        <v>148</v>
      </c>
      <c r="R116" s="13" t="s">
        <v>148</v>
      </c>
      <c r="S116" s="13" t="s">
        <v>148</v>
      </c>
      <c r="T116" s="13" t="s">
        <v>148</v>
      </c>
      <c r="U116" s="13" t="s">
        <v>148</v>
      </c>
      <c r="V116" s="13" t="s">
        <v>148</v>
      </c>
      <c r="W116" s="13">
        <v>65</v>
      </c>
      <c r="X116" s="13">
        <v>80</v>
      </c>
      <c r="Y116" s="13" t="s">
        <v>148</v>
      </c>
      <c r="Z116" s="13">
        <v>106</v>
      </c>
      <c r="AA116" s="13">
        <v>101</v>
      </c>
    </row>
    <row r="117" spans="1:27" x14ac:dyDescent="0.25">
      <c r="A117" s="10" t="s">
        <v>1830</v>
      </c>
      <c r="B117" s="10"/>
      <c r="C117" s="14" t="s">
        <v>148</v>
      </c>
      <c r="D117" s="14" t="s">
        <v>148</v>
      </c>
      <c r="E117" s="14" t="s">
        <v>148</v>
      </c>
      <c r="F117" s="14" t="s">
        <v>148</v>
      </c>
      <c r="G117" s="14" t="s">
        <v>148</v>
      </c>
      <c r="H117" s="14" t="s">
        <v>148</v>
      </c>
      <c r="I117" s="14" t="s">
        <v>148</v>
      </c>
      <c r="J117" s="14" t="s">
        <v>148</v>
      </c>
      <c r="K117" s="14" t="s">
        <v>148</v>
      </c>
      <c r="L117" s="14" t="s">
        <v>148</v>
      </c>
      <c r="M117" s="14" t="s">
        <v>148</v>
      </c>
      <c r="N117" s="14" t="s">
        <v>148</v>
      </c>
      <c r="O117" s="14" t="s">
        <v>148</v>
      </c>
      <c r="P117" s="14" t="s">
        <v>148</v>
      </c>
      <c r="Q117" s="14" t="s">
        <v>148</v>
      </c>
      <c r="R117" s="14" t="s">
        <v>148</v>
      </c>
      <c r="S117" s="14" t="s">
        <v>148</v>
      </c>
      <c r="T117" s="14" t="s">
        <v>148</v>
      </c>
      <c r="U117" s="14" t="s">
        <v>148</v>
      </c>
      <c r="V117" s="14" t="s">
        <v>148</v>
      </c>
      <c r="W117" s="14" t="s">
        <v>148</v>
      </c>
      <c r="X117" s="14" t="s">
        <v>148</v>
      </c>
      <c r="Y117" s="14" t="s">
        <v>148</v>
      </c>
      <c r="Z117" s="14" t="s">
        <v>148</v>
      </c>
      <c r="AA117" s="14">
        <v>55</v>
      </c>
    </row>
    <row r="118" spans="1:27" x14ac:dyDescent="0.25">
      <c r="A118" s="10" t="s">
        <v>1831</v>
      </c>
      <c r="B118" s="10"/>
      <c r="C118" s="14" t="s">
        <v>148</v>
      </c>
      <c r="D118" s="14" t="s">
        <v>148</v>
      </c>
      <c r="E118" s="14" t="s">
        <v>148</v>
      </c>
      <c r="F118" s="14" t="s">
        <v>148</v>
      </c>
      <c r="G118" s="14" t="s">
        <v>148</v>
      </c>
      <c r="H118" s="14" t="s">
        <v>148</v>
      </c>
      <c r="I118" s="14" t="s">
        <v>148</v>
      </c>
      <c r="J118" s="14" t="s">
        <v>148</v>
      </c>
      <c r="K118" s="14" t="s">
        <v>148</v>
      </c>
      <c r="L118" s="14" t="s">
        <v>148</v>
      </c>
      <c r="M118" s="14" t="s">
        <v>148</v>
      </c>
      <c r="N118" s="14" t="s">
        <v>148</v>
      </c>
      <c r="O118" s="14" t="s">
        <v>148</v>
      </c>
      <c r="P118" s="14" t="s">
        <v>148</v>
      </c>
      <c r="Q118" s="14" t="s">
        <v>148</v>
      </c>
      <c r="R118" s="14" t="s">
        <v>148</v>
      </c>
      <c r="S118" s="14" t="s">
        <v>148</v>
      </c>
      <c r="T118" s="14" t="s">
        <v>148</v>
      </c>
      <c r="U118" s="14" t="s">
        <v>148</v>
      </c>
      <c r="V118" s="14" t="s">
        <v>148</v>
      </c>
      <c r="W118" s="14" t="s">
        <v>148</v>
      </c>
      <c r="X118" s="14" t="s">
        <v>148</v>
      </c>
      <c r="Y118" s="14" t="s">
        <v>148</v>
      </c>
      <c r="Z118" s="14" t="s">
        <v>148</v>
      </c>
      <c r="AA118" s="14">
        <v>55</v>
      </c>
    </row>
    <row r="119" spans="1:27" x14ac:dyDescent="0.25">
      <c r="A119" s="6" t="s">
        <v>1855</v>
      </c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 x14ac:dyDescent="0.25">
      <c r="A120" s="10" t="s">
        <v>1829</v>
      </c>
      <c r="B120" s="10"/>
      <c r="C120" s="13" t="s">
        <v>148</v>
      </c>
      <c r="D120" s="13" t="s">
        <v>148</v>
      </c>
      <c r="E120" s="13" t="s">
        <v>148</v>
      </c>
      <c r="F120" s="13" t="s">
        <v>148</v>
      </c>
      <c r="G120" s="13" t="s">
        <v>148</v>
      </c>
      <c r="H120" s="13" t="s">
        <v>148</v>
      </c>
      <c r="I120" s="13" t="s">
        <v>148</v>
      </c>
      <c r="J120" s="13" t="s">
        <v>148</v>
      </c>
      <c r="K120" s="13" t="s">
        <v>148</v>
      </c>
      <c r="L120" s="13" t="s">
        <v>148</v>
      </c>
      <c r="M120" s="13" t="s">
        <v>148</v>
      </c>
      <c r="N120" s="13" t="s">
        <v>148</v>
      </c>
      <c r="O120" s="13" t="s">
        <v>148</v>
      </c>
      <c r="P120" s="13" t="s">
        <v>148</v>
      </c>
      <c r="Q120" s="13" t="s">
        <v>148</v>
      </c>
      <c r="R120" s="13" t="s">
        <v>148</v>
      </c>
      <c r="S120" s="13" t="s">
        <v>148</v>
      </c>
      <c r="T120" s="13" t="s">
        <v>148</v>
      </c>
      <c r="U120" s="13" t="s">
        <v>148</v>
      </c>
      <c r="V120" s="13" t="s">
        <v>148</v>
      </c>
      <c r="W120" s="13">
        <v>164</v>
      </c>
      <c r="X120" s="13">
        <v>169</v>
      </c>
      <c r="Y120" s="13" t="s">
        <v>148</v>
      </c>
      <c r="Z120" s="13">
        <v>188</v>
      </c>
      <c r="AA120" s="13">
        <v>214</v>
      </c>
    </row>
    <row r="121" spans="1:27" x14ac:dyDescent="0.25">
      <c r="A121" s="10" t="s">
        <v>1830</v>
      </c>
      <c r="B121" s="10"/>
      <c r="C121" s="14" t="s">
        <v>148</v>
      </c>
      <c r="D121" s="14" t="s">
        <v>148</v>
      </c>
      <c r="E121" s="14" t="s">
        <v>148</v>
      </c>
      <c r="F121" s="14" t="s">
        <v>148</v>
      </c>
      <c r="G121" s="14" t="s">
        <v>148</v>
      </c>
      <c r="H121" s="14" t="s">
        <v>148</v>
      </c>
      <c r="I121" s="14" t="s">
        <v>148</v>
      </c>
      <c r="J121" s="14" t="s">
        <v>148</v>
      </c>
      <c r="K121" s="14" t="s">
        <v>148</v>
      </c>
      <c r="L121" s="14" t="s">
        <v>148</v>
      </c>
      <c r="M121" s="14" t="s">
        <v>148</v>
      </c>
      <c r="N121" s="14" t="s">
        <v>148</v>
      </c>
      <c r="O121" s="14" t="s">
        <v>148</v>
      </c>
      <c r="P121" s="14" t="s">
        <v>148</v>
      </c>
      <c r="Q121" s="14" t="s">
        <v>148</v>
      </c>
      <c r="R121" s="14" t="s">
        <v>148</v>
      </c>
      <c r="S121" s="14" t="s">
        <v>148</v>
      </c>
      <c r="T121" s="14" t="s">
        <v>148</v>
      </c>
      <c r="U121" s="14" t="s">
        <v>148</v>
      </c>
      <c r="V121" s="14" t="s">
        <v>148</v>
      </c>
      <c r="W121" s="14" t="s">
        <v>148</v>
      </c>
      <c r="X121" s="14" t="s">
        <v>148</v>
      </c>
      <c r="Y121" s="14" t="s">
        <v>148</v>
      </c>
      <c r="Z121" s="14" t="s">
        <v>148</v>
      </c>
      <c r="AA121" s="14">
        <v>30</v>
      </c>
    </row>
    <row r="122" spans="1:27" x14ac:dyDescent="0.25">
      <c r="A122" s="10" t="s">
        <v>1831</v>
      </c>
      <c r="B122" s="10"/>
      <c r="C122" s="14" t="s">
        <v>148</v>
      </c>
      <c r="D122" s="14" t="s">
        <v>148</v>
      </c>
      <c r="E122" s="14" t="s">
        <v>148</v>
      </c>
      <c r="F122" s="14" t="s">
        <v>148</v>
      </c>
      <c r="G122" s="14" t="s">
        <v>148</v>
      </c>
      <c r="H122" s="14" t="s">
        <v>148</v>
      </c>
      <c r="I122" s="14" t="s">
        <v>148</v>
      </c>
      <c r="J122" s="14" t="s">
        <v>148</v>
      </c>
      <c r="K122" s="14" t="s">
        <v>148</v>
      </c>
      <c r="L122" s="14" t="s">
        <v>148</v>
      </c>
      <c r="M122" s="14" t="s">
        <v>148</v>
      </c>
      <c r="N122" s="14" t="s">
        <v>148</v>
      </c>
      <c r="O122" s="14" t="s">
        <v>148</v>
      </c>
      <c r="P122" s="14" t="s">
        <v>148</v>
      </c>
      <c r="Q122" s="14" t="s">
        <v>148</v>
      </c>
      <c r="R122" s="14" t="s">
        <v>148</v>
      </c>
      <c r="S122" s="14" t="s">
        <v>148</v>
      </c>
      <c r="T122" s="14" t="s">
        <v>148</v>
      </c>
      <c r="U122" s="14" t="s">
        <v>148</v>
      </c>
      <c r="V122" s="14" t="s">
        <v>148</v>
      </c>
      <c r="W122" s="14" t="s">
        <v>148</v>
      </c>
      <c r="X122" s="14" t="s">
        <v>148</v>
      </c>
      <c r="Y122" s="14" t="s">
        <v>148</v>
      </c>
      <c r="Z122" s="14" t="s">
        <v>148</v>
      </c>
      <c r="AA122" s="14">
        <v>30</v>
      </c>
    </row>
    <row r="123" spans="1:27" x14ac:dyDescent="0.25">
      <c r="A123" s="6" t="s">
        <v>1856</v>
      </c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 x14ac:dyDescent="0.25">
      <c r="A124" s="10" t="s">
        <v>1829</v>
      </c>
      <c r="B124" s="10"/>
      <c r="C124" s="13" t="s">
        <v>148</v>
      </c>
      <c r="D124" s="13" t="s">
        <v>148</v>
      </c>
      <c r="E124" s="13" t="s">
        <v>148</v>
      </c>
      <c r="F124" s="13" t="s">
        <v>148</v>
      </c>
      <c r="G124" s="13" t="s">
        <v>148</v>
      </c>
      <c r="H124" s="13" t="s">
        <v>148</v>
      </c>
      <c r="I124" s="13" t="s">
        <v>148</v>
      </c>
      <c r="J124" s="13" t="s">
        <v>148</v>
      </c>
      <c r="K124" s="13" t="s">
        <v>148</v>
      </c>
      <c r="L124" s="13" t="s">
        <v>148</v>
      </c>
      <c r="M124" s="13" t="s">
        <v>148</v>
      </c>
      <c r="N124" s="13" t="s">
        <v>148</v>
      </c>
      <c r="O124" s="13" t="s">
        <v>148</v>
      </c>
      <c r="P124" s="13" t="s">
        <v>148</v>
      </c>
      <c r="Q124" s="13" t="s">
        <v>148</v>
      </c>
      <c r="R124" s="13" t="s">
        <v>148</v>
      </c>
      <c r="S124" s="13" t="s">
        <v>148</v>
      </c>
      <c r="T124" s="13" t="s">
        <v>148</v>
      </c>
      <c r="U124" s="13" t="s">
        <v>148</v>
      </c>
      <c r="V124" s="13" t="s">
        <v>148</v>
      </c>
      <c r="W124" s="13" t="s">
        <v>148</v>
      </c>
      <c r="X124" s="13" t="s">
        <v>148</v>
      </c>
      <c r="Y124" s="13" t="s">
        <v>148</v>
      </c>
      <c r="Z124" s="13">
        <v>36</v>
      </c>
      <c r="AA124" s="13">
        <v>67</v>
      </c>
    </row>
    <row r="125" spans="1:27" x14ac:dyDescent="0.25">
      <c r="A125" s="6" t="s">
        <v>1857</v>
      </c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 x14ac:dyDescent="0.25">
      <c r="A126" s="10" t="s">
        <v>1829</v>
      </c>
      <c r="B126" s="10"/>
      <c r="C126" s="13">
        <v>95</v>
      </c>
      <c r="D126" s="13">
        <v>59</v>
      </c>
      <c r="E126" s="13">
        <v>83</v>
      </c>
      <c r="F126" s="13">
        <v>66</v>
      </c>
      <c r="G126" s="13">
        <v>98</v>
      </c>
      <c r="H126" s="13">
        <v>71</v>
      </c>
      <c r="I126" s="13" t="s">
        <v>148</v>
      </c>
      <c r="J126" s="13">
        <v>105</v>
      </c>
      <c r="K126" s="13">
        <v>104</v>
      </c>
      <c r="L126" s="13">
        <v>66</v>
      </c>
      <c r="M126" s="13">
        <v>82</v>
      </c>
      <c r="N126" s="13" t="s">
        <v>148</v>
      </c>
      <c r="O126" s="13">
        <v>90</v>
      </c>
      <c r="P126" s="13">
        <v>101</v>
      </c>
      <c r="Q126" s="13">
        <v>92</v>
      </c>
      <c r="R126" s="13">
        <v>107</v>
      </c>
      <c r="S126" s="13">
        <v>114</v>
      </c>
      <c r="T126" s="13">
        <v>69</v>
      </c>
      <c r="U126" s="13">
        <v>82</v>
      </c>
      <c r="V126" s="13">
        <v>94</v>
      </c>
      <c r="W126" s="13">
        <v>78</v>
      </c>
      <c r="X126" s="13" t="s">
        <v>148</v>
      </c>
      <c r="Y126" s="13" t="s">
        <v>148</v>
      </c>
      <c r="Z126" s="13" t="s">
        <v>148</v>
      </c>
      <c r="AA126" s="13" t="s">
        <v>148</v>
      </c>
    </row>
    <row r="127" spans="1:27" x14ac:dyDescent="0.25">
      <c r="A127" s="10" t="s">
        <v>1830</v>
      </c>
      <c r="B127" s="10"/>
      <c r="C127" s="14" t="s">
        <v>148</v>
      </c>
      <c r="D127" s="14" t="s">
        <v>148</v>
      </c>
      <c r="E127" s="14" t="s">
        <v>148</v>
      </c>
      <c r="F127" s="14" t="s">
        <v>148</v>
      </c>
      <c r="G127" s="14">
        <v>3</v>
      </c>
      <c r="H127" s="14">
        <v>20</v>
      </c>
      <c r="I127" s="14" t="s">
        <v>148</v>
      </c>
      <c r="J127" s="14">
        <v>59</v>
      </c>
      <c r="K127" s="14">
        <v>6</v>
      </c>
      <c r="L127" s="14">
        <v>-7</v>
      </c>
      <c r="M127" s="14">
        <v>-16</v>
      </c>
      <c r="N127" s="14" t="s">
        <v>148</v>
      </c>
      <c r="O127" s="14">
        <v>-13</v>
      </c>
      <c r="P127" s="14">
        <v>53</v>
      </c>
      <c r="Q127" s="14">
        <v>12</v>
      </c>
      <c r="R127" s="14" t="s">
        <v>148</v>
      </c>
      <c r="S127" s="14">
        <v>27</v>
      </c>
      <c r="T127" s="14">
        <v>-32</v>
      </c>
      <c r="U127" s="14">
        <v>-11</v>
      </c>
      <c r="V127" s="14">
        <v>-12</v>
      </c>
      <c r="W127" s="14">
        <v>-32</v>
      </c>
      <c r="X127" s="14" t="s">
        <v>148</v>
      </c>
      <c r="Y127" s="14" t="s">
        <v>148</v>
      </c>
      <c r="Z127" s="14" t="s">
        <v>148</v>
      </c>
      <c r="AA127" s="14" t="s">
        <v>148</v>
      </c>
    </row>
    <row r="128" spans="1:27" x14ac:dyDescent="0.25">
      <c r="A128" s="10" t="s">
        <v>1831</v>
      </c>
      <c r="B128" s="10"/>
      <c r="C128" s="14" t="s">
        <v>148</v>
      </c>
      <c r="D128" s="14" t="s">
        <v>148</v>
      </c>
      <c r="E128" s="14" t="s">
        <v>148</v>
      </c>
      <c r="F128" s="14" t="s">
        <v>148</v>
      </c>
      <c r="G128" s="14">
        <v>3</v>
      </c>
      <c r="H128" s="14">
        <v>20</v>
      </c>
      <c r="I128" s="14" t="s">
        <v>148</v>
      </c>
      <c r="J128" s="14">
        <v>59</v>
      </c>
      <c r="K128" s="14">
        <v>6</v>
      </c>
      <c r="L128" s="14">
        <v>-7</v>
      </c>
      <c r="M128" s="14">
        <v>-16</v>
      </c>
      <c r="N128" s="14" t="s">
        <v>148</v>
      </c>
      <c r="O128" s="14">
        <v>-13</v>
      </c>
      <c r="P128" s="14">
        <v>53</v>
      </c>
      <c r="Q128" s="14">
        <v>12</v>
      </c>
      <c r="R128" s="14" t="s">
        <v>148</v>
      </c>
      <c r="S128" s="14">
        <v>27</v>
      </c>
      <c r="T128" s="14">
        <v>-32</v>
      </c>
      <c r="U128" s="14">
        <v>-11</v>
      </c>
      <c r="V128" s="14">
        <v>-12</v>
      </c>
      <c r="W128" s="14">
        <v>-32</v>
      </c>
      <c r="X128" s="14" t="s">
        <v>148</v>
      </c>
      <c r="Y128" s="14" t="s">
        <v>148</v>
      </c>
      <c r="Z128" s="14" t="s">
        <v>148</v>
      </c>
      <c r="AA128" s="14" t="s">
        <v>148</v>
      </c>
    </row>
    <row r="129" spans="1:27" x14ac:dyDescent="0.25">
      <c r="A129" s="6" t="s">
        <v>1858</v>
      </c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 x14ac:dyDescent="0.25">
      <c r="A130" s="10" t="s">
        <v>1829</v>
      </c>
      <c r="B130" s="10"/>
      <c r="C130" s="13">
        <v>23</v>
      </c>
      <c r="D130" s="13">
        <v>24</v>
      </c>
      <c r="E130" s="13">
        <v>30</v>
      </c>
      <c r="F130" s="13">
        <v>69</v>
      </c>
      <c r="G130" s="13">
        <v>103</v>
      </c>
      <c r="H130" s="13">
        <v>119</v>
      </c>
      <c r="I130" s="13" t="s">
        <v>148</v>
      </c>
      <c r="J130" s="13">
        <v>167</v>
      </c>
      <c r="K130" s="13">
        <v>158</v>
      </c>
      <c r="L130" s="13">
        <v>161</v>
      </c>
      <c r="M130" s="13">
        <v>156</v>
      </c>
      <c r="N130" s="13" t="s">
        <v>148</v>
      </c>
      <c r="O130" s="13">
        <v>139</v>
      </c>
      <c r="P130" s="13">
        <v>96</v>
      </c>
      <c r="Q130" s="13">
        <v>85</v>
      </c>
      <c r="R130" s="13">
        <v>72</v>
      </c>
      <c r="S130" s="13">
        <v>63</v>
      </c>
      <c r="T130" s="13">
        <v>47</v>
      </c>
      <c r="U130" s="13">
        <v>50</v>
      </c>
      <c r="V130" s="13">
        <v>20</v>
      </c>
      <c r="W130" s="13">
        <v>42</v>
      </c>
      <c r="X130" s="13" t="s">
        <v>148</v>
      </c>
      <c r="Y130" s="13" t="s">
        <v>148</v>
      </c>
      <c r="Z130" s="13" t="s">
        <v>148</v>
      </c>
      <c r="AA130" s="13" t="s">
        <v>148</v>
      </c>
    </row>
    <row r="131" spans="1:27" x14ac:dyDescent="0.25">
      <c r="A131" s="10" t="s">
        <v>1830</v>
      </c>
      <c r="B131" s="10"/>
      <c r="C131" s="14" t="s">
        <v>148</v>
      </c>
      <c r="D131" s="14" t="s">
        <v>148</v>
      </c>
      <c r="E131" s="14" t="s">
        <v>148</v>
      </c>
      <c r="F131" s="14" t="s">
        <v>148</v>
      </c>
      <c r="G131" s="14" t="s">
        <v>148</v>
      </c>
      <c r="H131" s="14" t="s">
        <v>148</v>
      </c>
      <c r="I131" s="14" t="s">
        <v>148</v>
      </c>
      <c r="J131" s="14">
        <v>0</v>
      </c>
      <c r="K131" s="14">
        <v>53</v>
      </c>
      <c r="L131" s="14">
        <v>35</v>
      </c>
      <c r="M131" s="14">
        <v>27</v>
      </c>
      <c r="N131" s="14" t="s">
        <v>148</v>
      </c>
      <c r="O131" s="14">
        <v>-12</v>
      </c>
      <c r="P131" s="14">
        <v>-40</v>
      </c>
      <c r="Q131" s="14">
        <v>-46</v>
      </c>
      <c r="R131" s="14" t="s">
        <v>148</v>
      </c>
      <c r="S131" s="14">
        <v>-55</v>
      </c>
      <c r="T131" s="14">
        <v>-51</v>
      </c>
      <c r="U131" s="14">
        <v>-41</v>
      </c>
      <c r="V131" s="14">
        <v>-72</v>
      </c>
      <c r="W131" s="14">
        <v>-33</v>
      </c>
      <c r="X131" s="14" t="s">
        <v>148</v>
      </c>
      <c r="Y131" s="14" t="s">
        <v>148</v>
      </c>
      <c r="Z131" s="14" t="s">
        <v>148</v>
      </c>
      <c r="AA131" s="14" t="s">
        <v>148</v>
      </c>
    </row>
    <row r="132" spans="1:27" x14ac:dyDescent="0.25">
      <c r="A132" s="10" t="s">
        <v>1831</v>
      </c>
      <c r="B132" s="10"/>
      <c r="C132" s="14" t="s">
        <v>148</v>
      </c>
      <c r="D132" s="14" t="s">
        <v>148</v>
      </c>
      <c r="E132" s="14" t="s">
        <v>148</v>
      </c>
      <c r="F132" s="14" t="s">
        <v>148</v>
      </c>
      <c r="G132" s="14" t="s">
        <v>148</v>
      </c>
      <c r="H132" s="14" t="s">
        <v>148</v>
      </c>
      <c r="I132" s="14" t="s">
        <v>148</v>
      </c>
      <c r="J132" s="14">
        <v>0</v>
      </c>
      <c r="K132" s="14">
        <v>53</v>
      </c>
      <c r="L132" s="14">
        <v>35</v>
      </c>
      <c r="M132" s="14">
        <v>27</v>
      </c>
      <c r="N132" s="14" t="s">
        <v>148</v>
      </c>
      <c r="O132" s="14">
        <v>-12</v>
      </c>
      <c r="P132" s="14">
        <v>-40</v>
      </c>
      <c r="Q132" s="14">
        <v>-46</v>
      </c>
      <c r="R132" s="14" t="s">
        <v>148</v>
      </c>
      <c r="S132" s="14">
        <v>-55</v>
      </c>
      <c r="T132" s="14">
        <v>-51</v>
      </c>
      <c r="U132" s="14">
        <v>-41</v>
      </c>
      <c r="V132" s="14">
        <v>-72</v>
      </c>
      <c r="W132" s="14">
        <v>-33</v>
      </c>
      <c r="X132" s="14" t="s">
        <v>148</v>
      </c>
      <c r="Y132" s="14" t="s">
        <v>148</v>
      </c>
      <c r="Z132" s="14" t="s">
        <v>148</v>
      </c>
      <c r="AA132" s="14" t="s">
        <v>148</v>
      </c>
    </row>
    <row r="133" spans="1:27" x14ac:dyDescent="0.25">
      <c r="A133" s="6" t="s">
        <v>1859</v>
      </c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 x14ac:dyDescent="0.25">
      <c r="A134" s="10" t="s">
        <v>1829</v>
      </c>
      <c r="B134" s="10"/>
      <c r="C134" s="13">
        <v>75</v>
      </c>
      <c r="D134" s="13">
        <v>73</v>
      </c>
      <c r="E134" s="13">
        <v>75</v>
      </c>
      <c r="F134" s="13">
        <v>54</v>
      </c>
      <c r="G134" s="13">
        <v>62</v>
      </c>
      <c r="H134" s="13">
        <v>65</v>
      </c>
      <c r="I134" s="13" t="s">
        <v>148</v>
      </c>
      <c r="J134" s="13">
        <v>65</v>
      </c>
      <c r="K134" s="13">
        <v>46</v>
      </c>
      <c r="L134" s="13">
        <v>34</v>
      </c>
      <c r="M134" s="13">
        <v>51</v>
      </c>
      <c r="N134" s="13" t="s">
        <v>148</v>
      </c>
      <c r="O134" s="13">
        <v>31</v>
      </c>
      <c r="P134" s="13">
        <v>38</v>
      </c>
      <c r="Q134" s="13">
        <v>37</v>
      </c>
      <c r="R134" s="13">
        <v>35</v>
      </c>
      <c r="S134" s="13">
        <v>34</v>
      </c>
      <c r="T134" s="13" t="s">
        <v>148</v>
      </c>
      <c r="U134" s="13" t="s">
        <v>148</v>
      </c>
      <c r="V134" s="13" t="s">
        <v>148</v>
      </c>
      <c r="W134" s="13" t="s">
        <v>148</v>
      </c>
      <c r="X134" s="13" t="s">
        <v>148</v>
      </c>
      <c r="Y134" s="13" t="s">
        <v>148</v>
      </c>
      <c r="Z134" s="13" t="s">
        <v>148</v>
      </c>
      <c r="AA134" s="13" t="s">
        <v>148</v>
      </c>
    </row>
    <row r="135" spans="1:27" x14ac:dyDescent="0.25">
      <c r="A135" s="10" t="s">
        <v>1830</v>
      </c>
      <c r="B135" s="10"/>
      <c r="C135" s="14">
        <v>-40</v>
      </c>
      <c r="D135" s="14">
        <v>-29</v>
      </c>
      <c r="E135" s="14">
        <v>-26</v>
      </c>
      <c r="F135" s="14">
        <v>-36</v>
      </c>
      <c r="G135" s="14">
        <v>-17</v>
      </c>
      <c r="H135" s="14">
        <v>-11</v>
      </c>
      <c r="I135" s="14" t="s">
        <v>148</v>
      </c>
      <c r="J135" s="14">
        <v>20</v>
      </c>
      <c r="K135" s="14">
        <v>-26</v>
      </c>
      <c r="L135" s="14">
        <v>-48</v>
      </c>
      <c r="M135" s="14">
        <v>4</v>
      </c>
      <c r="N135" s="14" t="s">
        <v>148</v>
      </c>
      <c r="O135" s="14">
        <v>-33</v>
      </c>
      <c r="P135" s="14">
        <v>12</v>
      </c>
      <c r="Q135" s="14">
        <v>-27</v>
      </c>
      <c r="R135" s="14" t="s">
        <v>148</v>
      </c>
      <c r="S135" s="14">
        <v>10</v>
      </c>
      <c r="T135" s="14" t="s">
        <v>148</v>
      </c>
      <c r="U135" s="14" t="s">
        <v>148</v>
      </c>
      <c r="V135" s="14" t="s">
        <v>148</v>
      </c>
      <c r="W135" s="14" t="s">
        <v>148</v>
      </c>
      <c r="X135" s="14" t="s">
        <v>148</v>
      </c>
      <c r="Y135" s="14" t="s">
        <v>148</v>
      </c>
      <c r="Z135" s="14" t="s">
        <v>148</v>
      </c>
      <c r="AA135" s="14" t="s">
        <v>148</v>
      </c>
    </row>
    <row r="136" spans="1:27" x14ac:dyDescent="0.25">
      <c r="A136" s="10" t="s">
        <v>1831</v>
      </c>
      <c r="B136" s="10"/>
      <c r="C136" s="14" t="s">
        <v>148</v>
      </c>
      <c r="D136" s="14" t="s">
        <v>148</v>
      </c>
      <c r="E136" s="14" t="s">
        <v>148</v>
      </c>
      <c r="F136" s="14" t="s">
        <v>148</v>
      </c>
      <c r="G136" s="14">
        <v>-17</v>
      </c>
      <c r="H136" s="14">
        <v>-11</v>
      </c>
      <c r="I136" s="14" t="s">
        <v>148</v>
      </c>
      <c r="J136" s="14">
        <v>20</v>
      </c>
      <c r="K136" s="14">
        <v>-26</v>
      </c>
      <c r="L136" s="14">
        <v>-48</v>
      </c>
      <c r="M136" s="14">
        <v>4</v>
      </c>
      <c r="N136" s="14" t="s">
        <v>148</v>
      </c>
      <c r="O136" s="14">
        <v>-33</v>
      </c>
      <c r="P136" s="14">
        <v>12</v>
      </c>
      <c r="Q136" s="14">
        <v>-27</v>
      </c>
      <c r="R136" s="14" t="s">
        <v>148</v>
      </c>
      <c r="S136" s="14">
        <v>10</v>
      </c>
      <c r="T136" s="14" t="s">
        <v>148</v>
      </c>
      <c r="U136" s="14" t="s">
        <v>148</v>
      </c>
      <c r="V136" s="14" t="s">
        <v>148</v>
      </c>
      <c r="W136" s="14" t="s">
        <v>148</v>
      </c>
      <c r="X136" s="14" t="s">
        <v>148</v>
      </c>
      <c r="Y136" s="14" t="s">
        <v>148</v>
      </c>
      <c r="Z136" s="14" t="s">
        <v>148</v>
      </c>
      <c r="AA136" s="14" t="s">
        <v>148</v>
      </c>
    </row>
    <row r="137" spans="1:27" x14ac:dyDescent="0.25">
      <c r="A137" s="6" t="s">
        <v>1860</v>
      </c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 x14ac:dyDescent="0.25">
      <c r="A138" s="10" t="s">
        <v>1829</v>
      </c>
      <c r="B138" s="10"/>
      <c r="C138" s="13">
        <v>448</v>
      </c>
      <c r="D138" s="13">
        <v>213</v>
      </c>
      <c r="E138" s="13">
        <v>122</v>
      </c>
      <c r="F138" s="13">
        <v>109</v>
      </c>
      <c r="G138" s="13">
        <v>107</v>
      </c>
      <c r="H138" s="13">
        <v>123</v>
      </c>
      <c r="I138" s="13" t="s">
        <v>148</v>
      </c>
      <c r="J138" s="13">
        <v>39</v>
      </c>
      <c r="K138" s="13">
        <v>45</v>
      </c>
      <c r="L138" s="13">
        <v>23</v>
      </c>
      <c r="M138" s="13">
        <v>24</v>
      </c>
      <c r="N138" s="13" t="s">
        <v>148</v>
      </c>
      <c r="O138" s="13">
        <v>18</v>
      </c>
      <c r="P138" s="13">
        <v>20</v>
      </c>
      <c r="Q138" s="13">
        <v>20</v>
      </c>
      <c r="R138" s="13">
        <v>17</v>
      </c>
      <c r="S138" s="13">
        <v>7</v>
      </c>
      <c r="T138" s="13" t="s">
        <v>148</v>
      </c>
      <c r="U138" s="13" t="s">
        <v>148</v>
      </c>
      <c r="V138" s="13" t="s">
        <v>148</v>
      </c>
      <c r="W138" s="13" t="s">
        <v>148</v>
      </c>
      <c r="X138" s="13" t="s">
        <v>148</v>
      </c>
      <c r="Y138" s="13" t="s">
        <v>148</v>
      </c>
      <c r="Z138" s="13" t="s">
        <v>148</v>
      </c>
      <c r="AA138" s="13" t="s">
        <v>148</v>
      </c>
    </row>
    <row r="139" spans="1:27" x14ac:dyDescent="0.25">
      <c r="A139" s="10" t="s">
        <v>1830</v>
      </c>
      <c r="B139" s="10"/>
      <c r="C139" s="14">
        <v>8</v>
      </c>
      <c r="D139" s="14">
        <v>-57</v>
      </c>
      <c r="E139" s="14">
        <v>-71</v>
      </c>
      <c r="F139" s="14">
        <v>-73</v>
      </c>
      <c r="G139" s="14">
        <v>-76</v>
      </c>
      <c r="H139" s="14">
        <v>-42</v>
      </c>
      <c r="I139" s="14" t="s">
        <v>148</v>
      </c>
      <c r="J139" s="14">
        <v>-64</v>
      </c>
      <c r="K139" s="14">
        <v>-58</v>
      </c>
      <c r="L139" s="14">
        <v>-81</v>
      </c>
      <c r="M139" s="14">
        <v>-70</v>
      </c>
      <c r="N139" s="14" t="s">
        <v>148</v>
      </c>
      <c r="O139" s="14">
        <v>-60</v>
      </c>
      <c r="P139" s="14">
        <v>-13</v>
      </c>
      <c r="Q139" s="14">
        <v>-17</v>
      </c>
      <c r="R139" s="14" t="s">
        <v>148</v>
      </c>
      <c r="S139" s="14">
        <v>-61</v>
      </c>
      <c r="T139" s="14" t="s">
        <v>148</v>
      </c>
      <c r="U139" s="14" t="s">
        <v>148</v>
      </c>
      <c r="V139" s="14" t="s">
        <v>148</v>
      </c>
      <c r="W139" s="14" t="s">
        <v>148</v>
      </c>
      <c r="X139" s="14" t="s">
        <v>148</v>
      </c>
      <c r="Y139" s="14" t="s">
        <v>148</v>
      </c>
      <c r="Z139" s="14" t="s">
        <v>148</v>
      </c>
      <c r="AA139" s="14" t="s">
        <v>148</v>
      </c>
    </row>
    <row r="140" spans="1:27" x14ac:dyDescent="0.25">
      <c r="A140" s="10" t="s">
        <v>1831</v>
      </c>
      <c r="B140" s="10"/>
      <c r="C140" s="14" t="s">
        <v>148</v>
      </c>
      <c r="D140" s="14" t="s">
        <v>148</v>
      </c>
      <c r="E140" s="14" t="s">
        <v>148</v>
      </c>
      <c r="F140" s="14" t="s">
        <v>148</v>
      </c>
      <c r="G140" s="14">
        <v>-76</v>
      </c>
      <c r="H140" s="14">
        <v>-42</v>
      </c>
      <c r="I140" s="14" t="s">
        <v>148</v>
      </c>
      <c r="J140" s="14">
        <v>-64</v>
      </c>
      <c r="K140" s="14">
        <v>-58</v>
      </c>
      <c r="L140" s="14">
        <v>-81</v>
      </c>
      <c r="M140" s="14">
        <v>-70</v>
      </c>
      <c r="N140" s="14" t="s">
        <v>148</v>
      </c>
      <c r="O140" s="14">
        <v>-60</v>
      </c>
      <c r="P140" s="14">
        <v>-13</v>
      </c>
      <c r="Q140" s="14">
        <v>-17</v>
      </c>
      <c r="R140" s="14" t="s">
        <v>148</v>
      </c>
      <c r="S140" s="14">
        <v>-61</v>
      </c>
      <c r="T140" s="14" t="s">
        <v>148</v>
      </c>
      <c r="U140" s="14" t="s">
        <v>148</v>
      </c>
      <c r="V140" s="14" t="s">
        <v>148</v>
      </c>
      <c r="W140" s="14" t="s">
        <v>148</v>
      </c>
      <c r="X140" s="14" t="s">
        <v>148</v>
      </c>
      <c r="Y140" s="14" t="s">
        <v>148</v>
      </c>
      <c r="Z140" s="14" t="s">
        <v>148</v>
      </c>
      <c r="AA140" s="14" t="s">
        <v>148</v>
      </c>
    </row>
    <row r="141" spans="1:27" x14ac:dyDescent="0.25">
      <c r="A141" s="7" t="s">
        <v>90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1"/>
  <sheetViews>
    <sheetView topLeftCell="A21" workbookViewId="0">
      <selection activeCell="E44" sqref="E44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1861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1862</v>
      </c>
      <c r="D4" s="4" t="s">
        <v>1863</v>
      </c>
      <c r="E4" s="4" t="s">
        <v>1864</v>
      </c>
      <c r="F4" s="4" t="s">
        <v>1865</v>
      </c>
      <c r="G4" s="4" t="s">
        <v>1866</v>
      </c>
      <c r="H4" s="4" t="s">
        <v>6</v>
      </c>
      <c r="I4" s="4" t="s">
        <v>1867</v>
      </c>
      <c r="J4" s="4" t="s">
        <v>1868</v>
      </c>
      <c r="K4" s="4" t="s">
        <v>1869</v>
      </c>
      <c r="L4" s="4" t="s">
        <v>1870</v>
      </c>
      <c r="M4" s="4" t="s">
        <v>1871</v>
      </c>
      <c r="N4" s="4" t="s">
        <v>1872</v>
      </c>
      <c r="O4" s="4" t="s">
        <v>1873</v>
      </c>
      <c r="P4" s="4" t="s">
        <v>1874</v>
      </c>
      <c r="Q4" s="4" t="s">
        <v>1875</v>
      </c>
      <c r="R4" s="4" t="s">
        <v>1876</v>
      </c>
      <c r="S4" s="4" t="s">
        <v>1877</v>
      </c>
      <c r="T4" s="4" t="s">
        <v>1878</v>
      </c>
      <c r="U4" s="4" t="s">
        <v>1879</v>
      </c>
      <c r="V4" s="4" t="s">
        <v>1880</v>
      </c>
      <c r="W4" s="4" t="s">
        <v>1881</v>
      </c>
      <c r="X4" s="4" t="s">
        <v>1882</v>
      </c>
      <c r="Y4" s="4" t="s">
        <v>1883</v>
      </c>
      <c r="Z4" s="4" t="s">
        <v>1884</v>
      </c>
      <c r="AA4" s="4" t="s">
        <v>1885</v>
      </c>
    </row>
    <row r="5" spans="1:27" x14ac:dyDescent="0.25">
      <c r="A5" s="9" t="s">
        <v>34</v>
      </c>
      <c r="B5" s="9"/>
      <c r="C5" s="5" t="s">
        <v>1886</v>
      </c>
      <c r="D5" s="5" t="s">
        <v>1887</v>
      </c>
      <c r="E5" s="5" t="s">
        <v>1888</v>
      </c>
      <c r="F5" s="5" t="s">
        <v>1889</v>
      </c>
      <c r="G5" s="5" t="s">
        <v>1890</v>
      </c>
      <c r="H5" s="5" t="s">
        <v>1891</v>
      </c>
      <c r="I5" s="5" t="s">
        <v>1892</v>
      </c>
      <c r="J5" s="5" t="s">
        <v>1893</v>
      </c>
      <c r="K5" s="5" t="s">
        <v>1894</v>
      </c>
      <c r="L5" s="5" t="s">
        <v>1895</v>
      </c>
      <c r="M5" s="5" t="s">
        <v>1896</v>
      </c>
      <c r="N5" s="5" t="s">
        <v>1897</v>
      </c>
      <c r="O5" s="5" t="s">
        <v>1898</v>
      </c>
      <c r="P5" s="5" t="s">
        <v>1899</v>
      </c>
      <c r="Q5" s="5" t="s">
        <v>1900</v>
      </c>
      <c r="R5" s="5" t="s">
        <v>1901</v>
      </c>
      <c r="S5" s="5" t="s">
        <v>1902</v>
      </c>
      <c r="T5" s="5" t="s">
        <v>1903</v>
      </c>
      <c r="U5" s="5" t="s">
        <v>95</v>
      </c>
      <c r="V5" s="5" t="s">
        <v>37</v>
      </c>
      <c r="W5" s="5" t="s">
        <v>41</v>
      </c>
      <c r="X5" s="5" t="s">
        <v>45</v>
      </c>
      <c r="Y5" s="5" t="s">
        <v>49</v>
      </c>
      <c r="Z5" s="5" t="s">
        <v>53</v>
      </c>
      <c r="AA5" s="5" t="s">
        <v>57</v>
      </c>
    </row>
    <row r="6" spans="1:27" x14ac:dyDescent="0.25">
      <c r="A6" s="10" t="s">
        <v>1904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25">
      <c r="A7" s="10" t="s">
        <v>1905</v>
      </c>
      <c r="B7" s="10" t="s">
        <v>1906</v>
      </c>
      <c r="C7" s="14" t="str">
        <f>_xll.BDH("AMGN US Equity","ESG_DISCLOSURE_SCORE","FY 2000","FY 2000","Currency=USD","Period=FQ","BEST_FPERIOD_OVERRIDE=FQ","FILING_STATUS=MR","Sort=A","Dates=H","DateFormat=P","Fill=—","Direction=H","UseDPDF=Y")</f>
        <v>—</v>
      </c>
      <c r="D7" s="14" t="str">
        <f>_xll.BDH("AMGN US Equity","ESG_DISCLOSURE_SCORE","FY 2001","FY 2001","Currency=USD","Period=FQ","BEST_FPERIOD_OVERRIDE=FQ","FILING_STATUS=MR","Sort=A","Dates=H","DateFormat=P","Fill=—","Direction=H","UseDPDF=Y")</f>
        <v>—</v>
      </c>
      <c r="E7" s="14" t="str">
        <f>_xll.BDH("AMGN US Equity","ESG_DISCLOSURE_SCORE","FY 2002","FY 2002","Currency=USD","Period=FQ","BEST_FPERIOD_OVERRIDE=FQ","FILING_STATUS=MR","Sort=A","Dates=H","DateFormat=P","Fill=—","Direction=H","UseDPDF=Y")</f>
        <v>—</v>
      </c>
      <c r="F7" s="14" t="str">
        <f>_xll.BDH("AMGN US Equity","ESG_DISCLOSURE_SCORE","FY 2003","FY 2003","Currency=USD","Period=FQ","BEST_FPERIOD_OVERRIDE=FQ","FILING_STATUS=MR","Sort=A","Dates=H","DateFormat=P","Fill=—","Direction=H","UseDPDF=Y")</f>
        <v>—</v>
      </c>
      <c r="G7" s="14" t="str">
        <f>_xll.BDH("AMGN US Equity","ESG_DISCLOSURE_SCORE","FY 2004","FY 2004","Currency=USD","Period=FQ","BEST_FPERIOD_OVERRIDE=FQ","FILING_STATUS=MR","Sort=A","Dates=H","DateFormat=P","Fill=—","Direction=H","UseDPDF=Y")</f>
        <v>—</v>
      </c>
      <c r="H7" s="14" t="str">
        <f>_xll.BDH("AMGN US Equity","ESG_DISCLOSURE_SCORE","FY 2005","FY 2005","Currency=USD","Period=FQ","BEST_FPERIOD_OVERRIDE=FQ","FILING_STATUS=MR","Sort=A","Dates=H","DateFormat=P","Fill=—","Direction=H","UseDPDF=Y")</f>
        <v>—</v>
      </c>
      <c r="I7" s="14" t="str">
        <f>_xll.BDH("AMGN US Equity","ESG_DISCLOSURE_SCORE","FY 2006","FY 2006","Currency=USD","Period=FQ","BEST_FPERIOD_OVERRIDE=FQ","FILING_STATUS=MR","Sort=A","Dates=H","DateFormat=P","Fill=—","Direction=H","UseDPDF=Y")</f>
        <v>—</v>
      </c>
      <c r="J7" s="14" t="str">
        <f>_xll.BDH("AMGN US Equity","ESG_DISCLOSURE_SCORE","FY 2007","FY 2007","Currency=USD","Period=FQ","BEST_FPERIOD_OVERRIDE=FQ","FILING_STATUS=MR","Sort=A","Dates=H","DateFormat=P","Fill=—","Direction=H","UseDPDF=Y")</f>
        <v>—</v>
      </c>
      <c r="K7" s="14" t="str">
        <f>_xll.BDH("AMGN US Equity","ESG_DISCLOSURE_SCORE","FY 2008","FY 2008","Currency=USD","Period=FQ","BEST_FPERIOD_OVERRIDE=FQ","FILING_STATUS=MR","Sort=A","Dates=H","DateFormat=P","Fill=—","Direction=H","UseDPDF=Y")</f>
        <v>—</v>
      </c>
      <c r="L7" s="14" t="str">
        <f>_xll.BDH("AMGN US Equity","ESG_DISCLOSURE_SCORE","FY 2009","FY 2009","Currency=USD","Period=FQ","BEST_FPERIOD_OVERRIDE=FQ","FILING_STATUS=MR","Sort=A","Dates=H","DateFormat=P","Fill=—","Direction=H","UseDPDF=Y")</f>
        <v>—</v>
      </c>
      <c r="M7" s="14" t="str">
        <f>_xll.BDH("AMGN US Equity","ESG_DISCLOSURE_SCORE","FY 2010","FY 2010","Currency=USD","Period=FQ","BEST_FPERIOD_OVERRIDE=FQ","FILING_STATUS=MR","Sort=A","Dates=H","DateFormat=P","Fill=—","Direction=H","UseDPDF=Y")</f>
        <v>—</v>
      </c>
      <c r="N7" s="14" t="str">
        <f>_xll.BDH("AMGN US Equity","ESG_DISCLOSURE_SCORE","FY 2011","FY 2011","Currency=USD","Period=FQ","BEST_FPERIOD_OVERRIDE=FQ","FILING_STATUS=MR","Sort=A","Dates=H","DateFormat=P","Fill=—","Direction=H","UseDPDF=Y")</f>
        <v>—</v>
      </c>
      <c r="O7" s="14" t="str">
        <f>_xll.BDH("AMGN US Equity","ESG_DISCLOSURE_SCORE","FY 2012","FY 2012","Currency=USD","Period=FQ","BEST_FPERIOD_OVERRIDE=FQ","FILING_STATUS=MR","Sort=A","Dates=H","DateFormat=P","Fill=—","Direction=H","UseDPDF=Y")</f>
        <v>—</v>
      </c>
      <c r="P7" s="14" t="str">
        <f>_xll.BDH("AMGN US Equity","ESG_DISCLOSURE_SCORE","FY 2013","FY 2013","Currency=USD","Period=FQ","BEST_FPERIOD_OVERRIDE=FQ","FILING_STATUS=MR","Sort=A","Dates=H","DateFormat=P","Fill=—","Direction=H","UseDPDF=Y")</f>
        <v>—</v>
      </c>
      <c r="Q7" s="14" t="str">
        <f>_xll.BDH("AMGN US Equity","ESG_DISCLOSURE_SCORE","FY 2014","FY 2014","Currency=USD","Period=FQ","BEST_FPERIOD_OVERRIDE=FQ","FILING_STATUS=MR","Sort=A","Dates=H","DateFormat=P","Fill=—","Direction=H","UseDPDF=Y")</f>
        <v>—</v>
      </c>
      <c r="R7" s="14" t="str">
        <f>_xll.BDH("AMGN US Equity","ESG_DISCLOSURE_SCORE","FY 2015","FY 2015","Currency=USD","Period=FQ","BEST_FPERIOD_OVERRIDE=FQ","FILING_STATUS=MR","Sort=A","Dates=H","DateFormat=P","Fill=—","Direction=H","UseDPDF=Y")</f>
        <v>—</v>
      </c>
      <c r="S7" s="14" t="str">
        <f>_xll.BDH("AMGN US Equity","ESG_DISCLOSURE_SCORE","FY 2016","FY 2016","Currency=USD","Period=FQ","BEST_FPERIOD_OVERRIDE=FQ","FILING_STATUS=MR","Sort=A","Dates=H","DateFormat=P","Fill=—","Direction=H","UseDPDF=Y")</f>
        <v>—</v>
      </c>
      <c r="T7" s="14" t="str">
        <f>_xll.BDH("AMGN US Equity","ESG_DISCLOSURE_SCORE","FY 2017","FY 2017","Currency=USD","Period=FQ","BEST_FPERIOD_OVERRIDE=FQ","FILING_STATUS=MR","Sort=A","Dates=H","DateFormat=P","Fill=—","Direction=H","UseDPDF=Y")</f>
        <v>—</v>
      </c>
      <c r="U7" s="14" t="str">
        <f>_xll.BDH("AMGN US Equity","ESG_DISCLOSURE_SCORE","FY 2018","FY 2018","Currency=USD","Period=FQ","BEST_FPERIOD_OVERRIDE=FQ","FILING_STATUS=MR","Sort=A","Dates=H","DateFormat=P","Fill=—","Direction=H","UseDPDF=Y")</f>
        <v>—</v>
      </c>
      <c r="V7" s="14" t="str">
        <f>_xll.BDH("AMGN US Equity","ESG_DISCLOSURE_SCORE","FY 2019","FY 2019","Currency=USD","Period=FQ","BEST_FPERIOD_OVERRIDE=FQ","FILING_STATUS=MR","Sort=A","Dates=H","DateFormat=P","Fill=—","Direction=H","UseDPDF=Y")</f>
        <v>—</v>
      </c>
      <c r="W7" s="14" t="str">
        <f>_xll.BDH("AMGN US Equity","ESG_DISCLOSURE_SCORE","FY 2020","FY 2020","Currency=USD","Period=FQ","BEST_FPERIOD_OVERRIDE=FQ","FILING_STATUS=MR","Sort=A","Dates=H","DateFormat=P","Fill=—","Direction=H","UseDPDF=Y")</f>
        <v>—</v>
      </c>
      <c r="X7" s="14" t="str">
        <f>_xll.BDH("AMGN US Equity","ESG_DISCLOSURE_SCORE","FY 2021","FY 2021","Currency=USD","Period=FQ","BEST_FPERIOD_OVERRIDE=FQ","FILING_STATUS=MR","Sort=A","Dates=H","DateFormat=P","Fill=—","Direction=H","UseDPDF=Y")</f>
        <v>—</v>
      </c>
      <c r="Y7" s="14" t="str">
        <f>_xll.BDH("AMGN US Equity","ESG_DISCLOSURE_SCORE","FY 2022","FY 2022","Currency=USD","Period=FQ","BEST_FPERIOD_OVERRIDE=FQ","FILING_STATUS=MR","Sort=A","Dates=H","DateFormat=P","Fill=—","Direction=H","UseDPDF=Y")</f>
        <v>—</v>
      </c>
      <c r="Z7" s="14" t="str">
        <f>_xll.BDH("AMGN US Equity","ESG_DISCLOSURE_SCORE","FY 2023","FY 2023","Currency=USD","Period=FQ","BEST_FPERIOD_OVERRIDE=FQ","FILING_STATUS=MR","Sort=A","Dates=H","DateFormat=P","Fill=—","Direction=H","UseDPDF=Y")</f>
        <v>—</v>
      </c>
      <c r="AA7" s="14" t="str">
        <f>_xll.BDH("AMGN US Equity","ESG_DISCLOSURE_SCORE","FY 2024","FY 2024","Currency=USD","Period=FQ","BEST_FPERIOD_OVERRIDE=FQ","FILING_STATUS=MR","Sort=A","Dates=H","DateFormat=P","Fill=—","Direction=H","UseDPDF=Y")</f>
        <v>—</v>
      </c>
    </row>
    <row r="8" spans="1:27" x14ac:dyDescent="0.25">
      <c r="A8" s="10" t="s">
        <v>1907</v>
      </c>
      <c r="B8" s="10" t="s">
        <v>1908</v>
      </c>
      <c r="C8" s="14" t="str">
        <f>_xll.BDH("AMGN US Equity","ENVIRON_DISCLOSURE_SCORE","FY 2000","FY 2000","Currency=USD","Period=FQ","BEST_FPERIOD_OVERRIDE=FQ","FILING_STATUS=MR","Sort=A","Dates=H","DateFormat=P","Fill=—","Direction=H","UseDPDF=Y")</f>
        <v>—</v>
      </c>
      <c r="D8" s="14" t="str">
        <f>_xll.BDH("AMGN US Equity","ENVIRON_DISCLOSURE_SCORE","FY 2001","FY 2001","Currency=USD","Period=FQ","BEST_FPERIOD_OVERRIDE=FQ","FILING_STATUS=MR","Sort=A","Dates=H","DateFormat=P","Fill=—","Direction=H","UseDPDF=Y")</f>
        <v>—</v>
      </c>
      <c r="E8" s="14" t="str">
        <f>_xll.BDH("AMGN US Equity","ENVIRON_DISCLOSURE_SCORE","FY 2002","FY 2002","Currency=USD","Period=FQ","BEST_FPERIOD_OVERRIDE=FQ","FILING_STATUS=MR","Sort=A","Dates=H","DateFormat=P","Fill=—","Direction=H","UseDPDF=Y")</f>
        <v>—</v>
      </c>
      <c r="F8" s="14" t="str">
        <f>_xll.BDH("AMGN US Equity","ENVIRON_DISCLOSURE_SCORE","FY 2003","FY 2003","Currency=USD","Period=FQ","BEST_FPERIOD_OVERRIDE=FQ","FILING_STATUS=MR","Sort=A","Dates=H","DateFormat=P","Fill=—","Direction=H","UseDPDF=Y")</f>
        <v>—</v>
      </c>
      <c r="G8" s="14" t="str">
        <f>_xll.BDH("AMGN US Equity","ENVIRON_DISCLOSURE_SCORE","FY 2004","FY 2004","Currency=USD","Period=FQ","BEST_FPERIOD_OVERRIDE=FQ","FILING_STATUS=MR","Sort=A","Dates=H","DateFormat=P","Fill=—","Direction=H","UseDPDF=Y")</f>
        <v>—</v>
      </c>
      <c r="H8" s="14" t="str">
        <f>_xll.BDH("AMGN US Equity","ENVIRON_DISCLOSURE_SCORE","FY 2005","FY 2005","Currency=USD","Period=FQ","BEST_FPERIOD_OVERRIDE=FQ","FILING_STATUS=MR","Sort=A","Dates=H","DateFormat=P","Fill=—","Direction=H","UseDPDF=Y")</f>
        <v>—</v>
      </c>
      <c r="I8" s="14" t="str">
        <f>_xll.BDH("AMGN US Equity","ENVIRON_DISCLOSURE_SCORE","FY 2006","FY 2006","Currency=USD","Period=FQ","BEST_FPERIOD_OVERRIDE=FQ","FILING_STATUS=MR","Sort=A","Dates=H","DateFormat=P","Fill=—","Direction=H","UseDPDF=Y")</f>
        <v>—</v>
      </c>
      <c r="J8" s="14" t="str">
        <f>_xll.BDH("AMGN US Equity","ENVIRON_DISCLOSURE_SCORE","FY 2007","FY 2007","Currency=USD","Period=FQ","BEST_FPERIOD_OVERRIDE=FQ","FILING_STATUS=MR","Sort=A","Dates=H","DateFormat=P","Fill=—","Direction=H","UseDPDF=Y")</f>
        <v>—</v>
      </c>
      <c r="K8" s="14" t="str">
        <f>_xll.BDH("AMGN US Equity","ENVIRON_DISCLOSURE_SCORE","FY 2008","FY 2008","Currency=USD","Period=FQ","BEST_FPERIOD_OVERRIDE=FQ","FILING_STATUS=MR","Sort=A","Dates=H","DateFormat=P","Fill=—","Direction=H","UseDPDF=Y")</f>
        <v>—</v>
      </c>
      <c r="L8" s="14" t="str">
        <f>_xll.BDH("AMGN US Equity","ENVIRON_DISCLOSURE_SCORE","FY 2009","FY 2009","Currency=USD","Period=FQ","BEST_FPERIOD_OVERRIDE=FQ","FILING_STATUS=MR","Sort=A","Dates=H","DateFormat=P","Fill=—","Direction=H","UseDPDF=Y")</f>
        <v>—</v>
      </c>
      <c r="M8" s="14" t="str">
        <f>_xll.BDH("AMGN US Equity","ENVIRON_DISCLOSURE_SCORE","FY 2010","FY 2010","Currency=USD","Period=FQ","BEST_FPERIOD_OVERRIDE=FQ","FILING_STATUS=MR","Sort=A","Dates=H","DateFormat=P","Fill=—","Direction=H","UseDPDF=Y")</f>
        <v>—</v>
      </c>
      <c r="N8" s="14" t="str">
        <f>_xll.BDH("AMGN US Equity","ENVIRON_DISCLOSURE_SCORE","FY 2011","FY 2011","Currency=USD","Period=FQ","BEST_FPERIOD_OVERRIDE=FQ","FILING_STATUS=MR","Sort=A","Dates=H","DateFormat=P","Fill=—","Direction=H","UseDPDF=Y")</f>
        <v>—</v>
      </c>
      <c r="O8" s="14" t="str">
        <f>_xll.BDH("AMGN US Equity","ENVIRON_DISCLOSURE_SCORE","FY 2012","FY 2012","Currency=USD","Period=FQ","BEST_FPERIOD_OVERRIDE=FQ","FILING_STATUS=MR","Sort=A","Dates=H","DateFormat=P","Fill=—","Direction=H","UseDPDF=Y")</f>
        <v>—</v>
      </c>
      <c r="P8" s="14" t="str">
        <f>_xll.BDH("AMGN US Equity","ENVIRON_DISCLOSURE_SCORE","FY 2013","FY 2013","Currency=USD","Period=FQ","BEST_FPERIOD_OVERRIDE=FQ","FILING_STATUS=MR","Sort=A","Dates=H","DateFormat=P","Fill=—","Direction=H","UseDPDF=Y")</f>
        <v>—</v>
      </c>
      <c r="Q8" s="14" t="str">
        <f>_xll.BDH("AMGN US Equity","ENVIRON_DISCLOSURE_SCORE","FY 2014","FY 2014","Currency=USD","Period=FQ","BEST_FPERIOD_OVERRIDE=FQ","FILING_STATUS=MR","Sort=A","Dates=H","DateFormat=P","Fill=—","Direction=H","UseDPDF=Y")</f>
        <v>—</v>
      </c>
      <c r="R8" s="14" t="str">
        <f>_xll.BDH("AMGN US Equity","ENVIRON_DISCLOSURE_SCORE","FY 2015","FY 2015","Currency=USD","Period=FQ","BEST_FPERIOD_OVERRIDE=FQ","FILING_STATUS=MR","Sort=A","Dates=H","DateFormat=P","Fill=—","Direction=H","UseDPDF=Y")</f>
        <v>—</v>
      </c>
      <c r="S8" s="14" t="str">
        <f>_xll.BDH("AMGN US Equity","ENVIRON_DISCLOSURE_SCORE","FY 2016","FY 2016","Currency=USD","Period=FQ","BEST_FPERIOD_OVERRIDE=FQ","FILING_STATUS=MR","Sort=A","Dates=H","DateFormat=P","Fill=—","Direction=H","UseDPDF=Y")</f>
        <v>—</v>
      </c>
      <c r="T8" s="14" t="str">
        <f>_xll.BDH("AMGN US Equity","ENVIRON_DISCLOSURE_SCORE","FY 2017","FY 2017","Currency=USD","Period=FQ","BEST_FPERIOD_OVERRIDE=FQ","FILING_STATUS=MR","Sort=A","Dates=H","DateFormat=P","Fill=—","Direction=H","UseDPDF=Y")</f>
        <v>—</v>
      </c>
      <c r="U8" s="14" t="str">
        <f>_xll.BDH("AMGN US Equity","ENVIRON_DISCLOSURE_SCORE","FY 2018","FY 2018","Currency=USD","Period=FQ","BEST_FPERIOD_OVERRIDE=FQ","FILING_STATUS=MR","Sort=A","Dates=H","DateFormat=P","Fill=—","Direction=H","UseDPDF=Y")</f>
        <v>—</v>
      </c>
      <c r="V8" s="14" t="str">
        <f>_xll.BDH("AMGN US Equity","ENVIRON_DISCLOSURE_SCORE","FY 2019","FY 2019","Currency=USD","Period=FQ","BEST_FPERIOD_OVERRIDE=FQ","FILING_STATUS=MR","Sort=A","Dates=H","DateFormat=P","Fill=—","Direction=H","UseDPDF=Y")</f>
        <v>—</v>
      </c>
      <c r="W8" s="14" t="str">
        <f>_xll.BDH("AMGN US Equity","ENVIRON_DISCLOSURE_SCORE","FY 2020","FY 2020","Currency=USD","Period=FQ","BEST_FPERIOD_OVERRIDE=FQ","FILING_STATUS=MR","Sort=A","Dates=H","DateFormat=P","Fill=—","Direction=H","UseDPDF=Y")</f>
        <v>—</v>
      </c>
      <c r="X8" s="14" t="str">
        <f>_xll.BDH("AMGN US Equity","ENVIRON_DISCLOSURE_SCORE","FY 2021","FY 2021","Currency=USD","Period=FQ","BEST_FPERIOD_OVERRIDE=FQ","FILING_STATUS=MR","Sort=A","Dates=H","DateFormat=P","Fill=—","Direction=H","UseDPDF=Y")</f>
        <v>—</v>
      </c>
      <c r="Y8" s="14" t="str">
        <f>_xll.BDH("AMGN US Equity","ENVIRON_DISCLOSURE_SCORE","FY 2022","FY 2022","Currency=USD","Period=FQ","BEST_FPERIOD_OVERRIDE=FQ","FILING_STATUS=MR","Sort=A","Dates=H","DateFormat=P","Fill=—","Direction=H","UseDPDF=Y")</f>
        <v>—</v>
      </c>
      <c r="Z8" s="14" t="str">
        <f>_xll.BDH("AMGN US Equity","ENVIRON_DISCLOSURE_SCORE","FY 2023","FY 2023","Currency=USD","Period=FQ","BEST_FPERIOD_OVERRIDE=FQ","FILING_STATUS=MR","Sort=A","Dates=H","DateFormat=P","Fill=—","Direction=H","UseDPDF=Y")</f>
        <v>—</v>
      </c>
      <c r="AA8" s="14" t="str">
        <f>_xll.BDH("AMGN US Equity","ENVIRON_DISCLOSURE_SCORE","FY 2024","FY 2024","Currency=USD","Period=FQ","BEST_FPERIOD_OVERRIDE=FQ","FILING_STATUS=MR","Sort=A","Dates=H","DateFormat=P","Fill=—","Direction=H","UseDPDF=Y")</f>
        <v>—</v>
      </c>
    </row>
    <row r="9" spans="1:27" x14ac:dyDescent="0.25">
      <c r="A9" s="10" t="s">
        <v>1909</v>
      </c>
      <c r="B9" s="10" t="s">
        <v>1910</v>
      </c>
      <c r="C9" s="14" t="str">
        <f>_xll.BDH("AMGN US Equity","SOCIAL_DISCLOSURE_SCORE","FY 2000","FY 2000","Currency=USD","Period=FQ","BEST_FPERIOD_OVERRIDE=FQ","FILING_STATUS=MR","Sort=A","Dates=H","DateFormat=P","Fill=—","Direction=H","UseDPDF=Y")</f>
        <v>—</v>
      </c>
      <c r="D9" s="14" t="str">
        <f>_xll.BDH("AMGN US Equity","SOCIAL_DISCLOSURE_SCORE","FY 2001","FY 2001","Currency=USD","Period=FQ","BEST_FPERIOD_OVERRIDE=FQ","FILING_STATUS=MR","Sort=A","Dates=H","DateFormat=P","Fill=—","Direction=H","UseDPDF=Y")</f>
        <v>—</v>
      </c>
      <c r="E9" s="14" t="str">
        <f>_xll.BDH("AMGN US Equity","SOCIAL_DISCLOSURE_SCORE","FY 2002","FY 2002","Currency=USD","Period=FQ","BEST_FPERIOD_OVERRIDE=FQ","FILING_STATUS=MR","Sort=A","Dates=H","DateFormat=P","Fill=—","Direction=H","UseDPDF=Y")</f>
        <v>—</v>
      </c>
      <c r="F9" s="14" t="str">
        <f>_xll.BDH("AMGN US Equity","SOCIAL_DISCLOSURE_SCORE","FY 2003","FY 2003","Currency=USD","Period=FQ","BEST_FPERIOD_OVERRIDE=FQ","FILING_STATUS=MR","Sort=A","Dates=H","DateFormat=P","Fill=—","Direction=H","UseDPDF=Y")</f>
        <v>—</v>
      </c>
      <c r="G9" s="14" t="str">
        <f>_xll.BDH("AMGN US Equity","SOCIAL_DISCLOSURE_SCORE","FY 2004","FY 2004","Currency=USD","Period=FQ","BEST_FPERIOD_OVERRIDE=FQ","FILING_STATUS=MR","Sort=A","Dates=H","DateFormat=P","Fill=—","Direction=H","UseDPDF=Y")</f>
        <v>—</v>
      </c>
      <c r="H9" s="14" t="str">
        <f>_xll.BDH("AMGN US Equity","SOCIAL_DISCLOSURE_SCORE","FY 2005","FY 2005","Currency=USD","Period=FQ","BEST_FPERIOD_OVERRIDE=FQ","FILING_STATUS=MR","Sort=A","Dates=H","DateFormat=P","Fill=—","Direction=H","UseDPDF=Y")</f>
        <v>—</v>
      </c>
      <c r="I9" s="14" t="str">
        <f>_xll.BDH("AMGN US Equity","SOCIAL_DISCLOSURE_SCORE","FY 2006","FY 2006","Currency=USD","Period=FQ","BEST_FPERIOD_OVERRIDE=FQ","FILING_STATUS=MR","Sort=A","Dates=H","DateFormat=P","Fill=—","Direction=H","UseDPDF=Y")</f>
        <v>—</v>
      </c>
      <c r="J9" s="14" t="str">
        <f>_xll.BDH("AMGN US Equity","SOCIAL_DISCLOSURE_SCORE","FY 2007","FY 2007","Currency=USD","Period=FQ","BEST_FPERIOD_OVERRIDE=FQ","FILING_STATUS=MR","Sort=A","Dates=H","DateFormat=P","Fill=—","Direction=H","UseDPDF=Y")</f>
        <v>—</v>
      </c>
      <c r="K9" s="14" t="str">
        <f>_xll.BDH("AMGN US Equity","SOCIAL_DISCLOSURE_SCORE","FY 2008","FY 2008","Currency=USD","Period=FQ","BEST_FPERIOD_OVERRIDE=FQ","FILING_STATUS=MR","Sort=A","Dates=H","DateFormat=P","Fill=—","Direction=H","UseDPDF=Y")</f>
        <v>—</v>
      </c>
      <c r="L9" s="14" t="str">
        <f>_xll.BDH("AMGN US Equity","SOCIAL_DISCLOSURE_SCORE","FY 2009","FY 2009","Currency=USD","Period=FQ","BEST_FPERIOD_OVERRIDE=FQ","FILING_STATUS=MR","Sort=A","Dates=H","DateFormat=P","Fill=—","Direction=H","UseDPDF=Y")</f>
        <v>—</v>
      </c>
      <c r="M9" s="14" t="str">
        <f>_xll.BDH("AMGN US Equity","SOCIAL_DISCLOSURE_SCORE","FY 2010","FY 2010","Currency=USD","Period=FQ","BEST_FPERIOD_OVERRIDE=FQ","FILING_STATUS=MR","Sort=A","Dates=H","DateFormat=P","Fill=—","Direction=H","UseDPDF=Y")</f>
        <v>—</v>
      </c>
      <c r="N9" s="14" t="str">
        <f>_xll.BDH("AMGN US Equity","SOCIAL_DISCLOSURE_SCORE","FY 2011","FY 2011","Currency=USD","Period=FQ","BEST_FPERIOD_OVERRIDE=FQ","FILING_STATUS=MR","Sort=A","Dates=H","DateFormat=P","Fill=—","Direction=H","UseDPDF=Y")</f>
        <v>—</v>
      </c>
      <c r="O9" s="14" t="str">
        <f>_xll.BDH("AMGN US Equity","SOCIAL_DISCLOSURE_SCORE","FY 2012","FY 2012","Currency=USD","Period=FQ","BEST_FPERIOD_OVERRIDE=FQ","FILING_STATUS=MR","Sort=A","Dates=H","DateFormat=P","Fill=—","Direction=H","UseDPDF=Y")</f>
        <v>—</v>
      </c>
      <c r="P9" s="14" t="str">
        <f>_xll.BDH("AMGN US Equity","SOCIAL_DISCLOSURE_SCORE","FY 2013","FY 2013","Currency=USD","Period=FQ","BEST_FPERIOD_OVERRIDE=FQ","FILING_STATUS=MR","Sort=A","Dates=H","DateFormat=P","Fill=—","Direction=H","UseDPDF=Y")</f>
        <v>—</v>
      </c>
      <c r="Q9" s="14" t="str">
        <f>_xll.BDH("AMGN US Equity","SOCIAL_DISCLOSURE_SCORE","FY 2014","FY 2014","Currency=USD","Period=FQ","BEST_FPERIOD_OVERRIDE=FQ","FILING_STATUS=MR","Sort=A","Dates=H","DateFormat=P","Fill=—","Direction=H","UseDPDF=Y")</f>
        <v>—</v>
      </c>
      <c r="R9" s="14" t="str">
        <f>_xll.BDH("AMGN US Equity","SOCIAL_DISCLOSURE_SCORE","FY 2015","FY 2015","Currency=USD","Period=FQ","BEST_FPERIOD_OVERRIDE=FQ","FILING_STATUS=MR","Sort=A","Dates=H","DateFormat=P","Fill=—","Direction=H","UseDPDF=Y")</f>
        <v>—</v>
      </c>
      <c r="S9" s="14" t="str">
        <f>_xll.BDH("AMGN US Equity","SOCIAL_DISCLOSURE_SCORE","FY 2016","FY 2016","Currency=USD","Period=FQ","BEST_FPERIOD_OVERRIDE=FQ","FILING_STATUS=MR","Sort=A","Dates=H","DateFormat=P","Fill=—","Direction=H","UseDPDF=Y")</f>
        <v>—</v>
      </c>
      <c r="T9" s="14" t="str">
        <f>_xll.BDH("AMGN US Equity","SOCIAL_DISCLOSURE_SCORE","FY 2017","FY 2017","Currency=USD","Period=FQ","BEST_FPERIOD_OVERRIDE=FQ","FILING_STATUS=MR","Sort=A","Dates=H","DateFormat=P","Fill=—","Direction=H","UseDPDF=Y")</f>
        <v>—</v>
      </c>
      <c r="U9" s="14" t="str">
        <f>_xll.BDH("AMGN US Equity","SOCIAL_DISCLOSURE_SCORE","FY 2018","FY 2018","Currency=USD","Period=FQ","BEST_FPERIOD_OVERRIDE=FQ","FILING_STATUS=MR","Sort=A","Dates=H","DateFormat=P","Fill=—","Direction=H","UseDPDF=Y")</f>
        <v>—</v>
      </c>
      <c r="V9" s="14" t="str">
        <f>_xll.BDH("AMGN US Equity","SOCIAL_DISCLOSURE_SCORE","FY 2019","FY 2019","Currency=USD","Period=FQ","BEST_FPERIOD_OVERRIDE=FQ","FILING_STATUS=MR","Sort=A","Dates=H","DateFormat=P","Fill=—","Direction=H","UseDPDF=Y")</f>
        <v>—</v>
      </c>
      <c r="W9" s="14" t="str">
        <f>_xll.BDH("AMGN US Equity","SOCIAL_DISCLOSURE_SCORE","FY 2020","FY 2020","Currency=USD","Period=FQ","BEST_FPERIOD_OVERRIDE=FQ","FILING_STATUS=MR","Sort=A","Dates=H","DateFormat=P","Fill=—","Direction=H","UseDPDF=Y")</f>
        <v>—</v>
      </c>
      <c r="X9" s="14" t="str">
        <f>_xll.BDH("AMGN US Equity","SOCIAL_DISCLOSURE_SCORE","FY 2021","FY 2021","Currency=USD","Period=FQ","BEST_FPERIOD_OVERRIDE=FQ","FILING_STATUS=MR","Sort=A","Dates=H","DateFormat=P","Fill=—","Direction=H","UseDPDF=Y")</f>
        <v>—</v>
      </c>
      <c r="Y9" s="14" t="str">
        <f>_xll.BDH("AMGN US Equity","SOCIAL_DISCLOSURE_SCORE","FY 2022","FY 2022","Currency=USD","Period=FQ","BEST_FPERIOD_OVERRIDE=FQ","FILING_STATUS=MR","Sort=A","Dates=H","DateFormat=P","Fill=—","Direction=H","UseDPDF=Y")</f>
        <v>—</v>
      </c>
      <c r="Z9" s="14" t="str">
        <f>_xll.BDH("AMGN US Equity","SOCIAL_DISCLOSURE_SCORE","FY 2023","FY 2023","Currency=USD","Period=FQ","BEST_FPERIOD_OVERRIDE=FQ","FILING_STATUS=MR","Sort=A","Dates=H","DateFormat=P","Fill=—","Direction=H","UseDPDF=Y")</f>
        <v>—</v>
      </c>
      <c r="AA9" s="14" t="str">
        <f>_xll.BDH("AMGN US Equity","SOCIAL_DISCLOSURE_SCORE","FY 2024","FY 2024","Currency=USD","Period=FQ","BEST_FPERIOD_OVERRIDE=FQ","FILING_STATUS=MR","Sort=A","Dates=H","DateFormat=P","Fill=—","Direction=H","UseDPDF=Y")</f>
        <v>—</v>
      </c>
    </row>
    <row r="10" spans="1:27" x14ac:dyDescent="0.25">
      <c r="A10" s="10" t="s">
        <v>1911</v>
      </c>
      <c r="B10" s="10" t="s">
        <v>1912</v>
      </c>
      <c r="C10" s="14" t="str">
        <f>_xll.BDH("AMGN US Equity","GOVNCE_DISCLOSURE_SCORE","FY 2000","FY 2000","Currency=USD","Period=FQ","BEST_FPERIOD_OVERRIDE=FQ","FILING_STATUS=MR","Sort=A","Dates=H","DateFormat=P","Fill=—","Direction=H","UseDPDF=Y")</f>
        <v>—</v>
      </c>
      <c r="D10" s="14" t="str">
        <f>_xll.BDH("AMGN US Equity","GOVNCE_DISCLOSURE_SCORE","FY 2001","FY 2001","Currency=USD","Period=FQ","BEST_FPERIOD_OVERRIDE=FQ","FILING_STATUS=MR","Sort=A","Dates=H","DateFormat=P","Fill=—","Direction=H","UseDPDF=Y")</f>
        <v>—</v>
      </c>
      <c r="E10" s="14" t="str">
        <f>_xll.BDH("AMGN US Equity","GOVNCE_DISCLOSURE_SCORE","FY 2002","FY 2002","Currency=USD","Period=FQ","BEST_FPERIOD_OVERRIDE=FQ","FILING_STATUS=MR","Sort=A","Dates=H","DateFormat=P","Fill=—","Direction=H","UseDPDF=Y")</f>
        <v>—</v>
      </c>
      <c r="F10" s="14" t="str">
        <f>_xll.BDH("AMGN US Equity","GOVNCE_DISCLOSURE_SCORE","FY 2003","FY 2003","Currency=USD","Period=FQ","BEST_FPERIOD_OVERRIDE=FQ","FILING_STATUS=MR","Sort=A","Dates=H","DateFormat=P","Fill=—","Direction=H","UseDPDF=Y")</f>
        <v>—</v>
      </c>
      <c r="G10" s="14" t="str">
        <f>_xll.BDH("AMGN US Equity","GOVNCE_DISCLOSURE_SCORE","FY 2004","FY 2004","Currency=USD","Period=FQ","BEST_FPERIOD_OVERRIDE=FQ","FILING_STATUS=MR","Sort=A","Dates=H","DateFormat=P","Fill=—","Direction=H","UseDPDF=Y")</f>
        <v>—</v>
      </c>
      <c r="H10" s="14" t="str">
        <f>_xll.BDH("AMGN US Equity","GOVNCE_DISCLOSURE_SCORE","FY 2005","FY 2005","Currency=USD","Period=FQ","BEST_FPERIOD_OVERRIDE=FQ","FILING_STATUS=MR","Sort=A","Dates=H","DateFormat=P","Fill=—","Direction=H","UseDPDF=Y")</f>
        <v>—</v>
      </c>
      <c r="I10" s="14" t="str">
        <f>_xll.BDH("AMGN US Equity","GOVNCE_DISCLOSURE_SCORE","FY 2006","FY 2006","Currency=USD","Period=FQ","BEST_FPERIOD_OVERRIDE=FQ","FILING_STATUS=MR","Sort=A","Dates=H","DateFormat=P","Fill=—","Direction=H","UseDPDF=Y")</f>
        <v>—</v>
      </c>
      <c r="J10" s="14" t="str">
        <f>_xll.BDH("AMGN US Equity","GOVNCE_DISCLOSURE_SCORE","FY 2007","FY 2007","Currency=USD","Period=FQ","BEST_FPERIOD_OVERRIDE=FQ","FILING_STATUS=MR","Sort=A","Dates=H","DateFormat=P","Fill=—","Direction=H","UseDPDF=Y")</f>
        <v>—</v>
      </c>
      <c r="K10" s="14" t="str">
        <f>_xll.BDH("AMGN US Equity","GOVNCE_DISCLOSURE_SCORE","FY 2008","FY 2008","Currency=USD","Period=FQ","BEST_FPERIOD_OVERRIDE=FQ","FILING_STATUS=MR","Sort=A","Dates=H","DateFormat=P","Fill=—","Direction=H","UseDPDF=Y")</f>
        <v>—</v>
      </c>
      <c r="L10" s="14" t="str">
        <f>_xll.BDH("AMGN US Equity","GOVNCE_DISCLOSURE_SCORE","FY 2009","FY 2009","Currency=USD","Period=FQ","BEST_FPERIOD_OVERRIDE=FQ","FILING_STATUS=MR","Sort=A","Dates=H","DateFormat=P","Fill=—","Direction=H","UseDPDF=Y")</f>
        <v>—</v>
      </c>
      <c r="M10" s="14" t="str">
        <f>_xll.BDH("AMGN US Equity","GOVNCE_DISCLOSURE_SCORE","FY 2010","FY 2010","Currency=USD","Period=FQ","BEST_FPERIOD_OVERRIDE=FQ","FILING_STATUS=MR","Sort=A","Dates=H","DateFormat=P","Fill=—","Direction=H","UseDPDF=Y")</f>
        <v>—</v>
      </c>
      <c r="N10" s="14" t="str">
        <f>_xll.BDH("AMGN US Equity","GOVNCE_DISCLOSURE_SCORE","FY 2011","FY 2011","Currency=USD","Period=FQ","BEST_FPERIOD_OVERRIDE=FQ","FILING_STATUS=MR","Sort=A","Dates=H","DateFormat=P","Fill=—","Direction=H","UseDPDF=Y")</f>
        <v>—</v>
      </c>
      <c r="O10" s="14" t="str">
        <f>_xll.BDH("AMGN US Equity","GOVNCE_DISCLOSURE_SCORE","FY 2012","FY 2012","Currency=USD","Period=FQ","BEST_FPERIOD_OVERRIDE=FQ","FILING_STATUS=MR","Sort=A","Dates=H","DateFormat=P","Fill=—","Direction=H","UseDPDF=Y")</f>
        <v>—</v>
      </c>
      <c r="P10" s="14" t="str">
        <f>_xll.BDH("AMGN US Equity","GOVNCE_DISCLOSURE_SCORE","FY 2013","FY 2013","Currency=USD","Period=FQ","BEST_FPERIOD_OVERRIDE=FQ","FILING_STATUS=MR","Sort=A","Dates=H","DateFormat=P","Fill=—","Direction=H","UseDPDF=Y")</f>
        <v>—</v>
      </c>
      <c r="Q10" s="14" t="str">
        <f>_xll.BDH("AMGN US Equity","GOVNCE_DISCLOSURE_SCORE","FY 2014","FY 2014","Currency=USD","Period=FQ","BEST_FPERIOD_OVERRIDE=FQ","FILING_STATUS=MR","Sort=A","Dates=H","DateFormat=P","Fill=—","Direction=H","UseDPDF=Y")</f>
        <v>—</v>
      </c>
      <c r="R10" s="14" t="str">
        <f>_xll.BDH("AMGN US Equity","GOVNCE_DISCLOSURE_SCORE","FY 2015","FY 2015","Currency=USD","Period=FQ","BEST_FPERIOD_OVERRIDE=FQ","FILING_STATUS=MR","Sort=A","Dates=H","DateFormat=P","Fill=—","Direction=H","UseDPDF=Y")</f>
        <v>—</v>
      </c>
      <c r="S10" s="14" t="str">
        <f>_xll.BDH("AMGN US Equity","GOVNCE_DISCLOSURE_SCORE","FY 2016","FY 2016","Currency=USD","Period=FQ","BEST_FPERIOD_OVERRIDE=FQ","FILING_STATUS=MR","Sort=A","Dates=H","DateFormat=P","Fill=—","Direction=H","UseDPDF=Y")</f>
        <v>—</v>
      </c>
      <c r="T10" s="14" t="str">
        <f>_xll.BDH("AMGN US Equity","GOVNCE_DISCLOSURE_SCORE","FY 2017","FY 2017","Currency=USD","Period=FQ","BEST_FPERIOD_OVERRIDE=FQ","FILING_STATUS=MR","Sort=A","Dates=H","DateFormat=P","Fill=—","Direction=H","UseDPDF=Y")</f>
        <v>—</v>
      </c>
      <c r="U10" s="14" t="str">
        <f>_xll.BDH("AMGN US Equity","GOVNCE_DISCLOSURE_SCORE","FY 2018","FY 2018","Currency=USD","Period=FQ","BEST_FPERIOD_OVERRIDE=FQ","FILING_STATUS=MR","Sort=A","Dates=H","DateFormat=P","Fill=—","Direction=H","UseDPDF=Y")</f>
        <v>—</v>
      </c>
      <c r="V10" s="14" t="str">
        <f>_xll.BDH("AMGN US Equity","GOVNCE_DISCLOSURE_SCORE","FY 2019","FY 2019","Currency=USD","Period=FQ","BEST_FPERIOD_OVERRIDE=FQ","FILING_STATUS=MR","Sort=A","Dates=H","DateFormat=P","Fill=—","Direction=H","UseDPDF=Y")</f>
        <v>—</v>
      </c>
      <c r="W10" s="14" t="str">
        <f>_xll.BDH("AMGN US Equity","GOVNCE_DISCLOSURE_SCORE","FY 2020","FY 2020","Currency=USD","Period=FQ","BEST_FPERIOD_OVERRIDE=FQ","FILING_STATUS=MR","Sort=A","Dates=H","DateFormat=P","Fill=—","Direction=H","UseDPDF=Y")</f>
        <v>—</v>
      </c>
      <c r="X10" s="14" t="str">
        <f>_xll.BDH("AMGN US Equity","GOVNCE_DISCLOSURE_SCORE","FY 2021","FY 2021","Currency=USD","Period=FQ","BEST_FPERIOD_OVERRIDE=FQ","FILING_STATUS=MR","Sort=A","Dates=H","DateFormat=P","Fill=—","Direction=H","UseDPDF=Y")</f>
        <v>—</v>
      </c>
      <c r="Y10" s="14" t="str">
        <f>_xll.BDH("AMGN US Equity","GOVNCE_DISCLOSURE_SCORE","FY 2022","FY 2022","Currency=USD","Period=FQ","BEST_FPERIOD_OVERRIDE=FQ","FILING_STATUS=MR","Sort=A","Dates=H","DateFormat=P","Fill=—","Direction=H","UseDPDF=Y")</f>
        <v>—</v>
      </c>
      <c r="Z10" s="14" t="str">
        <f>_xll.BDH("AMGN US Equity","GOVNCE_DISCLOSURE_SCORE","FY 2023","FY 2023","Currency=USD","Period=FQ","BEST_FPERIOD_OVERRIDE=FQ","FILING_STATUS=MR","Sort=A","Dates=H","DateFormat=P","Fill=—","Direction=H","UseDPDF=Y")</f>
        <v>—</v>
      </c>
      <c r="AA10" s="14" t="str">
        <f>_xll.BDH("AMGN US Equity","GOVNCE_DISCLOSURE_SCORE","FY 2024","FY 2024","Currency=USD","Period=FQ","BEST_FPERIOD_OVERRIDE=FQ","FILING_STATUS=MR","Sort=A","Dates=H","DateFormat=P","Fill=—","Direction=H","UseDPDF=Y")</f>
        <v>—</v>
      </c>
    </row>
    <row r="11" spans="1:27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6" t="s">
        <v>1913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x14ac:dyDescent="0.25">
      <c r="A13" s="10" t="s">
        <v>1914</v>
      </c>
      <c r="B13" s="10" t="s">
        <v>1915</v>
      </c>
      <c r="C13" s="14" t="str">
        <f>_xll.BDH("AMGN US Equity","GHG_INTENSITY_PER_SALES","FY 2000","FY 2000","Currency=USD","Period=FQ","BEST_FPERIOD_OVERRIDE=FQ","FILING_STATUS=MR","FA_ADJUSTED=GAAP","Sort=A","Dates=H","DateFormat=P","Fill=—","Direction=H","UseDPDF=Y")</f>
        <v>—</v>
      </c>
      <c r="D13" s="14" t="str">
        <f>_xll.BDH("AMGN US Equity","GHG_INTENSITY_PER_SALES","FY 2001","FY 2001","Currency=USD","Period=FQ","BEST_FPERIOD_OVERRIDE=FQ","FILING_STATUS=MR","FA_ADJUSTED=GAAP","Sort=A","Dates=H","DateFormat=P","Fill=—","Direction=H","UseDPDF=Y")</f>
        <v>—</v>
      </c>
      <c r="E13" s="14" t="str">
        <f>_xll.BDH("AMGN US Equity","GHG_INTENSITY_PER_SALES","FY 2002","FY 2002","Currency=USD","Period=FQ","BEST_FPERIOD_OVERRIDE=FQ","FILING_STATUS=MR","FA_ADJUSTED=GAAP","Sort=A","Dates=H","DateFormat=P","Fill=—","Direction=H","UseDPDF=Y")</f>
        <v>—</v>
      </c>
      <c r="F13" s="14" t="str">
        <f>_xll.BDH("AMGN US Equity","GHG_INTENSITY_PER_SALES","FY 2003","FY 2003","Currency=USD","Period=FQ","BEST_FPERIOD_OVERRIDE=FQ","FILING_STATUS=MR","FA_ADJUSTED=GAAP","Sort=A","Dates=H","DateFormat=P","Fill=—","Direction=H","UseDPDF=Y")</f>
        <v>—</v>
      </c>
      <c r="G13" s="14" t="str">
        <f>_xll.BDH("AMGN US Equity","GHG_INTENSITY_PER_SALES","FY 2004","FY 2004","Currency=USD","Period=FQ","BEST_FPERIOD_OVERRIDE=FQ","FILING_STATUS=MR","FA_ADJUSTED=GAAP","Sort=A","Dates=H","DateFormat=P","Fill=—","Direction=H","UseDPDF=Y")</f>
        <v>—</v>
      </c>
      <c r="H13" s="14" t="str">
        <f>_xll.BDH("AMGN US Equity","GHG_INTENSITY_PER_SALES","FY 2005","FY 2005","Currency=USD","Period=FQ","BEST_FPERIOD_OVERRIDE=FQ","FILING_STATUS=MR","FA_ADJUSTED=GAAP","Sort=A","Dates=H","DateFormat=P","Fill=—","Direction=H","UseDPDF=Y")</f>
        <v>—</v>
      </c>
      <c r="I13" s="14" t="str">
        <f>_xll.BDH("AMGN US Equity","GHG_INTENSITY_PER_SALES","FY 2006","FY 2006","Currency=USD","Period=FQ","BEST_FPERIOD_OVERRIDE=FQ","FILING_STATUS=MR","FA_ADJUSTED=GAAP","Sort=A","Dates=H","DateFormat=P","Fill=—","Direction=H","UseDPDF=Y")</f>
        <v>—</v>
      </c>
      <c r="J13" s="14" t="str">
        <f>_xll.BDH("AMGN US Equity","GHG_INTENSITY_PER_SALES","FY 2007","FY 2007","Currency=USD","Period=FQ","BEST_FPERIOD_OVERRIDE=FQ","FILING_STATUS=MR","FA_ADJUSTED=GAAP","Sort=A","Dates=H","DateFormat=P","Fill=—","Direction=H","UseDPDF=Y")</f>
        <v>—</v>
      </c>
      <c r="K13" s="14" t="str">
        <f>_xll.BDH("AMGN US Equity","GHG_INTENSITY_PER_SALES","FY 2008","FY 2008","Currency=USD","Period=FQ","BEST_FPERIOD_OVERRIDE=FQ","FILING_STATUS=MR","FA_ADJUSTED=GAAP","Sort=A","Dates=H","DateFormat=P","Fill=—","Direction=H","UseDPDF=Y")</f>
        <v>—</v>
      </c>
      <c r="L13" s="14" t="str">
        <f>_xll.BDH("AMGN US Equity","GHG_INTENSITY_PER_SALES","FY 2009","FY 2009","Currency=USD","Period=FQ","BEST_FPERIOD_OVERRIDE=FQ","FILING_STATUS=MR","FA_ADJUSTED=GAAP","Sort=A","Dates=H","DateFormat=P","Fill=—","Direction=H","UseDPDF=Y")</f>
        <v>—</v>
      </c>
      <c r="M13" s="14" t="str">
        <f>_xll.BDH("AMGN US Equity","GHG_INTENSITY_PER_SALES","FY 2010","FY 2010","Currency=USD","Period=FQ","BEST_FPERIOD_OVERRIDE=FQ","FILING_STATUS=MR","FA_ADJUSTED=GAAP","Sort=A","Dates=H","DateFormat=P","Fill=—","Direction=H","UseDPDF=Y")</f>
        <v>—</v>
      </c>
      <c r="N13" s="14" t="str">
        <f>_xll.BDH("AMGN US Equity","GHG_INTENSITY_PER_SALES","FY 2011","FY 2011","Currency=USD","Period=FQ","BEST_FPERIOD_OVERRIDE=FQ","FILING_STATUS=MR","FA_ADJUSTED=GAAP","Sort=A","Dates=H","DateFormat=P","Fill=—","Direction=H","UseDPDF=Y")</f>
        <v>—</v>
      </c>
      <c r="O13" s="14" t="str">
        <f>_xll.BDH("AMGN US Equity","GHG_INTENSITY_PER_SALES","FY 2012","FY 2012","Currency=USD","Period=FQ","BEST_FPERIOD_OVERRIDE=FQ","FILING_STATUS=MR","FA_ADJUSTED=GAAP","Sort=A","Dates=H","DateFormat=P","Fill=—","Direction=H","UseDPDF=Y")</f>
        <v>—</v>
      </c>
      <c r="P13" s="14" t="str">
        <f>_xll.BDH("AMGN US Equity","GHG_INTENSITY_PER_SALES","FY 2013","FY 2013","Currency=USD","Period=FQ","BEST_FPERIOD_OVERRIDE=FQ","FILING_STATUS=MR","FA_ADJUSTED=GAAP","Sort=A","Dates=H","DateFormat=P","Fill=—","Direction=H","UseDPDF=Y")</f>
        <v>—</v>
      </c>
      <c r="Q13" s="14" t="str">
        <f>_xll.BDH("AMGN US Equity","GHG_INTENSITY_PER_SALES","FY 2014","FY 2014","Currency=USD","Period=FQ","BEST_FPERIOD_OVERRIDE=FQ","FILING_STATUS=MR","FA_ADJUSTED=GAAP","Sort=A","Dates=H","DateFormat=P","Fill=—","Direction=H","UseDPDF=Y")</f>
        <v>—</v>
      </c>
      <c r="R13" s="14" t="str">
        <f>_xll.BDH("AMGN US Equity","GHG_INTENSITY_PER_SALES","FY 2015","FY 2015","Currency=USD","Period=FQ","BEST_FPERIOD_OVERRIDE=FQ","FILING_STATUS=MR","FA_ADJUSTED=GAAP","Sort=A","Dates=H","DateFormat=P","Fill=—","Direction=H","UseDPDF=Y")</f>
        <v>—</v>
      </c>
      <c r="S13" s="14" t="str">
        <f>_xll.BDH("AMGN US Equity","GHG_INTENSITY_PER_SALES","FY 2016","FY 2016","Currency=USD","Period=FQ","BEST_FPERIOD_OVERRIDE=FQ","FILING_STATUS=MR","FA_ADJUSTED=GAAP","Sort=A","Dates=H","DateFormat=P","Fill=—","Direction=H","UseDPDF=Y")</f>
        <v>—</v>
      </c>
      <c r="T13" s="14" t="str">
        <f>_xll.BDH("AMGN US Equity","GHG_INTENSITY_PER_SALES","FY 2017","FY 2017","Currency=USD","Period=FQ","BEST_FPERIOD_OVERRIDE=FQ","FILING_STATUS=MR","FA_ADJUSTED=GAAP","Sort=A","Dates=H","DateFormat=P","Fill=—","Direction=H","UseDPDF=Y")</f>
        <v>—</v>
      </c>
      <c r="U13" s="14" t="str">
        <f>_xll.BDH("AMGN US Equity","GHG_INTENSITY_PER_SALES","FY 2018","FY 2018","Currency=USD","Period=FQ","BEST_FPERIOD_OVERRIDE=FQ","FILING_STATUS=MR","FA_ADJUSTED=GAAP","Sort=A","Dates=H","DateFormat=P","Fill=—","Direction=H","UseDPDF=Y")</f>
        <v>—</v>
      </c>
      <c r="V13" s="14" t="str">
        <f>_xll.BDH("AMGN US Equity","GHG_INTENSITY_PER_SALES","FY 2019","FY 2019","Currency=USD","Period=FQ","BEST_FPERIOD_OVERRIDE=FQ","FILING_STATUS=MR","FA_ADJUSTED=GAAP","Sort=A","Dates=H","DateFormat=P","Fill=—","Direction=H","UseDPDF=Y")</f>
        <v>—</v>
      </c>
      <c r="W13" s="14" t="str">
        <f>_xll.BDH("AMGN US Equity","GHG_INTENSITY_PER_SALES","FY 2020","FY 2020","Currency=USD","Period=FQ","BEST_FPERIOD_OVERRIDE=FQ","FILING_STATUS=MR","FA_ADJUSTED=GAAP","Sort=A","Dates=H","DateFormat=P","Fill=—","Direction=H","UseDPDF=Y")</f>
        <v>—</v>
      </c>
      <c r="X13" s="14" t="str">
        <f>_xll.BDH("AMGN US Equity","GHG_INTENSITY_PER_SALES","FY 2021","FY 2021","Currency=USD","Period=FQ","BEST_FPERIOD_OVERRIDE=FQ","FILING_STATUS=MR","FA_ADJUSTED=GAAP","Sort=A","Dates=H","DateFormat=P","Fill=—","Direction=H","UseDPDF=Y")</f>
        <v>—</v>
      </c>
      <c r="Y13" s="14" t="str">
        <f>_xll.BDH("AMGN US Equity","GHG_INTENSITY_PER_SALES","FY 2022","FY 2022","Currency=USD","Period=FQ","BEST_FPERIOD_OVERRIDE=FQ","FILING_STATUS=MR","FA_ADJUSTED=GAAP","Sort=A","Dates=H","DateFormat=P","Fill=—","Direction=H","UseDPDF=Y")</f>
        <v>—</v>
      </c>
      <c r="Z13" s="14" t="str">
        <f>_xll.BDH("AMGN US Equity","GHG_INTENSITY_PER_SALES","FY 2023","FY 2023","Currency=USD","Period=FQ","BEST_FPERIOD_OVERRIDE=FQ","FILING_STATUS=MR","FA_ADJUSTED=GAAP","Sort=A","Dates=H","DateFormat=P","Fill=—","Direction=H","UseDPDF=Y")</f>
        <v>—</v>
      </c>
      <c r="AA13" s="14" t="str">
        <f>_xll.BDH("AMGN US Equity","GHG_INTENSITY_PER_SALES","FY 2024","FY 2024","Currency=USD","Period=FQ","BEST_FPERIOD_OVERRIDE=FQ","FILING_STATUS=MR","FA_ADJUSTED=GAAP","Sort=A","Dates=H","DateFormat=P","Fill=—","Direction=H","UseDPDF=Y")</f>
        <v>—</v>
      </c>
    </row>
    <row r="14" spans="1:27" x14ac:dyDescent="0.25">
      <c r="A14" s="10" t="s">
        <v>1916</v>
      </c>
      <c r="B14" s="10" t="s">
        <v>1917</v>
      </c>
      <c r="C14" s="14" t="str">
        <f>_xll.BDH("AMGN US Equity","GHG_SCOPE_1_INTENSITY_PER_SALES","FY 2000","FY 2000","Currency=USD","Period=FQ","BEST_FPERIOD_OVERRIDE=FQ","FILING_STATUS=MR","FA_ADJUSTED=GAAP","Sort=A","Dates=H","DateFormat=P","Fill=—","Direction=H","UseDPDF=Y")</f>
        <v>—</v>
      </c>
      <c r="D14" s="14" t="str">
        <f>_xll.BDH("AMGN US Equity","GHG_SCOPE_1_INTENSITY_PER_SALES","FY 2001","FY 2001","Currency=USD","Period=FQ","BEST_FPERIOD_OVERRIDE=FQ","FILING_STATUS=MR","FA_ADJUSTED=GAAP","Sort=A","Dates=H","DateFormat=P","Fill=—","Direction=H","UseDPDF=Y")</f>
        <v>—</v>
      </c>
      <c r="E14" s="14" t="str">
        <f>_xll.BDH("AMGN US Equity","GHG_SCOPE_1_INTENSITY_PER_SALES","FY 2002","FY 2002","Currency=USD","Period=FQ","BEST_FPERIOD_OVERRIDE=FQ","FILING_STATUS=MR","FA_ADJUSTED=GAAP","Sort=A","Dates=H","DateFormat=P","Fill=—","Direction=H","UseDPDF=Y")</f>
        <v>—</v>
      </c>
      <c r="F14" s="14" t="str">
        <f>_xll.BDH("AMGN US Equity","GHG_SCOPE_1_INTENSITY_PER_SALES","FY 2003","FY 2003","Currency=USD","Period=FQ","BEST_FPERIOD_OVERRIDE=FQ","FILING_STATUS=MR","FA_ADJUSTED=GAAP","Sort=A","Dates=H","DateFormat=P","Fill=—","Direction=H","UseDPDF=Y")</f>
        <v>—</v>
      </c>
      <c r="G14" s="14" t="str">
        <f>_xll.BDH("AMGN US Equity","GHG_SCOPE_1_INTENSITY_PER_SALES","FY 2004","FY 2004","Currency=USD","Period=FQ","BEST_FPERIOD_OVERRIDE=FQ","FILING_STATUS=MR","FA_ADJUSTED=GAAP","Sort=A","Dates=H","DateFormat=P","Fill=—","Direction=H","UseDPDF=Y")</f>
        <v>—</v>
      </c>
      <c r="H14" s="14" t="str">
        <f>_xll.BDH("AMGN US Equity","GHG_SCOPE_1_INTENSITY_PER_SALES","FY 2005","FY 2005","Currency=USD","Period=FQ","BEST_FPERIOD_OVERRIDE=FQ","FILING_STATUS=MR","FA_ADJUSTED=GAAP","Sort=A","Dates=H","DateFormat=P","Fill=—","Direction=H","UseDPDF=Y")</f>
        <v>—</v>
      </c>
      <c r="I14" s="14" t="str">
        <f>_xll.BDH("AMGN US Equity","GHG_SCOPE_1_INTENSITY_PER_SALES","FY 2006","FY 2006","Currency=USD","Period=FQ","BEST_FPERIOD_OVERRIDE=FQ","FILING_STATUS=MR","FA_ADJUSTED=GAAP","Sort=A","Dates=H","DateFormat=P","Fill=—","Direction=H","UseDPDF=Y")</f>
        <v>—</v>
      </c>
      <c r="J14" s="14" t="str">
        <f>_xll.BDH("AMGN US Equity","GHG_SCOPE_1_INTENSITY_PER_SALES","FY 2007","FY 2007","Currency=USD","Period=FQ","BEST_FPERIOD_OVERRIDE=FQ","FILING_STATUS=MR","FA_ADJUSTED=GAAP","Sort=A","Dates=H","DateFormat=P","Fill=—","Direction=H","UseDPDF=Y")</f>
        <v>—</v>
      </c>
      <c r="K14" s="14" t="str">
        <f>_xll.BDH("AMGN US Equity","GHG_SCOPE_1_INTENSITY_PER_SALES","FY 2008","FY 2008","Currency=USD","Period=FQ","BEST_FPERIOD_OVERRIDE=FQ","FILING_STATUS=MR","FA_ADJUSTED=GAAP","Sort=A","Dates=H","DateFormat=P","Fill=—","Direction=H","UseDPDF=Y")</f>
        <v>—</v>
      </c>
      <c r="L14" s="14" t="str">
        <f>_xll.BDH("AMGN US Equity","GHG_SCOPE_1_INTENSITY_PER_SALES","FY 2009","FY 2009","Currency=USD","Period=FQ","BEST_FPERIOD_OVERRIDE=FQ","FILING_STATUS=MR","FA_ADJUSTED=GAAP","Sort=A","Dates=H","DateFormat=P","Fill=—","Direction=H","UseDPDF=Y")</f>
        <v>—</v>
      </c>
      <c r="M14" s="14" t="str">
        <f>_xll.BDH("AMGN US Equity","GHG_SCOPE_1_INTENSITY_PER_SALES","FY 2010","FY 2010","Currency=USD","Period=FQ","BEST_FPERIOD_OVERRIDE=FQ","FILING_STATUS=MR","FA_ADJUSTED=GAAP","Sort=A","Dates=H","DateFormat=P","Fill=—","Direction=H","UseDPDF=Y")</f>
        <v>—</v>
      </c>
      <c r="N14" s="14" t="str">
        <f>_xll.BDH("AMGN US Equity","GHG_SCOPE_1_INTENSITY_PER_SALES","FY 2011","FY 2011","Currency=USD","Period=FQ","BEST_FPERIOD_OVERRIDE=FQ","FILING_STATUS=MR","FA_ADJUSTED=GAAP","Sort=A","Dates=H","DateFormat=P","Fill=—","Direction=H","UseDPDF=Y")</f>
        <v>—</v>
      </c>
      <c r="O14" s="14" t="str">
        <f>_xll.BDH("AMGN US Equity","GHG_SCOPE_1_INTENSITY_PER_SALES","FY 2012","FY 2012","Currency=USD","Period=FQ","BEST_FPERIOD_OVERRIDE=FQ","FILING_STATUS=MR","FA_ADJUSTED=GAAP","Sort=A","Dates=H","DateFormat=P","Fill=—","Direction=H","UseDPDF=Y")</f>
        <v>—</v>
      </c>
      <c r="P14" s="14" t="str">
        <f>_xll.BDH("AMGN US Equity","GHG_SCOPE_1_INTENSITY_PER_SALES","FY 2013","FY 2013","Currency=USD","Period=FQ","BEST_FPERIOD_OVERRIDE=FQ","FILING_STATUS=MR","FA_ADJUSTED=GAAP","Sort=A","Dates=H","DateFormat=P","Fill=—","Direction=H","UseDPDF=Y")</f>
        <v>—</v>
      </c>
      <c r="Q14" s="14" t="str">
        <f>_xll.BDH("AMGN US Equity","GHG_SCOPE_1_INTENSITY_PER_SALES","FY 2014","FY 2014","Currency=USD","Period=FQ","BEST_FPERIOD_OVERRIDE=FQ","FILING_STATUS=MR","FA_ADJUSTED=GAAP","Sort=A","Dates=H","DateFormat=P","Fill=—","Direction=H","UseDPDF=Y")</f>
        <v>—</v>
      </c>
      <c r="R14" s="14" t="str">
        <f>_xll.BDH("AMGN US Equity","GHG_SCOPE_1_INTENSITY_PER_SALES","FY 2015","FY 2015","Currency=USD","Period=FQ","BEST_FPERIOD_OVERRIDE=FQ","FILING_STATUS=MR","FA_ADJUSTED=GAAP","Sort=A","Dates=H","DateFormat=P","Fill=—","Direction=H","UseDPDF=Y")</f>
        <v>—</v>
      </c>
      <c r="S14" s="14" t="str">
        <f>_xll.BDH("AMGN US Equity","GHG_SCOPE_1_INTENSITY_PER_SALES","FY 2016","FY 2016","Currency=USD","Period=FQ","BEST_FPERIOD_OVERRIDE=FQ","FILING_STATUS=MR","FA_ADJUSTED=GAAP","Sort=A","Dates=H","DateFormat=P","Fill=—","Direction=H","UseDPDF=Y")</f>
        <v>—</v>
      </c>
      <c r="T14" s="14" t="str">
        <f>_xll.BDH("AMGN US Equity","GHG_SCOPE_1_INTENSITY_PER_SALES","FY 2017","FY 2017","Currency=USD","Period=FQ","BEST_FPERIOD_OVERRIDE=FQ","FILING_STATUS=MR","FA_ADJUSTED=GAAP","Sort=A","Dates=H","DateFormat=P","Fill=—","Direction=H","UseDPDF=Y")</f>
        <v>—</v>
      </c>
      <c r="U14" s="14" t="str">
        <f>_xll.BDH("AMGN US Equity","GHG_SCOPE_1_INTENSITY_PER_SALES","FY 2018","FY 2018","Currency=USD","Period=FQ","BEST_FPERIOD_OVERRIDE=FQ","FILING_STATUS=MR","FA_ADJUSTED=GAAP","Sort=A","Dates=H","DateFormat=P","Fill=—","Direction=H","UseDPDF=Y")</f>
        <v>—</v>
      </c>
      <c r="V14" s="14" t="str">
        <f>_xll.BDH("AMGN US Equity","GHG_SCOPE_1_INTENSITY_PER_SALES","FY 2019","FY 2019","Currency=USD","Period=FQ","BEST_FPERIOD_OVERRIDE=FQ","FILING_STATUS=MR","FA_ADJUSTED=GAAP","Sort=A","Dates=H","DateFormat=P","Fill=—","Direction=H","UseDPDF=Y")</f>
        <v>—</v>
      </c>
      <c r="W14" s="14" t="str">
        <f>_xll.BDH("AMGN US Equity","GHG_SCOPE_1_INTENSITY_PER_SALES","FY 2020","FY 2020","Currency=USD","Period=FQ","BEST_FPERIOD_OVERRIDE=FQ","FILING_STATUS=MR","FA_ADJUSTED=GAAP","Sort=A","Dates=H","DateFormat=P","Fill=—","Direction=H","UseDPDF=Y")</f>
        <v>—</v>
      </c>
      <c r="X14" s="14" t="str">
        <f>_xll.BDH("AMGN US Equity","GHG_SCOPE_1_INTENSITY_PER_SALES","FY 2021","FY 2021","Currency=USD","Period=FQ","BEST_FPERIOD_OVERRIDE=FQ","FILING_STATUS=MR","FA_ADJUSTED=GAAP","Sort=A","Dates=H","DateFormat=P","Fill=—","Direction=H","UseDPDF=Y")</f>
        <v>—</v>
      </c>
      <c r="Y14" s="14" t="str">
        <f>_xll.BDH("AMGN US Equity","GHG_SCOPE_1_INTENSITY_PER_SALES","FY 2022","FY 2022","Currency=USD","Period=FQ","BEST_FPERIOD_OVERRIDE=FQ","FILING_STATUS=MR","FA_ADJUSTED=GAAP","Sort=A","Dates=H","DateFormat=P","Fill=—","Direction=H","UseDPDF=Y")</f>
        <v>—</v>
      </c>
      <c r="Z14" s="14" t="str">
        <f>_xll.BDH("AMGN US Equity","GHG_SCOPE_1_INTENSITY_PER_SALES","FY 2023","FY 2023","Currency=USD","Period=FQ","BEST_FPERIOD_OVERRIDE=FQ","FILING_STATUS=MR","FA_ADJUSTED=GAAP","Sort=A","Dates=H","DateFormat=P","Fill=—","Direction=H","UseDPDF=Y")</f>
        <v>—</v>
      </c>
      <c r="AA14" s="14" t="str">
        <f>_xll.BDH("AMGN US Equity","GHG_SCOPE_1_INTENSITY_PER_SALES","FY 2024","FY 2024","Currency=USD","Period=FQ","BEST_FPERIOD_OVERRIDE=FQ","FILING_STATUS=MR","FA_ADJUSTED=GAAP","Sort=A","Dates=H","DateFormat=P","Fill=—","Direction=H","UseDPDF=Y")</f>
        <v>—</v>
      </c>
    </row>
    <row r="15" spans="1:27" x14ac:dyDescent="0.25">
      <c r="A15" s="10" t="s">
        <v>1918</v>
      </c>
      <c r="B15" s="10" t="s">
        <v>1919</v>
      </c>
      <c r="C15" s="14" t="str">
        <f>_xll.BDH("AMGN US Equity","GHG_SCOPE_2_INTENSITY_PER_SALES","FY 2000","FY 2000","Currency=USD","Period=FQ","BEST_FPERIOD_OVERRIDE=FQ","FILING_STATUS=MR","FA_ADJUSTED=GAAP","Sort=A","Dates=H","DateFormat=P","Fill=—","Direction=H","UseDPDF=Y")</f>
        <v>—</v>
      </c>
      <c r="D15" s="14" t="str">
        <f>_xll.BDH("AMGN US Equity","GHG_SCOPE_2_INTENSITY_PER_SALES","FY 2001","FY 2001","Currency=USD","Period=FQ","BEST_FPERIOD_OVERRIDE=FQ","FILING_STATUS=MR","FA_ADJUSTED=GAAP","Sort=A","Dates=H","DateFormat=P","Fill=—","Direction=H","UseDPDF=Y")</f>
        <v>—</v>
      </c>
      <c r="E15" s="14" t="str">
        <f>_xll.BDH("AMGN US Equity","GHG_SCOPE_2_INTENSITY_PER_SALES","FY 2002","FY 2002","Currency=USD","Period=FQ","BEST_FPERIOD_OVERRIDE=FQ","FILING_STATUS=MR","FA_ADJUSTED=GAAP","Sort=A","Dates=H","DateFormat=P","Fill=—","Direction=H","UseDPDF=Y")</f>
        <v>—</v>
      </c>
      <c r="F15" s="14" t="str">
        <f>_xll.BDH("AMGN US Equity","GHG_SCOPE_2_INTENSITY_PER_SALES","FY 2003","FY 2003","Currency=USD","Period=FQ","BEST_FPERIOD_OVERRIDE=FQ","FILING_STATUS=MR","FA_ADJUSTED=GAAP","Sort=A","Dates=H","DateFormat=P","Fill=—","Direction=H","UseDPDF=Y")</f>
        <v>—</v>
      </c>
      <c r="G15" s="14" t="str">
        <f>_xll.BDH("AMGN US Equity","GHG_SCOPE_2_INTENSITY_PER_SALES","FY 2004","FY 2004","Currency=USD","Period=FQ","BEST_FPERIOD_OVERRIDE=FQ","FILING_STATUS=MR","FA_ADJUSTED=GAAP","Sort=A","Dates=H","DateFormat=P","Fill=—","Direction=H","UseDPDF=Y")</f>
        <v>—</v>
      </c>
      <c r="H15" s="14" t="str">
        <f>_xll.BDH("AMGN US Equity","GHG_SCOPE_2_INTENSITY_PER_SALES","FY 2005","FY 2005","Currency=USD","Period=FQ","BEST_FPERIOD_OVERRIDE=FQ","FILING_STATUS=MR","FA_ADJUSTED=GAAP","Sort=A","Dates=H","DateFormat=P","Fill=—","Direction=H","UseDPDF=Y")</f>
        <v>—</v>
      </c>
      <c r="I15" s="14" t="str">
        <f>_xll.BDH("AMGN US Equity","GHG_SCOPE_2_INTENSITY_PER_SALES","FY 2006","FY 2006","Currency=USD","Period=FQ","BEST_FPERIOD_OVERRIDE=FQ","FILING_STATUS=MR","FA_ADJUSTED=GAAP","Sort=A","Dates=H","DateFormat=P","Fill=—","Direction=H","UseDPDF=Y")</f>
        <v>—</v>
      </c>
      <c r="J15" s="14" t="str">
        <f>_xll.BDH("AMGN US Equity","GHG_SCOPE_2_INTENSITY_PER_SALES","FY 2007","FY 2007","Currency=USD","Period=FQ","BEST_FPERIOD_OVERRIDE=FQ","FILING_STATUS=MR","FA_ADJUSTED=GAAP","Sort=A","Dates=H","DateFormat=P","Fill=—","Direction=H","UseDPDF=Y")</f>
        <v>—</v>
      </c>
      <c r="K15" s="14" t="str">
        <f>_xll.BDH("AMGN US Equity","GHG_SCOPE_2_INTENSITY_PER_SALES","FY 2008","FY 2008","Currency=USD","Period=FQ","BEST_FPERIOD_OVERRIDE=FQ","FILING_STATUS=MR","FA_ADJUSTED=GAAP","Sort=A","Dates=H","DateFormat=P","Fill=—","Direction=H","UseDPDF=Y")</f>
        <v>—</v>
      </c>
      <c r="L15" s="14" t="str">
        <f>_xll.BDH("AMGN US Equity","GHG_SCOPE_2_INTENSITY_PER_SALES","FY 2009","FY 2009","Currency=USD","Period=FQ","BEST_FPERIOD_OVERRIDE=FQ","FILING_STATUS=MR","FA_ADJUSTED=GAAP","Sort=A","Dates=H","DateFormat=P","Fill=—","Direction=H","UseDPDF=Y")</f>
        <v>—</v>
      </c>
      <c r="M15" s="14" t="str">
        <f>_xll.BDH("AMGN US Equity","GHG_SCOPE_2_INTENSITY_PER_SALES","FY 2010","FY 2010","Currency=USD","Period=FQ","BEST_FPERIOD_OVERRIDE=FQ","FILING_STATUS=MR","FA_ADJUSTED=GAAP","Sort=A","Dates=H","DateFormat=P","Fill=—","Direction=H","UseDPDF=Y")</f>
        <v>—</v>
      </c>
      <c r="N15" s="14" t="str">
        <f>_xll.BDH("AMGN US Equity","GHG_SCOPE_2_INTENSITY_PER_SALES","FY 2011","FY 2011","Currency=USD","Period=FQ","BEST_FPERIOD_OVERRIDE=FQ","FILING_STATUS=MR","FA_ADJUSTED=GAAP","Sort=A","Dates=H","DateFormat=P","Fill=—","Direction=H","UseDPDF=Y")</f>
        <v>—</v>
      </c>
      <c r="O15" s="14" t="str">
        <f>_xll.BDH("AMGN US Equity","GHG_SCOPE_2_INTENSITY_PER_SALES","FY 2012","FY 2012","Currency=USD","Period=FQ","BEST_FPERIOD_OVERRIDE=FQ","FILING_STATUS=MR","FA_ADJUSTED=GAAP","Sort=A","Dates=H","DateFormat=P","Fill=—","Direction=H","UseDPDF=Y")</f>
        <v>—</v>
      </c>
      <c r="P15" s="14" t="str">
        <f>_xll.BDH("AMGN US Equity","GHG_SCOPE_2_INTENSITY_PER_SALES","FY 2013","FY 2013","Currency=USD","Period=FQ","BEST_FPERIOD_OVERRIDE=FQ","FILING_STATUS=MR","FA_ADJUSTED=GAAP","Sort=A","Dates=H","DateFormat=P","Fill=—","Direction=H","UseDPDF=Y")</f>
        <v>—</v>
      </c>
      <c r="Q15" s="14" t="str">
        <f>_xll.BDH("AMGN US Equity","GHG_SCOPE_2_INTENSITY_PER_SALES","FY 2014","FY 2014","Currency=USD","Period=FQ","BEST_FPERIOD_OVERRIDE=FQ","FILING_STATUS=MR","FA_ADJUSTED=GAAP","Sort=A","Dates=H","DateFormat=P","Fill=—","Direction=H","UseDPDF=Y")</f>
        <v>—</v>
      </c>
      <c r="R15" s="14" t="str">
        <f>_xll.BDH("AMGN US Equity","GHG_SCOPE_2_INTENSITY_PER_SALES","FY 2015","FY 2015","Currency=USD","Period=FQ","BEST_FPERIOD_OVERRIDE=FQ","FILING_STATUS=MR","FA_ADJUSTED=GAAP","Sort=A","Dates=H","DateFormat=P","Fill=—","Direction=H","UseDPDF=Y")</f>
        <v>—</v>
      </c>
      <c r="S15" s="14" t="str">
        <f>_xll.BDH("AMGN US Equity","GHG_SCOPE_2_INTENSITY_PER_SALES","FY 2016","FY 2016","Currency=USD","Period=FQ","BEST_FPERIOD_OVERRIDE=FQ","FILING_STATUS=MR","FA_ADJUSTED=GAAP","Sort=A","Dates=H","DateFormat=P","Fill=—","Direction=H","UseDPDF=Y")</f>
        <v>—</v>
      </c>
      <c r="T15" s="14" t="str">
        <f>_xll.BDH("AMGN US Equity","GHG_SCOPE_2_INTENSITY_PER_SALES","FY 2017","FY 2017","Currency=USD","Period=FQ","BEST_FPERIOD_OVERRIDE=FQ","FILING_STATUS=MR","FA_ADJUSTED=GAAP","Sort=A","Dates=H","DateFormat=P","Fill=—","Direction=H","UseDPDF=Y")</f>
        <v>—</v>
      </c>
      <c r="U15" s="14" t="str">
        <f>_xll.BDH("AMGN US Equity","GHG_SCOPE_2_INTENSITY_PER_SALES","FY 2018","FY 2018","Currency=USD","Period=FQ","BEST_FPERIOD_OVERRIDE=FQ","FILING_STATUS=MR","FA_ADJUSTED=GAAP","Sort=A","Dates=H","DateFormat=P","Fill=—","Direction=H","UseDPDF=Y")</f>
        <v>—</v>
      </c>
      <c r="V15" s="14" t="str">
        <f>_xll.BDH("AMGN US Equity","GHG_SCOPE_2_INTENSITY_PER_SALES","FY 2019","FY 2019","Currency=USD","Period=FQ","BEST_FPERIOD_OVERRIDE=FQ","FILING_STATUS=MR","FA_ADJUSTED=GAAP","Sort=A","Dates=H","DateFormat=P","Fill=—","Direction=H","UseDPDF=Y")</f>
        <v>—</v>
      </c>
      <c r="W15" s="14" t="str">
        <f>_xll.BDH("AMGN US Equity","GHG_SCOPE_2_INTENSITY_PER_SALES","FY 2020","FY 2020","Currency=USD","Period=FQ","BEST_FPERIOD_OVERRIDE=FQ","FILING_STATUS=MR","FA_ADJUSTED=GAAP","Sort=A","Dates=H","DateFormat=P","Fill=—","Direction=H","UseDPDF=Y")</f>
        <v>—</v>
      </c>
      <c r="X15" s="14" t="str">
        <f>_xll.BDH("AMGN US Equity","GHG_SCOPE_2_INTENSITY_PER_SALES","FY 2021","FY 2021","Currency=USD","Period=FQ","BEST_FPERIOD_OVERRIDE=FQ","FILING_STATUS=MR","FA_ADJUSTED=GAAP","Sort=A","Dates=H","DateFormat=P","Fill=—","Direction=H","UseDPDF=Y")</f>
        <v>—</v>
      </c>
      <c r="Y15" s="14" t="str">
        <f>_xll.BDH("AMGN US Equity","GHG_SCOPE_2_INTENSITY_PER_SALES","FY 2022","FY 2022","Currency=USD","Period=FQ","BEST_FPERIOD_OVERRIDE=FQ","FILING_STATUS=MR","FA_ADJUSTED=GAAP","Sort=A","Dates=H","DateFormat=P","Fill=—","Direction=H","UseDPDF=Y")</f>
        <v>—</v>
      </c>
      <c r="Z15" s="14" t="str">
        <f>_xll.BDH("AMGN US Equity","GHG_SCOPE_2_INTENSITY_PER_SALES","FY 2023","FY 2023","Currency=USD","Period=FQ","BEST_FPERIOD_OVERRIDE=FQ","FILING_STATUS=MR","FA_ADJUSTED=GAAP","Sort=A","Dates=H","DateFormat=P","Fill=—","Direction=H","UseDPDF=Y")</f>
        <v>—</v>
      </c>
      <c r="AA15" s="14" t="str">
        <f>_xll.BDH("AMGN US Equity","GHG_SCOPE_2_INTENSITY_PER_SALES","FY 2024","FY 2024","Currency=USD","Period=FQ","BEST_FPERIOD_OVERRIDE=FQ","FILING_STATUS=MR","FA_ADJUSTED=GAAP","Sort=A","Dates=H","DateFormat=P","Fill=—","Direction=H","UseDPDF=Y")</f>
        <v>—</v>
      </c>
    </row>
    <row r="16" spans="1:27" x14ac:dyDescent="0.25">
      <c r="A16" s="10" t="s">
        <v>1920</v>
      </c>
      <c r="B16" s="10" t="s">
        <v>1921</v>
      </c>
      <c r="C16" s="14" t="str">
        <f>_xll.BDH("AMGN US Equity","GHG_INTENSITY_PER_EBITDA","FY 2000","FY 2000","Currency=USD","Period=FQ","BEST_FPERIOD_OVERRIDE=FQ","FILING_STATUS=MR","FA_ADJUSTED=GAAP","Sort=A","Dates=H","DateFormat=P","Fill=—","Direction=H","UseDPDF=Y")</f>
        <v>—</v>
      </c>
      <c r="D16" s="14" t="str">
        <f>_xll.BDH("AMGN US Equity","GHG_INTENSITY_PER_EBITDA","FY 2001","FY 2001","Currency=USD","Period=FQ","BEST_FPERIOD_OVERRIDE=FQ","FILING_STATUS=MR","FA_ADJUSTED=GAAP","Sort=A","Dates=H","DateFormat=P","Fill=—","Direction=H","UseDPDF=Y")</f>
        <v>—</v>
      </c>
      <c r="E16" s="14" t="str">
        <f>_xll.BDH("AMGN US Equity","GHG_INTENSITY_PER_EBITDA","FY 2002","FY 2002","Currency=USD","Period=FQ","BEST_FPERIOD_OVERRIDE=FQ","FILING_STATUS=MR","FA_ADJUSTED=GAAP","Sort=A","Dates=H","DateFormat=P","Fill=—","Direction=H","UseDPDF=Y")</f>
        <v>—</v>
      </c>
      <c r="F16" s="14" t="str">
        <f>_xll.BDH("AMGN US Equity","GHG_INTENSITY_PER_EBITDA","FY 2003","FY 2003","Currency=USD","Period=FQ","BEST_FPERIOD_OVERRIDE=FQ","FILING_STATUS=MR","FA_ADJUSTED=GAAP","Sort=A","Dates=H","DateFormat=P","Fill=—","Direction=H","UseDPDF=Y")</f>
        <v>—</v>
      </c>
      <c r="G16" s="14" t="str">
        <f>_xll.BDH("AMGN US Equity","GHG_INTENSITY_PER_EBITDA","FY 2004","FY 2004","Currency=USD","Period=FQ","BEST_FPERIOD_OVERRIDE=FQ","FILING_STATUS=MR","FA_ADJUSTED=GAAP","Sort=A","Dates=H","DateFormat=P","Fill=—","Direction=H","UseDPDF=Y")</f>
        <v>—</v>
      </c>
      <c r="H16" s="14" t="str">
        <f>_xll.BDH("AMGN US Equity","GHG_INTENSITY_PER_EBITDA","FY 2005","FY 2005","Currency=USD","Period=FQ","BEST_FPERIOD_OVERRIDE=FQ","FILING_STATUS=MR","FA_ADJUSTED=GAAP","Sort=A","Dates=H","DateFormat=P","Fill=—","Direction=H","UseDPDF=Y")</f>
        <v>—</v>
      </c>
      <c r="I16" s="14" t="str">
        <f>_xll.BDH("AMGN US Equity","GHG_INTENSITY_PER_EBITDA","FY 2006","FY 2006","Currency=USD","Period=FQ","BEST_FPERIOD_OVERRIDE=FQ","FILING_STATUS=MR","FA_ADJUSTED=GAAP","Sort=A","Dates=H","DateFormat=P","Fill=—","Direction=H","UseDPDF=Y")</f>
        <v>—</v>
      </c>
      <c r="J16" s="14" t="str">
        <f>_xll.BDH("AMGN US Equity","GHG_INTENSITY_PER_EBITDA","FY 2007","FY 2007","Currency=USD","Period=FQ","BEST_FPERIOD_OVERRIDE=FQ","FILING_STATUS=MR","FA_ADJUSTED=GAAP","Sort=A","Dates=H","DateFormat=P","Fill=—","Direction=H","UseDPDF=Y")</f>
        <v>—</v>
      </c>
      <c r="K16" s="14" t="str">
        <f>_xll.BDH("AMGN US Equity","GHG_INTENSITY_PER_EBITDA","FY 2008","FY 2008","Currency=USD","Period=FQ","BEST_FPERIOD_OVERRIDE=FQ","FILING_STATUS=MR","FA_ADJUSTED=GAAP","Sort=A","Dates=H","DateFormat=P","Fill=—","Direction=H","UseDPDF=Y")</f>
        <v>—</v>
      </c>
      <c r="L16" s="14" t="str">
        <f>_xll.BDH("AMGN US Equity","GHG_INTENSITY_PER_EBITDA","FY 2009","FY 2009","Currency=USD","Period=FQ","BEST_FPERIOD_OVERRIDE=FQ","FILING_STATUS=MR","FA_ADJUSTED=GAAP","Sort=A","Dates=H","DateFormat=P","Fill=—","Direction=H","UseDPDF=Y")</f>
        <v>—</v>
      </c>
      <c r="M16" s="14" t="str">
        <f>_xll.BDH("AMGN US Equity","GHG_INTENSITY_PER_EBITDA","FY 2010","FY 2010","Currency=USD","Period=FQ","BEST_FPERIOD_OVERRIDE=FQ","FILING_STATUS=MR","FA_ADJUSTED=GAAP","Sort=A","Dates=H","DateFormat=P","Fill=—","Direction=H","UseDPDF=Y")</f>
        <v>—</v>
      </c>
      <c r="N16" s="14" t="str">
        <f>_xll.BDH("AMGN US Equity","GHG_INTENSITY_PER_EBITDA","FY 2011","FY 2011","Currency=USD","Period=FQ","BEST_FPERIOD_OVERRIDE=FQ","FILING_STATUS=MR","FA_ADJUSTED=GAAP","Sort=A","Dates=H","DateFormat=P","Fill=—","Direction=H","UseDPDF=Y")</f>
        <v>—</v>
      </c>
      <c r="O16" s="14" t="str">
        <f>_xll.BDH("AMGN US Equity","GHG_INTENSITY_PER_EBITDA","FY 2012","FY 2012","Currency=USD","Period=FQ","BEST_FPERIOD_OVERRIDE=FQ","FILING_STATUS=MR","FA_ADJUSTED=GAAP","Sort=A","Dates=H","DateFormat=P","Fill=—","Direction=H","UseDPDF=Y")</f>
        <v>—</v>
      </c>
      <c r="P16" s="14" t="str">
        <f>_xll.BDH("AMGN US Equity","GHG_INTENSITY_PER_EBITDA","FY 2013","FY 2013","Currency=USD","Period=FQ","BEST_FPERIOD_OVERRIDE=FQ","FILING_STATUS=MR","FA_ADJUSTED=GAAP","Sort=A","Dates=H","DateFormat=P","Fill=—","Direction=H","UseDPDF=Y")</f>
        <v>—</v>
      </c>
      <c r="Q16" s="14" t="str">
        <f>_xll.BDH("AMGN US Equity","GHG_INTENSITY_PER_EBITDA","FY 2014","FY 2014","Currency=USD","Period=FQ","BEST_FPERIOD_OVERRIDE=FQ","FILING_STATUS=MR","FA_ADJUSTED=GAAP","Sort=A","Dates=H","DateFormat=P","Fill=—","Direction=H","UseDPDF=Y")</f>
        <v>—</v>
      </c>
      <c r="R16" s="14" t="str">
        <f>_xll.BDH("AMGN US Equity","GHG_INTENSITY_PER_EBITDA","FY 2015","FY 2015","Currency=USD","Period=FQ","BEST_FPERIOD_OVERRIDE=FQ","FILING_STATUS=MR","FA_ADJUSTED=GAAP","Sort=A","Dates=H","DateFormat=P","Fill=—","Direction=H","UseDPDF=Y")</f>
        <v>—</v>
      </c>
      <c r="S16" s="14" t="str">
        <f>_xll.BDH("AMGN US Equity","GHG_INTENSITY_PER_EBITDA","FY 2016","FY 2016","Currency=USD","Period=FQ","BEST_FPERIOD_OVERRIDE=FQ","FILING_STATUS=MR","FA_ADJUSTED=GAAP","Sort=A","Dates=H","DateFormat=P","Fill=—","Direction=H","UseDPDF=Y")</f>
        <v>—</v>
      </c>
      <c r="T16" s="14" t="str">
        <f>_xll.BDH("AMGN US Equity","GHG_INTENSITY_PER_EBITDA","FY 2017","FY 2017","Currency=USD","Period=FQ","BEST_FPERIOD_OVERRIDE=FQ","FILING_STATUS=MR","FA_ADJUSTED=GAAP","Sort=A","Dates=H","DateFormat=P","Fill=—","Direction=H","UseDPDF=Y")</f>
        <v>—</v>
      </c>
      <c r="U16" s="14" t="str">
        <f>_xll.BDH("AMGN US Equity","GHG_INTENSITY_PER_EBITDA","FY 2018","FY 2018","Currency=USD","Period=FQ","BEST_FPERIOD_OVERRIDE=FQ","FILING_STATUS=MR","FA_ADJUSTED=GAAP","Sort=A","Dates=H","DateFormat=P","Fill=—","Direction=H","UseDPDF=Y")</f>
        <v>—</v>
      </c>
      <c r="V16" s="14" t="str">
        <f>_xll.BDH("AMGN US Equity","GHG_INTENSITY_PER_EBITDA","FY 2019","FY 2019","Currency=USD","Period=FQ","BEST_FPERIOD_OVERRIDE=FQ","FILING_STATUS=MR","FA_ADJUSTED=GAAP","Sort=A","Dates=H","DateFormat=P","Fill=—","Direction=H","UseDPDF=Y")</f>
        <v>—</v>
      </c>
      <c r="W16" s="14" t="str">
        <f>_xll.BDH("AMGN US Equity","GHG_INTENSITY_PER_EBITDA","FY 2020","FY 2020","Currency=USD","Period=FQ","BEST_FPERIOD_OVERRIDE=FQ","FILING_STATUS=MR","FA_ADJUSTED=GAAP","Sort=A","Dates=H","DateFormat=P","Fill=—","Direction=H","UseDPDF=Y")</f>
        <v>—</v>
      </c>
      <c r="X16" s="14" t="str">
        <f>_xll.BDH("AMGN US Equity","GHG_INTENSITY_PER_EBITDA","FY 2021","FY 2021","Currency=USD","Period=FQ","BEST_FPERIOD_OVERRIDE=FQ","FILING_STATUS=MR","FA_ADJUSTED=GAAP","Sort=A","Dates=H","DateFormat=P","Fill=—","Direction=H","UseDPDF=Y")</f>
        <v>—</v>
      </c>
      <c r="Y16" s="14" t="str">
        <f>_xll.BDH("AMGN US Equity","GHG_INTENSITY_PER_EBITDA","FY 2022","FY 2022","Currency=USD","Period=FQ","BEST_FPERIOD_OVERRIDE=FQ","FILING_STATUS=MR","FA_ADJUSTED=GAAP","Sort=A","Dates=H","DateFormat=P","Fill=—","Direction=H","UseDPDF=Y")</f>
        <v>—</v>
      </c>
      <c r="Z16" s="14" t="str">
        <f>_xll.BDH("AMGN US Equity","GHG_INTENSITY_PER_EBITDA","FY 2023","FY 2023","Currency=USD","Period=FQ","BEST_FPERIOD_OVERRIDE=FQ","FILING_STATUS=MR","FA_ADJUSTED=GAAP","Sort=A","Dates=H","DateFormat=P","Fill=—","Direction=H","UseDPDF=Y")</f>
        <v>—</v>
      </c>
      <c r="AA16" s="14" t="str">
        <f>_xll.BDH("AMGN US Equity","GHG_INTENSITY_PER_EBITDA","FY 2024","FY 2024","Currency=USD","Period=FQ","BEST_FPERIOD_OVERRIDE=FQ","FILING_STATUS=MR","FA_ADJUSTED=GAAP","Sort=A","Dates=H","DateFormat=P","Fill=—","Direction=H","UseDPDF=Y")</f>
        <v>—</v>
      </c>
    </row>
    <row r="17" spans="1:27" x14ac:dyDescent="0.25">
      <c r="A17" s="10" t="s">
        <v>1922</v>
      </c>
      <c r="B17" s="10" t="s">
        <v>1923</v>
      </c>
      <c r="C17" s="14" t="str">
        <f>_xll.BDH("AMGN US Equity","TOT_GHG_CO2_EM_INT_P_GR_FXD_AST","FY 2000","FY 2000","Currency=USD","Period=FQ","BEST_FPERIOD_OVERRIDE=FQ","FILING_STATUS=MR","Sort=A","Dates=H","DateFormat=P","Fill=—","Direction=H","UseDPDF=Y")</f>
        <v>—</v>
      </c>
      <c r="D17" s="14" t="str">
        <f>_xll.BDH("AMGN US Equity","TOT_GHG_CO2_EM_INT_P_GR_FXD_AST","FY 2001","FY 2001","Currency=USD","Period=FQ","BEST_FPERIOD_OVERRIDE=FQ","FILING_STATUS=MR","Sort=A","Dates=H","DateFormat=P","Fill=—","Direction=H","UseDPDF=Y")</f>
        <v>—</v>
      </c>
      <c r="E17" s="14" t="str">
        <f>_xll.BDH("AMGN US Equity","TOT_GHG_CO2_EM_INT_P_GR_FXD_AST","FY 2002","FY 2002","Currency=USD","Period=FQ","BEST_FPERIOD_OVERRIDE=FQ","FILING_STATUS=MR","Sort=A","Dates=H","DateFormat=P","Fill=—","Direction=H","UseDPDF=Y")</f>
        <v>—</v>
      </c>
      <c r="F17" s="14" t="str">
        <f>_xll.BDH("AMGN US Equity","TOT_GHG_CO2_EM_INT_P_GR_FXD_AST","FY 2003","FY 2003","Currency=USD","Period=FQ","BEST_FPERIOD_OVERRIDE=FQ","FILING_STATUS=MR","Sort=A","Dates=H","DateFormat=P","Fill=—","Direction=H","UseDPDF=Y")</f>
        <v>—</v>
      </c>
      <c r="G17" s="14" t="str">
        <f>_xll.BDH("AMGN US Equity","TOT_GHG_CO2_EM_INT_P_GR_FXD_AST","FY 2004","FY 2004","Currency=USD","Period=FQ","BEST_FPERIOD_OVERRIDE=FQ","FILING_STATUS=MR","Sort=A","Dates=H","DateFormat=P","Fill=—","Direction=H","UseDPDF=Y")</f>
        <v>—</v>
      </c>
      <c r="H17" s="14" t="str">
        <f>_xll.BDH("AMGN US Equity","TOT_GHG_CO2_EM_INT_P_GR_FXD_AST","FY 2005","FY 2005","Currency=USD","Period=FQ","BEST_FPERIOD_OVERRIDE=FQ","FILING_STATUS=MR","Sort=A","Dates=H","DateFormat=P","Fill=—","Direction=H","UseDPDF=Y")</f>
        <v>—</v>
      </c>
      <c r="I17" s="14" t="str">
        <f>_xll.BDH("AMGN US Equity","TOT_GHG_CO2_EM_INT_P_GR_FXD_AST","FY 2006","FY 2006","Currency=USD","Period=FQ","BEST_FPERIOD_OVERRIDE=FQ","FILING_STATUS=MR","Sort=A","Dates=H","DateFormat=P","Fill=—","Direction=H","UseDPDF=Y")</f>
        <v>—</v>
      </c>
      <c r="J17" s="14" t="str">
        <f>_xll.BDH("AMGN US Equity","TOT_GHG_CO2_EM_INT_P_GR_FXD_AST","FY 2007","FY 2007","Currency=USD","Period=FQ","BEST_FPERIOD_OVERRIDE=FQ","FILING_STATUS=MR","Sort=A","Dates=H","DateFormat=P","Fill=—","Direction=H","UseDPDF=Y")</f>
        <v>—</v>
      </c>
      <c r="K17" s="14" t="str">
        <f>_xll.BDH("AMGN US Equity","TOT_GHG_CO2_EM_INT_P_GR_FXD_AST","FY 2008","FY 2008","Currency=USD","Period=FQ","BEST_FPERIOD_OVERRIDE=FQ","FILING_STATUS=MR","Sort=A","Dates=H","DateFormat=P","Fill=—","Direction=H","UseDPDF=Y")</f>
        <v>—</v>
      </c>
      <c r="L17" s="14" t="str">
        <f>_xll.BDH("AMGN US Equity","TOT_GHG_CO2_EM_INT_P_GR_FXD_AST","FY 2009","FY 2009","Currency=USD","Period=FQ","BEST_FPERIOD_OVERRIDE=FQ","FILING_STATUS=MR","Sort=A","Dates=H","DateFormat=P","Fill=—","Direction=H","UseDPDF=Y")</f>
        <v>—</v>
      </c>
      <c r="M17" s="14" t="str">
        <f>_xll.BDH("AMGN US Equity","TOT_GHG_CO2_EM_INT_P_GR_FXD_AST","FY 2010","FY 2010","Currency=USD","Period=FQ","BEST_FPERIOD_OVERRIDE=FQ","FILING_STATUS=MR","Sort=A","Dates=H","DateFormat=P","Fill=—","Direction=H","UseDPDF=Y")</f>
        <v>—</v>
      </c>
      <c r="N17" s="14" t="str">
        <f>_xll.BDH("AMGN US Equity","TOT_GHG_CO2_EM_INT_P_GR_FXD_AST","FY 2011","FY 2011","Currency=USD","Period=FQ","BEST_FPERIOD_OVERRIDE=FQ","FILING_STATUS=MR","Sort=A","Dates=H","DateFormat=P","Fill=—","Direction=H","UseDPDF=Y")</f>
        <v>—</v>
      </c>
      <c r="O17" s="14" t="str">
        <f>_xll.BDH("AMGN US Equity","TOT_GHG_CO2_EM_INT_P_GR_FXD_AST","FY 2012","FY 2012","Currency=USD","Period=FQ","BEST_FPERIOD_OVERRIDE=FQ","FILING_STATUS=MR","Sort=A","Dates=H","DateFormat=P","Fill=—","Direction=H","UseDPDF=Y")</f>
        <v>—</v>
      </c>
      <c r="P17" s="14" t="str">
        <f>_xll.BDH("AMGN US Equity","TOT_GHG_CO2_EM_INT_P_GR_FXD_AST","FY 2013","FY 2013","Currency=USD","Period=FQ","BEST_FPERIOD_OVERRIDE=FQ","FILING_STATUS=MR","Sort=A","Dates=H","DateFormat=P","Fill=—","Direction=H","UseDPDF=Y")</f>
        <v>—</v>
      </c>
      <c r="Q17" s="14" t="str">
        <f>_xll.BDH("AMGN US Equity","TOT_GHG_CO2_EM_INT_P_GR_FXD_AST","FY 2014","FY 2014","Currency=USD","Period=FQ","BEST_FPERIOD_OVERRIDE=FQ","FILING_STATUS=MR","Sort=A","Dates=H","DateFormat=P","Fill=—","Direction=H","UseDPDF=Y")</f>
        <v>—</v>
      </c>
      <c r="R17" s="14" t="str">
        <f>_xll.BDH("AMGN US Equity","TOT_GHG_CO2_EM_INT_P_GR_FXD_AST","FY 2015","FY 2015","Currency=USD","Period=FQ","BEST_FPERIOD_OVERRIDE=FQ","FILING_STATUS=MR","Sort=A","Dates=H","DateFormat=P","Fill=—","Direction=H","UseDPDF=Y")</f>
        <v>—</v>
      </c>
      <c r="S17" s="14" t="str">
        <f>_xll.BDH("AMGN US Equity","TOT_GHG_CO2_EM_INT_P_GR_FXD_AST","FY 2016","FY 2016","Currency=USD","Period=FQ","BEST_FPERIOD_OVERRIDE=FQ","FILING_STATUS=MR","Sort=A","Dates=H","DateFormat=P","Fill=—","Direction=H","UseDPDF=Y")</f>
        <v>—</v>
      </c>
      <c r="T17" s="14" t="str">
        <f>_xll.BDH("AMGN US Equity","TOT_GHG_CO2_EM_INT_P_GR_FXD_AST","FY 2017","FY 2017","Currency=USD","Period=FQ","BEST_FPERIOD_OVERRIDE=FQ","FILING_STATUS=MR","Sort=A","Dates=H","DateFormat=P","Fill=—","Direction=H","UseDPDF=Y")</f>
        <v>—</v>
      </c>
      <c r="U17" s="14" t="str">
        <f>_xll.BDH("AMGN US Equity","TOT_GHG_CO2_EM_INT_P_GR_FXD_AST","FY 2018","FY 2018","Currency=USD","Period=FQ","BEST_FPERIOD_OVERRIDE=FQ","FILING_STATUS=MR","Sort=A","Dates=H","DateFormat=P","Fill=—","Direction=H","UseDPDF=Y")</f>
        <v>—</v>
      </c>
      <c r="V17" s="14" t="str">
        <f>_xll.BDH("AMGN US Equity","TOT_GHG_CO2_EM_INT_P_GR_FXD_AST","FY 2019","FY 2019","Currency=USD","Period=FQ","BEST_FPERIOD_OVERRIDE=FQ","FILING_STATUS=MR","Sort=A","Dates=H","DateFormat=P","Fill=—","Direction=H","UseDPDF=Y")</f>
        <v>—</v>
      </c>
      <c r="W17" s="14" t="str">
        <f>_xll.BDH("AMGN US Equity","TOT_GHG_CO2_EM_INT_P_GR_FXD_AST","FY 2020","FY 2020","Currency=USD","Period=FQ","BEST_FPERIOD_OVERRIDE=FQ","FILING_STATUS=MR","Sort=A","Dates=H","DateFormat=P","Fill=—","Direction=H","UseDPDF=Y")</f>
        <v>—</v>
      </c>
      <c r="X17" s="14" t="str">
        <f>_xll.BDH("AMGN US Equity","TOT_GHG_CO2_EM_INT_P_GR_FXD_AST","FY 2021","FY 2021","Currency=USD","Period=FQ","BEST_FPERIOD_OVERRIDE=FQ","FILING_STATUS=MR","Sort=A","Dates=H","DateFormat=P","Fill=—","Direction=H","UseDPDF=Y")</f>
        <v>—</v>
      </c>
      <c r="Y17" s="14" t="str">
        <f>_xll.BDH("AMGN US Equity","TOT_GHG_CO2_EM_INT_P_GR_FXD_AST","FY 2022","FY 2022","Currency=USD","Period=FQ","BEST_FPERIOD_OVERRIDE=FQ","FILING_STATUS=MR","Sort=A","Dates=H","DateFormat=P","Fill=—","Direction=H","UseDPDF=Y")</f>
        <v>—</v>
      </c>
      <c r="Z17" s="14" t="str">
        <f>_xll.BDH("AMGN US Equity","TOT_GHG_CO2_EM_INT_P_GR_FXD_AST","FY 2023","FY 2023","Currency=USD","Period=FQ","BEST_FPERIOD_OVERRIDE=FQ","FILING_STATUS=MR","Sort=A","Dates=H","DateFormat=P","Fill=—","Direction=H","UseDPDF=Y")</f>
        <v>—</v>
      </c>
      <c r="AA17" s="14" t="str">
        <f>_xll.BDH("AMGN US Equity","TOT_GHG_CO2_EM_INT_P_GR_FXD_AST","FY 2024","FY 2024","Currency=USD","Period=FQ","BEST_FPERIOD_OVERRIDE=FQ","FILING_STATUS=MR","Sort=A","Dates=H","DateFormat=P","Fill=—","Direction=H","UseDPDF=Y")</f>
        <v>—</v>
      </c>
    </row>
    <row r="18" spans="1:27" x14ac:dyDescent="0.25">
      <c r="A18" s="10" t="s">
        <v>1924</v>
      </c>
      <c r="B18" s="10" t="s">
        <v>1925</v>
      </c>
      <c r="C18" s="14" t="str">
        <f>_xll.BDH("AMGN US Equity","TOT_GHG_CO2_EM_INT_P_NT_FXD_AST","FY 2000","FY 2000","Currency=USD","Period=FQ","BEST_FPERIOD_OVERRIDE=FQ","FILING_STATUS=MR","Sort=A","Dates=H","DateFormat=P","Fill=—","Direction=H","UseDPDF=Y")</f>
        <v>—</v>
      </c>
      <c r="D18" s="14" t="str">
        <f>_xll.BDH("AMGN US Equity","TOT_GHG_CO2_EM_INT_P_NT_FXD_AST","FY 2001","FY 2001","Currency=USD","Period=FQ","BEST_FPERIOD_OVERRIDE=FQ","FILING_STATUS=MR","Sort=A","Dates=H","DateFormat=P","Fill=—","Direction=H","UseDPDF=Y")</f>
        <v>—</v>
      </c>
      <c r="E18" s="14" t="str">
        <f>_xll.BDH("AMGN US Equity","TOT_GHG_CO2_EM_INT_P_NT_FXD_AST","FY 2002","FY 2002","Currency=USD","Period=FQ","BEST_FPERIOD_OVERRIDE=FQ","FILING_STATUS=MR","Sort=A","Dates=H","DateFormat=P","Fill=—","Direction=H","UseDPDF=Y")</f>
        <v>—</v>
      </c>
      <c r="F18" s="14" t="str">
        <f>_xll.BDH("AMGN US Equity","TOT_GHG_CO2_EM_INT_P_NT_FXD_AST","FY 2003","FY 2003","Currency=USD","Period=FQ","BEST_FPERIOD_OVERRIDE=FQ","FILING_STATUS=MR","Sort=A","Dates=H","DateFormat=P","Fill=—","Direction=H","UseDPDF=Y")</f>
        <v>—</v>
      </c>
      <c r="G18" s="14" t="str">
        <f>_xll.BDH("AMGN US Equity","TOT_GHG_CO2_EM_INT_P_NT_FXD_AST","FY 2004","FY 2004","Currency=USD","Period=FQ","BEST_FPERIOD_OVERRIDE=FQ","FILING_STATUS=MR","Sort=A","Dates=H","DateFormat=P","Fill=—","Direction=H","UseDPDF=Y")</f>
        <v>—</v>
      </c>
      <c r="H18" s="14" t="str">
        <f>_xll.BDH("AMGN US Equity","TOT_GHG_CO2_EM_INT_P_NT_FXD_AST","FY 2005","FY 2005","Currency=USD","Period=FQ","BEST_FPERIOD_OVERRIDE=FQ","FILING_STATUS=MR","Sort=A","Dates=H","DateFormat=P","Fill=—","Direction=H","UseDPDF=Y")</f>
        <v>—</v>
      </c>
      <c r="I18" s="14" t="str">
        <f>_xll.BDH("AMGN US Equity","TOT_GHG_CO2_EM_INT_P_NT_FXD_AST","FY 2006","FY 2006","Currency=USD","Period=FQ","BEST_FPERIOD_OVERRIDE=FQ","FILING_STATUS=MR","Sort=A","Dates=H","DateFormat=P","Fill=—","Direction=H","UseDPDF=Y")</f>
        <v>—</v>
      </c>
      <c r="J18" s="14" t="str">
        <f>_xll.BDH("AMGN US Equity","TOT_GHG_CO2_EM_INT_P_NT_FXD_AST","FY 2007","FY 2007","Currency=USD","Period=FQ","BEST_FPERIOD_OVERRIDE=FQ","FILING_STATUS=MR","Sort=A","Dates=H","DateFormat=P","Fill=—","Direction=H","UseDPDF=Y")</f>
        <v>—</v>
      </c>
      <c r="K18" s="14" t="str">
        <f>_xll.BDH("AMGN US Equity","TOT_GHG_CO2_EM_INT_P_NT_FXD_AST","FY 2008","FY 2008","Currency=USD","Period=FQ","BEST_FPERIOD_OVERRIDE=FQ","FILING_STATUS=MR","Sort=A","Dates=H","DateFormat=P","Fill=—","Direction=H","UseDPDF=Y")</f>
        <v>—</v>
      </c>
      <c r="L18" s="14" t="str">
        <f>_xll.BDH("AMGN US Equity","TOT_GHG_CO2_EM_INT_P_NT_FXD_AST","FY 2009","FY 2009","Currency=USD","Period=FQ","BEST_FPERIOD_OVERRIDE=FQ","FILING_STATUS=MR","Sort=A","Dates=H","DateFormat=P","Fill=—","Direction=H","UseDPDF=Y")</f>
        <v>—</v>
      </c>
      <c r="M18" s="14" t="str">
        <f>_xll.BDH("AMGN US Equity","TOT_GHG_CO2_EM_INT_P_NT_FXD_AST","FY 2010","FY 2010","Currency=USD","Period=FQ","BEST_FPERIOD_OVERRIDE=FQ","FILING_STATUS=MR","Sort=A","Dates=H","DateFormat=P","Fill=—","Direction=H","UseDPDF=Y")</f>
        <v>—</v>
      </c>
      <c r="N18" s="14" t="str">
        <f>_xll.BDH("AMGN US Equity","TOT_GHG_CO2_EM_INT_P_NT_FXD_AST","FY 2011","FY 2011","Currency=USD","Period=FQ","BEST_FPERIOD_OVERRIDE=FQ","FILING_STATUS=MR","Sort=A","Dates=H","DateFormat=P","Fill=—","Direction=H","UseDPDF=Y")</f>
        <v>—</v>
      </c>
      <c r="O18" s="14" t="str">
        <f>_xll.BDH("AMGN US Equity","TOT_GHG_CO2_EM_INT_P_NT_FXD_AST","FY 2012","FY 2012","Currency=USD","Period=FQ","BEST_FPERIOD_OVERRIDE=FQ","FILING_STATUS=MR","Sort=A","Dates=H","DateFormat=P","Fill=—","Direction=H","UseDPDF=Y")</f>
        <v>—</v>
      </c>
      <c r="P18" s="14" t="str">
        <f>_xll.BDH("AMGN US Equity","TOT_GHG_CO2_EM_INT_P_NT_FXD_AST","FY 2013","FY 2013","Currency=USD","Period=FQ","BEST_FPERIOD_OVERRIDE=FQ","FILING_STATUS=MR","Sort=A","Dates=H","DateFormat=P","Fill=—","Direction=H","UseDPDF=Y")</f>
        <v>—</v>
      </c>
      <c r="Q18" s="14" t="str">
        <f>_xll.BDH("AMGN US Equity","TOT_GHG_CO2_EM_INT_P_NT_FXD_AST","FY 2014","FY 2014","Currency=USD","Period=FQ","BEST_FPERIOD_OVERRIDE=FQ","FILING_STATUS=MR","Sort=A","Dates=H","DateFormat=P","Fill=—","Direction=H","UseDPDF=Y")</f>
        <v>—</v>
      </c>
      <c r="R18" s="14" t="str">
        <f>_xll.BDH("AMGN US Equity","TOT_GHG_CO2_EM_INT_P_NT_FXD_AST","FY 2015","FY 2015","Currency=USD","Period=FQ","BEST_FPERIOD_OVERRIDE=FQ","FILING_STATUS=MR","Sort=A","Dates=H","DateFormat=P","Fill=—","Direction=H","UseDPDF=Y")</f>
        <v>—</v>
      </c>
      <c r="S18" s="14" t="str">
        <f>_xll.BDH("AMGN US Equity","TOT_GHG_CO2_EM_INT_P_NT_FXD_AST","FY 2016","FY 2016","Currency=USD","Period=FQ","BEST_FPERIOD_OVERRIDE=FQ","FILING_STATUS=MR","Sort=A","Dates=H","DateFormat=P","Fill=—","Direction=H","UseDPDF=Y")</f>
        <v>—</v>
      </c>
      <c r="T18" s="14" t="str">
        <f>_xll.BDH("AMGN US Equity","TOT_GHG_CO2_EM_INT_P_NT_FXD_AST","FY 2017","FY 2017","Currency=USD","Period=FQ","BEST_FPERIOD_OVERRIDE=FQ","FILING_STATUS=MR","Sort=A","Dates=H","DateFormat=P","Fill=—","Direction=H","UseDPDF=Y")</f>
        <v>—</v>
      </c>
      <c r="U18" s="14" t="str">
        <f>_xll.BDH("AMGN US Equity","TOT_GHG_CO2_EM_INT_P_NT_FXD_AST","FY 2018","FY 2018","Currency=USD","Period=FQ","BEST_FPERIOD_OVERRIDE=FQ","FILING_STATUS=MR","Sort=A","Dates=H","DateFormat=P","Fill=—","Direction=H","UseDPDF=Y")</f>
        <v>—</v>
      </c>
      <c r="V18" s="14" t="str">
        <f>_xll.BDH("AMGN US Equity","TOT_GHG_CO2_EM_INT_P_NT_FXD_AST","FY 2019","FY 2019","Currency=USD","Period=FQ","BEST_FPERIOD_OVERRIDE=FQ","FILING_STATUS=MR","Sort=A","Dates=H","DateFormat=P","Fill=—","Direction=H","UseDPDF=Y")</f>
        <v>—</v>
      </c>
      <c r="W18" s="14" t="str">
        <f>_xll.BDH("AMGN US Equity","TOT_GHG_CO2_EM_INT_P_NT_FXD_AST","FY 2020","FY 2020","Currency=USD","Period=FQ","BEST_FPERIOD_OVERRIDE=FQ","FILING_STATUS=MR","Sort=A","Dates=H","DateFormat=P","Fill=—","Direction=H","UseDPDF=Y")</f>
        <v>—</v>
      </c>
      <c r="X18" s="14" t="str">
        <f>_xll.BDH("AMGN US Equity","TOT_GHG_CO2_EM_INT_P_NT_FXD_AST","FY 2021","FY 2021","Currency=USD","Period=FQ","BEST_FPERIOD_OVERRIDE=FQ","FILING_STATUS=MR","Sort=A","Dates=H","DateFormat=P","Fill=—","Direction=H","UseDPDF=Y")</f>
        <v>—</v>
      </c>
      <c r="Y18" s="14" t="str">
        <f>_xll.BDH("AMGN US Equity","TOT_GHG_CO2_EM_INT_P_NT_FXD_AST","FY 2022","FY 2022","Currency=USD","Period=FQ","BEST_FPERIOD_OVERRIDE=FQ","FILING_STATUS=MR","Sort=A","Dates=H","DateFormat=P","Fill=—","Direction=H","UseDPDF=Y")</f>
        <v>—</v>
      </c>
      <c r="Z18" s="14" t="str">
        <f>_xll.BDH("AMGN US Equity","TOT_GHG_CO2_EM_INT_P_NT_FXD_AST","FY 2023","FY 2023","Currency=USD","Period=FQ","BEST_FPERIOD_OVERRIDE=FQ","FILING_STATUS=MR","Sort=A","Dates=H","DateFormat=P","Fill=—","Direction=H","UseDPDF=Y")</f>
        <v>—</v>
      </c>
      <c r="AA18" s="14" t="str">
        <f>_xll.BDH("AMGN US Equity","TOT_GHG_CO2_EM_INT_P_NT_FXD_AST","FY 2024","FY 2024","Currency=USD","Period=FQ","BEST_FPERIOD_OVERRIDE=FQ","FILING_STATUS=MR","Sort=A","Dates=H","DateFormat=P","Fill=—","Direction=H","UseDPDF=Y")</f>
        <v>—</v>
      </c>
    </row>
    <row r="19" spans="1:27" x14ac:dyDescent="0.25">
      <c r="A19" s="10" t="s">
        <v>1926</v>
      </c>
      <c r="B19" s="10" t="s">
        <v>1927</v>
      </c>
      <c r="C19" s="14" t="str">
        <f>_xll.BDH("AMGN US Equity","GHG_INTENSITY_PER_ENERGY","FY 2000","FY 2000","Currency=USD","Period=FQ","BEST_FPERIOD_OVERRIDE=FQ","FILING_STATUS=MR","Sort=A","Dates=H","DateFormat=P","Fill=—","Direction=H","UseDPDF=Y")</f>
        <v>—</v>
      </c>
      <c r="D19" s="14" t="str">
        <f>_xll.BDH("AMGN US Equity","GHG_INTENSITY_PER_ENERGY","FY 2001","FY 2001","Currency=USD","Period=FQ","BEST_FPERIOD_OVERRIDE=FQ","FILING_STATUS=MR","Sort=A","Dates=H","DateFormat=P","Fill=—","Direction=H","UseDPDF=Y")</f>
        <v>—</v>
      </c>
      <c r="E19" s="14" t="str">
        <f>_xll.BDH("AMGN US Equity","GHG_INTENSITY_PER_ENERGY","FY 2002","FY 2002","Currency=USD","Period=FQ","BEST_FPERIOD_OVERRIDE=FQ","FILING_STATUS=MR","Sort=A","Dates=H","DateFormat=P","Fill=—","Direction=H","UseDPDF=Y")</f>
        <v>—</v>
      </c>
      <c r="F19" s="14" t="str">
        <f>_xll.BDH("AMGN US Equity","GHG_INTENSITY_PER_ENERGY","FY 2003","FY 2003","Currency=USD","Period=FQ","BEST_FPERIOD_OVERRIDE=FQ","FILING_STATUS=MR","Sort=A","Dates=H","DateFormat=P","Fill=—","Direction=H","UseDPDF=Y")</f>
        <v>—</v>
      </c>
      <c r="G19" s="14" t="str">
        <f>_xll.BDH("AMGN US Equity","GHG_INTENSITY_PER_ENERGY","FY 2004","FY 2004","Currency=USD","Period=FQ","BEST_FPERIOD_OVERRIDE=FQ","FILING_STATUS=MR","Sort=A","Dates=H","DateFormat=P","Fill=—","Direction=H","UseDPDF=Y")</f>
        <v>—</v>
      </c>
      <c r="H19" s="14" t="str">
        <f>_xll.BDH("AMGN US Equity","GHG_INTENSITY_PER_ENERGY","FY 2005","FY 2005","Currency=USD","Period=FQ","BEST_FPERIOD_OVERRIDE=FQ","FILING_STATUS=MR","Sort=A","Dates=H","DateFormat=P","Fill=—","Direction=H","UseDPDF=Y")</f>
        <v>—</v>
      </c>
      <c r="I19" s="14" t="str">
        <f>_xll.BDH("AMGN US Equity","GHG_INTENSITY_PER_ENERGY","FY 2006","FY 2006","Currency=USD","Period=FQ","BEST_FPERIOD_OVERRIDE=FQ","FILING_STATUS=MR","Sort=A","Dates=H","DateFormat=P","Fill=—","Direction=H","UseDPDF=Y")</f>
        <v>—</v>
      </c>
      <c r="J19" s="14" t="str">
        <f>_xll.BDH("AMGN US Equity","GHG_INTENSITY_PER_ENERGY","FY 2007","FY 2007","Currency=USD","Period=FQ","BEST_FPERIOD_OVERRIDE=FQ","FILING_STATUS=MR","Sort=A","Dates=H","DateFormat=P","Fill=—","Direction=H","UseDPDF=Y")</f>
        <v>—</v>
      </c>
      <c r="K19" s="14" t="str">
        <f>_xll.BDH("AMGN US Equity","GHG_INTENSITY_PER_ENERGY","FY 2008","FY 2008","Currency=USD","Period=FQ","BEST_FPERIOD_OVERRIDE=FQ","FILING_STATUS=MR","Sort=A","Dates=H","DateFormat=P","Fill=—","Direction=H","UseDPDF=Y")</f>
        <v>—</v>
      </c>
      <c r="L19" s="14" t="str">
        <f>_xll.BDH("AMGN US Equity","GHG_INTENSITY_PER_ENERGY","FY 2009","FY 2009","Currency=USD","Period=FQ","BEST_FPERIOD_OVERRIDE=FQ","FILING_STATUS=MR","Sort=A","Dates=H","DateFormat=P","Fill=—","Direction=H","UseDPDF=Y")</f>
        <v>—</v>
      </c>
      <c r="M19" s="14" t="str">
        <f>_xll.BDH("AMGN US Equity","GHG_INTENSITY_PER_ENERGY","FY 2010","FY 2010","Currency=USD","Period=FQ","BEST_FPERIOD_OVERRIDE=FQ","FILING_STATUS=MR","Sort=A","Dates=H","DateFormat=P","Fill=—","Direction=H","UseDPDF=Y")</f>
        <v>—</v>
      </c>
      <c r="N19" s="14" t="str">
        <f>_xll.BDH("AMGN US Equity","GHG_INTENSITY_PER_ENERGY","FY 2011","FY 2011","Currency=USD","Period=FQ","BEST_FPERIOD_OVERRIDE=FQ","FILING_STATUS=MR","Sort=A","Dates=H","DateFormat=P","Fill=—","Direction=H","UseDPDF=Y")</f>
        <v>—</v>
      </c>
      <c r="O19" s="14" t="str">
        <f>_xll.BDH("AMGN US Equity","GHG_INTENSITY_PER_ENERGY","FY 2012","FY 2012","Currency=USD","Period=FQ","BEST_FPERIOD_OVERRIDE=FQ","FILING_STATUS=MR","Sort=A","Dates=H","DateFormat=P","Fill=—","Direction=H","UseDPDF=Y")</f>
        <v>—</v>
      </c>
      <c r="P19" s="14" t="str">
        <f>_xll.BDH("AMGN US Equity","GHG_INTENSITY_PER_ENERGY","FY 2013","FY 2013","Currency=USD","Period=FQ","BEST_FPERIOD_OVERRIDE=FQ","FILING_STATUS=MR","Sort=A","Dates=H","DateFormat=P","Fill=—","Direction=H","UseDPDF=Y")</f>
        <v>—</v>
      </c>
      <c r="Q19" s="14" t="str">
        <f>_xll.BDH("AMGN US Equity","GHG_INTENSITY_PER_ENERGY","FY 2014","FY 2014","Currency=USD","Period=FQ","BEST_FPERIOD_OVERRIDE=FQ","FILING_STATUS=MR","Sort=A","Dates=H","DateFormat=P","Fill=—","Direction=H","UseDPDF=Y")</f>
        <v>—</v>
      </c>
      <c r="R19" s="14" t="str">
        <f>_xll.BDH("AMGN US Equity","GHG_INTENSITY_PER_ENERGY","FY 2015","FY 2015","Currency=USD","Period=FQ","BEST_FPERIOD_OVERRIDE=FQ","FILING_STATUS=MR","Sort=A","Dates=H","DateFormat=P","Fill=—","Direction=H","UseDPDF=Y")</f>
        <v>—</v>
      </c>
      <c r="S19" s="14" t="str">
        <f>_xll.BDH("AMGN US Equity","GHG_INTENSITY_PER_ENERGY","FY 2016","FY 2016","Currency=USD","Period=FQ","BEST_FPERIOD_OVERRIDE=FQ","FILING_STATUS=MR","Sort=A","Dates=H","DateFormat=P","Fill=—","Direction=H","UseDPDF=Y")</f>
        <v>—</v>
      </c>
      <c r="T19" s="14" t="str">
        <f>_xll.BDH("AMGN US Equity","GHG_INTENSITY_PER_ENERGY","FY 2017","FY 2017","Currency=USD","Period=FQ","BEST_FPERIOD_OVERRIDE=FQ","FILING_STATUS=MR","Sort=A","Dates=H","DateFormat=P","Fill=—","Direction=H","UseDPDF=Y")</f>
        <v>—</v>
      </c>
      <c r="U19" s="14" t="str">
        <f>_xll.BDH("AMGN US Equity","GHG_INTENSITY_PER_ENERGY","FY 2018","FY 2018","Currency=USD","Period=FQ","BEST_FPERIOD_OVERRIDE=FQ","FILING_STATUS=MR","Sort=A","Dates=H","DateFormat=P","Fill=—","Direction=H","UseDPDF=Y")</f>
        <v>—</v>
      </c>
      <c r="V19" s="14" t="str">
        <f>_xll.BDH("AMGN US Equity","GHG_INTENSITY_PER_ENERGY","FY 2019","FY 2019","Currency=USD","Period=FQ","BEST_FPERIOD_OVERRIDE=FQ","FILING_STATUS=MR","Sort=A","Dates=H","DateFormat=P","Fill=—","Direction=H","UseDPDF=Y")</f>
        <v>—</v>
      </c>
      <c r="W19" s="14" t="str">
        <f>_xll.BDH("AMGN US Equity","GHG_INTENSITY_PER_ENERGY","FY 2020","FY 2020","Currency=USD","Period=FQ","BEST_FPERIOD_OVERRIDE=FQ","FILING_STATUS=MR","Sort=A","Dates=H","DateFormat=P","Fill=—","Direction=H","UseDPDF=Y")</f>
        <v>—</v>
      </c>
      <c r="X19" s="14" t="str">
        <f>_xll.BDH("AMGN US Equity","GHG_INTENSITY_PER_ENERGY","FY 2021","FY 2021","Currency=USD","Period=FQ","BEST_FPERIOD_OVERRIDE=FQ","FILING_STATUS=MR","Sort=A","Dates=H","DateFormat=P","Fill=—","Direction=H","UseDPDF=Y")</f>
        <v>—</v>
      </c>
      <c r="Y19" s="14" t="str">
        <f>_xll.BDH("AMGN US Equity","GHG_INTENSITY_PER_ENERGY","FY 2022","FY 2022","Currency=USD","Period=FQ","BEST_FPERIOD_OVERRIDE=FQ","FILING_STATUS=MR","Sort=A","Dates=H","DateFormat=P","Fill=—","Direction=H","UseDPDF=Y")</f>
        <v>—</v>
      </c>
      <c r="Z19" s="14" t="str">
        <f>_xll.BDH("AMGN US Equity","GHG_INTENSITY_PER_ENERGY","FY 2023","FY 2023","Currency=USD","Period=FQ","BEST_FPERIOD_OVERRIDE=FQ","FILING_STATUS=MR","Sort=A","Dates=H","DateFormat=P","Fill=—","Direction=H","UseDPDF=Y")</f>
        <v>—</v>
      </c>
      <c r="AA19" s="14" t="str">
        <f>_xll.BDH("AMGN US Equity","GHG_INTENSITY_PER_ENERGY","FY 2024","FY 2024","Currency=USD","Period=FQ","BEST_FPERIOD_OVERRIDE=FQ","FILING_STATUS=MR","Sort=A","Dates=H","DateFormat=P","Fill=—","Direction=H","UseDPDF=Y")</f>
        <v>—</v>
      </c>
    </row>
    <row r="20" spans="1:27" x14ac:dyDescent="0.25">
      <c r="A20" s="10" t="s">
        <v>1928</v>
      </c>
      <c r="B20" s="10" t="s">
        <v>1929</v>
      </c>
      <c r="C20" s="14" t="str">
        <f>_xll.BDH("AMGN US Equity","GHG_INTENSITY_PER_EMPLOYEE","FY 2000","FY 2000","Currency=USD","Period=FQ","BEST_FPERIOD_OVERRIDE=FQ","FILING_STATUS=MR","Sort=A","Dates=H","DateFormat=P","Fill=—","Direction=H","UseDPDF=Y")</f>
        <v>—</v>
      </c>
      <c r="D20" s="14" t="str">
        <f>_xll.BDH("AMGN US Equity","GHG_INTENSITY_PER_EMPLOYEE","FY 2001","FY 2001","Currency=USD","Period=FQ","BEST_FPERIOD_OVERRIDE=FQ","FILING_STATUS=MR","Sort=A","Dates=H","DateFormat=P","Fill=—","Direction=H","UseDPDF=Y")</f>
        <v>—</v>
      </c>
      <c r="E20" s="14" t="str">
        <f>_xll.BDH("AMGN US Equity","GHG_INTENSITY_PER_EMPLOYEE","FY 2002","FY 2002","Currency=USD","Period=FQ","BEST_FPERIOD_OVERRIDE=FQ","FILING_STATUS=MR","Sort=A","Dates=H","DateFormat=P","Fill=—","Direction=H","UseDPDF=Y")</f>
        <v>—</v>
      </c>
      <c r="F20" s="14" t="str">
        <f>_xll.BDH("AMGN US Equity","GHG_INTENSITY_PER_EMPLOYEE","FY 2003","FY 2003","Currency=USD","Period=FQ","BEST_FPERIOD_OVERRIDE=FQ","FILING_STATUS=MR","Sort=A","Dates=H","DateFormat=P","Fill=—","Direction=H","UseDPDF=Y")</f>
        <v>—</v>
      </c>
      <c r="G20" s="14" t="str">
        <f>_xll.BDH("AMGN US Equity","GHG_INTENSITY_PER_EMPLOYEE","FY 2004","FY 2004","Currency=USD","Period=FQ","BEST_FPERIOD_OVERRIDE=FQ","FILING_STATUS=MR","Sort=A","Dates=H","DateFormat=P","Fill=—","Direction=H","UseDPDF=Y")</f>
        <v>—</v>
      </c>
      <c r="H20" s="14" t="str">
        <f>_xll.BDH("AMGN US Equity","GHG_INTENSITY_PER_EMPLOYEE","FY 2005","FY 2005","Currency=USD","Period=FQ","BEST_FPERIOD_OVERRIDE=FQ","FILING_STATUS=MR","Sort=A","Dates=H","DateFormat=P","Fill=—","Direction=H","UseDPDF=Y")</f>
        <v>—</v>
      </c>
      <c r="I20" s="14" t="str">
        <f>_xll.BDH("AMGN US Equity","GHG_INTENSITY_PER_EMPLOYEE","FY 2006","FY 2006","Currency=USD","Period=FQ","BEST_FPERIOD_OVERRIDE=FQ","FILING_STATUS=MR","Sort=A","Dates=H","DateFormat=P","Fill=—","Direction=H","UseDPDF=Y")</f>
        <v>—</v>
      </c>
      <c r="J20" s="14" t="str">
        <f>_xll.BDH("AMGN US Equity","GHG_INTENSITY_PER_EMPLOYEE","FY 2007","FY 2007","Currency=USD","Period=FQ","BEST_FPERIOD_OVERRIDE=FQ","FILING_STATUS=MR","Sort=A","Dates=H","DateFormat=P","Fill=—","Direction=H","UseDPDF=Y")</f>
        <v>—</v>
      </c>
      <c r="K20" s="14" t="str">
        <f>_xll.BDH("AMGN US Equity","GHG_INTENSITY_PER_EMPLOYEE","FY 2008","FY 2008","Currency=USD","Period=FQ","BEST_FPERIOD_OVERRIDE=FQ","FILING_STATUS=MR","Sort=A","Dates=H","DateFormat=P","Fill=—","Direction=H","UseDPDF=Y")</f>
        <v>—</v>
      </c>
      <c r="L20" s="14" t="str">
        <f>_xll.BDH("AMGN US Equity","GHG_INTENSITY_PER_EMPLOYEE","FY 2009","FY 2009","Currency=USD","Period=FQ","BEST_FPERIOD_OVERRIDE=FQ","FILING_STATUS=MR","Sort=A","Dates=H","DateFormat=P","Fill=—","Direction=H","UseDPDF=Y")</f>
        <v>—</v>
      </c>
      <c r="M20" s="14" t="str">
        <f>_xll.BDH("AMGN US Equity","GHG_INTENSITY_PER_EMPLOYEE","FY 2010","FY 2010","Currency=USD","Period=FQ","BEST_FPERIOD_OVERRIDE=FQ","FILING_STATUS=MR","Sort=A","Dates=H","DateFormat=P","Fill=—","Direction=H","UseDPDF=Y")</f>
        <v>—</v>
      </c>
      <c r="N20" s="14" t="str">
        <f>_xll.BDH("AMGN US Equity","GHG_INTENSITY_PER_EMPLOYEE","FY 2011","FY 2011","Currency=USD","Period=FQ","BEST_FPERIOD_OVERRIDE=FQ","FILING_STATUS=MR","Sort=A","Dates=H","DateFormat=P","Fill=—","Direction=H","UseDPDF=Y")</f>
        <v>—</v>
      </c>
      <c r="O20" s="14" t="str">
        <f>_xll.BDH("AMGN US Equity","GHG_INTENSITY_PER_EMPLOYEE","FY 2012","FY 2012","Currency=USD","Period=FQ","BEST_FPERIOD_OVERRIDE=FQ","FILING_STATUS=MR","Sort=A","Dates=H","DateFormat=P","Fill=—","Direction=H","UseDPDF=Y")</f>
        <v>—</v>
      </c>
      <c r="P20" s="14" t="str">
        <f>_xll.BDH("AMGN US Equity","GHG_INTENSITY_PER_EMPLOYEE","FY 2013","FY 2013","Currency=USD","Period=FQ","BEST_FPERIOD_OVERRIDE=FQ","FILING_STATUS=MR","Sort=A","Dates=H","DateFormat=P","Fill=—","Direction=H","UseDPDF=Y")</f>
        <v>—</v>
      </c>
      <c r="Q20" s="14" t="str">
        <f>_xll.BDH("AMGN US Equity","GHG_INTENSITY_PER_EMPLOYEE","FY 2014","FY 2014","Currency=USD","Period=FQ","BEST_FPERIOD_OVERRIDE=FQ","FILING_STATUS=MR","Sort=A","Dates=H","DateFormat=P","Fill=—","Direction=H","UseDPDF=Y")</f>
        <v>—</v>
      </c>
      <c r="R20" s="14" t="str">
        <f>_xll.BDH("AMGN US Equity","GHG_INTENSITY_PER_EMPLOYEE","FY 2015","FY 2015","Currency=USD","Period=FQ","BEST_FPERIOD_OVERRIDE=FQ","FILING_STATUS=MR","Sort=A","Dates=H","DateFormat=P","Fill=—","Direction=H","UseDPDF=Y")</f>
        <v>—</v>
      </c>
      <c r="S20" s="14" t="str">
        <f>_xll.BDH("AMGN US Equity","GHG_INTENSITY_PER_EMPLOYEE","FY 2016","FY 2016","Currency=USD","Period=FQ","BEST_FPERIOD_OVERRIDE=FQ","FILING_STATUS=MR","Sort=A","Dates=H","DateFormat=P","Fill=—","Direction=H","UseDPDF=Y")</f>
        <v>—</v>
      </c>
      <c r="T20" s="14" t="str">
        <f>_xll.BDH("AMGN US Equity","GHG_INTENSITY_PER_EMPLOYEE","FY 2017","FY 2017","Currency=USD","Period=FQ","BEST_FPERIOD_OVERRIDE=FQ","FILING_STATUS=MR","Sort=A","Dates=H","DateFormat=P","Fill=—","Direction=H","UseDPDF=Y")</f>
        <v>—</v>
      </c>
      <c r="U20" s="14" t="str">
        <f>_xll.BDH("AMGN US Equity","GHG_INTENSITY_PER_EMPLOYEE","FY 2018","FY 2018","Currency=USD","Period=FQ","BEST_FPERIOD_OVERRIDE=FQ","FILING_STATUS=MR","Sort=A","Dates=H","DateFormat=P","Fill=—","Direction=H","UseDPDF=Y")</f>
        <v>—</v>
      </c>
      <c r="V20" s="14" t="str">
        <f>_xll.BDH("AMGN US Equity","GHG_INTENSITY_PER_EMPLOYEE","FY 2019","FY 2019","Currency=USD","Period=FQ","BEST_FPERIOD_OVERRIDE=FQ","FILING_STATUS=MR","Sort=A","Dates=H","DateFormat=P","Fill=—","Direction=H","UseDPDF=Y")</f>
        <v>—</v>
      </c>
      <c r="W20" s="14" t="str">
        <f>_xll.BDH("AMGN US Equity","GHG_INTENSITY_PER_EMPLOYEE","FY 2020","FY 2020","Currency=USD","Period=FQ","BEST_FPERIOD_OVERRIDE=FQ","FILING_STATUS=MR","Sort=A","Dates=H","DateFormat=P","Fill=—","Direction=H","UseDPDF=Y")</f>
        <v>—</v>
      </c>
      <c r="X20" s="14" t="str">
        <f>_xll.BDH("AMGN US Equity","GHG_INTENSITY_PER_EMPLOYEE","FY 2021","FY 2021","Currency=USD","Period=FQ","BEST_FPERIOD_OVERRIDE=FQ","FILING_STATUS=MR","Sort=A","Dates=H","DateFormat=P","Fill=—","Direction=H","UseDPDF=Y")</f>
        <v>—</v>
      </c>
      <c r="Y20" s="14" t="str">
        <f>_xll.BDH("AMGN US Equity","GHG_INTENSITY_PER_EMPLOYEE","FY 2022","FY 2022","Currency=USD","Period=FQ","BEST_FPERIOD_OVERRIDE=FQ","FILING_STATUS=MR","Sort=A","Dates=H","DateFormat=P","Fill=—","Direction=H","UseDPDF=Y")</f>
        <v>—</v>
      </c>
      <c r="Z20" s="14" t="str">
        <f>_xll.BDH("AMGN US Equity","GHG_INTENSITY_PER_EMPLOYEE","FY 2023","FY 2023","Currency=USD","Period=FQ","BEST_FPERIOD_OVERRIDE=FQ","FILING_STATUS=MR","Sort=A","Dates=H","DateFormat=P","Fill=—","Direction=H","UseDPDF=Y")</f>
        <v>—</v>
      </c>
      <c r="AA20" s="14" t="str">
        <f>_xll.BDH("AMGN US Equity","GHG_INTENSITY_PER_EMPLOYEE","FY 2024","FY 2024","Currency=USD","Period=FQ","BEST_FPERIOD_OVERRIDE=FQ","FILING_STATUS=MR","Sort=A","Dates=H","DateFormat=P","Fill=—","Direction=H","UseDPDF=Y")</f>
        <v>—</v>
      </c>
    </row>
    <row r="21" spans="1:27" x14ac:dyDescent="0.25">
      <c r="A21" s="10" t="s">
        <v>1930</v>
      </c>
      <c r="B21" s="10" t="s">
        <v>1931</v>
      </c>
      <c r="C21" s="14" t="str">
        <f>_xll.BDH("AMGN US Equity","GHG_INTENSITY_PER_ASSETS","FY 2000","FY 2000","Currency=USD","Period=FQ","BEST_FPERIOD_OVERRIDE=FQ","FILING_STATUS=MR","Sort=A","Dates=H","DateFormat=P","Fill=—","Direction=H","UseDPDF=Y")</f>
        <v>—</v>
      </c>
      <c r="D21" s="14" t="str">
        <f>_xll.BDH("AMGN US Equity","GHG_INTENSITY_PER_ASSETS","FY 2001","FY 2001","Currency=USD","Period=FQ","BEST_FPERIOD_OVERRIDE=FQ","FILING_STATUS=MR","Sort=A","Dates=H","DateFormat=P","Fill=—","Direction=H","UseDPDF=Y")</f>
        <v>—</v>
      </c>
      <c r="E21" s="14" t="str">
        <f>_xll.BDH("AMGN US Equity","GHG_INTENSITY_PER_ASSETS","FY 2002","FY 2002","Currency=USD","Period=FQ","BEST_FPERIOD_OVERRIDE=FQ","FILING_STATUS=MR","Sort=A","Dates=H","DateFormat=P","Fill=—","Direction=H","UseDPDF=Y")</f>
        <v>—</v>
      </c>
      <c r="F21" s="14" t="str">
        <f>_xll.BDH("AMGN US Equity","GHG_INTENSITY_PER_ASSETS","FY 2003","FY 2003","Currency=USD","Period=FQ","BEST_FPERIOD_OVERRIDE=FQ","FILING_STATUS=MR","Sort=A","Dates=H","DateFormat=P","Fill=—","Direction=H","UseDPDF=Y")</f>
        <v>—</v>
      </c>
      <c r="G21" s="14" t="str">
        <f>_xll.BDH("AMGN US Equity","GHG_INTENSITY_PER_ASSETS","FY 2004","FY 2004","Currency=USD","Period=FQ","BEST_FPERIOD_OVERRIDE=FQ","FILING_STATUS=MR","Sort=A","Dates=H","DateFormat=P","Fill=—","Direction=H","UseDPDF=Y")</f>
        <v>—</v>
      </c>
      <c r="H21" s="14" t="str">
        <f>_xll.BDH("AMGN US Equity","GHG_INTENSITY_PER_ASSETS","FY 2005","FY 2005","Currency=USD","Period=FQ","BEST_FPERIOD_OVERRIDE=FQ","FILING_STATUS=MR","Sort=A","Dates=H","DateFormat=P","Fill=—","Direction=H","UseDPDF=Y")</f>
        <v>—</v>
      </c>
      <c r="I21" s="14" t="str">
        <f>_xll.BDH("AMGN US Equity","GHG_INTENSITY_PER_ASSETS","FY 2006","FY 2006","Currency=USD","Period=FQ","BEST_FPERIOD_OVERRIDE=FQ","FILING_STATUS=MR","Sort=A","Dates=H","DateFormat=P","Fill=—","Direction=H","UseDPDF=Y")</f>
        <v>—</v>
      </c>
      <c r="J21" s="14" t="str">
        <f>_xll.BDH("AMGN US Equity","GHG_INTENSITY_PER_ASSETS","FY 2007","FY 2007","Currency=USD","Period=FQ","BEST_FPERIOD_OVERRIDE=FQ","FILING_STATUS=MR","Sort=A","Dates=H","DateFormat=P","Fill=—","Direction=H","UseDPDF=Y")</f>
        <v>—</v>
      </c>
      <c r="K21" s="14" t="str">
        <f>_xll.BDH("AMGN US Equity","GHG_INTENSITY_PER_ASSETS","FY 2008","FY 2008","Currency=USD","Period=FQ","BEST_FPERIOD_OVERRIDE=FQ","FILING_STATUS=MR","Sort=A","Dates=H","DateFormat=P","Fill=—","Direction=H","UseDPDF=Y")</f>
        <v>—</v>
      </c>
      <c r="L21" s="14" t="str">
        <f>_xll.BDH("AMGN US Equity","GHG_INTENSITY_PER_ASSETS","FY 2009","FY 2009","Currency=USD","Period=FQ","BEST_FPERIOD_OVERRIDE=FQ","FILING_STATUS=MR","Sort=A","Dates=H","DateFormat=P","Fill=—","Direction=H","UseDPDF=Y")</f>
        <v>—</v>
      </c>
      <c r="M21" s="14" t="str">
        <f>_xll.BDH("AMGN US Equity","GHG_INTENSITY_PER_ASSETS","FY 2010","FY 2010","Currency=USD","Period=FQ","BEST_FPERIOD_OVERRIDE=FQ","FILING_STATUS=MR","Sort=A","Dates=H","DateFormat=P","Fill=—","Direction=H","UseDPDF=Y")</f>
        <v>—</v>
      </c>
      <c r="N21" s="14" t="str">
        <f>_xll.BDH("AMGN US Equity","GHG_INTENSITY_PER_ASSETS","FY 2011","FY 2011","Currency=USD","Period=FQ","BEST_FPERIOD_OVERRIDE=FQ","FILING_STATUS=MR","Sort=A","Dates=H","DateFormat=P","Fill=—","Direction=H","UseDPDF=Y")</f>
        <v>—</v>
      </c>
      <c r="O21" s="14" t="str">
        <f>_xll.BDH("AMGN US Equity","GHG_INTENSITY_PER_ASSETS","FY 2012","FY 2012","Currency=USD","Period=FQ","BEST_FPERIOD_OVERRIDE=FQ","FILING_STATUS=MR","Sort=A","Dates=H","DateFormat=P","Fill=—","Direction=H","UseDPDF=Y")</f>
        <v>—</v>
      </c>
      <c r="P21" s="14" t="str">
        <f>_xll.BDH("AMGN US Equity","GHG_INTENSITY_PER_ASSETS","FY 2013","FY 2013","Currency=USD","Period=FQ","BEST_FPERIOD_OVERRIDE=FQ","FILING_STATUS=MR","Sort=A","Dates=H","DateFormat=P","Fill=—","Direction=H","UseDPDF=Y")</f>
        <v>—</v>
      </c>
      <c r="Q21" s="14" t="str">
        <f>_xll.BDH("AMGN US Equity","GHG_INTENSITY_PER_ASSETS","FY 2014","FY 2014","Currency=USD","Period=FQ","BEST_FPERIOD_OVERRIDE=FQ","FILING_STATUS=MR","Sort=A","Dates=H","DateFormat=P","Fill=—","Direction=H","UseDPDF=Y")</f>
        <v>—</v>
      </c>
      <c r="R21" s="14" t="str">
        <f>_xll.BDH("AMGN US Equity","GHG_INTENSITY_PER_ASSETS","FY 2015","FY 2015","Currency=USD","Period=FQ","BEST_FPERIOD_OVERRIDE=FQ","FILING_STATUS=MR","Sort=A","Dates=H","DateFormat=P","Fill=—","Direction=H","UseDPDF=Y")</f>
        <v>—</v>
      </c>
      <c r="S21" s="14" t="str">
        <f>_xll.BDH("AMGN US Equity","GHG_INTENSITY_PER_ASSETS","FY 2016","FY 2016","Currency=USD","Period=FQ","BEST_FPERIOD_OVERRIDE=FQ","FILING_STATUS=MR","Sort=A","Dates=H","DateFormat=P","Fill=—","Direction=H","UseDPDF=Y")</f>
        <v>—</v>
      </c>
      <c r="T21" s="14" t="str">
        <f>_xll.BDH("AMGN US Equity","GHG_INTENSITY_PER_ASSETS","FY 2017","FY 2017","Currency=USD","Period=FQ","BEST_FPERIOD_OVERRIDE=FQ","FILING_STATUS=MR","Sort=A","Dates=H","DateFormat=P","Fill=—","Direction=H","UseDPDF=Y")</f>
        <v>—</v>
      </c>
      <c r="U21" s="14" t="str">
        <f>_xll.BDH("AMGN US Equity","GHG_INTENSITY_PER_ASSETS","FY 2018","FY 2018","Currency=USD","Period=FQ","BEST_FPERIOD_OVERRIDE=FQ","FILING_STATUS=MR","Sort=A","Dates=H","DateFormat=P","Fill=—","Direction=H","UseDPDF=Y")</f>
        <v>—</v>
      </c>
      <c r="V21" s="14" t="str">
        <f>_xll.BDH("AMGN US Equity","GHG_INTENSITY_PER_ASSETS","FY 2019","FY 2019","Currency=USD","Period=FQ","BEST_FPERIOD_OVERRIDE=FQ","FILING_STATUS=MR","Sort=A","Dates=H","DateFormat=P","Fill=—","Direction=H","UseDPDF=Y")</f>
        <v>—</v>
      </c>
      <c r="W21" s="14" t="str">
        <f>_xll.BDH("AMGN US Equity","GHG_INTENSITY_PER_ASSETS","FY 2020","FY 2020","Currency=USD","Period=FQ","BEST_FPERIOD_OVERRIDE=FQ","FILING_STATUS=MR","Sort=A","Dates=H","DateFormat=P","Fill=—","Direction=H","UseDPDF=Y")</f>
        <v>—</v>
      </c>
      <c r="X21" s="14" t="str">
        <f>_xll.BDH("AMGN US Equity","GHG_INTENSITY_PER_ASSETS","FY 2021","FY 2021","Currency=USD","Period=FQ","BEST_FPERIOD_OVERRIDE=FQ","FILING_STATUS=MR","Sort=A","Dates=H","DateFormat=P","Fill=—","Direction=H","UseDPDF=Y")</f>
        <v>—</v>
      </c>
      <c r="Y21" s="14" t="str">
        <f>_xll.BDH("AMGN US Equity","GHG_INTENSITY_PER_ASSETS","FY 2022","FY 2022","Currency=USD","Period=FQ","BEST_FPERIOD_OVERRIDE=FQ","FILING_STATUS=MR","Sort=A","Dates=H","DateFormat=P","Fill=—","Direction=H","UseDPDF=Y")</f>
        <v>—</v>
      </c>
      <c r="Z21" s="14" t="str">
        <f>_xll.BDH("AMGN US Equity","GHG_INTENSITY_PER_ASSETS","FY 2023","FY 2023","Currency=USD","Period=FQ","BEST_FPERIOD_OVERRIDE=FQ","FILING_STATUS=MR","Sort=A","Dates=H","DateFormat=P","Fill=—","Direction=H","UseDPDF=Y")</f>
        <v>—</v>
      </c>
      <c r="AA21" s="14" t="str">
        <f>_xll.BDH("AMGN US Equity","GHG_INTENSITY_PER_ASSETS","FY 2024","FY 2024","Currency=USD","Period=FQ","BEST_FPERIOD_OVERRIDE=FQ","FILING_STATUS=MR","Sort=A","Dates=H","DateFormat=P","Fill=—","Direction=H","UseDPDF=Y")</f>
        <v>—</v>
      </c>
    </row>
    <row r="22" spans="1:27" x14ac:dyDescent="0.25">
      <c r="A22" s="10" t="s">
        <v>1932</v>
      </c>
      <c r="B22" s="10" t="s">
        <v>1933</v>
      </c>
      <c r="C22" s="14" t="str">
        <f>_xll.BDH("AMGN US Equity","TRAVEL_GHG_PER_EMPLOYEE","FY 2000","FY 2000","Currency=USD","Period=FQ","BEST_FPERIOD_OVERRIDE=FQ","FILING_STATUS=MR","Sort=A","Dates=H","DateFormat=P","Fill=—","Direction=H","UseDPDF=Y")</f>
        <v>—</v>
      </c>
      <c r="D22" s="14" t="str">
        <f>_xll.BDH("AMGN US Equity","TRAVEL_GHG_PER_EMPLOYEE","FY 2001","FY 2001","Currency=USD","Period=FQ","BEST_FPERIOD_OVERRIDE=FQ","FILING_STATUS=MR","Sort=A","Dates=H","DateFormat=P","Fill=—","Direction=H","UseDPDF=Y")</f>
        <v>—</v>
      </c>
      <c r="E22" s="14" t="str">
        <f>_xll.BDH("AMGN US Equity","TRAVEL_GHG_PER_EMPLOYEE","FY 2002","FY 2002","Currency=USD","Period=FQ","BEST_FPERIOD_OVERRIDE=FQ","FILING_STATUS=MR","Sort=A","Dates=H","DateFormat=P","Fill=—","Direction=H","UseDPDF=Y")</f>
        <v>—</v>
      </c>
      <c r="F22" s="14" t="str">
        <f>_xll.BDH("AMGN US Equity","TRAVEL_GHG_PER_EMPLOYEE","FY 2003","FY 2003","Currency=USD","Period=FQ","BEST_FPERIOD_OVERRIDE=FQ","FILING_STATUS=MR","Sort=A","Dates=H","DateFormat=P","Fill=—","Direction=H","UseDPDF=Y")</f>
        <v>—</v>
      </c>
      <c r="G22" s="14" t="str">
        <f>_xll.BDH("AMGN US Equity","TRAVEL_GHG_PER_EMPLOYEE","FY 2004","FY 2004","Currency=USD","Period=FQ","BEST_FPERIOD_OVERRIDE=FQ","FILING_STATUS=MR","Sort=A","Dates=H","DateFormat=P","Fill=—","Direction=H","UseDPDF=Y")</f>
        <v>—</v>
      </c>
      <c r="H22" s="14" t="str">
        <f>_xll.BDH("AMGN US Equity","TRAVEL_GHG_PER_EMPLOYEE","FY 2005","FY 2005","Currency=USD","Period=FQ","BEST_FPERIOD_OVERRIDE=FQ","FILING_STATUS=MR","Sort=A","Dates=H","DateFormat=P","Fill=—","Direction=H","UseDPDF=Y")</f>
        <v>—</v>
      </c>
      <c r="I22" s="14" t="str">
        <f>_xll.BDH("AMGN US Equity","TRAVEL_GHG_PER_EMPLOYEE","FY 2006","FY 2006","Currency=USD","Period=FQ","BEST_FPERIOD_OVERRIDE=FQ","FILING_STATUS=MR","Sort=A","Dates=H","DateFormat=P","Fill=—","Direction=H","UseDPDF=Y")</f>
        <v>—</v>
      </c>
      <c r="J22" s="14" t="str">
        <f>_xll.BDH("AMGN US Equity","TRAVEL_GHG_PER_EMPLOYEE","FY 2007","FY 2007","Currency=USD","Period=FQ","BEST_FPERIOD_OVERRIDE=FQ","FILING_STATUS=MR","Sort=A","Dates=H","DateFormat=P","Fill=—","Direction=H","UseDPDF=Y")</f>
        <v>—</v>
      </c>
      <c r="K22" s="14" t="str">
        <f>_xll.BDH("AMGN US Equity","TRAVEL_GHG_PER_EMPLOYEE","FY 2008","FY 2008","Currency=USD","Period=FQ","BEST_FPERIOD_OVERRIDE=FQ","FILING_STATUS=MR","Sort=A","Dates=H","DateFormat=P","Fill=—","Direction=H","UseDPDF=Y")</f>
        <v>—</v>
      </c>
      <c r="L22" s="14" t="str">
        <f>_xll.BDH("AMGN US Equity","TRAVEL_GHG_PER_EMPLOYEE","FY 2009","FY 2009","Currency=USD","Period=FQ","BEST_FPERIOD_OVERRIDE=FQ","FILING_STATUS=MR","Sort=A","Dates=H","DateFormat=P","Fill=—","Direction=H","UseDPDF=Y")</f>
        <v>—</v>
      </c>
      <c r="M22" s="14" t="str">
        <f>_xll.BDH("AMGN US Equity","TRAVEL_GHG_PER_EMPLOYEE","FY 2010","FY 2010","Currency=USD","Period=FQ","BEST_FPERIOD_OVERRIDE=FQ","FILING_STATUS=MR","Sort=A","Dates=H","DateFormat=P","Fill=—","Direction=H","UseDPDF=Y")</f>
        <v>—</v>
      </c>
      <c r="N22" s="14" t="str">
        <f>_xll.BDH("AMGN US Equity","TRAVEL_GHG_PER_EMPLOYEE","FY 2011","FY 2011","Currency=USD","Period=FQ","BEST_FPERIOD_OVERRIDE=FQ","FILING_STATUS=MR","Sort=A","Dates=H","DateFormat=P","Fill=—","Direction=H","UseDPDF=Y")</f>
        <v>—</v>
      </c>
      <c r="O22" s="14" t="str">
        <f>_xll.BDH("AMGN US Equity","TRAVEL_GHG_PER_EMPLOYEE","FY 2012","FY 2012","Currency=USD","Period=FQ","BEST_FPERIOD_OVERRIDE=FQ","FILING_STATUS=MR","Sort=A","Dates=H","DateFormat=P","Fill=—","Direction=H","UseDPDF=Y")</f>
        <v>—</v>
      </c>
      <c r="P22" s="14" t="str">
        <f>_xll.BDH("AMGN US Equity","TRAVEL_GHG_PER_EMPLOYEE","FY 2013","FY 2013","Currency=USD","Period=FQ","BEST_FPERIOD_OVERRIDE=FQ","FILING_STATUS=MR","Sort=A","Dates=H","DateFormat=P","Fill=—","Direction=H","UseDPDF=Y")</f>
        <v>—</v>
      </c>
      <c r="Q22" s="14" t="str">
        <f>_xll.BDH("AMGN US Equity","TRAVEL_GHG_PER_EMPLOYEE","FY 2014","FY 2014","Currency=USD","Period=FQ","BEST_FPERIOD_OVERRIDE=FQ","FILING_STATUS=MR","Sort=A","Dates=H","DateFormat=P","Fill=—","Direction=H","UseDPDF=Y")</f>
        <v>—</v>
      </c>
      <c r="R22" s="14" t="str">
        <f>_xll.BDH("AMGN US Equity","TRAVEL_GHG_PER_EMPLOYEE","FY 2015","FY 2015","Currency=USD","Period=FQ","BEST_FPERIOD_OVERRIDE=FQ","FILING_STATUS=MR","Sort=A","Dates=H","DateFormat=P","Fill=—","Direction=H","UseDPDF=Y")</f>
        <v>—</v>
      </c>
      <c r="S22" s="14" t="str">
        <f>_xll.BDH("AMGN US Equity","TRAVEL_GHG_PER_EMPLOYEE","FY 2016","FY 2016","Currency=USD","Period=FQ","BEST_FPERIOD_OVERRIDE=FQ","FILING_STATUS=MR","Sort=A","Dates=H","DateFormat=P","Fill=—","Direction=H","UseDPDF=Y")</f>
        <v>—</v>
      </c>
      <c r="T22" s="14" t="str">
        <f>_xll.BDH("AMGN US Equity","TRAVEL_GHG_PER_EMPLOYEE","FY 2017","FY 2017","Currency=USD","Period=FQ","BEST_FPERIOD_OVERRIDE=FQ","FILING_STATUS=MR","Sort=A","Dates=H","DateFormat=P","Fill=—","Direction=H","UseDPDF=Y")</f>
        <v>—</v>
      </c>
      <c r="U22" s="14" t="str">
        <f>_xll.BDH("AMGN US Equity","TRAVEL_GHG_PER_EMPLOYEE","FY 2018","FY 2018","Currency=USD","Period=FQ","BEST_FPERIOD_OVERRIDE=FQ","FILING_STATUS=MR","Sort=A","Dates=H","DateFormat=P","Fill=—","Direction=H","UseDPDF=Y")</f>
        <v>—</v>
      </c>
      <c r="V22" s="14" t="str">
        <f>_xll.BDH("AMGN US Equity","TRAVEL_GHG_PER_EMPLOYEE","FY 2019","FY 2019","Currency=USD","Period=FQ","BEST_FPERIOD_OVERRIDE=FQ","FILING_STATUS=MR","Sort=A","Dates=H","DateFormat=P","Fill=—","Direction=H","UseDPDF=Y")</f>
        <v>—</v>
      </c>
      <c r="W22" s="14" t="str">
        <f>_xll.BDH("AMGN US Equity","TRAVEL_GHG_PER_EMPLOYEE","FY 2020","FY 2020","Currency=USD","Period=FQ","BEST_FPERIOD_OVERRIDE=FQ","FILING_STATUS=MR","Sort=A","Dates=H","DateFormat=P","Fill=—","Direction=H","UseDPDF=Y")</f>
        <v>—</v>
      </c>
      <c r="X22" s="14" t="str">
        <f>_xll.BDH("AMGN US Equity","TRAVEL_GHG_PER_EMPLOYEE","FY 2021","FY 2021","Currency=USD","Period=FQ","BEST_FPERIOD_OVERRIDE=FQ","FILING_STATUS=MR","Sort=A","Dates=H","DateFormat=P","Fill=—","Direction=H","UseDPDF=Y")</f>
        <v>—</v>
      </c>
      <c r="Y22" s="14" t="str">
        <f>_xll.BDH("AMGN US Equity","TRAVEL_GHG_PER_EMPLOYEE","FY 2022","FY 2022","Currency=USD","Period=FQ","BEST_FPERIOD_OVERRIDE=FQ","FILING_STATUS=MR","Sort=A","Dates=H","DateFormat=P","Fill=—","Direction=H","UseDPDF=Y")</f>
        <v>—</v>
      </c>
      <c r="Z22" s="14" t="str">
        <f>_xll.BDH("AMGN US Equity","TRAVEL_GHG_PER_EMPLOYEE","FY 2023","FY 2023","Currency=USD","Period=FQ","BEST_FPERIOD_OVERRIDE=FQ","FILING_STATUS=MR","Sort=A","Dates=H","DateFormat=P","Fill=—","Direction=H","UseDPDF=Y")</f>
        <v>—</v>
      </c>
      <c r="AA22" s="14" t="str">
        <f>_xll.BDH("AMGN US Equity","TRAVEL_GHG_PER_EMPLOYEE","FY 2024","FY 2024","Currency=USD","Period=FQ","BEST_FPERIOD_OVERRIDE=FQ","FILING_STATUS=MR","Sort=A","Dates=H","DateFormat=P","Fill=—","Direction=H","UseDPDF=Y")</f>
        <v>—</v>
      </c>
    </row>
    <row r="23" spans="1:27" x14ac:dyDescent="0.25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5">
      <c r="A24" s="6" t="s">
        <v>1934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 x14ac:dyDescent="0.25">
      <c r="A25" s="10" t="s">
        <v>1935</v>
      </c>
      <c r="B25" s="10" t="s">
        <v>1936</v>
      </c>
      <c r="C25" s="14" t="str">
        <f>_xll.BDH("AMGN US Equity","CO2_INTENSITY_PER_ENERGY_CONSMD","FY 2000","FY 2000","Currency=USD","Period=FQ","BEST_FPERIOD_OVERRIDE=FQ","FILING_STATUS=MR","Sort=A","Dates=H","DateFormat=P","Fill=—","Direction=H","UseDPDF=Y")</f>
        <v>—</v>
      </c>
      <c r="D25" s="14" t="str">
        <f>_xll.BDH("AMGN US Equity","CO2_INTENSITY_PER_ENERGY_CONSMD","FY 2001","FY 2001","Currency=USD","Period=FQ","BEST_FPERIOD_OVERRIDE=FQ","FILING_STATUS=MR","Sort=A","Dates=H","DateFormat=P","Fill=—","Direction=H","UseDPDF=Y")</f>
        <v>—</v>
      </c>
      <c r="E25" s="14" t="str">
        <f>_xll.BDH("AMGN US Equity","CO2_INTENSITY_PER_ENERGY_CONSMD","FY 2002","FY 2002","Currency=USD","Period=FQ","BEST_FPERIOD_OVERRIDE=FQ","FILING_STATUS=MR","Sort=A","Dates=H","DateFormat=P","Fill=—","Direction=H","UseDPDF=Y")</f>
        <v>—</v>
      </c>
      <c r="F25" s="14" t="str">
        <f>_xll.BDH("AMGN US Equity","CO2_INTENSITY_PER_ENERGY_CONSMD","FY 2003","FY 2003","Currency=USD","Period=FQ","BEST_FPERIOD_OVERRIDE=FQ","FILING_STATUS=MR","Sort=A","Dates=H","DateFormat=P","Fill=—","Direction=H","UseDPDF=Y")</f>
        <v>—</v>
      </c>
      <c r="G25" s="14" t="str">
        <f>_xll.BDH("AMGN US Equity","CO2_INTENSITY_PER_ENERGY_CONSMD","FY 2004","FY 2004","Currency=USD","Period=FQ","BEST_FPERIOD_OVERRIDE=FQ","FILING_STATUS=MR","Sort=A","Dates=H","DateFormat=P","Fill=—","Direction=H","UseDPDF=Y")</f>
        <v>—</v>
      </c>
      <c r="H25" s="14" t="str">
        <f>_xll.BDH("AMGN US Equity","CO2_INTENSITY_PER_ENERGY_CONSMD","FY 2005","FY 2005","Currency=USD","Period=FQ","BEST_FPERIOD_OVERRIDE=FQ","FILING_STATUS=MR","Sort=A","Dates=H","DateFormat=P","Fill=—","Direction=H","UseDPDF=Y")</f>
        <v>—</v>
      </c>
      <c r="I25" s="14" t="str">
        <f>_xll.BDH("AMGN US Equity","CO2_INTENSITY_PER_ENERGY_CONSMD","FY 2006","FY 2006","Currency=USD","Period=FQ","BEST_FPERIOD_OVERRIDE=FQ","FILING_STATUS=MR","Sort=A","Dates=H","DateFormat=P","Fill=—","Direction=H","UseDPDF=Y")</f>
        <v>—</v>
      </c>
      <c r="J25" s="14" t="str">
        <f>_xll.BDH("AMGN US Equity","CO2_INTENSITY_PER_ENERGY_CONSMD","FY 2007","FY 2007","Currency=USD","Period=FQ","BEST_FPERIOD_OVERRIDE=FQ","FILING_STATUS=MR","Sort=A","Dates=H","DateFormat=P","Fill=—","Direction=H","UseDPDF=Y")</f>
        <v>—</v>
      </c>
      <c r="K25" s="14" t="str">
        <f>_xll.BDH("AMGN US Equity","CO2_INTENSITY_PER_ENERGY_CONSMD","FY 2008","FY 2008","Currency=USD","Period=FQ","BEST_FPERIOD_OVERRIDE=FQ","FILING_STATUS=MR","Sort=A","Dates=H","DateFormat=P","Fill=—","Direction=H","UseDPDF=Y")</f>
        <v>—</v>
      </c>
      <c r="L25" s="14" t="str">
        <f>_xll.BDH("AMGN US Equity","CO2_INTENSITY_PER_ENERGY_CONSMD","FY 2009","FY 2009","Currency=USD","Period=FQ","BEST_FPERIOD_OVERRIDE=FQ","FILING_STATUS=MR","Sort=A","Dates=H","DateFormat=P","Fill=—","Direction=H","UseDPDF=Y")</f>
        <v>—</v>
      </c>
      <c r="M25" s="14" t="str">
        <f>_xll.BDH("AMGN US Equity","CO2_INTENSITY_PER_ENERGY_CONSMD","FY 2010","FY 2010","Currency=USD","Period=FQ","BEST_FPERIOD_OVERRIDE=FQ","FILING_STATUS=MR","Sort=A","Dates=H","DateFormat=P","Fill=—","Direction=H","UseDPDF=Y")</f>
        <v>—</v>
      </c>
      <c r="N25" s="14" t="str">
        <f>_xll.BDH("AMGN US Equity","CO2_INTENSITY_PER_ENERGY_CONSMD","FY 2011","FY 2011","Currency=USD","Period=FQ","BEST_FPERIOD_OVERRIDE=FQ","FILING_STATUS=MR","Sort=A","Dates=H","DateFormat=P","Fill=—","Direction=H","UseDPDF=Y")</f>
        <v>—</v>
      </c>
      <c r="O25" s="14" t="str">
        <f>_xll.BDH("AMGN US Equity","CO2_INTENSITY_PER_ENERGY_CONSMD","FY 2012","FY 2012","Currency=USD","Period=FQ","BEST_FPERIOD_OVERRIDE=FQ","FILING_STATUS=MR","Sort=A","Dates=H","DateFormat=P","Fill=—","Direction=H","UseDPDF=Y")</f>
        <v>—</v>
      </c>
      <c r="P25" s="14" t="str">
        <f>_xll.BDH("AMGN US Equity","CO2_INTENSITY_PER_ENERGY_CONSMD","FY 2013","FY 2013","Currency=USD","Period=FQ","BEST_FPERIOD_OVERRIDE=FQ","FILING_STATUS=MR","Sort=A","Dates=H","DateFormat=P","Fill=—","Direction=H","UseDPDF=Y")</f>
        <v>—</v>
      </c>
      <c r="Q25" s="14" t="str">
        <f>_xll.BDH("AMGN US Equity","CO2_INTENSITY_PER_ENERGY_CONSMD","FY 2014","FY 2014","Currency=USD","Period=FQ","BEST_FPERIOD_OVERRIDE=FQ","FILING_STATUS=MR","Sort=A","Dates=H","DateFormat=P","Fill=—","Direction=H","UseDPDF=Y")</f>
        <v>—</v>
      </c>
      <c r="R25" s="14" t="str">
        <f>_xll.BDH("AMGN US Equity","CO2_INTENSITY_PER_ENERGY_CONSMD","FY 2015","FY 2015","Currency=USD","Period=FQ","BEST_FPERIOD_OVERRIDE=FQ","FILING_STATUS=MR","Sort=A","Dates=H","DateFormat=P","Fill=—","Direction=H","UseDPDF=Y")</f>
        <v>—</v>
      </c>
      <c r="S25" s="14" t="str">
        <f>_xll.BDH("AMGN US Equity","CO2_INTENSITY_PER_ENERGY_CONSMD","FY 2016","FY 2016","Currency=USD","Period=FQ","BEST_FPERIOD_OVERRIDE=FQ","FILING_STATUS=MR","Sort=A","Dates=H","DateFormat=P","Fill=—","Direction=H","UseDPDF=Y")</f>
        <v>—</v>
      </c>
      <c r="T25" s="14" t="str">
        <f>_xll.BDH("AMGN US Equity","CO2_INTENSITY_PER_ENERGY_CONSMD","FY 2017","FY 2017","Currency=USD","Period=FQ","BEST_FPERIOD_OVERRIDE=FQ","FILING_STATUS=MR","Sort=A","Dates=H","DateFormat=P","Fill=—","Direction=H","UseDPDF=Y")</f>
        <v>—</v>
      </c>
      <c r="U25" s="14" t="str">
        <f>_xll.BDH("AMGN US Equity","CO2_INTENSITY_PER_ENERGY_CONSMD","FY 2018","FY 2018","Currency=USD","Period=FQ","BEST_FPERIOD_OVERRIDE=FQ","FILING_STATUS=MR","Sort=A","Dates=H","DateFormat=P","Fill=—","Direction=H","UseDPDF=Y")</f>
        <v>—</v>
      </c>
      <c r="V25" s="14" t="str">
        <f>_xll.BDH("AMGN US Equity","CO2_INTENSITY_PER_ENERGY_CONSMD","FY 2019","FY 2019","Currency=USD","Period=FQ","BEST_FPERIOD_OVERRIDE=FQ","FILING_STATUS=MR","Sort=A","Dates=H","DateFormat=P","Fill=—","Direction=H","UseDPDF=Y")</f>
        <v>—</v>
      </c>
      <c r="W25" s="14" t="str">
        <f>_xll.BDH("AMGN US Equity","CO2_INTENSITY_PER_ENERGY_CONSMD","FY 2020","FY 2020","Currency=USD","Period=FQ","BEST_FPERIOD_OVERRIDE=FQ","FILING_STATUS=MR","Sort=A","Dates=H","DateFormat=P","Fill=—","Direction=H","UseDPDF=Y")</f>
        <v>—</v>
      </c>
      <c r="X25" s="14" t="str">
        <f>_xll.BDH("AMGN US Equity","CO2_INTENSITY_PER_ENERGY_CONSMD","FY 2021","FY 2021","Currency=USD","Period=FQ","BEST_FPERIOD_OVERRIDE=FQ","FILING_STATUS=MR","Sort=A","Dates=H","DateFormat=P","Fill=—","Direction=H","UseDPDF=Y")</f>
        <v>—</v>
      </c>
      <c r="Y25" s="14" t="str">
        <f>_xll.BDH("AMGN US Equity","CO2_INTENSITY_PER_ENERGY_CONSMD","FY 2022","FY 2022","Currency=USD","Period=FQ","BEST_FPERIOD_OVERRIDE=FQ","FILING_STATUS=MR","Sort=A","Dates=H","DateFormat=P","Fill=—","Direction=H","UseDPDF=Y")</f>
        <v>—</v>
      </c>
      <c r="Z25" s="14" t="str">
        <f>_xll.BDH("AMGN US Equity","CO2_INTENSITY_PER_ENERGY_CONSMD","FY 2023","FY 2023","Currency=USD","Period=FQ","BEST_FPERIOD_OVERRIDE=FQ","FILING_STATUS=MR","Sort=A","Dates=H","DateFormat=P","Fill=—","Direction=H","UseDPDF=Y")</f>
        <v>—</v>
      </c>
      <c r="AA25" s="14" t="str">
        <f>_xll.BDH("AMGN US Equity","CO2_INTENSITY_PER_ENERGY_CONSMD","FY 2024","FY 2024","Currency=USD","Period=FQ","BEST_FPERIOD_OVERRIDE=FQ","FILING_STATUS=MR","Sort=A","Dates=H","DateFormat=P","Fill=—","Direction=H","UseDPDF=Y")</f>
        <v>—</v>
      </c>
    </row>
    <row r="26" spans="1:27" x14ac:dyDescent="0.25">
      <c r="A26" s="10" t="s">
        <v>1937</v>
      </c>
      <c r="B26" s="10" t="s">
        <v>1938</v>
      </c>
      <c r="C26" s="14" t="str">
        <f>_xll.BDH("AMGN US Equity","CO2_INTENSITY_PER_SALES_CALC","FY 2000","FY 2000","Currency=USD","Period=FQ","BEST_FPERIOD_OVERRIDE=FQ","FILING_STATUS=MR","FA_ADJUSTED=GAAP","Sort=A","Dates=H","DateFormat=P","Fill=—","Direction=H","UseDPDF=Y")</f>
        <v>—</v>
      </c>
      <c r="D26" s="14" t="str">
        <f>_xll.BDH("AMGN US Equity","CO2_INTENSITY_PER_SALES_CALC","FY 2001","FY 2001","Currency=USD","Period=FQ","BEST_FPERIOD_OVERRIDE=FQ","FILING_STATUS=MR","FA_ADJUSTED=GAAP","Sort=A","Dates=H","DateFormat=P","Fill=—","Direction=H","UseDPDF=Y")</f>
        <v>—</v>
      </c>
      <c r="E26" s="14" t="str">
        <f>_xll.BDH("AMGN US Equity","CO2_INTENSITY_PER_SALES_CALC","FY 2002","FY 2002","Currency=USD","Period=FQ","BEST_FPERIOD_OVERRIDE=FQ","FILING_STATUS=MR","FA_ADJUSTED=GAAP","Sort=A","Dates=H","DateFormat=P","Fill=—","Direction=H","UseDPDF=Y")</f>
        <v>—</v>
      </c>
      <c r="F26" s="14" t="str">
        <f>_xll.BDH("AMGN US Equity","CO2_INTENSITY_PER_SALES_CALC","FY 2003","FY 2003","Currency=USD","Period=FQ","BEST_FPERIOD_OVERRIDE=FQ","FILING_STATUS=MR","FA_ADJUSTED=GAAP","Sort=A","Dates=H","DateFormat=P","Fill=—","Direction=H","UseDPDF=Y")</f>
        <v>—</v>
      </c>
      <c r="G26" s="14" t="str">
        <f>_xll.BDH("AMGN US Equity","CO2_INTENSITY_PER_SALES_CALC","FY 2004","FY 2004","Currency=USD","Period=FQ","BEST_FPERIOD_OVERRIDE=FQ","FILING_STATUS=MR","FA_ADJUSTED=GAAP","Sort=A","Dates=H","DateFormat=P","Fill=—","Direction=H","UseDPDF=Y")</f>
        <v>—</v>
      </c>
      <c r="H26" s="14" t="str">
        <f>_xll.BDH("AMGN US Equity","CO2_INTENSITY_PER_SALES_CALC","FY 2005","FY 2005","Currency=USD","Period=FQ","BEST_FPERIOD_OVERRIDE=FQ","FILING_STATUS=MR","FA_ADJUSTED=GAAP","Sort=A","Dates=H","DateFormat=P","Fill=—","Direction=H","UseDPDF=Y")</f>
        <v>—</v>
      </c>
      <c r="I26" s="14" t="str">
        <f>_xll.BDH("AMGN US Equity","CO2_INTENSITY_PER_SALES_CALC","FY 2006","FY 2006","Currency=USD","Period=FQ","BEST_FPERIOD_OVERRIDE=FQ","FILING_STATUS=MR","FA_ADJUSTED=GAAP","Sort=A","Dates=H","DateFormat=P","Fill=—","Direction=H","UseDPDF=Y")</f>
        <v>—</v>
      </c>
      <c r="J26" s="14" t="str">
        <f>_xll.BDH("AMGN US Equity","CO2_INTENSITY_PER_SALES_CALC","FY 2007","FY 2007","Currency=USD","Period=FQ","BEST_FPERIOD_OVERRIDE=FQ","FILING_STATUS=MR","FA_ADJUSTED=GAAP","Sort=A","Dates=H","DateFormat=P","Fill=—","Direction=H","UseDPDF=Y")</f>
        <v>—</v>
      </c>
      <c r="K26" s="14" t="str">
        <f>_xll.BDH("AMGN US Equity","CO2_INTENSITY_PER_SALES_CALC","FY 2008","FY 2008","Currency=USD","Period=FQ","BEST_FPERIOD_OVERRIDE=FQ","FILING_STATUS=MR","FA_ADJUSTED=GAAP","Sort=A","Dates=H","DateFormat=P","Fill=—","Direction=H","UseDPDF=Y")</f>
        <v>—</v>
      </c>
      <c r="L26" s="14" t="str">
        <f>_xll.BDH("AMGN US Equity","CO2_INTENSITY_PER_SALES_CALC","FY 2009","FY 2009","Currency=USD","Period=FQ","BEST_FPERIOD_OVERRIDE=FQ","FILING_STATUS=MR","FA_ADJUSTED=GAAP","Sort=A","Dates=H","DateFormat=P","Fill=—","Direction=H","UseDPDF=Y")</f>
        <v>—</v>
      </c>
      <c r="M26" s="14" t="str">
        <f>_xll.BDH("AMGN US Equity","CO2_INTENSITY_PER_SALES_CALC","FY 2010","FY 2010","Currency=USD","Period=FQ","BEST_FPERIOD_OVERRIDE=FQ","FILING_STATUS=MR","FA_ADJUSTED=GAAP","Sort=A","Dates=H","DateFormat=P","Fill=—","Direction=H","UseDPDF=Y")</f>
        <v>—</v>
      </c>
      <c r="N26" s="14" t="str">
        <f>_xll.BDH("AMGN US Equity","CO2_INTENSITY_PER_SALES_CALC","FY 2011","FY 2011","Currency=USD","Period=FQ","BEST_FPERIOD_OVERRIDE=FQ","FILING_STATUS=MR","FA_ADJUSTED=GAAP","Sort=A","Dates=H","DateFormat=P","Fill=—","Direction=H","UseDPDF=Y")</f>
        <v>—</v>
      </c>
      <c r="O26" s="14" t="str">
        <f>_xll.BDH("AMGN US Equity","CO2_INTENSITY_PER_SALES_CALC","FY 2012","FY 2012","Currency=USD","Period=FQ","BEST_FPERIOD_OVERRIDE=FQ","FILING_STATUS=MR","FA_ADJUSTED=GAAP","Sort=A","Dates=H","DateFormat=P","Fill=—","Direction=H","UseDPDF=Y")</f>
        <v>—</v>
      </c>
      <c r="P26" s="14" t="str">
        <f>_xll.BDH("AMGN US Equity","CO2_INTENSITY_PER_SALES_CALC","FY 2013","FY 2013","Currency=USD","Period=FQ","BEST_FPERIOD_OVERRIDE=FQ","FILING_STATUS=MR","FA_ADJUSTED=GAAP","Sort=A","Dates=H","DateFormat=P","Fill=—","Direction=H","UseDPDF=Y")</f>
        <v>—</v>
      </c>
      <c r="Q26" s="14" t="str">
        <f>_xll.BDH("AMGN US Equity","CO2_INTENSITY_PER_SALES_CALC","FY 2014","FY 2014","Currency=USD","Period=FQ","BEST_FPERIOD_OVERRIDE=FQ","FILING_STATUS=MR","FA_ADJUSTED=GAAP","Sort=A","Dates=H","DateFormat=P","Fill=—","Direction=H","UseDPDF=Y")</f>
        <v>—</v>
      </c>
      <c r="R26" s="14" t="str">
        <f>_xll.BDH("AMGN US Equity","CO2_INTENSITY_PER_SALES_CALC","FY 2015","FY 2015","Currency=USD","Period=FQ","BEST_FPERIOD_OVERRIDE=FQ","FILING_STATUS=MR","FA_ADJUSTED=GAAP","Sort=A","Dates=H","DateFormat=P","Fill=—","Direction=H","UseDPDF=Y")</f>
        <v>—</v>
      </c>
      <c r="S26" s="14" t="str">
        <f>_xll.BDH("AMGN US Equity","CO2_INTENSITY_PER_SALES_CALC","FY 2016","FY 2016","Currency=USD","Period=FQ","BEST_FPERIOD_OVERRIDE=FQ","FILING_STATUS=MR","FA_ADJUSTED=GAAP","Sort=A","Dates=H","DateFormat=P","Fill=—","Direction=H","UseDPDF=Y")</f>
        <v>—</v>
      </c>
      <c r="T26" s="14" t="str">
        <f>_xll.BDH("AMGN US Equity","CO2_INTENSITY_PER_SALES_CALC","FY 2017","FY 2017","Currency=USD","Period=FQ","BEST_FPERIOD_OVERRIDE=FQ","FILING_STATUS=MR","FA_ADJUSTED=GAAP","Sort=A","Dates=H","DateFormat=P","Fill=—","Direction=H","UseDPDF=Y")</f>
        <v>—</v>
      </c>
      <c r="U26" s="14" t="str">
        <f>_xll.BDH("AMGN US Equity","CO2_INTENSITY_PER_SALES_CALC","FY 2018","FY 2018","Currency=USD","Period=FQ","BEST_FPERIOD_OVERRIDE=FQ","FILING_STATUS=MR","FA_ADJUSTED=GAAP","Sort=A","Dates=H","DateFormat=P","Fill=—","Direction=H","UseDPDF=Y")</f>
        <v>—</v>
      </c>
      <c r="V26" s="14" t="str">
        <f>_xll.BDH("AMGN US Equity","CO2_INTENSITY_PER_SALES_CALC","FY 2019","FY 2019","Currency=USD","Period=FQ","BEST_FPERIOD_OVERRIDE=FQ","FILING_STATUS=MR","FA_ADJUSTED=GAAP","Sort=A","Dates=H","DateFormat=P","Fill=—","Direction=H","UseDPDF=Y")</f>
        <v>—</v>
      </c>
      <c r="W26" s="14" t="str">
        <f>_xll.BDH("AMGN US Equity","CO2_INTENSITY_PER_SALES_CALC","FY 2020","FY 2020","Currency=USD","Period=FQ","BEST_FPERIOD_OVERRIDE=FQ","FILING_STATUS=MR","FA_ADJUSTED=GAAP","Sort=A","Dates=H","DateFormat=P","Fill=—","Direction=H","UseDPDF=Y")</f>
        <v>—</v>
      </c>
      <c r="X26" s="14" t="str">
        <f>_xll.BDH("AMGN US Equity","CO2_INTENSITY_PER_SALES_CALC","FY 2021","FY 2021","Currency=USD","Period=FQ","BEST_FPERIOD_OVERRIDE=FQ","FILING_STATUS=MR","FA_ADJUSTED=GAAP","Sort=A","Dates=H","DateFormat=P","Fill=—","Direction=H","UseDPDF=Y")</f>
        <v>—</v>
      </c>
      <c r="Y26" s="14" t="str">
        <f>_xll.BDH("AMGN US Equity","CO2_INTENSITY_PER_SALES_CALC","FY 2022","FY 2022","Currency=USD","Period=FQ","BEST_FPERIOD_OVERRIDE=FQ","FILING_STATUS=MR","FA_ADJUSTED=GAAP","Sort=A","Dates=H","DateFormat=P","Fill=—","Direction=H","UseDPDF=Y")</f>
        <v>—</v>
      </c>
      <c r="Z26" s="14" t="str">
        <f>_xll.BDH("AMGN US Equity","CO2_INTENSITY_PER_SALES_CALC","FY 2023","FY 2023","Currency=USD","Period=FQ","BEST_FPERIOD_OVERRIDE=FQ","FILING_STATUS=MR","FA_ADJUSTED=GAAP","Sort=A","Dates=H","DateFormat=P","Fill=—","Direction=H","UseDPDF=Y")</f>
        <v>—</v>
      </c>
      <c r="AA26" s="14" t="str">
        <f>_xll.BDH("AMGN US Equity","CO2_INTENSITY_PER_SALES_CALC","FY 2024","FY 2024","Currency=USD","Period=FQ","BEST_FPERIOD_OVERRIDE=FQ","FILING_STATUS=MR","FA_ADJUSTED=GAAP","Sort=A","Dates=H","DateFormat=P","Fill=—","Direction=H","UseDPDF=Y")</f>
        <v>—</v>
      </c>
    </row>
    <row r="27" spans="1:27" x14ac:dyDescent="0.25">
      <c r="A27" s="10" t="s">
        <v>1939</v>
      </c>
      <c r="B27" s="10" t="s">
        <v>1940</v>
      </c>
      <c r="C27" s="14" t="str">
        <f>_xll.BDH("AMGN US Equity","CO2_INTENSITY_PER_EBITDA","FY 2000","FY 2000","Currency=USD","Period=FQ","BEST_FPERIOD_OVERRIDE=FQ","FILING_STATUS=MR","FA_ADJUSTED=GAAP","Sort=A","Dates=H","DateFormat=P","Fill=—","Direction=H","UseDPDF=Y")</f>
        <v>—</v>
      </c>
      <c r="D27" s="14" t="str">
        <f>_xll.BDH("AMGN US Equity","CO2_INTENSITY_PER_EBITDA","FY 2001","FY 2001","Currency=USD","Period=FQ","BEST_FPERIOD_OVERRIDE=FQ","FILING_STATUS=MR","FA_ADJUSTED=GAAP","Sort=A","Dates=H","DateFormat=P","Fill=—","Direction=H","UseDPDF=Y")</f>
        <v>—</v>
      </c>
      <c r="E27" s="14" t="str">
        <f>_xll.BDH("AMGN US Equity","CO2_INTENSITY_PER_EBITDA","FY 2002","FY 2002","Currency=USD","Period=FQ","BEST_FPERIOD_OVERRIDE=FQ","FILING_STATUS=MR","FA_ADJUSTED=GAAP","Sort=A","Dates=H","DateFormat=P","Fill=—","Direction=H","UseDPDF=Y")</f>
        <v>—</v>
      </c>
      <c r="F27" s="14" t="str">
        <f>_xll.BDH("AMGN US Equity","CO2_INTENSITY_PER_EBITDA","FY 2003","FY 2003","Currency=USD","Period=FQ","BEST_FPERIOD_OVERRIDE=FQ","FILING_STATUS=MR","FA_ADJUSTED=GAAP","Sort=A","Dates=H","DateFormat=P","Fill=—","Direction=H","UseDPDF=Y")</f>
        <v>—</v>
      </c>
      <c r="G27" s="14" t="str">
        <f>_xll.BDH("AMGN US Equity","CO2_INTENSITY_PER_EBITDA","FY 2004","FY 2004","Currency=USD","Period=FQ","BEST_FPERIOD_OVERRIDE=FQ","FILING_STATUS=MR","FA_ADJUSTED=GAAP","Sort=A","Dates=H","DateFormat=P","Fill=—","Direction=H","UseDPDF=Y")</f>
        <v>—</v>
      </c>
      <c r="H27" s="14" t="str">
        <f>_xll.BDH("AMGN US Equity","CO2_INTENSITY_PER_EBITDA","FY 2005","FY 2005","Currency=USD","Period=FQ","BEST_FPERIOD_OVERRIDE=FQ","FILING_STATUS=MR","FA_ADJUSTED=GAAP","Sort=A","Dates=H","DateFormat=P","Fill=—","Direction=H","UseDPDF=Y")</f>
        <v>—</v>
      </c>
      <c r="I27" s="14" t="str">
        <f>_xll.BDH("AMGN US Equity","CO2_INTENSITY_PER_EBITDA","FY 2006","FY 2006","Currency=USD","Period=FQ","BEST_FPERIOD_OVERRIDE=FQ","FILING_STATUS=MR","FA_ADJUSTED=GAAP","Sort=A","Dates=H","DateFormat=P","Fill=—","Direction=H","UseDPDF=Y")</f>
        <v>—</v>
      </c>
      <c r="J27" s="14" t="str">
        <f>_xll.BDH("AMGN US Equity","CO2_INTENSITY_PER_EBITDA","FY 2007","FY 2007","Currency=USD","Period=FQ","BEST_FPERIOD_OVERRIDE=FQ","FILING_STATUS=MR","FA_ADJUSTED=GAAP","Sort=A","Dates=H","DateFormat=P","Fill=—","Direction=H","UseDPDF=Y")</f>
        <v>—</v>
      </c>
      <c r="K27" s="14" t="str">
        <f>_xll.BDH("AMGN US Equity","CO2_INTENSITY_PER_EBITDA","FY 2008","FY 2008","Currency=USD","Period=FQ","BEST_FPERIOD_OVERRIDE=FQ","FILING_STATUS=MR","FA_ADJUSTED=GAAP","Sort=A","Dates=H","DateFormat=P","Fill=—","Direction=H","UseDPDF=Y")</f>
        <v>—</v>
      </c>
      <c r="L27" s="14" t="str">
        <f>_xll.BDH("AMGN US Equity","CO2_INTENSITY_PER_EBITDA","FY 2009","FY 2009","Currency=USD","Period=FQ","BEST_FPERIOD_OVERRIDE=FQ","FILING_STATUS=MR","FA_ADJUSTED=GAAP","Sort=A","Dates=H","DateFormat=P","Fill=—","Direction=H","UseDPDF=Y")</f>
        <v>—</v>
      </c>
      <c r="M27" s="14" t="str">
        <f>_xll.BDH("AMGN US Equity","CO2_INTENSITY_PER_EBITDA","FY 2010","FY 2010","Currency=USD","Period=FQ","BEST_FPERIOD_OVERRIDE=FQ","FILING_STATUS=MR","FA_ADJUSTED=GAAP","Sort=A","Dates=H","DateFormat=P","Fill=—","Direction=H","UseDPDF=Y")</f>
        <v>—</v>
      </c>
      <c r="N27" s="14" t="str">
        <f>_xll.BDH("AMGN US Equity","CO2_INTENSITY_PER_EBITDA","FY 2011","FY 2011","Currency=USD","Period=FQ","BEST_FPERIOD_OVERRIDE=FQ","FILING_STATUS=MR","FA_ADJUSTED=GAAP","Sort=A","Dates=H","DateFormat=P","Fill=—","Direction=H","UseDPDF=Y")</f>
        <v>—</v>
      </c>
      <c r="O27" s="14" t="str">
        <f>_xll.BDH("AMGN US Equity","CO2_INTENSITY_PER_EBITDA","FY 2012","FY 2012","Currency=USD","Period=FQ","BEST_FPERIOD_OVERRIDE=FQ","FILING_STATUS=MR","FA_ADJUSTED=GAAP","Sort=A","Dates=H","DateFormat=P","Fill=—","Direction=H","UseDPDF=Y")</f>
        <v>—</v>
      </c>
      <c r="P27" s="14" t="str">
        <f>_xll.BDH("AMGN US Equity","CO2_INTENSITY_PER_EBITDA","FY 2013","FY 2013","Currency=USD","Period=FQ","BEST_FPERIOD_OVERRIDE=FQ","FILING_STATUS=MR","FA_ADJUSTED=GAAP","Sort=A","Dates=H","DateFormat=P","Fill=—","Direction=H","UseDPDF=Y")</f>
        <v>—</v>
      </c>
      <c r="Q27" s="14" t="str">
        <f>_xll.BDH("AMGN US Equity","CO2_INTENSITY_PER_EBITDA","FY 2014","FY 2014","Currency=USD","Period=FQ","BEST_FPERIOD_OVERRIDE=FQ","FILING_STATUS=MR","FA_ADJUSTED=GAAP","Sort=A","Dates=H","DateFormat=P","Fill=—","Direction=H","UseDPDF=Y")</f>
        <v>—</v>
      </c>
      <c r="R27" s="14" t="str">
        <f>_xll.BDH("AMGN US Equity","CO2_INTENSITY_PER_EBITDA","FY 2015","FY 2015","Currency=USD","Period=FQ","BEST_FPERIOD_OVERRIDE=FQ","FILING_STATUS=MR","FA_ADJUSTED=GAAP","Sort=A","Dates=H","DateFormat=P","Fill=—","Direction=H","UseDPDF=Y")</f>
        <v>—</v>
      </c>
      <c r="S27" s="14" t="str">
        <f>_xll.BDH("AMGN US Equity","CO2_INTENSITY_PER_EBITDA","FY 2016","FY 2016","Currency=USD","Period=FQ","BEST_FPERIOD_OVERRIDE=FQ","FILING_STATUS=MR","FA_ADJUSTED=GAAP","Sort=A","Dates=H","DateFormat=P","Fill=—","Direction=H","UseDPDF=Y")</f>
        <v>—</v>
      </c>
      <c r="T27" s="14" t="str">
        <f>_xll.BDH("AMGN US Equity","CO2_INTENSITY_PER_EBITDA","FY 2017","FY 2017","Currency=USD","Period=FQ","BEST_FPERIOD_OVERRIDE=FQ","FILING_STATUS=MR","FA_ADJUSTED=GAAP","Sort=A","Dates=H","DateFormat=P","Fill=—","Direction=H","UseDPDF=Y")</f>
        <v>—</v>
      </c>
      <c r="U27" s="14" t="str">
        <f>_xll.BDH("AMGN US Equity","CO2_INTENSITY_PER_EBITDA","FY 2018","FY 2018","Currency=USD","Period=FQ","BEST_FPERIOD_OVERRIDE=FQ","FILING_STATUS=MR","FA_ADJUSTED=GAAP","Sort=A","Dates=H","DateFormat=P","Fill=—","Direction=H","UseDPDF=Y")</f>
        <v>—</v>
      </c>
      <c r="V27" s="14" t="str">
        <f>_xll.BDH("AMGN US Equity","CO2_INTENSITY_PER_EBITDA","FY 2019","FY 2019","Currency=USD","Period=FQ","BEST_FPERIOD_OVERRIDE=FQ","FILING_STATUS=MR","FA_ADJUSTED=GAAP","Sort=A","Dates=H","DateFormat=P","Fill=—","Direction=H","UseDPDF=Y")</f>
        <v>—</v>
      </c>
      <c r="W27" s="14" t="str">
        <f>_xll.BDH("AMGN US Equity","CO2_INTENSITY_PER_EBITDA","FY 2020","FY 2020","Currency=USD","Period=FQ","BEST_FPERIOD_OVERRIDE=FQ","FILING_STATUS=MR","FA_ADJUSTED=GAAP","Sort=A","Dates=H","DateFormat=P","Fill=—","Direction=H","UseDPDF=Y")</f>
        <v>—</v>
      </c>
      <c r="X27" s="14" t="str">
        <f>_xll.BDH("AMGN US Equity","CO2_INTENSITY_PER_EBITDA","FY 2021","FY 2021","Currency=USD","Period=FQ","BEST_FPERIOD_OVERRIDE=FQ","FILING_STATUS=MR","FA_ADJUSTED=GAAP","Sort=A","Dates=H","DateFormat=P","Fill=—","Direction=H","UseDPDF=Y")</f>
        <v>—</v>
      </c>
      <c r="Y27" s="14" t="str">
        <f>_xll.BDH("AMGN US Equity","CO2_INTENSITY_PER_EBITDA","FY 2022","FY 2022","Currency=USD","Period=FQ","BEST_FPERIOD_OVERRIDE=FQ","FILING_STATUS=MR","FA_ADJUSTED=GAAP","Sort=A","Dates=H","DateFormat=P","Fill=—","Direction=H","UseDPDF=Y")</f>
        <v>—</v>
      </c>
      <c r="Z27" s="14" t="str">
        <f>_xll.BDH("AMGN US Equity","CO2_INTENSITY_PER_EBITDA","FY 2023","FY 2023","Currency=USD","Period=FQ","BEST_FPERIOD_OVERRIDE=FQ","FILING_STATUS=MR","FA_ADJUSTED=GAAP","Sort=A","Dates=H","DateFormat=P","Fill=—","Direction=H","UseDPDF=Y")</f>
        <v>—</v>
      </c>
      <c r="AA27" s="14" t="str">
        <f>_xll.BDH("AMGN US Equity","CO2_INTENSITY_PER_EBITDA","FY 2024","FY 2024","Currency=USD","Period=FQ","BEST_FPERIOD_OVERRIDE=FQ","FILING_STATUS=MR","FA_ADJUSTED=GAAP","Sort=A","Dates=H","DateFormat=P","Fill=—","Direction=H","UseDPDF=Y")</f>
        <v>—</v>
      </c>
    </row>
    <row r="28" spans="1:27" x14ac:dyDescent="0.25">
      <c r="A28" s="10" t="s">
        <v>1941</v>
      </c>
      <c r="B28" s="10" t="s">
        <v>1942</v>
      </c>
      <c r="C28" s="14" t="str">
        <f>_xll.BDH("AMGN US Equity","CO2_INTENSITY","FY 2000","FY 2000","Currency=USD","Period=FQ","BEST_FPERIOD_OVERRIDE=FQ","FILING_STATUS=MR","Sort=A","Dates=H","DateFormat=P","Fill=—","Direction=H","UseDPDF=Y")</f>
        <v>—</v>
      </c>
      <c r="D28" s="14" t="str">
        <f>_xll.BDH("AMGN US Equity","CO2_INTENSITY","FY 2001","FY 2001","Currency=USD","Period=FQ","BEST_FPERIOD_OVERRIDE=FQ","FILING_STATUS=MR","Sort=A","Dates=H","DateFormat=P","Fill=—","Direction=H","UseDPDF=Y")</f>
        <v>—</v>
      </c>
      <c r="E28" s="14" t="str">
        <f>_xll.BDH("AMGN US Equity","CO2_INTENSITY","FY 2002","FY 2002","Currency=USD","Period=FQ","BEST_FPERIOD_OVERRIDE=FQ","FILING_STATUS=MR","Sort=A","Dates=H","DateFormat=P","Fill=—","Direction=H","UseDPDF=Y")</f>
        <v>—</v>
      </c>
      <c r="F28" s="14" t="str">
        <f>_xll.BDH("AMGN US Equity","CO2_INTENSITY","FY 2003","FY 2003","Currency=USD","Period=FQ","BEST_FPERIOD_OVERRIDE=FQ","FILING_STATUS=MR","Sort=A","Dates=H","DateFormat=P","Fill=—","Direction=H","UseDPDF=Y")</f>
        <v>—</v>
      </c>
      <c r="G28" s="14" t="str">
        <f>_xll.BDH("AMGN US Equity","CO2_INTENSITY","FY 2004","FY 2004","Currency=USD","Period=FQ","BEST_FPERIOD_OVERRIDE=FQ","FILING_STATUS=MR","Sort=A","Dates=H","DateFormat=P","Fill=—","Direction=H","UseDPDF=Y")</f>
        <v>—</v>
      </c>
      <c r="H28" s="14" t="str">
        <f>_xll.BDH("AMGN US Equity","CO2_INTENSITY","FY 2005","FY 2005","Currency=USD","Period=FQ","BEST_FPERIOD_OVERRIDE=FQ","FILING_STATUS=MR","Sort=A","Dates=H","DateFormat=P","Fill=—","Direction=H","UseDPDF=Y")</f>
        <v>—</v>
      </c>
      <c r="I28" s="14" t="str">
        <f>_xll.BDH("AMGN US Equity","CO2_INTENSITY","FY 2006","FY 2006","Currency=USD","Period=FQ","BEST_FPERIOD_OVERRIDE=FQ","FILING_STATUS=MR","Sort=A","Dates=H","DateFormat=P","Fill=—","Direction=H","UseDPDF=Y")</f>
        <v>—</v>
      </c>
      <c r="J28" s="14" t="str">
        <f>_xll.BDH("AMGN US Equity","CO2_INTENSITY","FY 2007","FY 2007","Currency=USD","Period=FQ","BEST_FPERIOD_OVERRIDE=FQ","FILING_STATUS=MR","Sort=A","Dates=H","DateFormat=P","Fill=—","Direction=H","UseDPDF=Y")</f>
        <v>—</v>
      </c>
      <c r="K28" s="14" t="str">
        <f>_xll.BDH("AMGN US Equity","CO2_INTENSITY","FY 2008","FY 2008","Currency=USD","Period=FQ","BEST_FPERIOD_OVERRIDE=FQ","FILING_STATUS=MR","Sort=A","Dates=H","DateFormat=P","Fill=—","Direction=H","UseDPDF=Y")</f>
        <v>—</v>
      </c>
      <c r="L28" s="14" t="str">
        <f>_xll.BDH("AMGN US Equity","CO2_INTENSITY","FY 2009","FY 2009","Currency=USD","Period=FQ","BEST_FPERIOD_OVERRIDE=FQ","FILING_STATUS=MR","Sort=A","Dates=H","DateFormat=P","Fill=—","Direction=H","UseDPDF=Y")</f>
        <v>—</v>
      </c>
      <c r="M28" s="14" t="str">
        <f>_xll.BDH("AMGN US Equity","CO2_INTENSITY","FY 2010","FY 2010","Currency=USD","Period=FQ","BEST_FPERIOD_OVERRIDE=FQ","FILING_STATUS=MR","Sort=A","Dates=H","DateFormat=P","Fill=—","Direction=H","UseDPDF=Y")</f>
        <v>—</v>
      </c>
      <c r="N28" s="14" t="str">
        <f>_xll.BDH("AMGN US Equity","CO2_INTENSITY","FY 2011","FY 2011","Currency=USD","Period=FQ","BEST_FPERIOD_OVERRIDE=FQ","FILING_STATUS=MR","Sort=A","Dates=H","DateFormat=P","Fill=—","Direction=H","UseDPDF=Y")</f>
        <v>—</v>
      </c>
      <c r="O28" s="14" t="str">
        <f>_xll.BDH("AMGN US Equity","CO2_INTENSITY","FY 2012","FY 2012","Currency=USD","Period=FQ","BEST_FPERIOD_OVERRIDE=FQ","FILING_STATUS=MR","Sort=A","Dates=H","DateFormat=P","Fill=—","Direction=H","UseDPDF=Y")</f>
        <v>—</v>
      </c>
      <c r="P28" s="14" t="str">
        <f>_xll.BDH("AMGN US Equity","CO2_INTENSITY","FY 2013","FY 2013","Currency=USD","Period=FQ","BEST_FPERIOD_OVERRIDE=FQ","FILING_STATUS=MR","Sort=A","Dates=H","DateFormat=P","Fill=—","Direction=H","UseDPDF=Y")</f>
        <v>—</v>
      </c>
      <c r="Q28" s="14" t="str">
        <f>_xll.BDH("AMGN US Equity","CO2_INTENSITY","FY 2014","FY 2014","Currency=USD","Period=FQ","BEST_FPERIOD_OVERRIDE=FQ","FILING_STATUS=MR","Sort=A","Dates=H","DateFormat=P","Fill=—","Direction=H","UseDPDF=Y")</f>
        <v>—</v>
      </c>
      <c r="R28" s="14" t="str">
        <f>_xll.BDH("AMGN US Equity","CO2_INTENSITY","FY 2015","FY 2015","Currency=USD","Period=FQ","BEST_FPERIOD_OVERRIDE=FQ","FILING_STATUS=MR","Sort=A","Dates=H","DateFormat=P","Fill=—","Direction=H","UseDPDF=Y")</f>
        <v>—</v>
      </c>
      <c r="S28" s="14" t="str">
        <f>_xll.BDH("AMGN US Equity","CO2_INTENSITY","FY 2016","FY 2016","Currency=USD","Period=FQ","BEST_FPERIOD_OVERRIDE=FQ","FILING_STATUS=MR","Sort=A","Dates=H","DateFormat=P","Fill=—","Direction=H","UseDPDF=Y")</f>
        <v>—</v>
      </c>
      <c r="T28" s="14" t="str">
        <f>_xll.BDH("AMGN US Equity","CO2_INTENSITY","FY 2017","FY 2017","Currency=USD","Period=FQ","BEST_FPERIOD_OVERRIDE=FQ","FILING_STATUS=MR","Sort=A","Dates=H","DateFormat=P","Fill=—","Direction=H","UseDPDF=Y")</f>
        <v>—</v>
      </c>
      <c r="U28" s="14" t="str">
        <f>_xll.BDH("AMGN US Equity","CO2_INTENSITY","FY 2018","FY 2018","Currency=USD","Period=FQ","BEST_FPERIOD_OVERRIDE=FQ","FILING_STATUS=MR","Sort=A","Dates=H","DateFormat=P","Fill=—","Direction=H","UseDPDF=Y")</f>
        <v>—</v>
      </c>
      <c r="V28" s="14" t="str">
        <f>_xll.BDH("AMGN US Equity","CO2_INTENSITY","FY 2019","FY 2019","Currency=USD","Period=FQ","BEST_FPERIOD_OVERRIDE=FQ","FILING_STATUS=MR","Sort=A","Dates=H","DateFormat=P","Fill=—","Direction=H","UseDPDF=Y")</f>
        <v>—</v>
      </c>
      <c r="W28" s="14" t="str">
        <f>_xll.BDH("AMGN US Equity","CO2_INTENSITY","FY 2020","FY 2020","Currency=USD","Period=FQ","BEST_FPERIOD_OVERRIDE=FQ","FILING_STATUS=MR","Sort=A","Dates=H","DateFormat=P","Fill=—","Direction=H","UseDPDF=Y")</f>
        <v>—</v>
      </c>
      <c r="X28" s="14" t="str">
        <f>_xll.BDH("AMGN US Equity","CO2_INTENSITY","FY 2021","FY 2021","Currency=USD","Period=FQ","BEST_FPERIOD_OVERRIDE=FQ","FILING_STATUS=MR","Sort=A","Dates=H","DateFormat=P","Fill=—","Direction=H","UseDPDF=Y")</f>
        <v>—</v>
      </c>
      <c r="Y28" s="14" t="str">
        <f>_xll.BDH("AMGN US Equity","CO2_INTENSITY","FY 2022","FY 2022","Currency=USD","Period=FQ","BEST_FPERIOD_OVERRIDE=FQ","FILING_STATUS=MR","Sort=A","Dates=H","DateFormat=P","Fill=—","Direction=H","UseDPDF=Y")</f>
        <v>—</v>
      </c>
      <c r="Z28" s="14" t="str">
        <f>_xll.BDH("AMGN US Equity","CO2_INTENSITY","FY 2023","FY 2023","Currency=USD","Period=FQ","BEST_FPERIOD_OVERRIDE=FQ","FILING_STATUS=MR","Sort=A","Dates=H","DateFormat=P","Fill=—","Direction=H","UseDPDF=Y")</f>
        <v>—</v>
      </c>
      <c r="AA28" s="14" t="str">
        <f>_xll.BDH("AMGN US Equity","CO2_INTENSITY","FY 2024","FY 2024","Currency=USD","Period=FQ","BEST_FPERIOD_OVERRIDE=FQ","FILING_STATUS=MR","Sort=A","Dates=H","DateFormat=P","Fill=—","Direction=H","UseDPDF=Y")</f>
        <v>—</v>
      </c>
    </row>
    <row r="29" spans="1:27" x14ac:dyDescent="0.25">
      <c r="A29" s="10" t="s">
        <v>1943</v>
      </c>
      <c r="B29" s="10" t="s">
        <v>1944</v>
      </c>
      <c r="C29" s="14" t="str">
        <f>_xll.BDH("AMGN US Equity","CO2_INTENSITY_PER_EMPLOYEE","FY 2000","FY 2000","Currency=USD","Period=FQ","BEST_FPERIOD_OVERRIDE=FQ","FILING_STATUS=MR","Sort=A","Dates=H","DateFormat=P","Fill=—","Direction=H","UseDPDF=Y")</f>
        <v>—</v>
      </c>
      <c r="D29" s="14" t="str">
        <f>_xll.BDH("AMGN US Equity","CO2_INTENSITY_PER_EMPLOYEE","FY 2001","FY 2001","Currency=USD","Period=FQ","BEST_FPERIOD_OVERRIDE=FQ","FILING_STATUS=MR","Sort=A","Dates=H","DateFormat=P","Fill=—","Direction=H","UseDPDF=Y")</f>
        <v>—</v>
      </c>
      <c r="E29" s="14" t="str">
        <f>_xll.BDH("AMGN US Equity","CO2_INTENSITY_PER_EMPLOYEE","FY 2002","FY 2002","Currency=USD","Period=FQ","BEST_FPERIOD_OVERRIDE=FQ","FILING_STATUS=MR","Sort=A","Dates=H","DateFormat=P","Fill=—","Direction=H","UseDPDF=Y")</f>
        <v>—</v>
      </c>
      <c r="F29" s="14" t="str">
        <f>_xll.BDH("AMGN US Equity","CO2_INTENSITY_PER_EMPLOYEE","FY 2003","FY 2003","Currency=USD","Period=FQ","BEST_FPERIOD_OVERRIDE=FQ","FILING_STATUS=MR","Sort=A","Dates=H","DateFormat=P","Fill=—","Direction=H","UseDPDF=Y")</f>
        <v>—</v>
      </c>
      <c r="G29" s="14" t="str">
        <f>_xll.BDH("AMGN US Equity","CO2_INTENSITY_PER_EMPLOYEE","FY 2004","FY 2004","Currency=USD","Period=FQ","BEST_FPERIOD_OVERRIDE=FQ","FILING_STATUS=MR","Sort=A","Dates=H","DateFormat=P","Fill=—","Direction=H","UseDPDF=Y")</f>
        <v>—</v>
      </c>
      <c r="H29" s="14" t="str">
        <f>_xll.BDH("AMGN US Equity","CO2_INTENSITY_PER_EMPLOYEE","FY 2005","FY 2005","Currency=USD","Period=FQ","BEST_FPERIOD_OVERRIDE=FQ","FILING_STATUS=MR","Sort=A","Dates=H","DateFormat=P","Fill=—","Direction=H","UseDPDF=Y")</f>
        <v>—</v>
      </c>
      <c r="I29" s="14" t="str">
        <f>_xll.BDH("AMGN US Equity","CO2_INTENSITY_PER_EMPLOYEE","FY 2006","FY 2006","Currency=USD","Period=FQ","BEST_FPERIOD_OVERRIDE=FQ","FILING_STATUS=MR","Sort=A","Dates=H","DateFormat=P","Fill=—","Direction=H","UseDPDF=Y")</f>
        <v>—</v>
      </c>
      <c r="J29" s="14" t="str">
        <f>_xll.BDH("AMGN US Equity","CO2_INTENSITY_PER_EMPLOYEE","FY 2007","FY 2007","Currency=USD","Period=FQ","BEST_FPERIOD_OVERRIDE=FQ","FILING_STATUS=MR","Sort=A","Dates=H","DateFormat=P","Fill=—","Direction=H","UseDPDF=Y")</f>
        <v>—</v>
      </c>
      <c r="K29" s="14" t="str">
        <f>_xll.BDH("AMGN US Equity","CO2_INTENSITY_PER_EMPLOYEE","FY 2008","FY 2008","Currency=USD","Period=FQ","BEST_FPERIOD_OVERRIDE=FQ","FILING_STATUS=MR","Sort=A","Dates=H","DateFormat=P","Fill=—","Direction=H","UseDPDF=Y")</f>
        <v>—</v>
      </c>
      <c r="L29" s="14" t="str">
        <f>_xll.BDH("AMGN US Equity","CO2_INTENSITY_PER_EMPLOYEE","FY 2009","FY 2009","Currency=USD","Period=FQ","BEST_FPERIOD_OVERRIDE=FQ","FILING_STATUS=MR","Sort=A","Dates=H","DateFormat=P","Fill=—","Direction=H","UseDPDF=Y")</f>
        <v>—</v>
      </c>
      <c r="M29" s="14" t="str">
        <f>_xll.BDH("AMGN US Equity","CO2_INTENSITY_PER_EMPLOYEE","FY 2010","FY 2010","Currency=USD","Period=FQ","BEST_FPERIOD_OVERRIDE=FQ","FILING_STATUS=MR","Sort=A","Dates=H","DateFormat=P","Fill=—","Direction=H","UseDPDF=Y")</f>
        <v>—</v>
      </c>
      <c r="N29" s="14" t="str">
        <f>_xll.BDH("AMGN US Equity","CO2_INTENSITY_PER_EMPLOYEE","FY 2011","FY 2011","Currency=USD","Period=FQ","BEST_FPERIOD_OVERRIDE=FQ","FILING_STATUS=MR","Sort=A","Dates=H","DateFormat=P","Fill=—","Direction=H","UseDPDF=Y")</f>
        <v>—</v>
      </c>
      <c r="O29" s="14" t="str">
        <f>_xll.BDH("AMGN US Equity","CO2_INTENSITY_PER_EMPLOYEE","FY 2012","FY 2012","Currency=USD","Period=FQ","BEST_FPERIOD_OVERRIDE=FQ","FILING_STATUS=MR","Sort=A","Dates=H","DateFormat=P","Fill=—","Direction=H","UseDPDF=Y")</f>
        <v>—</v>
      </c>
      <c r="P29" s="14" t="str">
        <f>_xll.BDH("AMGN US Equity","CO2_INTENSITY_PER_EMPLOYEE","FY 2013","FY 2013","Currency=USD","Period=FQ","BEST_FPERIOD_OVERRIDE=FQ","FILING_STATUS=MR","Sort=A","Dates=H","DateFormat=P","Fill=—","Direction=H","UseDPDF=Y")</f>
        <v>—</v>
      </c>
      <c r="Q29" s="14" t="str">
        <f>_xll.BDH("AMGN US Equity","CO2_INTENSITY_PER_EMPLOYEE","FY 2014","FY 2014","Currency=USD","Period=FQ","BEST_FPERIOD_OVERRIDE=FQ","FILING_STATUS=MR","Sort=A","Dates=H","DateFormat=P","Fill=—","Direction=H","UseDPDF=Y")</f>
        <v>—</v>
      </c>
      <c r="R29" s="14" t="str">
        <f>_xll.BDH("AMGN US Equity","CO2_INTENSITY_PER_EMPLOYEE","FY 2015","FY 2015","Currency=USD","Period=FQ","BEST_FPERIOD_OVERRIDE=FQ","FILING_STATUS=MR","Sort=A","Dates=H","DateFormat=P","Fill=—","Direction=H","UseDPDF=Y")</f>
        <v>—</v>
      </c>
      <c r="S29" s="14" t="str">
        <f>_xll.BDH("AMGN US Equity","CO2_INTENSITY_PER_EMPLOYEE","FY 2016","FY 2016","Currency=USD","Period=FQ","BEST_FPERIOD_OVERRIDE=FQ","FILING_STATUS=MR","Sort=A","Dates=H","DateFormat=P","Fill=—","Direction=H","UseDPDF=Y")</f>
        <v>—</v>
      </c>
      <c r="T29" s="14" t="str">
        <f>_xll.BDH("AMGN US Equity","CO2_INTENSITY_PER_EMPLOYEE","FY 2017","FY 2017","Currency=USD","Period=FQ","BEST_FPERIOD_OVERRIDE=FQ","FILING_STATUS=MR","Sort=A","Dates=H","DateFormat=P","Fill=—","Direction=H","UseDPDF=Y")</f>
        <v>—</v>
      </c>
      <c r="U29" s="14" t="str">
        <f>_xll.BDH("AMGN US Equity","CO2_INTENSITY_PER_EMPLOYEE","FY 2018","FY 2018","Currency=USD","Period=FQ","BEST_FPERIOD_OVERRIDE=FQ","FILING_STATUS=MR","Sort=A","Dates=H","DateFormat=P","Fill=—","Direction=H","UseDPDF=Y")</f>
        <v>—</v>
      </c>
      <c r="V29" s="14" t="str">
        <f>_xll.BDH("AMGN US Equity","CO2_INTENSITY_PER_EMPLOYEE","FY 2019","FY 2019","Currency=USD","Period=FQ","BEST_FPERIOD_OVERRIDE=FQ","FILING_STATUS=MR","Sort=A","Dates=H","DateFormat=P","Fill=—","Direction=H","UseDPDF=Y")</f>
        <v>—</v>
      </c>
      <c r="W29" s="14" t="str">
        <f>_xll.BDH("AMGN US Equity","CO2_INTENSITY_PER_EMPLOYEE","FY 2020","FY 2020","Currency=USD","Period=FQ","BEST_FPERIOD_OVERRIDE=FQ","FILING_STATUS=MR","Sort=A","Dates=H","DateFormat=P","Fill=—","Direction=H","UseDPDF=Y")</f>
        <v>—</v>
      </c>
      <c r="X29" s="14" t="str">
        <f>_xll.BDH("AMGN US Equity","CO2_INTENSITY_PER_EMPLOYEE","FY 2021","FY 2021","Currency=USD","Period=FQ","BEST_FPERIOD_OVERRIDE=FQ","FILING_STATUS=MR","Sort=A","Dates=H","DateFormat=P","Fill=—","Direction=H","UseDPDF=Y")</f>
        <v>—</v>
      </c>
      <c r="Y29" s="14" t="str">
        <f>_xll.BDH("AMGN US Equity","CO2_INTENSITY_PER_EMPLOYEE","FY 2022","FY 2022","Currency=USD","Period=FQ","BEST_FPERIOD_OVERRIDE=FQ","FILING_STATUS=MR","Sort=A","Dates=H","DateFormat=P","Fill=—","Direction=H","UseDPDF=Y")</f>
        <v>—</v>
      </c>
      <c r="Z29" s="14" t="str">
        <f>_xll.BDH("AMGN US Equity","CO2_INTENSITY_PER_EMPLOYEE","FY 2023","FY 2023","Currency=USD","Period=FQ","BEST_FPERIOD_OVERRIDE=FQ","FILING_STATUS=MR","Sort=A","Dates=H","DateFormat=P","Fill=—","Direction=H","UseDPDF=Y")</f>
        <v>—</v>
      </c>
      <c r="AA29" s="14" t="str">
        <f>_xll.BDH("AMGN US Equity","CO2_INTENSITY_PER_EMPLOYEE","FY 2024","FY 2024","Currency=USD","Period=FQ","BEST_FPERIOD_OVERRIDE=FQ","FILING_STATUS=MR","Sort=A","Dates=H","DateFormat=P","Fill=—","Direction=H","UseDPDF=Y")</f>
        <v>—</v>
      </c>
    </row>
    <row r="30" spans="1:27" x14ac:dyDescent="0.25">
      <c r="A30" s="10" t="s">
        <v>1945</v>
      </c>
      <c r="B30" s="10" t="s">
        <v>1946</v>
      </c>
      <c r="C30" s="14" t="str">
        <f>_xll.BDH("AMGN US Equity","CO2_INTENSITY_PER_ASSETS","FY 2000","FY 2000","Currency=USD","Period=FQ","BEST_FPERIOD_OVERRIDE=FQ","FILING_STATUS=MR","Sort=A","Dates=H","DateFormat=P","Fill=—","Direction=H","UseDPDF=Y")</f>
        <v>—</v>
      </c>
      <c r="D30" s="14" t="str">
        <f>_xll.BDH("AMGN US Equity","CO2_INTENSITY_PER_ASSETS","FY 2001","FY 2001","Currency=USD","Period=FQ","BEST_FPERIOD_OVERRIDE=FQ","FILING_STATUS=MR","Sort=A","Dates=H","DateFormat=P","Fill=—","Direction=H","UseDPDF=Y")</f>
        <v>—</v>
      </c>
      <c r="E30" s="14" t="str">
        <f>_xll.BDH("AMGN US Equity","CO2_INTENSITY_PER_ASSETS","FY 2002","FY 2002","Currency=USD","Period=FQ","BEST_FPERIOD_OVERRIDE=FQ","FILING_STATUS=MR","Sort=A","Dates=H","DateFormat=P","Fill=—","Direction=H","UseDPDF=Y")</f>
        <v>—</v>
      </c>
      <c r="F30" s="14" t="str">
        <f>_xll.BDH("AMGN US Equity","CO2_INTENSITY_PER_ASSETS","FY 2003","FY 2003","Currency=USD","Period=FQ","BEST_FPERIOD_OVERRIDE=FQ","FILING_STATUS=MR","Sort=A","Dates=H","DateFormat=P","Fill=—","Direction=H","UseDPDF=Y")</f>
        <v>—</v>
      </c>
      <c r="G30" s="14" t="str">
        <f>_xll.BDH("AMGN US Equity","CO2_INTENSITY_PER_ASSETS","FY 2004","FY 2004","Currency=USD","Period=FQ","BEST_FPERIOD_OVERRIDE=FQ","FILING_STATUS=MR","Sort=A","Dates=H","DateFormat=P","Fill=—","Direction=H","UseDPDF=Y")</f>
        <v>—</v>
      </c>
      <c r="H30" s="14" t="str">
        <f>_xll.BDH("AMGN US Equity","CO2_INTENSITY_PER_ASSETS","FY 2005","FY 2005","Currency=USD","Period=FQ","BEST_FPERIOD_OVERRIDE=FQ","FILING_STATUS=MR","Sort=A","Dates=H","DateFormat=P","Fill=—","Direction=H","UseDPDF=Y")</f>
        <v>—</v>
      </c>
      <c r="I30" s="14" t="str">
        <f>_xll.BDH("AMGN US Equity","CO2_INTENSITY_PER_ASSETS","FY 2006","FY 2006","Currency=USD","Period=FQ","BEST_FPERIOD_OVERRIDE=FQ","FILING_STATUS=MR","Sort=A","Dates=H","DateFormat=P","Fill=—","Direction=H","UseDPDF=Y")</f>
        <v>—</v>
      </c>
      <c r="J30" s="14" t="str">
        <f>_xll.BDH("AMGN US Equity","CO2_INTENSITY_PER_ASSETS","FY 2007","FY 2007","Currency=USD","Period=FQ","BEST_FPERIOD_OVERRIDE=FQ","FILING_STATUS=MR","Sort=A","Dates=H","DateFormat=P","Fill=—","Direction=H","UseDPDF=Y")</f>
        <v>—</v>
      </c>
      <c r="K30" s="14" t="str">
        <f>_xll.BDH("AMGN US Equity","CO2_INTENSITY_PER_ASSETS","FY 2008","FY 2008","Currency=USD","Period=FQ","BEST_FPERIOD_OVERRIDE=FQ","FILING_STATUS=MR","Sort=A","Dates=H","DateFormat=P","Fill=—","Direction=H","UseDPDF=Y")</f>
        <v>—</v>
      </c>
      <c r="L30" s="14" t="str">
        <f>_xll.BDH("AMGN US Equity","CO2_INTENSITY_PER_ASSETS","FY 2009","FY 2009","Currency=USD","Period=FQ","BEST_FPERIOD_OVERRIDE=FQ","FILING_STATUS=MR","Sort=A","Dates=H","DateFormat=P","Fill=—","Direction=H","UseDPDF=Y")</f>
        <v>—</v>
      </c>
      <c r="M30" s="14" t="str">
        <f>_xll.BDH("AMGN US Equity","CO2_INTENSITY_PER_ASSETS","FY 2010","FY 2010","Currency=USD","Period=FQ","BEST_FPERIOD_OVERRIDE=FQ","FILING_STATUS=MR","Sort=A","Dates=H","DateFormat=P","Fill=—","Direction=H","UseDPDF=Y")</f>
        <v>—</v>
      </c>
      <c r="N30" s="14" t="str">
        <f>_xll.BDH("AMGN US Equity","CO2_INTENSITY_PER_ASSETS","FY 2011","FY 2011","Currency=USD","Period=FQ","BEST_FPERIOD_OVERRIDE=FQ","FILING_STATUS=MR","Sort=A","Dates=H","DateFormat=P","Fill=—","Direction=H","UseDPDF=Y")</f>
        <v>—</v>
      </c>
      <c r="O30" s="14" t="str">
        <f>_xll.BDH("AMGN US Equity","CO2_INTENSITY_PER_ASSETS","FY 2012","FY 2012","Currency=USD","Period=FQ","BEST_FPERIOD_OVERRIDE=FQ","FILING_STATUS=MR","Sort=A","Dates=H","DateFormat=P","Fill=—","Direction=H","UseDPDF=Y")</f>
        <v>—</v>
      </c>
      <c r="P30" s="14" t="str">
        <f>_xll.BDH("AMGN US Equity","CO2_INTENSITY_PER_ASSETS","FY 2013","FY 2013","Currency=USD","Period=FQ","BEST_FPERIOD_OVERRIDE=FQ","FILING_STATUS=MR","Sort=A","Dates=H","DateFormat=P","Fill=—","Direction=H","UseDPDF=Y")</f>
        <v>—</v>
      </c>
      <c r="Q30" s="14" t="str">
        <f>_xll.BDH("AMGN US Equity","CO2_INTENSITY_PER_ASSETS","FY 2014","FY 2014","Currency=USD","Period=FQ","BEST_FPERIOD_OVERRIDE=FQ","FILING_STATUS=MR","Sort=A","Dates=H","DateFormat=P","Fill=—","Direction=H","UseDPDF=Y")</f>
        <v>—</v>
      </c>
      <c r="R30" s="14" t="str">
        <f>_xll.BDH("AMGN US Equity","CO2_INTENSITY_PER_ASSETS","FY 2015","FY 2015","Currency=USD","Period=FQ","BEST_FPERIOD_OVERRIDE=FQ","FILING_STATUS=MR","Sort=A","Dates=H","DateFormat=P","Fill=—","Direction=H","UseDPDF=Y")</f>
        <v>—</v>
      </c>
      <c r="S30" s="14" t="str">
        <f>_xll.BDH("AMGN US Equity","CO2_INTENSITY_PER_ASSETS","FY 2016","FY 2016","Currency=USD","Period=FQ","BEST_FPERIOD_OVERRIDE=FQ","FILING_STATUS=MR","Sort=A","Dates=H","DateFormat=P","Fill=—","Direction=H","UseDPDF=Y")</f>
        <v>—</v>
      </c>
      <c r="T30" s="14" t="str">
        <f>_xll.BDH("AMGN US Equity","CO2_INTENSITY_PER_ASSETS","FY 2017","FY 2017","Currency=USD","Period=FQ","BEST_FPERIOD_OVERRIDE=FQ","FILING_STATUS=MR","Sort=A","Dates=H","DateFormat=P","Fill=—","Direction=H","UseDPDF=Y")</f>
        <v>—</v>
      </c>
      <c r="U30" s="14" t="str">
        <f>_xll.BDH("AMGN US Equity","CO2_INTENSITY_PER_ASSETS","FY 2018","FY 2018","Currency=USD","Period=FQ","BEST_FPERIOD_OVERRIDE=FQ","FILING_STATUS=MR","Sort=A","Dates=H","DateFormat=P","Fill=—","Direction=H","UseDPDF=Y")</f>
        <v>—</v>
      </c>
      <c r="V30" s="14" t="str">
        <f>_xll.BDH("AMGN US Equity","CO2_INTENSITY_PER_ASSETS","FY 2019","FY 2019","Currency=USD","Period=FQ","BEST_FPERIOD_OVERRIDE=FQ","FILING_STATUS=MR","Sort=A","Dates=H","DateFormat=P","Fill=—","Direction=H","UseDPDF=Y")</f>
        <v>—</v>
      </c>
      <c r="W30" s="14" t="str">
        <f>_xll.BDH("AMGN US Equity","CO2_INTENSITY_PER_ASSETS","FY 2020","FY 2020","Currency=USD","Period=FQ","BEST_FPERIOD_OVERRIDE=FQ","FILING_STATUS=MR","Sort=A","Dates=H","DateFormat=P","Fill=—","Direction=H","UseDPDF=Y")</f>
        <v>—</v>
      </c>
      <c r="X30" s="14" t="str">
        <f>_xll.BDH("AMGN US Equity","CO2_INTENSITY_PER_ASSETS","FY 2021","FY 2021","Currency=USD","Period=FQ","BEST_FPERIOD_OVERRIDE=FQ","FILING_STATUS=MR","Sort=A","Dates=H","DateFormat=P","Fill=—","Direction=H","UseDPDF=Y")</f>
        <v>—</v>
      </c>
      <c r="Y30" s="14" t="str">
        <f>_xll.BDH("AMGN US Equity","CO2_INTENSITY_PER_ASSETS","FY 2022","FY 2022","Currency=USD","Period=FQ","BEST_FPERIOD_OVERRIDE=FQ","FILING_STATUS=MR","Sort=A","Dates=H","DateFormat=P","Fill=—","Direction=H","UseDPDF=Y")</f>
        <v>—</v>
      </c>
      <c r="Z30" s="14" t="str">
        <f>_xll.BDH("AMGN US Equity","CO2_INTENSITY_PER_ASSETS","FY 2023","FY 2023","Currency=USD","Period=FQ","BEST_FPERIOD_OVERRIDE=FQ","FILING_STATUS=MR","Sort=A","Dates=H","DateFormat=P","Fill=—","Direction=H","UseDPDF=Y")</f>
        <v>—</v>
      </c>
      <c r="AA30" s="14" t="str">
        <f>_xll.BDH("AMGN US Equity","CO2_INTENSITY_PER_ASSETS","FY 2024","FY 2024","Currency=USD","Period=FQ","BEST_FPERIOD_OVERRIDE=FQ","FILING_STATUS=MR","Sort=A","Dates=H","DateFormat=P","Fill=—","Direction=H","UseDPDF=Y")</f>
        <v>—</v>
      </c>
    </row>
    <row r="31" spans="1:27" x14ac:dyDescent="0.25">
      <c r="A31" s="10" t="s">
        <v>1947</v>
      </c>
      <c r="B31" s="10" t="s">
        <v>1948</v>
      </c>
      <c r="C31" s="14" t="str">
        <f>_xll.BDH("AMGN US Equity","TRAVEL_EMISSIONS_PER_SALES","FY 2000","FY 2000","Currency=USD","Period=FQ","BEST_FPERIOD_OVERRIDE=FQ","FILING_STATUS=MR","FA_ADJUSTED=GAAP","Sort=A","Dates=H","DateFormat=P","Fill=—","Direction=H","UseDPDF=Y")</f>
        <v>—</v>
      </c>
      <c r="D31" s="14" t="str">
        <f>_xll.BDH("AMGN US Equity","TRAVEL_EMISSIONS_PER_SALES","FY 2001","FY 2001","Currency=USD","Period=FQ","BEST_FPERIOD_OVERRIDE=FQ","FILING_STATUS=MR","FA_ADJUSTED=GAAP","Sort=A","Dates=H","DateFormat=P","Fill=—","Direction=H","UseDPDF=Y")</f>
        <v>—</v>
      </c>
      <c r="E31" s="14" t="str">
        <f>_xll.BDH("AMGN US Equity","TRAVEL_EMISSIONS_PER_SALES","FY 2002","FY 2002","Currency=USD","Period=FQ","BEST_FPERIOD_OVERRIDE=FQ","FILING_STATUS=MR","FA_ADJUSTED=GAAP","Sort=A","Dates=H","DateFormat=P","Fill=—","Direction=H","UseDPDF=Y")</f>
        <v>—</v>
      </c>
      <c r="F31" s="14" t="str">
        <f>_xll.BDH("AMGN US Equity","TRAVEL_EMISSIONS_PER_SALES","FY 2003","FY 2003","Currency=USD","Period=FQ","BEST_FPERIOD_OVERRIDE=FQ","FILING_STATUS=MR","FA_ADJUSTED=GAAP","Sort=A","Dates=H","DateFormat=P","Fill=—","Direction=H","UseDPDF=Y")</f>
        <v>—</v>
      </c>
      <c r="G31" s="14" t="str">
        <f>_xll.BDH("AMGN US Equity","TRAVEL_EMISSIONS_PER_SALES","FY 2004","FY 2004","Currency=USD","Period=FQ","BEST_FPERIOD_OVERRIDE=FQ","FILING_STATUS=MR","FA_ADJUSTED=GAAP","Sort=A","Dates=H","DateFormat=P","Fill=—","Direction=H","UseDPDF=Y")</f>
        <v>—</v>
      </c>
      <c r="H31" s="14" t="str">
        <f>_xll.BDH("AMGN US Equity","TRAVEL_EMISSIONS_PER_SALES","FY 2005","FY 2005","Currency=USD","Period=FQ","BEST_FPERIOD_OVERRIDE=FQ","FILING_STATUS=MR","FA_ADJUSTED=GAAP","Sort=A","Dates=H","DateFormat=P","Fill=—","Direction=H","UseDPDF=Y")</f>
        <v>—</v>
      </c>
      <c r="I31" s="14" t="str">
        <f>_xll.BDH("AMGN US Equity","TRAVEL_EMISSIONS_PER_SALES","FY 2006","FY 2006","Currency=USD","Period=FQ","BEST_FPERIOD_OVERRIDE=FQ","FILING_STATUS=MR","FA_ADJUSTED=GAAP","Sort=A","Dates=H","DateFormat=P","Fill=—","Direction=H","UseDPDF=Y")</f>
        <v>—</v>
      </c>
      <c r="J31" s="14" t="str">
        <f>_xll.BDH("AMGN US Equity","TRAVEL_EMISSIONS_PER_SALES","FY 2007","FY 2007","Currency=USD","Period=FQ","BEST_FPERIOD_OVERRIDE=FQ","FILING_STATUS=MR","FA_ADJUSTED=GAAP","Sort=A","Dates=H","DateFormat=P","Fill=—","Direction=H","UseDPDF=Y")</f>
        <v>—</v>
      </c>
      <c r="K31" s="14" t="str">
        <f>_xll.BDH("AMGN US Equity","TRAVEL_EMISSIONS_PER_SALES","FY 2008","FY 2008","Currency=USD","Period=FQ","BEST_FPERIOD_OVERRIDE=FQ","FILING_STATUS=MR","FA_ADJUSTED=GAAP","Sort=A","Dates=H","DateFormat=P","Fill=—","Direction=H","UseDPDF=Y")</f>
        <v>—</v>
      </c>
      <c r="L31" s="14" t="str">
        <f>_xll.BDH("AMGN US Equity","TRAVEL_EMISSIONS_PER_SALES","FY 2009","FY 2009","Currency=USD","Period=FQ","BEST_FPERIOD_OVERRIDE=FQ","FILING_STATUS=MR","FA_ADJUSTED=GAAP","Sort=A","Dates=H","DateFormat=P","Fill=—","Direction=H","UseDPDF=Y")</f>
        <v>—</v>
      </c>
      <c r="M31" s="14" t="str">
        <f>_xll.BDH("AMGN US Equity","TRAVEL_EMISSIONS_PER_SALES","FY 2010","FY 2010","Currency=USD","Period=FQ","BEST_FPERIOD_OVERRIDE=FQ","FILING_STATUS=MR","FA_ADJUSTED=GAAP","Sort=A","Dates=H","DateFormat=P","Fill=—","Direction=H","UseDPDF=Y")</f>
        <v>—</v>
      </c>
      <c r="N31" s="14" t="str">
        <f>_xll.BDH("AMGN US Equity","TRAVEL_EMISSIONS_PER_SALES","FY 2011","FY 2011","Currency=USD","Period=FQ","BEST_FPERIOD_OVERRIDE=FQ","FILING_STATUS=MR","FA_ADJUSTED=GAAP","Sort=A","Dates=H","DateFormat=P","Fill=—","Direction=H","UseDPDF=Y")</f>
        <v>—</v>
      </c>
      <c r="O31" s="14" t="str">
        <f>_xll.BDH("AMGN US Equity","TRAVEL_EMISSIONS_PER_SALES","FY 2012","FY 2012","Currency=USD","Period=FQ","BEST_FPERIOD_OVERRIDE=FQ","FILING_STATUS=MR","FA_ADJUSTED=GAAP","Sort=A","Dates=H","DateFormat=P","Fill=—","Direction=H","UseDPDF=Y")</f>
        <v>—</v>
      </c>
      <c r="P31" s="14" t="str">
        <f>_xll.BDH("AMGN US Equity","TRAVEL_EMISSIONS_PER_SALES","FY 2013","FY 2013","Currency=USD","Period=FQ","BEST_FPERIOD_OVERRIDE=FQ","FILING_STATUS=MR","FA_ADJUSTED=GAAP","Sort=A","Dates=H","DateFormat=P","Fill=—","Direction=H","UseDPDF=Y")</f>
        <v>—</v>
      </c>
      <c r="Q31" s="14" t="str">
        <f>_xll.BDH("AMGN US Equity","TRAVEL_EMISSIONS_PER_SALES","FY 2014","FY 2014","Currency=USD","Period=FQ","BEST_FPERIOD_OVERRIDE=FQ","FILING_STATUS=MR","FA_ADJUSTED=GAAP","Sort=A","Dates=H","DateFormat=P","Fill=—","Direction=H","UseDPDF=Y")</f>
        <v>—</v>
      </c>
      <c r="R31" s="14" t="str">
        <f>_xll.BDH("AMGN US Equity","TRAVEL_EMISSIONS_PER_SALES","FY 2015","FY 2015","Currency=USD","Period=FQ","BEST_FPERIOD_OVERRIDE=FQ","FILING_STATUS=MR","FA_ADJUSTED=GAAP","Sort=A","Dates=H","DateFormat=P","Fill=—","Direction=H","UseDPDF=Y")</f>
        <v>—</v>
      </c>
      <c r="S31" s="14" t="str">
        <f>_xll.BDH("AMGN US Equity","TRAVEL_EMISSIONS_PER_SALES","FY 2016","FY 2016","Currency=USD","Period=FQ","BEST_FPERIOD_OVERRIDE=FQ","FILING_STATUS=MR","FA_ADJUSTED=GAAP","Sort=A","Dates=H","DateFormat=P","Fill=—","Direction=H","UseDPDF=Y")</f>
        <v>—</v>
      </c>
      <c r="T31" s="14" t="str">
        <f>_xll.BDH("AMGN US Equity","TRAVEL_EMISSIONS_PER_SALES","FY 2017","FY 2017","Currency=USD","Period=FQ","BEST_FPERIOD_OVERRIDE=FQ","FILING_STATUS=MR","FA_ADJUSTED=GAAP","Sort=A","Dates=H","DateFormat=P","Fill=—","Direction=H","UseDPDF=Y")</f>
        <v>—</v>
      </c>
      <c r="U31" s="14" t="str">
        <f>_xll.BDH("AMGN US Equity","TRAVEL_EMISSIONS_PER_SALES","FY 2018","FY 2018","Currency=USD","Period=FQ","BEST_FPERIOD_OVERRIDE=FQ","FILING_STATUS=MR","FA_ADJUSTED=GAAP","Sort=A","Dates=H","DateFormat=P","Fill=—","Direction=H","UseDPDF=Y")</f>
        <v>—</v>
      </c>
      <c r="V31" s="14" t="str">
        <f>_xll.BDH("AMGN US Equity","TRAVEL_EMISSIONS_PER_SALES","FY 2019","FY 2019","Currency=USD","Period=FQ","BEST_FPERIOD_OVERRIDE=FQ","FILING_STATUS=MR","FA_ADJUSTED=GAAP","Sort=A","Dates=H","DateFormat=P","Fill=—","Direction=H","UseDPDF=Y")</f>
        <v>—</v>
      </c>
      <c r="W31" s="14" t="str">
        <f>_xll.BDH("AMGN US Equity","TRAVEL_EMISSIONS_PER_SALES","FY 2020","FY 2020","Currency=USD","Period=FQ","BEST_FPERIOD_OVERRIDE=FQ","FILING_STATUS=MR","FA_ADJUSTED=GAAP","Sort=A","Dates=H","DateFormat=P","Fill=—","Direction=H","UseDPDF=Y")</f>
        <v>—</v>
      </c>
      <c r="X31" s="14" t="str">
        <f>_xll.BDH("AMGN US Equity","TRAVEL_EMISSIONS_PER_SALES","FY 2021","FY 2021","Currency=USD","Period=FQ","BEST_FPERIOD_OVERRIDE=FQ","FILING_STATUS=MR","FA_ADJUSTED=GAAP","Sort=A","Dates=H","DateFormat=P","Fill=—","Direction=H","UseDPDF=Y")</f>
        <v>—</v>
      </c>
      <c r="Y31" s="14" t="str">
        <f>_xll.BDH("AMGN US Equity","TRAVEL_EMISSIONS_PER_SALES","FY 2022","FY 2022","Currency=USD","Period=FQ","BEST_FPERIOD_OVERRIDE=FQ","FILING_STATUS=MR","FA_ADJUSTED=GAAP","Sort=A","Dates=H","DateFormat=P","Fill=—","Direction=H","UseDPDF=Y")</f>
        <v>—</v>
      </c>
      <c r="Z31" s="14" t="str">
        <f>_xll.BDH("AMGN US Equity","TRAVEL_EMISSIONS_PER_SALES","FY 2023","FY 2023","Currency=USD","Period=FQ","BEST_FPERIOD_OVERRIDE=FQ","FILING_STATUS=MR","FA_ADJUSTED=GAAP","Sort=A","Dates=H","DateFormat=P","Fill=—","Direction=H","UseDPDF=Y")</f>
        <v>—</v>
      </c>
      <c r="AA31" s="14" t="str">
        <f>_xll.BDH("AMGN US Equity","TRAVEL_EMISSIONS_PER_SALES","FY 2024","FY 2024","Currency=USD","Period=FQ","BEST_FPERIOD_OVERRIDE=FQ","FILING_STATUS=MR","FA_ADJUSTED=GAAP","Sort=A","Dates=H","DateFormat=P","Fill=—","Direction=H","UseDPDF=Y")</f>
        <v>—</v>
      </c>
    </row>
    <row r="32" spans="1:27" x14ac:dyDescent="0.25">
      <c r="A32" s="10" t="s">
        <v>1949</v>
      </c>
      <c r="B32" s="10" t="s">
        <v>1950</v>
      </c>
      <c r="C32" s="14" t="str">
        <f>_xll.BDH("AMGN US Equity","TRAVEL_CO2_PER_EMPLOYEE","FY 2000","FY 2000","Currency=USD","Period=FQ","BEST_FPERIOD_OVERRIDE=FQ","FILING_STATUS=MR","Sort=A","Dates=H","DateFormat=P","Fill=—","Direction=H","UseDPDF=Y")</f>
        <v>—</v>
      </c>
      <c r="D32" s="14" t="str">
        <f>_xll.BDH("AMGN US Equity","TRAVEL_CO2_PER_EMPLOYEE","FY 2001","FY 2001","Currency=USD","Period=FQ","BEST_FPERIOD_OVERRIDE=FQ","FILING_STATUS=MR","Sort=A","Dates=H","DateFormat=P","Fill=—","Direction=H","UseDPDF=Y")</f>
        <v>—</v>
      </c>
      <c r="E32" s="14" t="str">
        <f>_xll.BDH("AMGN US Equity","TRAVEL_CO2_PER_EMPLOYEE","FY 2002","FY 2002","Currency=USD","Period=FQ","BEST_FPERIOD_OVERRIDE=FQ","FILING_STATUS=MR","Sort=A","Dates=H","DateFormat=P","Fill=—","Direction=H","UseDPDF=Y")</f>
        <v>—</v>
      </c>
      <c r="F32" s="14" t="str">
        <f>_xll.BDH("AMGN US Equity","TRAVEL_CO2_PER_EMPLOYEE","FY 2003","FY 2003","Currency=USD","Period=FQ","BEST_FPERIOD_OVERRIDE=FQ","FILING_STATUS=MR","Sort=A","Dates=H","DateFormat=P","Fill=—","Direction=H","UseDPDF=Y")</f>
        <v>—</v>
      </c>
      <c r="G32" s="14" t="str">
        <f>_xll.BDH("AMGN US Equity","TRAVEL_CO2_PER_EMPLOYEE","FY 2004","FY 2004","Currency=USD","Period=FQ","BEST_FPERIOD_OVERRIDE=FQ","FILING_STATUS=MR","Sort=A","Dates=H","DateFormat=P","Fill=—","Direction=H","UseDPDF=Y")</f>
        <v>—</v>
      </c>
      <c r="H32" s="14" t="str">
        <f>_xll.BDH("AMGN US Equity","TRAVEL_CO2_PER_EMPLOYEE","FY 2005","FY 2005","Currency=USD","Period=FQ","BEST_FPERIOD_OVERRIDE=FQ","FILING_STATUS=MR","Sort=A","Dates=H","DateFormat=P","Fill=—","Direction=H","UseDPDF=Y")</f>
        <v>—</v>
      </c>
      <c r="I32" s="14" t="str">
        <f>_xll.BDH("AMGN US Equity","TRAVEL_CO2_PER_EMPLOYEE","FY 2006","FY 2006","Currency=USD","Period=FQ","BEST_FPERIOD_OVERRIDE=FQ","FILING_STATUS=MR","Sort=A","Dates=H","DateFormat=P","Fill=—","Direction=H","UseDPDF=Y")</f>
        <v>—</v>
      </c>
      <c r="J32" s="14" t="str">
        <f>_xll.BDH("AMGN US Equity","TRAVEL_CO2_PER_EMPLOYEE","FY 2007","FY 2007","Currency=USD","Period=FQ","BEST_FPERIOD_OVERRIDE=FQ","FILING_STATUS=MR","Sort=A","Dates=H","DateFormat=P","Fill=—","Direction=H","UseDPDF=Y")</f>
        <v>—</v>
      </c>
      <c r="K32" s="14" t="str">
        <f>_xll.BDH("AMGN US Equity","TRAVEL_CO2_PER_EMPLOYEE","FY 2008","FY 2008","Currency=USD","Period=FQ","BEST_FPERIOD_OVERRIDE=FQ","FILING_STATUS=MR","Sort=A","Dates=H","DateFormat=P","Fill=—","Direction=H","UseDPDF=Y")</f>
        <v>—</v>
      </c>
      <c r="L32" s="14" t="str">
        <f>_xll.BDH("AMGN US Equity","TRAVEL_CO2_PER_EMPLOYEE","FY 2009","FY 2009","Currency=USD","Period=FQ","BEST_FPERIOD_OVERRIDE=FQ","FILING_STATUS=MR","Sort=A","Dates=H","DateFormat=P","Fill=—","Direction=H","UseDPDF=Y")</f>
        <v>—</v>
      </c>
      <c r="M32" s="14" t="str">
        <f>_xll.BDH("AMGN US Equity","TRAVEL_CO2_PER_EMPLOYEE","FY 2010","FY 2010","Currency=USD","Period=FQ","BEST_FPERIOD_OVERRIDE=FQ","FILING_STATUS=MR","Sort=A","Dates=H","DateFormat=P","Fill=—","Direction=H","UseDPDF=Y")</f>
        <v>—</v>
      </c>
      <c r="N32" s="14" t="str">
        <f>_xll.BDH("AMGN US Equity","TRAVEL_CO2_PER_EMPLOYEE","FY 2011","FY 2011","Currency=USD","Period=FQ","BEST_FPERIOD_OVERRIDE=FQ","FILING_STATUS=MR","Sort=A","Dates=H","DateFormat=P","Fill=—","Direction=H","UseDPDF=Y")</f>
        <v>—</v>
      </c>
      <c r="O32" s="14" t="str">
        <f>_xll.BDH("AMGN US Equity","TRAVEL_CO2_PER_EMPLOYEE","FY 2012","FY 2012","Currency=USD","Period=FQ","BEST_FPERIOD_OVERRIDE=FQ","FILING_STATUS=MR","Sort=A","Dates=H","DateFormat=P","Fill=—","Direction=H","UseDPDF=Y")</f>
        <v>—</v>
      </c>
      <c r="P32" s="14" t="str">
        <f>_xll.BDH("AMGN US Equity","TRAVEL_CO2_PER_EMPLOYEE","FY 2013","FY 2013","Currency=USD","Period=FQ","BEST_FPERIOD_OVERRIDE=FQ","FILING_STATUS=MR","Sort=A","Dates=H","DateFormat=P","Fill=—","Direction=H","UseDPDF=Y")</f>
        <v>—</v>
      </c>
      <c r="Q32" s="14" t="str">
        <f>_xll.BDH("AMGN US Equity","TRAVEL_CO2_PER_EMPLOYEE","FY 2014","FY 2014","Currency=USD","Period=FQ","BEST_FPERIOD_OVERRIDE=FQ","FILING_STATUS=MR","Sort=A","Dates=H","DateFormat=P","Fill=—","Direction=H","UseDPDF=Y")</f>
        <v>—</v>
      </c>
      <c r="R32" s="14" t="str">
        <f>_xll.BDH("AMGN US Equity","TRAVEL_CO2_PER_EMPLOYEE","FY 2015","FY 2015","Currency=USD","Period=FQ","BEST_FPERIOD_OVERRIDE=FQ","FILING_STATUS=MR","Sort=A","Dates=H","DateFormat=P","Fill=—","Direction=H","UseDPDF=Y")</f>
        <v>—</v>
      </c>
      <c r="S32" s="14" t="str">
        <f>_xll.BDH("AMGN US Equity","TRAVEL_CO2_PER_EMPLOYEE","FY 2016","FY 2016","Currency=USD","Period=FQ","BEST_FPERIOD_OVERRIDE=FQ","FILING_STATUS=MR","Sort=A","Dates=H","DateFormat=P","Fill=—","Direction=H","UseDPDF=Y")</f>
        <v>—</v>
      </c>
      <c r="T32" s="14" t="str">
        <f>_xll.BDH("AMGN US Equity","TRAVEL_CO2_PER_EMPLOYEE","FY 2017","FY 2017","Currency=USD","Period=FQ","BEST_FPERIOD_OVERRIDE=FQ","FILING_STATUS=MR","Sort=A","Dates=H","DateFormat=P","Fill=—","Direction=H","UseDPDF=Y")</f>
        <v>—</v>
      </c>
      <c r="U32" s="14" t="str">
        <f>_xll.BDH("AMGN US Equity","TRAVEL_CO2_PER_EMPLOYEE","FY 2018","FY 2018","Currency=USD","Period=FQ","BEST_FPERIOD_OVERRIDE=FQ","FILING_STATUS=MR","Sort=A","Dates=H","DateFormat=P","Fill=—","Direction=H","UseDPDF=Y")</f>
        <v>—</v>
      </c>
      <c r="V32" s="14" t="str">
        <f>_xll.BDH("AMGN US Equity","TRAVEL_CO2_PER_EMPLOYEE","FY 2019","FY 2019","Currency=USD","Period=FQ","BEST_FPERIOD_OVERRIDE=FQ","FILING_STATUS=MR","Sort=A","Dates=H","DateFormat=P","Fill=—","Direction=H","UseDPDF=Y")</f>
        <v>—</v>
      </c>
      <c r="W32" s="14" t="str">
        <f>_xll.BDH("AMGN US Equity","TRAVEL_CO2_PER_EMPLOYEE","FY 2020","FY 2020","Currency=USD","Period=FQ","BEST_FPERIOD_OVERRIDE=FQ","FILING_STATUS=MR","Sort=A","Dates=H","DateFormat=P","Fill=—","Direction=H","UseDPDF=Y")</f>
        <v>—</v>
      </c>
      <c r="X32" s="14" t="str">
        <f>_xll.BDH("AMGN US Equity","TRAVEL_CO2_PER_EMPLOYEE","FY 2021","FY 2021","Currency=USD","Period=FQ","BEST_FPERIOD_OVERRIDE=FQ","FILING_STATUS=MR","Sort=A","Dates=H","DateFormat=P","Fill=—","Direction=H","UseDPDF=Y")</f>
        <v>—</v>
      </c>
      <c r="Y32" s="14" t="str">
        <f>_xll.BDH("AMGN US Equity","TRAVEL_CO2_PER_EMPLOYEE","FY 2022","FY 2022","Currency=USD","Period=FQ","BEST_FPERIOD_OVERRIDE=FQ","FILING_STATUS=MR","Sort=A","Dates=H","DateFormat=P","Fill=—","Direction=H","UseDPDF=Y")</f>
        <v>—</v>
      </c>
      <c r="Z32" s="14" t="str">
        <f>_xll.BDH("AMGN US Equity","TRAVEL_CO2_PER_EMPLOYEE","FY 2023","FY 2023","Currency=USD","Period=FQ","BEST_FPERIOD_OVERRIDE=FQ","FILING_STATUS=MR","Sort=A","Dates=H","DateFormat=P","Fill=—","Direction=H","UseDPDF=Y")</f>
        <v>—</v>
      </c>
      <c r="AA32" s="14" t="str">
        <f>_xll.BDH("AMGN US Equity","TRAVEL_CO2_PER_EMPLOYEE","FY 2024","FY 2024","Currency=USD","Period=FQ","BEST_FPERIOD_OVERRIDE=FQ","FILING_STATUS=MR","Sort=A","Dates=H","DateFormat=P","Fill=—","Direction=H","UseDPDF=Y")</f>
        <v>—</v>
      </c>
    </row>
    <row r="33" spans="1:27" x14ac:dyDescent="0.25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5">
      <c r="A34" s="6" t="s">
        <v>1951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 x14ac:dyDescent="0.25">
      <c r="A35" s="10" t="s">
        <v>1952</v>
      </c>
      <c r="B35" s="10" t="s">
        <v>1953</v>
      </c>
      <c r="C35" s="14" t="str">
        <f>_xll.BDH("AMGN US Equity","ENERGY_INTENSITY_PER_SALES","FY 2000","FY 2000","Currency=USD","Period=FQ","BEST_FPERIOD_OVERRIDE=FQ","FILING_STATUS=MR","FA_ADJUSTED=GAAP","Sort=A","Dates=H","DateFormat=P","Fill=—","Direction=H","UseDPDF=Y")</f>
        <v>—</v>
      </c>
      <c r="D35" s="14" t="str">
        <f>_xll.BDH("AMGN US Equity","ENERGY_INTENSITY_PER_SALES","FY 2001","FY 2001","Currency=USD","Period=FQ","BEST_FPERIOD_OVERRIDE=FQ","FILING_STATUS=MR","FA_ADJUSTED=GAAP","Sort=A","Dates=H","DateFormat=P","Fill=—","Direction=H","UseDPDF=Y")</f>
        <v>—</v>
      </c>
      <c r="E35" s="14" t="str">
        <f>_xll.BDH("AMGN US Equity","ENERGY_INTENSITY_PER_SALES","FY 2002","FY 2002","Currency=USD","Period=FQ","BEST_FPERIOD_OVERRIDE=FQ","FILING_STATUS=MR","FA_ADJUSTED=GAAP","Sort=A","Dates=H","DateFormat=P","Fill=—","Direction=H","UseDPDF=Y")</f>
        <v>—</v>
      </c>
      <c r="F35" s="14" t="str">
        <f>_xll.BDH("AMGN US Equity","ENERGY_INTENSITY_PER_SALES","FY 2003","FY 2003","Currency=USD","Period=FQ","BEST_FPERIOD_OVERRIDE=FQ","FILING_STATUS=MR","FA_ADJUSTED=GAAP","Sort=A","Dates=H","DateFormat=P","Fill=—","Direction=H","UseDPDF=Y")</f>
        <v>—</v>
      </c>
      <c r="G35" s="14" t="str">
        <f>_xll.BDH("AMGN US Equity","ENERGY_INTENSITY_PER_SALES","FY 2004","FY 2004","Currency=USD","Period=FQ","BEST_FPERIOD_OVERRIDE=FQ","FILING_STATUS=MR","FA_ADJUSTED=GAAP","Sort=A","Dates=H","DateFormat=P","Fill=—","Direction=H","UseDPDF=Y")</f>
        <v>—</v>
      </c>
      <c r="H35" s="14" t="str">
        <f>_xll.BDH("AMGN US Equity","ENERGY_INTENSITY_PER_SALES","FY 2005","FY 2005","Currency=USD","Period=FQ","BEST_FPERIOD_OVERRIDE=FQ","FILING_STATUS=MR","FA_ADJUSTED=GAAP","Sort=A","Dates=H","DateFormat=P","Fill=—","Direction=H","UseDPDF=Y")</f>
        <v>—</v>
      </c>
      <c r="I35" s="14" t="str">
        <f>_xll.BDH("AMGN US Equity","ENERGY_INTENSITY_PER_SALES","FY 2006","FY 2006","Currency=USD","Period=FQ","BEST_FPERIOD_OVERRIDE=FQ","FILING_STATUS=MR","FA_ADJUSTED=GAAP","Sort=A","Dates=H","DateFormat=P","Fill=—","Direction=H","UseDPDF=Y")</f>
        <v>—</v>
      </c>
      <c r="J35" s="14" t="str">
        <f>_xll.BDH("AMGN US Equity","ENERGY_INTENSITY_PER_SALES","FY 2007","FY 2007","Currency=USD","Period=FQ","BEST_FPERIOD_OVERRIDE=FQ","FILING_STATUS=MR","FA_ADJUSTED=GAAP","Sort=A","Dates=H","DateFormat=P","Fill=—","Direction=H","UseDPDF=Y")</f>
        <v>—</v>
      </c>
      <c r="K35" s="14" t="str">
        <f>_xll.BDH("AMGN US Equity","ENERGY_INTENSITY_PER_SALES","FY 2008","FY 2008","Currency=USD","Period=FQ","BEST_FPERIOD_OVERRIDE=FQ","FILING_STATUS=MR","FA_ADJUSTED=GAAP","Sort=A","Dates=H","DateFormat=P","Fill=—","Direction=H","UseDPDF=Y")</f>
        <v>—</v>
      </c>
      <c r="L35" s="14" t="str">
        <f>_xll.BDH("AMGN US Equity","ENERGY_INTENSITY_PER_SALES","FY 2009","FY 2009","Currency=USD","Period=FQ","BEST_FPERIOD_OVERRIDE=FQ","FILING_STATUS=MR","FA_ADJUSTED=GAAP","Sort=A","Dates=H","DateFormat=P","Fill=—","Direction=H","UseDPDF=Y")</f>
        <v>—</v>
      </c>
      <c r="M35" s="14" t="str">
        <f>_xll.BDH("AMGN US Equity","ENERGY_INTENSITY_PER_SALES","FY 2010","FY 2010","Currency=USD","Period=FQ","BEST_FPERIOD_OVERRIDE=FQ","FILING_STATUS=MR","FA_ADJUSTED=GAAP","Sort=A","Dates=H","DateFormat=P","Fill=—","Direction=H","UseDPDF=Y")</f>
        <v>—</v>
      </c>
      <c r="N35" s="14" t="str">
        <f>_xll.BDH("AMGN US Equity","ENERGY_INTENSITY_PER_SALES","FY 2011","FY 2011","Currency=USD","Period=FQ","BEST_FPERIOD_OVERRIDE=FQ","FILING_STATUS=MR","FA_ADJUSTED=GAAP","Sort=A","Dates=H","DateFormat=P","Fill=—","Direction=H","UseDPDF=Y")</f>
        <v>—</v>
      </c>
      <c r="O35" s="14" t="str">
        <f>_xll.BDH("AMGN US Equity","ENERGY_INTENSITY_PER_SALES","FY 2012","FY 2012","Currency=USD","Period=FQ","BEST_FPERIOD_OVERRIDE=FQ","FILING_STATUS=MR","FA_ADJUSTED=GAAP","Sort=A","Dates=H","DateFormat=P","Fill=—","Direction=H","UseDPDF=Y")</f>
        <v>—</v>
      </c>
      <c r="P35" s="14" t="str">
        <f>_xll.BDH("AMGN US Equity","ENERGY_INTENSITY_PER_SALES","FY 2013","FY 2013","Currency=USD","Period=FQ","BEST_FPERIOD_OVERRIDE=FQ","FILING_STATUS=MR","FA_ADJUSTED=GAAP","Sort=A","Dates=H","DateFormat=P","Fill=—","Direction=H","UseDPDF=Y")</f>
        <v>—</v>
      </c>
      <c r="Q35" s="14" t="str">
        <f>_xll.BDH("AMGN US Equity","ENERGY_INTENSITY_PER_SALES","FY 2014","FY 2014","Currency=USD","Period=FQ","BEST_FPERIOD_OVERRIDE=FQ","FILING_STATUS=MR","FA_ADJUSTED=GAAP","Sort=A","Dates=H","DateFormat=P","Fill=—","Direction=H","UseDPDF=Y")</f>
        <v>—</v>
      </c>
      <c r="R35" s="14" t="str">
        <f>_xll.BDH("AMGN US Equity","ENERGY_INTENSITY_PER_SALES","FY 2015","FY 2015","Currency=USD","Period=FQ","BEST_FPERIOD_OVERRIDE=FQ","FILING_STATUS=MR","FA_ADJUSTED=GAAP","Sort=A","Dates=H","DateFormat=P","Fill=—","Direction=H","UseDPDF=Y")</f>
        <v>—</v>
      </c>
      <c r="S35" s="14" t="str">
        <f>_xll.BDH("AMGN US Equity","ENERGY_INTENSITY_PER_SALES","FY 2016","FY 2016","Currency=USD","Period=FQ","BEST_FPERIOD_OVERRIDE=FQ","FILING_STATUS=MR","FA_ADJUSTED=GAAP","Sort=A","Dates=H","DateFormat=P","Fill=—","Direction=H","UseDPDF=Y")</f>
        <v>—</v>
      </c>
      <c r="T35" s="14" t="str">
        <f>_xll.BDH("AMGN US Equity","ENERGY_INTENSITY_PER_SALES","FY 2017","FY 2017","Currency=USD","Period=FQ","BEST_FPERIOD_OVERRIDE=FQ","FILING_STATUS=MR","FA_ADJUSTED=GAAP","Sort=A","Dates=H","DateFormat=P","Fill=—","Direction=H","UseDPDF=Y")</f>
        <v>—</v>
      </c>
      <c r="U35" s="14" t="str">
        <f>_xll.BDH("AMGN US Equity","ENERGY_INTENSITY_PER_SALES","FY 2018","FY 2018","Currency=USD","Period=FQ","BEST_FPERIOD_OVERRIDE=FQ","FILING_STATUS=MR","FA_ADJUSTED=GAAP","Sort=A","Dates=H","DateFormat=P","Fill=—","Direction=H","UseDPDF=Y")</f>
        <v>—</v>
      </c>
      <c r="V35" s="14" t="str">
        <f>_xll.BDH("AMGN US Equity","ENERGY_INTENSITY_PER_SALES","FY 2019","FY 2019","Currency=USD","Period=FQ","BEST_FPERIOD_OVERRIDE=FQ","FILING_STATUS=MR","FA_ADJUSTED=GAAP","Sort=A","Dates=H","DateFormat=P","Fill=—","Direction=H","UseDPDF=Y")</f>
        <v>—</v>
      </c>
      <c r="W35" s="14" t="str">
        <f>_xll.BDH("AMGN US Equity","ENERGY_INTENSITY_PER_SALES","FY 2020","FY 2020","Currency=USD","Period=FQ","BEST_FPERIOD_OVERRIDE=FQ","FILING_STATUS=MR","FA_ADJUSTED=GAAP","Sort=A","Dates=H","DateFormat=P","Fill=—","Direction=H","UseDPDF=Y")</f>
        <v>—</v>
      </c>
      <c r="X35" s="14" t="str">
        <f>_xll.BDH("AMGN US Equity","ENERGY_INTENSITY_PER_SALES","FY 2021","FY 2021","Currency=USD","Period=FQ","BEST_FPERIOD_OVERRIDE=FQ","FILING_STATUS=MR","FA_ADJUSTED=GAAP","Sort=A","Dates=H","DateFormat=P","Fill=—","Direction=H","UseDPDF=Y")</f>
        <v>—</v>
      </c>
      <c r="Y35" s="14" t="str">
        <f>_xll.BDH("AMGN US Equity","ENERGY_INTENSITY_PER_SALES","FY 2022","FY 2022","Currency=USD","Period=FQ","BEST_FPERIOD_OVERRIDE=FQ","FILING_STATUS=MR","FA_ADJUSTED=GAAP","Sort=A","Dates=H","DateFormat=P","Fill=—","Direction=H","UseDPDF=Y")</f>
        <v>—</v>
      </c>
      <c r="Z35" s="14" t="str">
        <f>_xll.BDH("AMGN US Equity","ENERGY_INTENSITY_PER_SALES","FY 2023","FY 2023","Currency=USD","Period=FQ","BEST_FPERIOD_OVERRIDE=FQ","FILING_STATUS=MR","FA_ADJUSTED=GAAP","Sort=A","Dates=H","DateFormat=P","Fill=—","Direction=H","UseDPDF=Y")</f>
        <v>—</v>
      </c>
      <c r="AA35" s="14" t="str">
        <f>_xll.BDH("AMGN US Equity","ENERGY_INTENSITY_PER_SALES","FY 2024","FY 2024","Currency=USD","Period=FQ","BEST_FPERIOD_OVERRIDE=FQ","FILING_STATUS=MR","FA_ADJUSTED=GAAP","Sort=A","Dates=H","DateFormat=P","Fill=—","Direction=H","UseDPDF=Y")</f>
        <v>—</v>
      </c>
    </row>
    <row r="36" spans="1:27" x14ac:dyDescent="0.25">
      <c r="A36" s="10" t="s">
        <v>1954</v>
      </c>
      <c r="B36" s="10" t="s">
        <v>1955</v>
      </c>
      <c r="C36" s="14" t="str">
        <f>_xll.BDH("AMGN US Equity","ENERGY_INTENSITY_PER_EBITDA","FY 2000","FY 2000","Currency=USD","Period=FQ","BEST_FPERIOD_OVERRIDE=FQ","FILING_STATUS=MR","FA_ADJUSTED=GAAP","Sort=A","Dates=H","DateFormat=P","Fill=—","Direction=H","UseDPDF=Y")</f>
        <v>—</v>
      </c>
      <c r="D36" s="14" t="str">
        <f>_xll.BDH("AMGN US Equity","ENERGY_INTENSITY_PER_EBITDA","FY 2001","FY 2001","Currency=USD","Period=FQ","BEST_FPERIOD_OVERRIDE=FQ","FILING_STATUS=MR","FA_ADJUSTED=GAAP","Sort=A","Dates=H","DateFormat=P","Fill=—","Direction=H","UseDPDF=Y")</f>
        <v>—</v>
      </c>
      <c r="E36" s="14" t="str">
        <f>_xll.BDH("AMGN US Equity","ENERGY_INTENSITY_PER_EBITDA","FY 2002","FY 2002","Currency=USD","Period=FQ","BEST_FPERIOD_OVERRIDE=FQ","FILING_STATUS=MR","FA_ADJUSTED=GAAP","Sort=A","Dates=H","DateFormat=P","Fill=—","Direction=H","UseDPDF=Y")</f>
        <v>—</v>
      </c>
      <c r="F36" s="14" t="str">
        <f>_xll.BDH("AMGN US Equity","ENERGY_INTENSITY_PER_EBITDA","FY 2003","FY 2003","Currency=USD","Period=FQ","BEST_FPERIOD_OVERRIDE=FQ","FILING_STATUS=MR","FA_ADJUSTED=GAAP","Sort=A","Dates=H","DateFormat=P","Fill=—","Direction=H","UseDPDF=Y")</f>
        <v>—</v>
      </c>
      <c r="G36" s="14" t="str">
        <f>_xll.BDH("AMGN US Equity","ENERGY_INTENSITY_PER_EBITDA","FY 2004","FY 2004","Currency=USD","Period=FQ","BEST_FPERIOD_OVERRIDE=FQ","FILING_STATUS=MR","FA_ADJUSTED=GAAP","Sort=A","Dates=H","DateFormat=P","Fill=—","Direction=H","UseDPDF=Y")</f>
        <v>—</v>
      </c>
      <c r="H36" s="14" t="str">
        <f>_xll.BDH("AMGN US Equity","ENERGY_INTENSITY_PER_EBITDA","FY 2005","FY 2005","Currency=USD","Period=FQ","BEST_FPERIOD_OVERRIDE=FQ","FILING_STATUS=MR","FA_ADJUSTED=GAAP","Sort=A","Dates=H","DateFormat=P","Fill=—","Direction=H","UseDPDF=Y")</f>
        <v>—</v>
      </c>
      <c r="I36" s="14" t="str">
        <f>_xll.BDH("AMGN US Equity","ENERGY_INTENSITY_PER_EBITDA","FY 2006","FY 2006","Currency=USD","Period=FQ","BEST_FPERIOD_OVERRIDE=FQ","FILING_STATUS=MR","FA_ADJUSTED=GAAP","Sort=A","Dates=H","DateFormat=P","Fill=—","Direction=H","UseDPDF=Y")</f>
        <v>—</v>
      </c>
      <c r="J36" s="14" t="str">
        <f>_xll.BDH("AMGN US Equity","ENERGY_INTENSITY_PER_EBITDA","FY 2007","FY 2007","Currency=USD","Period=FQ","BEST_FPERIOD_OVERRIDE=FQ","FILING_STATUS=MR","FA_ADJUSTED=GAAP","Sort=A","Dates=H","DateFormat=P","Fill=—","Direction=H","UseDPDF=Y")</f>
        <v>—</v>
      </c>
      <c r="K36" s="14" t="str">
        <f>_xll.BDH("AMGN US Equity","ENERGY_INTENSITY_PER_EBITDA","FY 2008","FY 2008","Currency=USD","Period=FQ","BEST_FPERIOD_OVERRIDE=FQ","FILING_STATUS=MR","FA_ADJUSTED=GAAP","Sort=A","Dates=H","DateFormat=P","Fill=—","Direction=H","UseDPDF=Y")</f>
        <v>—</v>
      </c>
      <c r="L36" s="14" t="str">
        <f>_xll.BDH("AMGN US Equity","ENERGY_INTENSITY_PER_EBITDA","FY 2009","FY 2009","Currency=USD","Period=FQ","BEST_FPERIOD_OVERRIDE=FQ","FILING_STATUS=MR","FA_ADJUSTED=GAAP","Sort=A","Dates=H","DateFormat=P","Fill=—","Direction=H","UseDPDF=Y")</f>
        <v>—</v>
      </c>
      <c r="M36" s="14" t="str">
        <f>_xll.BDH("AMGN US Equity","ENERGY_INTENSITY_PER_EBITDA","FY 2010","FY 2010","Currency=USD","Period=FQ","BEST_FPERIOD_OVERRIDE=FQ","FILING_STATUS=MR","FA_ADJUSTED=GAAP","Sort=A","Dates=H","DateFormat=P","Fill=—","Direction=H","UseDPDF=Y")</f>
        <v>—</v>
      </c>
      <c r="N36" s="14" t="str">
        <f>_xll.BDH("AMGN US Equity","ENERGY_INTENSITY_PER_EBITDA","FY 2011","FY 2011","Currency=USD","Period=FQ","BEST_FPERIOD_OVERRIDE=FQ","FILING_STATUS=MR","FA_ADJUSTED=GAAP","Sort=A","Dates=H","DateFormat=P","Fill=—","Direction=H","UseDPDF=Y")</f>
        <v>—</v>
      </c>
      <c r="O36" s="14" t="str">
        <f>_xll.BDH("AMGN US Equity","ENERGY_INTENSITY_PER_EBITDA","FY 2012","FY 2012","Currency=USD","Period=FQ","BEST_FPERIOD_OVERRIDE=FQ","FILING_STATUS=MR","FA_ADJUSTED=GAAP","Sort=A","Dates=H","DateFormat=P","Fill=—","Direction=H","UseDPDF=Y")</f>
        <v>—</v>
      </c>
      <c r="P36" s="14" t="str">
        <f>_xll.BDH("AMGN US Equity","ENERGY_INTENSITY_PER_EBITDA","FY 2013","FY 2013","Currency=USD","Period=FQ","BEST_FPERIOD_OVERRIDE=FQ","FILING_STATUS=MR","FA_ADJUSTED=GAAP","Sort=A","Dates=H","DateFormat=P","Fill=—","Direction=H","UseDPDF=Y")</f>
        <v>—</v>
      </c>
      <c r="Q36" s="14" t="str">
        <f>_xll.BDH("AMGN US Equity","ENERGY_INTENSITY_PER_EBITDA","FY 2014","FY 2014","Currency=USD","Period=FQ","BEST_FPERIOD_OVERRIDE=FQ","FILING_STATUS=MR","FA_ADJUSTED=GAAP","Sort=A","Dates=H","DateFormat=P","Fill=—","Direction=H","UseDPDF=Y")</f>
        <v>—</v>
      </c>
      <c r="R36" s="14" t="str">
        <f>_xll.BDH("AMGN US Equity","ENERGY_INTENSITY_PER_EBITDA","FY 2015","FY 2015","Currency=USD","Period=FQ","BEST_FPERIOD_OVERRIDE=FQ","FILING_STATUS=MR","FA_ADJUSTED=GAAP","Sort=A","Dates=H","DateFormat=P","Fill=—","Direction=H","UseDPDF=Y")</f>
        <v>—</v>
      </c>
      <c r="S36" s="14" t="str">
        <f>_xll.BDH("AMGN US Equity","ENERGY_INTENSITY_PER_EBITDA","FY 2016","FY 2016","Currency=USD","Period=FQ","BEST_FPERIOD_OVERRIDE=FQ","FILING_STATUS=MR","FA_ADJUSTED=GAAP","Sort=A","Dates=H","DateFormat=P","Fill=—","Direction=H","UseDPDF=Y")</f>
        <v>—</v>
      </c>
      <c r="T36" s="14" t="str">
        <f>_xll.BDH("AMGN US Equity","ENERGY_INTENSITY_PER_EBITDA","FY 2017","FY 2017","Currency=USD","Period=FQ","BEST_FPERIOD_OVERRIDE=FQ","FILING_STATUS=MR","FA_ADJUSTED=GAAP","Sort=A","Dates=H","DateFormat=P","Fill=—","Direction=H","UseDPDF=Y")</f>
        <v>—</v>
      </c>
      <c r="U36" s="14" t="str">
        <f>_xll.BDH("AMGN US Equity","ENERGY_INTENSITY_PER_EBITDA","FY 2018","FY 2018","Currency=USD","Period=FQ","BEST_FPERIOD_OVERRIDE=FQ","FILING_STATUS=MR","FA_ADJUSTED=GAAP","Sort=A","Dates=H","DateFormat=P","Fill=—","Direction=H","UseDPDF=Y")</f>
        <v>—</v>
      </c>
      <c r="V36" s="14" t="str">
        <f>_xll.BDH("AMGN US Equity","ENERGY_INTENSITY_PER_EBITDA","FY 2019","FY 2019","Currency=USD","Period=FQ","BEST_FPERIOD_OVERRIDE=FQ","FILING_STATUS=MR","FA_ADJUSTED=GAAP","Sort=A","Dates=H","DateFormat=P","Fill=—","Direction=H","UseDPDF=Y")</f>
        <v>—</v>
      </c>
      <c r="W36" s="14" t="str">
        <f>_xll.BDH("AMGN US Equity","ENERGY_INTENSITY_PER_EBITDA","FY 2020","FY 2020","Currency=USD","Period=FQ","BEST_FPERIOD_OVERRIDE=FQ","FILING_STATUS=MR","FA_ADJUSTED=GAAP","Sort=A","Dates=H","DateFormat=P","Fill=—","Direction=H","UseDPDF=Y")</f>
        <v>—</v>
      </c>
      <c r="X36" s="14" t="str">
        <f>_xll.BDH("AMGN US Equity","ENERGY_INTENSITY_PER_EBITDA","FY 2021","FY 2021","Currency=USD","Period=FQ","BEST_FPERIOD_OVERRIDE=FQ","FILING_STATUS=MR","FA_ADJUSTED=GAAP","Sort=A","Dates=H","DateFormat=P","Fill=—","Direction=H","UseDPDF=Y")</f>
        <v>—</v>
      </c>
      <c r="Y36" s="14" t="str">
        <f>_xll.BDH("AMGN US Equity","ENERGY_INTENSITY_PER_EBITDA","FY 2022","FY 2022","Currency=USD","Period=FQ","BEST_FPERIOD_OVERRIDE=FQ","FILING_STATUS=MR","FA_ADJUSTED=GAAP","Sort=A","Dates=H","DateFormat=P","Fill=—","Direction=H","UseDPDF=Y")</f>
        <v>—</v>
      </c>
      <c r="Z36" s="14" t="str">
        <f>_xll.BDH("AMGN US Equity","ENERGY_INTENSITY_PER_EBITDA","FY 2023","FY 2023","Currency=USD","Period=FQ","BEST_FPERIOD_OVERRIDE=FQ","FILING_STATUS=MR","FA_ADJUSTED=GAAP","Sort=A","Dates=H","DateFormat=P","Fill=—","Direction=H","UseDPDF=Y")</f>
        <v>—</v>
      </c>
      <c r="AA36" s="14" t="str">
        <f>_xll.BDH("AMGN US Equity","ENERGY_INTENSITY_PER_EBITDA","FY 2024","FY 2024","Currency=USD","Period=FQ","BEST_FPERIOD_OVERRIDE=FQ","FILING_STATUS=MR","FA_ADJUSTED=GAAP","Sort=A","Dates=H","DateFormat=P","Fill=—","Direction=H","UseDPDF=Y")</f>
        <v>—</v>
      </c>
    </row>
    <row r="37" spans="1:27" x14ac:dyDescent="0.25">
      <c r="A37" s="10" t="s">
        <v>1956</v>
      </c>
      <c r="B37" s="10" t="s">
        <v>1957</v>
      </c>
      <c r="C37" s="14" t="str">
        <f>_xll.BDH("AMGN US Equity","ENERGY_INTENSITY_PER_EMPLOYEE","FY 2000","FY 2000","Currency=USD","Period=FQ","BEST_FPERIOD_OVERRIDE=FQ","FILING_STATUS=MR","Sort=A","Dates=H","DateFormat=P","Fill=—","Direction=H","UseDPDF=Y")</f>
        <v>—</v>
      </c>
      <c r="D37" s="14" t="str">
        <f>_xll.BDH("AMGN US Equity","ENERGY_INTENSITY_PER_EMPLOYEE","FY 2001","FY 2001","Currency=USD","Period=FQ","BEST_FPERIOD_OVERRIDE=FQ","FILING_STATUS=MR","Sort=A","Dates=H","DateFormat=P","Fill=—","Direction=H","UseDPDF=Y")</f>
        <v>—</v>
      </c>
      <c r="E37" s="14" t="str">
        <f>_xll.BDH("AMGN US Equity","ENERGY_INTENSITY_PER_EMPLOYEE","FY 2002","FY 2002","Currency=USD","Period=FQ","BEST_FPERIOD_OVERRIDE=FQ","FILING_STATUS=MR","Sort=A","Dates=H","DateFormat=P","Fill=—","Direction=H","UseDPDF=Y")</f>
        <v>—</v>
      </c>
      <c r="F37" s="14" t="str">
        <f>_xll.BDH("AMGN US Equity","ENERGY_INTENSITY_PER_EMPLOYEE","FY 2003","FY 2003","Currency=USD","Period=FQ","BEST_FPERIOD_OVERRIDE=FQ","FILING_STATUS=MR","Sort=A","Dates=H","DateFormat=P","Fill=—","Direction=H","UseDPDF=Y")</f>
        <v>—</v>
      </c>
      <c r="G37" s="14" t="str">
        <f>_xll.BDH("AMGN US Equity","ENERGY_INTENSITY_PER_EMPLOYEE","FY 2004","FY 2004","Currency=USD","Period=FQ","BEST_FPERIOD_OVERRIDE=FQ","FILING_STATUS=MR","Sort=A","Dates=H","DateFormat=P","Fill=—","Direction=H","UseDPDF=Y")</f>
        <v>—</v>
      </c>
      <c r="H37" s="14" t="str">
        <f>_xll.BDH("AMGN US Equity","ENERGY_INTENSITY_PER_EMPLOYEE","FY 2005","FY 2005","Currency=USD","Period=FQ","BEST_FPERIOD_OVERRIDE=FQ","FILING_STATUS=MR","Sort=A","Dates=H","DateFormat=P","Fill=—","Direction=H","UseDPDF=Y")</f>
        <v>—</v>
      </c>
      <c r="I37" s="14" t="str">
        <f>_xll.BDH("AMGN US Equity","ENERGY_INTENSITY_PER_EMPLOYEE","FY 2006","FY 2006","Currency=USD","Period=FQ","BEST_FPERIOD_OVERRIDE=FQ","FILING_STATUS=MR","Sort=A","Dates=H","DateFormat=P","Fill=—","Direction=H","UseDPDF=Y")</f>
        <v>—</v>
      </c>
      <c r="J37" s="14" t="str">
        <f>_xll.BDH("AMGN US Equity","ENERGY_INTENSITY_PER_EMPLOYEE","FY 2007","FY 2007","Currency=USD","Period=FQ","BEST_FPERIOD_OVERRIDE=FQ","FILING_STATUS=MR","Sort=A","Dates=H","DateFormat=P","Fill=—","Direction=H","UseDPDF=Y")</f>
        <v>—</v>
      </c>
      <c r="K37" s="14" t="str">
        <f>_xll.BDH("AMGN US Equity","ENERGY_INTENSITY_PER_EMPLOYEE","FY 2008","FY 2008","Currency=USD","Period=FQ","BEST_FPERIOD_OVERRIDE=FQ","FILING_STATUS=MR","Sort=A","Dates=H","DateFormat=P","Fill=—","Direction=H","UseDPDF=Y")</f>
        <v>—</v>
      </c>
      <c r="L37" s="14" t="str">
        <f>_xll.BDH("AMGN US Equity","ENERGY_INTENSITY_PER_EMPLOYEE","FY 2009","FY 2009","Currency=USD","Period=FQ","BEST_FPERIOD_OVERRIDE=FQ","FILING_STATUS=MR","Sort=A","Dates=H","DateFormat=P","Fill=—","Direction=H","UseDPDF=Y")</f>
        <v>—</v>
      </c>
      <c r="M37" s="14" t="str">
        <f>_xll.BDH("AMGN US Equity","ENERGY_INTENSITY_PER_EMPLOYEE","FY 2010","FY 2010","Currency=USD","Period=FQ","BEST_FPERIOD_OVERRIDE=FQ","FILING_STATUS=MR","Sort=A","Dates=H","DateFormat=P","Fill=—","Direction=H","UseDPDF=Y")</f>
        <v>—</v>
      </c>
      <c r="N37" s="14" t="str">
        <f>_xll.BDH("AMGN US Equity","ENERGY_INTENSITY_PER_EMPLOYEE","FY 2011","FY 2011","Currency=USD","Period=FQ","BEST_FPERIOD_OVERRIDE=FQ","FILING_STATUS=MR","Sort=A","Dates=H","DateFormat=P","Fill=—","Direction=H","UseDPDF=Y")</f>
        <v>—</v>
      </c>
      <c r="O37" s="14" t="str">
        <f>_xll.BDH("AMGN US Equity","ENERGY_INTENSITY_PER_EMPLOYEE","FY 2012","FY 2012","Currency=USD","Period=FQ","BEST_FPERIOD_OVERRIDE=FQ","FILING_STATUS=MR","Sort=A","Dates=H","DateFormat=P","Fill=—","Direction=H","UseDPDF=Y")</f>
        <v>—</v>
      </c>
      <c r="P37" s="14" t="str">
        <f>_xll.BDH("AMGN US Equity","ENERGY_INTENSITY_PER_EMPLOYEE","FY 2013","FY 2013","Currency=USD","Period=FQ","BEST_FPERIOD_OVERRIDE=FQ","FILING_STATUS=MR","Sort=A","Dates=H","DateFormat=P","Fill=—","Direction=H","UseDPDF=Y")</f>
        <v>—</v>
      </c>
      <c r="Q37" s="14" t="str">
        <f>_xll.BDH("AMGN US Equity","ENERGY_INTENSITY_PER_EMPLOYEE","FY 2014","FY 2014","Currency=USD","Period=FQ","BEST_FPERIOD_OVERRIDE=FQ","FILING_STATUS=MR","Sort=A","Dates=H","DateFormat=P","Fill=—","Direction=H","UseDPDF=Y")</f>
        <v>—</v>
      </c>
      <c r="R37" s="14" t="str">
        <f>_xll.BDH("AMGN US Equity","ENERGY_INTENSITY_PER_EMPLOYEE","FY 2015","FY 2015","Currency=USD","Period=FQ","BEST_FPERIOD_OVERRIDE=FQ","FILING_STATUS=MR","Sort=A","Dates=H","DateFormat=P","Fill=—","Direction=H","UseDPDF=Y")</f>
        <v>—</v>
      </c>
      <c r="S37" s="14" t="str">
        <f>_xll.BDH("AMGN US Equity","ENERGY_INTENSITY_PER_EMPLOYEE","FY 2016","FY 2016","Currency=USD","Period=FQ","BEST_FPERIOD_OVERRIDE=FQ","FILING_STATUS=MR","Sort=A","Dates=H","DateFormat=P","Fill=—","Direction=H","UseDPDF=Y")</f>
        <v>—</v>
      </c>
      <c r="T37" s="14" t="str">
        <f>_xll.BDH("AMGN US Equity","ENERGY_INTENSITY_PER_EMPLOYEE","FY 2017","FY 2017","Currency=USD","Period=FQ","BEST_FPERIOD_OVERRIDE=FQ","FILING_STATUS=MR","Sort=A","Dates=H","DateFormat=P","Fill=—","Direction=H","UseDPDF=Y")</f>
        <v>—</v>
      </c>
      <c r="U37" s="14" t="str">
        <f>_xll.BDH("AMGN US Equity","ENERGY_INTENSITY_PER_EMPLOYEE","FY 2018","FY 2018","Currency=USD","Period=FQ","BEST_FPERIOD_OVERRIDE=FQ","FILING_STATUS=MR","Sort=A","Dates=H","DateFormat=P","Fill=—","Direction=H","UseDPDF=Y")</f>
        <v>—</v>
      </c>
      <c r="V37" s="14" t="str">
        <f>_xll.BDH("AMGN US Equity","ENERGY_INTENSITY_PER_EMPLOYEE","FY 2019","FY 2019","Currency=USD","Period=FQ","BEST_FPERIOD_OVERRIDE=FQ","FILING_STATUS=MR","Sort=A","Dates=H","DateFormat=P","Fill=—","Direction=H","UseDPDF=Y")</f>
        <v>—</v>
      </c>
      <c r="W37" s="14" t="str">
        <f>_xll.BDH("AMGN US Equity","ENERGY_INTENSITY_PER_EMPLOYEE","FY 2020","FY 2020","Currency=USD","Period=FQ","BEST_FPERIOD_OVERRIDE=FQ","FILING_STATUS=MR","Sort=A","Dates=H","DateFormat=P","Fill=—","Direction=H","UseDPDF=Y")</f>
        <v>—</v>
      </c>
      <c r="X37" s="14" t="str">
        <f>_xll.BDH("AMGN US Equity","ENERGY_INTENSITY_PER_EMPLOYEE","FY 2021","FY 2021","Currency=USD","Period=FQ","BEST_FPERIOD_OVERRIDE=FQ","FILING_STATUS=MR","Sort=A","Dates=H","DateFormat=P","Fill=—","Direction=H","UseDPDF=Y")</f>
        <v>—</v>
      </c>
      <c r="Y37" s="14" t="str">
        <f>_xll.BDH("AMGN US Equity","ENERGY_INTENSITY_PER_EMPLOYEE","FY 2022","FY 2022","Currency=USD","Period=FQ","BEST_FPERIOD_OVERRIDE=FQ","FILING_STATUS=MR","Sort=A","Dates=H","DateFormat=P","Fill=—","Direction=H","UseDPDF=Y")</f>
        <v>—</v>
      </c>
      <c r="Z37" s="14" t="str">
        <f>_xll.BDH("AMGN US Equity","ENERGY_INTENSITY_PER_EMPLOYEE","FY 2023","FY 2023","Currency=USD","Period=FQ","BEST_FPERIOD_OVERRIDE=FQ","FILING_STATUS=MR","Sort=A","Dates=H","DateFormat=P","Fill=—","Direction=H","UseDPDF=Y")</f>
        <v>—</v>
      </c>
      <c r="AA37" s="14" t="str">
        <f>_xll.BDH("AMGN US Equity","ENERGY_INTENSITY_PER_EMPLOYEE","FY 2024","FY 2024","Currency=USD","Period=FQ","BEST_FPERIOD_OVERRIDE=FQ","FILING_STATUS=MR","Sort=A","Dates=H","DateFormat=P","Fill=—","Direction=H","UseDPDF=Y")</f>
        <v>—</v>
      </c>
    </row>
    <row r="38" spans="1:27" x14ac:dyDescent="0.25">
      <c r="A38" s="10" t="s">
        <v>1958</v>
      </c>
      <c r="B38" s="10" t="s">
        <v>1959</v>
      </c>
      <c r="C38" s="14" t="str">
        <f>_xll.BDH("AMGN US Equity","ENERGY_INTENSITY_PER_ASSETS","FY 2000","FY 2000","Currency=USD","Period=FQ","BEST_FPERIOD_OVERRIDE=FQ","FILING_STATUS=MR","Sort=A","Dates=H","DateFormat=P","Fill=—","Direction=H","UseDPDF=Y")</f>
        <v>—</v>
      </c>
      <c r="D38" s="14" t="str">
        <f>_xll.BDH("AMGN US Equity","ENERGY_INTENSITY_PER_ASSETS","FY 2001","FY 2001","Currency=USD","Period=FQ","BEST_FPERIOD_OVERRIDE=FQ","FILING_STATUS=MR","Sort=A","Dates=H","DateFormat=P","Fill=—","Direction=H","UseDPDF=Y")</f>
        <v>—</v>
      </c>
      <c r="E38" s="14" t="str">
        <f>_xll.BDH("AMGN US Equity","ENERGY_INTENSITY_PER_ASSETS","FY 2002","FY 2002","Currency=USD","Period=FQ","BEST_FPERIOD_OVERRIDE=FQ","FILING_STATUS=MR","Sort=A","Dates=H","DateFormat=P","Fill=—","Direction=H","UseDPDF=Y")</f>
        <v>—</v>
      </c>
      <c r="F38" s="14" t="str">
        <f>_xll.BDH("AMGN US Equity","ENERGY_INTENSITY_PER_ASSETS","FY 2003","FY 2003","Currency=USD","Period=FQ","BEST_FPERIOD_OVERRIDE=FQ","FILING_STATUS=MR","Sort=A","Dates=H","DateFormat=P","Fill=—","Direction=H","UseDPDF=Y")</f>
        <v>—</v>
      </c>
      <c r="G38" s="14" t="str">
        <f>_xll.BDH("AMGN US Equity","ENERGY_INTENSITY_PER_ASSETS","FY 2004","FY 2004","Currency=USD","Period=FQ","BEST_FPERIOD_OVERRIDE=FQ","FILING_STATUS=MR","Sort=A","Dates=H","DateFormat=P","Fill=—","Direction=H","UseDPDF=Y")</f>
        <v>—</v>
      </c>
      <c r="H38" s="14" t="str">
        <f>_xll.BDH("AMGN US Equity","ENERGY_INTENSITY_PER_ASSETS","FY 2005","FY 2005","Currency=USD","Period=FQ","BEST_FPERIOD_OVERRIDE=FQ","FILING_STATUS=MR","Sort=A","Dates=H","DateFormat=P","Fill=—","Direction=H","UseDPDF=Y")</f>
        <v>—</v>
      </c>
      <c r="I38" s="14" t="str">
        <f>_xll.BDH("AMGN US Equity","ENERGY_INTENSITY_PER_ASSETS","FY 2006","FY 2006","Currency=USD","Period=FQ","BEST_FPERIOD_OVERRIDE=FQ","FILING_STATUS=MR","Sort=A","Dates=H","DateFormat=P","Fill=—","Direction=H","UseDPDF=Y")</f>
        <v>—</v>
      </c>
      <c r="J38" s="14" t="str">
        <f>_xll.BDH("AMGN US Equity","ENERGY_INTENSITY_PER_ASSETS","FY 2007","FY 2007","Currency=USD","Period=FQ","BEST_FPERIOD_OVERRIDE=FQ","FILING_STATUS=MR","Sort=A","Dates=H","DateFormat=P","Fill=—","Direction=H","UseDPDF=Y")</f>
        <v>—</v>
      </c>
      <c r="K38" s="14" t="str">
        <f>_xll.BDH("AMGN US Equity","ENERGY_INTENSITY_PER_ASSETS","FY 2008","FY 2008","Currency=USD","Period=FQ","BEST_FPERIOD_OVERRIDE=FQ","FILING_STATUS=MR","Sort=A","Dates=H","DateFormat=P","Fill=—","Direction=H","UseDPDF=Y")</f>
        <v>—</v>
      </c>
      <c r="L38" s="14" t="str">
        <f>_xll.BDH("AMGN US Equity","ENERGY_INTENSITY_PER_ASSETS","FY 2009","FY 2009","Currency=USD","Period=FQ","BEST_FPERIOD_OVERRIDE=FQ","FILING_STATUS=MR","Sort=A","Dates=H","DateFormat=P","Fill=—","Direction=H","UseDPDF=Y")</f>
        <v>—</v>
      </c>
      <c r="M38" s="14" t="str">
        <f>_xll.BDH("AMGN US Equity","ENERGY_INTENSITY_PER_ASSETS","FY 2010","FY 2010","Currency=USD","Period=FQ","BEST_FPERIOD_OVERRIDE=FQ","FILING_STATUS=MR","Sort=A","Dates=H","DateFormat=P","Fill=—","Direction=H","UseDPDF=Y")</f>
        <v>—</v>
      </c>
      <c r="N38" s="14" t="str">
        <f>_xll.BDH("AMGN US Equity","ENERGY_INTENSITY_PER_ASSETS","FY 2011","FY 2011","Currency=USD","Period=FQ","BEST_FPERIOD_OVERRIDE=FQ","FILING_STATUS=MR","Sort=A","Dates=H","DateFormat=P","Fill=—","Direction=H","UseDPDF=Y")</f>
        <v>—</v>
      </c>
      <c r="O38" s="14" t="str">
        <f>_xll.BDH("AMGN US Equity","ENERGY_INTENSITY_PER_ASSETS","FY 2012","FY 2012","Currency=USD","Period=FQ","BEST_FPERIOD_OVERRIDE=FQ","FILING_STATUS=MR","Sort=A","Dates=H","DateFormat=P","Fill=—","Direction=H","UseDPDF=Y")</f>
        <v>—</v>
      </c>
      <c r="P38" s="14" t="str">
        <f>_xll.BDH("AMGN US Equity","ENERGY_INTENSITY_PER_ASSETS","FY 2013","FY 2013","Currency=USD","Period=FQ","BEST_FPERIOD_OVERRIDE=FQ","FILING_STATUS=MR","Sort=A","Dates=H","DateFormat=P","Fill=—","Direction=H","UseDPDF=Y")</f>
        <v>—</v>
      </c>
      <c r="Q38" s="14" t="str">
        <f>_xll.BDH("AMGN US Equity","ENERGY_INTENSITY_PER_ASSETS","FY 2014","FY 2014","Currency=USD","Period=FQ","BEST_FPERIOD_OVERRIDE=FQ","FILING_STATUS=MR","Sort=A","Dates=H","DateFormat=P","Fill=—","Direction=H","UseDPDF=Y")</f>
        <v>—</v>
      </c>
      <c r="R38" s="14" t="str">
        <f>_xll.BDH("AMGN US Equity","ENERGY_INTENSITY_PER_ASSETS","FY 2015","FY 2015","Currency=USD","Period=FQ","BEST_FPERIOD_OVERRIDE=FQ","FILING_STATUS=MR","Sort=A","Dates=H","DateFormat=P","Fill=—","Direction=H","UseDPDF=Y")</f>
        <v>—</v>
      </c>
      <c r="S38" s="14" t="str">
        <f>_xll.BDH("AMGN US Equity","ENERGY_INTENSITY_PER_ASSETS","FY 2016","FY 2016","Currency=USD","Period=FQ","BEST_FPERIOD_OVERRIDE=FQ","FILING_STATUS=MR","Sort=A","Dates=H","DateFormat=P","Fill=—","Direction=H","UseDPDF=Y")</f>
        <v>—</v>
      </c>
      <c r="T38" s="14" t="str">
        <f>_xll.BDH("AMGN US Equity","ENERGY_INTENSITY_PER_ASSETS","FY 2017","FY 2017","Currency=USD","Period=FQ","BEST_FPERIOD_OVERRIDE=FQ","FILING_STATUS=MR","Sort=A","Dates=H","DateFormat=P","Fill=—","Direction=H","UseDPDF=Y")</f>
        <v>—</v>
      </c>
      <c r="U38" s="14" t="str">
        <f>_xll.BDH("AMGN US Equity","ENERGY_INTENSITY_PER_ASSETS","FY 2018","FY 2018","Currency=USD","Period=FQ","BEST_FPERIOD_OVERRIDE=FQ","FILING_STATUS=MR","Sort=A","Dates=H","DateFormat=P","Fill=—","Direction=H","UseDPDF=Y")</f>
        <v>—</v>
      </c>
      <c r="V38" s="14" t="str">
        <f>_xll.BDH("AMGN US Equity","ENERGY_INTENSITY_PER_ASSETS","FY 2019","FY 2019","Currency=USD","Period=FQ","BEST_FPERIOD_OVERRIDE=FQ","FILING_STATUS=MR","Sort=A","Dates=H","DateFormat=P","Fill=—","Direction=H","UseDPDF=Y")</f>
        <v>—</v>
      </c>
      <c r="W38" s="14" t="str">
        <f>_xll.BDH("AMGN US Equity","ENERGY_INTENSITY_PER_ASSETS","FY 2020","FY 2020","Currency=USD","Period=FQ","BEST_FPERIOD_OVERRIDE=FQ","FILING_STATUS=MR","Sort=A","Dates=H","DateFormat=P","Fill=—","Direction=H","UseDPDF=Y")</f>
        <v>—</v>
      </c>
      <c r="X38" s="14" t="str">
        <f>_xll.BDH("AMGN US Equity","ENERGY_INTENSITY_PER_ASSETS","FY 2021","FY 2021","Currency=USD","Period=FQ","BEST_FPERIOD_OVERRIDE=FQ","FILING_STATUS=MR","Sort=A","Dates=H","DateFormat=P","Fill=—","Direction=H","UseDPDF=Y")</f>
        <v>—</v>
      </c>
      <c r="Y38" s="14" t="str">
        <f>_xll.BDH("AMGN US Equity","ENERGY_INTENSITY_PER_ASSETS","FY 2022","FY 2022","Currency=USD","Period=FQ","BEST_FPERIOD_OVERRIDE=FQ","FILING_STATUS=MR","Sort=A","Dates=H","DateFormat=P","Fill=—","Direction=H","UseDPDF=Y")</f>
        <v>—</v>
      </c>
      <c r="Z38" s="14" t="str">
        <f>_xll.BDH("AMGN US Equity","ENERGY_INTENSITY_PER_ASSETS","FY 2023","FY 2023","Currency=USD","Period=FQ","BEST_FPERIOD_OVERRIDE=FQ","FILING_STATUS=MR","Sort=A","Dates=H","DateFormat=P","Fill=—","Direction=H","UseDPDF=Y")</f>
        <v>—</v>
      </c>
      <c r="AA38" s="14" t="str">
        <f>_xll.BDH("AMGN US Equity","ENERGY_INTENSITY_PER_ASSETS","FY 2024","FY 2024","Currency=USD","Period=FQ","BEST_FPERIOD_OVERRIDE=FQ","FILING_STATUS=MR","Sort=A","Dates=H","DateFormat=P","Fill=—","Direction=H","UseDPDF=Y")</f>
        <v>—</v>
      </c>
    </row>
    <row r="39" spans="1:27" x14ac:dyDescent="0.25">
      <c r="A39" s="10" t="s">
        <v>1960</v>
      </c>
      <c r="B39" s="10" t="s">
        <v>1961</v>
      </c>
      <c r="C39" s="14" t="str">
        <f>_xll.BDH("AMGN US Equity","ALTERNATIVE_FUEL_USE_PCT","FY 2000","FY 2000","Currency=USD","Period=FQ","BEST_FPERIOD_OVERRIDE=FQ","FILING_STATUS=MR","Sort=A","Dates=H","DateFormat=P","Fill=—","Direction=H","UseDPDF=Y")</f>
        <v>—</v>
      </c>
      <c r="D39" s="14" t="str">
        <f>_xll.BDH("AMGN US Equity","ALTERNATIVE_FUEL_USE_PCT","FY 2001","FY 2001","Currency=USD","Period=FQ","BEST_FPERIOD_OVERRIDE=FQ","FILING_STATUS=MR","Sort=A","Dates=H","DateFormat=P","Fill=—","Direction=H","UseDPDF=Y")</f>
        <v>—</v>
      </c>
      <c r="E39" s="14" t="str">
        <f>_xll.BDH("AMGN US Equity","ALTERNATIVE_FUEL_USE_PCT","FY 2002","FY 2002","Currency=USD","Period=FQ","BEST_FPERIOD_OVERRIDE=FQ","FILING_STATUS=MR","Sort=A","Dates=H","DateFormat=P","Fill=—","Direction=H","UseDPDF=Y")</f>
        <v>—</v>
      </c>
      <c r="F39" s="14" t="str">
        <f>_xll.BDH("AMGN US Equity","ALTERNATIVE_FUEL_USE_PCT","FY 2003","FY 2003","Currency=USD","Period=FQ","BEST_FPERIOD_OVERRIDE=FQ","FILING_STATUS=MR","Sort=A","Dates=H","DateFormat=P","Fill=—","Direction=H","UseDPDF=Y")</f>
        <v>—</v>
      </c>
      <c r="G39" s="14" t="str">
        <f>_xll.BDH("AMGN US Equity","ALTERNATIVE_FUEL_USE_PCT","FY 2004","FY 2004","Currency=USD","Period=FQ","BEST_FPERIOD_OVERRIDE=FQ","FILING_STATUS=MR","Sort=A","Dates=H","DateFormat=P","Fill=—","Direction=H","UseDPDF=Y")</f>
        <v>—</v>
      </c>
      <c r="H39" s="14" t="str">
        <f>_xll.BDH("AMGN US Equity","ALTERNATIVE_FUEL_USE_PCT","FY 2005","FY 2005","Currency=USD","Period=FQ","BEST_FPERIOD_OVERRIDE=FQ","FILING_STATUS=MR","Sort=A","Dates=H","DateFormat=P","Fill=—","Direction=H","UseDPDF=Y")</f>
        <v>—</v>
      </c>
      <c r="I39" s="14" t="str">
        <f>_xll.BDH("AMGN US Equity","ALTERNATIVE_FUEL_USE_PCT","FY 2006","FY 2006","Currency=USD","Period=FQ","BEST_FPERIOD_OVERRIDE=FQ","FILING_STATUS=MR","Sort=A","Dates=H","DateFormat=P","Fill=—","Direction=H","UseDPDF=Y")</f>
        <v>—</v>
      </c>
      <c r="J39" s="14" t="str">
        <f>_xll.BDH("AMGN US Equity","ALTERNATIVE_FUEL_USE_PCT","FY 2007","FY 2007","Currency=USD","Period=FQ","BEST_FPERIOD_OVERRIDE=FQ","FILING_STATUS=MR","Sort=A","Dates=H","DateFormat=P","Fill=—","Direction=H","UseDPDF=Y")</f>
        <v>—</v>
      </c>
      <c r="K39" s="14" t="str">
        <f>_xll.BDH("AMGN US Equity","ALTERNATIVE_FUEL_USE_PCT","FY 2008","FY 2008","Currency=USD","Period=FQ","BEST_FPERIOD_OVERRIDE=FQ","FILING_STATUS=MR","Sort=A","Dates=H","DateFormat=P","Fill=—","Direction=H","UseDPDF=Y")</f>
        <v>—</v>
      </c>
      <c r="L39" s="14" t="str">
        <f>_xll.BDH("AMGN US Equity","ALTERNATIVE_FUEL_USE_PCT","FY 2009","FY 2009","Currency=USD","Period=FQ","BEST_FPERIOD_OVERRIDE=FQ","FILING_STATUS=MR","Sort=A","Dates=H","DateFormat=P","Fill=—","Direction=H","UseDPDF=Y")</f>
        <v>—</v>
      </c>
      <c r="M39" s="14" t="str">
        <f>_xll.BDH("AMGN US Equity","ALTERNATIVE_FUEL_USE_PCT","FY 2010","FY 2010","Currency=USD","Period=FQ","BEST_FPERIOD_OVERRIDE=FQ","FILING_STATUS=MR","Sort=A","Dates=H","DateFormat=P","Fill=—","Direction=H","UseDPDF=Y")</f>
        <v>—</v>
      </c>
      <c r="N39" s="14" t="str">
        <f>_xll.BDH("AMGN US Equity","ALTERNATIVE_FUEL_USE_PCT","FY 2011","FY 2011","Currency=USD","Period=FQ","BEST_FPERIOD_OVERRIDE=FQ","FILING_STATUS=MR","Sort=A","Dates=H","DateFormat=P","Fill=—","Direction=H","UseDPDF=Y")</f>
        <v>—</v>
      </c>
      <c r="O39" s="14" t="str">
        <f>_xll.BDH("AMGN US Equity","ALTERNATIVE_FUEL_USE_PCT","FY 2012","FY 2012","Currency=USD","Period=FQ","BEST_FPERIOD_OVERRIDE=FQ","FILING_STATUS=MR","Sort=A","Dates=H","DateFormat=P","Fill=—","Direction=H","UseDPDF=Y")</f>
        <v>—</v>
      </c>
      <c r="P39" s="14" t="str">
        <f>_xll.BDH("AMGN US Equity","ALTERNATIVE_FUEL_USE_PCT","FY 2013","FY 2013","Currency=USD","Period=FQ","BEST_FPERIOD_OVERRIDE=FQ","FILING_STATUS=MR","Sort=A","Dates=H","DateFormat=P","Fill=—","Direction=H","UseDPDF=Y")</f>
        <v>—</v>
      </c>
      <c r="Q39" s="14" t="str">
        <f>_xll.BDH("AMGN US Equity","ALTERNATIVE_FUEL_USE_PCT","FY 2014","FY 2014","Currency=USD","Period=FQ","BEST_FPERIOD_OVERRIDE=FQ","FILING_STATUS=MR","Sort=A","Dates=H","DateFormat=P","Fill=—","Direction=H","UseDPDF=Y")</f>
        <v>—</v>
      </c>
      <c r="R39" s="14" t="str">
        <f>_xll.BDH("AMGN US Equity","ALTERNATIVE_FUEL_USE_PCT","FY 2015","FY 2015","Currency=USD","Period=FQ","BEST_FPERIOD_OVERRIDE=FQ","FILING_STATUS=MR","Sort=A","Dates=H","DateFormat=P","Fill=—","Direction=H","UseDPDF=Y")</f>
        <v>—</v>
      </c>
      <c r="S39" s="14" t="str">
        <f>_xll.BDH("AMGN US Equity","ALTERNATIVE_FUEL_USE_PCT","FY 2016","FY 2016","Currency=USD","Period=FQ","BEST_FPERIOD_OVERRIDE=FQ","FILING_STATUS=MR","Sort=A","Dates=H","DateFormat=P","Fill=—","Direction=H","UseDPDF=Y")</f>
        <v>—</v>
      </c>
      <c r="T39" s="14" t="str">
        <f>_xll.BDH("AMGN US Equity","ALTERNATIVE_FUEL_USE_PCT","FY 2017","FY 2017","Currency=USD","Period=FQ","BEST_FPERIOD_OVERRIDE=FQ","FILING_STATUS=MR","Sort=A","Dates=H","DateFormat=P","Fill=—","Direction=H","UseDPDF=Y")</f>
        <v>—</v>
      </c>
      <c r="U39" s="14" t="str">
        <f>_xll.BDH("AMGN US Equity","ALTERNATIVE_FUEL_USE_PCT","FY 2018","FY 2018","Currency=USD","Period=FQ","BEST_FPERIOD_OVERRIDE=FQ","FILING_STATUS=MR","Sort=A","Dates=H","DateFormat=P","Fill=—","Direction=H","UseDPDF=Y")</f>
        <v>—</v>
      </c>
      <c r="V39" s="14" t="str">
        <f>_xll.BDH("AMGN US Equity","ALTERNATIVE_FUEL_USE_PCT","FY 2019","FY 2019","Currency=USD","Period=FQ","BEST_FPERIOD_OVERRIDE=FQ","FILING_STATUS=MR","Sort=A","Dates=H","DateFormat=P","Fill=—","Direction=H","UseDPDF=Y")</f>
        <v>—</v>
      </c>
      <c r="W39" s="14" t="str">
        <f>_xll.BDH("AMGN US Equity","ALTERNATIVE_FUEL_USE_PCT","FY 2020","FY 2020","Currency=USD","Period=FQ","BEST_FPERIOD_OVERRIDE=FQ","FILING_STATUS=MR","Sort=A","Dates=H","DateFormat=P","Fill=—","Direction=H","UseDPDF=Y")</f>
        <v>—</v>
      </c>
      <c r="X39" s="14" t="str">
        <f>_xll.BDH("AMGN US Equity","ALTERNATIVE_FUEL_USE_PCT","FY 2021","FY 2021","Currency=USD","Period=FQ","BEST_FPERIOD_OVERRIDE=FQ","FILING_STATUS=MR","Sort=A","Dates=H","DateFormat=P","Fill=—","Direction=H","UseDPDF=Y")</f>
        <v>—</v>
      </c>
      <c r="Y39" s="14" t="str">
        <f>_xll.BDH("AMGN US Equity","ALTERNATIVE_FUEL_USE_PCT","FY 2022","FY 2022","Currency=USD","Period=FQ","BEST_FPERIOD_OVERRIDE=FQ","FILING_STATUS=MR","Sort=A","Dates=H","DateFormat=P","Fill=—","Direction=H","UseDPDF=Y")</f>
        <v>—</v>
      </c>
      <c r="Z39" s="14" t="str">
        <f>_xll.BDH("AMGN US Equity","ALTERNATIVE_FUEL_USE_PCT","FY 2023","FY 2023","Currency=USD","Period=FQ","BEST_FPERIOD_OVERRIDE=FQ","FILING_STATUS=MR","Sort=A","Dates=H","DateFormat=P","Fill=—","Direction=H","UseDPDF=Y")</f>
        <v>—</v>
      </c>
      <c r="AA39" s="14" t="str">
        <f>_xll.BDH("AMGN US Equity","ALTERNATIVE_FUEL_USE_PCT","FY 2024","FY 2024","Currency=USD","Period=FQ","BEST_FPERIOD_OVERRIDE=FQ","FILING_STATUS=MR","Sort=A","Dates=H","DateFormat=P","Fill=—","Direction=H","UseDPDF=Y")</f>
        <v>—</v>
      </c>
    </row>
    <row r="40" spans="1:27" x14ac:dyDescent="0.25">
      <c r="A40" s="10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5">
      <c r="A41" s="6" t="s">
        <v>1962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x14ac:dyDescent="0.25">
      <c r="A42" s="10" t="s">
        <v>1963</v>
      </c>
      <c r="B42" s="10" t="s">
        <v>1964</v>
      </c>
      <c r="C42" s="14" t="str">
        <f>_xll.BDH("AMGN US Equity","WATER_INTENSITY_PER_SALES","FY 2000","FY 2000","Currency=USD","Period=FQ","BEST_FPERIOD_OVERRIDE=FQ","FILING_STATUS=MR","FA_ADJUSTED=GAAP","Sort=A","Dates=H","DateFormat=P","Fill=—","Direction=H","UseDPDF=Y")</f>
        <v>—</v>
      </c>
      <c r="D42" s="14" t="str">
        <f>_xll.BDH("AMGN US Equity","WATER_INTENSITY_PER_SALES","FY 2001","FY 2001","Currency=USD","Period=FQ","BEST_FPERIOD_OVERRIDE=FQ","FILING_STATUS=MR","FA_ADJUSTED=GAAP","Sort=A","Dates=H","DateFormat=P","Fill=—","Direction=H","UseDPDF=Y")</f>
        <v>—</v>
      </c>
      <c r="E42" s="14" t="str">
        <f>_xll.BDH("AMGN US Equity","WATER_INTENSITY_PER_SALES","FY 2002","FY 2002","Currency=USD","Period=FQ","BEST_FPERIOD_OVERRIDE=FQ","FILING_STATUS=MR","FA_ADJUSTED=GAAP","Sort=A","Dates=H","DateFormat=P","Fill=—","Direction=H","UseDPDF=Y")</f>
        <v>—</v>
      </c>
      <c r="F42" s="14" t="str">
        <f>_xll.BDH("AMGN US Equity","WATER_INTENSITY_PER_SALES","FY 2003","FY 2003","Currency=USD","Period=FQ","BEST_FPERIOD_OVERRIDE=FQ","FILING_STATUS=MR","FA_ADJUSTED=GAAP","Sort=A","Dates=H","DateFormat=P","Fill=—","Direction=H","UseDPDF=Y")</f>
        <v>—</v>
      </c>
      <c r="G42" s="14" t="str">
        <f>_xll.BDH("AMGN US Equity","WATER_INTENSITY_PER_SALES","FY 2004","FY 2004","Currency=USD","Period=FQ","BEST_FPERIOD_OVERRIDE=FQ","FILING_STATUS=MR","FA_ADJUSTED=GAAP","Sort=A","Dates=H","DateFormat=P","Fill=—","Direction=H","UseDPDF=Y")</f>
        <v>—</v>
      </c>
      <c r="H42" s="14" t="str">
        <f>_xll.BDH("AMGN US Equity","WATER_INTENSITY_PER_SALES","FY 2005","FY 2005","Currency=USD","Period=FQ","BEST_FPERIOD_OVERRIDE=FQ","FILING_STATUS=MR","FA_ADJUSTED=GAAP","Sort=A","Dates=H","DateFormat=P","Fill=—","Direction=H","UseDPDF=Y")</f>
        <v>—</v>
      </c>
      <c r="I42" s="14" t="str">
        <f>_xll.BDH("AMGN US Equity","WATER_INTENSITY_PER_SALES","FY 2006","FY 2006","Currency=USD","Period=FQ","BEST_FPERIOD_OVERRIDE=FQ","FILING_STATUS=MR","FA_ADJUSTED=GAAP","Sort=A","Dates=H","DateFormat=P","Fill=—","Direction=H","UseDPDF=Y")</f>
        <v>—</v>
      </c>
      <c r="J42" s="14" t="str">
        <f>_xll.BDH("AMGN US Equity","WATER_INTENSITY_PER_SALES","FY 2007","FY 2007","Currency=USD","Period=FQ","BEST_FPERIOD_OVERRIDE=FQ","FILING_STATUS=MR","FA_ADJUSTED=GAAP","Sort=A","Dates=H","DateFormat=P","Fill=—","Direction=H","UseDPDF=Y")</f>
        <v>—</v>
      </c>
      <c r="K42" s="14" t="str">
        <f>_xll.BDH("AMGN US Equity","WATER_INTENSITY_PER_SALES","FY 2008","FY 2008","Currency=USD","Period=FQ","BEST_FPERIOD_OVERRIDE=FQ","FILING_STATUS=MR","FA_ADJUSTED=GAAP","Sort=A","Dates=H","DateFormat=P","Fill=—","Direction=H","UseDPDF=Y")</f>
        <v>—</v>
      </c>
      <c r="L42" s="14" t="str">
        <f>_xll.BDH("AMGN US Equity","WATER_INTENSITY_PER_SALES","FY 2009","FY 2009","Currency=USD","Period=FQ","BEST_FPERIOD_OVERRIDE=FQ","FILING_STATUS=MR","FA_ADJUSTED=GAAP","Sort=A","Dates=H","DateFormat=P","Fill=—","Direction=H","UseDPDF=Y")</f>
        <v>—</v>
      </c>
      <c r="M42" s="14" t="str">
        <f>_xll.BDH("AMGN US Equity","WATER_INTENSITY_PER_SALES","FY 2010","FY 2010","Currency=USD","Period=FQ","BEST_FPERIOD_OVERRIDE=FQ","FILING_STATUS=MR","FA_ADJUSTED=GAAP","Sort=A","Dates=H","DateFormat=P","Fill=—","Direction=H","UseDPDF=Y")</f>
        <v>—</v>
      </c>
      <c r="N42" s="14" t="str">
        <f>_xll.BDH("AMGN US Equity","WATER_INTENSITY_PER_SALES","FY 2011","FY 2011","Currency=USD","Period=FQ","BEST_FPERIOD_OVERRIDE=FQ","FILING_STATUS=MR","FA_ADJUSTED=GAAP","Sort=A","Dates=H","DateFormat=P","Fill=—","Direction=H","UseDPDF=Y")</f>
        <v>—</v>
      </c>
      <c r="O42" s="14" t="str">
        <f>_xll.BDH("AMGN US Equity","WATER_INTENSITY_PER_SALES","FY 2012","FY 2012","Currency=USD","Period=FQ","BEST_FPERIOD_OVERRIDE=FQ","FILING_STATUS=MR","FA_ADJUSTED=GAAP","Sort=A","Dates=H","DateFormat=P","Fill=—","Direction=H","UseDPDF=Y")</f>
        <v>—</v>
      </c>
      <c r="P42" s="14" t="str">
        <f>_xll.BDH("AMGN US Equity","WATER_INTENSITY_PER_SALES","FY 2013","FY 2013","Currency=USD","Period=FQ","BEST_FPERIOD_OVERRIDE=FQ","FILING_STATUS=MR","FA_ADJUSTED=GAAP","Sort=A","Dates=H","DateFormat=P","Fill=—","Direction=H","UseDPDF=Y")</f>
        <v>—</v>
      </c>
      <c r="Q42" s="14" t="str">
        <f>_xll.BDH("AMGN US Equity","WATER_INTENSITY_PER_SALES","FY 2014","FY 2014","Currency=USD","Period=FQ","BEST_FPERIOD_OVERRIDE=FQ","FILING_STATUS=MR","FA_ADJUSTED=GAAP","Sort=A","Dates=H","DateFormat=P","Fill=—","Direction=H","UseDPDF=Y")</f>
        <v>—</v>
      </c>
      <c r="R42" s="14" t="str">
        <f>_xll.BDH("AMGN US Equity","WATER_INTENSITY_PER_SALES","FY 2015","FY 2015","Currency=USD","Period=FQ","BEST_FPERIOD_OVERRIDE=FQ","FILING_STATUS=MR","FA_ADJUSTED=GAAP","Sort=A","Dates=H","DateFormat=P","Fill=—","Direction=H","UseDPDF=Y")</f>
        <v>—</v>
      </c>
      <c r="S42" s="14" t="str">
        <f>_xll.BDH("AMGN US Equity","WATER_INTENSITY_PER_SALES","FY 2016","FY 2016","Currency=USD","Period=FQ","BEST_FPERIOD_OVERRIDE=FQ","FILING_STATUS=MR","FA_ADJUSTED=GAAP","Sort=A","Dates=H","DateFormat=P","Fill=—","Direction=H","UseDPDF=Y")</f>
        <v>—</v>
      </c>
      <c r="T42" s="14" t="str">
        <f>_xll.BDH("AMGN US Equity","WATER_INTENSITY_PER_SALES","FY 2017","FY 2017","Currency=USD","Period=FQ","BEST_FPERIOD_OVERRIDE=FQ","FILING_STATUS=MR","FA_ADJUSTED=GAAP","Sort=A","Dates=H","DateFormat=P","Fill=—","Direction=H","UseDPDF=Y")</f>
        <v>—</v>
      </c>
      <c r="U42" s="14" t="str">
        <f>_xll.BDH("AMGN US Equity","WATER_INTENSITY_PER_SALES","FY 2018","FY 2018","Currency=USD","Period=FQ","BEST_FPERIOD_OVERRIDE=FQ","FILING_STATUS=MR","FA_ADJUSTED=GAAP","Sort=A","Dates=H","DateFormat=P","Fill=—","Direction=H","UseDPDF=Y")</f>
        <v>—</v>
      </c>
      <c r="V42" s="14" t="str">
        <f>_xll.BDH("AMGN US Equity","WATER_INTENSITY_PER_SALES","FY 2019","FY 2019","Currency=USD","Period=FQ","BEST_FPERIOD_OVERRIDE=FQ","FILING_STATUS=MR","FA_ADJUSTED=GAAP","Sort=A","Dates=H","DateFormat=P","Fill=—","Direction=H","UseDPDF=Y")</f>
        <v>—</v>
      </c>
      <c r="W42" s="14" t="str">
        <f>_xll.BDH("AMGN US Equity","WATER_INTENSITY_PER_SALES","FY 2020","FY 2020","Currency=USD","Period=FQ","BEST_FPERIOD_OVERRIDE=FQ","FILING_STATUS=MR","FA_ADJUSTED=GAAP","Sort=A","Dates=H","DateFormat=P","Fill=—","Direction=H","UseDPDF=Y")</f>
        <v>—</v>
      </c>
      <c r="X42" s="14" t="str">
        <f>_xll.BDH("AMGN US Equity","WATER_INTENSITY_PER_SALES","FY 2021","FY 2021","Currency=USD","Period=FQ","BEST_FPERIOD_OVERRIDE=FQ","FILING_STATUS=MR","FA_ADJUSTED=GAAP","Sort=A","Dates=H","DateFormat=P","Fill=—","Direction=H","UseDPDF=Y")</f>
        <v>—</v>
      </c>
      <c r="Y42" s="14" t="str">
        <f>_xll.BDH("AMGN US Equity","WATER_INTENSITY_PER_SALES","FY 2022","FY 2022","Currency=USD","Period=FQ","BEST_FPERIOD_OVERRIDE=FQ","FILING_STATUS=MR","FA_ADJUSTED=GAAP","Sort=A","Dates=H","DateFormat=P","Fill=—","Direction=H","UseDPDF=Y")</f>
        <v>—</v>
      </c>
      <c r="Z42" s="14" t="str">
        <f>_xll.BDH("AMGN US Equity","WATER_INTENSITY_PER_SALES","FY 2023","FY 2023","Currency=USD","Period=FQ","BEST_FPERIOD_OVERRIDE=FQ","FILING_STATUS=MR","FA_ADJUSTED=GAAP","Sort=A","Dates=H","DateFormat=P","Fill=—","Direction=H","UseDPDF=Y")</f>
        <v>—</v>
      </c>
      <c r="AA42" s="14" t="str">
        <f>_xll.BDH("AMGN US Equity","WATER_INTENSITY_PER_SALES","FY 2024","FY 2024","Currency=USD","Period=FQ","BEST_FPERIOD_OVERRIDE=FQ","FILING_STATUS=MR","FA_ADJUSTED=GAAP","Sort=A","Dates=H","DateFormat=P","Fill=—","Direction=H","UseDPDF=Y")</f>
        <v>—</v>
      </c>
    </row>
    <row r="43" spans="1:27" x14ac:dyDescent="0.25">
      <c r="A43" s="10" t="s">
        <v>1965</v>
      </c>
      <c r="B43" s="10" t="s">
        <v>1966</v>
      </c>
      <c r="C43" s="14" t="str">
        <f>_xll.BDH("AMGN US Equity","WATER_INTENSITY_PER_EBITDA","FY 2000","FY 2000","Currency=USD","Period=FQ","BEST_FPERIOD_OVERRIDE=FQ","FILING_STATUS=MR","FA_ADJUSTED=GAAP","Sort=A","Dates=H","DateFormat=P","Fill=—","Direction=H","UseDPDF=Y")</f>
        <v>—</v>
      </c>
      <c r="D43" s="14" t="str">
        <f>_xll.BDH("AMGN US Equity","WATER_INTENSITY_PER_EBITDA","FY 2001","FY 2001","Currency=USD","Period=FQ","BEST_FPERIOD_OVERRIDE=FQ","FILING_STATUS=MR","FA_ADJUSTED=GAAP","Sort=A","Dates=H","DateFormat=P","Fill=—","Direction=H","UseDPDF=Y")</f>
        <v>—</v>
      </c>
      <c r="E43" s="14" t="str">
        <f>_xll.BDH("AMGN US Equity","WATER_INTENSITY_PER_EBITDA","FY 2002","FY 2002","Currency=USD","Period=FQ","BEST_FPERIOD_OVERRIDE=FQ","FILING_STATUS=MR","FA_ADJUSTED=GAAP","Sort=A","Dates=H","DateFormat=P","Fill=—","Direction=H","UseDPDF=Y")</f>
        <v>—</v>
      </c>
      <c r="F43" s="14" t="str">
        <f>_xll.BDH("AMGN US Equity","WATER_INTENSITY_PER_EBITDA","FY 2003","FY 2003","Currency=USD","Period=FQ","BEST_FPERIOD_OVERRIDE=FQ","FILING_STATUS=MR","FA_ADJUSTED=GAAP","Sort=A","Dates=H","DateFormat=P","Fill=—","Direction=H","UseDPDF=Y")</f>
        <v>—</v>
      </c>
      <c r="G43" s="14" t="str">
        <f>_xll.BDH("AMGN US Equity","WATER_INTENSITY_PER_EBITDA","FY 2004","FY 2004","Currency=USD","Period=FQ","BEST_FPERIOD_OVERRIDE=FQ","FILING_STATUS=MR","FA_ADJUSTED=GAAP","Sort=A","Dates=H","DateFormat=P","Fill=—","Direction=H","UseDPDF=Y")</f>
        <v>—</v>
      </c>
      <c r="H43" s="14" t="str">
        <f>_xll.BDH("AMGN US Equity","WATER_INTENSITY_PER_EBITDA","FY 2005","FY 2005","Currency=USD","Period=FQ","BEST_FPERIOD_OVERRIDE=FQ","FILING_STATUS=MR","FA_ADJUSTED=GAAP","Sort=A","Dates=H","DateFormat=P","Fill=—","Direction=H","UseDPDF=Y")</f>
        <v>—</v>
      </c>
      <c r="I43" s="14" t="str">
        <f>_xll.BDH("AMGN US Equity","WATER_INTENSITY_PER_EBITDA","FY 2006","FY 2006","Currency=USD","Period=FQ","BEST_FPERIOD_OVERRIDE=FQ","FILING_STATUS=MR","FA_ADJUSTED=GAAP","Sort=A","Dates=H","DateFormat=P","Fill=—","Direction=H","UseDPDF=Y")</f>
        <v>—</v>
      </c>
      <c r="J43" s="14" t="str">
        <f>_xll.BDH("AMGN US Equity","WATER_INTENSITY_PER_EBITDA","FY 2007","FY 2007","Currency=USD","Period=FQ","BEST_FPERIOD_OVERRIDE=FQ","FILING_STATUS=MR","FA_ADJUSTED=GAAP","Sort=A","Dates=H","DateFormat=P","Fill=—","Direction=H","UseDPDF=Y")</f>
        <v>—</v>
      </c>
      <c r="K43" s="14" t="str">
        <f>_xll.BDH("AMGN US Equity","WATER_INTENSITY_PER_EBITDA","FY 2008","FY 2008","Currency=USD","Period=FQ","BEST_FPERIOD_OVERRIDE=FQ","FILING_STATUS=MR","FA_ADJUSTED=GAAP","Sort=A","Dates=H","DateFormat=P","Fill=—","Direction=H","UseDPDF=Y")</f>
        <v>—</v>
      </c>
      <c r="L43" s="14" t="str">
        <f>_xll.BDH("AMGN US Equity","WATER_INTENSITY_PER_EBITDA","FY 2009","FY 2009","Currency=USD","Period=FQ","BEST_FPERIOD_OVERRIDE=FQ","FILING_STATUS=MR","FA_ADJUSTED=GAAP","Sort=A","Dates=H","DateFormat=P","Fill=—","Direction=H","UseDPDF=Y")</f>
        <v>—</v>
      </c>
      <c r="M43" s="14" t="str">
        <f>_xll.BDH("AMGN US Equity","WATER_INTENSITY_PER_EBITDA","FY 2010","FY 2010","Currency=USD","Period=FQ","BEST_FPERIOD_OVERRIDE=FQ","FILING_STATUS=MR","FA_ADJUSTED=GAAP","Sort=A","Dates=H","DateFormat=P","Fill=—","Direction=H","UseDPDF=Y")</f>
        <v>—</v>
      </c>
      <c r="N43" s="14" t="str">
        <f>_xll.BDH("AMGN US Equity","WATER_INTENSITY_PER_EBITDA","FY 2011","FY 2011","Currency=USD","Period=FQ","BEST_FPERIOD_OVERRIDE=FQ","FILING_STATUS=MR","FA_ADJUSTED=GAAP","Sort=A","Dates=H","DateFormat=P","Fill=—","Direction=H","UseDPDF=Y")</f>
        <v>—</v>
      </c>
      <c r="O43" s="14" t="str">
        <f>_xll.BDH("AMGN US Equity","WATER_INTENSITY_PER_EBITDA","FY 2012","FY 2012","Currency=USD","Period=FQ","BEST_FPERIOD_OVERRIDE=FQ","FILING_STATUS=MR","FA_ADJUSTED=GAAP","Sort=A","Dates=H","DateFormat=P","Fill=—","Direction=H","UseDPDF=Y")</f>
        <v>—</v>
      </c>
      <c r="P43" s="14" t="str">
        <f>_xll.BDH("AMGN US Equity","WATER_INTENSITY_PER_EBITDA","FY 2013","FY 2013","Currency=USD","Period=FQ","BEST_FPERIOD_OVERRIDE=FQ","FILING_STATUS=MR","FA_ADJUSTED=GAAP","Sort=A","Dates=H","DateFormat=P","Fill=—","Direction=H","UseDPDF=Y")</f>
        <v>—</v>
      </c>
      <c r="Q43" s="14" t="str">
        <f>_xll.BDH("AMGN US Equity","WATER_INTENSITY_PER_EBITDA","FY 2014","FY 2014","Currency=USD","Period=FQ","BEST_FPERIOD_OVERRIDE=FQ","FILING_STATUS=MR","FA_ADJUSTED=GAAP","Sort=A","Dates=H","DateFormat=P","Fill=—","Direction=H","UseDPDF=Y")</f>
        <v>—</v>
      </c>
      <c r="R43" s="14" t="str">
        <f>_xll.BDH("AMGN US Equity","WATER_INTENSITY_PER_EBITDA","FY 2015","FY 2015","Currency=USD","Period=FQ","BEST_FPERIOD_OVERRIDE=FQ","FILING_STATUS=MR","FA_ADJUSTED=GAAP","Sort=A","Dates=H","DateFormat=P","Fill=—","Direction=H","UseDPDF=Y")</f>
        <v>—</v>
      </c>
      <c r="S43" s="14" t="str">
        <f>_xll.BDH("AMGN US Equity","WATER_INTENSITY_PER_EBITDA","FY 2016","FY 2016","Currency=USD","Period=FQ","BEST_FPERIOD_OVERRIDE=FQ","FILING_STATUS=MR","FA_ADJUSTED=GAAP","Sort=A","Dates=H","DateFormat=P","Fill=—","Direction=H","UseDPDF=Y")</f>
        <v>—</v>
      </c>
      <c r="T43" s="14" t="str">
        <f>_xll.BDH("AMGN US Equity","WATER_INTENSITY_PER_EBITDA","FY 2017","FY 2017","Currency=USD","Period=FQ","BEST_FPERIOD_OVERRIDE=FQ","FILING_STATUS=MR","FA_ADJUSTED=GAAP","Sort=A","Dates=H","DateFormat=P","Fill=—","Direction=H","UseDPDF=Y")</f>
        <v>—</v>
      </c>
      <c r="U43" s="14" t="str">
        <f>_xll.BDH("AMGN US Equity","WATER_INTENSITY_PER_EBITDA","FY 2018","FY 2018","Currency=USD","Period=FQ","BEST_FPERIOD_OVERRIDE=FQ","FILING_STATUS=MR","FA_ADJUSTED=GAAP","Sort=A","Dates=H","DateFormat=P","Fill=—","Direction=H","UseDPDF=Y")</f>
        <v>—</v>
      </c>
      <c r="V43" s="14" t="str">
        <f>_xll.BDH("AMGN US Equity","WATER_INTENSITY_PER_EBITDA","FY 2019","FY 2019","Currency=USD","Period=FQ","BEST_FPERIOD_OVERRIDE=FQ","FILING_STATUS=MR","FA_ADJUSTED=GAAP","Sort=A","Dates=H","DateFormat=P","Fill=—","Direction=H","UseDPDF=Y")</f>
        <v>—</v>
      </c>
      <c r="W43" s="14" t="str">
        <f>_xll.BDH("AMGN US Equity","WATER_INTENSITY_PER_EBITDA","FY 2020","FY 2020","Currency=USD","Period=FQ","BEST_FPERIOD_OVERRIDE=FQ","FILING_STATUS=MR","FA_ADJUSTED=GAAP","Sort=A","Dates=H","DateFormat=P","Fill=—","Direction=H","UseDPDF=Y")</f>
        <v>—</v>
      </c>
      <c r="X43" s="14" t="str">
        <f>_xll.BDH("AMGN US Equity","WATER_INTENSITY_PER_EBITDA","FY 2021","FY 2021","Currency=USD","Period=FQ","BEST_FPERIOD_OVERRIDE=FQ","FILING_STATUS=MR","FA_ADJUSTED=GAAP","Sort=A","Dates=H","DateFormat=P","Fill=—","Direction=H","UseDPDF=Y")</f>
        <v>—</v>
      </c>
      <c r="Y43" s="14" t="str">
        <f>_xll.BDH("AMGN US Equity","WATER_INTENSITY_PER_EBITDA","FY 2022","FY 2022","Currency=USD","Period=FQ","BEST_FPERIOD_OVERRIDE=FQ","FILING_STATUS=MR","FA_ADJUSTED=GAAP","Sort=A","Dates=H","DateFormat=P","Fill=—","Direction=H","UseDPDF=Y")</f>
        <v>—</v>
      </c>
      <c r="Z43" s="14" t="str">
        <f>_xll.BDH("AMGN US Equity","WATER_INTENSITY_PER_EBITDA","FY 2023","FY 2023","Currency=USD","Period=FQ","BEST_FPERIOD_OVERRIDE=FQ","FILING_STATUS=MR","FA_ADJUSTED=GAAP","Sort=A","Dates=H","DateFormat=P","Fill=—","Direction=H","UseDPDF=Y")</f>
        <v>—</v>
      </c>
      <c r="AA43" s="14" t="str">
        <f>_xll.BDH("AMGN US Equity","WATER_INTENSITY_PER_EBITDA","FY 2024","FY 2024","Currency=USD","Period=FQ","BEST_FPERIOD_OVERRIDE=FQ","FILING_STATUS=MR","FA_ADJUSTED=GAAP","Sort=A","Dates=H","DateFormat=P","Fill=—","Direction=H","UseDPDF=Y")</f>
        <v>—</v>
      </c>
    </row>
    <row r="44" spans="1:27" x14ac:dyDescent="0.25">
      <c r="A44" s="10" t="s">
        <v>1967</v>
      </c>
      <c r="B44" s="10" t="s">
        <v>1968</v>
      </c>
      <c r="C44" s="14" t="str">
        <f>_xll.BDH("AMGN US Equity","WATER_INTENSITY_PER_ENERGY","FY 2000","FY 2000","Currency=USD","Period=FQ","BEST_FPERIOD_OVERRIDE=FQ","FILING_STATUS=MR","Sort=A","Dates=H","DateFormat=P","Fill=—","Direction=H","UseDPDF=Y")</f>
        <v>—</v>
      </c>
      <c r="D44" s="14" t="str">
        <f>_xll.BDH("AMGN US Equity","WATER_INTENSITY_PER_ENERGY","FY 2001","FY 2001","Currency=USD","Period=FQ","BEST_FPERIOD_OVERRIDE=FQ","FILING_STATUS=MR","Sort=A","Dates=H","DateFormat=P","Fill=—","Direction=H","UseDPDF=Y")</f>
        <v>—</v>
      </c>
      <c r="E44" s="14" t="str">
        <f>_xll.BDH("AMGN US Equity","WATER_INTENSITY_PER_ENERGY","FY 2002","FY 2002","Currency=USD","Period=FQ","BEST_FPERIOD_OVERRIDE=FQ","FILING_STATUS=MR","Sort=A","Dates=H","DateFormat=P","Fill=—","Direction=H","UseDPDF=Y")</f>
        <v>—</v>
      </c>
      <c r="F44" s="14" t="str">
        <f>_xll.BDH("AMGN US Equity","WATER_INTENSITY_PER_ENERGY","FY 2003","FY 2003","Currency=USD","Period=FQ","BEST_FPERIOD_OVERRIDE=FQ","FILING_STATUS=MR","Sort=A","Dates=H","DateFormat=P","Fill=—","Direction=H","UseDPDF=Y")</f>
        <v>—</v>
      </c>
      <c r="G44" s="14" t="str">
        <f>_xll.BDH("AMGN US Equity","WATER_INTENSITY_PER_ENERGY","FY 2004","FY 2004","Currency=USD","Period=FQ","BEST_FPERIOD_OVERRIDE=FQ","FILING_STATUS=MR","Sort=A","Dates=H","DateFormat=P","Fill=—","Direction=H","UseDPDF=Y")</f>
        <v>—</v>
      </c>
      <c r="H44" s="14" t="str">
        <f>_xll.BDH("AMGN US Equity","WATER_INTENSITY_PER_ENERGY","FY 2005","FY 2005","Currency=USD","Period=FQ","BEST_FPERIOD_OVERRIDE=FQ","FILING_STATUS=MR","Sort=A","Dates=H","DateFormat=P","Fill=—","Direction=H","UseDPDF=Y")</f>
        <v>—</v>
      </c>
      <c r="I44" s="14" t="str">
        <f>_xll.BDH("AMGN US Equity","WATER_INTENSITY_PER_ENERGY","FY 2006","FY 2006","Currency=USD","Period=FQ","BEST_FPERIOD_OVERRIDE=FQ","FILING_STATUS=MR","Sort=A","Dates=H","DateFormat=P","Fill=—","Direction=H","UseDPDF=Y")</f>
        <v>—</v>
      </c>
      <c r="J44" s="14" t="str">
        <f>_xll.BDH("AMGN US Equity","WATER_INTENSITY_PER_ENERGY","FY 2007","FY 2007","Currency=USD","Period=FQ","BEST_FPERIOD_OVERRIDE=FQ","FILING_STATUS=MR","Sort=A","Dates=H","DateFormat=P","Fill=—","Direction=H","UseDPDF=Y")</f>
        <v>—</v>
      </c>
      <c r="K44" s="14" t="str">
        <f>_xll.BDH("AMGN US Equity","WATER_INTENSITY_PER_ENERGY","FY 2008","FY 2008","Currency=USD","Period=FQ","BEST_FPERIOD_OVERRIDE=FQ","FILING_STATUS=MR","Sort=A","Dates=H","DateFormat=P","Fill=—","Direction=H","UseDPDF=Y")</f>
        <v>—</v>
      </c>
      <c r="L44" s="14" t="str">
        <f>_xll.BDH("AMGN US Equity","WATER_INTENSITY_PER_ENERGY","FY 2009","FY 2009","Currency=USD","Period=FQ","BEST_FPERIOD_OVERRIDE=FQ","FILING_STATUS=MR","Sort=A","Dates=H","DateFormat=P","Fill=—","Direction=H","UseDPDF=Y")</f>
        <v>—</v>
      </c>
      <c r="M44" s="14" t="str">
        <f>_xll.BDH("AMGN US Equity","WATER_INTENSITY_PER_ENERGY","FY 2010","FY 2010","Currency=USD","Period=FQ","BEST_FPERIOD_OVERRIDE=FQ","FILING_STATUS=MR","Sort=A","Dates=H","DateFormat=P","Fill=—","Direction=H","UseDPDF=Y")</f>
        <v>—</v>
      </c>
      <c r="N44" s="14" t="str">
        <f>_xll.BDH("AMGN US Equity","WATER_INTENSITY_PER_ENERGY","FY 2011","FY 2011","Currency=USD","Period=FQ","BEST_FPERIOD_OVERRIDE=FQ","FILING_STATUS=MR","Sort=A","Dates=H","DateFormat=P","Fill=—","Direction=H","UseDPDF=Y")</f>
        <v>—</v>
      </c>
      <c r="O44" s="14" t="str">
        <f>_xll.BDH("AMGN US Equity","WATER_INTENSITY_PER_ENERGY","FY 2012","FY 2012","Currency=USD","Period=FQ","BEST_FPERIOD_OVERRIDE=FQ","FILING_STATUS=MR","Sort=A","Dates=H","DateFormat=P","Fill=—","Direction=H","UseDPDF=Y")</f>
        <v>—</v>
      </c>
      <c r="P44" s="14" t="str">
        <f>_xll.BDH("AMGN US Equity","WATER_INTENSITY_PER_ENERGY","FY 2013","FY 2013","Currency=USD","Period=FQ","BEST_FPERIOD_OVERRIDE=FQ","FILING_STATUS=MR","Sort=A","Dates=H","DateFormat=P","Fill=—","Direction=H","UseDPDF=Y")</f>
        <v>—</v>
      </c>
      <c r="Q44" s="14" t="str">
        <f>_xll.BDH("AMGN US Equity","WATER_INTENSITY_PER_ENERGY","FY 2014","FY 2014","Currency=USD","Period=FQ","BEST_FPERIOD_OVERRIDE=FQ","FILING_STATUS=MR","Sort=A","Dates=H","DateFormat=P","Fill=—","Direction=H","UseDPDF=Y")</f>
        <v>—</v>
      </c>
      <c r="R44" s="14" t="str">
        <f>_xll.BDH("AMGN US Equity","WATER_INTENSITY_PER_ENERGY","FY 2015","FY 2015","Currency=USD","Period=FQ","BEST_FPERIOD_OVERRIDE=FQ","FILING_STATUS=MR","Sort=A","Dates=H","DateFormat=P","Fill=—","Direction=H","UseDPDF=Y")</f>
        <v>—</v>
      </c>
      <c r="S44" s="14" t="str">
        <f>_xll.BDH("AMGN US Equity","WATER_INTENSITY_PER_ENERGY","FY 2016","FY 2016","Currency=USD","Period=FQ","BEST_FPERIOD_OVERRIDE=FQ","FILING_STATUS=MR","Sort=A","Dates=H","DateFormat=P","Fill=—","Direction=H","UseDPDF=Y")</f>
        <v>—</v>
      </c>
      <c r="T44" s="14" t="str">
        <f>_xll.BDH("AMGN US Equity","WATER_INTENSITY_PER_ENERGY","FY 2017","FY 2017","Currency=USD","Period=FQ","BEST_FPERIOD_OVERRIDE=FQ","FILING_STATUS=MR","Sort=A","Dates=H","DateFormat=P","Fill=—","Direction=H","UseDPDF=Y")</f>
        <v>—</v>
      </c>
      <c r="U44" s="14" t="str">
        <f>_xll.BDH("AMGN US Equity","WATER_INTENSITY_PER_ENERGY","FY 2018","FY 2018","Currency=USD","Period=FQ","BEST_FPERIOD_OVERRIDE=FQ","FILING_STATUS=MR","Sort=A","Dates=H","DateFormat=P","Fill=—","Direction=H","UseDPDF=Y")</f>
        <v>—</v>
      </c>
      <c r="V44" s="14" t="str">
        <f>_xll.BDH("AMGN US Equity","WATER_INTENSITY_PER_ENERGY","FY 2019","FY 2019","Currency=USD","Period=FQ","BEST_FPERIOD_OVERRIDE=FQ","FILING_STATUS=MR","Sort=A","Dates=H","DateFormat=P","Fill=—","Direction=H","UseDPDF=Y")</f>
        <v>—</v>
      </c>
      <c r="W44" s="14" t="str">
        <f>_xll.BDH("AMGN US Equity","WATER_INTENSITY_PER_ENERGY","FY 2020","FY 2020","Currency=USD","Period=FQ","BEST_FPERIOD_OVERRIDE=FQ","FILING_STATUS=MR","Sort=A","Dates=H","DateFormat=P","Fill=—","Direction=H","UseDPDF=Y")</f>
        <v>—</v>
      </c>
      <c r="X44" s="14" t="str">
        <f>_xll.BDH("AMGN US Equity","WATER_INTENSITY_PER_ENERGY","FY 2021","FY 2021","Currency=USD","Period=FQ","BEST_FPERIOD_OVERRIDE=FQ","FILING_STATUS=MR","Sort=A","Dates=H","DateFormat=P","Fill=—","Direction=H","UseDPDF=Y")</f>
        <v>—</v>
      </c>
      <c r="Y44" s="14" t="str">
        <f>_xll.BDH("AMGN US Equity","WATER_INTENSITY_PER_ENERGY","FY 2022","FY 2022","Currency=USD","Period=FQ","BEST_FPERIOD_OVERRIDE=FQ","FILING_STATUS=MR","Sort=A","Dates=H","DateFormat=P","Fill=—","Direction=H","UseDPDF=Y")</f>
        <v>—</v>
      </c>
      <c r="Z44" s="14" t="str">
        <f>_xll.BDH("AMGN US Equity","WATER_INTENSITY_PER_ENERGY","FY 2023","FY 2023","Currency=USD","Period=FQ","BEST_FPERIOD_OVERRIDE=FQ","FILING_STATUS=MR","Sort=A","Dates=H","DateFormat=P","Fill=—","Direction=H","UseDPDF=Y")</f>
        <v>—</v>
      </c>
      <c r="AA44" s="14" t="str">
        <f>_xll.BDH("AMGN US Equity","WATER_INTENSITY_PER_ENERGY","FY 2024","FY 2024","Currency=USD","Period=FQ","BEST_FPERIOD_OVERRIDE=FQ","FILING_STATUS=MR","Sort=A","Dates=H","DateFormat=P","Fill=—","Direction=H","UseDPDF=Y")</f>
        <v>—</v>
      </c>
    </row>
    <row r="45" spans="1:27" x14ac:dyDescent="0.25">
      <c r="A45" s="10" t="s">
        <v>1969</v>
      </c>
      <c r="B45" s="10" t="s">
        <v>1970</v>
      </c>
      <c r="C45" s="14" t="str">
        <f>_xll.BDH("AMGN US Equity","WATER_INTENSITY_PER_EMPLOYEE","FY 2000","FY 2000","Currency=USD","Period=FQ","BEST_FPERIOD_OVERRIDE=FQ","FILING_STATUS=MR","Sort=A","Dates=H","DateFormat=P","Fill=—","Direction=H","UseDPDF=Y")</f>
        <v>—</v>
      </c>
      <c r="D45" s="14" t="str">
        <f>_xll.BDH("AMGN US Equity","WATER_INTENSITY_PER_EMPLOYEE","FY 2001","FY 2001","Currency=USD","Period=FQ","BEST_FPERIOD_OVERRIDE=FQ","FILING_STATUS=MR","Sort=A","Dates=H","DateFormat=P","Fill=—","Direction=H","UseDPDF=Y")</f>
        <v>—</v>
      </c>
      <c r="E45" s="14" t="str">
        <f>_xll.BDH("AMGN US Equity","WATER_INTENSITY_PER_EMPLOYEE","FY 2002","FY 2002","Currency=USD","Period=FQ","BEST_FPERIOD_OVERRIDE=FQ","FILING_STATUS=MR","Sort=A","Dates=H","DateFormat=P","Fill=—","Direction=H","UseDPDF=Y")</f>
        <v>—</v>
      </c>
      <c r="F45" s="14" t="str">
        <f>_xll.BDH("AMGN US Equity","WATER_INTENSITY_PER_EMPLOYEE","FY 2003","FY 2003","Currency=USD","Period=FQ","BEST_FPERIOD_OVERRIDE=FQ","FILING_STATUS=MR","Sort=A","Dates=H","DateFormat=P","Fill=—","Direction=H","UseDPDF=Y")</f>
        <v>—</v>
      </c>
      <c r="G45" s="14" t="str">
        <f>_xll.BDH("AMGN US Equity","WATER_INTENSITY_PER_EMPLOYEE","FY 2004","FY 2004","Currency=USD","Period=FQ","BEST_FPERIOD_OVERRIDE=FQ","FILING_STATUS=MR","Sort=A","Dates=H","DateFormat=P","Fill=—","Direction=H","UseDPDF=Y")</f>
        <v>—</v>
      </c>
      <c r="H45" s="14" t="str">
        <f>_xll.BDH("AMGN US Equity","WATER_INTENSITY_PER_EMPLOYEE","FY 2005","FY 2005","Currency=USD","Period=FQ","BEST_FPERIOD_OVERRIDE=FQ","FILING_STATUS=MR","Sort=A","Dates=H","DateFormat=P","Fill=—","Direction=H","UseDPDF=Y")</f>
        <v>—</v>
      </c>
      <c r="I45" s="14" t="str">
        <f>_xll.BDH("AMGN US Equity","WATER_INTENSITY_PER_EMPLOYEE","FY 2006","FY 2006","Currency=USD","Period=FQ","BEST_FPERIOD_OVERRIDE=FQ","FILING_STATUS=MR","Sort=A","Dates=H","DateFormat=P","Fill=—","Direction=H","UseDPDF=Y")</f>
        <v>—</v>
      </c>
      <c r="J45" s="14" t="str">
        <f>_xll.BDH("AMGN US Equity","WATER_INTENSITY_PER_EMPLOYEE","FY 2007","FY 2007","Currency=USD","Period=FQ","BEST_FPERIOD_OVERRIDE=FQ","FILING_STATUS=MR","Sort=A","Dates=H","DateFormat=P","Fill=—","Direction=H","UseDPDF=Y")</f>
        <v>—</v>
      </c>
      <c r="K45" s="14" t="str">
        <f>_xll.BDH("AMGN US Equity","WATER_INTENSITY_PER_EMPLOYEE","FY 2008","FY 2008","Currency=USD","Period=FQ","BEST_FPERIOD_OVERRIDE=FQ","FILING_STATUS=MR","Sort=A","Dates=H","DateFormat=P","Fill=—","Direction=H","UseDPDF=Y")</f>
        <v>—</v>
      </c>
      <c r="L45" s="14" t="str">
        <f>_xll.BDH("AMGN US Equity","WATER_INTENSITY_PER_EMPLOYEE","FY 2009","FY 2009","Currency=USD","Period=FQ","BEST_FPERIOD_OVERRIDE=FQ","FILING_STATUS=MR","Sort=A","Dates=H","DateFormat=P","Fill=—","Direction=H","UseDPDF=Y")</f>
        <v>—</v>
      </c>
      <c r="M45" s="14" t="str">
        <f>_xll.BDH("AMGN US Equity","WATER_INTENSITY_PER_EMPLOYEE","FY 2010","FY 2010","Currency=USD","Period=FQ","BEST_FPERIOD_OVERRIDE=FQ","FILING_STATUS=MR","Sort=A","Dates=H","DateFormat=P","Fill=—","Direction=H","UseDPDF=Y")</f>
        <v>—</v>
      </c>
      <c r="N45" s="14" t="str">
        <f>_xll.BDH("AMGN US Equity","WATER_INTENSITY_PER_EMPLOYEE","FY 2011","FY 2011","Currency=USD","Period=FQ","BEST_FPERIOD_OVERRIDE=FQ","FILING_STATUS=MR","Sort=A","Dates=H","DateFormat=P","Fill=—","Direction=H","UseDPDF=Y")</f>
        <v>—</v>
      </c>
      <c r="O45" s="14" t="str">
        <f>_xll.BDH("AMGN US Equity","WATER_INTENSITY_PER_EMPLOYEE","FY 2012","FY 2012","Currency=USD","Period=FQ","BEST_FPERIOD_OVERRIDE=FQ","FILING_STATUS=MR","Sort=A","Dates=H","DateFormat=P","Fill=—","Direction=H","UseDPDF=Y")</f>
        <v>—</v>
      </c>
      <c r="P45" s="14" t="str">
        <f>_xll.BDH("AMGN US Equity","WATER_INTENSITY_PER_EMPLOYEE","FY 2013","FY 2013","Currency=USD","Period=FQ","BEST_FPERIOD_OVERRIDE=FQ","FILING_STATUS=MR","Sort=A","Dates=H","DateFormat=P","Fill=—","Direction=H","UseDPDF=Y")</f>
        <v>—</v>
      </c>
      <c r="Q45" s="14" t="str">
        <f>_xll.BDH("AMGN US Equity","WATER_INTENSITY_PER_EMPLOYEE","FY 2014","FY 2014","Currency=USD","Period=FQ","BEST_FPERIOD_OVERRIDE=FQ","FILING_STATUS=MR","Sort=A","Dates=H","DateFormat=P","Fill=—","Direction=H","UseDPDF=Y")</f>
        <v>—</v>
      </c>
      <c r="R45" s="14" t="str">
        <f>_xll.BDH("AMGN US Equity","WATER_INTENSITY_PER_EMPLOYEE","FY 2015","FY 2015","Currency=USD","Period=FQ","BEST_FPERIOD_OVERRIDE=FQ","FILING_STATUS=MR","Sort=A","Dates=H","DateFormat=P","Fill=—","Direction=H","UseDPDF=Y")</f>
        <v>—</v>
      </c>
      <c r="S45" s="14" t="str">
        <f>_xll.BDH("AMGN US Equity","WATER_INTENSITY_PER_EMPLOYEE","FY 2016","FY 2016","Currency=USD","Period=FQ","BEST_FPERIOD_OVERRIDE=FQ","FILING_STATUS=MR","Sort=A","Dates=H","DateFormat=P","Fill=—","Direction=H","UseDPDF=Y")</f>
        <v>—</v>
      </c>
      <c r="T45" s="14" t="str">
        <f>_xll.BDH("AMGN US Equity","WATER_INTENSITY_PER_EMPLOYEE","FY 2017","FY 2017","Currency=USD","Period=FQ","BEST_FPERIOD_OVERRIDE=FQ","FILING_STATUS=MR","Sort=A","Dates=H","DateFormat=P","Fill=—","Direction=H","UseDPDF=Y")</f>
        <v>—</v>
      </c>
      <c r="U45" s="14" t="str">
        <f>_xll.BDH("AMGN US Equity","WATER_INTENSITY_PER_EMPLOYEE","FY 2018","FY 2018","Currency=USD","Period=FQ","BEST_FPERIOD_OVERRIDE=FQ","FILING_STATUS=MR","Sort=A","Dates=H","DateFormat=P","Fill=—","Direction=H","UseDPDF=Y")</f>
        <v>—</v>
      </c>
      <c r="V45" s="14" t="str">
        <f>_xll.BDH("AMGN US Equity","WATER_INTENSITY_PER_EMPLOYEE","FY 2019","FY 2019","Currency=USD","Period=FQ","BEST_FPERIOD_OVERRIDE=FQ","FILING_STATUS=MR","Sort=A","Dates=H","DateFormat=P","Fill=—","Direction=H","UseDPDF=Y")</f>
        <v>—</v>
      </c>
      <c r="W45" s="14" t="str">
        <f>_xll.BDH("AMGN US Equity","WATER_INTENSITY_PER_EMPLOYEE","FY 2020","FY 2020","Currency=USD","Period=FQ","BEST_FPERIOD_OVERRIDE=FQ","FILING_STATUS=MR","Sort=A","Dates=H","DateFormat=P","Fill=—","Direction=H","UseDPDF=Y")</f>
        <v>—</v>
      </c>
      <c r="X45" s="14" t="str">
        <f>_xll.BDH("AMGN US Equity","WATER_INTENSITY_PER_EMPLOYEE","FY 2021","FY 2021","Currency=USD","Period=FQ","BEST_FPERIOD_OVERRIDE=FQ","FILING_STATUS=MR","Sort=A","Dates=H","DateFormat=P","Fill=—","Direction=H","UseDPDF=Y")</f>
        <v>—</v>
      </c>
      <c r="Y45" s="14" t="str">
        <f>_xll.BDH("AMGN US Equity","WATER_INTENSITY_PER_EMPLOYEE","FY 2022","FY 2022","Currency=USD","Period=FQ","BEST_FPERIOD_OVERRIDE=FQ","FILING_STATUS=MR","Sort=A","Dates=H","DateFormat=P","Fill=—","Direction=H","UseDPDF=Y")</f>
        <v>—</v>
      </c>
      <c r="Z45" s="14" t="str">
        <f>_xll.BDH("AMGN US Equity","WATER_INTENSITY_PER_EMPLOYEE","FY 2023","FY 2023","Currency=USD","Period=FQ","BEST_FPERIOD_OVERRIDE=FQ","FILING_STATUS=MR","Sort=A","Dates=H","DateFormat=P","Fill=—","Direction=H","UseDPDF=Y")</f>
        <v>—</v>
      </c>
      <c r="AA45" s="14" t="str">
        <f>_xll.BDH("AMGN US Equity","WATER_INTENSITY_PER_EMPLOYEE","FY 2024","FY 2024","Currency=USD","Period=FQ","BEST_FPERIOD_OVERRIDE=FQ","FILING_STATUS=MR","Sort=A","Dates=H","DateFormat=P","Fill=—","Direction=H","UseDPDF=Y")</f>
        <v>—</v>
      </c>
    </row>
    <row r="46" spans="1:27" x14ac:dyDescent="0.25">
      <c r="A46" s="10" t="s">
        <v>1971</v>
      </c>
      <c r="B46" s="10" t="s">
        <v>1972</v>
      </c>
      <c r="C46" s="14" t="str">
        <f>_xll.BDH("AMGN US Equity","WATER_INTENSITY_PER_ASSETS","FY 2000","FY 2000","Currency=USD","Period=FQ","BEST_FPERIOD_OVERRIDE=FQ","FILING_STATUS=MR","Sort=A","Dates=H","DateFormat=P","Fill=—","Direction=H","UseDPDF=Y")</f>
        <v>—</v>
      </c>
      <c r="D46" s="14" t="str">
        <f>_xll.BDH("AMGN US Equity","WATER_INTENSITY_PER_ASSETS","FY 2001","FY 2001","Currency=USD","Period=FQ","BEST_FPERIOD_OVERRIDE=FQ","FILING_STATUS=MR","Sort=A","Dates=H","DateFormat=P","Fill=—","Direction=H","UseDPDF=Y")</f>
        <v>—</v>
      </c>
      <c r="E46" s="14" t="str">
        <f>_xll.BDH("AMGN US Equity","WATER_INTENSITY_PER_ASSETS","FY 2002","FY 2002","Currency=USD","Period=FQ","BEST_FPERIOD_OVERRIDE=FQ","FILING_STATUS=MR","Sort=A","Dates=H","DateFormat=P","Fill=—","Direction=H","UseDPDF=Y")</f>
        <v>—</v>
      </c>
      <c r="F46" s="14" t="str">
        <f>_xll.BDH("AMGN US Equity","WATER_INTENSITY_PER_ASSETS","FY 2003","FY 2003","Currency=USD","Period=FQ","BEST_FPERIOD_OVERRIDE=FQ","FILING_STATUS=MR","Sort=A","Dates=H","DateFormat=P","Fill=—","Direction=H","UseDPDF=Y")</f>
        <v>—</v>
      </c>
      <c r="G46" s="14" t="str">
        <f>_xll.BDH("AMGN US Equity","WATER_INTENSITY_PER_ASSETS","FY 2004","FY 2004","Currency=USD","Period=FQ","BEST_FPERIOD_OVERRIDE=FQ","FILING_STATUS=MR","Sort=A","Dates=H","DateFormat=P","Fill=—","Direction=H","UseDPDF=Y")</f>
        <v>—</v>
      </c>
      <c r="H46" s="14" t="str">
        <f>_xll.BDH("AMGN US Equity","WATER_INTENSITY_PER_ASSETS","FY 2005","FY 2005","Currency=USD","Period=FQ","BEST_FPERIOD_OVERRIDE=FQ","FILING_STATUS=MR","Sort=A","Dates=H","DateFormat=P","Fill=—","Direction=H","UseDPDF=Y")</f>
        <v>—</v>
      </c>
      <c r="I46" s="14" t="str">
        <f>_xll.BDH("AMGN US Equity","WATER_INTENSITY_PER_ASSETS","FY 2006","FY 2006","Currency=USD","Period=FQ","BEST_FPERIOD_OVERRIDE=FQ","FILING_STATUS=MR","Sort=A","Dates=H","DateFormat=P","Fill=—","Direction=H","UseDPDF=Y")</f>
        <v>—</v>
      </c>
      <c r="J46" s="14" t="str">
        <f>_xll.BDH("AMGN US Equity","WATER_INTENSITY_PER_ASSETS","FY 2007","FY 2007","Currency=USD","Period=FQ","BEST_FPERIOD_OVERRIDE=FQ","FILING_STATUS=MR","Sort=A","Dates=H","DateFormat=P","Fill=—","Direction=H","UseDPDF=Y")</f>
        <v>—</v>
      </c>
      <c r="K46" s="14" t="str">
        <f>_xll.BDH("AMGN US Equity","WATER_INTENSITY_PER_ASSETS","FY 2008","FY 2008","Currency=USD","Period=FQ","BEST_FPERIOD_OVERRIDE=FQ","FILING_STATUS=MR","Sort=A","Dates=H","DateFormat=P","Fill=—","Direction=H","UseDPDF=Y")</f>
        <v>—</v>
      </c>
      <c r="L46" s="14" t="str">
        <f>_xll.BDH("AMGN US Equity","WATER_INTENSITY_PER_ASSETS","FY 2009","FY 2009","Currency=USD","Period=FQ","BEST_FPERIOD_OVERRIDE=FQ","FILING_STATUS=MR","Sort=A","Dates=H","DateFormat=P","Fill=—","Direction=H","UseDPDF=Y")</f>
        <v>—</v>
      </c>
      <c r="M46" s="14" t="str">
        <f>_xll.BDH("AMGN US Equity","WATER_INTENSITY_PER_ASSETS","FY 2010","FY 2010","Currency=USD","Period=FQ","BEST_FPERIOD_OVERRIDE=FQ","FILING_STATUS=MR","Sort=A","Dates=H","DateFormat=P","Fill=—","Direction=H","UseDPDF=Y")</f>
        <v>—</v>
      </c>
      <c r="N46" s="14" t="str">
        <f>_xll.BDH("AMGN US Equity","WATER_INTENSITY_PER_ASSETS","FY 2011","FY 2011","Currency=USD","Period=FQ","BEST_FPERIOD_OVERRIDE=FQ","FILING_STATUS=MR","Sort=A","Dates=H","DateFormat=P","Fill=—","Direction=H","UseDPDF=Y")</f>
        <v>—</v>
      </c>
      <c r="O46" s="14" t="str">
        <f>_xll.BDH("AMGN US Equity","WATER_INTENSITY_PER_ASSETS","FY 2012","FY 2012","Currency=USD","Period=FQ","BEST_FPERIOD_OVERRIDE=FQ","FILING_STATUS=MR","Sort=A","Dates=H","DateFormat=P","Fill=—","Direction=H","UseDPDF=Y")</f>
        <v>—</v>
      </c>
      <c r="P46" s="14" t="str">
        <f>_xll.BDH("AMGN US Equity","WATER_INTENSITY_PER_ASSETS","FY 2013","FY 2013","Currency=USD","Period=FQ","BEST_FPERIOD_OVERRIDE=FQ","FILING_STATUS=MR","Sort=A","Dates=H","DateFormat=P","Fill=—","Direction=H","UseDPDF=Y")</f>
        <v>—</v>
      </c>
      <c r="Q46" s="14" t="str">
        <f>_xll.BDH("AMGN US Equity","WATER_INTENSITY_PER_ASSETS","FY 2014","FY 2014","Currency=USD","Period=FQ","BEST_FPERIOD_OVERRIDE=FQ","FILING_STATUS=MR","Sort=A","Dates=H","DateFormat=P","Fill=—","Direction=H","UseDPDF=Y")</f>
        <v>—</v>
      </c>
      <c r="R46" s="14" t="str">
        <f>_xll.BDH("AMGN US Equity","WATER_INTENSITY_PER_ASSETS","FY 2015","FY 2015","Currency=USD","Period=FQ","BEST_FPERIOD_OVERRIDE=FQ","FILING_STATUS=MR","Sort=A","Dates=H","DateFormat=P","Fill=—","Direction=H","UseDPDF=Y")</f>
        <v>—</v>
      </c>
      <c r="S46" s="14" t="str">
        <f>_xll.BDH("AMGN US Equity","WATER_INTENSITY_PER_ASSETS","FY 2016","FY 2016","Currency=USD","Period=FQ","BEST_FPERIOD_OVERRIDE=FQ","FILING_STATUS=MR","Sort=A","Dates=H","DateFormat=P","Fill=—","Direction=H","UseDPDF=Y")</f>
        <v>—</v>
      </c>
      <c r="T46" s="14" t="str">
        <f>_xll.BDH("AMGN US Equity","WATER_INTENSITY_PER_ASSETS","FY 2017","FY 2017","Currency=USD","Period=FQ","BEST_FPERIOD_OVERRIDE=FQ","FILING_STATUS=MR","Sort=A","Dates=H","DateFormat=P","Fill=—","Direction=H","UseDPDF=Y")</f>
        <v>—</v>
      </c>
      <c r="U46" s="14" t="str">
        <f>_xll.BDH("AMGN US Equity","WATER_INTENSITY_PER_ASSETS","FY 2018","FY 2018","Currency=USD","Period=FQ","BEST_FPERIOD_OVERRIDE=FQ","FILING_STATUS=MR","Sort=A","Dates=H","DateFormat=P","Fill=—","Direction=H","UseDPDF=Y")</f>
        <v>—</v>
      </c>
      <c r="V46" s="14" t="str">
        <f>_xll.BDH("AMGN US Equity","WATER_INTENSITY_PER_ASSETS","FY 2019","FY 2019","Currency=USD","Period=FQ","BEST_FPERIOD_OVERRIDE=FQ","FILING_STATUS=MR","Sort=A","Dates=H","DateFormat=P","Fill=—","Direction=H","UseDPDF=Y")</f>
        <v>—</v>
      </c>
      <c r="W46" s="14" t="str">
        <f>_xll.BDH("AMGN US Equity","WATER_INTENSITY_PER_ASSETS","FY 2020","FY 2020","Currency=USD","Period=FQ","BEST_FPERIOD_OVERRIDE=FQ","FILING_STATUS=MR","Sort=A","Dates=H","DateFormat=P","Fill=—","Direction=H","UseDPDF=Y")</f>
        <v>—</v>
      </c>
      <c r="X46" s="14" t="str">
        <f>_xll.BDH("AMGN US Equity","WATER_INTENSITY_PER_ASSETS","FY 2021","FY 2021","Currency=USD","Period=FQ","BEST_FPERIOD_OVERRIDE=FQ","FILING_STATUS=MR","Sort=A","Dates=H","DateFormat=P","Fill=—","Direction=H","UseDPDF=Y")</f>
        <v>—</v>
      </c>
      <c r="Y46" s="14" t="str">
        <f>_xll.BDH("AMGN US Equity","WATER_INTENSITY_PER_ASSETS","FY 2022","FY 2022","Currency=USD","Period=FQ","BEST_FPERIOD_OVERRIDE=FQ","FILING_STATUS=MR","Sort=A","Dates=H","DateFormat=P","Fill=—","Direction=H","UseDPDF=Y")</f>
        <v>—</v>
      </c>
      <c r="Z46" s="14" t="str">
        <f>_xll.BDH("AMGN US Equity","WATER_INTENSITY_PER_ASSETS","FY 2023","FY 2023","Currency=USD","Period=FQ","BEST_FPERIOD_OVERRIDE=FQ","FILING_STATUS=MR","Sort=A","Dates=H","DateFormat=P","Fill=—","Direction=H","UseDPDF=Y")</f>
        <v>—</v>
      </c>
      <c r="AA46" s="14" t="str">
        <f>_xll.BDH("AMGN US Equity","WATER_INTENSITY_PER_ASSETS","FY 2024","FY 2024","Currency=USD","Period=FQ","BEST_FPERIOD_OVERRIDE=FQ","FILING_STATUS=MR","Sort=A","Dates=H","DateFormat=P","Fill=—","Direction=H","UseDPDF=Y")</f>
        <v>—</v>
      </c>
    </row>
    <row r="47" spans="1:27" x14ac:dyDescent="0.25">
      <c r="A47" s="10" t="s">
        <v>1973</v>
      </c>
      <c r="B47" s="10" t="s">
        <v>1974</v>
      </c>
      <c r="C47" s="14" t="str">
        <f>_xll.BDH("AMGN US Equity","WATER_USAGE_EFFICIENCY_RT","FY 2000","FY 2000","Currency=USD","Period=FQ","BEST_FPERIOD_OVERRIDE=FQ","FILING_STATUS=MR","Sort=A","Dates=H","DateFormat=P","Fill=—","Direction=H","UseDPDF=Y")</f>
        <v>—</v>
      </c>
      <c r="D47" s="14" t="str">
        <f>_xll.BDH("AMGN US Equity","WATER_USAGE_EFFICIENCY_RT","FY 2001","FY 2001","Currency=USD","Period=FQ","BEST_FPERIOD_OVERRIDE=FQ","FILING_STATUS=MR","Sort=A","Dates=H","DateFormat=P","Fill=—","Direction=H","UseDPDF=Y")</f>
        <v>—</v>
      </c>
      <c r="E47" s="14" t="str">
        <f>_xll.BDH("AMGN US Equity","WATER_USAGE_EFFICIENCY_RT","FY 2002","FY 2002","Currency=USD","Period=FQ","BEST_FPERIOD_OVERRIDE=FQ","FILING_STATUS=MR","Sort=A","Dates=H","DateFormat=P","Fill=—","Direction=H","UseDPDF=Y")</f>
        <v>—</v>
      </c>
      <c r="F47" s="14" t="str">
        <f>_xll.BDH("AMGN US Equity","WATER_USAGE_EFFICIENCY_RT","FY 2003","FY 2003","Currency=USD","Period=FQ","BEST_FPERIOD_OVERRIDE=FQ","FILING_STATUS=MR","Sort=A","Dates=H","DateFormat=P","Fill=—","Direction=H","UseDPDF=Y")</f>
        <v>—</v>
      </c>
      <c r="G47" s="14" t="str">
        <f>_xll.BDH("AMGN US Equity","WATER_USAGE_EFFICIENCY_RT","FY 2004","FY 2004","Currency=USD","Period=FQ","BEST_FPERIOD_OVERRIDE=FQ","FILING_STATUS=MR","Sort=A","Dates=H","DateFormat=P","Fill=—","Direction=H","UseDPDF=Y")</f>
        <v>—</v>
      </c>
      <c r="H47" s="14" t="str">
        <f>_xll.BDH("AMGN US Equity","WATER_USAGE_EFFICIENCY_RT","FY 2005","FY 2005","Currency=USD","Period=FQ","BEST_FPERIOD_OVERRIDE=FQ","FILING_STATUS=MR","Sort=A","Dates=H","DateFormat=P","Fill=—","Direction=H","UseDPDF=Y")</f>
        <v>—</v>
      </c>
      <c r="I47" s="14" t="str">
        <f>_xll.BDH("AMGN US Equity","WATER_USAGE_EFFICIENCY_RT","FY 2006","FY 2006","Currency=USD","Period=FQ","BEST_FPERIOD_OVERRIDE=FQ","FILING_STATUS=MR","Sort=A","Dates=H","DateFormat=P","Fill=—","Direction=H","UseDPDF=Y")</f>
        <v>—</v>
      </c>
      <c r="J47" s="14" t="str">
        <f>_xll.BDH("AMGN US Equity","WATER_USAGE_EFFICIENCY_RT","FY 2007","FY 2007","Currency=USD","Period=FQ","BEST_FPERIOD_OVERRIDE=FQ","FILING_STATUS=MR","Sort=A","Dates=H","DateFormat=P","Fill=—","Direction=H","UseDPDF=Y")</f>
        <v>—</v>
      </c>
      <c r="K47" s="14" t="str">
        <f>_xll.BDH("AMGN US Equity","WATER_USAGE_EFFICIENCY_RT","FY 2008","FY 2008","Currency=USD","Period=FQ","BEST_FPERIOD_OVERRIDE=FQ","FILING_STATUS=MR","Sort=A","Dates=H","DateFormat=P","Fill=—","Direction=H","UseDPDF=Y")</f>
        <v>—</v>
      </c>
      <c r="L47" s="14" t="str">
        <f>_xll.BDH("AMGN US Equity","WATER_USAGE_EFFICIENCY_RT","FY 2009","FY 2009","Currency=USD","Period=FQ","BEST_FPERIOD_OVERRIDE=FQ","FILING_STATUS=MR","Sort=A","Dates=H","DateFormat=P","Fill=—","Direction=H","UseDPDF=Y")</f>
        <v>—</v>
      </c>
      <c r="M47" s="14" t="str">
        <f>_xll.BDH("AMGN US Equity","WATER_USAGE_EFFICIENCY_RT","FY 2010","FY 2010","Currency=USD","Period=FQ","BEST_FPERIOD_OVERRIDE=FQ","FILING_STATUS=MR","Sort=A","Dates=H","DateFormat=P","Fill=—","Direction=H","UseDPDF=Y")</f>
        <v>—</v>
      </c>
      <c r="N47" s="14" t="str">
        <f>_xll.BDH("AMGN US Equity","WATER_USAGE_EFFICIENCY_RT","FY 2011","FY 2011","Currency=USD","Period=FQ","BEST_FPERIOD_OVERRIDE=FQ","FILING_STATUS=MR","Sort=A","Dates=H","DateFormat=P","Fill=—","Direction=H","UseDPDF=Y")</f>
        <v>—</v>
      </c>
      <c r="O47" s="14" t="str">
        <f>_xll.BDH("AMGN US Equity","WATER_USAGE_EFFICIENCY_RT","FY 2012","FY 2012","Currency=USD","Period=FQ","BEST_FPERIOD_OVERRIDE=FQ","FILING_STATUS=MR","Sort=A","Dates=H","DateFormat=P","Fill=—","Direction=H","UseDPDF=Y")</f>
        <v>—</v>
      </c>
      <c r="P47" s="14" t="str">
        <f>_xll.BDH("AMGN US Equity","WATER_USAGE_EFFICIENCY_RT","FY 2013","FY 2013","Currency=USD","Period=FQ","BEST_FPERIOD_OVERRIDE=FQ","FILING_STATUS=MR","Sort=A","Dates=H","DateFormat=P","Fill=—","Direction=H","UseDPDF=Y")</f>
        <v>—</v>
      </c>
      <c r="Q47" s="14" t="str">
        <f>_xll.BDH("AMGN US Equity","WATER_USAGE_EFFICIENCY_RT","FY 2014","FY 2014","Currency=USD","Period=FQ","BEST_FPERIOD_OVERRIDE=FQ","FILING_STATUS=MR","Sort=A","Dates=H","DateFormat=P","Fill=—","Direction=H","UseDPDF=Y")</f>
        <v>—</v>
      </c>
      <c r="R47" s="14" t="str">
        <f>_xll.BDH("AMGN US Equity","WATER_USAGE_EFFICIENCY_RT","FY 2015","FY 2015","Currency=USD","Period=FQ","BEST_FPERIOD_OVERRIDE=FQ","FILING_STATUS=MR","Sort=A","Dates=H","DateFormat=P","Fill=—","Direction=H","UseDPDF=Y")</f>
        <v>—</v>
      </c>
      <c r="S47" s="14" t="str">
        <f>_xll.BDH("AMGN US Equity","WATER_USAGE_EFFICIENCY_RT","FY 2016","FY 2016","Currency=USD","Period=FQ","BEST_FPERIOD_OVERRIDE=FQ","FILING_STATUS=MR","Sort=A","Dates=H","DateFormat=P","Fill=—","Direction=H","UseDPDF=Y")</f>
        <v>—</v>
      </c>
      <c r="T47" s="14" t="str">
        <f>_xll.BDH("AMGN US Equity","WATER_USAGE_EFFICIENCY_RT","FY 2017","FY 2017","Currency=USD","Period=FQ","BEST_FPERIOD_OVERRIDE=FQ","FILING_STATUS=MR","Sort=A","Dates=H","DateFormat=P","Fill=—","Direction=H","UseDPDF=Y")</f>
        <v>—</v>
      </c>
      <c r="U47" s="14" t="str">
        <f>_xll.BDH("AMGN US Equity","WATER_USAGE_EFFICIENCY_RT","FY 2018","FY 2018","Currency=USD","Period=FQ","BEST_FPERIOD_OVERRIDE=FQ","FILING_STATUS=MR","Sort=A","Dates=H","DateFormat=P","Fill=—","Direction=H","UseDPDF=Y")</f>
        <v>—</v>
      </c>
      <c r="V47" s="14" t="str">
        <f>_xll.BDH("AMGN US Equity","WATER_USAGE_EFFICIENCY_RT","FY 2019","FY 2019","Currency=USD","Period=FQ","BEST_FPERIOD_OVERRIDE=FQ","FILING_STATUS=MR","Sort=A","Dates=H","DateFormat=P","Fill=—","Direction=H","UseDPDF=Y")</f>
        <v>—</v>
      </c>
      <c r="W47" s="14" t="str">
        <f>_xll.BDH("AMGN US Equity","WATER_USAGE_EFFICIENCY_RT","FY 2020","FY 2020","Currency=USD","Period=FQ","BEST_FPERIOD_OVERRIDE=FQ","FILING_STATUS=MR","Sort=A","Dates=H","DateFormat=P","Fill=—","Direction=H","UseDPDF=Y")</f>
        <v>—</v>
      </c>
      <c r="X47" s="14" t="str">
        <f>_xll.BDH("AMGN US Equity","WATER_USAGE_EFFICIENCY_RT","FY 2021","FY 2021","Currency=USD","Period=FQ","BEST_FPERIOD_OVERRIDE=FQ","FILING_STATUS=MR","Sort=A","Dates=H","DateFormat=P","Fill=—","Direction=H","UseDPDF=Y")</f>
        <v>—</v>
      </c>
      <c r="Y47" s="14" t="str">
        <f>_xll.BDH("AMGN US Equity","WATER_USAGE_EFFICIENCY_RT","FY 2022","FY 2022","Currency=USD","Period=FQ","BEST_FPERIOD_OVERRIDE=FQ","FILING_STATUS=MR","Sort=A","Dates=H","DateFormat=P","Fill=—","Direction=H","UseDPDF=Y")</f>
        <v>—</v>
      </c>
      <c r="Z47" s="14" t="str">
        <f>_xll.BDH("AMGN US Equity","WATER_USAGE_EFFICIENCY_RT","FY 2023","FY 2023","Currency=USD","Period=FQ","BEST_FPERIOD_OVERRIDE=FQ","FILING_STATUS=MR","Sort=A","Dates=H","DateFormat=P","Fill=—","Direction=H","UseDPDF=Y")</f>
        <v>—</v>
      </c>
      <c r="AA47" s="14" t="str">
        <f>_xll.BDH("AMGN US Equity","WATER_USAGE_EFFICIENCY_RT","FY 2024","FY 2024","Currency=USD","Period=FQ","BEST_FPERIOD_OVERRIDE=FQ","FILING_STATUS=MR","Sort=A","Dates=H","DateFormat=P","Fill=—","Direction=H","UseDPDF=Y")</f>
        <v>—</v>
      </c>
    </row>
    <row r="48" spans="1:27" x14ac:dyDescent="0.25">
      <c r="A48" s="10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x14ac:dyDescent="0.25">
      <c r="A49" s="6" t="s">
        <v>1975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 x14ac:dyDescent="0.25">
      <c r="A50" s="10" t="s">
        <v>1976</v>
      </c>
      <c r="B50" s="10" t="s">
        <v>1977</v>
      </c>
      <c r="C50" s="14" t="str">
        <f>_xll.BDH("AMGN US Equity","WASTE_INTENSITY_PER_EMPLOYEE","FY 2000","FY 2000","Currency=USD","Period=FQ","BEST_FPERIOD_OVERRIDE=FQ","FILING_STATUS=MR","Sort=A","Dates=H","DateFormat=P","Fill=—","Direction=H","UseDPDF=Y")</f>
        <v>—</v>
      </c>
      <c r="D50" s="14" t="str">
        <f>_xll.BDH("AMGN US Equity","WASTE_INTENSITY_PER_EMPLOYEE","FY 2001","FY 2001","Currency=USD","Period=FQ","BEST_FPERIOD_OVERRIDE=FQ","FILING_STATUS=MR","Sort=A","Dates=H","DateFormat=P","Fill=—","Direction=H","UseDPDF=Y")</f>
        <v>—</v>
      </c>
      <c r="E50" s="14" t="str">
        <f>_xll.BDH("AMGN US Equity","WASTE_INTENSITY_PER_EMPLOYEE","FY 2002","FY 2002","Currency=USD","Period=FQ","BEST_FPERIOD_OVERRIDE=FQ","FILING_STATUS=MR","Sort=A","Dates=H","DateFormat=P","Fill=—","Direction=H","UseDPDF=Y")</f>
        <v>—</v>
      </c>
      <c r="F50" s="14" t="str">
        <f>_xll.BDH("AMGN US Equity","WASTE_INTENSITY_PER_EMPLOYEE","FY 2003","FY 2003","Currency=USD","Period=FQ","BEST_FPERIOD_OVERRIDE=FQ","FILING_STATUS=MR","Sort=A","Dates=H","DateFormat=P","Fill=—","Direction=H","UseDPDF=Y")</f>
        <v>—</v>
      </c>
      <c r="G50" s="14" t="str">
        <f>_xll.BDH("AMGN US Equity","WASTE_INTENSITY_PER_EMPLOYEE","FY 2004","FY 2004","Currency=USD","Period=FQ","BEST_FPERIOD_OVERRIDE=FQ","FILING_STATUS=MR","Sort=A","Dates=H","DateFormat=P","Fill=—","Direction=H","UseDPDF=Y")</f>
        <v>—</v>
      </c>
      <c r="H50" s="14" t="str">
        <f>_xll.BDH("AMGN US Equity","WASTE_INTENSITY_PER_EMPLOYEE","FY 2005","FY 2005","Currency=USD","Period=FQ","BEST_FPERIOD_OVERRIDE=FQ","FILING_STATUS=MR","Sort=A","Dates=H","DateFormat=P","Fill=—","Direction=H","UseDPDF=Y")</f>
        <v>—</v>
      </c>
      <c r="I50" s="14" t="str">
        <f>_xll.BDH("AMGN US Equity","WASTE_INTENSITY_PER_EMPLOYEE","FY 2006","FY 2006","Currency=USD","Period=FQ","BEST_FPERIOD_OVERRIDE=FQ","FILING_STATUS=MR","Sort=A","Dates=H","DateFormat=P","Fill=—","Direction=H","UseDPDF=Y")</f>
        <v>—</v>
      </c>
      <c r="J50" s="14" t="str">
        <f>_xll.BDH("AMGN US Equity","WASTE_INTENSITY_PER_EMPLOYEE","FY 2007","FY 2007","Currency=USD","Period=FQ","BEST_FPERIOD_OVERRIDE=FQ","FILING_STATUS=MR","Sort=A","Dates=H","DateFormat=P","Fill=—","Direction=H","UseDPDF=Y")</f>
        <v>—</v>
      </c>
      <c r="K50" s="14" t="str">
        <f>_xll.BDH("AMGN US Equity","WASTE_INTENSITY_PER_EMPLOYEE","FY 2008","FY 2008","Currency=USD","Period=FQ","BEST_FPERIOD_OVERRIDE=FQ","FILING_STATUS=MR","Sort=A","Dates=H","DateFormat=P","Fill=—","Direction=H","UseDPDF=Y")</f>
        <v>—</v>
      </c>
      <c r="L50" s="14" t="str">
        <f>_xll.BDH("AMGN US Equity","WASTE_INTENSITY_PER_EMPLOYEE","FY 2009","FY 2009","Currency=USD","Period=FQ","BEST_FPERIOD_OVERRIDE=FQ","FILING_STATUS=MR","Sort=A","Dates=H","DateFormat=P","Fill=—","Direction=H","UseDPDF=Y")</f>
        <v>—</v>
      </c>
      <c r="M50" s="14" t="str">
        <f>_xll.BDH("AMGN US Equity","WASTE_INTENSITY_PER_EMPLOYEE","FY 2010","FY 2010","Currency=USD","Period=FQ","BEST_FPERIOD_OVERRIDE=FQ","FILING_STATUS=MR","Sort=A","Dates=H","DateFormat=P","Fill=—","Direction=H","UseDPDF=Y")</f>
        <v>—</v>
      </c>
      <c r="N50" s="14" t="str">
        <f>_xll.BDH("AMGN US Equity","WASTE_INTENSITY_PER_EMPLOYEE","FY 2011","FY 2011","Currency=USD","Period=FQ","BEST_FPERIOD_OVERRIDE=FQ","FILING_STATUS=MR","Sort=A","Dates=H","DateFormat=P","Fill=—","Direction=H","UseDPDF=Y")</f>
        <v>—</v>
      </c>
      <c r="O50" s="14" t="str">
        <f>_xll.BDH("AMGN US Equity","WASTE_INTENSITY_PER_EMPLOYEE","FY 2012","FY 2012","Currency=USD","Period=FQ","BEST_FPERIOD_OVERRIDE=FQ","FILING_STATUS=MR","Sort=A","Dates=H","DateFormat=P","Fill=—","Direction=H","UseDPDF=Y")</f>
        <v>—</v>
      </c>
      <c r="P50" s="14" t="str">
        <f>_xll.BDH("AMGN US Equity","WASTE_INTENSITY_PER_EMPLOYEE","FY 2013","FY 2013","Currency=USD","Period=FQ","BEST_FPERIOD_OVERRIDE=FQ","FILING_STATUS=MR","Sort=A","Dates=H","DateFormat=P","Fill=—","Direction=H","UseDPDF=Y")</f>
        <v>—</v>
      </c>
      <c r="Q50" s="14" t="str">
        <f>_xll.BDH("AMGN US Equity","WASTE_INTENSITY_PER_EMPLOYEE","FY 2014","FY 2014","Currency=USD","Period=FQ","BEST_FPERIOD_OVERRIDE=FQ","FILING_STATUS=MR","Sort=A","Dates=H","DateFormat=P","Fill=—","Direction=H","UseDPDF=Y")</f>
        <v>—</v>
      </c>
      <c r="R50" s="14" t="str">
        <f>_xll.BDH("AMGN US Equity","WASTE_INTENSITY_PER_EMPLOYEE","FY 2015","FY 2015","Currency=USD","Period=FQ","BEST_FPERIOD_OVERRIDE=FQ","FILING_STATUS=MR","Sort=A","Dates=H","DateFormat=P","Fill=—","Direction=H","UseDPDF=Y")</f>
        <v>—</v>
      </c>
      <c r="S50" s="14" t="str">
        <f>_xll.BDH("AMGN US Equity","WASTE_INTENSITY_PER_EMPLOYEE","FY 2016","FY 2016","Currency=USD","Period=FQ","BEST_FPERIOD_OVERRIDE=FQ","FILING_STATUS=MR","Sort=A","Dates=H","DateFormat=P","Fill=—","Direction=H","UseDPDF=Y")</f>
        <v>—</v>
      </c>
      <c r="T50" s="14" t="str">
        <f>_xll.BDH("AMGN US Equity","WASTE_INTENSITY_PER_EMPLOYEE","FY 2017","FY 2017","Currency=USD","Period=FQ","BEST_FPERIOD_OVERRIDE=FQ","FILING_STATUS=MR","Sort=A","Dates=H","DateFormat=P","Fill=—","Direction=H","UseDPDF=Y")</f>
        <v>—</v>
      </c>
      <c r="U50" s="14" t="str">
        <f>_xll.BDH("AMGN US Equity","WASTE_INTENSITY_PER_EMPLOYEE","FY 2018","FY 2018","Currency=USD","Period=FQ","BEST_FPERIOD_OVERRIDE=FQ","FILING_STATUS=MR","Sort=A","Dates=H","DateFormat=P","Fill=—","Direction=H","UseDPDF=Y")</f>
        <v>—</v>
      </c>
      <c r="V50" s="14" t="str">
        <f>_xll.BDH("AMGN US Equity","WASTE_INTENSITY_PER_EMPLOYEE","FY 2019","FY 2019","Currency=USD","Period=FQ","BEST_FPERIOD_OVERRIDE=FQ","FILING_STATUS=MR","Sort=A","Dates=H","DateFormat=P","Fill=—","Direction=H","UseDPDF=Y")</f>
        <v>—</v>
      </c>
      <c r="W50" s="14" t="str">
        <f>_xll.BDH("AMGN US Equity","WASTE_INTENSITY_PER_EMPLOYEE","FY 2020","FY 2020","Currency=USD","Period=FQ","BEST_FPERIOD_OVERRIDE=FQ","FILING_STATUS=MR","Sort=A","Dates=H","DateFormat=P","Fill=—","Direction=H","UseDPDF=Y")</f>
        <v>—</v>
      </c>
      <c r="X50" s="14" t="str">
        <f>_xll.BDH("AMGN US Equity","WASTE_INTENSITY_PER_EMPLOYEE","FY 2021","FY 2021","Currency=USD","Period=FQ","BEST_FPERIOD_OVERRIDE=FQ","FILING_STATUS=MR","Sort=A","Dates=H","DateFormat=P","Fill=—","Direction=H","UseDPDF=Y")</f>
        <v>—</v>
      </c>
      <c r="Y50" s="14" t="str">
        <f>_xll.BDH("AMGN US Equity","WASTE_INTENSITY_PER_EMPLOYEE","FY 2022","FY 2022","Currency=USD","Period=FQ","BEST_FPERIOD_OVERRIDE=FQ","FILING_STATUS=MR","Sort=A","Dates=H","DateFormat=P","Fill=—","Direction=H","UseDPDF=Y")</f>
        <v>—</v>
      </c>
      <c r="Z50" s="14" t="str">
        <f>_xll.BDH("AMGN US Equity","WASTE_INTENSITY_PER_EMPLOYEE","FY 2023","FY 2023","Currency=USD","Period=FQ","BEST_FPERIOD_OVERRIDE=FQ","FILING_STATUS=MR","Sort=A","Dates=H","DateFormat=P","Fill=—","Direction=H","UseDPDF=Y")</f>
        <v>—</v>
      </c>
      <c r="AA50" s="14" t="str">
        <f>_xll.BDH("AMGN US Equity","WASTE_INTENSITY_PER_EMPLOYEE","FY 2024","FY 2024","Currency=USD","Period=FQ","BEST_FPERIOD_OVERRIDE=FQ","FILING_STATUS=MR","Sort=A","Dates=H","DateFormat=P","Fill=—","Direction=H","UseDPDF=Y")</f>
        <v>—</v>
      </c>
    </row>
    <row r="51" spans="1:27" x14ac:dyDescent="0.25">
      <c r="A51" s="10" t="s">
        <v>1978</v>
      </c>
      <c r="B51" s="10" t="s">
        <v>1979</v>
      </c>
      <c r="C51" s="14" t="str">
        <f>_xll.BDH("AMGN US Equity","WASTE_GENERATED_PER_ASSETS","FY 2000","FY 2000","Currency=USD","Period=FQ","BEST_FPERIOD_OVERRIDE=FQ","FILING_STATUS=MR","Sort=A","Dates=H","DateFormat=P","Fill=—","Direction=H","UseDPDF=Y")</f>
        <v>—</v>
      </c>
      <c r="D51" s="14" t="str">
        <f>_xll.BDH("AMGN US Equity","WASTE_GENERATED_PER_ASSETS","FY 2001","FY 2001","Currency=USD","Period=FQ","BEST_FPERIOD_OVERRIDE=FQ","FILING_STATUS=MR","Sort=A","Dates=H","DateFormat=P","Fill=—","Direction=H","UseDPDF=Y")</f>
        <v>—</v>
      </c>
      <c r="E51" s="14" t="str">
        <f>_xll.BDH("AMGN US Equity","WASTE_GENERATED_PER_ASSETS","FY 2002","FY 2002","Currency=USD","Period=FQ","BEST_FPERIOD_OVERRIDE=FQ","FILING_STATUS=MR","Sort=A","Dates=H","DateFormat=P","Fill=—","Direction=H","UseDPDF=Y")</f>
        <v>—</v>
      </c>
      <c r="F51" s="14" t="str">
        <f>_xll.BDH("AMGN US Equity","WASTE_GENERATED_PER_ASSETS","FY 2003","FY 2003","Currency=USD","Period=FQ","BEST_FPERIOD_OVERRIDE=FQ","FILING_STATUS=MR","Sort=A","Dates=H","DateFormat=P","Fill=—","Direction=H","UseDPDF=Y")</f>
        <v>—</v>
      </c>
      <c r="G51" s="14" t="str">
        <f>_xll.BDH("AMGN US Equity","WASTE_GENERATED_PER_ASSETS","FY 2004","FY 2004","Currency=USD","Period=FQ","BEST_FPERIOD_OVERRIDE=FQ","FILING_STATUS=MR","Sort=A","Dates=H","DateFormat=P","Fill=—","Direction=H","UseDPDF=Y")</f>
        <v>—</v>
      </c>
      <c r="H51" s="14" t="str">
        <f>_xll.BDH("AMGN US Equity","WASTE_GENERATED_PER_ASSETS","FY 2005","FY 2005","Currency=USD","Period=FQ","BEST_FPERIOD_OVERRIDE=FQ","FILING_STATUS=MR","Sort=A","Dates=H","DateFormat=P","Fill=—","Direction=H","UseDPDF=Y")</f>
        <v>—</v>
      </c>
      <c r="I51" s="14" t="str">
        <f>_xll.BDH("AMGN US Equity","WASTE_GENERATED_PER_ASSETS","FY 2006","FY 2006","Currency=USD","Period=FQ","BEST_FPERIOD_OVERRIDE=FQ","FILING_STATUS=MR","Sort=A","Dates=H","DateFormat=P","Fill=—","Direction=H","UseDPDF=Y")</f>
        <v>—</v>
      </c>
      <c r="J51" s="14" t="str">
        <f>_xll.BDH("AMGN US Equity","WASTE_GENERATED_PER_ASSETS","FY 2007","FY 2007","Currency=USD","Period=FQ","BEST_FPERIOD_OVERRIDE=FQ","FILING_STATUS=MR","Sort=A","Dates=H","DateFormat=P","Fill=—","Direction=H","UseDPDF=Y")</f>
        <v>—</v>
      </c>
      <c r="K51" s="14" t="str">
        <f>_xll.BDH("AMGN US Equity","WASTE_GENERATED_PER_ASSETS","FY 2008","FY 2008","Currency=USD","Period=FQ","BEST_FPERIOD_OVERRIDE=FQ","FILING_STATUS=MR","Sort=A","Dates=H","DateFormat=P","Fill=—","Direction=H","UseDPDF=Y")</f>
        <v>—</v>
      </c>
      <c r="L51" s="14" t="str">
        <f>_xll.BDH("AMGN US Equity","WASTE_GENERATED_PER_ASSETS","FY 2009","FY 2009","Currency=USD","Period=FQ","BEST_FPERIOD_OVERRIDE=FQ","FILING_STATUS=MR","Sort=A","Dates=H","DateFormat=P","Fill=—","Direction=H","UseDPDF=Y")</f>
        <v>—</v>
      </c>
      <c r="M51" s="14" t="str">
        <f>_xll.BDH("AMGN US Equity","WASTE_GENERATED_PER_ASSETS","FY 2010","FY 2010","Currency=USD","Period=FQ","BEST_FPERIOD_OVERRIDE=FQ","FILING_STATUS=MR","Sort=A","Dates=H","DateFormat=P","Fill=—","Direction=H","UseDPDF=Y")</f>
        <v>—</v>
      </c>
      <c r="N51" s="14" t="str">
        <f>_xll.BDH("AMGN US Equity","WASTE_GENERATED_PER_ASSETS","FY 2011","FY 2011","Currency=USD","Period=FQ","BEST_FPERIOD_OVERRIDE=FQ","FILING_STATUS=MR","Sort=A","Dates=H","DateFormat=P","Fill=—","Direction=H","UseDPDF=Y")</f>
        <v>—</v>
      </c>
      <c r="O51" s="14" t="str">
        <f>_xll.BDH("AMGN US Equity","WASTE_GENERATED_PER_ASSETS","FY 2012","FY 2012","Currency=USD","Period=FQ","BEST_FPERIOD_OVERRIDE=FQ","FILING_STATUS=MR","Sort=A","Dates=H","DateFormat=P","Fill=—","Direction=H","UseDPDF=Y")</f>
        <v>—</v>
      </c>
      <c r="P51" s="14" t="str">
        <f>_xll.BDH("AMGN US Equity","WASTE_GENERATED_PER_ASSETS","FY 2013","FY 2013","Currency=USD","Period=FQ","BEST_FPERIOD_OVERRIDE=FQ","FILING_STATUS=MR","Sort=A","Dates=H","DateFormat=P","Fill=—","Direction=H","UseDPDF=Y")</f>
        <v>—</v>
      </c>
      <c r="Q51" s="14" t="str">
        <f>_xll.BDH("AMGN US Equity","WASTE_GENERATED_PER_ASSETS","FY 2014","FY 2014","Currency=USD","Period=FQ","BEST_FPERIOD_OVERRIDE=FQ","FILING_STATUS=MR","Sort=A","Dates=H","DateFormat=P","Fill=—","Direction=H","UseDPDF=Y")</f>
        <v>—</v>
      </c>
      <c r="R51" s="14" t="str">
        <f>_xll.BDH("AMGN US Equity","WASTE_GENERATED_PER_ASSETS","FY 2015","FY 2015","Currency=USD","Period=FQ","BEST_FPERIOD_OVERRIDE=FQ","FILING_STATUS=MR","Sort=A","Dates=H","DateFormat=P","Fill=—","Direction=H","UseDPDF=Y")</f>
        <v>—</v>
      </c>
      <c r="S51" s="14" t="str">
        <f>_xll.BDH("AMGN US Equity","WASTE_GENERATED_PER_ASSETS","FY 2016","FY 2016","Currency=USD","Period=FQ","BEST_FPERIOD_OVERRIDE=FQ","FILING_STATUS=MR","Sort=A","Dates=H","DateFormat=P","Fill=—","Direction=H","UseDPDF=Y")</f>
        <v>—</v>
      </c>
      <c r="T51" s="14" t="str">
        <f>_xll.BDH("AMGN US Equity","WASTE_GENERATED_PER_ASSETS","FY 2017","FY 2017","Currency=USD","Period=FQ","BEST_FPERIOD_OVERRIDE=FQ","FILING_STATUS=MR","Sort=A","Dates=H","DateFormat=P","Fill=—","Direction=H","UseDPDF=Y")</f>
        <v>—</v>
      </c>
      <c r="U51" s="14" t="str">
        <f>_xll.BDH("AMGN US Equity","WASTE_GENERATED_PER_ASSETS","FY 2018","FY 2018","Currency=USD","Period=FQ","BEST_FPERIOD_OVERRIDE=FQ","FILING_STATUS=MR","Sort=A","Dates=H","DateFormat=P","Fill=—","Direction=H","UseDPDF=Y")</f>
        <v>—</v>
      </c>
      <c r="V51" s="14" t="str">
        <f>_xll.BDH("AMGN US Equity","WASTE_GENERATED_PER_ASSETS","FY 2019","FY 2019","Currency=USD","Period=FQ","BEST_FPERIOD_OVERRIDE=FQ","FILING_STATUS=MR","Sort=A","Dates=H","DateFormat=P","Fill=—","Direction=H","UseDPDF=Y")</f>
        <v>—</v>
      </c>
      <c r="W51" s="14" t="str">
        <f>_xll.BDH("AMGN US Equity","WASTE_GENERATED_PER_ASSETS","FY 2020","FY 2020","Currency=USD","Period=FQ","BEST_FPERIOD_OVERRIDE=FQ","FILING_STATUS=MR","Sort=A","Dates=H","DateFormat=P","Fill=—","Direction=H","UseDPDF=Y")</f>
        <v>—</v>
      </c>
      <c r="X51" s="14" t="str">
        <f>_xll.BDH("AMGN US Equity","WASTE_GENERATED_PER_ASSETS","FY 2021","FY 2021","Currency=USD","Period=FQ","BEST_FPERIOD_OVERRIDE=FQ","FILING_STATUS=MR","Sort=A","Dates=H","DateFormat=P","Fill=—","Direction=H","UseDPDF=Y")</f>
        <v>—</v>
      </c>
      <c r="Y51" s="14" t="str">
        <f>_xll.BDH("AMGN US Equity","WASTE_GENERATED_PER_ASSETS","FY 2022","FY 2022","Currency=USD","Period=FQ","BEST_FPERIOD_OVERRIDE=FQ","FILING_STATUS=MR","Sort=A","Dates=H","DateFormat=P","Fill=—","Direction=H","UseDPDF=Y")</f>
        <v>—</v>
      </c>
      <c r="Z51" s="14" t="str">
        <f>_xll.BDH("AMGN US Equity","WASTE_GENERATED_PER_ASSETS","FY 2023","FY 2023","Currency=USD","Period=FQ","BEST_FPERIOD_OVERRIDE=FQ","FILING_STATUS=MR","Sort=A","Dates=H","DateFormat=P","Fill=—","Direction=H","UseDPDF=Y")</f>
        <v>—</v>
      </c>
      <c r="AA51" s="14" t="str">
        <f>_xll.BDH("AMGN US Equity","WASTE_GENERATED_PER_ASSETS","FY 2024","FY 2024","Currency=USD","Period=FQ","BEST_FPERIOD_OVERRIDE=FQ","FILING_STATUS=MR","Sort=A","Dates=H","DateFormat=P","Fill=—","Direction=H","UseDPDF=Y")</f>
        <v>—</v>
      </c>
    </row>
    <row r="52" spans="1:27" x14ac:dyDescent="0.25">
      <c r="A52" s="10" t="s">
        <v>1980</v>
      </c>
      <c r="B52" s="10" t="s">
        <v>1981</v>
      </c>
      <c r="C52" s="14" t="str">
        <f>_xll.BDH("AMGN US Equity","WASTE_GENERATED_PER_SALES","FY 2000","FY 2000","Currency=USD","Period=FQ","BEST_FPERIOD_OVERRIDE=FQ","FILING_STATUS=MR","FA_ADJUSTED=GAAP","Sort=A","Dates=H","DateFormat=P","Fill=—","Direction=H","UseDPDF=Y")</f>
        <v>—</v>
      </c>
      <c r="D52" s="14" t="str">
        <f>_xll.BDH("AMGN US Equity","WASTE_GENERATED_PER_SALES","FY 2001","FY 2001","Currency=USD","Period=FQ","BEST_FPERIOD_OVERRIDE=FQ","FILING_STATUS=MR","FA_ADJUSTED=GAAP","Sort=A","Dates=H","DateFormat=P","Fill=—","Direction=H","UseDPDF=Y")</f>
        <v>—</v>
      </c>
      <c r="E52" s="14" t="str">
        <f>_xll.BDH("AMGN US Equity","WASTE_GENERATED_PER_SALES","FY 2002","FY 2002","Currency=USD","Period=FQ","BEST_FPERIOD_OVERRIDE=FQ","FILING_STATUS=MR","FA_ADJUSTED=GAAP","Sort=A","Dates=H","DateFormat=P","Fill=—","Direction=H","UseDPDF=Y")</f>
        <v>—</v>
      </c>
      <c r="F52" s="14" t="str">
        <f>_xll.BDH("AMGN US Equity","WASTE_GENERATED_PER_SALES","FY 2003","FY 2003","Currency=USD","Period=FQ","BEST_FPERIOD_OVERRIDE=FQ","FILING_STATUS=MR","FA_ADJUSTED=GAAP","Sort=A","Dates=H","DateFormat=P","Fill=—","Direction=H","UseDPDF=Y")</f>
        <v>—</v>
      </c>
      <c r="G52" s="14" t="str">
        <f>_xll.BDH("AMGN US Equity","WASTE_GENERATED_PER_SALES","FY 2004","FY 2004","Currency=USD","Period=FQ","BEST_FPERIOD_OVERRIDE=FQ","FILING_STATUS=MR","FA_ADJUSTED=GAAP","Sort=A","Dates=H","DateFormat=P","Fill=—","Direction=H","UseDPDF=Y")</f>
        <v>—</v>
      </c>
      <c r="H52" s="14" t="str">
        <f>_xll.BDH("AMGN US Equity","WASTE_GENERATED_PER_SALES","FY 2005","FY 2005","Currency=USD","Period=FQ","BEST_FPERIOD_OVERRIDE=FQ","FILING_STATUS=MR","FA_ADJUSTED=GAAP","Sort=A","Dates=H","DateFormat=P","Fill=—","Direction=H","UseDPDF=Y")</f>
        <v>—</v>
      </c>
      <c r="I52" s="14" t="str">
        <f>_xll.BDH("AMGN US Equity","WASTE_GENERATED_PER_SALES","FY 2006","FY 2006","Currency=USD","Period=FQ","BEST_FPERIOD_OVERRIDE=FQ","FILING_STATUS=MR","FA_ADJUSTED=GAAP","Sort=A","Dates=H","DateFormat=P","Fill=—","Direction=H","UseDPDF=Y")</f>
        <v>—</v>
      </c>
      <c r="J52" s="14" t="str">
        <f>_xll.BDH("AMGN US Equity","WASTE_GENERATED_PER_SALES","FY 2007","FY 2007","Currency=USD","Period=FQ","BEST_FPERIOD_OVERRIDE=FQ","FILING_STATUS=MR","FA_ADJUSTED=GAAP","Sort=A","Dates=H","DateFormat=P","Fill=—","Direction=H","UseDPDF=Y")</f>
        <v>—</v>
      </c>
      <c r="K52" s="14" t="str">
        <f>_xll.BDH("AMGN US Equity","WASTE_GENERATED_PER_SALES","FY 2008","FY 2008","Currency=USD","Period=FQ","BEST_FPERIOD_OVERRIDE=FQ","FILING_STATUS=MR","FA_ADJUSTED=GAAP","Sort=A","Dates=H","DateFormat=P","Fill=—","Direction=H","UseDPDF=Y")</f>
        <v>—</v>
      </c>
      <c r="L52" s="14" t="str">
        <f>_xll.BDH("AMGN US Equity","WASTE_GENERATED_PER_SALES","FY 2009","FY 2009","Currency=USD","Period=FQ","BEST_FPERIOD_OVERRIDE=FQ","FILING_STATUS=MR","FA_ADJUSTED=GAAP","Sort=A","Dates=H","DateFormat=P","Fill=—","Direction=H","UseDPDF=Y")</f>
        <v>—</v>
      </c>
      <c r="M52" s="14" t="str">
        <f>_xll.BDH("AMGN US Equity","WASTE_GENERATED_PER_SALES","FY 2010","FY 2010","Currency=USD","Period=FQ","BEST_FPERIOD_OVERRIDE=FQ","FILING_STATUS=MR","FA_ADJUSTED=GAAP","Sort=A","Dates=H","DateFormat=P","Fill=—","Direction=H","UseDPDF=Y")</f>
        <v>—</v>
      </c>
      <c r="N52" s="14" t="str">
        <f>_xll.BDH("AMGN US Equity","WASTE_GENERATED_PER_SALES","FY 2011","FY 2011","Currency=USD","Period=FQ","BEST_FPERIOD_OVERRIDE=FQ","FILING_STATUS=MR","FA_ADJUSTED=GAAP","Sort=A","Dates=H","DateFormat=P","Fill=—","Direction=H","UseDPDF=Y")</f>
        <v>—</v>
      </c>
      <c r="O52" s="14" t="str">
        <f>_xll.BDH("AMGN US Equity","WASTE_GENERATED_PER_SALES","FY 2012","FY 2012","Currency=USD","Period=FQ","BEST_FPERIOD_OVERRIDE=FQ","FILING_STATUS=MR","FA_ADJUSTED=GAAP","Sort=A","Dates=H","DateFormat=P","Fill=—","Direction=H","UseDPDF=Y")</f>
        <v>—</v>
      </c>
      <c r="P52" s="14" t="str">
        <f>_xll.BDH("AMGN US Equity","WASTE_GENERATED_PER_SALES","FY 2013","FY 2013","Currency=USD","Period=FQ","BEST_FPERIOD_OVERRIDE=FQ","FILING_STATUS=MR","FA_ADJUSTED=GAAP","Sort=A","Dates=H","DateFormat=P","Fill=—","Direction=H","UseDPDF=Y")</f>
        <v>—</v>
      </c>
      <c r="Q52" s="14" t="str">
        <f>_xll.BDH("AMGN US Equity","WASTE_GENERATED_PER_SALES","FY 2014","FY 2014","Currency=USD","Period=FQ","BEST_FPERIOD_OVERRIDE=FQ","FILING_STATUS=MR","FA_ADJUSTED=GAAP","Sort=A","Dates=H","DateFormat=P","Fill=—","Direction=H","UseDPDF=Y")</f>
        <v>—</v>
      </c>
      <c r="R52" s="14" t="str">
        <f>_xll.BDH("AMGN US Equity","WASTE_GENERATED_PER_SALES","FY 2015","FY 2015","Currency=USD","Period=FQ","BEST_FPERIOD_OVERRIDE=FQ","FILING_STATUS=MR","FA_ADJUSTED=GAAP","Sort=A","Dates=H","DateFormat=P","Fill=—","Direction=H","UseDPDF=Y")</f>
        <v>—</v>
      </c>
      <c r="S52" s="14" t="str">
        <f>_xll.BDH("AMGN US Equity","WASTE_GENERATED_PER_SALES","FY 2016","FY 2016","Currency=USD","Period=FQ","BEST_FPERIOD_OVERRIDE=FQ","FILING_STATUS=MR","FA_ADJUSTED=GAAP","Sort=A","Dates=H","DateFormat=P","Fill=—","Direction=H","UseDPDF=Y")</f>
        <v>—</v>
      </c>
      <c r="T52" s="14" t="str">
        <f>_xll.BDH("AMGN US Equity","WASTE_GENERATED_PER_SALES","FY 2017","FY 2017","Currency=USD","Period=FQ","BEST_FPERIOD_OVERRIDE=FQ","FILING_STATUS=MR","FA_ADJUSTED=GAAP","Sort=A","Dates=H","DateFormat=P","Fill=—","Direction=H","UseDPDF=Y")</f>
        <v>—</v>
      </c>
      <c r="U52" s="14" t="str">
        <f>_xll.BDH("AMGN US Equity","WASTE_GENERATED_PER_SALES","FY 2018","FY 2018","Currency=USD","Period=FQ","BEST_FPERIOD_OVERRIDE=FQ","FILING_STATUS=MR","FA_ADJUSTED=GAAP","Sort=A","Dates=H","DateFormat=P","Fill=—","Direction=H","UseDPDF=Y")</f>
        <v>—</v>
      </c>
      <c r="V52" s="14" t="str">
        <f>_xll.BDH("AMGN US Equity","WASTE_GENERATED_PER_SALES","FY 2019","FY 2019","Currency=USD","Period=FQ","BEST_FPERIOD_OVERRIDE=FQ","FILING_STATUS=MR","FA_ADJUSTED=GAAP","Sort=A","Dates=H","DateFormat=P","Fill=—","Direction=H","UseDPDF=Y")</f>
        <v>—</v>
      </c>
      <c r="W52" s="14" t="str">
        <f>_xll.BDH("AMGN US Equity","WASTE_GENERATED_PER_SALES","FY 2020","FY 2020","Currency=USD","Period=FQ","BEST_FPERIOD_OVERRIDE=FQ","FILING_STATUS=MR","FA_ADJUSTED=GAAP","Sort=A","Dates=H","DateFormat=P","Fill=—","Direction=H","UseDPDF=Y")</f>
        <v>—</v>
      </c>
      <c r="X52" s="14" t="str">
        <f>_xll.BDH("AMGN US Equity","WASTE_GENERATED_PER_SALES","FY 2021","FY 2021","Currency=USD","Period=FQ","BEST_FPERIOD_OVERRIDE=FQ","FILING_STATUS=MR","FA_ADJUSTED=GAAP","Sort=A","Dates=H","DateFormat=P","Fill=—","Direction=H","UseDPDF=Y")</f>
        <v>—</v>
      </c>
      <c r="Y52" s="14" t="str">
        <f>_xll.BDH("AMGN US Equity","WASTE_GENERATED_PER_SALES","FY 2022","FY 2022","Currency=USD","Period=FQ","BEST_FPERIOD_OVERRIDE=FQ","FILING_STATUS=MR","FA_ADJUSTED=GAAP","Sort=A","Dates=H","DateFormat=P","Fill=—","Direction=H","UseDPDF=Y")</f>
        <v>—</v>
      </c>
      <c r="Z52" s="14" t="str">
        <f>_xll.BDH("AMGN US Equity","WASTE_GENERATED_PER_SALES","FY 2023","FY 2023","Currency=USD","Period=FQ","BEST_FPERIOD_OVERRIDE=FQ","FILING_STATUS=MR","FA_ADJUSTED=GAAP","Sort=A","Dates=H","DateFormat=P","Fill=—","Direction=H","UseDPDF=Y")</f>
        <v>—</v>
      </c>
      <c r="AA52" s="14" t="str">
        <f>_xll.BDH("AMGN US Equity","WASTE_GENERATED_PER_SALES","FY 2024","FY 2024","Currency=USD","Period=FQ","BEST_FPERIOD_OVERRIDE=FQ","FILING_STATUS=MR","FA_ADJUSTED=GAAP","Sort=A","Dates=H","DateFormat=P","Fill=—","Direction=H","UseDPDF=Y")</f>
        <v>—</v>
      </c>
    </row>
    <row r="53" spans="1:27" x14ac:dyDescent="0.25">
      <c r="A53" s="10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x14ac:dyDescent="0.25">
      <c r="A54" s="6" t="s">
        <v>1982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x14ac:dyDescent="0.25">
      <c r="A55" s="10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x14ac:dyDescent="0.25">
      <c r="A56" s="6" t="s">
        <v>1983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x14ac:dyDescent="0.25">
      <c r="A57" s="10" t="s">
        <v>1984</v>
      </c>
      <c r="B57" s="10" t="s">
        <v>1985</v>
      </c>
      <c r="C57" s="14" t="str">
        <f>_xll.BDH("AMGN US Equity","WOMEN_MANAGEMENT_TO_EMPL_RATIO","FY 2000","FY 2000","Currency=USD","Period=FQ","BEST_FPERIOD_OVERRIDE=FQ","FILING_STATUS=MR","Sort=A","Dates=H","DateFormat=P","Fill=—","Direction=H","UseDPDF=Y")</f>
        <v>—</v>
      </c>
      <c r="D57" s="14" t="str">
        <f>_xll.BDH("AMGN US Equity","WOMEN_MANAGEMENT_TO_EMPL_RATIO","FY 2001","FY 2001","Currency=USD","Period=FQ","BEST_FPERIOD_OVERRIDE=FQ","FILING_STATUS=MR","Sort=A","Dates=H","DateFormat=P","Fill=—","Direction=H","UseDPDF=Y")</f>
        <v>—</v>
      </c>
      <c r="E57" s="14" t="str">
        <f>_xll.BDH("AMGN US Equity","WOMEN_MANAGEMENT_TO_EMPL_RATIO","FY 2002","FY 2002","Currency=USD","Period=FQ","BEST_FPERIOD_OVERRIDE=FQ","FILING_STATUS=MR","Sort=A","Dates=H","DateFormat=P","Fill=—","Direction=H","UseDPDF=Y")</f>
        <v>—</v>
      </c>
      <c r="F57" s="14" t="str">
        <f>_xll.BDH("AMGN US Equity","WOMEN_MANAGEMENT_TO_EMPL_RATIO","FY 2003","FY 2003","Currency=USD","Period=FQ","BEST_FPERIOD_OVERRIDE=FQ","FILING_STATUS=MR","Sort=A","Dates=H","DateFormat=P","Fill=—","Direction=H","UseDPDF=Y")</f>
        <v>—</v>
      </c>
      <c r="G57" s="14" t="str">
        <f>_xll.BDH("AMGN US Equity","WOMEN_MANAGEMENT_TO_EMPL_RATIO","FY 2004","FY 2004","Currency=USD","Period=FQ","BEST_FPERIOD_OVERRIDE=FQ","FILING_STATUS=MR","Sort=A","Dates=H","DateFormat=P","Fill=—","Direction=H","UseDPDF=Y")</f>
        <v>—</v>
      </c>
      <c r="H57" s="14" t="str">
        <f>_xll.BDH("AMGN US Equity","WOMEN_MANAGEMENT_TO_EMPL_RATIO","FY 2005","FY 2005","Currency=USD","Period=FQ","BEST_FPERIOD_OVERRIDE=FQ","FILING_STATUS=MR","Sort=A","Dates=H","DateFormat=P","Fill=—","Direction=H","UseDPDF=Y")</f>
        <v>—</v>
      </c>
      <c r="I57" s="14" t="str">
        <f>_xll.BDH("AMGN US Equity","WOMEN_MANAGEMENT_TO_EMPL_RATIO","FY 2006","FY 2006","Currency=USD","Period=FQ","BEST_FPERIOD_OVERRIDE=FQ","FILING_STATUS=MR","Sort=A","Dates=H","DateFormat=P","Fill=—","Direction=H","UseDPDF=Y")</f>
        <v>—</v>
      </c>
      <c r="J57" s="14" t="str">
        <f>_xll.BDH("AMGN US Equity","WOMEN_MANAGEMENT_TO_EMPL_RATIO","FY 2007","FY 2007","Currency=USD","Period=FQ","BEST_FPERIOD_OVERRIDE=FQ","FILING_STATUS=MR","Sort=A","Dates=H","DateFormat=P","Fill=—","Direction=H","UseDPDF=Y")</f>
        <v>—</v>
      </c>
      <c r="K57" s="14" t="str">
        <f>_xll.BDH("AMGN US Equity","WOMEN_MANAGEMENT_TO_EMPL_RATIO","FY 2008","FY 2008","Currency=USD","Period=FQ","BEST_FPERIOD_OVERRIDE=FQ","FILING_STATUS=MR","Sort=A","Dates=H","DateFormat=P","Fill=—","Direction=H","UseDPDF=Y")</f>
        <v>—</v>
      </c>
      <c r="L57" s="14" t="str">
        <f>_xll.BDH("AMGN US Equity","WOMEN_MANAGEMENT_TO_EMPL_RATIO","FY 2009","FY 2009","Currency=USD","Period=FQ","BEST_FPERIOD_OVERRIDE=FQ","FILING_STATUS=MR","Sort=A","Dates=H","DateFormat=P","Fill=—","Direction=H","UseDPDF=Y")</f>
        <v>—</v>
      </c>
      <c r="M57" s="14" t="str">
        <f>_xll.BDH("AMGN US Equity","WOMEN_MANAGEMENT_TO_EMPL_RATIO","FY 2010","FY 2010","Currency=USD","Period=FQ","BEST_FPERIOD_OVERRIDE=FQ","FILING_STATUS=MR","Sort=A","Dates=H","DateFormat=P","Fill=—","Direction=H","UseDPDF=Y")</f>
        <v>—</v>
      </c>
      <c r="N57" s="14" t="str">
        <f>_xll.BDH("AMGN US Equity","WOMEN_MANAGEMENT_TO_EMPL_RATIO","FY 2011","FY 2011","Currency=USD","Period=FQ","BEST_FPERIOD_OVERRIDE=FQ","FILING_STATUS=MR","Sort=A","Dates=H","DateFormat=P","Fill=—","Direction=H","UseDPDF=Y")</f>
        <v>—</v>
      </c>
      <c r="O57" s="14" t="str">
        <f>_xll.BDH("AMGN US Equity","WOMEN_MANAGEMENT_TO_EMPL_RATIO","FY 2012","FY 2012","Currency=USD","Period=FQ","BEST_FPERIOD_OVERRIDE=FQ","FILING_STATUS=MR","Sort=A","Dates=H","DateFormat=P","Fill=—","Direction=H","UseDPDF=Y")</f>
        <v>—</v>
      </c>
      <c r="P57" s="14" t="str">
        <f>_xll.BDH("AMGN US Equity","WOMEN_MANAGEMENT_TO_EMPL_RATIO","FY 2013","FY 2013","Currency=USD","Period=FQ","BEST_FPERIOD_OVERRIDE=FQ","FILING_STATUS=MR","Sort=A","Dates=H","DateFormat=P","Fill=—","Direction=H","UseDPDF=Y")</f>
        <v>—</v>
      </c>
      <c r="Q57" s="14" t="str">
        <f>_xll.BDH("AMGN US Equity","WOMEN_MANAGEMENT_TO_EMPL_RATIO","FY 2014","FY 2014","Currency=USD","Period=FQ","BEST_FPERIOD_OVERRIDE=FQ","FILING_STATUS=MR","Sort=A","Dates=H","DateFormat=P","Fill=—","Direction=H","UseDPDF=Y")</f>
        <v>—</v>
      </c>
      <c r="R57" s="14" t="str">
        <f>_xll.BDH("AMGN US Equity","WOMEN_MANAGEMENT_TO_EMPL_RATIO","FY 2015","FY 2015","Currency=USD","Period=FQ","BEST_FPERIOD_OVERRIDE=FQ","FILING_STATUS=MR","Sort=A","Dates=H","DateFormat=P","Fill=—","Direction=H","UseDPDF=Y")</f>
        <v>—</v>
      </c>
      <c r="S57" s="14" t="str">
        <f>_xll.BDH("AMGN US Equity","WOMEN_MANAGEMENT_TO_EMPL_RATIO","FY 2016","FY 2016","Currency=USD","Period=FQ","BEST_FPERIOD_OVERRIDE=FQ","FILING_STATUS=MR","Sort=A","Dates=H","DateFormat=P","Fill=—","Direction=H","UseDPDF=Y")</f>
        <v>—</v>
      </c>
      <c r="T57" s="14" t="str">
        <f>_xll.BDH("AMGN US Equity","WOMEN_MANAGEMENT_TO_EMPL_RATIO","FY 2017","FY 2017","Currency=USD","Period=FQ","BEST_FPERIOD_OVERRIDE=FQ","FILING_STATUS=MR","Sort=A","Dates=H","DateFormat=P","Fill=—","Direction=H","UseDPDF=Y")</f>
        <v>—</v>
      </c>
      <c r="U57" s="14" t="str">
        <f>_xll.BDH("AMGN US Equity","WOMEN_MANAGEMENT_TO_EMPL_RATIO","FY 2018","FY 2018","Currency=USD","Period=FQ","BEST_FPERIOD_OVERRIDE=FQ","FILING_STATUS=MR","Sort=A","Dates=H","DateFormat=P","Fill=—","Direction=H","UseDPDF=Y")</f>
        <v>—</v>
      </c>
      <c r="V57" s="14" t="str">
        <f>_xll.BDH("AMGN US Equity","WOMEN_MANAGEMENT_TO_EMPL_RATIO","FY 2019","FY 2019","Currency=USD","Period=FQ","BEST_FPERIOD_OVERRIDE=FQ","FILING_STATUS=MR","Sort=A","Dates=H","DateFormat=P","Fill=—","Direction=H","UseDPDF=Y")</f>
        <v>—</v>
      </c>
      <c r="W57" s="14" t="str">
        <f>_xll.BDH("AMGN US Equity","WOMEN_MANAGEMENT_TO_EMPL_RATIO","FY 2020","FY 2020","Currency=USD","Period=FQ","BEST_FPERIOD_OVERRIDE=FQ","FILING_STATUS=MR","Sort=A","Dates=H","DateFormat=P","Fill=—","Direction=H","UseDPDF=Y")</f>
        <v>—</v>
      </c>
      <c r="X57" s="14" t="str">
        <f>_xll.BDH("AMGN US Equity","WOMEN_MANAGEMENT_TO_EMPL_RATIO","FY 2021","FY 2021","Currency=USD","Period=FQ","BEST_FPERIOD_OVERRIDE=FQ","FILING_STATUS=MR","Sort=A","Dates=H","DateFormat=P","Fill=—","Direction=H","UseDPDF=Y")</f>
        <v>—</v>
      </c>
      <c r="Y57" s="14" t="str">
        <f>_xll.BDH("AMGN US Equity","WOMEN_MANAGEMENT_TO_EMPL_RATIO","FY 2022","FY 2022","Currency=USD","Period=FQ","BEST_FPERIOD_OVERRIDE=FQ","FILING_STATUS=MR","Sort=A","Dates=H","DateFormat=P","Fill=—","Direction=H","UseDPDF=Y")</f>
        <v>—</v>
      </c>
      <c r="Z57" s="14" t="str">
        <f>_xll.BDH("AMGN US Equity","WOMEN_MANAGEMENT_TO_EMPL_RATIO","FY 2023","FY 2023","Currency=USD","Period=FQ","BEST_FPERIOD_OVERRIDE=FQ","FILING_STATUS=MR","Sort=A","Dates=H","DateFormat=P","Fill=—","Direction=H","UseDPDF=Y")</f>
        <v>—</v>
      </c>
      <c r="AA57" s="14" t="str">
        <f>_xll.BDH("AMGN US Equity","WOMEN_MANAGEMENT_TO_EMPL_RATIO","FY 2024","FY 2024","Currency=USD","Period=FQ","BEST_FPERIOD_OVERRIDE=FQ","FILING_STATUS=MR","Sort=A","Dates=H","DateFormat=P","Fill=—","Direction=H","UseDPDF=Y")</f>
        <v>—</v>
      </c>
    </row>
    <row r="58" spans="1:27" x14ac:dyDescent="0.25">
      <c r="A58" s="10" t="s">
        <v>1986</v>
      </c>
      <c r="B58" s="10" t="s">
        <v>1987</v>
      </c>
      <c r="C58" s="14" t="str">
        <f>_xll.BDH("AMGN US Equity","COMMUNITY_SPND_PCT_PRETAX_PROFIT","FY 2000","FY 2000","Currency=USD","Period=FQ","BEST_FPERIOD_OVERRIDE=FQ","FILING_STATUS=MR","FA_ADJUSTED=GAAP","Sort=A","Dates=H","DateFormat=P","Fill=—","Direction=H","UseDPDF=Y")</f>
        <v>—</v>
      </c>
      <c r="D58" s="14" t="str">
        <f>_xll.BDH("AMGN US Equity","COMMUNITY_SPND_PCT_PRETAX_PROFIT","FY 2001","FY 2001","Currency=USD","Period=FQ","BEST_FPERIOD_OVERRIDE=FQ","FILING_STATUS=MR","FA_ADJUSTED=GAAP","Sort=A","Dates=H","DateFormat=P","Fill=—","Direction=H","UseDPDF=Y")</f>
        <v>—</v>
      </c>
      <c r="E58" s="14" t="str">
        <f>_xll.BDH("AMGN US Equity","COMMUNITY_SPND_PCT_PRETAX_PROFIT","FY 2002","FY 2002","Currency=USD","Period=FQ","BEST_FPERIOD_OVERRIDE=FQ","FILING_STATUS=MR","FA_ADJUSTED=GAAP","Sort=A","Dates=H","DateFormat=P","Fill=—","Direction=H","UseDPDF=Y")</f>
        <v>—</v>
      </c>
      <c r="F58" s="14" t="str">
        <f>_xll.BDH("AMGN US Equity","COMMUNITY_SPND_PCT_PRETAX_PROFIT","FY 2003","FY 2003","Currency=USD","Period=FQ","BEST_FPERIOD_OVERRIDE=FQ","FILING_STATUS=MR","FA_ADJUSTED=GAAP","Sort=A","Dates=H","DateFormat=P","Fill=—","Direction=H","UseDPDF=Y")</f>
        <v>—</v>
      </c>
      <c r="G58" s="14" t="str">
        <f>_xll.BDH("AMGN US Equity","COMMUNITY_SPND_PCT_PRETAX_PROFIT","FY 2004","FY 2004","Currency=USD","Period=FQ","BEST_FPERIOD_OVERRIDE=FQ","FILING_STATUS=MR","FA_ADJUSTED=GAAP","Sort=A","Dates=H","DateFormat=P","Fill=—","Direction=H","UseDPDF=Y")</f>
        <v>—</v>
      </c>
      <c r="H58" s="14" t="str">
        <f>_xll.BDH("AMGN US Equity","COMMUNITY_SPND_PCT_PRETAX_PROFIT","FY 2005","FY 2005","Currency=USD","Period=FQ","BEST_FPERIOD_OVERRIDE=FQ","FILING_STATUS=MR","FA_ADJUSTED=GAAP","Sort=A","Dates=H","DateFormat=P","Fill=—","Direction=H","UseDPDF=Y")</f>
        <v>—</v>
      </c>
      <c r="I58" s="14" t="str">
        <f>_xll.BDH("AMGN US Equity","COMMUNITY_SPND_PCT_PRETAX_PROFIT","FY 2006","FY 2006","Currency=USD","Period=FQ","BEST_FPERIOD_OVERRIDE=FQ","FILING_STATUS=MR","FA_ADJUSTED=GAAP","Sort=A","Dates=H","DateFormat=P","Fill=—","Direction=H","UseDPDF=Y")</f>
        <v>—</v>
      </c>
      <c r="J58" s="14" t="str">
        <f>_xll.BDH("AMGN US Equity","COMMUNITY_SPND_PCT_PRETAX_PROFIT","FY 2007","FY 2007","Currency=USD","Period=FQ","BEST_FPERIOD_OVERRIDE=FQ","FILING_STATUS=MR","FA_ADJUSTED=GAAP","Sort=A","Dates=H","DateFormat=P","Fill=—","Direction=H","UseDPDF=Y")</f>
        <v>—</v>
      </c>
      <c r="K58" s="14" t="str">
        <f>_xll.BDH("AMGN US Equity","COMMUNITY_SPND_PCT_PRETAX_PROFIT","FY 2008","FY 2008","Currency=USD","Period=FQ","BEST_FPERIOD_OVERRIDE=FQ","FILING_STATUS=MR","FA_ADJUSTED=GAAP","Sort=A","Dates=H","DateFormat=P","Fill=—","Direction=H","UseDPDF=Y")</f>
        <v>—</v>
      </c>
      <c r="L58" s="14" t="str">
        <f>_xll.BDH("AMGN US Equity","COMMUNITY_SPND_PCT_PRETAX_PROFIT","FY 2009","FY 2009","Currency=USD","Period=FQ","BEST_FPERIOD_OVERRIDE=FQ","FILING_STATUS=MR","FA_ADJUSTED=GAAP","Sort=A","Dates=H","DateFormat=P","Fill=—","Direction=H","UseDPDF=Y")</f>
        <v>—</v>
      </c>
      <c r="M58" s="14" t="str">
        <f>_xll.BDH("AMGN US Equity","COMMUNITY_SPND_PCT_PRETAX_PROFIT","FY 2010","FY 2010","Currency=USD","Period=FQ","BEST_FPERIOD_OVERRIDE=FQ","FILING_STATUS=MR","FA_ADJUSTED=GAAP","Sort=A","Dates=H","DateFormat=P","Fill=—","Direction=H","UseDPDF=Y")</f>
        <v>—</v>
      </c>
      <c r="N58" s="14" t="str">
        <f>_xll.BDH("AMGN US Equity","COMMUNITY_SPND_PCT_PRETAX_PROFIT","FY 2011","FY 2011","Currency=USD","Period=FQ","BEST_FPERIOD_OVERRIDE=FQ","FILING_STATUS=MR","FA_ADJUSTED=GAAP","Sort=A","Dates=H","DateFormat=P","Fill=—","Direction=H","UseDPDF=Y")</f>
        <v>—</v>
      </c>
      <c r="O58" s="14" t="str">
        <f>_xll.BDH("AMGN US Equity","COMMUNITY_SPND_PCT_PRETAX_PROFIT","FY 2012","FY 2012","Currency=USD","Period=FQ","BEST_FPERIOD_OVERRIDE=FQ","FILING_STATUS=MR","FA_ADJUSTED=GAAP","Sort=A","Dates=H","DateFormat=P","Fill=—","Direction=H","UseDPDF=Y")</f>
        <v>—</v>
      </c>
      <c r="P58" s="14" t="str">
        <f>_xll.BDH("AMGN US Equity","COMMUNITY_SPND_PCT_PRETAX_PROFIT","FY 2013","FY 2013","Currency=USD","Period=FQ","BEST_FPERIOD_OVERRIDE=FQ","FILING_STATUS=MR","FA_ADJUSTED=GAAP","Sort=A","Dates=H","DateFormat=P","Fill=—","Direction=H","UseDPDF=Y")</f>
        <v>—</v>
      </c>
      <c r="Q58" s="14" t="str">
        <f>_xll.BDH("AMGN US Equity","COMMUNITY_SPND_PCT_PRETAX_PROFIT","FY 2014","FY 2014","Currency=USD","Period=FQ","BEST_FPERIOD_OVERRIDE=FQ","FILING_STATUS=MR","FA_ADJUSTED=GAAP","Sort=A","Dates=H","DateFormat=P","Fill=—","Direction=H","UseDPDF=Y")</f>
        <v>—</v>
      </c>
      <c r="R58" s="14" t="str">
        <f>_xll.BDH("AMGN US Equity","COMMUNITY_SPND_PCT_PRETAX_PROFIT","FY 2015","FY 2015","Currency=USD","Period=FQ","BEST_FPERIOD_OVERRIDE=FQ","FILING_STATUS=MR","FA_ADJUSTED=GAAP","Sort=A","Dates=H","DateFormat=P","Fill=—","Direction=H","UseDPDF=Y")</f>
        <v>—</v>
      </c>
      <c r="S58" s="14" t="str">
        <f>_xll.BDH("AMGN US Equity","COMMUNITY_SPND_PCT_PRETAX_PROFIT","FY 2016","FY 2016","Currency=USD","Period=FQ","BEST_FPERIOD_OVERRIDE=FQ","FILING_STATUS=MR","FA_ADJUSTED=GAAP","Sort=A","Dates=H","DateFormat=P","Fill=—","Direction=H","UseDPDF=Y")</f>
        <v>—</v>
      </c>
      <c r="T58" s="14" t="str">
        <f>_xll.BDH("AMGN US Equity","COMMUNITY_SPND_PCT_PRETAX_PROFIT","FY 2017","FY 2017","Currency=USD","Period=FQ","BEST_FPERIOD_OVERRIDE=FQ","FILING_STATUS=MR","FA_ADJUSTED=GAAP","Sort=A","Dates=H","DateFormat=P","Fill=—","Direction=H","UseDPDF=Y")</f>
        <v>—</v>
      </c>
      <c r="U58" s="14" t="str">
        <f>_xll.BDH("AMGN US Equity","COMMUNITY_SPND_PCT_PRETAX_PROFIT","FY 2018","FY 2018","Currency=USD","Period=FQ","BEST_FPERIOD_OVERRIDE=FQ","FILING_STATUS=MR","FA_ADJUSTED=GAAP","Sort=A","Dates=H","DateFormat=P","Fill=—","Direction=H","UseDPDF=Y")</f>
        <v>—</v>
      </c>
      <c r="V58" s="14" t="str">
        <f>_xll.BDH("AMGN US Equity","COMMUNITY_SPND_PCT_PRETAX_PROFIT","FY 2019","FY 2019","Currency=USD","Period=FQ","BEST_FPERIOD_OVERRIDE=FQ","FILING_STATUS=MR","FA_ADJUSTED=GAAP","Sort=A","Dates=H","DateFormat=P","Fill=—","Direction=H","UseDPDF=Y")</f>
        <v>—</v>
      </c>
      <c r="W58" s="14" t="str">
        <f>_xll.BDH("AMGN US Equity","COMMUNITY_SPND_PCT_PRETAX_PROFIT","FY 2020","FY 2020","Currency=USD","Period=FQ","BEST_FPERIOD_OVERRIDE=FQ","FILING_STATUS=MR","FA_ADJUSTED=GAAP","Sort=A","Dates=H","DateFormat=P","Fill=—","Direction=H","UseDPDF=Y")</f>
        <v>—</v>
      </c>
      <c r="X58" s="14" t="str">
        <f>_xll.BDH("AMGN US Equity","COMMUNITY_SPND_PCT_PRETAX_PROFIT","FY 2021","FY 2021","Currency=USD","Period=FQ","BEST_FPERIOD_OVERRIDE=FQ","FILING_STATUS=MR","FA_ADJUSTED=GAAP","Sort=A","Dates=H","DateFormat=P","Fill=—","Direction=H","UseDPDF=Y")</f>
        <v>—</v>
      </c>
      <c r="Y58" s="14" t="str">
        <f>_xll.BDH("AMGN US Equity","COMMUNITY_SPND_PCT_PRETAX_PROFIT","FY 2022","FY 2022","Currency=USD","Period=FQ","BEST_FPERIOD_OVERRIDE=FQ","FILING_STATUS=MR","FA_ADJUSTED=GAAP","Sort=A","Dates=H","DateFormat=P","Fill=—","Direction=H","UseDPDF=Y")</f>
        <v>—</v>
      </c>
      <c r="Z58" s="14" t="str">
        <f>_xll.BDH("AMGN US Equity","COMMUNITY_SPND_PCT_PRETAX_PROFIT","FY 2023","FY 2023","Currency=USD","Period=FQ","BEST_FPERIOD_OVERRIDE=FQ","FILING_STATUS=MR","FA_ADJUSTED=GAAP","Sort=A","Dates=H","DateFormat=P","Fill=—","Direction=H","UseDPDF=Y")</f>
        <v>—</v>
      </c>
      <c r="AA58" s="14" t="str">
        <f>_xll.BDH("AMGN US Equity","COMMUNITY_SPND_PCT_PRETAX_PROFIT","FY 2024","FY 2024","Currency=USD","Period=FQ","BEST_FPERIOD_OVERRIDE=FQ","FILING_STATUS=MR","FA_ADJUSTED=GAAP","Sort=A","Dates=H","DateFormat=P","Fill=—","Direction=H","UseDPDF=Y")</f>
        <v>—</v>
      </c>
    </row>
    <row r="59" spans="1:27" x14ac:dyDescent="0.25">
      <c r="A59" s="10" t="s">
        <v>1988</v>
      </c>
      <c r="B59" s="10" t="s">
        <v>1989</v>
      </c>
      <c r="C59" s="14" t="str">
        <f>_xll.BDH("AMGN US Equity","COMMUNITY_SPEND_PCT_EBITDA","FY 2000","FY 2000","Currency=USD","Period=FQ","BEST_FPERIOD_OVERRIDE=FQ","FILING_STATUS=MR","FA_ADJUSTED=GAAP","Sort=A","Dates=H","DateFormat=P","Fill=—","Direction=H","UseDPDF=Y")</f>
        <v>—</v>
      </c>
      <c r="D59" s="14" t="str">
        <f>_xll.BDH("AMGN US Equity","COMMUNITY_SPEND_PCT_EBITDA","FY 2001","FY 2001","Currency=USD","Period=FQ","BEST_FPERIOD_OVERRIDE=FQ","FILING_STATUS=MR","FA_ADJUSTED=GAAP","Sort=A","Dates=H","DateFormat=P","Fill=—","Direction=H","UseDPDF=Y")</f>
        <v>—</v>
      </c>
      <c r="E59" s="14" t="str">
        <f>_xll.BDH("AMGN US Equity","COMMUNITY_SPEND_PCT_EBITDA","FY 2002","FY 2002","Currency=USD","Period=FQ","BEST_FPERIOD_OVERRIDE=FQ","FILING_STATUS=MR","FA_ADJUSTED=GAAP","Sort=A","Dates=H","DateFormat=P","Fill=—","Direction=H","UseDPDF=Y")</f>
        <v>—</v>
      </c>
      <c r="F59" s="14" t="str">
        <f>_xll.BDH("AMGN US Equity","COMMUNITY_SPEND_PCT_EBITDA","FY 2003","FY 2003","Currency=USD","Period=FQ","BEST_FPERIOD_OVERRIDE=FQ","FILING_STATUS=MR","FA_ADJUSTED=GAAP","Sort=A","Dates=H","DateFormat=P","Fill=—","Direction=H","UseDPDF=Y")</f>
        <v>—</v>
      </c>
      <c r="G59" s="14" t="str">
        <f>_xll.BDH("AMGN US Equity","COMMUNITY_SPEND_PCT_EBITDA","FY 2004","FY 2004","Currency=USD","Period=FQ","BEST_FPERIOD_OVERRIDE=FQ","FILING_STATUS=MR","FA_ADJUSTED=GAAP","Sort=A","Dates=H","DateFormat=P","Fill=—","Direction=H","UseDPDF=Y")</f>
        <v>—</v>
      </c>
      <c r="H59" s="14" t="str">
        <f>_xll.BDH("AMGN US Equity","COMMUNITY_SPEND_PCT_EBITDA","FY 2005","FY 2005","Currency=USD","Period=FQ","BEST_FPERIOD_OVERRIDE=FQ","FILING_STATUS=MR","FA_ADJUSTED=GAAP","Sort=A","Dates=H","DateFormat=P","Fill=—","Direction=H","UseDPDF=Y")</f>
        <v>—</v>
      </c>
      <c r="I59" s="14" t="str">
        <f>_xll.BDH("AMGN US Equity","COMMUNITY_SPEND_PCT_EBITDA","FY 2006","FY 2006","Currency=USD","Period=FQ","BEST_FPERIOD_OVERRIDE=FQ","FILING_STATUS=MR","FA_ADJUSTED=GAAP","Sort=A","Dates=H","DateFormat=P","Fill=—","Direction=H","UseDPDF=Y")</f>
        <v>—</v>
      </c>
      <c r="J59" s="14" t="str">
        <f>_xll.BDH("AMGN US Equity","COMMUNITY_SPEND_PCT_EBITDA","FY 2007","FY 2007","Currency=USD","Period=FQ","BEST_FPERIOD_OVERRIDE=FQ","FILING_STATUS=MR","FA_ADJUSTED=GAAP","Sort=A","Dates=H","DateFormat=P","Fill=—","Direction=H","UseDPDF=Y")</f>
        <v>—</v>
      </c>
      <c r="K59" s="14" t="str">
        <f>_xll.BDH("AMGN US Equity","COMMUNITY_SPEND_PCT_EBITDA","FY 2008","FY 2008","Currency=USD","Period=FQ","BEST_FPERIOD_OVERRIDE=FQ","FILING_STATUS=MR","FA_ADJUSTED=GAAP","Sort=A","Dates=H","DateFormat=P","Fill=—","Direction=H","UseDPDF=Y")</f>
        <v>—</v>
      </c>
      <c r="L59" s="14" t="str">
        <f>_xll.BDH("AMGN US Equity","COMMUNITY_SPEND_PCT_EBITDA","FY 2009","FY 2009","Currency=USD","Period=FQ","BEST_FPERIOD_OVERRIDE=FQ","FILING_STATUS=MR","FA_ADJUSTED=GAAP","Sort=A","Dates=H","DateFormat=P","Fill=—","Direction=H","UseDPDF=Y")</f>
        <v>—</v>
      </c>
      <c r="M59" s="14" t="str">
        <f>_xll.BDH("AMGN US Equity","COMMUNITY_SPEND_PCT_EBITDA","FY 2010","FY 2010","Currency=USD","Period=FQ","BEST_FPERIOD_OVERRIDE=FQ","FILING_STATUS=MR","FA_ADJUSTED=GAAP","Sort=A","Dates=H","DateFormat=P","Fill=—","Direction=H","UseDPDF=Y")</f>
        <v>—</v>
      </c>
      <c r="N59" s="14" t="str">
        <f>_xll.BDH("AMGN US Equity","COMMUNITY_SPEND_PCT_EBITDA","FY 2011","FY 2011","Currency=USD","Period=FQ","BEST_FPERIOD_OVERRIDE=FQ","FILING_STATUS=MR","FA_ADJUSTED=GAAP","Sort=A","Dates=H","DateFormat=P","Fill=—","Direction=H","UseDPDF=Y")</f>
        <v>—</v>
      </c>
      <c r="O59" s="14" t="str">
        <f>_xll.BDH("AMGN US Equity","COMMUNITY_SPEND_PCT_EBITDA","FY 2012","FY 2012","Currency=USD","Period=FQ","BEST_FPERIOD_OVERRIDE=FQ","FILING_STATUS=MR","FA_ADJUSTED=GAAP","Sort=A","Dates=H","DateFormat=P","Fill=—","Direction=H","UseDPDF=Y")</f>
        <v>—</v>
      </c>
      <c r="P59" s="14" t="str">
        <f>_xll.BDH("AMGN US Equity","COMMUNITY_SPEND_PCT_EBITDA","FY 2013","FY 2013","Currency=USD","Period=FQ","BEST_FPERIOD_OVERRIDE=FQ","FILING_STATUS=MR","FA_ADJUSTED=GAAP","Sort=A","Dates=H","DateFormat=P","Fill=—","Direction=H","UseDPDF=Y")</f>
        <v>—</v>
      </c>
      <c r="Q59" s="14" t="str">
        <f>_xll.BDH("AMGN US Equity","COMMUNITY_SPEND_PCT_EBITDA","FY 2014","FY 2014","Currency=USD","Period=FQ","BEST_FPERIOD_OVERRIDE=FQ","FILING_STATUS=MR","FA_ADJUSTED=GAAP","Sort=A","Dates=H","DateFormat=P","Fill=—","Direction=H","UseDPDF=Y")</f>
        <v>—</v>
      </c>
      <c r="R59" s="14" t="str">
        <f>_xll.BDH("AMGN US Equity","COMMUNITY_SPEND_PCT_EBITDA","FY 2015","FY 2015","Currency=USD","Period=FQ","BEST_FPERIOD_OVERRIDE=FQ","FILING_STATUS=MR","FA_ADJUSTED=GAAP","Sort=A","Dates=H","DateFormat=P","Fill=—","Direction=H","UseDPDF=Y")</f>
        <v>—</v>
      </c>
      <c r="S59" s="14" t="str">
        <f>_xll.BDH("AMGN US Equity","COMMUNITY_SPEND_PCT_EBITDA","FY 2016","FY 2016","Currency=USD","Period=FQ","BEST_FPERIOD_OVERRIDE=FQ","FILING_STATUS=MR","FA_ADJUSTED=GAAP","Sort=A","Dates=H","DateFormat=P","Fill=—","Direction=H","UseDPDF=Y")</f>
        <v>—</v>
      </c>
      <c r="T59" s="14" t="str">
        <f>_xll.BDH("AMGN US Equity","COMMUNITY_SPEND_PCT_EBITDA","FY 2017","FY 2017","Currency=USD","Period=FQ","BEST_FPERIOD_OVERRIDE=FQ","FILING_STATUS=MR","FA_ADJUSTED=GAAP","Sort=A","Dates=H","DateFormat=P","Fill=—","Direction=H","UseDPDF=Y")</f>
        <v>—</v>
      </c>
      <c r="U59" s="14" t="str">
        <f>_xll.BDH("AMGN US Equity","COMMUNITY_SPEND_PCT_EBITDA","FY 2018","FY 2018","Currency=USD","Period=FQ","BEST_FPERIOD_OVERRIDE=FQ","FILING_STATUS=MR","FA_ADJUSTED=GAAP","Sort=A","Dates=H","DateFormat=P","Fill=—","Direction=H","UseDPDF=Y")</f>
        <v>—</v>
      </c>
      <c r="V59" s="14" t="str">
        <f>_xll.BDH("AMGN US Equity","COMMUNITY_SPEND_PCT_EBITDA","FY 2019","FY 2019","Currency=USD","Period=FQ","BEST_FPERIOD_OVERRIDE=FQ","FILING_STATUS=MR","FA_ADJUSTED=GAAP","Sort=A","Dates=H","DateFormat=P","Fill=—","Direction=H","UseDPDF=Y")</f>
        <v>—</v>
      </c>
      <c r="W59" s="14" t="str">
        <f>_xll.BDH("AMGN US Equity","COMMUNITY_SPEND_PCT_EBITDA","FY 2020","FY 2020","Currency=USD","Period=FQ","BEST_FPERIOD_OVERRIDE=FQ","FILING_STATUS=MR","FA_ADJUSTED=GAAP","Sort=A","Dates=H","DateFormat=P","Fill=—","Direction=H","UseDPDF=Y")</f>
        <v>—</v>
      </c>
      <c r="X59" s="14" t="str">
        <f>_xll.BDH("AMGN US Equity","COMMUNITY_SPEND_PCT_EBITDA","FY 2021","FY 2021","Currency=USD","Period=FQ","BEST_FPERIOD_OVERRIDE=FQ","FILING_STATUS=MR","FA_ADJUSTED=GAAP","Sort=A","Dates=H","DateFormat=P","Fill=—","Direction=H","UseDPDF=Y")</f>
        <v>—</v>
      </c>
      <c r="Y59" s="14" t="str">
        <f>_xll.BDH("AMGN US Equity","COMMUNITY_SPEND_PCT_EBITDA","FY 2022","FY 2022","Currency=USD","Period=FQ","BEST_FPERIOD_OVERRIDE=FQ","FILING_STATUS=MR","FA_ADJUSTED=GAAP","Sort=A","Dates=H","DateFormat=P","Fill=—","Direction=H","UseDPDF=Y")</f>
        <v>—</v>
      </c>
      <c r="Z59" s="14" t="str">
        <f>_xll.BDH("AMGN US Equity","COMMUNITY_SPEND_PCT_EBITDA","FY 2023","FY 2023","Currency=USD","Period=FQ","BEST_FPERIOD_OVERRIDE=FQ","FILING_STATUS=MR","FA_ADJUSTED=GAAP","Sort=A","Dates=H","DateFormat=P","Fill=—","Direction=H","UseDPDF=Y")</f>
        <v>—</v>
      </c>
      <c r="AA59" s="14" t="str">
        <f>_xll.BDH("AMGN US Equity","COMMUNITY_SPEND_PCT_EBITDA","FY 2024","FY 2024","Currency=USD","Period=FQ","BEST_FPERIOD_OVERRIDE=FQ","FILING_STATUS=MR","FA_ADJUSTED=GAAP","Sort=A","Dates=H","DateFormat=P","Fill=—","Direction=H","UseDPDF=Y")</f>
        <v>—</v>
      </c>
    </row>
    <row r="60" spans="1:27" x14ac:dyDescent="0.25">
      <c r="A60" s="10" t="s">
        <v>1990</v>
      </c>
      <c r="B60" s="10" t="s">
        <v>1991</v>
      </c>
      <c r="C60" s="14" t="str">
        <f>_xll.BDH("AMGN US Equity","COMMUNITY_SPEND_PCT_EQUITY","FY 2000","FY 2000","Currency=USD","Period=FQ","BEST_FPERIOD_OVERRIDE=FQ","FILING_STATUS=MR","Sort=A","Dates=H","DateFormat=P","Fill=—","Direction=H","UseDPDF=Y")</f>
        <v>—</v>
      </c>
      <c r="D60" s="14" t="str">
        <f>_xll.BDH("AMGN US Equity","COMMUNITY_SPEND_PCT_EQUITY","FY 2001","FY 2001","Currency=USD","Period=FQ","BEST_FPERIOD_OVERRIDE=FQ","FILING_STATUS=MR","Sort=A","Dates=H","DateFormat=P","Fill=—","Direction=H","UseDPDF=Y")</f>
        <v>—</v>
      </c>
      <c r="E60" s="14" t="str">
        <f>_xll.BDH("AMGN US Equity","COMMUNITY_SPEND_PCT_EQUITY","FY 2002","FY 2002","Currency=USD","Period=FQ","BEST_FPERIOD_OVERRIDE=FQ","FILING_STATUS=MR","Sort=A","Dates=H","DateFormat=P","Fill=—","Direction=H","UseDPDF=Y")</f>
        <v>—</v>
      </c>
      <c r="F60" s="14" t="str">
        <f>_xll.BDH("AMGN US Equity","COMMUNITY_SPEND_PCT_EQUITY","FY 2003","FY 2003","Currency=USD","Period=FQ","BEST_FPERIOD_OVERRIDE=FQ","FILING_STATUS=MR","Sort=A","Dates=H","DateFormat=P","Fill=—","Direction=H","UseDPDF=Y")</f>
        <v>—</v>
      </c>
      <c r="G60" s="14" t="str">
        <f>_xll.BDH("AMGN US Equity","COMMUNITY_SPEND_PCT_EQUITY","FY 2004","FY 2004","Currency=USD","Period=FQ","BEST_FPERIOD_OVERRIDE=FQ","FILING_STATUS=MR","Sort=A","Dates=H","DateFormat=P","Fill=—","Direction=H","UseDPDF=Y")</f>
        <v>—</v>
      </c>
      <c r="H60" s="14" t="str">
        <f>_xll.BDH("AMGN US Equity","COMMUNITY_SPEND_PCT_EQUITY","FY 2005","FY 2005","Currency=USD","Period=FQ","BEST_FPERIOD_OVERRIDE=FQ","FILING_STATUS=MR","Sort=A","Dates=H","DateFormat=P","Fill=—","Direction=H","UseDPDF=Y")</f>
        <v>—</v>
      </c>
      <c r="I60" s="14" t="str">
        <f>_xll.BDH("AMGN US Equity","COMMUNITY_SPEND_PCT_EQUITY","FY 2006","FY 2006","Currency=USD","Period=FQ","BEST_FPERIOD_OVERRIDE=FQ","FILING_STATUS=MR","Sort=A","Dates=H","DateFormat=P","Fill=—","Direction=H","UseDPDF=Y")</f>
        <v>—</v>
      </c>
      <c r="J60" s="14" t="str">
        <f>_xll.BDH("AMGN US Equity","COMMUNITY_SPEND_PCT_EQUITY","FY 2007","FY 2007","Currency=USD","Period=FQ","BEST_FPERIOD_OVERRIDE=FQ","FILING_STATUS=MR","Sort=A","Dates=H","DateFormat=P","Fill=—","Direction=H","UseDPDF=Y")</f>
        <v>—</v>
      </c>
      <c r="K60" s="14" t="str">
        <f>_xll.BDH("AMGN US Equity","COMMUNITY_SPEND_PCT_EQUITY","FY 2008","FY 2008","Currency=USD","Period=FQ","BEST_FPERIOD_OVERRIDE=FQ","FILING_STATUS=MR","Sort=A","Dates=H","DateFormat=P","Fill=—","Direction=H","UseDPDF=Y")</f>
        <v>—</v>
      </c>
      <c r="L60" s="14" t="str">
        <f>_xll.BDH("AMGN US Equity","COMMUNITY_SPEND_PCT_EQUITY","FY 2009","FY 2009","Currency=USD","Period=FQ","BEST_FPERIOD_OVERRIDE=FQ","FILING_STATUS=MR","Sort=A","Dates=H","DateFormat=P","Fill=—","Direction=H","UseDPDF=Y")</f>
        <v>—</v>
      </c>
      <c r="M60" s="14" t="str">
        <f>_xll.BDH("AMGN US Equity","COMMUNITY_SPEND_PCT_EQUITY","FY 2010","FY 2010","Currency=USD","Period=FQ","BEST_FPERIOD_OVERRIDE=FQ","FILING_STATUS=MR","Sort=A","Dates=H","DateFormat=P","Fill=—","Direction=H","UseDPDF=Y")</f>
        <v>—</v>
      </c>
      <c r="N60" s="14" t="str">
        <f>_xll.BDH("AMGN US Equity","COMMUNITY_SPEND_PCT_EQUITY","FY 2011","FY 2011","Currency=USD","Period=FQ","BEST_FPERIOD_OVERRIDE=FQ","FILING_STATUS=MR","Sort=A","Dates=H","DateFormat=P","Fill=—","Direction=H","UseDPDF=Y")</f>
        <v>—</v>
      </c>
      <c r="O60" s="14" t="str">
        <f>_xll.BDH("AMGN US Equity","COMMUNITY_SPEND_PCT_EQUITY","FY 2012","FY 2012","Currency=USD","Period=FQ","BEST_FPERIOD_OVERRIDE=FQ","FILING_STATUS=MR","Sort=A","Dates=H","DateFormat=P","Fill=—","Direction=H","UseDPDF=Y")</f>
        <v>—</v>
      </c>
      <c r="P60" s="14" t="str">
        <f>_xll.BDH("AMGN US Equity","COMMUNITY_SPEND_PCT_EQUITY","FY 2013","FY 2013","Currency=USD","Period=FQ","BEST_FPERIOD_OVERRIDE=FQ","FILING_STATUS=MR","Sort=A","Dates=H","DateFormat=P","Fill=—","Direction=H","UseDPDF=Y")</f>
        <v>—</v>
      </c>
      <c r="Q60" s="14" t="str">
        <f>_xll.BDH("AMGN US Equity","COMMUNITY_SPEND_PCT_EQUITY","FY 2014","FY 2014","Currency=USD","Period=FQ","BEST_FPERIOD_OVERRIDE=FQ","FILING_STATUS=MR","Sort=A","Dates=H","DateFormat=P","Fill=—","Direction=H","UseDPDF=Y")</f>
        <v>—</v>
      </c>
      <c r="R60" s="14" t="str">
        <f>_xll.BDH("AMGN US Equity","COMMUNITY_SPEND_PCT_EQUITY","FY 2015","FY 2015","Currency=USD","Period=FQ","BEST_FPERIOD_OVERRIDE=FQ","FILING_STATUS=MR","Sort=A","Dates=H","DateFormat=P","Fill=—","Direction=H","UseDPDF=Y")</f>
        <v>—</v>
      </c>
      <c r="S60" s="14" t="str">
        <f>_xll.BDH("AMGN US Equity","COMMUNITY_SPEND_PCT_EQUITY","FY 2016","FY 2016","Currency=USD","Period=FQ","BEST_FPERIOD_OVERRIDE=FQ","FILING_STATUS=MR","Sort=A","Dates=H","DateFormat=P","Fill=—","Direction=H","UseDPDF=Y")</f>
        <v>—</v>
      </c>
      <c r="T60" s="14" t="str">
        <f>_xll.BDH("AMGN US Equity","COMMUNITY_SPEND_PCT_EQUITY","FY 2017","FY 2017","Currency=USD","Period=FQ","BEST_FPERIOD_OVERRIDE=FQ","FILING_STATUS=MR","Sort=A","Dates=H","DateFormat=P","Fill=—","Direction=H","UseDPDF=Y")</f>
        <v>—</v>
      </c>
      <c r="U60" s="14" t="str">
        <f>_xll.BDH("AMGN US Equity","COMMUNITY_SPEND_PCT_EQUITY","FY 2018","FY 2018","Currency=USD","Period=FQ","BEST_FPERIOD_OVERRIDE=FQ","FILING_STATUS=MR","Sort=A","Dates=H","DateFormat=P","Fill=—","Direction=H","UseDPDF=Y")</f>
        <v>—</v>
      </c>
      <c r="V60" s="14" t="str">
        <f>_xll.BDH("AMGN US Equity","COMMUNITY_SPEND_PCT_EQUITY","FY 2019","FY 2019","Currency=USD","Period=FQ","BEST_FPERIOD_OVERRIDE=FQ","FILING_STATUS=MR","Sort=A","Dates=H","DateFormat=P","Fill=—","Direction=H","UseDPDF=Y")</f>
        <v>—</v>
      </c>
      <c r="W60" s="14" t="str">
        <f>_xll.BDH("AMGN US Equity","COMMUNITY_SPEND_PCT_EQUITY","FY 2020","FY 2020","Currency=USD","Period=FQ","BEST_FPERIOD_OVERRIDE=FQ","FILING_STATUS=MR","Sort=A","Dates=H","DateFormat=P","Fill=—","Direction=H","UseDPDF=Y")</f>
        <v>—</v>
      </c>
      <c r="X60" s="14" t="str">
        <f>_xll.BDH("AMGN US Equity","COMMUNITY_SPEND_PCT_EQUITY","FY 2021","FY 2021","Currency=USD","Period=FQ","BEST_FPERIOD_OVERRIDE=FQ","FILING_STATUS=MR","Sort=A","Dates=H","DateFormat=P","Fill=—","Direction=H","UseDPDF=Y")</f>
        <v>—</v>
      </c>
      <c r="Y60" s="14" t="str">
        <f>_xll.BDH("AMGN US Equity","COMMUNITY_SPEND_PCT_EQUITY","FY 2022","FY 2022","Currency=USD","Period=FQ","BEST_FPERIOD_OVERRIDE=FQ","FILING_STATUS=MR","Sort=A","Dates=H","DateFormat=P","Fill=—","Direction=H","UseDPDF=Y")</f>
        <v>—</v>
      </c>
      <c r="Z60" s="14" t="str">
        <f>_xll.BDH("AMGN US Equity","COMMUNITY_SPEND_PCT_EQUITY","FY 2023","FY 2023","Currency=USD","Period=FQ","BEST_FPERIOD_OVERRIDE=FQ","FILING_STATUS=MR","Sort=A","Dates=H","DateFormat=P","Fill=—","Direction=H","UseDPDF=Y")</f>
        <v>—</v>
      </c>
      <c r="AA60" s="14" t="str">
        <f>_xll.BDH("AMGN US Equity","COMMUNITY_SPEND_PCT_EQUITY","FY 2024","FY 2024","Currency=USD","Period=FQ","BEST_FPERIOD_OVERRIDE=FQ","FILING_STATUS=MR","Sort=A","Dates=H","DateFormat=P","Fill=—","Direction=H","UseDPDF=Y")</f>
        <v>—</v>
      </c>
    </row>
    <row r="61" spans="1:27" x14ac:dyDescent="0.25">
      <c r="A61" s="10" t="s">
        <v>1992</v>
      </c>
      <c r="B61" s="10" t="s">
        <v>1993</v>
      </c>
      <c r="C61" s="14" t="str">
        <f>_xll.BDH("AMGN US Equity","POL_DONATIONS_PCT_PRETAX_PROFIT","FY 2000","FY 2000","Currency=USD","Period=FQ","BEST_FPERIOD_OVERRIDE=FQ","FILING_STATUS=MR","FA_ADJUSTED=GAAP","Sort=A","Dates=H","DateFormat=P","Fill=—","Direction=H","UseDPDF=Y")</f>
        <v>—</v>
      </c>
      <c r="D61" s="14" t="str">
        <f>_xll.BDH("AMGN US Equity","POL_DONATIONS_PCT_PRETAX_PROFIT","FY 2001","FY 2001","Currency=USD","Period=FQ","BEST_FPERIOD_OVERRIDE=FQ","FILING_STATUS=MR","FA_ADJUSTED=GAAP","Sort=A","Dates=H","DateFormat=P","Fill=—","Direction=H","UseDPDF=Y")</f>
        <v>—</v>
      </c>
      <c r="E61" s="14" t="str">
        <f>_xll.BDH("AMGN US Equity","POL_DONATIONS_PCT_PRETAX_PROFIT","FY 2002","FY 2002","Currency=USD","Period=FQ","BEST_FPERIOD_OVERRIDE=FQ","FILING_STATUS=MR","FA_ADJUSTED=GAAP","Sort=A","Dates=H","DateFormat=P","Fill=—","Direction=H","UseDPDF=Y")</f>
        <v>—</v>
      </c>
      <c r="F61" s="14" t="str">
        <f>_xll.BDH("AMGN US Equity","POL_DONATIONS_PCT_PRETAX_PROFIT","FY 2003","FY 2003","Currency=USD","Period=FQ","BEST_FPERIOD_OVERRIDE=FQ","FILING_STATUS=MR","FA_ADJUSTED=GAAP","Sort=A","Dates=H","DateFormat=P","Fill=—","Direction=H","UseDPDF=Y")</f>
        <v>—</v>
      </c>
      <c r="G61" s="14" t="str">
        <f>_xll.BDH("AMGN US Equity","POL_DONATIONS_PCT_PRETAX_PROFIT","FY 2004","FY 2004","Currency=USD","Period=FQ","BEST_FPERIOD_OVERRIDE=FQ","FILING_STATUS=MR","FA_ADJUSTED=GAAP","Sort=A","Dates=H","DateFormat=P","Fill=—","Direction=H","UseDPDF=Y")</f>
        <v>—</v>
      </c>
      <c r="H61" s="14" t="str">
        <f>_xll.BDH("AMGN US Equity","POL_DONATIONS_PCT_PRETAX_PROFIT","FY 2005","FY 2005","Currency=USD","Period=FQ","BEST_FPERIOD_OVERRIDE=FQ","FILING_STATUS=MR","FA_ADJUSTED=GAAP","Sort=A","Dates=H","DateFormat=P","Fill=—","Direction=H","UseDPDF=Y")</f>
        <v>—</v>
      </c>
      <c r="I61" s="14" t="str">
        <f>_xll.BDH("AMGN US Equity","POL_DONATIONS_PCT_PRETAX_PROFIT","FY 2006","FY 2006","Currency=USD","Period=FQ","BEST_FPERIOD_OVERRIDE=FQ","FILING_STATUS=MR","FA_ADJUSTED=GAAP","Sort=A","Dates=H","DateFormat=P","Fill=—","Direction=H","UseDPDF=Y")</f>
        <v>—</v>
      </c>
      <c r="J61" s="14" t="str">
        <f>_xll.BDH("AMGN US Equity","POL_DONATIONS_PCT_PRETAX_PROFIT","FY 2007","FY 2007","Currency=USD","Period=FQ","BEST_FPERIOD_OVERRIDE=FQ","FILING_STATUS=MR","FA_ADJUSTED=GAAP","Sort=A","Dates=H","DateFormat=P","Fill=—","Direction=H","UseDPDF=Y")</f>
        <v>—</v>
      </c>
      <c r="K61" s="14" t="str">
        <f>_xll.BDH("AMGN US Equity","POL_DONATIONS_PCT_PRETAX_PROFIT","FY 2008","FY 2008","Currency=USD","Period=FQ","BEST_FPERIOD_OVERRIDE=FQ","FILING_STATUS=MR","FA_ADJUSTED=GAAP","Sort=A","Dates=H","DateFormat=P","Fill=—","Direction=H","UseDPDF=Y")</f>
        <v>—</v>
      </c>
      <c r="L61" s="14" t="str">
        <f>_xll.BDH("AMGN US Equity","POL_DONATIONS_PCT_PRETAX_PROFIT","FY 2009","FY 2009","Currency=USD","Period=FQ","BEST_FPERIOD_OVERRIDE=FQ","FILING_STATUS=MR","FA_ADJUSTED=GAAP","Sort=A","Dates=H","DateFormat=P","Fill=—","Direction=H","UseDPDF=Y")</f>
        <v>—</v>
      </c>
      <c r="M61" s="14" t="str">
        <f>_xll.BDH("AMGN US Equity","POL_DONATIONS_PCT_PRETAX_PROFIT","FY 2010","FY 2010","Currency=USD","Period=FQ","BEST_FPERIOD_OVERRIDE=FQ","FILING_STATUS=MR","FA_ADJUSTED=GAAP","Sort=A","Dates=H","DateFormat=P","Fill=—","Direction=H","UseDPDF=Y")</f>
        <v>—</v>
      </c>
      <c r="N61" s="14" t="str">
        <f>_xll.BDH("AMGN US Equity","POL_DONATIONS_PCT_PRETAX_PROFIT","FY 2011","FY 2011","Currency=USD","Period=FQ","BEST_FPERIOD_OVERRIDE=FQ","FILING_STATUS=MR","FA_ADJUSTED=GAAP","Sort=A","Dates=H","DateFormat=P","Fill=—","Direction=H","UseDPDF=Y")</f>
        <v>—</v>
      </c>
      <c r="O61" s="14" t="str">
        <f>_xll.BDH("AMGN US Equity","POL_DONATIONS_PCT_PRETAX_PROFIT","FY 2012","FY 2012","Currency=USD","Period=FQ","BEST_FPERIOD_OVERRIDE=FQ","FILING_STATUS=MR","FA_ADJUSTED=GAAP","Sort=A","Dates=H","DateFormat=P","Fill=—","Direction=H","UseDPDF=Y")</f>
        <v>—</v>
      </c>
      <c r="P61" s="14" t="str">
        <f>_xll.BDH("AMGN US Equity","POL_DONATIONS_PCT_PRETAX_PROFIT","FY 2013","FY 2013","Currency=USD","Period=FQ","BEST_FPERIOD_OVERRIDE=FQ","FILING_STATUS=MR","FA_ADJUSTED=GAAP","Sort=A","Dates=H","DateFormat=P","Fill=—","Direction=H","UseDPDF=Y")</f>
        <v>—</v>
      </c>
      <c r="Q61" s="14" t="str">
        <f>_xll.BDH("AMGN US Equity","POL_DONATIONS_PCT_PRETAX_PROFIT","FY 2014","FY 2014","Currency=USD","Period=FQ","BEST_FPERIOD_OVERRIDE=FQ","FILING_STATUS=MR","FA_ADJUSTED=GAAP","Sort=A","Dates=H","DateFormat=P","Fill=—","Direction=H","UseDPDF=Y")</f>
        <v>—</v>
      </c>
      <c r="R61" s="14" t="str">
        <f>_xll.BDH("AMGN US Equity","POL_DONATIONS_PCT_PRETAX_PROFIT","FY 2015","FY 2015","Currency=USD","Period=FQ","BEST_FPERIOD_OVERRIDE=FQ","FILING_STATUS=MR","FA_ADJUSTED=GAAP","Sort=A","Dates=H","DateFormat=P","Fill=—","Direction=H","UseDPDF=Y")</f>
        <v>—</v>
      </c>
      <c r="S61" s="14" t="str">
        <f>_xll.BDH("AMGN US Equity","POL_DONATIONS_PCT_PRETAX_PROFIT","FY 2016","FY 2016","Currency=USD","Period=FQ","BEST_FPERIOD_OVERRIDE=FQ","FILING_STATUS=MR","FA_ADJUSTED=GAAP","Sort=A","Dates=H","DateFormat=P","Fill=—","Direction=H","UseDPDF=Y")</f>
        <v>—</v>
      </c>
      <c r="T61" s="14" t="str">
        <f>_xll.BDH("AMGN US Equity","POL_DONATIONS_PCT_PRETAX_PROFIT","FY 2017","FY 2017","Currency=USD","Period=FQ","BEST_FPERIOD_OVERRIDE=FQ","FILING_STATUS=MR","FA_ADJUSTED=GAAP","Sort=A","Dates=H","DateFormat=P","Fill=—","Direction=H","UseDPDF=Y")</f>
        <v>—</v>
      </c>
      <c r="U61" s="14" t="str">
        <f>_xll.BDH("AMGN US Equity","POL_DONATIONS_PCT_PRETAX_PROFIT","FY 2018","FY 2018","Currency=USD","Period=FQ","BEST_FPERIOD_OVERRIDE=FQ","FILING_STATUS=MR","FA_ADJUSTED=GAAP","Sort=A","Dates=H","DateFormat=P","Fill=—","Direction=H","UseDPDF=Y")</f>
        <v>—</v>
      </c>
      <c r="V61" s="14" t="str">
        <f>_xll.BDH("AMGN US Equity","POL_DONATIONS_PCT_PRETAX_PROFIT","FY 2019","FY 2019","Currency=USD","Period=FQ","BEST_FPERIOD_OVERRIDE=FQ","FILING_STATUS=MR","FA_ADJUSTED=GAAP","Sort=A","Dates=H","DateFormat=P","Fill=—","Direction=H","UseDPDF=Y")</f>
        <v>—</v>
      </c>
      <c r="W61" s="14" t="str">
        <f>_xll.BDH("AMGN US Equity","POL_DONATIONS_PCT_PRETAX_PROFIT","FY 2020","FY 2020","Currency=USD","Period=FQ","BEST_FPERIOD_OVERRIDE=FQ","FILING_STATUS=MR","FA_ADJUSTED=GAAP","Sort=A","Dates=H","DateFormat=P","Fill=—","Direction=H","UseDPDF=Y")</f>
        <v>—</v>
      </c>
      <c r="X61" s="14" t="str">
        <f>_xll.BDH("AMGN US Equity","POL_DONATIONS_PCT_PRETAX_PROFIT","FY 2021","FY 2021","Currency=USD","Period=FQ","BEST_FPERIOD_OVERRIDE=FQ","FILING_STATUS=MR","FA_ADJUSTED=GAAP","Sort=A","Dates=H","DateFormat=P","Fill=—","Direction=H","UseDPDF=Y")</f>
        <v>—</v>
      </c>
      <c r="Y61" s="14" t="str">
        <f>_xll.BDH("AMGN US Equity","POL_DONATIONS_PCT_PRETAX_PROFIT","FY 2022","FY 2022","Currency=USD","Period=FQ","BEST_FPERIOD_OVERRIDE=FQ","FILING_STATUS=MR","FA_ADJUSTED=GAAP","Sort=A","Dates=H","DateFormat=P","Fill=—","Direction=H","UseDPDF=Y")</f>
        <v>—</v>
      </c>
      <c r="Z61" s="14" t="str">
        <f>_xll.BDH("AMGN US Equity","POL_DONATIONS_PCT_PRETAX_PROFIT","FY 2023","FY 2023","Currency=USD","Period=FQ","BEST_FPERIOD_OVERRIDE=FQ","FILING_STATUS=MR","FA_ADJUSTED=GAAP","Sort=A","Dates=H","DateFormat=P","Fill=—","Direction=H","UseDPDF=Y")</f>
        <v>—</v>
      </c>
      <c r="AA61" s="14" t="str">
        <f>_xll.BDH("AMGN US Equity","POL_DONATIONS_PCT_PRETAX_PROFIT","FY 2024","FY 2024","Currency=USD","Period=FQ","BEST_FPERIOD_OVERRIDE=FQ","FILING_STATUS=MR","FA_ADJUSTED=GAAP","Sort=A","Dates=H","DateFormat=P","Fill=—","Direction=H","UseDPDF=Y")</f>
        <v>—</v>
      </c>
    </row>
    <row r="62" spans="1:27" x14ac:dyDescent="0.25">
      <c r="A62" s="10" t="s">
        <v>1994</v>
      </c>
      <c r="B62" s="10" t="s">
        <v>1995</v>
      </c>
      <c r="C62" s="14">
        <f>_xll.BDH("AMGN US Equity","RD_EXPENDITURES_PER_CASH_FLOW","FY 2000","FY 2000","Currency=USD","Period=FQ","BEST_FPERIOD_OVERRIDE=FQ","FILING_STATUS=MR","Sort=A","Dates=H","DateFormat=P","Fill=—","Direction=H","UseDPDF=Y")</f>
        <v>0.67120000000000002</v>
      </c>
      <c r="D62" s="14">
        <f>_xll.BDH("AMGN US Equity","RD_EXPENDITURES_PER_CASH_FLOW","FY 2001","FY 2001","Currency=USD","Period=FQ","BEST_FPERIOD_OVERRIDE=FQ","FILING_STATUS=MR","Sort=A","Dates=H","DateFormat=P","Fill=—","Direction=H","UseDPDF=Y")</f>
        <v>0.44259999999999999</v>
      </c>
      <c r="E62" s="14">
        <f>_xll.BDH("AMGN US Equity","RD_EXPENDITURES_PER_CASH_FLOW","FY 2002","FY 2002","Currency=USD","Period=FQ","BEST_FPERIOD_OVERRIDE=FQ","FILING_STATUS=MR","Sort=A","Dates=H","DateFormat=P","Fill=—","Direction=H","UseDPDF=Y")</f>
        <v>0.44750000000000001</v>
      </c>
      <c r="F62" s="14">
        <f>_xll.BDH("AMGN US Equity","RD_EXPENDITURES_PER_CASH_FLOW","FY 2003","FY 2003","Currency=USD","Period=FQ","BEST_FPERIOD_OVERRIDE=FQ","FILING_STATUS=MR","Sort=A","Dates=H","DateFormat=P","Fill=—","Direction=H","UseDPDF=Y")</f>
        <v>0.42</v>
      </c>
      <c r="G62" s="14">
        <f>_xll.BDH("AMGN US Equity","RD_EXPENDITURES_PER_CASH_FLOW","FY 2004","FY 2004","Currency=USD","Period=FQ","BEST_FPERIOD_OVERRIDE=FQ","FILING_STATUS=MR","Sort=A","Dates=H","DateFormat=P","Fill=—","Direction=H","UseDPDF=Y")</f>
        <v>0.55600000000000005</v>
      </c>
      <c r="H62" s="14">
        <f>_xll.BDH("AMGN US Equity","RD_EXPENDITURES_PER_CASH_FLOW","FY 2005","FY 2005","Currency=USD","Period=FQ","BEST_FPERIOD_OVERRIDE=FQ","FILING_STATUS=MR","Sort=A","Dates=H","DateFormat=P","Fill=—","Direction=H","UseDPDF=Y")</f>
        <v>0.58550000000000002</v>
      </c>
      <c r="I62" s="14">
        <f>_xll.BDH("AMGN US Equity","RD_EXPENDITURES_PER_CASH_FLOW","FY 2006","FY 2006","Currency=USD","Period=FQ","BEST_FPERIOD_OVERRIDE=FQ","FILING_STATUS=MR","Sort=A","Dates=H","DateFormat=P","Fill=—","Direction=H","UseDPDF=Y")</f>
        <v>0.84619999999999995</v>
      </c>
      <c r="J62" s="14">
        <f>_xll.BDH("AMGN US Equity","RD_EXPENDITURES_PER_CASH_FLOW","FY 2007","FY 2007","Currency=USD","Period=FQ","BEST_FPERIOD_OVERRIDE=FQ","FILING_STATUS=MR","Sort=A","Dates=H","DateFormat=P","Fill=—","Direction=H","UseDPDF=Y")</f>
        <v>0.5373</v>
      </c>
      <c r="K62" s="14">
        <f>_xll.BDH("AMGN US Equity","RD_EXPENDITURES_PER_CASH_FLOW","FY 2008","FY 2008","Currency=USD","Period=FQ","BEST_FPERIOD_OVERRIDE=FQ","FILING_STATUS=MR","Sort=A","Dates=H","DateFormat=P","Fill=—","Direction=H","UseDPDF=Y")</f>
        <v>0.57120000000000004</v>
      </c>
      <c r="L62" s="14">
        <f>_xll.BDH("AMGN US Equity","RD_EXPENDITURES_PER_CASH_FLOW","FY 2009","FY 2009","Currency=USD","Period=FQ","BEST_FPERIOD_OVERRIDE=FQ","FILING_STATUS=MR","Sort=A","Dates=H","DateFormat=P","Fill=—","Direction=H","UseDPDF=Y")</f>
        <v>0.48880000000000001</v>
      </c>
      <c r="M62" s="14">
        <f>_xll.BDH("AMGN US Equity","RD_EXPENDITURES_PER_CASH_FLOW","FY 2010","FY 2010","Currency=USD","Period=FQ","BEST_FPERIOD_OVERRIDE=FQ","FILING_STATUS=MR","Sort=A","Dates=H","DateFormat=P","Fill=—","Direction=H","UseDPDF=Y")</f>
        <v>0.42530000000000001</v>
      </c>
      <c r="N62" s="14">
        <f>_xll.BDH("AMGN US Equity","RD_EXPENDITURES_PER_CASH_FLOW","FY 2011","FY 2011","Currency=USD","Period=FQ","BEST_FPERIOD_OVERRIDE=FQ","FILING_STATUS=MR","Sort=A","Dates=H","DateFormat=P","Fill=—","Direction=H","UseDPDF=Y")</f>
        <v>0.53720000000000001</v>
      </c>
      <c r="O62" s="14">
        <f>_xll.BDH("AMGN US Equity","RD_EXPENDITURES_PER_CASH_FLOW","FY 2012","FY 2012","Currency=USD","Period=FQ","BEST_FPERIOD_OVERRIDE=FQ","FILING_STATUS=MR","Sort=A","Dates=H","DateFormat=P","Fill=—","Direction=H","UseDPDF=Y")</f>
        <v>1.1552</v>
      </c>
      <c r="P62" s="14">
        <f>_xll.BDH("AMGN US Equity","RD_EXPENDITURES_PER_CASH_FLOW","FY 2013","FY 2013","Currency=USD","Period=FQ","BEST_FPERIOD_OVERRIDE=FQ","FILING_STATUS=MR","Sort=A","Dates=H","DateFormat=P","Fill=—","Direction=H","UseDPDF=Y")</f>
        <v>0.68069999999999997</v>
      </c>
      <c r="Q62" s="14">
        <f>_xll.BDH("AMGN US Equity","RD_EXPENDITURES_PER_CASH_FLOW","FY 2014","FY 2014","Currency=USD","Period=FQ","BEST_FPERIOD_OVERRIDE=FQ","FILING_STATUS=MR","Sort=A","Dates=H","DateFormat=P","Fill=—","Direction=H","UseDPDF=Y")</f>
        <v>0.50470000000000004</v>
      </c>
      <c r="R62" s="14">
        <f>_xll.BDH("AMGN US Equity","RD_EXPENDITURES_PER_CASH_FLOW","FY 2015","FY 2015","Currency=USD","Period=FQ","BEST_FPERIOD_OVERRIDE=FQ","FILING_STATUS=MR","Sort=A","Dates=H","DateFormat=P","Fill=—","Direction=H","UseDPDF=Y")</f>
        <v>0.4027</v>
      </c>
      <c r="S62" s="14">
        <f>_xll.BDH("AMGN US Equity","RD_EXPENDITURES_PER_CASH_FLOW","FY 2016","FY 2016","Currency=USD","Period=FQ","BEST_FPERIOD_OVERRIDE=FQ","FILING_STATUS=MR","Sort=A","Dates=H","DateFormat=P","Fill=—","Direction=H","UseDPDF=Y")</f>
        <v>0.34770000000000001</v>
      </c>
      <c r="T62" s="14">
        <f>_xll.BDH("AMGN US Equity","RD_EXPENDITURES_PER_CASH_FLOW","FY 2017","FY 2017","Currency=USD","Period=FQ","BEST_FPERIOD_OVERRIDE=FQ","FILING_STATUS=MR","Sort=A","Dates=H","DateFormat=P","Fill=—","Direction=H","UseDPDF=Y")</f>
        <v>0.3463</v>
      </c>
      <c r="U62" s="14">
        <f>_xll.BDH("AMGN US Equity","RD_EXPENDITURES_PER_CASH_FLOW","FY 2018","FY 2018","Currency=USD","Period=FQ","BEST_FPERIOD_OVERRIDE=FQ","FILING_STATUS=MR","Sort=A","Dates=H","DateFormat=P","Fill=—","Direction=H","UseDPDF=Y")</f>
        <v>0.37009999999999998</v>
      </c>
      <c r="V62" s="14">
        <f>_xll.BDH("AMGN US Equity","RD_EXPENDITURES_PER_CASH_FLOW","FY 2019","FY 2019","Currency=USD","Period=FQ","BEST_FPERIOD_OVERRIDE=FQ","FILING_STATUS=MR","Sort=A","Dates=H","DateFormat=P","Fill=—","Direction=H","UseDPDF=Y")</f>
        <v>0.52190000000000003</v>
      </c>
      <c r="W62" s="14">
        <f>_xll.BDH("AMGN US Equity","RD_EXPENDITURES_PER_CASH_FLOW","FY 2020","FY 2020","Currency=USD","Period=FQ","BEST_FPERIOD_OVERRIDE=FQ","FILING_STATUS=MR","Sort=A","Dates=H","DateFormat=P","Fill=—","Direction=H","UseDPDF=Y")</f>
        <v>0.50929999999999997</v>
      </c>
      <c r="X62" s="14">
        <f>_xll.BDH("AMGN US Equity","RD_EXPENDITURES_PER_CASH_FLOW","FY 2021","FY 2021","Currency=USD","Period=FQ","BEST_FPERIOD_OVERRIDE=FQ","FILING_STATUS=MR","Sort=A","Dates=H","DateFormat=P","Fill=—","Direction=H","UseDPDF=Y")</f>
        <v>0.48010000000000003</v>
      </c>
      <c r="Y62" s="14">
        <f>_xll.BDH("AMGN US Equity","RD_EXPENDITURES_PER_CASH_FLOW","FY 2022","FY 2022","Currency=USD","Period=FQ","BEST_FPERIOD_OVERRIDE=FQ","FILING_STATUS=MR","Sort=A","Dates=H","DateFormat=P","Fill=—","Direction=H","UseDPDF=Y")</f>
        <v>0.49980000000000002</v>
      </c>
      <c r="Z62" s="14">
        <f>_xll.BDH("AMGN US Equity","RD_EXPENDITURES_PER_CASH_FLOW","FY 2023","FY 2023","Currency=USD","Period=FQ","BEST_FPERIOD_OVERRIDE=FQ","FILING_STATUS=MR","Sort=A","Dates=H","DateFormat=P","Fill=—","Direction=H","UseDPDF=Y")</f>
        <v>2.8513000000000002</v>
      </c>
      <c r="AA62" s="14">
        <f>_xll.BDH("AMGN US Equity","RD_EXPENDITURES_PER_CASH_FLOW","FY 2024","FY 2024","Currency=USD","Period=FQ","BEST_FPERIOD_OVERRIDE=FQ","FILING_STATUS=MR","Sort=A","Dates=H","DateFormat=P","Fill=—","Direction=H","UseDPDF=Y")</f>
        <v>0.36130000000000001</v>
      </c>
    </row>
    <row r="63" spans="1:27" x14ac:dyDescent="0.25">
      <c r="A63" s="10" t="s">
        <v>1996</v>
      </c>
      <c r="B63" s="10" t="s">
        <v>1997</v>
      </c>
      <c r="C63" s="14" t="str">
        <f>_xll.BDH("AMGN US Equity","ACTUAL_NET_INCOME_PER_EMPLOYEE","FY 2000","FY 2000","Currency=USD","Period=FQ","BEST_FPERIOD_OVERRIDE=FQ","FILING_STATUS=MR","FA_ADJUSTED=GAAP","Sort=A","Dates=H","DateFormat=P","Fill=—","Direction=H","UseDPDF=Y")</f>
        <v>—</v>
      </c>
      <c r="D63" s="14" t="str">
        <f>_xll.BDH("AMGN US Equity","ACTUAL_NET_INCOME_PER_EMPLOYEE","FY 2001","FY 2001","Currency=USD","Period=FQ","BEST_FPERIOD_OVERRIDE=FQ","FILING_STATUS=MR","FA_ADJUSTED=GAAP","Sort=A","Dates=H","DateFormat=P","Fill=—","Direction=H","UseDPDF=Y")</f>
        <v>—</v>
      </c>
      <c r="E63" s="14" t="str">
        <f>_xll.BDH("AMGN US Equity","ACTUAL_NET_INCOME_PER_EMPLOYEE","FY 2002","FY 2002","Currency=USD","Period=FQ","BEST_FPERIOD_OVERRIDE=FQ","FILING_STATUS=MR","FA_ADJUSTED=GAAP","Sort=A","Dates=H","DateFormat=P","Fill=—","Direction=H","UseDPDF=Y")</f>
        <v>—</v>
      </c>
      <c r="F63" s="14">
        <f>_xll.BDH("AMGN US Equity","ACTUAL_NET_INCOME_PER_EMPLOYEE","FY 2003","FY 2003","Currency=USD","Period=FQ","BEST_FPERIOD_OVERRIDE=FQ","FILING_STATUS=MR","FA_ADJUSTED=GAAP","Sort=A","Dates=H","DateFormat=P","Fill=—","Direction=H","UseDPDF=Y")</f>
        <v>42759.968699999998</v>
      </c>
      <c r="G63" s="14">
        <f>_xll.BDH("AMGN US Equity","ACTUAL_NET_INCOME_PER_EMPLOYEE","FY 2004","FY 2004","Currency=USD","Period=FQ","BEST_FPERIOD_OVERRIDE=FQ","FILING_STATUS=MR","FA_ADJUSTED=GAAP","Sort=A","Dates=H","DateFormat=P","Fill=—","Direction=H","UseDPDF=Y")</f>
        <v>48181.818200000002</v>
      </c>
      <c r="H63" s="14" t="str">
        <f>_xll.BDH("AMGN US Equity","ACTUAL_NET_INCOME_PER_EMPLOYEE","FY 2005","FY 2005","Currency=USD","Period=FQ","BEST_FPERIOD_OVERRIDE=FQ","FILING_STATUS=MR","FA_ADJUSTED=GAAP","Sort=A","Dates=H","DateFormat=P","Fill=—","Direction=H","UseDPDF=Y")</f>
        <v>—</v>
      </c>
      <c r="I63" s="14">
        <f>_xll.BDH("AMGN US Equity","ACTUAL_NET_INCOME_PER_EMPLOYEE","FY 2006","FY 2006","Currency=USD","Period=FQ","BEST_FPERIOD_OVERRIDE=FQ","FILING_STATUS=MR","FA_ADJUSTED=GAAP","Sort=A","Dates=H","DateFormat=P","Fill=—","Direction=H","UseDPDF=Y")</f>
        <v>41650</v>
      </c>
      <c r="J63" s="14">
        <f>_xll.BDH("AMGN US Equity","ACTUAL_NET_INCOME_PER_EMPLOYEE","FY 2007","FY 2007","Currency=USD","Period=FQ","BEST_FPERIOD_OVERRIDE=FQ","FILING_STATUS=MR","FA_ADJUSTED=GAAP","Sort=A","Dates=H","DateFormat=P","Fill=—","Direction=H","UseDPDF=Y")</f>
        <v>47988.505700000002</v>
      </c>
      <c r="K63" s="14">
        <f>_xll.BDH("AMGN US Equity","ACTUAL_NET_INCOME_PER_EMPLOYEE","FY 2008","FY 2008","Currency=USD","Period=FQ","BEST_FPERIOD_OVERRIDE=FQ","FILING_STATUS=MR","FA_ADJUSTED=GAAP","Sort=A","Dates=H","DateFormat=P","Fill=—","Direction=H","UseDPDF=Y")</f>
        <v>55389.221599999997</v>
      </c>
      <c r="L63" s="14" t="str">
        <f>_xll.BDH("AMGN US Equity","ACTUAL_NET_INCOME_PER_EMPLOYEE","FY 2009","FY 2009","Currency=USD","Period=FQ","BEST_FPERIOD_OVERRIDE=FQ","FILING_STATUS=MR","FA_ADJUSTED=GAAP","Sort=A","Dates=H","DateFormat=P","Fill=—","Direction=H","UseDPDF=Y")</f>
        <v>—</v>
      </c>
      <c r="M63" s="14" t="str">
        <f>_xll.BDH("AMGN US Equity","ACTUAL_NET_INCOME_PER_EMPLOYEE","FY 2010","FY 2010","Currency=USD","Period=FQ","BEST_FPERIOD_OVERRIDE=FQ","FILING_STATUS=MR","FA_ADJUSTED=GAAP","Sort=A","Dates=H","DateFormat=P","Fill=—","Direction=H","UseDPDF=Y")</f>
        <v>—</v>
      </c>
      <c r="N63" s="14" t="str">
        <f>_xll.BDH("AMGN US Equity","ACTUAL_NET_INCOME_PER_EMPLOYEE","FY 2011","FY 2011","Currency=USD","Period=FQ","BEST_FPERIOD_OVERRIDE=FQ","FILING_STATUS=MR","FA_ADJUSTED=GAAP","Sort=A","Dates=H","DateFormat=P","Fill=—","Direction=H","UseDPDF=Y")</f>
        <v>—</v>
      </c>
      <c r="O63" s="14">
        <f>_xll.BDH("AMGN US Equity","ACTUAL_NET_INCOME_PER_EMPLOYEE","FY 2012","FY 2012","Currency=USD","Period=FQ","BEST_FPERIOD_OVERRIDE=FQ","FILING_STATUS=MR","FA_ADJUSTED=GAAP","Sort=A","Dates=H","DateFormat=P","Fill=—","Direction=H","UseDPDF=Y")</f>
        <v>43777.777800000003</v>
      </c>
      <c r="P63" s="14">
        <f>_xll.BDH("AMGN US Equity","ACTUAL_NET_INCOME_PER_EMPLOYEE","FY 2013","FY 2013","Currency=USD","Period=FQ","BEST_FPERIOD_OVERRIDE=FQ","FILING_STATUS=MR","FA_ADJUSTED=GAAP","Sort=A","Dates=H","DateFormat=P","Fill=—","Direction=H","UseDPDF=Y")</f>
        <v>51050</v>
      </c>
      <c r="Q63" s="14">
        <f>_xll.BDH("AMGN US Equity","ACTUAL_NET_INCOME_PER_EMPLOYEE","FY 2014","FY 2014","Currency=USD","Period=FQ","BEST_FPERIOD_OVERRIDE=FQ","FILING_STATUS=MR","FA_ADJUSTED=GAAP","Sort=A","Dates=H","DateFormat=P","Fill=—","Direction=H","UseDPDF=Y")</f>
        <v>72290.502800000002</v>
      </c>
      <c r="R63" s="14">
        <f>_xll.BDH("AMGN US Equity","ACTUAL_NET_INCOME_PER_EMPLOYEE","FY 2015","FY 2015","Currency=USD","Period=FQ","BEST_FPERIOD_OVERRIDE=FQ","FILING_STATUS=MR","FA_ADJUSTED=GAAP","Sort=A","Dates=H","DateFormat=P","Fill=—","Direction=H","UseDPDF=Y")</f>
        <v>100558.65919999999</v>
      </c>
      <c r="S63" s="14">
        <f>_xll.BDH("AMGN US Equity","ACTUAL_NET_INCOME_PER_EMPLOYEE","FY 2016","FY 2016","Currency=USD","Period=FQ","BEST_FPERIOD_OVERRIDE=FQ","FILING_STATUS=MR","FA_ADJUSTED=GAAP","Sort=A","Dates=H","DateFormat=P","Fill=—","Direction=H","UseDPDF=Y")</f>
        <v>100781.25</v>
      </c>
      <c r="T63" s="14">
        <f>_xll.BDH("AMGN US Equity","ACTUAL_NET_INCOME_PER_EMPLOYEE","FY 2017","FY 2017","Currency=USD","Period=FQ","BEST_FPERIOD_OVERRIDE=FQ","FILING_STATUS=MR","FA_ADJUSTED=GAAP","Sort=A","Dates=H","DateFormat=P","Fill=—","Direction=H","UseDPDF=Y")</f>
        <v>-205000</v>
      </c>
      <c r="U63" s="14">
        <f>_xll.BDH("AMGN US Equity","ACTUAL_NET_INCOME_PER_EMPLOYEE","FY 2018","FY 2018","Currency=USD","Period=FQ","BEST_FPERIOD_OVERRIDE=FQ","FILING_STATUS=MR","FA_ADJUSTED=GAAP","Sort=A","Dates=H","DateFormat=P","Fill=—","Direction=H","UseDPDF=Y")</f>
        <v>89674.418600000005</v>
      </c>
      <c r="V63" s="14">
        <f>_xll.BDH("AMGN US Equity","ACTUAL_NET_INCOME_PER_EMPLOYEE","FY 2019","FY 2019","Currency=USD","Period=FQ","BEST_FPERIOD_OVERRIDE=FQ","FILING_STATUS=MR","FA_ADJUSTED=GAAP","Sort=A","Dates=H","DateFormat=P","Fill=—","Direction=H","UseDPDF=Y")</f>
        <v>72777.777799999996</v>
      </c>
      <c r="W63" s="14">
        <f>_xll.BDH("AMGN US Equity","ACTUAL_NET_INCOME_PER_EMPLOYEE","FY 2020","FY 2020","Currency=USD","Period=FQ","BEST_FPERIOD_OVERRIDE=FQ","FILING_STATUS=MR","FA_ADJUSTED=GAAP","Sort=A","Dates=H","DateFormat=P","Fill=—","Direction=H","UseDPDF=Y")</f>
        <v>66735.537200000006</v>
      </c>
      <c r="X63" s="14">
        <f>_xll.BDH("AMGN US Equity","ACTUAL_NET_INCOME_PER_EMPLOYEE","FY 2021","FY 2021","Currency=USD","Period=FQ","BEST_FPERIOD_OVERRIDE=FQ","FILING_STATUS=MR","FA_ADJUSTED=GAAP","Sort=A","Dates=H","DateFormat=P","Fill=—","Direction=H","UseDPDF=Y")</f>
        <v>78471.074399999998</v>
      </c>
      <c r="Y63" s="14">
        <f>_xll.BDH("AMGN US Equity","ACTUAL_NET_INCOME_PER_EMPLOYEE","FY 2022","FY 2022","Currency=USD","Period=FQ","BEST_FPERIOD_OVERRIDE=FQ","FILING_STATUS=MR","FA_ADJUSTED=GAAP","Sort=A","Dates=H","DateFormat=P","Fill=—","Direction=H","UseDPDF=Y")</f>
        <v>64126.984100000001</v>
      </c>
      <c r="Z63" s="14">
        <f>_xll.BDH("AMGN US Equity","ACTUAL_NET_INCOME_PER_EMPLOYEE","FY 2023","FY 2023","Currency=USD","Period=FQ","BEST_FPERIOD_OVERRIDE=FQ","FILING_STATUS=MR","FA_ADJUSTED=GAAP","Sort=A","Dates=H","DateFormat=P","Fill=—","Direction=H","UseDPDF=Y")</f>
        <v>28726.591799999998</v>
      </c>
      <c r="AA63" s="14">
        <f>_xll.BDH("AMGN US Equity","ACTUAL_NET_INCOME_PER_EMPLOYEE","FY 2024","FY 2024","Currency=USD","Period=FQ","BEST_FPERIOD_OVERRIDE=FQ","FILING_STATUS=MR","FA_ADJUSTED=GAAP","Sort=A","Dates=H","DateFormat=P","Fill=—","Direction=H","UseDPDF=Y")</f>
        <v>22392.857100000001</v>
      </c>
    </row>
    <row r="64" spans="1:27" x14ac:dyDescent="0.25">
      <c r="A64" s="10" t="s">
        <v>1998</v>
      </c>
      <c r="B64" s="10" t="s">
        <v>1999</v>
      </c>
      <c r="C64" s="14" t="str">
        <f>_xll.BDH("AMGN US Equity","CASH_FLOW_PER_EMPLOYEE","FY 2000","FY 2000","Currency=USD","Period=FQ","BEST_FPERIOD_OVERRIDE=FQ","FILING_STATUS=MR","Sort=A","Dates=H","DateFormat=P","Fill=—","Direction=H","UseDPDF=Y")</f>
        <v>—</v>
      </c>
      <c r="D64" s="14" t="str">
        <f>_xll.BDH("AMGN US Equity","CASH_FLOW_PER_EMPLOYEE","FY 2001","FY 2001","Currency=USD","Period=FQ","BEST_FPERIOD_OVERRIDE=FQ","FILING_STATUS=MR","Sort=A","Dates=H","DateFormat=P","Fill=—","Direction=H","UseDPDF=Y")</f>
        <v>—</v>
      </c>
      <c r="E64" s="14" t="str">
        <f>_xll.BDH("AMGN US Equity","CASH_FLOW_PER_EMPLOYEE","FY 2002","FY 2002","Currency=USD","Period=FQ","BEST_FPERIOD_OVERRIDE=FQ","FILING_STATUS=MR","Sort=A","Dates=H","DateFormat=P","Fill=—","Direction=H","UseDPDF=Y")</f>
        <v>—</v>
      </c>
      <c r="F64" s="14">
        <f>_xll.BDH("AMGN US Equity","CASH_FLOW_PER_EMPLOYEE","FY 2003","FY 2003","Currency=USD","Period=FQ","BEST_FPERIOD_OVERRIDE=FQ","FILING_STATUS=MR","Sort=A","Dates=H","DateFormat=P","Fill=—","Direction=H","UseDPDF=Y")</f>
        <v>93627.834199999998</v>
      </c>
      <c r="G64" s="14">
        <f>_xll.BDH("AMGN US Equity","CASH_FLOW_PER_EMPLOYEE","FY 2004","FY 2004","Currency=USD","Period=FQ","BEST_FPERIOD_OVERRIDE=FQ","FILING_STATUS=MR","Sort=A","Dates=H","DateFormat=P","Fill=—","Direction=H","UseDPDF=Y")</f>
        <v>77601.395199999999</v>
      </c>
      <c r="H64" s="14" t="str">
        <f>_xll.BDH("AMGN US Equity","CASH_FLOW_PER_EMPLOYEE","FY 2005","FY 2005","Currency=USD","Period=FQ","BEST_FPERIOD_OVERRIDE=FQ","FILING_STATUS=MR","Sort=A","Dates=H","DateFormat=P","Fill=—","Direction=H","UseDPDF=Y")</f>
        <v>—</v>
      </c>
      <c r="I64" s="14">
        <f>_xll.BDH("AMGN US Equity","CASH_FLOW_PER_EMPLOYEE","FY 2006","FY 2006","Currency=USD","Period=FQ","BEST_FPERIOD_OVERRIDE=FQ","FILING_STATUS=MR","Sort=A","Dates=H","DateFormat=P","Fill=—","Direction=H","UseDPDF=Y")</f>
        <v>62100</v>
      </c>
      <c r="J64" s="14">
        <f>_xll.BDH("AMGN US Equity","CASH_FLOW_PER_EMPLOYEE","FY 2007","FY 2007","Currency=USD","Period=FQ","BEST_FPERIOD_OVERRIDE=FQ","FILING_STATUS=MR","Sort=A","Dates=H","DateFormat=P","Fill=—","Direction=H","UseDPDF=Y")</f>
        <v>87931.034499999994</v>
      </c>
      <c r="K64" s="14">
        <f>_xll.BDH("AMGN US Equity","CASH_FLOW_PER_EMPLOYEE","FY 2008","FY 2008","Currency=USD","Period=FQ","BEST_FPERIOD_OVERRIDE=FQ","FILING_STATUS=MR","Sort=A","Dates=H","DateFormat=P","Fill=—","Direction=H","UseDPDF=Y")</f>
        <v>83652.694600000003</v>
      </c>
      <c r="L64" s="14" t="str">
        <f>_xll.BDH("AMGN US Equity","CASH_FLOW_PER_EMPLOYEE","FY 2009","FY 2009","Currency=USD","Period=FQ","BEST_FPERIOD_OVERRIDE=FQ","FILING_STATUS=MR","Sort=A","Dates=H","DateFormat=P","Fill=—","Direction=H","UseDPDF=Y")</f>
        <v>—</v>
      </c>
      <c r="M64" s="14" t="str">
        <f>_xll.BDH("AMGN US Equity","CASH_FLOW_PER_EMPLOYEE","FY 2010","FY 2010","Currency=USD","Period=FQ","BEST_FPERIOD_OVERRIDE=FQ","FILING_STATUS=MR","Sort=A","Dates=H","DateFormat=P","Fill=—","Direction=H","UseDPDF=Y")</f>
        <v>—</v>
      </c>
      <c r="N64" s="14" t="str">
        <f>_xll.BDH("AMGN US Equity","CASH_FLOW_PER_EMPLOYEE","FY 2011","FY 2011","Currency=USD","Period=FQ","BEST_FPERIOD_OVERRIDE=FQ","FILING_STATUS=MR","Sort=A","Dates=H","DateFormat=P","Fill=—","Direction=H","UseDPDF=Y")</f>
        <v>—</v>
      </c>
      <c r="O64" s="14">
        <f>_xll.BDH("AMGN US Equity","CASH_FLOW_PER_EMPLOYEE","FY 2012","FY 2012","Currency=USD","Period=FQ","BEST_FPERIOD_OVERRIDE=FQ","FILING_STATUS=MR","Sort=A","Dates=H","DateFormat=P","Fill=—","Direction=H","UseDPDF=Y")</f>
        <v>45111.111100000002</v>
      </c>
      <c r="P64" s="14">
        <f>_xll.BDH("AMGN US Equity","CASH_FLOW_PER_EMPLOYEE","FY 2013","FY 2013","Currency=USD","Period=FQ","BEST_FPERIOD_OVERRIDE=FQ","FILING_STATUS=MR","Sort=A","Dates=H","DateFormat=P","Fill=—","Direction=H","UseDPDF=Y")</f>
        <v>91750</v>
      </c>
      <c r="Q64" s="14">
        <f>_xll.BDH("AMGN US Equity","CASH_FLOW_PER_EMPLOYEE","FY 2014","FY 2014","Currency=USD","Period=FQ","BEST_FPERIOD_OVERRIDE=FQ","FILING_STATUS=MR","Sort=A","Dates=H","DateFormat=P","Fill=—","Direction=H","UseDPDF=Y")</f>
        <v>136592.17879999999</v>
      </c>
      <c r="R64" s="14">
        <f>_xll.BDH("AMGN US Equity","CASH_FLOW_PER_EMPLOYEE","FY 2015","FY 2015","Currency=USD","Period=FQ","BEST_FPERIOD_OVERRIDE=FQ","FILING_STATUS=MR","Sort=A","Dates=H","DateFormat=P","Fill=—","Direction=H","UseDPDF=Y")</f>
        <v>151620.11170000001</v>
      </c>
      <c r="S64" s="14">
        <f>_xll.BDH("AMGN US Equity","CASH_FLOW_PER_EMPLOYEE","FY 2016","FY 2016","Currency=USD","Period=FQ","BEST_FPERIOD_OVERRIDE=FQ","FILING_STATUS=MR","Sort=A","Dates=H","DateFormat=P","Fill=—","Direction=H","UseDPDF=Y")</f>
        <v>161458.3333</v>
      </c>
      <c r="T64" s="14">
        <f>_xll.BDH("AMGN US Equity","CASH_FLOW_PER_EMPLOYEE","FY 2017","FY 2017","Currency=USD","Period=FQ","BEST_FPERIOD_OVERRIDE=FQ","FILING_STATUS=MR","Sort=A","Dates=H","DateFormat=P","Fill=—","Direction=H","UseDPDF=Y")</f>
        <v>144807.6923</v>
      </c>
      <c r="U64" s="14">
        <f>_xll.BDH("AMGN US Equity","CASH_FLOW_PER_EMPLOYEE","FY 2018","FY 2018","Currency=USD","Period=FQ","BEST_FPERIOD_OVERRIDE=FQ","FILING_STATUS=MR","Sort=A","Dates=H","DateFormat=P","Fill=—","Direction=H","UseDPDF=Y")</f>
        <v>148558.13949999999</v>
      </c>
      <c r="V64" s="14">
        <f>_xll.BDH("AMGN US Equity","CASH_FLOW_PER_EMPLOYEE","FY 2019","FY 2019","Currency=USD","Period=FQ","BEST_FPERIOD_OVERRIDE=FQ","FILING_STATUS=MR","Sort=A","Dates=H","DateFormat=P","Fill=—","Direction=H","UseDPDF=Y")</f>
        <v>107435.8974</v>
      </c>
      <c r="W64" s="14">
        <f>_xll.BDH("AMGN US Equity","CASH_FLOW_PER_EMPLOYEE","FY 2020","FY 2020","Currency=USD","Period=FQ","BEST_FPERIOD_OVERRIDE=FQ","FILING_STATUS=MR","Sort=A","Dates=H","DateFormat=P","Fill=—","Direction=H","UseDPDF=Y")</f>
        <v>99710.743799999997</v>
      </c>
      <c r="X64" s="14">
        <f>_xll.BDH("AMGN US Equity","CASH_FLOW_PER_EMPLOYEE","FY 2021","FY 2021","Currency=USD","Period=FQ","BEST_FPERIOD_OVERRIDE=FQ","FILING_STATUS=MR","Sort=A","Dates=H","DateFormat=P","Fill=—","Direction=H","UseDPDF=Y")</f>
        <v>116033.0579</v>
      </c>
      <c r="Y64" s="14">
        <f>_xll.BDH("AMGN US Equity","CASH_FLOW_PER_EMPLOYEE","FY 2022","FY 2022","Currency=USD","Period=FQ","BEST_FPERIOD_OVERRIDE=FQ","FILING_STATUS=MR","Sort=A","Dates=H","DateFormat=P","Fill=—","Direction=H","UseDPDF=Y")</f>
        <v>105119.04760000001</v>
      </c>
      <c r="Z64" s="14">
        <f>_xll.BDH("AMGN US Equity","CASH_FLOW_PER_EMPLOYEE","FY 2023","FY 2023","Currency=USD","Period=FQ","BEST_FPERIOD_OVERRIDE=FQ","FILING_STATUS=MR","Sort=A","Dates=H","DateFormat=P","Fill=—","Direction=H","UseDPDF=Y")</f>
        <v>20149.812699999999</v>
      </c>
      <c r="AA64" s="14">
        <f>_xll.BDH("AMGN US Equity","CASH_FLOW_PER_EMPLOYEE","FY 2024","FY 2024","Currency=USD","Period=FQ","BEST_FPERIOD_OVERRIDE=FQ","FILING_STATUS=MR","Sort=A","Dates=H","DateFormat=P","Fill=—","Direction=H","UseDPDF=Y")</f>
        <v>170392.85709999999</v>
      </c>
    </row>
    <row r="65" spans="1:27" x14ac:dyDescent="0.25">
      <c r="A65" s="10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x14ac:dyDescent="0.25">
      <c r="A66" s="6" t="s">
        <v>2000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 x14ac:dyDescent="0.25">
      <c r="A67" s="10" t="s">
        <v>2001</v>
      </c>
      <c r="B67" s="10" t="s">
        <v>2002</v>
      </c>
      <c r="C67" s="14" t="str">
        <f>_xll.BDH("AMGN US Equity","PCT_OF_NON_EXEC_DIR_ON_BRD","FY 2000","FY 2000","Currency=USD","Period=FQ","BEST_FPERIOD_OVERRIDE=FQ","FILING_STATUS=MR","Sort=A","Dates=H","DateFormat=P","Fill=—","Direction=H","UseDPDF=Y")</f>
        <v>—</v>
      </c>
      <c r="D67" s="14" t="str">
        <f>_xll.BDH("AMGN US Equity","PCT_OF_NON_EXEC_DIR_ON_BRD","FY 2001","FY 2001","Currency=USD","Period=FQ","BEST_FPERIOD_OVERRIDE=FQ","FILING_STATUS=MR","Sort=A","Dates=H","DateFormat=P","Fill=—","Direction=H","UseDPDF=Y")</f>
        <v>—</v>
      </c>
      <c r="E67" s="14" t="str">
        <f>_xll.BDH("AMGN US Equity","PCT_OF_NON_EXEC_DIR_ON_BRD","FY 2002","FY 2002","Currency=USD","Period=FQ","BEST_FPERIOD_OVERRIDE=FQ","FILING_STATUS=MR","Sort=A","Dates=H","DateFormat=P","Fill=—","Direction=H","UseDPDF=Y")</f>
        <v>—</v>
      </c>
      <c r="F67" s="14" t="str">
        <f>_xll.BDH("AMGN US Equity","PCT_OF_NON_EXEC_DIR_ON_BRD","FY 2003","FY 2003","Currency=USD","Period=FQ","BEST_FPERIOD_OVERRIDE=FQ","FILING_STATUS=MR","Sort=A","Dates=H","DateFormat=P","Fill=—","Direction=H","UseDPDF=Y")</f>
        <v>—</v>
      </c>
      <c r="G67" s="14" t="str">
        <f>_xll.BDH("AMGN US Equity","PCT_OF_NON_EXEC_DIR_ON_BRD","FY 2004","FY 2004","Currency=USD","Period=FQ","BEST_FPERIOD_OVERRIDE=FQ","FILING_STATUS=MR","Sort=A","Dates=H","DateFormat=P","Fill=—","Direction=H","UseDPDF=Y")</f>
        <v>—</v>
      </c>
      <c r="H67" s="14" t="str">
        <f>_xll.BDH("AMGN US Equity","PCT_OF_NON_EXEC_DIR_ON_BRD","FY 2005","FY 2005","Currency=USD","Period=FQ","BEST_FPERIOD_OVERRIDE=FQ","FILING_STATUS=MR","Sort=A","Dates=H","DateFormat=P","Fill=—","Direction=H","UseDPDF=Y")</f>
        <v>—</v>
      </c>
      <c r="I67" s="14" t="str">
        <f>_xll.BDH("AMGN US Equity","PCT_OF_NON_EXEC_DIR_ON_BRD","FY 2006","FY 2006","Currency=USD","Period=FQ","BEST_FPERIOD_OVERRIDE=FQ","FILING_STATUS=MR","Sort=A","Dates=H","DateFormat=P","Fill=—","Direction=H","UseDPDF=Y")</f>
        <v>—</v>
      </c>
      <c r="J67" s="14" t="str">
        <f>_xll.BDH("AMGN US Equity","PCT_OF_NON_EXEC_DIR_ON_BRD","FY 2007","FY 2007","Currency=USD","Period=FQ","BEST_FPERIOD_OVERRIDE=FQ","FILING_STATUS=MR","Sort=A","Dates=H","DateFormat=P","Fill=—","Direction=H","UseDPDF=Y")</f>
        <v>—</v>
      </c>
      <c r="K67" s="14" t="str">
        <f>_xll.BDH("AMGN US Equity","PCT_OF_NON_EXEC_DIR_ON_BRD","FY 2008","FY 2008","Currency=USD","Period=FQ","BEST_FPERIOD_OVERRIDE=FQ","FILING_STATUS=MR","Sort=A","Dates=H","DateFormat=P","Fill=—","Direction=H","UseDPDF=Y")</f>
        <v>—</v>
      </c>
      <c r="L67" s="14" t="str">
        <f>_xll.BDH("AMGN US Equity","PCT_OF_NON_EXEC_DIR_ON_BRD","FY 2009","FY 2009","Currency=USD","Period=FQ","BEST_FPERIOD_OVERRIDE=FQ","FILING_STATUS=MR","Sort=A","Dates=H","DateFormat=P","Fill=—","Direction=H","UseDPDF=Y")</f>
        <v>—</v>
      </c>
      <c r="M67" s="14" t="str">
        <f>_xll.BDH("AMGN US Equity","PCT_OF_NON_EXEC_DIR_ON_BRD","FY 2010","FY 2010","Currency=USD","Period=FQ","BEST_FPERIOD_OVERRIDE=FQ","FILING_STATUS=MR","Sort=A","Dates=H","DateFormat=P","Fill=—","Direction=H","UseDPDF=Y")</f>
        <v>—</v>
      </c>
      <c r="N67" s="14" t="str">
        <f>_xll.BDH("AMGN US Equity","PCT_OF_NON_EXEC_DIR_ON_BRD","FY 2011","FY 2011","Currency=USD","Period=FQ","BEST_FPERIOD_OVERRIDE=FQ","FILING_STATUS=MR","Sort=A","Dates=H","DateFormat=P","Fill=—","Direction=H","UseDPDF=Y")</f>
        <v>—</v>
      </c>
      <c r="O67" s="14" t="str">
        <f>_xll.BDH("AMGN US Equity","PCT_OF_NON_EXEC_DIR_ON_BRD","FY 2012","FY 2012","Currency=USD","Period=FQ","BEST_FPERIOD_OVERRIDE=FQ","FILING_STATUS=MR","Sort=A","Dates=H","DateFormat=P","Fill=—","Direction=H","UseDPDF=Y")</f>
        <v>—</v>
      </c>
      <c r="P67" s="14" t="str">
        <f>_xll.BDH("AMGN US Equity","PCT_OF_NON_EXEC_DIR_ON_BRD","FY 2013","FY 2013","Currency=USD","Period=FQ","BEST_FPERIOD_OVERRIDE=FQ","FILING_STATUS=MR","Sort=A","Dates=H","DateFormat=P","Fill=—","Direction=H","UseDPDF=Y")</f>
        <v>—</v>
      </c>
      <c r="Q67" s="14" t="str">
        <f>_xll.BDH("AMGN US Equity","PCT_OF_NON_EXEC_DIR_ON_BRD","FY 2014","FY 2014","Currency=USD","Period=FQ","BEST_FPERIOD_OVERRIDE=FQ","FILING_STATUS=MR","Sort=A","Dates=H","DateFormat=P","Fill=—","Direction=H","UseDPDF=Y")</f>
        <v>—</v>
      </c>
      <c r="R67" s="14" t="str">
        <f>_xll.BDH("AMGN US Equity","PCT_OF_NON_EXEC_DIR_ON_BRD","FY 2015","FY 2015","Currency=USD","Period=FQ","BEST_FPERIOD_OVERRIDE=FQ","FILING_STATUS=MR","Sort=A","Dates=H","DateFormat=P","Fill=—","Direction=H","UseDPDF=Y")</f>
        <v>—</v>
      </c>
      <c r="S67" s="14" t="str">
        <f>_xll.BDH("AMGN US Equity","PCT_OF_NON_EXEC_DIR_ON_BRD","FY 2016","FY 2016","Currency=USD","Period=FQ","BEST_FPERIOD_OVERRIDE=FQ","FILING_STATUS=MR","Sort=A","Dates=H","DateFormat=P","Fill=—","Direction=H","UseDPDF=Y")</f>
        <v>—</v>
      </c>
      <c r="T67" s="14" t="str">
        <f>_xll.BDH("AMGN US Equity","PCT_OF_NON_EXEC_DIR_ON_BRD","FY 2017","FY 2017","Currency=USD","Period=FQ","BEST_FPERIOD_OVERRIDE=FQ","FILING_STATUS=MR","Sort=A","Dates=H","DateFormat=P","Fill=—","Direction=H","UseDPDF=Y")</f>
        <v>—</v>
      </c>
      <c r="U67" s="14" t="str">
        <f>_xll.BDH("AMGN US Equity","PCT_OF_NON_EXEC_DIR_ON_BRD","FY 2018","FY 2018","Currency=USD","Period=FQ","BEST_FPERIOD_OVERRIDE=FQ","FILING_STATUS=MR","Sort=A","Dates=H","DateFormat=P","Fill=—","Direction=H","UseDPDF=Y")</f>
        <v>—</v>
      </c>
      <c r="V67" s="14" t="str">
        <f>_xll.BDH("AMGN US Equity","PCT_OF_NON_EXEC_DIR_ON_BRD","FY 2019","FY 2019","Currency=USD","Period=FQ","BEST_FPERIOD_OVERRIDE=FQ","FILING_STATUS=MR","Sort=A","Dates=H","DateFormat=P","Fill=—","Direction=H","UseDPDF=Y")</f>
        <v>—</v>
      </c>
      <c r="W67" s="14" t="str">
        <f>_xll.BDH("AMGN US Equity","PCT_OF_NON_EXEC_DIR_ON_BRD","FY 2020","FY 2020","Currency=USD","Period=FQ","BEST_FPERIOD_OVERRIDE=FQ","FILING_STATUS=MR","Sort=A","Dates=H","DateFormat=P","Fill=—","Direction=H","UseDPDF=Y")</f>
        <v>—</v>
      </c>
      <c r="X67" s="14" t="str">
        <f>_xll.BDH("AMGN US Equity","PCT_OF_NON_EXEC_DIR_ON_BRD","FY 2021","FY 2021","Currency=USD","Period=FQ","BEST_FPERIOD_OVERRIDE=FQ","FILING_STATUS=MR","Sort=A","Dates=H","DateFormat=P","Fill=—","Direction=H","UseDPDF=Y")</f>
        <v>—</v>
      </c>
      <c r="Y67" s="14" t="str">
        <f>_xll.BDH("AMGN US Equity","PCT_OF_NON_EXEC_DIR_ON_BRD","FY 2022","FY 2022","Currency=USD","Period=FQ","BEST_FPERIOD_OVERRIDE=FQ","FILING_STATUS=MR","Sort=A","Dates=H","DateFormat=P","Fill=—","Direction=H","UseDPDF=Y")</f>
        <v>—</v>
      </c>
      <c r="Z67" s="14" t="str">
        <f>_xll.BDH("AMGN US Equity","PCT_OF_NON_EXEC_DIR_ON_BRD","FY 2023","FY 2023","Currency=USD","Period=FQ","BEST_FPERIOD_OVERRIDE=FQ","FILING_STATUS=MR","Sort=A","Dates=H","DateFormat=P","Fill=—","Direction=H","UseDPDF=Y")</f>
        <v>—</v>
      </c>
      <c r="AA67" s="14" t="str">
        <f>_xll.BDH("AMGN US Equity","PCT_OF_NON_EXEC_DIR_ON_BRD","FY 2024","FY 2024","Currency=USD","Period=FQ","BEST_FPERIOD_OVERRIDE=FQ","FILING_STATUS=MR","Sort=A","Dates=H","DateFormat=P","Fill=—","Direction=H","UseDPDF=Y")</f>
        <v>—</v>
      </c>
    </row>
    <row r="68" spans="1:27" x14ac:dyDescent="0.25">
      <c r="A68" s="10" t="s">
        <v>2003</v>
      </c>
      <c r="B68" s="10" t="s">
        <v>2004</v>
      </c>
      <c r="C68" s="14" t="str">
        <f>_xll.BDH("AMGN US Equity","PCT_INDEPENDENT_DIRECTORS","FY 2000","FY 2000","Currency=USD","Period=FQ","BEST_FPERIOD_OVERRIDE=FQ","FILING_STATUS=MR","Sort=A","Dates=H","DateFormat=P","Fill=—","Direction=H","UseDPDF=Y")</f>
        <v>—</v>
      </c>
      <c r="D68" s="14" t="str">
        <f>_xll.BDH("AMGN US Equity","PCT_INDEPENDENT_DIRECTORS","FY 2001","FY 2001","Currency=USD","Period=FQ","BEST_FPERIOD_OVERRIDE=FQ","FILING_STATUS=MR","Sort=A","Dates=H","DateFormat=P","Fill=—","Direction=H","UseDPDF=Y")</f>
        <v>—</v>
      </c>
      <c r="E68" s="14" t="str">
        <f>_xll.BDH("AMGN US Equity","PCT_INDEPENDENT_DIRECTORS","FY 2002","FY 2002","Currency=USD","Period=FQ","BEST_FPERIOD_OVERRIDE=FQ","FILING_STATUS=MR","Sort=A","Dates=H","DateFormat=P","Fill=—","Direction=H","UseDPDF=Y")</f>
        <v>—</v>
      </c>
      <c r="F68" s="14" t="str">
        <f>_xll.BDH("AMGN US Equity","PCT_INDEPENDENT_DIRECTORS","FY 2003","FY 2003","Currency=USD","Period=FQ","BEST_FPERIOD_OVERRIDE=FQ","FILING_STATUS=MR","Sort=A","Dates=H","DateFormat=P","Fill=—","Direction=H","UseDPDF=Y")</f>
        <v>—</v>
      </c>
      <c r="G68" s="14" t="str">
        <f>_xll.BDH("AMGN US Equity","PCT_INDEPENDENT_DIRECTORS","FY 2004","FY 2004","Currency=USD","Period=FQ","BEST_FPERIOD_OVERRIDE=FQ","FILING_STATUS=MR","Sort=A","Dates=H","DateFormat=P","Fill=—","Direction=H","UseDPDF=Y")</f>
        <v>—</v>
      </c>
      <c r="H68" s="14" t="str">
        <f>_xll.BDH("AMGN US Equity","PCT_INDEPENDENT_DIRECTORS","FY 2005","FY 2005","Currency=USD","Period=FQ","BEST_FPERIOD_OVERRIDE=FQ","FILING_STATUS=MR","Sort=A","Dates=H","DateFormat=P","Fill=—","Direction=H","UseDPDF=Y")</f>
        <v>—</v>
      </c>
      <c r="I68" s="14" t="str">
        <f>_xll.BDH("AMGN US Equity","PCT_INDEPENDENT_DIRECTORS","FY 2006","FY 2006","Currency=USD","Period=FQ","BEST_FPERIOD_OVERRIDE=FQ","FILING_STATUS=MR","Sort=A","Dates=H","DateFormat=P","Fill=—","Direction=H","UseDPDF=Y")</f>
        <v>—</v>
      </c>
      <c r="J68" s="14" t="str">
        <f>_xll.BDH("AMGN US Equity","PCT_INDEPENDENT_DIRECTORS","FY 2007","FY 2007","Currency=USD","Period=FQ","BEST_FPERIOD_OVERRIDE=FQ","FILING_STATUS=MR","Sort=A","Dates=H","DateFormat=P","Fill=—","Direction=H","UseDPDF=Y")</f>
        <v>—</v>
      </c>
      <c r="K68" s="14" t="str">
        <f>_xll.BDH("AMGN US Equity","PCT_INDEPENDENT_DIRECTORS","FY 2008","FY 2008","Currency=USD","Period=FQ","BEST_FPERIOD_OVERRIDE=FQ","FILING_STATUS=MR","Sort=A","Dates=H","DateFormat=P","Fill=—","Direction=H","UseDPDF=Y")</f>
        <v>—</v>
      </c>
      <c r="L68" s="14" t="str">
        <f>_xll.BDH("AMGN US Equity","PCT_INDEPENDENT_DIRECTORS","FY 2009","FY 2009","Currency=USD","Period=FQ","BEST_FPERIOD_OVERRIDE=FQ","FILING_STATUS=MR","Sort=A","Dates=H","DateFormat=P","Fill=—","Direction=H","UseDPDF=Y")</f>
        <v>—</v>
      </c>
      <c r="M68" s="14" t="str">
        <f>_xll.BDH("AMGN US Equity","PCT_INDEPENDENT_DIRECTORS","FY 2010","FY 2010","Currency=USD","Period=FQ","BEST_FPERIOD_OVERRIDE=FQ","FILING_STATUS=MR","Sort=A","Dates=H","DateFormat=P","Fill=—","Direction=H","UseDPDF=Y")</f>
        <v>—</v>
      </c>
      <c r="N68" s="14" t="str">
        <f>_xll.BDH("AMGN US Equity","PCT_INDEPENDENT_DIRECTORS","FY 2011","FY 2011","Currency=USD","Period=FQ","BEST_FPERIOD_OVERRIDE=FQ","FILING_STATUS=MR","Sort=A","Dates=H","DateFormat=P","Fill=—","Direction=H","UseDPDF=Y")</f>
        <v>—</v>
      </c>
      <c r="O68" s="14" t="str">
        <f>_xll.BDH("AMGN US Equity","PCT_INDEPENDENT_DIRECTORS","FY 2012","FY 2012","Currency=USD","Period=FQ","BEST_FPERIOD_OVERRIDE=FQ","FILING_STATUS=MR","Sort=A","Dates=H","DateFormat=P","Fill=—","Direction=H","UseDPDF=Y")</f>
        <v>—</v>
      </c>
      <c r="P68" s="14" t="str">
        <f>_xll.BDH("AMGN US Equity","PCT_INDEPENDENT_DIRECTORS","FY 2013","FY 2013","Currency=USD","Period=FQ","BEST_FPERIOD_OVERRIDE=FQ","FILING_STATUS=MR","Sort=A","Dates=H","DateFormat=P","Fill=—","Direction=H","UseDPDF=Y")</f>
        <v>—</v>
      </c>
      <c r="Q68" s="14" t="str">
        <f>_xll.BDH("AMGN US Equity","PCT_INDEPENDENT_DIRECTORS","FY 2014","FY 2014","Currency=USD","Period=FQ","BEST_FPERIOD_OVERRIDE=FQ","FILING_STATUS=MR","Sort=A","Dates=H","DateFormat=P","Fill=—","Direction=H","UseDPDF=Y")</f>
        <v>—</v>
      </c>
      <c r="R68" s="14" t="str">
        <f>_xll.BDH("AMGN US Equity","PCT_INDEPENDENT_DIRECTORS","FY 2015","FY 2015","Currency=USD","Period=FQ","BEST_FPERIOD_OVERRIDE=FQ","FILING_STATUS=MR","Sort=A","Dates=H","DateFormat=P","Fill=—","Direction=H","UseDPDF=Y")</f>
        <v>—</v>
      </c>
      <c r="S68" s="14" t="str">
        <f>_xll.BDH("AMGN US Equity","PCT_INDEPENDENT_DIRECTORS","FY 2016","FY 2016","Currency=USD","Period=FQ","BEST_FPERIOD_OVERRIDE=FQ","FILING_STATUS=MR","Sort=A","Dates=H","DateFormat=P","Fill=—","Direction=H","UseDPDF=Y")</f>
        <v>—</v>
      </c>
      <c r="T68" s="14" t="str">
        <f>_xll.BDH("AMGN US Equity","PCT_INDEPENDENT_DIRECTORS","FY 2017","FY 2017","Currency=USD","Period=FQ","BEST_FPERIOD_OVERRIDE=FQ","FILING_STATUS=MR","Sort=A","Dates=H","DateFormat=P","Fill=—","Direction=H","UseDPDF=Y")</f>
        <v>—</v>
      </c>
      <c r="U68" s="14" t="str">
        <f>_xll.BDH("AMGN US Equity","PCT_INDEPENDENT_DIRECTORS","FY 2018","FY 2018","Currency=USD","Period=FQ","BEST_FPERIOD_OVERRIDE=FQ","FILING_STATUS=MR","Sort=A","Dates=H","DateFormat=P","Fill=—","Direction=H","UseDPDF=Y")</f>
        <v>—</v>
      </c>
      <c r="V68" s="14" t="str">
        <f>_xll.BDH("AMGN US Equity","PCT_INDEPENDENT_DIRECTORS","FY 2019","FY 2019","Currency=USD","Period=FQ","BEST_FPERIOD_OVERRIDE=FQ","FILING_STATUS=MR","Sort=A","Dates=H","DateFormat=P","Fill=—","Direction=H","UseDPDF=Y")</f>
        <v>—</v>
      </c>
      <c r="W68" s="14" t="str">
        <f>_xll.BDH("AMGN US Equity","PCT_INDEPENDENT_DIRECTORS","FY 2020","FY 2020","Currency=USD","Period=FQ","BEST_FPERIOD_OVERRIDE=FQ","FILING_STATUS=MR","Sort=A","Dates=H","DateFormat=P","Fill=—","Direction=H","UseDPDF=Y")</f>
        <v>—</v>
      </c>
      <c r="X68" s="14" t="str">
        <f>_xll.BDH("AMGN US Equity","PCT_INDEPENDENT_DIRECTORS","FY 2021","FY 2021","Currency=USD","Period=FQ","BEST_FPERIOD_OVERRIDE=FQ","FILING_STATUS=MR","Sort=A","Dates=H","DateFormat=P","Fill=—","Direction=H","UseDPDF=Y")</f>
        <v>—</v>
      </c>
      <c r="Y68" s="14" t="str">
        <f>_xll.BDH("AMGN US Equity","PCT_INDEPENDENT_DIRECTORS","FY 2022","FY 2022","Currency=USD","Period=FQ","BEST_FPERIOD_OVERRIDE=FQ","FILING_STATUS=MR","Sort=A","Dates=H","DateFormat=P","Fill=—","Direction=H","UseDPDF=Y")</f>
        <v>—</v>
      </c>
      <c r="Z68" s="14" t="str">
        <f>_xll.BDH("AMGN US Equity","PCT_INDEPENDENT_DIRECTORS","FY 2023","FY 2023","Currency=USD","Period=FQ","BEST_FPERIOD_OVERRIDE=FQ","FILING_STATUS=MR","Sort=A","Dates=H","DateFormat=P","Fill=—","Direction=H","UseDPDF=Y")</f>
        <v>—</v>
      </c>
      <c r="AA68" s="14" t="str">
        <f>_xll.BDH("AMGN US Equity","PCT_INDEPENDENT_DIRECTORS","FY 2024","FY 2024","Currency=USD","Period=FQ","BEST_FPERIOD_OVERRIDE=FQ","FILING_STATUS=MR","Sort=A","Dates=H","DateFormat=P","Fill=—","Direction=H","UseDPDF=Y")</f>
        <v>—</v>
      </c>
    </row>
    <row r="69" spans="1:27" x14ac:dyDescent="0.25">
      <c r="A69" s="10" t="s">
        <v>2005</v>
      </c>
      <c r="B69" s="10" t="s">
        <v>2006</v>
      </c>
      <c r="C69" s="14" t="str">
        <f>_xll.BDH("AMGN US Equity","PCT_WOMEN_ON_BOARD","FY 2000","FY 2000","Currency=USD","Period=FQ","BEST_FPERIOD_OVERRIDE=FQ","FILING_STATUS=MR","Sort=A","Dates=H","DateFormat=P","Fill=—","Direction=H","UseDPDF=Y")</f>
        <v>—</v>
      </c>
      <c r="D69" s="14" t="str">
        <f>_xll.BDH("AMGN US Equity","PCT_WOMEN_ON_BOARD","FY 2001","FY 2001","Currency=USD","Period=FQ","BEST_FPERIOD_OVERRIDE=FQ","FILING_STATUS=MR","Sort=A","Dates=H","DateFormat=P","Fill=—","Direction=H","UseDPDF=Y")</f>
        <v>—</v>
      </c>
      <c r="E69" s="14" t="str">
        <f>_xll.BDH("AMGN US Equity","PCT_WOMEN_ON_BOARD","FY 2002","FY 2002","Currency=USD","Period=FQ","BEST_FPERIOD_OVERRIDE=FQ","FILING_STATUS=MR","Sort=A","Dates=H","DateFormat=P","Fill=—","Direction=H","UseDPDF=Y")</f>
        <v>—</v>
      </c>
      <c r="F69" s="14" t="str">
        <f>_xll.BDH("AMGN US Equity","PCT_WOMEN_ON_BOARD","FY 2003","FY 2003","Currency=USD","Period=FQ","BEST_FPERIOD_OVERRIDE=FQ","FILING_STATUS=MR","Sort=A","Dates=H","DateFormat=P","Fill=—","Direction=H","UseDPDF=Y")</f>
        <v>—</v>
      </c>
      <c r="G69" s="14" t="str">
        <f>_xll.BDH("AMGN US Equity","PCT_WOMEN_ON_BOARD","FY 2004","FY 2004","Currency=USD","Period=FQ","BEST_FPERIOD_OVERRIDE=FQ","FILING_STATUS=MR","Sort=A","Dates=H","DateFormat=P","Fill=—","Direction=H","UseDPDF=Y")</f>
        <v>—</v>
      </c>
      <c r="H69" s="14" t="str">
        <f>_xll.BDH("AMGN US Equity","PCT_WOMEN_ON_BOARD","FY 2005","FY 2005","Currency=USD","Period=FQ","BEST_FPERIOD_OVERRIDE=FQ","FILING_STATUS=MR","Sort=A","Dates=H","DateFormat=P","Fill=—","Direction=H","UseDPDF=Y")</f>
        <v>—</v>
      </c>
      <c r="I69" s="14" t="str">
        <f>_xll.BDH("AMGN US Equity","PCT_WOMEN_ON_BOARD","FY 2006","FY 2006","Currency=USD","Period=FQ","BEST_FPERIOD_OVERRIDE=FQ","FILING_STATUS=MR","Sort=A","Dates=H","DateFormat=P","Fill=—","Direction=H","UseDPDF=Y")</f>
        <v>—</v>
      </c>
      <c r="J69" s="14" t="str">
        <f>_xll.BDH("AMGN US Equity","PCT_WOMEN_ON_BOARD","FY 2007","FY 2007","Currency=USD","Period=FQ","BEST_FPERIOD_OVERRIDE=FQ","FILING_STATUS=MR","Sort=A","Dates=H","DateFormat=P","Fill=—","Direction=H","UseDPDF=Y")</f>
        <v>—</v>
      </c>
      <c r="K69" s="14" t="str">
        <f>_xll.BDH("AMGN US Equity","PCT_WOMEN_ON_BOARD","FY 2008","FY 2008","Currency=USD","Period=FQ","BEST_FPERIOD_OVERRIDE=FQ","FILING_STATUS=MR","Sort=A","Dates=H","DateFormat=P","Fill=—","Direction=H","UseDPDF=Y")</f>
        <v>—</v>
      </c>
      <c r="L69" s="14" t="str">
        <f>_xll.BDH("AMGN US Equity","PCT_WOMEN_ON_BOARD","FY 2009","FY 2009","Currency=USD","Period=FQ","BEST_FPERIOD_OVERRIDE=FQ","FILING_STATUS=MR","Sort=A","Dates=H","DateFormat=P","Fill=—","Direction=H","UseDPDF=Y")</f>
        <v>—</v>
      </c>
      <c r="M69" s="14" t="str">
        <f>_xll.BDH("AMGN US Equity","PCT_WOMEN_ON_BOARD","FY 2010","FY 2010","Currency=USD","Period=FQ","BEST_FPERIOD_OVERRIDE=FQ","FILING_STATUS=MR","Sort=A","Dates=H","DateFormat=P","Fill=—","Direction=H","UseDPDF=Y")</f>
        <v>—</v>
      </c>
      <c r="N69" s="14" t="str">
        <f>_xll.BDH("AMGN US Equity","PCT_WOMEN_ON_BOARD","FY 2011","FY 2011","Currency=USD","Period=FQ","BEST_FPERIOD_OVERRIDE=FQ","FILING_STATUS=MR","Sort=A","Dates=H","DateFormat=P","Fill=—","Direction=H","UseDPDF=Y")</f>
        <v>—</v>
      </c>
      <c r="O69" s="14" t="str">
        <f>_xll.BDH("AMGN US Equity","PCT_WOMEN_ON_BOARD","FY 2012","FY 2012","Currency=USD","Period=FQ","BEST_FPERIOD_OVERRIDE=FQ","FILING_STATUS=MR","Sort=A","Dates=H","DateFormat=P","Fill=—","Direction=H","UseDPDF=Y")</f>
        <v>—</v>
      </c>
      <c r="P69" s="14" t="str">
        <f>_xll.BDH("AMGN US Equity","PCT_WOMEN_ON_BOARD","FY 2013","FY 2013","Currency=USD","Period=FQ","BEST_FPERIOD_OVERRIDE=FQ","FILING_STATUS=MR","Sort=A","Dates=H","DateFormat=P","Fill=—","Direction=H","UseDPDF=Y")</f>
        <v>—</v>
      </c>
      <c r="Q69" s="14" t="str">
        <f>_xll.BDH("AMGN US Equity","PCT_WOMEN_ON_BOARD","FY 2014","FY 2014","Currency=USD","Period=FQ","BEST_FPERIOD_OVERRIDE=FQ","FILING_STATUS=MR","Sort=A","Dates=H","DateFormat=P","Fill=—","Direction=H","UseDPDF=Y")</f>
        <v>—</v>
      </c>
      <c r="R69" s="14" t="str">
        <f>_xll.BDH("AMGN US Equity","PCT_WOMEN_ON_BOARD","FY 2015","FY 2015","Currency=USD","Period=FQ","BEST_FPERIOD_OVERRIDE=FQ","FILING_STATUS=MR","Sort=A","Dates=H","DateFormat=P","Fill=—","Direction=H","UseDPDF=Y")</f>
        <v>—</v>
      </c>
      <c r="S69" s="14" t="str">
        <f>_xll.BDH("AMGN US Equity","PCT_WOMEN_ON_BOARD","FY 2016","FY 2016","Currency=USD","Period=FQ","BEST_FPERIOD_OVERRIDE=FQ","FILING_STATUS=MR","Sort=A","Dates=H","DateFormat=P","Fill=—","Direction=H","UseDPDF=Y")</f>
        <v>—</v>
      </c>
      <c r="T69" s="14" t="str">
        <f>_xll.BDH("AMGN US Equity","PCT_WOMEN_ON_BOARD","FY 2017","FY 2017","Currency=USD","Period=FQ","BEST_FPERIOD_OVERRIDE=FQ","FILING_STATUS=MR","Sort=A","Dates=H","DateFormat=P","Fill=—","Direction=H","UseDPDF=Y")</f>
        <v>—</v>
      </c>
      <c r="U69" s="14" t="str">
        <f>_xll.BDH("AMGN US Equity","PCT_WOMEN_ON_BOARD","FY 2018","FY 2018","Currency=USD","Period=FQ","BEST_FPERIOD_OVERRIDE=FQ","FILING_STATUS=MR","Sort=A","Dates=H","DateFormat=P","Fill=—","Direction=H","UseDPDF=Y")</f>
        <v>—</v>
      </c>
      <c r="V69" s="14" t="str">
        <f>_xll.BDH("AMGN US Equity","PCT_WOMEN_ON_BOARD","FY 2019","FY 2019","Currency=USD","Period=FQ","BEST_FPERIOD_OVERRIDE=FQ","FILING_STATUS=MR","Sort=A","Dates=H","DateFormat=P","Fill=—","Direction=H","UseDPDF=Y")</f>
        <v>—</v>
      </c>
      <c r="W69" s="14" t="str">
        <f>_xll.BDH("AMGN US Equity","PCT_WOMEN_ON_BOARD","FY 2020","FY 2020","Currency=USD","Period=FQ","BEST_FPERIOD_OVERRIDE=FQ","FILING_STATUS=MR","Sort=A","Dates=H","DateFormat=P","Fill=—","Direction=H","UseDPDF=Y")</f>
        <v>—</v>
      </c>
      <c r="X69" s="14" t="str">
        <f>_xll.BDH("AMGN US Equity","PCT_WOMEN_ON_BOARD","FY 2021","FY 2021","Currency=USD","Period=FQ","BEST_FPERIOD_OVERRIDE=FQ","FILING_STATUS=MR","Sort=A","Dates=H","DateFormat=P","Fill=—","Direction=H","UseDPDF=Y")</f>
        <v>—</v>
      </c>
      <c r="Y69" s="14" t="str">
        <f>_xll.BDH("AMGN US Equity","PCT_WOMEN_ON_BOARD","FY 2022","FY 2022","Currency=USD","Period=FQ","BEST_FPERIOD_OVERRIDE=FQ","FILING_STATUS=MR","Sort=A","Dates=H","DateFormat=P","Fill=—","Direction=H","UseDPDF=Y")</f>
        <v>—</v>
      </c>
      <c r="Z69" s="14" t="str">
        <f>_xll.BDH("AMGN US Equity","PCT_WOMEN_ON_BOARD","FY 2023","FY 2023","Currency=USD","Period=FQ","BEST_FPERIOD_OVERRIDE=FQ","FILING_STATUS=MR","Sort=A","Dates=H","DateFormat=P","Fill=—","Direction=H","UseDPDF=Y")</f>
        <v>—</v>
      </c>
      <c r="AA69" s="14" t="str">
        <f>_xll.BDH("AMGN US Equity","PCT_WOMEN_ON_BOARD","FY 2024","FY 2024","Currency=USD","Period=FQ","BEST_FPERIOD_OVERRIDE=FQ","FILING_STATUS=MR","Sort=A","Dates=H","DateFormat=P","Fill=—","Direction=H","UseDPDF=Y")</f>
        <v>—</v>
      </c>
    </row>
    <row r="70" spans="1:27" x14ac:dyDescent="0.25">
      <c r="A70" s="10" t="s">
        <v>2007</v>
      </c>
      <c r="B70" s="10" t="s">
        <v>2008</v>
      </c>
      <c r="C70" s="14" t="str">
        <f>_xll.BDH("AMGN US Equity","PERCENTAGE_OF_FEMALE_EXECUTIVES","FY 2000","FY 2000","Currency=USD","Period=FQ","BEST_FPERIOD_OVERRIDE=FQ","FILING_STATUS=MR","Sort=A","Dates=H","DateFormat=P","Fill=—","Direction=H","UseDPDF=Y")</f>
        <v>—</v>
      </c>
      <c r="D70" s="14" t="str">
        <f>_xll.BDH("AMGN US Equity","PERCENTAGE_OF_FEMALE_EXECUTIVES","FY 2001","FY 2001","Currency=USD","Period=FQ","BEST_FPERIOD_OVERRIDE=FQ","FILING_STATUS=MR","Sort=A","Dates=H","DateFormat=P","Fill=—","Direction=H","UseDPDF=Y")</f>
        <v>—</v>
      </c>
      <c r="E70" s="14" t="str">
        <f>_xll.BDH("AMGN US Equity","PERCENTAGE_OF_FEMALE_EXECUTIVES","FY 2002","FY 2002","Currency=USD","Period=FQ","BEST_FPERIOD_OVERRIDE=FQ","FILING_STATUS=MR","Sort=A","Dates=H","DateFormat=P","Fill=—","Direction=H","UseDPDF=Y")</f>
        <v>—</v>
      </c>
      <c r="F70" s="14" t="str">
        <f>_xll.BDH("AMGN US Equity","PERCENTAGE_OF_FEMALE_EXECUTIVES","FY 2003","FY 2003","Currency=USD","Period=FQ","BEST_FPERIOD_OVERRIDE=FQ","FILING_STATUS=MR","Sort=A","Dates=H","DateFormat=P","Fill=—","Direction=H","UseDPDF=Y")</f>
        <v>—</v>
      </c>
      <c r="G70" s="14" t="str">
        <f>_xll.BDH("AMGN US Equity","PERCENTAGE_OF_FEMALE_EXECUTIVES","FY 2004","FY 2004","Currency=USD","Period=FQ","BEST_FPERIOD_OVERRIDE=FQ","FILING_STATUS=MR","Sort=A","Dates=H","DateFormat=P","Fill=—","Direction=H","UseDPDF=Y")</f>
        <v>—</v>
      </c>
      <c r="H70" s="14" t="str">
        <f>_xll.BDH("AMGN US Equity","PERCENTAGE_OF_FEMALE_EXECUTIVES","FY 2005","FY 2005","Currency=USD","Period=FQ","BEST_FPERIOD_OVERRIDE=FQ","FILING_STATUS=MR","Sort=A","Dates=H","DateFormat=P","Fill=—","Direction=H","UseDPDF=Y")</f>
        <v>—</v>
      </c>
      <c r="I70" s="14" t="str">
        <f>_xll.BDH("AMGN US Equity","PERCENTAGE_OF_FEMALE_EXECUTIVES","FY 2006","FY 2006","Currency=USD","Period=FQ","BEST_FPERIOD_OVERRIDE=FQ","FILING_STATUS=MR","Sort=A","Dates=H","DateFormat=P","Fill=—","Direction=H","UseDPDF=Y")</f>
        <v>—</v>
      </c>
      <c r="J70" s="14" t="str">
        <f>_xll.BDH("AMGN US Equity","PERCENTAGE_OF_FEMALE_EXECUTIVES","FY 2007","FY 2007","Currency=USD","Period=FQ","BEST_FPERIOD_OVERRIDE=FQ","FILING_STATUS=MR","Sort=A","Dates=H","DateFormat=P","Fill=—","Direction=H","UseDPDF=Y")</f>
        <v>—</v>
      </c>
      <c r="K70" s="14" t="str">
        <f>_xll.BDH("AMGN US Equity","PERCENTAGE_OF_FEMALE_EXECUTIVES","FY 2008","FY 2008","Currency=USD","Period=FQ","BEST_FPERIOD_OVERRIDE=FQ","FILING_STATUS=MR","Sort=A","Dates=H","DateFormat=P","Fill=—","Direction=H","UseDPDF=Y")</f>
        <v>—</v>
      </c>
      <c r="L70" s="14" t="str">
        <f>_xll.BDH("AMGN US Equity","PERCENTAGE_OF_FEMALE_EXECUTIVES","FY 2009","FY 2009","Currency=USD","Period=FQ","BEST_FPERIOD_OVERRIDE=FQ","FILING_STATUS=MR","Sort=A","Dates=H","DateFormat=P","Fill=—","Direction=H","UseDPDF=Y")</f>
        <v>—</v>
      </c>
      <c r="M70" s="14" t="str">
        <f>_xll.BDH("AMGN US Equity","PERCENTAGE_OF_FEMALE_EXECUTIVES","FY 2010","FY 2010","Currency=USD","Period=FQ","BEST_FPERIOD_OVERRIDE=FQ","FILING_STATUS=MR","Sort=A","Dates=H","DateFormat=P","Fill=—","Direction=H","UseDPDF=Y")</f>
        <v>—</v>
      </c>
      <c r="N70" s="14" t="str">
        <f>_xll.BDH("AMGN US Equity","PERCENTAGE_OF_FEMALE_EXECUTIVES","FY 2011","FY 2011","Currency=USD","Period=FQ","BEST_FPERIOD_OVERRIDE=FQ","FILING_STATUS=MR","Sort=A","Dates=H","DateFormat=P","Fill=—","Direction=H","UseDPDF=Y")</f>
        <v>—</v>
      </c>
      <c r="O70" s="14" t="str">
        <f>_xll.BDH("AMGN US Equity","PERCENTAGE_OF_FEMALE_EXECUTIVES","FY 2012","FY 2012","Currency=USD","Period=FQ","BEST_FPERIOD_OVERRIDE=FQ","FILING_STATUS=MR","Sort=A","Dates=H","DateFormat=P","Fill=—","Direction=H","UseDPDF=Y")</f>
        <v>—</v>
      </c>
      <c r="P70" s="14" t="str">
        <f>_xll.BDH("AMGN US Equity","PERCENTAGE_OF_FEMALE_EXECUTIVES","FY 2013","FY 2013","Currency=USD","Period=FQ","BEST_FPERIOD_OVERRIDE=FQ","FILING_STATUS=MR","Sort=A","Dates=H","DateFormat=P","Fill=—","Direction=H","UseDPDF=Y")</f>
        <v>—</v>
      </c>
      <c r="Q70" s="14" t="str">
        <f>_xll.BDH("AMGN US Equity","PERCENTAGE_OF_FEMALE_EXECUTIVES","FY 2014","FY 2014","Currency=USD","Period=FQ","BEST_FPERIOD_OVERRIDE=FQ","FILING_STATUS=MR","Sort=A","Dates=H","DateFormat=P","Fill=—","Direction=H","UseDPDF=Y")</f>
        <v>—</v>
      </c>
      <c r="R70" s="14" t="str">
        <f>_xll.BDH("AMGN US Equity","PERCENTAGE_OF_FEMALE_EXECUTIVES","FY 2015","FY 2015","Currency=USD","Period=FQ","BEST_FPERIOD_OVERRIDE=FQ","FILING_STATUS=MR","Sort=A","Dates=H","DateFormat=P","Fill=—","Direction=H","UseDPDF=Y")</f>
        <v>—</v>
      </c>
      <c r="S70" s="14" t="str">
        <f>_xll.BDH("AMGN US Equity","PERCENTAGE_OF_FEMALE_EXECUTIVES","FY 2016","FY 2016","Currency=USD","Period=FQ","BEST_FPERIOD_OVERRIDE=FQ","FILING_STATUS=MR","Sort=A","Dates=H","DateFormat=P","Fill=—","Direction=H","UseDPDF=Y")</f>
        <v>—</v>
      </c>
      <c r="T70" s="14" t="str">
        <f>_xll.BDH("AMGN US Equity","PERCENTAGE_OF_FEMALE_EXECUTIVES","FY 2017","FY 2017","Currency=USD","Period=FQ","BEST_FPERIOD_OVERRIDE=FQ","FILING_STATUS=MR","Sort=A","Dates=H","DateFormat=P","Fill=—","Direction=H","UseDPDF=Y")</f>
        <v>—</v>
      </c>
      <c r="U70" s="14" t="str">
        <f>_xll.BDH("AMGN US Equity","PERCENTAGE_OF_FEMALE_EXECUTIVES","FY 2018","FY 2018","Currency=USD","Period=FQ","BEST_FPERIOD_OVERRIDE=FQ","FILING_STATUS=MR","Sort=A","Dates=H","DateFormat=P","Fill=—","Direction=H","UseDPDF=Y")</f>
        <v>—</v>
      </c>
      <c r="V70" s="14" t="str">
        <f>_xll.BDH("AMGN US Equity","PERCENTAGE_OF_FEMALE_EXECUTIVES","FY 2019","FY 2019","Currency=USD","Period=FQ","BEST_FPERIOD_OVERRIDE=FQ","FILING_STATUS=MR","Sort=A","Dates=H","DateFormat=P","Fill=—","Direction=H","UseDPDF=Y")</f>
        <v>—</v>
      </c>
      <c r="W70" s="14" t="str">
        <f>_xll.BDH("AMGN US Equity","PERCENTAGE_OF_FEMALE_EXECUTIVES","FY 2020","FY 2020","Currency=USD","Period=FQ","BEST_FPERIOD_OVERRIDE=FQ","FILING_STATUS=MR","Sort=A","Dates=H","DateFormat=P","Fill=—","Direction=H","UseDPDF=Y")</f>
        <v>—</v>
      </c>
      <c r="X70" s="14" t="str">
        <f>_xll.BDH("AMGN US Equity","PERCENTAGE_OF_FEMALE_EXECUTIVES","FY 2021","FY 2021","Currency=USD","Period=FQ","BEST_FPERIOD_OVERRIDE=FQ","FILING_STATUS=MR","Sort=A","Dates=H","DateFormat=P","Fill=—","Direction=H","UseDPDF=Y")</f>
        <v>—</v>
      </c>
      <c r="Y70" s="14" t="str">
        <f>_xll.BDH("AMGN US Equity","PERCENTAGE_OF_FEMALE_EXECUTIVES","FY 2022","FY 2022","Currency=USD","Period=FQ","BEST_FPERIOD_OVERRIDE=FQ","FILING_STATUS=MR","Sort=A","Dates=H","DateFormat=P","Fill=—","Direction=H","UseDPDF=Y")</f>
        <v>—</v>
      </c>
      <c r="Z70" s="14" t="str">
        <f>_xll.BDH("AMGN US Equity","PERCENTAGE_OF_FEMALE_EXECUTIVES","FY 2023","FY 2023","Currency=USD","Period=FQ","BEST_FPERIOD_OVERRIDE=FQ","FILING_STATUS=MR","Sort=A","Dates=H","DateFormat=P","Fill=—","Direction=H","UseDPDF=Y")</f>
        <v>—</v>
      </c>
      <c r="AA70" s="14" t="str">
        <f>_xll.BDH("AMGN US Equity","PERCENTAGE_OF_FEMALE_EXECUTIVES","FY 2024","FY 2024","Currency=USD","Period=FQ","BEST_FPERIOD_OVERRIDE=FQ","FILING_STATUS=MR","Sort=A","Dates=H","DateFormat=P","Fill=—","Direction=H","UseDPDF=Y")</f>
        <v>—</v>
      </c>
    </row>
    <row r="71" spans="1:27" x14ac:dyDescent="0.25">
      <c r="A71" s="10" t="s">
        <v>2009</v>
      </c>
      <c r="B71" s="10" t="s">
        <v>2010</v>
      </c>
      <c r="C71" s="14" t="str">
        <f>_xll.BDH("AMGN US Equity","BOARD_OF_DIRECTORS_AGE_RANGE","FY 2000","FY 2000","Currency=USD","Period=FQ","BEST_FPERIOD_OVERRIDE=FQ","FILING_STATUS=MR","Sort=A","Dates=H","DateFormat=P","Fill=—","Direction=H","UseDPDF=Y")</f>
        <v>—</v>
      </c>
      <c r="D71" s="14" t="str">
        <f>_xll.BDH("AMGN US Equity","BOARD_OF_DIRECTORS_AGE_RANGE","FY 2001","FY 2001","Currency=USD","Period=FQ","BEST_FPERIOD_OVERRIDE=FQ","FILING_STATUS=MR","Sort=A","Dates=H","DateFormat=P","Fill=—","Direction=H","UseDPDF=Y")</f>
        <v>—</v>
      </c>
      <c r="E71" s="14" t="str">
        <f>_xll.BDH("AMGN US Equity","BOARD_OF_DIRECTORS_AGE_RANGE","FY 2002","FY 2002","Currency=USD","Period=FQ","BEST_FPERIOD_OVERRIDE=FQ","FILING_STATUS=MR","Sort=A","Dates=H","DateFormat=P","Fill=—","Direction=H","UseDPDF=Y")</f>
        <v>—</v>
      </c>
      <c r="F71" s="14" t="str">
        <f>_xll.BDH("AMGN US Equity","BOARD_OF_DIRECTORS_AGE_RANGE","FY 2003","FY 2003","Currency=USD","Period=FQ","BEST_FPERIOD_OVERRIDE=FQ","FILING_STATUS=MR","Sort=A","Dates=H","DateFormat=P","Fill=—","Direction=H","UseDPDF=Y")</f>
        <v>—</v>
      </c>
      <c r="G71" s="14" t="str">
        <f>_xll.BDH("AMGN US Equity","BOARD_OF_DIRECTORS_AGE_RANGE","FY 2004","FY 2004","Currency=USD","Period=FQ","BEST_FPERIOD_OVERRIDE=FQ","FILING_STATUS=MR","Sort=A","Dates=H","DateFormat=P","Fill=—","Direction=H","UseDPDF=Y")</f>
        <v>—</v>
      </c>
      <c r="H71" s="14" t="str">
        <f>_xll.BDH("AMGN US Equity","BOARD_OF_DIRECTORS_AGE_RANGE","FY 2005","FY 2005","Currency=USD","Period=FQ","BEST_FPERIOD_OVERRIDE=FQ","FILING_STATUS=MR","Sort=A","Dates=H","DateFormat=P","Fill=—","Direction=H","UseDPDF=Y")</f>
        <v>—</v>
      </c>
      <c r="I71" s="14" t="str">
        <f>_xll.BDH("AMGN US Equity","BOARD_OF_DIRECTORS_AGE_RANGE","FY 2006","FY 2006","Currency=USD","Period=FQ","BEST_FPERIOD_OVERRIDE=FQ","FILING_STATUS=MR","Sort=A","Dates=H","DateFormat=P","Fill=—","Direction=H","UseDPDF=Y")</f>
        <v>—</v>
      </c>
      <c r="J71" s="14" t="str">
        <f>_xll.BDH("AMGN US Equity","BOARD_OF_DIRECTORS_AGE_RANGE","FY 2007","FY 2007","Currency=USD","Period=FQ","BEST_FPERIOD_OVERRIDE=FQ","FILING_STATUS=MR","Sort=A","Dates=H","DateFormat=P","Fill=—","Direction=H","UseDPDF=Y")</f>
        <v>—</v>
      </c>
      <c r="K71" s="14" t="str">
        <f>_xll.BDH("AMGN US Equity","BOARD_OF_DIRECTORS_AGE_RANGE","FY 2008","FY 2008","Currency=USD","Period=FQ","BEST_FPERIOD_OVERRIDE=FQ","FILING_STATUS=MR","Sort=A","Dates=H","DateFormat=P","Fill=—","Direction=H","UseDPDF=Y")</f>
        <v>—</v>
      </c>
      <c r="L71" s="14" t="str">
        <f>_xll.BDH("AMGN US Equity","BOARD_OF_DIRECTORS_AGE_RANGE","FY 2009","FY 2009","Currency=USD","Period=FQ","BEST_FPERIOD_OVERRIDE=FQ","FILING_STATUS=MR","Sort=A","Dates=H","DateFormat=P","Fill=—","Direction=H","UseDPDF=Y")</f>
        <v>—</v>
      </c>
      <c r="M71" s="14" t="str">
        <f>_xll.BDH("AMGN US Equity","BOARD_OF_DIRECTORS_AGE_RANGE","FY 2010","FY 2010","Currency=USD","Period=FQ","BEST_FPERIOD_OVERRIDE=FQ","FILING_STATUS=MR","Sort=A","Dates=H","DateFormat=P","Fill=—","Direction=H","UseDPDF=Y")</f>
        <v>—</v>
      </c>
      <c r="N71" s="14" t="str">
        <f>_xll.BDH("AMGN US Equity","BOARD_OF_DIRECTORS_AGE_RANGE","FY 2011","FY 2011","Currency=USD","Period=FQ","BEST_FPERIOD_OVERRIDE=FQ","FILING_STATUS=MR","Sort=A","Dates=H","DateFormat=P","Fill=—","Direction=H","UseDPDF=Y")</f>
        <v>—</v>
      </c>
      <c r="O71" s="14" t="str">
        <f>_xll.BDH("AMGN US Equity","BOARD_OF_DIRECTORS_AGE_RANGE","FY 2012","FY 2012","Currency=USD","Period=FQ","BEST_FPERIOD_OVERRIDE=FQ","FILING_STATUS=MR","Sort=A","Dates=H","DateFormat=P","Fill=—","Direction=H","UseDPDF=Y")</f>
        <v>—</v>
      </c>
      <c r="P71" s="14" t="str">
        <f>_xll.BDH("AMGN US Equity","BOARD_OF_DIRECTORS_AGE_RANGE","FY 2013","FY 2013","Currency=USD","Period=FQ","BEST_FPERIOD_OVERRIDE=FQ","FILING_STATUS=MR","Sort=A","Dates=H","DateFormat=P","Fill=—","Direction=H","UseDPDF=Y")</f>
        <v>—</v>
      </c>
      <c r="Q71" s="14" t="str">
        <f>_xll.BDH("AMGN US Equity","BOARD_OF_DIRECTORS_AGE_RANGE","FY 2014","FY 2014","Currency=USD","Period=FQ","BEST_FPERIOD_OVERRIDE=FQ","FILING_STATUS=MR","Sort=A","Dates=H","DateFormat=P","Fill=—","Direction=H","UseDPDF=Y")</f>
        <v>—</v>
      </c>
      <c r="R71" s="14" t="str">
        <f>_xll.BDH("AMGN US Equity","BOARD_OF_DIRECTORS_AGE_RANGE","FY 2015","FY 2015","Currency=USD","Period=FQ","BEST_FPERIOD_OVERRIDE=FQ","FILING_STATUS=MR","Sort=A","Dates=H","DateFormat=P","Fill=—","Direction=H","UseDPDF=Y")</f>
        <v>—</v>
      </c>
      <c r="S71" s="14" t="str">
        <f>_xll.BDH("AMGN US Equity","BOARD_OF_DIRECTORS_AGE_RANGE","FY 2016","FY 2016","Currency=USD","Period=FQ","BEST_FPERIOD_OVERRIDE=FQ","FILING_STATUS=MR","Sort=A","Dates=H","DateFormat=P","Fill=—","Direction=H","UseDPDF=Y")</f>
        <v>—</v>
      </c>
      <c r="T71" s="14" t="str">
        <f>_xll.BDH("AMGN US Equity","BOARD_OF_DIRECTORS_AGE_RANGE","FY 2017","FY 2017","Currency=USD","Period=FQ","BEST_FPERIOD_OVERRIDE=FQ","FILING_STATUS=MR","Sort=A","Dates=H","DateFormat=P","Fill=—","Direction=H","UseDPDF=Y")</f>
        <v>—</v>
      </c>
      <c r="U71" s="14" t="str">
        <f>_xll.BDH("AMGN US Equity","BOARD_OF_DIRECTORS_AGE_RANGE","FY 2018","FY 2018","Currency=USD","Period=FQ","BEST_FPERIOD_OVERRIDE=FQ","FILING_STATUS=MR","Sort=A","Dates=H","DateFormat=P","Fill=—","Direction=H","UseDPDF=Y")</f>
        <v>—</v>
      </c>
      <c r="V71" s="14" t="str">
        <f>_xll.BDH("AMGN US Equity","BOARD_OF_DIRECTORS_AGE_RANGE","FY 2019","FY 2019","Currency=USD","Period=FQ","BEST_FPERIOD_OVERRIDE=FQ","FILING_STATUS=MR","Sort=A","Dates=H","DateFormat=P","Fill=—","Direction=H","UseDPDF=Y")</f>
        <v>—</v>
      </c>
      <c r="W71" s="14" t="str">
        <f>_xll.BDH("AMGN US Equity","BOARD_OF_DIRECTORS_AGE_RANGE","FY 2020","FY 2020","Currency=USD","Period=FQ","BEST_FPERIOD_OVERRIDE=FQ","FILING_STATUS=MR","Sort=A","Dates=H","DateFormat=P","Fill=—","Direction=H","UseDPDF=Y")</f>
        <v>—</v>
      </c>
      <c r="X71" s="14" t="str">
        <f>_xll.BDH("AMGN US Equity","BOARD_OF_DIRECTORS_AGE_RANGE","FY 2021","FY 2021","Currency=USD","Period=FQ","BEST_FPERIOD_OVERRIDE=FQ","FILING_STATUS=MR","Sort=A","Dates=H","DateFormat=P","Fill=—","Direction=H","UseDPDF=Y")</f>
        <v>—</v>
      </c>
      <c r="Y71" s="14" t="str">
        <f>_xll.BDH("AMGN US Equity","BOARD_OF_DIRECTORS_AGE_RANGE","FY 2022","FY 2022","Currency=USD","Period=FQ","BEST_FPERIOD_OVERRIDE=FQ","FILING_STATUS=MR","Sort=A","Dates=H","DateFormat=P","Fill=—","Direction=H","UseDPDF=Y")</f>
        <v>—</v>
      </c>
      <c r="Z71" s="14" t="str">
        <f>_xll.BDH("AMGN US Equity","BOARD_OF_DIRECTORS_AGE_RANGE","FY 2023","FY 2023","Currency=USD","Period=FQ","BEST_FPERIOD_OVERRIDE=FQ","FILING_STATUS=MR","Sort=A","Dates=H","DateFormat=P","Fill=—","Direction=H","UseDPDF=Y")</f>
        <v>—</v>
      </c>
      <c r="AA71" s="14" t="str">
        <f>_xll.BDH("AMGN US Equity","BOARD_OF_DIRECTORS_AGE_RANGE","FY 2024","FY 2024","Currency=USD","Period=FQ","BEST_FPERIOD_OVERRIDE=FQ","FILING_STATUS=MR","Sort=A","Dates=H","DateFormat=P","Fill=—","Direction=H","UseDPDF=Y")</f>
        <v>—</v>
      </c>
    </row>
    <row r="72" spans="1:27" x14ac:dyDescent="0.25">
      <c r="A72" s="10" t="s">
        <v>2011</v>
      </c>
      <c r="B72" s="10" t="s">
        <v>2012</v>
      </c>
      <c r="C72" s="14" t="str">
        <f>_xll.BDH("AMGN US Equity","BOARD_AVERAGE_AGE","FY 2000","FY 2000","Currency=USD","Period=FQ","BEST_FPERIOD_OVERRIDE=FQ","FILING_STATUS=MR","Sort=A","Dates=H","DateFormat=P","Fill=—","Direction=H","UseDPDF=Y")</f>
        <v>—</v>
      </c>
      <c r="D72" s="14" t="str">
        <f>_xll.BDH("AMGN US Equity","BOARD_AVERAGE_AGE","FY 2001","FY 2001","Currency=USD","Period=FQ","BEST_FPERIOD_OVERRIDE=FQ","FILING_STATUS=MR","Sort=A","Dates=H","DateFormat=P","Fill=—","Direction=H","UseDPDF=Y")</f>
        <v>—</v>
      </c>
      <c r="E72" s="14" t="str">
        <f>_xll.BDH("AMGN US Equity","BOARD_AVERAGE_AGE","FY 2002","FY 2002","Currency=USD","Period=FQ","BEST_FPERIOD_OVERRIDE=FQ","FILING_STATUS=MR","Sort=A","Dates=H","DateFormat=P","Fill=—","Direction=H","UseDPDF=Y")</f>
        <v>—</v>
      </c>
      <c r="F72" s="14" t="str">
        <f>_xll.BDH("AMGN US Equity","BOARD_AVERAGE_AGE","FY 2003","FY 2003","Currency=USD","Period=FQ","BEST_FPERIOD_OVERRIDE=FQ","FILING_STATUS=MR","Sort=A","Dates=H","DateFormat=P","Fill=—","Direction=H","UseDPDF=Y")</f>
        <v>—</v>
      </c>
      <c r="G72" s="14" t="str">
        <f>_xll.BDH("AMGN US Equity","BOARD_AVERAGE_AGE","FY 2004","FY 2004","Currency=USD","Period=FQ","BEST_FPERIOD_OVERRIDE=FQ","FILING_STATUS=MR","Sort=A","Dates=H","DateFormat=P","Fill=—","Direction=H","UseDPDF=Y")</f>
        <v>—</v>
      </c>
      <c r="H72" s="14" t="str">
        <f>_xll.BDH("AMGN US Equity","BOARD_AVERAGE_AGE","FY 2005","FY 2005","Currency=USD","Period=FQ","BEST_FPERIOD_OVERRIDE=FQ","FILING_STATUS=MR","Sort=A","Dates=H","DateFormat=P","Fill=—","Direction=H","UseDPDF=Y")</f>
        <v>—</v>
      </c>
      <c r="I72" s="14" t="str">
        <f>_xll.BDH("AMGN US Equity","BOARD_AVERAGE_AGE","FY 2006","FY 2006","Currency=USD","Period=FQ","BEST_FPERIOD_OVERRIDE=FQ","FILING_STATUS=MR","Sort=A","Dates=H","DateFormat=P","Fill=—","Direction=H","UseDPDF=Y")</f>
        <v>—</v>
      </c>
      <c r="J72" s="14" t="str">
        <f>_xll.BDH("AMGN US Equity","BOARD_AVERAGE_AGE","FY 2007","FY 2007","Currency=USD","Period=FQ","BEST_FPERIOD_OVERRIDE=FQ","FILING_STATUS=MR","Sort=A","Dates=H","DateFormat=P","Fill=—","Direction=H","UseDPDF=Y")</f>
        <v>—</v>
      </c>
      <c r="K72" s="14" t="str">
        <f>_xll.BDH("AMGN US Equity","BOARD_AVERAGE_AGE","FY 2008","FY 2008","Currency=USD","Period=FQ","BEST_FPERIOD_OVERRIDE=FQ","FILING_STATUS=MR","Sort=A","Dates=H","DateFormat=P","Fill=—","Direction=H","UseDPDF=Y")</f>
        <v>—</v>
      </c>
      <c r="L72" s="14" t="str">
        <f>_xll.BDH("AMGN US Equity","BOARD_AVERAGE_AGE","FY 2009","FY 2009","Currency=USD","Period=FQ","BEST_FPERIOD_OVERRIDE=FQ","FILING_STATUS=MR","Sort=A","Dates=H","DateFormat=P","Fill=—","Direction=H","UseDPDF=Y")</f>
        <v>—</v>
      </c>
      <c r="M72" s="14" t="str">
        <f>_xll.BDH("AMGN US Equity","BOARD_AVERAGE_AGE","FY 2010","FY 2010","Currency=USD","Period=FQ","BEST_FPERIOD_OVERRIDE=FQ","FILING_STATUS=MR","Sort=A","Dates=H","DateFormat=P","Fill=—","Direction=H","UseDPDF=Y")</f>
        <v>—</v>
      </c>
      <c r="N72" s="14" t="str">
        <f>_xll.BDH("AMGN US Equity","BOARD_AVERAGE_AGE","FY 2011","FY 2011","Currency=USD","Period=FQ","BEST_FPERIOD_OVERRIDE=FQ","FILING_STATUS=MR","Sort=A","Dates=H","DateFormat=P","Fill=—","Direction=H","UseDPDF=Y")</f>
        <v>—</v>
      </c>
      <c r="O72" s="14" t="str">
        <f>_xll.BDH("AMGN US Equity","BOARD_AVERAGE_AGE","FY 2012","FY 2012","Currency=USD","Period=FQ","BEST_FPERIOD_OVERRIDE=FQ","FILING_STATUS=MR","Sort=A","Dates=H","DateFormat=P","Fill=—","Direction=H","UseDPDF=Y")</f>
        <v>—</v>
      </c>
      <c r="P72" s="14" t="str">
        <f>_xll.BDH("AMGN US Equity","BOARD_AVERAGE_AGE","FY 2013","FY 2013","Currency=USD","Period=FQ","BEST_FPERIOD_OVERRIDE=FQ","FILING_STATUS=MR","Sort=A","Dates=H","DateFormat=P","Fill=—","Direction=H","UseDPDF=Y")</f>
        <v>—</v>
      </c>
      <c r="Q72" s="14" t="str">
        <f>_xll.BDH("AMGN US Equity","BOARD_AVERAGE_AGE","FY 2014","FY 2014","Currency=USD","Period=FQ","BEST_FPERIOD_OVERRIDE=FQ","FILING_STATUS=MR","Sort=A","Dates=H","DateFormat=P","Fill=—","Direction=H","UseDPDF=Y")</f>
        <v>—</v>
      </c>
      <c r="R72" s="14" t="str">
        <f>_xll.BDH("AMGN US Equity","BOARD_AVERAGE_AGE","FY 2015","FY 2015","Currency=USD","Period=FQ","BEST_FPERIOD_OVERRIDE=FQ","FILING_STATUS=MR","Sort=A","Dates=H","DateFormat=P","Fill=—","Direction=H","UseDPDF=Y")</f>
        <v>—</v>
      </c>
      <c r="S72" s="14" t="str">
        <f>_xll.BDH("AMGN US Equity","BOARD_AVERAGE_AGE","FY 2016","FY 2016","Currency=USD","Period=FQ","BEST_FPERIOD_OVERRIDE=FQ","FILING_STATUS=MR","Sort=A","Dates=H","DateFormat=P","Fill=—","Direction=H","UseDPDF=Y")</f>
        <v>—</v>
      </c>
      <c r="T72" s="14" t="str">
        <f>_xll.BDH("AMGN US Equity","BOARD_AVERAGE_AGE","FY 2017","FY 2017","Currency=USD","Period=FQ","BEST_FPERIOD_OVERRIDE=FQ","FILING_STATUS=MR","Sort=A","Dates=H","DateFormat=P","Fill=—","Direction=H","UseDPDF=Y")</f>
        <v>—</v>
      </c>
      <c r="U72" s="14" t="str">
        <f>_xll.BDH("AMGN US Equity","BOARD_AVERAGE_AGE","FY 2018","FY 2018","Currency=USD","Period=FQ","BEST_FPERIOD_OVERRIDE=FQ","FILING_STATUS=MR","Sort=A","Dates=H","DateFormat=P","Fill=—","Direction=H","UseDPDF=Y")</f>
        <v>—</v>
      </c>
      <c r="V72" s="14" t="str">
        <f>_xll.BDH("AMGN US Equity","BOARD_AVERAGE_AGE","FY 2019","FY 2019","Currency=USD","Period=FQ","BEST_FPERIOD_OVERRIDE=FQ","FILING_STATUS=MR","Sort=A","Dates=H","DateFormat=P","Fill=—","Direction=H","UseDPDF=Y")</f>
        <v>—</v>
      </c>
      <c r="W72" s="14" t="str">
        <f>_xll.BDH("AMGN US Equity","BOARD_AVERAGE_AGE","FY 2020","FY 2020","Currency=USD","Period=FQ","BEST_FPERIOD_OVERRIDE=FQ","FILING_STATUS=MR","Sort=A","Dates=H","DateFormat=P","Fill=—","Direction=H","UseDPDF=Y")</f>
        <v>—</v>
      </c>
      <c r="X72" s="14" t="str">
        <f>_xll.BDH("AMGN US Equity","BOARD_AVERAGE_AGE","FY 2021","FY 2021","Currency=USD","Period=FQ","BEST_FPERIOD_OVERRIDE=FQ","FILING_STATUS=MR","Sort=A","Dates=H","DateFormat=P","Fill=—","Direction=H","UseDPDF=Y")</f>
        <v>—</v>
      </c>
      <c r="Y72" s="14" t="str">
        <f>_xll.BDH("AMGN US Equity","BOARD_AVERAGE_AGE","FY 2022","FY 2022","Currency=USD","Period=FQ","BEST_FPERIOD_OVERRIDE=FQ","FILING_STATUS=MR","Sort=A","Dates=H","DateFormat=P","Fill=—","Direction=H","UseDPDF=Y")</f>
        <v>—</v>
      </c>
      <c r="Z72" s="14" t="str">
        <f>_xll.BDH("AMGN US Equity","BOARD_AVERAGE_AGE","FY 2023","FY 2023","Currency=USD","Period=FQ","BEST_FPERIOD_OVERRIDE=FQ","FILING_STATUS=MR","Sort=A","Dates=H","DateFormat=P","Fill=—","Direction=H","UseDPDF=Y")</f>
        <v>—</v>
      </c>
      <c r="AA72" s="14" t="str">
        <f>_xll.BDH("AMGN US Equity","BOARD_AVERAGE_AGE","FY 2024","FY 2024","Currency=USD","Period=FQ","BEST_FPERIOD_OVERRIDE=FQ","FILING_STATUS=MR","Sort=A","Dates=H","DateFormat=P","Fill=—","Direction=H","UseDPDF=Y")</f>
        <v>—</v>
      </c>
    </row>
    <row r="73" spans="1:27" x14ac:dyDescent="0.25">
      <c r="A73" s="10" t="s">
        <v>2013</v>
      </c>
      <c r="B73" s="10" t="s">
        <v>2014</v>
      </c>
      <c r="C73" s="14" t="str">
        <f>_xll.BDH("AMGN US Equity","BOARD_MEETING_ATTENDANCE_PCT","FY 2000","FY 2000","Currency=USD","Period=FQ","BEST_FPERIOD_OVERRIDE=FQ","FILING_STATUS=MR","Sort=A","Dates=H","DateFormat=P","Fill=—","Direction=H","UseDPDF=Y")</f>
        <v>—</v>
      </c>
      <c r="D73" s="14" t="str">
        <f>_xll.BDH("AMGN US Equity","BOARD_MEETING_ATTENDANCE_PCT","FY 2001","FY 2001","Currency=USD","Period=FQ","BEST_FPERIOD_OVERRIDE=FQ","FILING_STATUS=MR","Sort=A","Dates=H","DateFormat=P","Fill=—","Direction=H","UseDPDF=Y")</f>
        <v>—</v>
      </c>
      <c r="E73" s="14" t="str">
        <f>_xll.BDH("AMGN US Equity","BOARD_MEETING_ATTENDANCE_PCT","FY 2002","FY 2002","Currency=USD","Period=FQ","BEST_FPERIOD_OVERRIDE=FQ","FILING_STATUS=MR","Sort=A","Dates=H","DateFormat=P","Fill=—","Direction=H","UseDPDF=Y")</f>
        <v>—</v>
      </c>
      <c r="F73" s="14" t="str">
        <f>_xll.BDH("AMGN US Equity","BOARD_MEETING_ATTENDANCE_PCT","FY 2003","FY 2003","Currency=USD","Period=FQ","BEST_FPERIOD_OVERRIDE=FQ","FILING_STATUS=MR","Sort=A","Dates=H","DateFormat=P","Fill=—","Direction=H","UseDPDF=Y")</f>
        <v>—</v>
      </c>
      <c r="G73" s="14" t="str">
        <f>_xll.BDH("AMGN US Equity","BOARD_MEETING_ATTENDANCE_PCT","FY 2004","FY 2004","Currency=USD","Period=FQ","BEST_FPERIOD_OVERRIDE=FQ","FILING_STATUS=MR","Sort=A","Dates=H","DateFormat=P","Fill=—","Direction=H","UseDPDF=Y")</f>
        <v>—</v>
      </c>
      <c r="H73" s="14" t="str">
        <f>_xll.BDH("AMGN US Equity","BOARD_MEETING_ATTENDANCE_PCT","FY 2005","FY 2005","Currency=USD","Period=FQ","BEST_FPERIOD_OVERRIDE=FQ","FILING_STATUS=MR","Sort=A","Dates=H","DateFormat=P","Fill=—","Direction=H","UseDPDF=Y")</f>
        <v>—</v>
      </c>
      <c r="I73" s="14" t="str">
        <f>_xll.BDH("AMGN US Equity","BOARD_MEETING_ATTENDANCE_PCT","FY 2006","FY 2006","Currency=USD","Period=FQ","BEST_FPERIOD_OVERRIDE=FQ","FILING_STATUS=MR","Sort=A","Dates=H","DateFormat=P","Fill=—","Direction=H","UseDPDF=Y")</f>
        <v>—</v>
      </c>
      <c r="J73" s="14" t="str">
        <f>_xll.BDH("AMGN US Equity","BOARD_MEETING_ATTENDANCE_PCT","FY 2007","FY 2007","Currency=USD","Period=FQ","BEST_FPERIOD_OVERRIDE=FQ","FILING_STATUS=MR","Sort=A","Dates=H","DateFormat=P","Fill=—","Direction=H","UseDPDF=Y")</f>
        <v>—</v>
      </c>
      <c r="K73" s="14" t="str">
        <f>_xll.BDH("AMGN US Equity","BOARD_MEETING_ATTENDANCE_PCT","FY 2008","FY 2008","Currency=USD","Period=FQ","BEST_FPERIOD_OVERRIDE=FQ","FILING_STATUS=MR","Sort=A","Dates=H","DateFormat=P","Fill=—","Direction=H","UseDPDF=Y")</f>
        <v>—</v>
      </c>
      <c r="L73" s="14" t="str">
        <f>_xll.BDH("AMGN US Equity","BOARD_MEETING_ATTENDANCE_PCT","FY 2009","FY 2009","Currency=USD","Period=FQ","BEST_FPERIOD_OVERRIDE=FQ","FILING_STATUS=MR","Sort=A","Dates=H","DateFormat=P","Fill=—","Direction=H","UseDPDF=Y")</f>
        <v>—</v>
      </c>
      <c r="M73" s="14" t="str">
        <f>_xll.BDH("AMGN US Equity","BOARD_MEETING_ATTENDANCE_PCT","FY 2010","FY 2010","Currency=USD","Period=FQ","BEST_FPERIOD_OVERRIDE=FQ","FILING_STATUS=MR","Sort=A","Dates=H","DateFormat=P","Fill=—","Direction=H","UseDPDF=Y")</f>
        <v>—</v>
      </c>
      <c r="N73" s="14" t="str">
        <f>_xll.BDH("AMGN US Equity","BOARD_MEETING_ATTENDANCE_PCT","FY 2011","FY 2011","Currency=USD","Period=FQ","BEST_FPERIOD_OVERRIDE=FQ","FILING_STATUS=MR","Sort=A","Dates=H","DateFormat=P","Fill=—","Direction=H","UseDPDF=Y")</f>
        <v>—</v>
      </c>
      <c r="O73" s="14" t="str">
        <f>_xll.BDH("AMGN US Equity","BOARD_MEETING_ATTENDANCE_PCT","FY 2012","FY 2012","Currency=USD","Period=FQ","BEST_FPERIOD_OVERRIDE=FQ","FILING_STATUS=MR","Sort=A","Dates=H","DateFormat=P","Fill=—","Direction=H","UseDPDF=Y")</f>
        <v>—</v>
      </c>
      <c r="P73" s="14" t="str">
        <f>_xll.BDH("AMGN US Equity","BOARD_MEETING_ATTENDANCE_PCT","FY 2013","FY 2013","Currency=USD","Period=FQ","BEST_FPERIOD_OVERRIDE=FQ","FILING_STATUS=MR","Sort=A","Dates=H","DateFormat=P","Fill=—","Direction=H","UseDPDF=Y")</f>
        <v>—</v>
      </c>
      <c r="Q73" s="14" t="str">
        <f>_xll.BDH("AMGN US Equity","BOARD_MEETING_ATTENDANCE_PCT","FY 2014","FY 2014","Currency=USD","Period=FQ","BEST_FPERIOD_OVERRIDE=FQ","FILING_STATUS=MR","Sort=A","Dates=H","DateFormat=P","Fill=—","Direction=H","UseDPDF=Y")</f>
        <v>—</v>
      </c>
      <c r="R73" s="14" t="str">
        <f>_xll.BDH("AMGN US Equity","BOARD_MEETING_ATTENDANCE_PCT","FY 2015","FY 2015","Currency=USD","Period=FQ","BEST_FPERIOD_OVERRIDE=FQ","FILING_STATUS=MR","Sort=A","Dates=H","DateFormat=P","Fill=—","Direction=H","UseDPDF=Y")</f>
        <v>—</v>
      </c>
      <c r="S73" s="14" t="str">
        <f>_xll.BDH("AMGN US Equity","BOARD_MEETING_ATTENDANCE_PCT","FY 2016","FY 2016","Currency=USD","Period=FQ","BEST_FPERIOD_OVERRIDE=FQ","FILING_STATUS=MR","Sort=A","Dates=H","DateFormat=P","Fill=—","Direction=H","UseDPDF=Y")</f>
        <v>—</v>
      </c>
      <c r="T73" s="14" t="str">
        <f>_xll.BDH("AMGN US Equity","BOARD_MEETING_ATTENDANCE_PCT","FY 2017","FY 2017","Currency=USD","Period=FQ","BEST_FPERIOD_OVERRIDE=FQ","FILING_STATUS=MR","Sort=A","Dates=H","DateFormat=P","Fill=—","Direction=H","UseDPDF=Y")</f>
        <v>—</v>
      </c>
      <c r="U73" s="14" t="str">
        <f>_xll.BDH("AMGN US Equity","BOARD_MEETING_ATTENDANCE_PCT","FY 2018","FY 2018","Currency=USD","Period=FQ","BEST_FPERIOD_OVERRIDE=FQ","FILING_STATUS=MR","Sort=A","Dates=H","DateFormat=P","Fill=—","Direction=H","UseDPDF=Y")</f>
        <v>—</v>
      </c>
      <c r="V73" s="14" t="str">
        <f>_xll.BDH("AMGN US Equity","BOARD_MEETING_ATTENDANCE_PCT","FY 2019","FY 2019","Currency=USD","Period=FQ","BEST_FPERIOD_OVERRIDE=FQ","FILING_STATUS=MR","Sort=A","Dates=H","DateFormat=P","Fill=—","Direction=H","UseDPDF=Y")</f>
        <v>—</v>
      </c>
      <c r="W73" s="14" t="str">
        <f>_xll.BDH("AMGN US Equity","BOARD_MEETING_ATTENDANCE_PCT","FY 2020","FY 2020","Currency=USD","Period=FQ","BEST_FPERIOD_OVERRIDE=FQ","FILING_STATUS=MR","Sort=A","Dates=H","DateFormat=P","Fill=—","Direction=H","UseDPDF=Y")</f>
        <v>—</v>
      </c>
      <c r="X73" s="14" t="str">
        <f>_xll.BDH("AMGN US Equity","BOARD_MEETING_ATTENDANCE_PCT","FY 2021","FY 2021","Currency=USD","Period=FQ","BEST_FPERIOD_OVERRIDE=FQ","FILING_STATUS=MR","Sort=A","Dates=H","DateFormat=P","Fill=—","Direction=H","UseDPDF=Y")</f>
        <v>—</v>
      </c>
      <c r="Y73" s="14" t="str">
        <f>_xll.BDH("AMGN US Equity","BOARD_MEETING_ATTENDANCE_PCT","FY 2022","FY 2022","Currency=USD","Period=FQ","BEST_FPERIOD_OVERRIDE=FQ","FILING_STATUS=MR","Sort=A","Dates=H","DateFormat=P","Fill=—","Direction=H","UseDPDF=Y")</f>
        <v>—</v>
      </c>
      <c r="Z73" s="14" t="str">
        <f>_xll.BDH("AMGN US Equity","BOARD_MEETING_ATTENDANCE_PCT","FY 2023","FY 2023","Currency=USD","Period=FQ","BEST_FPERIOD_OVERRIDE=FQ","FILING_STATUS=MR","Sort=A","Dates=H","DateFormat=P","Fill=—","Direction=H","UseDPDF=Y")</f>
        <v>—</v>
      </c>
      <c r="AA73" s="14" t="str">
        <f>_xll.BDH("AMGN US Equity","BOARD_MEETING_ATTENDANCE_PCT","FY 2024","FY 2024","Currency=USD","Period=FQ","BEST_FPERIOD_OVERRIDE=FQ","FILING_STATUS=MR","Sort=A","Dates=H","DateFormat=P","Fill=—","Direction=H","UseDPDF=Y")</f>
        <v>—</v>
      </c>
    </row>
    <row r="74" spans="1:27" x14ac:dyDescent="0.25">
      <c r="A74" s="10" t="s">
        <v>2015</v>
      </c>
      <c r="B74" s="10" t="s">
        <v>2016</v>
      </c>
      <c r="C74" s="14" t="str">
        <f>_xll.BDH("AMGN US Equity","IND_DIRECTORS_BRD_MTG_ATTEND_PCT","FY 2000","FY 2000","Currency=USD","Period=FQ","BEST_FPERIOD_OVERRIDE=FQ","FILING_STATUS=MR","Sort=A","Dates=H","DateFormat=P","Fill=—","Direction=H","UseDPDF=Y")</f>
        <v>—</v>
      </c>
      <c r="D74" s="14" t="str">
        <f>_xll.BDH("AMGN US Equity","IND_DIRECTORS_BRD_MTG_ATTEND_PCT","FY 2001","FY 2001","Currency=USD","Period=FQ","BEST_FPERIOD_OVERRIDE=FQ","FILING_STATUS=MR","Sort=A","Dates=H","DateFormat=P","Fill=—","Direction=H","UseDPDF=Y")</f>
        <v>—</v>
      </c>
      <c r="E74" s="14" t="str">
        <f>_xll.BDH("AMGN US Equity","IND_DIRECTORS_BRD_MTG_ATTEND_PCT","FY 2002","FY 2002","Currency=USD","Period=FQ","BEST_FPERIOD_OVERRIDE=FQ","FILING_STATUS=MR","Sort=A","Dates=H","DateFormat=P","Fill=—","Direction=H","UseDPDF=Y")</f>
        <v>—</v>
      </c>
      <c r="F74" s="14" t="str">
        <f>_xll.BDH("AMGN US Equity","IND_DIRECTORS_BRD_MTG_ATTEND_PCT","FY 2003","FY 2003","Currency=USD","Period=FQ","BEST_FPERIOD_OVERRIDE=FQ","FILING_STATUS=MR","Sort=A","Dates=H","DateFormat=P","Fill=—","Direction=H","UseDPDF=Y")</f>
        <v>—</v>
      </c>
      <c r="G74" s="14" t="str">
        <f>_xll.BDH("AMGN US Equity","IND_DIRECTORS_BRD_MTG_ATTEND_PCT","FY 2004","FY 2004","Currency=USD","Period=FQ","BEST_FPERIOD_OVERRIDE=FQ","FILING_STATUS=MR","Sort=A","Dates=H","DateFormat=P","Fill=—","Direction=H","UseDPDF=Y")</f>
        <v>—</v>
      </c>
      <c r="H74" s="14" t="str">
        <f>_xll.BDH("AMGN US Equity","IND_DIRECTORS_BRD_MTG_ATTEND_PCT","FY 2005","FY 2005","Currency=USD","Period=FQ","BEST_FPERIOD_OVERRIDE=FQ","FILING_STATUS=MR","Sort=A","Dates=H","DateFormat=P","Fill=—","Direction=H","UseDPDF=Y")</f>
        <v>—</v>
      </c>
      <c r="I74" s="14" t="str">
        <f>_xll.BDH("AMGN US Equity","IND_DIRECTORS_BRD_MTG_ATTEND_PCT","FY 2006","FY 2006","Currency=USD","Period=FQ","BEST_FPERIOD_OVERRIDE=FQ","FILING_STATUS=MR","Sort=A","Dates=H","DateFormat=P","Fill=—","Direction=H","UseDPDF=Y")</f>
        <v>—</v>
      </c>
      <c r="J74" s="14" t="str">
        <f>_xll.BDH("AMGN US Equity","IND_DIRECTORS_BRD_MTG_ATTEND_PCT","FY 2007","FY 2007","Currency=USD","Period=FQ","BEST_FPERIOD_OVERRIDE=FQ","FILING_STATUS=MR","Sort=A","Dates=H","DateFormat=P","Fill=—","Direction=H","UseDPDF=Y")</f>
        <v>—</v>
      </c>
      <c r="K74" s="14" t="str">
        <f>_xll.BDH("AMGN US Equity","IND_DIRECTORS_BRD_MTG_ATTEND_PCT","FY 2008","FY 2008","Currency=USD","Period=FQ","BEST_FPERIOD_OVERRIDE=FQ","FILING_STATUS=MR","Sort=A","Dates=H","DateFormat=P","Fill=—","Direction=H","UseDPDF=Y")</f>
        <v>—</v>
      </c>
      <c r="L74" s="14" t="str">
        <f>_xll.BDH("AMGN US Equity","IND_DIRECTORS_BRD_MTG_ATTEND_PCT","FY 2009","FY 2009","Currency=USD","Period=FQ","BEST_FPERIOD_OVERRIDE=FQ","FILING_STATUS=MR","Sort=A","Dates=H","DateFormat=P","Fill=—","Direction=H","UseDPDF=Y")</f>
        <v>—</v>
      </c>
      <c r="M74" s="14" t="str">
        <f>_xll.BDH("AMGN US Equity","IND_DIRECTORS_BRD_MTG_ATTEND_PCT","FY 2010","FY 2010","Currency=USD","Period=FQ","BEST_FPERIOD_OVERRIDE=FQ","FILING_STATUS=MR","Sort=A","Dates=H","DateFormat=P","Fill=—","Direction=H","UseDPDF=Y")</f>
        <v>—</v>
      </c>
      <c r="N74" s="14" t="str">
        <f>_xll.BDH("AMGN US Equity","IND_DIRECTORS_BRD_MTG_ATTEND_PCT","FY 2011","FY 2011","Currency=USD","Period=FQ","BEST_FPERIOD_OVERRIDE=FQ","FILING_STATUS=MR","Sort=A","Dates=H","DateFormat=P","Fill=—","Direction=H","UseDPDF=Y")</f>
        <v>—</v>
      </c>
      <c r="O74" s="14" t="str">
        <f>_xll.BDH("AMGN US Equity","IND_DIRECTORS_BRD_MTG_ATTEND_PCT","FY 2012","FY 2012","Currency=USD","Period=FQ","BEST_FPERIOD_OVERRIDE=FQ","FILING_STATUS=MR","Sort=A","Dates=H","DateFormat=P","Fill=—","Direction=H","UseDPDF=Y")</f>
        <v>—</v>
      </c>
      <c r="P74" s="14" t="str">
        <f>_xll.BDH("AMGN US Equity","IND_DIRECTORS_BRD_MTG_ATTEND_PCT","FY 2013","FY 2013","Currency=USD","Period=FQ","BEST_FPERIOD_OVERRIDE=FQ","FILING_STATUS=MR","Sort=A","Dates=H","DateFormat=P","Fill=—","Direction=H","UseDPDF=Y")</f>
        <v>—</v>
      </c>
      <c r="Q74" s="14" t="str">
        <f>_xll.BDH("AMGN US Equity","IND_DIRECTORS_BRD_MTG_ATTEND_PCT","FY 2014","FY 2014","Currency=USD","Period=FQ","BEST_FPERIOD_OVERRIDE=FQ","FILING_STATUS=MR","Sort=A","Dates=H","DateFormat=P","Fill=—","Direction=H","UseDPDF=Y")</f>
        <v>—</v>
      </c>
      <c r="R74" s="14" t="str">
        <f>_xll.BDH("AMGN US Equity","IND_DIRECTORS_BRD_MTG_ATTEND_PCT","FY 2015","FY 2015","Currency=USD","Period=FQ","BEST_FPERIOD_OVERRIDE=FQ","FILING_STATUS=MR","Sort=A","Dates=H","DateFormat=P","Fill=—","Direction=H","UseDPDF=Y")</f>
        <v>—</v>
      </c>
      <c r="S74" s="14" t="str">
        <f>_xll.BDH("AMGN US Equity","IND_DIRECTORS_BRD_MTG_ATTEND_PCT","FY 2016","FY 2016","Currency=USD","Period=FQ","BEST_FPERIOD_OVERRIDE=FQ","FILING_STATUS=MR","Sort=A","Dates=H","DateFormat=P","Fill=—","Direction=H","UseDPDF=Y")</f>
        <v>—</v>
      </c>
      <c r="T74" s="14" t="str">
        <f>_xll.BDH("AMGN US Equity","IND_DIRECTORS_BRD_MTG_ATTEND_PCT","FY 2017","FY 2017","Currency=USD","Period=FQ","BEST_FPERIOD_OVERRIDE=FQ","FILING_STATUS=MR","Sort=A","Dates=H","DateFormat=P","Fill=—","Direction=H","UseDPDF=Y")</f>
        <v>—</v>
      </c>
      <c r="U74" s="14" t="str">
        <f>_xll.BDH("AMGN US Equity","IND_DIRECTORS_BRD_MTG_ATTEND_PCT","FY 2018","FY 2018","Currency=USD","Period=FQ","BEST_FPERIOD_OVERRIDE=FQ","FILING_STATUS=MR","Sort=A","Dates=H","DateFormat=P","Fill=—","Direction=H","UseDPDF=Y")</f>
        <v>—</v>
      </c>
      <c r="V74" s="14" t="str">
        <f>_xll.BDH("AMGN US Equity","IND_DIRECTORS_BRD_MTG_ATTEND_PCT","FY 2019","FY 2019","Currency=USD","Period=FQ","BEST_FPERIOD_OVERRIDE=FQ","FILING_STATUS=MR","Sort=A","Dates=H","DateFormat=P","Fill=—","Direction=H","UseDPDF=Y")</f>
        <v>—</v>
      </c>
      <c r="W74" s="14" t="str">
        <f>_xll.BDH("AMGN US Equity","IND_DIRECTORS_BRD_MTG_ATTEND_PCT","FY 2020","FY 2020","Currency=USD","Period=FQ","BEST_FPERIOD_OVERRIDE=FQ","FILING_STATUS=MR","Sort=A","Dates=H","DateFormat=P","Fill=—","Direction=H","UseDPDF=Y")</f>
        <v>—</v>
      </c>
      <c r="X74" s="14" t="str">
        <f>_xll.BDH("AMGN US Equity","IND_DIRECTORS_BRD_MTG_ATTEND_PCT","FY 2021","FY 2021","Currency=USD","Period=FQ","BEST_FPERIOD_OVERRIDE=FQ","FILING_STATUS=MR","Sort=A","Dates=H","DateFormat=P","Fill=—","Direction=H","UseDPDF=Y")</f>
        <v>—</v>
      </c>
      <c r="Y74" s="14" t="str">
        <f>_xll.BDH("AMGN US Equity","IND_DIRECTORS_BRD_MTG_ATTEND_PCT","FY 2022","FY 2022","Currency=USD","Period=FQ","BEST_FPERIOD_OVERRIDE=FQ","FILING_STATUS=MR","Sort=A","Dates=H","DateFormat=P","Fill=—","Direction=H","UseDPDF=Y")</f>
        <v>—</v>
      </c>
      <c r="Z74" s="14" t="str">
        <f>_xll.BDH("AMGN US Equity","IND_DIRECTORS_BRD_MTG_ATTEND_PCT","FY 2023","FY 2023","Currency=USD","Period=FQ","BEST_FPERIOD_OVERRIDE=FQ","FILING_STATUS=MR","Sort=A","Dates=H","DateFormat=P","Fill=—","Direction=H","UseDPDF=Y")</f>
        <v>—</v>
      </c>
      <c r="AA74" s="14" t="str">
        <f>_xll.BDH("AMGN US Equity","IND_DIRECTORS_BRD_MTG_ATTEND_PCT","FY 2024","FY 2024","Currency=USD","Period=FQ","BEST_FPERIOD_OVERRIDE=FQ","FILING_STATUS=MR","Sort=A","Dates=H","DateFormat=P","Fill=—","Direction=H","UseDPDF=Y")</f>
        <v>—</v>
      </c>
    </row>
    <row r="75" spans="1:27" x14ac:dyDescent="0.25">
      <c r="A75" s="10" t="s">
        <v>2017</v>
      </c>
      <c r="B75" s="10" t="s">
        <v>2018</v>
      </c>
      <c r="C75" s="14" t="str">
        <f>_xll.BDH("AMGN US Equity","PCT_IND_DIRECTORS_ON_AUDIT_CMTE","FY 2000","FY 2000","Currency=USD","Period=FQ","BEST_FPERIOD_OVERRIDE=FQ","FILING_STATUS=MR","Sort=A","Dates=H","DateFormat=P","Fill=—","Direction=H","UseDPDF=Y")</f>
        <v>—</v>
      </c>
      <c r="D75" s="14" t="str">
        <f>_xll.BDH("AMGN US Equity","PCT_IND_DIRECTORS_ON_AUDIT_CMTE","FY 2001","FY 2001","Currency=USD","Period=FQ","BEST_FPERIOD_OVERRIDE=FQ","FILING_STATUS=MR","Sort=A","Dates=H","DateFormat=P","Fill=—","Direction=H","UseDPDF=Y")</f>
        <v>—</v>
      </c>
      <c r="E75" s="14" t="str">
        <f>_xll.BDH("AMGN US Equity","PCT_IND_DIRECTORS_ON_AUDIT_CMTE","FY 2002","FY 2002","Currency=USD","Period=FQ","BEST_FPERIOD_OVERRIDE=FQ","FILING_STATUS=MR","Sort=A","Dates=H","DateFormat=P","Fill=—","Direction=H","UseDPDF=Y")</f>
        <v>—</v>
      </c>
      <c r="F75" s="14" t="str">
        <f>_xll.BDH("AMGN US Equity","PCT_IND_DIRECTORS_ON_AUDIT_CMTE","FY 2003","FY 2003","Currency=USD","Period=FQ","BEST_FPERIOD_OVERRIDE=FQ","FILING_STATUS=MR","Sort=A","Dates=H","DateFormat=P","Fill=—","Direction=H","UseDPDF=Y")</f>
        <v>—</v>
      </c>
      <c r="G75" s="14" t="str">
        <f>_xll.BDH("AMGN US Equity","PCT_IND_DIRECTORS_ON_AUDIT_CMTE","FY 2004","FY 2004","Currency=USD","Period=FQ","BEST_FPERIOD_OVERRIDE=FQ","FILING_STATUS=MR","Sort=A","Dates=H","DateFormat=P","Fill=—","Direction=H","UseDPDF=Y")</f>
        <v>—</v>
      </c>
      <c r="H75" s="14" t="str">
        <f>_xll.BDH("AMGN US Equity","PCT_IND_DIRECTORS_ON_AUDIT_CMTE","FY 2005","FY 2005","Currency=USD","Period=FQ","BEST_FPERIOD_OVERRIDE=FQ","FILING_STATUS=MR","Sort=A","Dates=H","DateFormat=P","Fill=—","Direction=H","UseDPDF=Y")</f>
        <v>—</v>
      </c>
      <c r="I75" s="14" t="str">
        <f>_xll.BDH("AMGN US Equity","PCT_IND_DIRECTORS_ON_AUDIT_CMTE","FY 2006","FY 2006","Currency=USD","Period=FQ","BEST_FPERIOD_OVERRIDE=FQ","FILING_STATUS=MR","Sort=A","Dates=H","DateFormat=P","Fill=—","Direction=H","UseDPDF=Y")</f>
        <v>—</v>
      </c>
      <c r="J75" s="14" t="str">
        <f>_xll.BDH("AMGN US Equity","PCT_IND_DIRECTORS_ON_AUDIT_CMTE","FY 2007","FY 2007","Currency=USD","Period=FQ","BEST_FPERIOD_OVERRIDE=FQ","FILING_STATUS=MR","Sort=A","Dates=H","DateFormat=P","Fill=—","Direction=H","UseDPDF=Y")</f>
        <v>—</v>
      </c>
      <c r="K75" s="14" t="str">
        <f>_xll.BDH("AMGN US Equity","PCT_IND_DIRECTORS_ON_AUDIT_CMTE","FY 2008","FY 2008","Currency=USD","Period=FQ","BEST_FPERIOD_OVERRIDE=FQ","FILING_STATUS=MR","Sort=A","Dates=H","DateFormat=P","Fill=—","Direction=H","UseDPDF=Y")</f>
        <v>—</v>
      </c>
      <c r="L75" s="14" t="str">
        <f>_xll.BDH("AMGN US Equity","PCT_IND_DIRECTORS_ON_AUDIT_CMTE","FY 2009","FY 2009","Currency=USD","Period=FQ","BEST_FPERIOD_OVERRIDE=FQ","FILING_STATUS=MR","Sort=A","Dates=H","DateFormat=P","Fill=—","Direction=H","UseDPDF=Y")</f>
        <v>—</v>
      </c>
      <c r="M75" s="14" t="str">
        <f>_xll.BDH("AMGN US Equity","PCT_IND_DIRECTORS_ON_AUDIT_CMTE","FY 2010","FY 2010","Currency=USD","Period=FQ","BEST_FPERIOD_OVERRIDE=FQ","FILING_STATUS=MR","Sort=A","Dates=H","DateFormat=P","Fill=—","Direction=H","UseDPDF=Y")</f>
        <v>—</v>
      </c>
      <c r="N75" s="14" t="str">
        <f>_xll.BDH("AMGN US Equity","PCT_IND_DIRECTORS_ON_AUDIT_CMTE","FY 2011","FY 2011","Currency=USD","Period=FQ","BEST_FPERIOD_OVERRIDE=FQ","FILING_STATUS=MR","Sort=A","Dates=H","DateFormat=P","Fill=—","Direction=H","UseDPDF=Y")</f>
        <v>—</v>
      </c>
      <c r="O75" s="14" t="str">
        <f>_xll.BDH("AMGN US Equity","PCT_IND_DIRECTORS_ON_AUDIT_CMTE","FY 2012","FY 2012","Currency=USD","Period=FQ","BEST_FPERIOD_OVERRIDE=FQ","FILING_STATUS=MR","Sort=A","Dates=H","DateFormat=P","Fill=—","Direction=H","UseDPDF=Y")</f>
        <v>—</v>
      </c>
      <c r="P75" s="14" t="str">
        <f>_xll.BDH("AMGN US Equity","PCT_IND_DIRECTORS_ON_AUDIT_CMTE","FY 2013","FY 2013","Currency=USD","Period=FQ","BEST_FPERIOD_OVERRIDE=FQ","FILING_STATUS=MR","Sort=A","Dates=H","DateFormat=P","Fill=—","Direction=H","UseDPDF=Y")</f>
        <v>—</v>
      </c>
      <c r="Q75" s="14" t="str">
        <f>_xll.BDH("AMGN US Equity","PCT_IND_DIRECTORS_ON_AUDIT_CMTE","FY 2014","FY 2014","Currency=USD","Period=FQ","BEST_FPERIOD_OVERRIDE=FQ","FILING_STATUS=MR","Sort=A","Dates=H","DateFormat=P","Fill=—","Direction=H","UseDPDF=Y")</f>
        <v>—</v>
      </c>
      <c r="R75" s="14" t="str">
        <f>_xll.BDH("AMGN US Equity","PCT_IND_DIRECTORS_ON_AUDIT_CMTE","FY 2015","FY 2015","Currency=USD","Period=FQ","BEST_FPERIOD_OVERRIDE=FQ","FILING_STATUS=MR","Sort=A","Dates=H","DateFormat=P","Fill=—","Direction=H","UseDPDF=Y")</f>
        <v>—</v>
      </c>
      <c r="S75" s="14" t="str">
        <f>_xll.BDH("AMGN US Equity","PCT_IND_DIRECTORS_ON_AUDIT_CMTE","FY 2016","FY 2016","Currency=USD","Period=FQ","BEST_FPERIOD_OVERRIDE=FQ","FILING_STATUS=MR","Sort=A","Dates=H","DateFormat=P","Fill=—","Direction=H","UseDPDF=Y")</f>
        <v>—</v>
      </c>
      <c r="T75" s="14" t="str">
        <f>_xll.BDH("AMGN US Equity","PCT_IND_DIRECTORS_ON_AUDIT_CMTE","FY 2017","FY 2017","Currency=USD","Period=FQ","BEST_FPERIOD_OVERRIDE=FQ","FILING_STATUS=MR","Sort=A","Dates=H","DateFormat=P","Fill=—","Direction=H","UseDPDF=Y")</f>
        <v>—</v>
      </c>
      <c r="U75" s="14" t="str">
        <f>_xll.BDH("AMGN US Equity","PCT_IND_DIRECTORS_ON_AUDIT_CMTE","FY 2018","FY 2018","Currency=USD","Period=FQ","BEST_FPERIOD_OVERRIDE=FQ","FILING_STATUS=MR","Sort=A","Dates=H","DateFormat=P","Fill=—","Direction=H","UseDPDF=Y")</f>
        <v>—</v>
      </c>
      <c r="V75" s="14" t="str">
        <f>_xll.BDH("AMGN US Equity","PCT_IND_DIRECTORS_ON_AUDIT_CMTE","FY 2019","FY 2019","Currency=USD","Period=FQ","BEST_FPERIOD_OVERRIDE=FQ","FILING_STATUS=MR","Sort=A","Dates=H","DateFormat=P","Fill=—","Direction=H","UseDPDF=Y")</f>
        <v>—</v>
      </c>
      <c r="W75" s="14" t="str">
        <f>_xll.BDH("AMGN US Equity","PCT_IND_DIRECTORS_ON_AUDIT_CMTE","FY 2020","FY 2020","Currency=USD","Period=FQ","BEST_FPERIOD_OVERRIDE=FQ","FILING_STATUS=MR","Sort=A","Dates=H","DateFormat=P","Fill=—","Direction=H","UseDPDF=Y")</f>
        <v>—</v>
      </c>
      <c r="X75" s="14" t="str">
        <f>_xll.BDH("AMGN US Equity","PCT_IND_DIRECTORS_ON_AUDIT_CMTE","FY 2021","FY 2021","Currency=USD","Period=FQ","BEST_FPERIOD_OVERRIDE=FQ","FILING_STATUS=MR","Sort=A","Dates=H","DateFormat=P","Fill=—","Direction=H","UseDPDF=Y")</f>
        <v>—</v>
      </c>
      <c r="Y75" s="14" t="str">
        <f>_xll.BDH("AMGN US Equity","PCT_IND_DIRECTORS_ON_AUDIT_CMTE","FY 2022","FY 2022","Currency=USD","Period=FQ","BEST_FPERIOD_OVERRIDE=FQ","FILING_STATUS=MR","Sort=A","Dates=H","DateFormat=P","Fill=—","Direction=H","UseDPDF=Y")</f>
        <v>—</v>
      </c>
      <c r="Z75" s="14" t="str">
        <f>_xll.BDH("AMGN US Equity","PCT_IND_DIRECTORS_ON_AUDIT_CMTE","FY 2023","FY 2023","Currency=USD","Period=FQ","BEST_FPERIOD_OVERRIDE=FQ","FILING_STATUS=MR","Sort=A","Dates=H","DateFormat=P","Fill=—","Direction=H","UseDPDF=Y")</f>
        <v>—</v>
      </c>
      <c r="AA75" s="14" t="str">
        <f>_xll.BDH("AMGN US Equity","PCT_IND_DIRECTORS_ON_AUDIT_CMTE","FY 2024","FY 2024","Currency=USD","Period=FQ","BEST_FPERIOD_OVERRIDE=FQ","FILING_STATUS=MR","Sort=A","Dates=H","DateFormat=P","Fill=—","Direction=H","UseDPDF=Y")</f>
        <v>—</v>
      </c>
    </row>
    <row r="76" spans="1:27" x14ac:dyDescent="0.25">
      <c r="A76" s="10" t="s">
        <v>2019</v>
      </c>
      <c r="B76" s="10" t="s">
        <v>2020</v>
      </c>
      <c r="C76" s="14" t="str">
        <f>_xll.BDH("AMGN US Equity","AUDIT_COMMITTEE_MTG_ATTEND_PCT","FY 2000","FY 2000","Currency=USD","Period=FQ","BEST_FPERIOD_OVERRIDE=FQ","FILING_STATUS=MR","Sort=A","Dates=H","DateFormat=P","Fill=—","Direction=H","UseDPDF=Y")</f>
        <v>—</v>
      </c>
      <c r="D76" s="14" t="str">
        <f>_xll.BDH("AMGN US Equity","AUDIT_COMMITTEE_MTG_ATTEND_PCT","FY 2001","FY 2001","Currency=USD","Period=FQ","BEST_FPERIOD_OVERRIDE=FQ","FILING_STATUS=MR","Sort=A","Dates=H","DateFormat=P","Fill=—","Direction=H","UseDPDF=Y")</f>
        <v>—</v>
      </c>
      <c r="E76" s="14" t="str">
        <f>_xll.BDH("AMGN US Equity","AUDIT_COMMITTEE_MTG_ATTEND_PCT","FY 2002","FY 2002","Currency=USD","Period=FQ","BEST_FPERIOD_OVERRIDE=FQ","FILING_STATUS=MR","Sort=A","Dates=H","DateFormat=P","Fill=—","Direction=H","UseDPDF=Y")</f>
        <v>—</v>
      </c>
      <c r="F76" s="14" t="str">
        <f>_xll.BDH("AMGN US Equity","AUDIT_COMMITTEE_MTG_ATTEND_PCT","FY 2003","FY 2003","Currency=USD","Period=FQ","BEST_FPERIOD_OVERRIDE=FQ","FILING_STATUS=MR","Sort=A","Dates=H","DateFormat=P","Fill=—","Direction=H","UseDPDF=Y")</f>
        <v>—</v>
      </c>
      <c r="G76" s="14" t="str">
        <f>_xll.BDH("AMGN US Equity","AUDIT_COMMITTEE_MTG_ATTEND_PCT","FY 2004","FY 2004","Currency=USD","Period=FQ","BEST_FPERIOD_OVERRIDE=FQ","FILING_STATUS=MR","Sort=A","Dates=H","DateFormat=P","Fill=—","Direction=H","UseDPDF=Y")</f>
        <v>—</v>
      </c>
      <c r="H76" s="14" t="str">
        <f>_xll.BDH("AMGN US Equity","AUDIT_COMMITTEE_MTG_ATTEND_PCT","FY 2005","FY 2005","Currency=USD","Period=FQ","BEST_FPERIOD_OVERRIDE=FQ","FILING_STATUS=MR","Sort=A","Dates=H","DateFormat=P","Fill=—","Direction=H","UseDPDF=Y")</f>
        <v>—</v>
      </c>
      <c r="I76" s="14" t="str">
        <f>_xll.BDH("AMGN US Equity","AUDIT_COMMITTEE_MTG_ATTEND_PCT","FY 2006","FY 2006","Currency=USD","Period=FQ","BEST_FPERIOD_OVERRIDE=FQ","FILING_STATUS=MR","Sort=A","Dates=H","DateFormat=P","Fill=—","Direction=H","UseDPDF=Y")</f>
        <v>—</v>
      </c>
      <c r="J76" s="14" t="str">
        <f>_xll.BDH("AMGN US Equity","AUDIT_COMMITTEE_MTG_ATTEND_PCT","FY 2007","FY 2007","Currency=USD","Period=FQ","BEST_FPERIOD_OVERRIDE=FQ","FILING_STATUS=MR","Sort=A","Dates=H","DateFormat=P","Fill=—","Direction=H","UseDPDF=Y")</f>
        <v>—</v>
      </c>
      <c r="K76" s="14" t="str">
        <f>_xll.BDH("AMGN US Equity","AUDIT_COMMITTEE_MTG_ATTEND_PCT","FY 2008","FY 2008","Currency=USD","Period=FQ","BEST_FPERIOD_OVERRIDE=FQ","FILING_STATUS=MR","Sort=A","Dates=H","DateFormat=P","Fill=—","Direction=H","UseDPDF=Y")</f>
        <v>—</v>
      </c>
      <c r="L76" s="14" t="str">
        <f>_xll.BDH("AMGN US Equity","AUDIT_COMMITTEE_MTG_ATTEND_PCT","FY 2009","FY 2009","Currency=USD","Period=FQ","BEST_FPERIOD_OVERRIDE=FQ","FILING_STATUS=MR","Sort=A","Dates=H","DateFormat=P","Fill=—","Direction=H","UseDPDF=Y")</f>
        <v>—</v>
      </c>
      <c r="M76" s="14" t="str">
        <f>_xll.BDH("AMGN US Equity","AUDIT_COMMITTEE_MTG_ATTEND_PCT","FY 2010","FY 2010","Currency=USD","Period=FQ","BEST_FPERIOD_OVERRIDE=FQ","FILING_STATUS=MR","Sort=A","Dates=H","DateFormat=P","Fill=—","Direction=H","UseDPDF=Y")</f>
        <v>—</v>
      </c>
      <c r="N76" s="14" t="str">
        <f>_xll.BDH("AMGN US Equity","AUDIT_COMMITTEE_MTG_ATTEND_PCT","FY 2011","FY 2011","Currency=USD","Period=FQ","BEST_FPERIOD_OVERRIDE=FQ","FILING_STATUS=MR","Sort=A","Dates=H","DateFormat=P","Fill=—","Direction=H","UseDPDF=Y")</f>
        <v>—</v>
      </c>
      <c r="O76" s="14" t="str">
        <f>_xll.BDH("AMGN US Equity","AUDIT_COMMITTEE_MTG_ATTEND_PCT","FY 2012","FY 2012","Currency=USD","Period=FQ","BEST_FPERIOD_OVERRIDE=FQ","FILING_STATUS=MR","Sort=A","Dates=H","DateFormat=P","Fill=—","Direction=H","UseDPDF=Y")</f>
        <v>—</v>
      </c>
      <c r="P76" s="14" t="str">
        <f>_xll.BDH("AMGN US Equity","AUDIT_COMMITTEE_MTG_ATTEND_PCT","FY 2013","FY 2013","Currency=USD","Period=FQ","BEST_FPERIOD_OVERRIDE=FQ","FILING_STATUS=MR","Sort=A","Dates=H","DateFormat=P","Fill=—","Direction=H","UseDPDF=Y")</f>
        <v>—</v>
      </c>
      <c r="Q76" s="14" t="str">
        <f>_xll.BDH("AMGN US Equity","AUDIT_COMMITTEE_MTG_ATTEND_PCT","FY 2014","FY 2014","Currency=USD","Period=FQ","BEST_FPERIOD_OVERRIDE=FQ","FILING_STATUS=MR","Sort=A","Dates=H","DateFormat=P","Fill=—","Direction=H","UseDPDF=Y")</f>
        <v>—</v>
      </c>
      <c r="R76" s="14" t="str">
        <f>_xll.BDH("AMGN US Equity","AUDIT_COMMITTEE_MTG_ATTEND_PCT","FY 2015","FY 2015","Currency=USD","Period=FQ","BEST_FPERIOD_OVERRIDE=FQ","FILING_STATUS=MR","Sort=A","Dates=H","DateFormat=P","Fill=—","Direction=H","UseDPDF=Y")</f>
        <v>—</v>
      </c>
      <c r="S76" s="14" t="str">
        <f>_xll.BDH("AMGN US Equity","AUDIT_COMMITTEE_MTG_ATTEND_PCT","FY 2016","FY 2016","Currency=USD","Period=FQ","BEST_FPERIOD_OVERRIDE=FQ","FILING_STATUS=MR","Sort=A","Dates=H","DateFormat=P","Fill=—","Direction=H","UseDPDF=Y")</f>
        <v>—</v>
      </c>
      <c r="T76" s="14" t="str">
        <f>_xll.BDH("AMGN US Equity","AUDIT_COMMITTEE_MTG_ATTEND_PCT","FY 2017","FY 2017","Currency=USD","Period=FQ","BEST_FPERIOD_OVERRIDE=FQ","FILING_STATUS=MR","Sort=A","Dates=H","DateFormat=P","Fill=—","Direction=H","UseDPDF=Y")</f>
        <v>—</v>
      </c>
      <c r="U76" s="14" t="str">
        <f>_xll.BDH("AMGN US Equity","AUDIT_COMMITTEE_MTG_ATTEND_PCT","FY 2018","FY 2018","Currency=USD","Period=FQ","BEST_FPERIOD_OVERRIDE=FQ","FILING_STATUS=MR","Sort=A","Dates=H","DateFormat=P","Fill=—","Direction=H","UseDPDF=Y")</f>
        <v>—</v>
      </c>
      <c r="V76" s="14" t="str">
        <f>_xll.BDH("AMGN US Equity","AUDIT_COMMITTEE_MTG_ATTEND_PCT","FY 2019","FY 2019","Currency=USD","Period=FQ","BEST_FPERIOD_OVERRIDE=FQ","FILING_STATUS=MR","Sort=A","Dates=H","DateFormat=P","Fill=—","Direction=H","UseDPDF=Y")</f>
        <v>—</v>
      </c>
      <c r="W76" s="14" t="str">
        <f>_xll.BDH("AMGN US Equity","AUDIT_COMMITTEE_MTG_ATTEND_PCT","FY 2020","FY 2020","Currency=USD","Period=FQ","BEST_FPERIOD_OVERRIDE=FQ","FILING_STATUS=MR","Sort=A","Dates=H","DateFormat=P","Fill=—","Direction=H","UseDPDF=Y")</f>
        <v>—</v>
      </c>
      <c r="X76" s="14" t="str">
        <f>_xll.BDH("AMGN US Equity","AUDIT_COMMITTEE_MTG_ATTEND_PCT","FY 2021","FY 2021","Currency=USD","Period=FQ","BEST_FPERIOD_OVERRIDE=FQ","FILING_STATUS=MR","Sort=A","Dates=H","DateFormat=P","Fill=—","Direction=H","UseDPDF=Y")</f>
        <v>—</v>
      </c>
      <c r="Y76" s="14" t="str">
        <f>_xll.BDH("AMGN US Equity","AUDIT_COMMITTEE_MTG_ATTEND_PCT","FY 2022","FY 2022","Currency=USD","Period=FQ","BEST_FPERIOD_OVERRIDE=FQ","FILING_STATUS=MR","Sort=A","Dates=H","DateFormat=P","Fill=—","Direction=H","UseDPDF=Y")</f>
        <v>—</v>
      </c>
      <c r="Z76" s="14" t="str">
        <f>_xll.BDH("AMGN US Equity","AUDIT_COMMITTEE_MTG_ATTEND_PCT","FY 2023","FY 2023","Currency=USD","Period=FQ","BEST_FPERIOD_OVERRIDE=FQ","FILING_STATUS=MR","Sort=A","Dates=H","DateFormat=P","Fill=—","Direction=H","UseDPDF=Y")</f>
        <v>—</v>
      </c>
      <c r="AA76" s="14" t="str">
        <f>_xll.BDH("AMGN US Equity","AUDIT_COMMITTEE_MTG_ATTEND_PCT","FY 2024","FY 2024","Currency=USD","Period=FQ","BEST_FPERIOD_OVERRIDE=FQ","FILING_STATUS=MR","Sort=A","Dates=H","DateFormat=P","Fill=—","Direction=H","UseDPDF=Y")</f>
        <v>—</v>
      </c>
    </row>
    <row r="77" spans="1:27" x14ac:dyDescent="0.25">
      <c r="A77" s="10" t="s">
        <v>2021</v>
      </c>
      <c r="B77" s="10" t="s">
        <v>2022</v>
      </c>
      <c r="C77" s="14" t="str">
        <f>_xll.BDH("AMGN US Equity","PCT_IND_DIRECTORS_ON_COMP_CMTE","FY 2000","FY 2000","Currency=USD","Period=FQ","BEST_FPERIOD_OVERRIDE=FQ","FILING_STATUS=MR","Sort=A","Dates=H","DateFormat=P","Fill=—","Direction=H","UseDPDF=Y")</f>
        <v>—</v>
      </c>
      <c r="D77" s="14" t="str">
        <f>_xll.BDH("AMGN US Equity","PCT_IND_DIRECTORS_ON_COMP_CMTE","FY 2001","FY 2001","Currency=USD","Period=FQ","BEST_FPERIOD_OVERRIDE=FQ","FILING_STATUS=MR","Sort=A","Dates=H","DateFormat=P","Fill=—","Direction=H","UseDPDF=Y")</f>
        <v>—</v>
      </c>
      <c r="E77" s="14" t="str">
        <f>_xll.BDH("AMGN US Equity","PCT_IND_DIRECTORS_ON_COMP_CMTE","FY 2002","FY 2002","Currency=USD","Period=FQ","BEST_FPERIOD_OVERRIDE=FQ","FILING_STATUS=MR","Sort=A","Dates=H","DateFormat=P","Fill=—","Direction=H","UseDPDF=Y")</f>
        <v>—</v>
      </c>
      <c r="F77" s="14" t="str">
        <f>_xll.BDH("AMGN US Equity","PCT_IND_DIRECTORS_ON_COMP_CMTE","FY 2003","FY 2003","Currency=USD","Period=FQ","BEST_FPERIOD_OVERRIDE=FQ","FILING_STATUS=MR","Sort=A","Dates=H","DateFormat=P","Fill=—","Direction=H","UseDPDF=Y")</f>
        <v>—</v>
      </c>
      <c r="G77" s="14" t="str">
        <f>_xll.BDH("AMGN US Equity","PCT_IND_DIRECTORS_ON_COMP_CMTE","FY 2004","FY 2004","Currency=USD","Period=FQ","BEST_FPERIOD_OVERRIDE=FQ","FILING_STATUS=MR","Sort=A","Dates=H","DateFormat=P","Fill=—","Direction=H","UseDPDF=Y")</f>
        <v>—</v>
      </c>
      <c r="H77" s="14" t="str">
        <f>_xll.BDH("AMGN US Equity","PCT_IND_DIRECTORS_ON_COMP_CMTE","FY 2005","FY 2005","Currency=USD","Period=FQ","BEST_FPERIOD_OVERRIDE=FQ","FILING_STATUS=MR","Sort=A","Dates=H","DateFormat=P","Fill=—","Direction=H","UseDPDF=Y")</f>
        <v>—</v>
      </c>
      <c r="I77" s="14" t="str">
        <f>_xll.BDH("AMGN US Equity","PCT_IND_DIRECTORS_ON_COMP_CMTE","FY 2006","FY 2006","Currency=USD","Period=FQ","BEST_FPERIOD_OVERRIDE=FQ","FILING_STATUS=MR","Sort=A","Dates=H","DateFormat=P","Fill=—","Direction=H","UseDPDF=Y")</f>
        <v>—</v>
      </c>
      <c r="J77" s="14" t="str">
        <f>_xll.BDH("AMGN US Equity","PCT_IND_DIRECTORS_ON_COMP_CMTE","FY 2007","FY 2007","Currency=USD","Period=FQ","BEST_FPERIOD_OVERRIDE=FQ","FILING_STATUS=MR","Sort=A","Dates=H","DateFormat=P","Fill=—","Direction=H","UseDPDF=Y")</f>
        <v>—</v>
      </c>
      <c r="K77" s="14" t="str">
        <f>_xll.BDH("AMGN US Equity","PCT_IND_DIRECTORS_ON_COMP_CMTE","FY 2008","FY 2008","Currency=USD","Period=FQ","BEST_FPERIOD_OVERRIDE=FQ","FILING_STATUS=MR","Sort=A","Dates=H","DateFormat=P","Fill=—","Direction=H","UseDPDF=Y")</f>
        <v>—</v>
      </c>
      <c r="L77" s="14" t="str">
        <f>_xll.BDH("AMGN US Equity","PCT_IND_DIRECTORS_ON_COMP_CMTE","FY 2009","FY 2009","Currency=USD","Period=FQ","BEST_FPERIOD_OVERRIDE=FQ","FILING_STATUS=MR","Sort=A","Dates=H","DateFormat=P","Fill=—","Direction=H","UseDPDF=Y")</f>
        <v>—</v>
      </c>
      <c r="M77" s="14" t="str">
        <f>_xll.BDH("AMGN US Equity","PCT_IND_DIRECTORS_ON_COMP_CMTE","FY 2010","FY 2010","Currency=USD","Period=FQ","BEST_FPERIOD_OVERRIDE=FQ","FILING_STATUS=MR","Sort=A","Dates=H","DateFormat=P","Fill=—","Direction=H","UseDPDF=Y")</f>
        <v>—</v>
      </c>
      <c r="N77" s="14" t="str">
        <f>_xll.BDH("AMGN US Equity","PCT_IND_DIRECTORS_ON_COMP_CMTE","FY 2011","FY 2011","Currency=USD","Period=FQ","BEST_FPERIOD_OVERRIDE=FQ","FILING_STATUS=MR","Sort=A","Dates=H","DateFormat=P","Fill=—","Direction=H","UseDPDF=Y")</f>
        <v>—</v>
      </c>
      <c r="O77" s="14" t="str">
        <f>_xll.BDH("AMGN US Equity","PCT_IND_DIRECTORS_ON_COMP_CMTE","FY 2012","FY 2012","Currency=USD","Period=FQ","BEST_FPERIOD_OVERRIDE=FQ","FILING_STATUS=MR","Sort=A","Dates=H","DateFormat=P","Fill=—","Direction=H","UseDPDF=Y")</f>
        <v>—</v>
      </c>
      <c r="P77" s="14" t="str">
        <f>_xll.BDH("AMGN US Equity","PCT_IND_DIRECTORS_ON_COMP_CMTE","FY 2013","FY 2013","Currency=USD","Period=FQ","BEST_FPERIOD_OVERRIDE=FQ","FILING_STATUS=MR","Sort=A","Dates=H","DateFormat=P","Fill=—","Direction=H","UseDPDF=Y")</f>
        <v>—</v>
      </c>
      <c r="Q77" s="14" t="str">
        <f>_xll.BDH("AMGN US Equity","PCT_IND_DIRECTORS_ON_COMP_CMTE","FY 2014","FY 2014","Currency=USD","Period=FQ","BEST_FPERIOD_OVERRIDE=FQ","FILING_STATUS=MR","Sort=A","Dates=H","DateFormat=P","Fill=—","Direction=H","UseDPDF=Y")</f>
        <v>—</v>
      </c>
      <c r="R77" s="14" t="str">
        <f>_xll.BDH("AMGN US Equity","PCT_IND_DIRECTORS_ON_COMP_CMTE","FY 2015","FY 2015","Currency=USD","Period=FQ","BEST_FPERIOD_OVERRIDE=FQ","FILING_STATUS=MR","Sort=A","Dates=H","DateFormat=P","Fill=—","Direction=H","UseDPDF=Y")</f>
        <v>—</v>
      </c>
      <c r="S77" s="14" t="str">
        <f>_xll.BDH("AMGN US Equity","PCT_IND_DIRECTORS_ON_COMP_CMTE","FY 2016","FY 2016","Currency=USD","Period=FQ","BEST_FPERIOD_OVERRIDE=FQ","FILING_STATUS=MR","Sort=A","Dates=H","DateFormat=P","Fill=—","Direction=H","UseDPDF=Y")</f>
        <v>—</v>
      </c>
      <c r="T77" s="14" t="str">
        <f>_xll.BDH("AMGN US Equity","PCT_IND_DIRECTORS_ON_COMP_CMTE","FY 2017","FY 2017","Currency=USD","Period=FQ","BEST_FPERIOD_OVERRIDE=FQ","FILING_STATUS=MR","Sort=A","Dates=H","DateFormat=P","Fill=—","Direction=H","UseDPDF=Y")</f>
        <v>—</v>
      </c>
      <c r="U77" s="14" t="str">
        <f>_xll.BDH("AMGN US Equity","PCT_IND_DIRECTORS_ON_COMP_CMTE","FY 2018","FY 2018","Currency=USD","Period=FQ","BEST_FPERIOD_OVERRIDE=FQ","FILING_STATUS=MR","Sort=A","Dates=H","DateFormat=P","Fill=—","Direction=H","UseDPDF=Y")</f>
        <v>—</v>
      </c>
      <c r="V77" s="14" t="str">
        <f>_xll.BDH("AMGN US Equity","PCT_IND_DIRECTORS_ON_COMP_CMTE","FY 2019","FY 2019","Currency=USD","Period=FQ","BEST_FPERIOD_OVERRIDE=FQ","FILING_STATUS=MR","Sort=A","Dates=H","DateFormat=P","Fill=—","Direction=H","UseDPDF=Y")</f>
        <v>—</v>
      </c>
      <c r="W77" s="14" t="str">
        <f>_xll.BDH("AMGN US Equity","PCT_IND_DIRECTORS_ON_COMP_CMTE","FY 2020","FY 2020","Currency=USD","Period=FQ","BEST_FPERIOD_OVERRIDE=FQ","FILING_STATUS=MR","Sort=A","Dates=H","DateFormat=P","Fill=—","Direction=H","UseDPDF=Y")</f>
        <v>—</v>
      </c>
      <c r="X77" s="14" t="str">
        <f>_xll.BDH("AMGN US Equity","PCT_IND_DIRECTORS_ON_COMP_CMTE","FY 2021","FY 2021","Currency=USD","Period=FQ","BEST_FPERIOD_OVERRIDE=FQ","FILING_STATUS=MR","Sort=A","Dates=H","DateFormat=P","Fill=—","Direction=H","UseDPDF=Y")</f>
        <v>—</v>
      </c>
      <c r="Y77" s="14" t="str">
        <f>_xll.BDH("AMGN US Equity","PCT_IND_DIRECTORS_ON_COMP_CMTE","FY 2022","FY 2022","Currency=USD","Period=FQ","BEST_FPERIOD_OVERRIDE=FQ","FILING_STATUS=MR","Sort=A","Dates=H","DateFormat=P","Fill=—","Direction=H","UseDPDF=Y")</f>
        <v>—</v>
      </c>
      <c r="Z77" s="14" t="str">
        <f>_xll.BDH("AMGN US Equity","PCT_IND_DIRECTORS_ON_COMP_CMTE","FY 2023","FY 2023","Currency=USD","Period=FQ","BEST_FPERIOD_OVERRIDE=FQ","FILING_STATUS=MR","Sort=A","Dates=H","DateFormat=P","Fill=—","Direction=H","UseDPDF=Y")</f>
        <v>—</v>
      </c>
      <c r="AA77" s="14" t="str">
        <f>_xll.BDH("AMGN US Equity","PCT_IND_DIRECTORS_ON_COMP_CMTE","FY 2024","FY 2024","Currency=USD","Period=FQ","BEST_FPERIOD_OVERRIDE=FQ","FILING_STATUS=MR","Sort=A","Dates=H","DateFormat=P","Fill=—","Direction=H","UseDPDF=Y")</f>
        <v>—</v>
      </c>
    </row>
    <row r="78" spans="1:27" x14ac:dyDescent="0.25">
      <c r="A78" s="10" t="s">
        <v>2023</v>
      </c>
      <c r="B78" s="10" t="s">
        <v>2024</v>
      </c>
      <c r="C78" s="14" t="str">
        <f>_xll.BDH("AMGN US Equity","COMPENSATION_CMTE_MTG_ATTEND_PCT","FY 2000","FY 2000","Currency=USD","Period=FQ","BEST_FPERIOD_OVERRIDE=FQ","FILING_STATUS=MR","Sort=A","Dates=H","DateFormat=P","Fill=—","Direction=H","UseDPDF=Y")</f>
        <v>—</v>
      </c>
      <c r="D78" s="14" t="str">
        <f>_xll.BDH("AMGN US Equity","COMPENSATION_CMTE_MTG_ATTEND_PCT","FY 2001","FY 2001","Currency=USD","Period=FQ","BEST_FPERIOD_OVERRIDE=FQ","FILING_STATUS=MR","Sort=A","Dates=H","DateFormat=P","Fill=—","Direction=H","UseDPDF=Y")</f>
        <v>—</v>
      </c>
      <c r="E78" s="14" t="str">
        <f>_xll.BDH("AMGN US Equity","COMPENSATION_CMTE_MTG_ATTEND_PCT","FY 2002","FY 2002","Currency=USD","Period=FQ","BEST_FPERIOD_OVERRIDE=FQ","FILING_STATUS=MR","Sort=A","Dates=H","DateFormat=P","Fill=—","Direction=H","UseDPDF=Y")</f>
        <v>—</v>
      </c>
      <c r="F78" s="14" t="str">
        <f>_xll.BDH("AMGN US Equity","COMPENSATION_CMTE_MTG_ATTEND_PCT","FY 2003","FY 2003","Currency=USD","Period=FQ","BEST_FPERIOD_OVERRIDE=FQ","FILING_STATUS=MR","Sort=A","Dates=H","DateFormat=P","Fill=—","Direction=H","UseDPDF=Y")</f>
        <v>—</v>
      </c>
      <c r="G78" s="14" t="str">
        <f>_xll.BDH("AMGN US Equity","COMPENSATION_CMTE_MTG_ATTEND_PCT","FY 2004","FY 2004","Currency=USD","Period=FQ","BEST_FPERIOD_OVERRIDE=FQ","FILING_STATUS=MR","Sort=A","Dates=H","DateFormat=P","Fill=—","Direction=H","UseDPDF=Y")</f>
        <v>—</v>
      </c>
      <c r="H78" s="14" t="str">
        <f>_xll.BDH("AMGN US Equity","COMPENSATION_CMTE_MTG_ATTEND_PCT","FY 2005","FY 2005","Currency=USD","Period=FQ","BEST_FPERIOD_OVERRIDE=FQ","FILING_STATUS=MR","Sort=A","Dates=H","DateFormat=P","Fill=—","Direction=H","UseDPDF=Y")</f>
        <v>—</v>
      </c>
      <c r="I78" s="14" t="str">
        <f>_xll.BDH("AMGN US Equity","COMPENSATION_CMTE_MTG_ATTEND_PCT","FY 2006","FY 2006","Currency=USD","Period=FQ","BEST_FPERIOD_OVERRIDE=FQ","FILING_STATUS=MR","Sort=A","Dates=H","DateFormat=P","Fill=—","Direction=H","UseDPDF=Y")</f>
        <v>—</v>
      </c>
      <c r="J78" s="14" t="str">
        <f>_xll.BDH("AMGN US Equity","COMPENSATION_CMTE_MTG_ATTEND_PCT","FY 2007","FY 2007","Currency=USD","Period=FQ","BEST_FPERIOD_OVERRIDE=FQ","FILING_STATUS=MR","Sort=A","Dates=H","DateFormat=P","Fill=—","Direction=H","UseDPDF=Y")</f>
        <v>—</v>
      </c>
      <c r="K78" s="14" t="str">
        <f>_xll.BDH("AMGN US Equity","COMPENSATION_CMTE_MTG_ATTEND_PCT","FY 2008","FY 2008","Currency=USD","Period=FQ","BEST_FPERIOD_OVERRIDE=FQ","FILING_STATUS=MR","Sort=A","Dates=H","DateFormat=P","Fill=—","Direction=H","UseDPDF=Y")</f>
        <v>—</v>
      </c>
      <c r="L78" s="14" t="str">
        <f>_xll.BDH("AMGN US Equity","COMPENSATION_CMTE_MTG_ATTEND_PCT","FY 2009","FY 2009","Currency=USD","Period=FQ","BEST_FPERIOD_OVERRIDE=FQ","FILING_STATUS=MR","Sort=A","Dates=H","DateFormat=P","Fill=—","Direction=H","UseDPDF=Y")</f>
        <v>—</v>
      </c>
      <c r="M78" s="14" t="str">
        <f>_xll.BDH("AMGN US Equity","COMPENSATION_CMTE_MTG_ATTEND_PCT","FY 2010","FY 2010","Currency=USD","Period=FQ","BEST_FPERIOD_OVERRIDE=FQ","FILING_STATUS=MR","Sort=A","Dates=H","DateFormat=P","Fill=—","Direction=H","UseDPDF=Y")</f>
        <v>—</v>
      </c>
      <c r="N78" s="14" t="str">
        <f>_xll.BDH("AMGN US Equity","COMPENSATION_CMTE_MTG_ATTEND_PCT","FY 2011","FY 2011","Currency=USD","Period=FQ","BEST_FPERIOD_OVERRIDE=FQ","FILING_STATUS=MR","Sort=A","Dates=H","DateFormat=P","Fill=—","Direction=H","UseDPDF=Y")</f>
        <v>—</v>
      </c>
      <c r="O78" s="14" t="str">
        <f>_xll.BDH("AMGN US Equity","COMPENSATION_CMTE_MTG_ATTEND_PCT","FY 2012","FY 2012","Currency=USD","Period=FQ","BEST_FPERIOD_OVERRIDE=FQ","FILING_STATUS=MR","Sort=A","Dates=H","DateFormat=P","Fill=—","Direction=H","UseDPDF=Y")</f>
        <v>—</v>
      </c>
      <c r="P78" s="14" t="str">
        <f>_xll.BDH("AMGN US Equity","COMPENSATION_CMTE_MTG_ATTEND_PCT","FY 2013","FY 2013","Currency=USD","Period=FQ","BEST_FPERIOD_OVERRIDE=FQ","FILING_STATUS=MR","Sort=A","Dates=H","DateFormat=P","Fill=—","Direction=H","UseDPDF=Y")</f>
        <v>—</v>
      </c>
      <c r="Q78" s="14" t="str">
        <f>_xll.BDH("AMGN US Equity","COMPENSATION_CMTE_MTG_ATTEND_PCT","FY 2014","FY 2014","Currency=USD","Period=FQ","BEST_FPERIOD_OVERRIDE=FQ","FILING_STATUS=MR","Sort=A","Dates=H","DateFormat=P","Fill=—","Direction=H","UseDPDF=Y")</f>
        <v>—</v>
      </c>
      <c r="R78" s="14" t="str">
        <f>_xll.BDH("AMGN US Equity","COMPENSATION_CMTE_MTG_ATTEND_PCT","FY 2015","FY 2015","Currency=USD","Period=FQ","BEST_FPERIOD_OVERRIDE=FQ","FILING_STATUS=MR","Sort=A","Dates=H","DateFormat=P","Fill=—","Direction=H","UseDPDF=Y")</f>
        <v>—</v>
      </c>
      <c r="S78" s="14" t="str">
        <f>_xll.BDH("AMGN US Equity","COMPENSATION_CMTE_MTG_ATTEND_PCT","FY 2016","FY 2016","Currency=USD","Period=FQ","BEST_FPERIOD_OVERRIDE=FQ","FILING_STATUS=MR","Sort=A","Dates=H","DateFormat=P","Fill=—","Direction=H","UseDPDF=Y")</f>
        <v>—</v>
      </c>
      <c r="T78" s="14" t="str">
        <f>_xll.BDH("AMGN US Equity","COMPENSATION_CMTE_MTG_ATTEND_PCT","FY 2017","FY 2017","Currency=USD","Period=FQ","BEST_FPERIOD_OVERRIDE=FQ","FILING_STATUS=MR","Sort=A","Dates=H","DateFormat=P","Fill=—","Direction=H","UseDPDF=Y")</f>
        <v>—</v>
      </c>
      <c r="U78" s="14" t="str">
        <f>_xll.BDH("AMGN US Equity","COMPENSATION_CMTE_MTG_ATTEND_PCT","FY 2018","FY 2018","Currency=USD","Period=FQ","BEST_FPERIOD_OVERRIDE=FQ","FILING_STATUS=MR","Sort=A","Dates=H","DateFormat=P","Fill=—","Direction=H","UseDPDF=Y")</f>
        <v>—</v>
      </c>
      <c r="V78" s="14" t="str">
        <f>_xll.BDH("AMGN US Equity","COMPENSATION_CMTE_MTG_ATTEND_PCT","FY 2019","FY 2019","Currency=USD","Period=FQ","BEST_FPERIOD_OVERRIDE=FQ","FILING_STATUS=MR","Sort=A","Dates=H","DateFormat=P","Fill=—","Direction=H","UseDPDF=Y")</f>
        <v>—</v>
      </c>
      <c r="W78" s="14" t="str">
        <f>_xll.BDH("AMGN US Equity","COMPENSATION_CMTE_MTG_ATTEND_PCT","FY 2020","FY 2020","Currency=USD","Period=FQ","BEST_FPERIOD_OVERRIDE=FQ","FILING_STATUS=MR","Sort=A","Dates=H","DateFormat=P","Fill=—","Direction=H","UseDPDF=Y")</f>
        <v>—</v>
      </c>
      <c r="X78" s="14" t="str">
        <f>_xll.BDH("AMGN US Equity","COMPENSATION_CMTE_MTG_ATTEND_PCT","FY 2021","FY 2021","Currency=USD","Period=FQ","BEST_FPERIOD_OVERRIDE=FQ","FILING_STATUS=MR","Sort=A","Dates=H","DateFormat=P","Fill=—","Direction=H","UseDPDF=Y")</f>
        <v>—</v>
      </c>
      <c r="Y78" s="14" t="str">
        <f>_xll.BDH("AMGN US Equity","COMPENSATION_CMTE_MTG_ATTEND_PCT","FY 2022","FY 2022","Currency=USD","Period=FQ","BEST_FPERIOD_OVERRIDE=FQ","FILING_STATUS=MR","Sort=A","Dates=H","DateFormat=P","Fill=—","Direction=H","UseDPDF=Y")</f>
        <v>—</v>
      </c>
      <c r="Z78" s="14" t="str">
        <f>_xll.BDH("AMGN US Equity","COMPENSATION_CMTE_MTG_ATTEND_PCT","FY 2023","FY 2023","Currency=USD","Period=FQ","BEST_FPERIOD_OVERRIDE=FQ","FILING_STATUS=MR","Sort=A","Dates=H","DateFormat=P","Fill=—","Direction=H","UseDPDF=Y")</f>
        <v>—</v>
      </c>
      <c r="AA78" s="14" t="str">
        <f>_xll.BDH("AMGN US Equity","COMPENSATION_CMTE_MTG_ATTEND_PCT","FY 2024","FY 2024","Currency=USD","Period=FQ","BEST_FPERIOD_OVERRIDE=FQ","FILING_STATUS=MR","Sort=A","Dates=H","DateFormat=P","Fill=—","Direction=H","UseDPDF=Y")</f>
        <v>—</v>
      </c>
    </row>
    <row r="79" spans="1:27" x14ac:dyDescent="0.25">
      <c r="A79" s="10" t="s">
        <v>2025</v>
      </c>
      <c r="B79" s="10" t="s">
        <v>2026</v>
      </c>
      <c r="C79" s="14" t="str">
        <f>_xll.BDH("AMGN US Equity","PCT_OF_IND_DIRECTORS_ON_NOM_CMTE","FY 2000","FY 2000","Currency=USD","Period=FQ","BEST_FPERIOD_OVERRIDE=FQ","FILING_STATUS=MR","Sort=A","Dates=H","DateFormat=P","Fill=—","Direction=H","UseDPDF=Y")</f>
        <v>—</v>
      </c>
      <c r="D79" s="14" t="str">
        <f>_xll.BDH("AMGN US Equity","PCT_OF_IND_DIRECTORS_ON_NOM_CMTE","FY 2001","FY 2001","Currency=USD","Period=FQ","BEST_FPERIOD_OVERRIDE=FQ","FILING_STATUS=MR","Sort=A","Dates=H","DateFormat=P","Fill=—","Direction=H","UseDPDF=Y")</f>
        <v>—</v>
      </c>
      <c r="E79" s="14" t="str">
        <f>_xll.BDH("AMGN US Equity","PCT_OF_IND_DIRECTORS_ON_NOM_CMTE","FY 2002","FY 2002","Currency=USD","Period=FQ","BEST_FPERIOD_OVERRIDE=FQ","FILING_STATUS=MR","Sort=A","Dates=H","DateFormat=P","Fill=—","Direction=H","UseDPDF=Y")</f>
        <v>—</v>
      </c>
      <c r="F79" s="14" t="str">
        <f>_xll.BDH("AMGN US Equity","PCT_OF_IND_DIRECTORS_ON_NOM_CMTE","FY 2003","FY 2003","Currency=USD","Period=FQ","BEST_FPERIOD_OVERRIDE=FQ","FILING_STATUS=MR","Sort=A","Dates=H","DateFormat=P","Fill=—","Direction=H","UseDPDF=Y")</f>
        <v>—</v>
      </c>
      <c r="G79" s="14" t="str">
        <f>_xll.BDH("AMGN US Equity","PCT_OF_IND_DIRECTORS_ON_NOM_CMTE","FY 2004","FY 2004","Currency=USD","Period=FQ","BEST_FPERIOD_OVERRIDE=FQ","FILING_STATUS=MR","Sort=A","Dates=H","DateFormat=P","Fill=—","Direction=H","UseDPDF=Y")</f>
        <v>—</v>
      </c>
      <c r="H79" s="14" t="str">
        <f>_xll.BDH("AMGN US Equity","PCT_OF_IND_DIRECTORS_ON_NOM_CMTE","FY 2005","FY 2005","Currency=USD","Period=FQ","BEST_FPERIOD_OVERRIDE=FQ","FILING_STATUS=MR","Sort=A","Dates=H","DateFormat=P","Fill=—","Direction=H","UseDPDF=Y")</f>
        <v>—</v>
      </c>
      <c r="I79" s="14" t="str">
        <f>_xll.BDH("AMGN US Equity","PCT_OF_IND_DIRECTORS_ON_NOM_CMTE","FY 2006","FY 2006","Currency=USD","Period=FQ","BEST_FPERIOD_OVERRIDE=FQ","FILING_STATUS=MR","Sort=A","Dates=H","DateFormat=P","Fill=—","Direction=H","UseDPDF=Y")</f>
        <v>—</v>
      </c>
      <c r="J79" s="14" t="str">
        <f>_xll.BDH("AMGN US Equity","PCT_OF_IND_DIRECTORS_ON_NOM_CMTE","FY 2007","FY 2007","Currency=USD","Period=FQ","BEST_FPERIOD_OVERRIDE=FQ","FILING_STATUS=MR","Sort=A","Dates=H","DateFormat=P","Fill=—","Direction=H","UseDPDF=Y")</f>
        <v>—</v>
      </c>
      <c r="K79" s="14" t="str">
        <f>_xll.BDH("AMGN US Equity","PCT_OF_IND_DIRECTORS_ON_NOM_CMTE","FY 2008","FY 2008","Currency=USD","Period=FQ","BEST_FPERIOD_OVERRIDE=FQ","FILING_STATUS=MR","Sort=A","Dates=H","DateFormat=P","Fill=—","Direction=H","UseDPDF=Y")</f>
        <v>—</v>
      </c>
      <c r="L79" s="14" t="str">
        <f>_xll.BDH("AMGN US Equity","PCT_OF_IND_DIRECTORS_ON_NOM_CMTE","FY 2009","FY 2009","Currency=USD","Period=FQ","BEST_FPERIOD_OVERRIDE=FQ","FILING_STATUS=MR","Sort=A","Dates=H","DateFormat=P","Fill=—","Direction=H","UseDPDF=Y")</f>
        <v>—</v>
      </c>
      <c r="M79" s="14" t="str">
        <f>_xll.BDH("AMGN US Equity","PCT_OF_IND_DIRECTORS_ON_NOM_CMTE","FY 2010","FY 2010","Currency=USD","Period=FQ","BEST_FPERIOD_OVERRIDE=FQ","FILING_STATUS=MR","Sort=A","Dates=H","DateFormat=P","Fill=—","Direction=H","UseDPDF=Y")</f>
        <v>—</v>
      </c>
      <c r="N79" s="14" t="str">
        <f>_xll.BDH("AMGN US Equity","PCT_OF_IND_DIRECTORS_ON_NOM_CMTE","FY 2011","FY 2011","Currency=USD","Period=FQ","BEST_FPERIOD_OVERRIDE=FQ","FILING_STATUS=MR","Sort=A","Dates=H","DateFormat=P","Fill=—","Direction=H","UseDPDF=Y")</f>
        <v>—</v>
      </c>
      <c r="O79" s="14" t="str">
        <f>_xll.BDH("AMGN US Equity","PCT_OF_IND_DIRECTORS_ON_NOM_CMTE","FY 2012","FY 2012","Currency=USD","Period=FQ","BEST_FPERIOD_OVERRIDE=FQ","FILING_STATUS=MR","Sort=A","Dates=H","DateFormat=P","Fill=—","Direction=H","UseDPDF=Y")</f>
        <v>—</v>
      </c>
      <c r="P79" s="14" t="str">
        <f>_xll.BDH("AMGN US Equity","PCT_OF_IND_DIRECTORS_ON_NOM_CMTE","FY 2013","FY 2013","Currency=USD","Period=FQ","BEST_FPERIOD_OVERRIDE=FQ","FILING_STATUS=MR","Sort=A","Dates=H","DateFormat=P","Fill=—","Direction=H","UseDPDF=Y")</f>
        <v>—</v>
      </c>
      <c r="Q79" s="14" t="str">
        <f>_xll.BDH("AMGN US Equity","PCT_OF_IND_DIRECTORS_ON_NOM_CMTE","FY 2014","FY 2014","Currency=USD","Period=FQ","BEST_FPERIOD_OVERRIDE=FQ","FILING_STATUS=MR","Sort=A","Dates=H","DateFormat=P","Fill=—","Direction=H","UseDPDF=Y")</f>
        <v>—</v>
      </c>
      <c r="R79" s="14" t="str">
        <f>_xll.BDH("AMGN US Equity","PCT_OF_IND_DIRECTORS_ON_NOM_CMTE","FY 2015","FY 2015","Currency=USD","Period=FQ","BEST_FPERIOD_OVERRIDE=FQ","FILING_STATUS=MR","Sort=A","Dates=H","DateFormat=P","Fill=—","Direction=H","UseDPDF=Y")</f>
        <v>—</v>
      </c>
      <c r="S79" s="14" t="str">
        <f>_xll.BDH("AMGN US Equity","PCT_OF_IND_DIRECTORS_ON_NOM_CMTE","FY 2016","FY 2016","Currency=USD","Period=FQ","BEST_FPERIOD_OVERRIDE=FQ","FILING_STATUS=MR","Sort=A","Dates=H","DateFormat=P","Fill=—","Direction=H","UseDPDF=Y")</f>
        <v>—</v>
      </c>
      <c r="T79" s="14" t="str">
        <f>_xll.BDH("AMGN US Equity","PCT_OF_IND_DIRECTORS_ON_NOM_CMTE","FY 2017","FY 2017","Currency=USD","Period=FQ","BEST_FPERIOD_OVERRIDE=FQ","FILING_STATUS=MR","Sort=A","Dates=H","DateFormat=P","Fill=—","Direction=H","UseDPDF=Y")</f>
        <v>—</v>
      </c>
      <c r="U79" s="14" t="str">
        <f>_xll.BDH("AMGN US Equity","PCT_OF_IND_DIRECTORS_ON_NOM_CMTE","FY 2018","FY 2018","Currency=USD","Period=FQ","BEST_FPERIOD_OVERRIDE=FQ","FILING_STATUS=MR","Sort=A","Dates=H","DateFormat=P","Fill=—","Direction=H","UseDPDF=Y")</f>
        <v>—</v>
      </c>
      <c r="V79" s="14" t="str">
        <f>_xll.BDH("AMGN US Equity","PCT_OF_IND_DIRECTORS_ON_NOM_CMTE","FY 2019","FY 2019","Currency=USD","Period=FQ","BEST_FPERIOD_OVERRIDE=FQ","FILING_STATUS=MR","Sort=A","Dates=H","DateFormat=P","Fill=—","Direction=H","UseDPDF=Y")</f>
        <v>—</v>
      </c>
      <c r="W79" s="14" t="str">
        <f>_xll.BDH("AMGN US Equity","PCT_OF_IND_DIRECTORS_ON_NOM_CMTE","FY 2020","FY 2020","Currency=USD","Period=FQ","BEST_FPERIOD_OVERRIDE=FQ","FILING_STATUS=MR","Sort=A","Dates=H","DateFormat=P","Fill=—","Direction=H","UseDPDF=Y")</f>
        <v>—</v>
      </c>
      <c r="X79" s="14" t="str">
        <f>_xll.BDH("AMGN US Equity","PCT_OF_IND_DIRECTORS_ON_NOM_CMTE","FY 2021","FY 2021","Currency=USD","Period=FQ","BEST_FPERIOD_OVERRIDE=FQ","FILING_STATUS=MR","Sort=A","Dates=H","DateFormat=P","Fill=—","Direction=H","UseDPDF=Y")</f>
        <v>—</v>
      </c>
      <c r="Y79" s="14" t="str">
        <f>_xll.BDH("AMGN US Equity","PCT_OF_IND_DIRECTORS_ON_NOM_CMTE","FY 2022","FY 2022","Currency=USD","Period=FQ","BEST_FPERIOD_OVERRIDE=FQ","FILING_STATUS=MR","Sort=A","Dates=H","DateFormat=P","Fill=—","Direction=H","UseDPDF=Y")</f>
        <v>—</v>
      </c>
      <c r="Z79" s="14" t="str">
        <f>_xll.BDH("AMGN US Equity","PCT_OF_IND_DIRECTORS_ON_NOM_CMTE","FY 2023","FY 2023","Currency=USD","Period=FQ","BEST_FPERIOD_OVERRIDE=FQ","FILING_STATUS=MR","Sort=A","Dates=H","DateFormat=P","Fill=—","Direction=H","UseDPDF=Y")</f>
        <v>—</v>
      </c>
      <c r="AA79" s="14" t="str">
        <f>_xll.BDH("AMGN US Equity","PCT_OF_IND_DIRECTORS_ON_NOM_CMTE","FY 2024","FY 2024","Currency=USD","Period=FQ","BEST_FPERIOD_OVERRIDE=FQ","FILING_STATUS=MR","Sort=A","Dates=H","DateFormat=P","Fill=—","Direction=H","UseDPDF=Y")</f>
        <v>—</v>
      </c>
    </row>
    <row r="80" spans="1:27" x14ac:dyDescent="0.25">
      <c r="A80" s="10" t="s">
        <v>2027</v>
      </c>
      <c r="B80" s="10" t="s">
        <v>2028</v>
      </c>
      <c r="C80" s="14" t="str">
        <f>_xll.BDH("AMGN US Equity","PCT_OWNERSHIP_REQ_SPECIAL_MTG","FY 2000","FY 2000","Currency=USD","Period=FQ","BEST_FPERIOD_OVERRIDE=FQ","FILING_STATUS=MR","Sort=A","Dates=H","DateFormat=P","Fill=—","Direction=H","UseDPDF=Y")</f>
        <v>—</v>
      </c>
      <c r="D80" s="14" t="str">
        <f>_xll.BDH("AMGN US Equity","PCT_OWNERSHIP_REQ_SPECIAL_MTG","FY 2001","FY 2001","Currency=USD","Period=FQ","BEST_FPERIOD_OVERRIDE=FQ","FILING_STATUS=MR","Sort=A","Dates=H","DateFormat=P","Fill=—","Direction=H","UseDPDF=Y")</f>
        <v>—</v>
      </c>
      <c r="E80" s="14" t="str">
        <f>_xll.BDH("AMGN US Equity","PCT_OWNERSHIP_REQ_SPECIAL_MTG","FY 2002","FY 2002","Currency=USD","Period=FQ","BEST_FPERIOD_OVERRIDE=FQ","FILING_STATUS=MR","Sort=A","Dates=H","DateFormat=P","Fill=—","Direction=H","UseDPDF=Y")</f>
        <v>—</v>
      </c>
      <c r="F80" s="14" t="str">
        <f>_xll.BDH("AMGN US Equity","PCT_OWNERSHIP_REQ_SPECIAL_MTG","FY 2003","FY 2003","Currency=USD","Period=FQ","BEST_FPERIOD_OVERRIDE=FQ","FILING_STATUS=MR","Sort=A","Dates=H","DateFormat=P","Fill=—","Direction=H","UseDPDF=Y")</f>
        <v>—</v>
      </c>
      <c r="G80" s="14" t="str">
        <f>_xll.BDH("AMGN US Equity","PCT_OWNERSHIP_REQ_SPECIAL_MTG","FY 2004","FY 2004","Currency=USD","Period=FQ","BEST_FPERIOD_OVERRIDE=FQ","FILING_STATUS=MR","Sort=A","Dates=H","DateFormat=P","Fill=—","Direction=H","UseDPDF=Y")</f>
        <v>—</v>
      </c>
      <c r="H80" s="14" t="str">
        <f>_xll.BDH("AMGN US Equity","PCT_OWNERSHIP_REQ_SPECIAL_MTG","FY 2005","FY 2005","Currency=USD","Period=FQ","BEST_FPERIOD_OVERRIDE=FQ","FILING_STATUS=MR","Sort=A","Dates=H","DateFormat=P","Fill=—","Direction=H","UseDPDF=Y")</f>
        <v>—</v>
      </c>
      <c r="I80" s="14" t="str">
        <f>_xll.BDH("AMGN US Equity","PCT_OWNERSHIP_REQ_SPECIAL_MTG","FY 2006","FY 2006","Currency=USD","Period=FQ","BEST_FPERIOD_OVERRIDE=FQ","FILING_STATUS=MR","Sort=A","Dates=H","DateFormat=P","Fill=—","Direction=H","UseDPDF=Y")</f>
        <v>—</v>
      </c>
      <c r="J80" s="14" t="str">
        <f>_xll.BDH("AMGN US Equity","PCT_OWNERSHIP_REQ_SPECIAL_MTG","FY 2007","FY 2007","Currency=USD","Period=FQ","BEST_FPERIOD_OVERRIDE=FQ","FILING_STATUS=MR","Sort=A","Dates=H","DateFormat=P","Fill=—","Direction=H","UseDPDF=Y")</f>
        <v>—</v>
      </c>
      <c r="K80" s="14" t="str">
        <f>_xll.BDH("AMGN US Equity","PCT_OWNERSHIP_REQ_SPECIAL_MTG","FY 2008","FY 2008","Currency=USD","Period=FQ","BEST_FPERIOD_OVERRIDE=FQ","FILING_STATUS=MR","Sort=A","Dates=H","DateFormat=P","Fill=—","Direction=H","UseDPDF=Y")</f>
        <v>—</v>
      </c>
      <c r="L80" s="14" t="str">
        <f>_xll.BDH("AMGN US Equity","PCT_OWNERSHIP_REQ_SPECIAL_MTG","FY 2009","FY 2009","Currency=USD","Period=FQ","BEST_FPERIOD_OVERRIDE=FQ","FILING_STATUS=MR","Sort=A","Dates=H","DateFormat=P","Fill=—","Direction=H","UseDPDF=Y")</f>
        <v>—</v>
      </c>
      <c r="M80" s="14" t="str">
        <f>_xll.BDH("AMGN US Equity","PCT_OWNERSHIP_REQ_SPECIAL_MTG","FY 2010","FY 2010","Currency=USD","Period=FQ","BEST_FPERIOD_OVERRIDE=FQ","FILING_STATUS=MR","Sort=A","Dates=H","DateFormat=P","Fill=—","Direction=H","UseDPDF=Y")</f>
        <v>—</v>
      </c>
      <c r="N80" s="14" t="str">
        <f>_xll.BDH("AMGN US Equity","PCT_OWNERSHIP_REQ_SPECIAL_MTG","FY 2011","FY 2011","Currency=USD","Period=FQ","BEST_FPERIOD_OVERRIDE=FQ","FILING_STATUS=MR","Sort=A","Dates=H","DateFormat=P","Fill=—","Direction=H","UseDPDF=Y")</f>
        <v>—</v>
      </c>
      <c r="O80" s="14" t="str">
        <f>_xll.BDH("AMGN US Equity","PCT_OWNERSHIP_REQ_SPECIAL_MTG","FY 2012","FY 2012","Currency=USD","Period=FQ","BEST_FPERIOD_OVERRIDE=FQ","FILING_STATUS=MR","Sort=A","Dates=H","DateFormat=P","Fill=—","Direction=H","UseDPDF=Y")</f>
        <v>—</v>
      </c>
      <c r="P80" s="14" t="str">
        <f>_xll.BDH("AMGN US Equity","PCT_OWNERSHIP_REQ_SPECIAL_MTG","FY 2013","FY 2013","Currency=USD","Period=FQ","BEST_FPERIOD_OVERRIDE=FQ","FILING_STATUS=MR","Sort=A","Dates=H","DateFormat=P","Fill=—","Direction=H","UseDPDF=Y")</f>
        <v>—</v>
      </c>
      <c r="Q80" s="14" t="str">
        <f>_xll.BDH("AMGN US Equity","PCT_OWNERSHIP_REQ_SPECIAL_MTG","FY 2014","FY 2014","Currency=USD","Period=FQ","BEST_FPERIOD_OVERRIDE=FQ","FILING_STATUS=MR","Sort=A","Dates=H","DateFormat=P","Fill=—","Direction=H","UseDPDF=Y")</f>
        <v>—</v>
      </c>
      <c r="R80" s="14" t="str">
        <f>_xll.BDH("AMGN US Equity","PCT_OWNERSHIP_REQ_SPECIAL_MTG","FY 2015","FY 2015","Currency=USD","Period=FQ","BEST_FPERIOD_OVERRIDE=FQ","FILING_STATUS=MR","Sort=A","Dates=H","DateFormat=P","Fill=—","Direction=H","UseDPDF=Y")</f>
        <v>—</v>
      </c>
      <c r="S80" s="14" t="str">
        <f>_xll.BDH("AMGN US Equity","PCT_OWNERSHIP_REQ_SPECIAL_MTG","FY 2016","FY 2016","Currency=USD","Period=FQ","BEST_FPERIOD_OVERRIDE=FQ","FILING_STATUS=MR","Sort=A","Dates=H","DateFormat=P","Fill=—","Direction=H","UseDPDF=Y")</f>
        <v>—</v>
      </c>
      <c r="T80" s="14" t="str">
        <f>_xll.BDH("AMGN US Equity","PCT_OWNERSHIP_REQ_SPECIAL_MTG","FY 2017","FY 2017","Currency=USD","Period=FQ","BEST_FPERIOD_OVERRIDE=FQ","FILING_STATUS=MR","Sort=A","Dates=H","DateFormat=P","Fill=—","Direction=H","UseDPDF=Y")</f>
        <v>—</v>
      </c>
      <c r="U80" s="14" t="str">
        <f>_xll.BDH("AMGN US Equity","PCT_OWNERSHIP_REQ_SPECIAL_MTG","FY 2018","FY 2018","Currency=USD","Period=FQ","BEST_FPERIOD_OVERRIDE=FQ","FILING_STATUS=MR","Sort=A","Dates=H","DateFormat=P","Fill=—","Direction=H","UseDPDF=Y")</f>
        <v>—</v>
      </c>
      <c r="V80" s="14" t="str">
        <f>_xll.BDH("AMGN US Equity","PCT_OWNERSHIP_REQ_SPECIAL_MTG","FY 2019","FY 2019","Currency=USD","Period=FQ","BEST_FPERIOD_OVERRIDE=FQ","FILING_STATUS=MR","Sort=A","Dates=H","DateFormat=P","Fill=—","Direction=H","UseDPDF=Y")</f>
        <v>—</v>
      </c>
      <c r="W80" s="14" t="str">
        <f>_xll.BDH("AMGN US Equity","PCT_OWNERSHIP_REQ_SPECIAL_MTG","FY 2020","FY 2020","Currency=USD","Period=FQ","BEST_FPERIOD_OVERRIDE=FQ","FILING_STATUS=MR","Sort=A","Dates=H","DateFormat=P","Fill=—","Direction=H","UseDPDF=Y")</f>
        <v>—</v>
      </c>
      <c r="X80" s="14" t="str">
        <f>_xll.BDH("AMGN US Equity","PCT_OWNERSHIP_REQ_SPECIAL_MTG","FY 2021","FY 2021","Currency=USD","Period=FQ","BEST_FPERIOD_OVERRIDE=FQ","FILING_STATUS=MR","Sort=A","Dates=H","DateFormat=P","Fill=—","Direction=H","UseDPDF=Y")</f>
        <v>—</v>
      </c>
      <c r="Y80" s="14" t="str">
        <f>_xll.BDH("AMGN US Equity","PCT_OWNERSHIP_REQ_SPECIAL_MTG","FY 2022","FY 2022","Currency=USD","Period=FQ","BEST_FPERIOD_OVERRIDE=FQ","FILING_STATUS=MR","Sort=A","Dates=H","DateFormat=P","Fill=—","Direction=H","UseDPDF=Y")</f>
        <v>—</v>
      </c>
      <c r="Z80" s="14" t="str">
        <f>_xll.BDH("AMGN US Equity","PCT_OWNERSHIP_REQ_SPECIAL_MTG","FY 2023","FY 2023","Currency=USD","Period=FQ","BEST_FPERIOD_OVERRIDE=FQ","FILING_STATUS=MR","Sort=A","Dates=H","DateFormat=P","Fill=—","Direction=H","UseDPDF=Y")</f>
        <v>—</v>
      </c>
      <c r="AA80" s="14" t="str">
        <f>_xll.BDH("AMGN US Equity","PCT_OWNERSHIP_REQ_SPECIAL_MTG","FY 2024","FY 2024","Currency=USD","Period=FQ","BEST_FPERIOD_OVERRIDE=FQ","FILING_STATUS=MR","Sort=A","Dates=H","DateFormat=P","Fill=—","Direction=H","UseDPDF=Y")</f>
        <v>—</v>
      </c>
    </row>
    <row r="81" spans="1:27" x14ac:dyDescent="0.25">
      <c r="A81" s="7" t="s">
        <v>90</v>
      </c>
      <c r="B81" s="7"/>
      <c r="C81" s="7" t="s">
        <v>5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5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163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4" t="s">
        <v>19</v>
      </c>
      <c r="M4" s="4" t="s">
        <v>20</v>
      </c>
      <c r="N4" s="4" t="s">
        <v>21</v>
      </c>
      <c r="O4" s="4" t="s">
        <v>22</v>
      </c>
      <c r="P4" s="4" t="s">
        <v>23</v>
      </c>
      <c r="Q4" s="4" t="s">
        <v>24</v>
      </c>
      <c r="R4" s="4" t="s">
        <v>25</v>
      </c>
      <c r="S4" s="4" t="s">
        <v>26</v>
      </c>
      <c r="T4" s="4" t="s">
        <v>27</v>
      </c>
      <c r="U4" s="4" t="s">
        <v>28</v>
      </c>
      <c r="V4" s="4" t="s">
        <v>29</v>
      </c>
      <c r="W4" s="4" t="s">
        <v>30</v>
      </c>
      <c r="X4" s="4" t="s">
        <v>31</v>
      </c>
      <c r="Y4" s="4" t="s">
        <v>164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36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41</v>
      </c>
      <c r="I5" s="5" t="s">
        <v>42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5" t="s">
        <v>48</v>
      </c>
      <c r="P5" s="5" t="s">
        <v>49</v>
      </c>
      <c r="Q5" s="5" t="s">
        <v>50</v>
      </c>
      <c r="R5" s="5" t="s">
        <v>51</v>
      </c>
      <c r="S5" s="5" t="s">
        <v>52</v>
      </c>
      <c r="T5" s="5" t="s">
        <v>53</v>
      </c>
      <c r="U5" s="5" t="s">
        <v>54</v>
      </c>
      <c r="V5" s="5" t="s">
        <v>55</v>
      </c>
      <c r="W5" s="5" t="s">
        <v>56</v>
      </c>
      <c r="X5" s="5" t="s">
        <v>57</v>
      </c>
      <c r="Y5" s="5" t="s">
        <v>165</v>
      </c>
      <c r="Z5" s="5" t="s">
        <v>58</v>
      </c>
      <c r="AA5" s="5" t="s">
        <v>59</v>
      </c>
    </row>
    <row r="6" spans="1:27" x14ac:dyDescent="0.25">
      <c r="A6" s="6" t="s">
        <v>60</v>
      </c>
      <c r="B6" s="6" t="s">
        <v>61</v>
      </c>
      <c r="C6" s="19">
        <f>_xll.BDH("AMGN US Equity","HISTORICAL_MARKET_CAP","FQ3 2019","FQ3 2019","Currency=USD","Period=FQ","BEST_FPERIOD_OVERRIDE=FQ","FILING_STATUS=MR","SCALING_FORMAT=MLN","Sort=A","Dates=H","DateFormat=P","Fill=—","Direction=H","UseDPDF=Y")</f>
        <v>115370.662</v>
      </c>
      <c r="D6" s="19">
        <f>_xll.BDH("AMGN US Equity","HISTORICAL_MARKET_CAP","FQ4 2019","FQ4 2019","Currency=USD","Period=FQ","BEST_FPERIOD_OVERRIDE=FQ","FILING_STATUS=MR","SCALING_FORMAT=MLN","Sort=A","Dates=H","DateFormat=P","Fill=—","Direction=H","UseDPDF=Y")</f>
        <v>142568.79800000001</v>
      </c>
      <c r="E6" s="19">
        <f>_xll.BDH("AMGN US Equity","HISTORICAL_MARKET_CAP","FQ1 2020","FQ1 2020","Currency=USD","Period=FQ","BEST_FPERIOD_OVERRIDE=FQ","FILING_STATUS=MR","SCALING_FORMAT=MLN","Sort=A","Dates=H","DateFormat=P","Fill=—","Direction=H","UseDPDF=Y")</f>
        <v>119205.24</v>
      </c>
      <c r="F6" s="19">
        <f>_xll.BDH("AMGN US Equity","HISTORICAL_MARKET_CAP","FQ2 2020","FQ2 2020","Currency=USD","Period=FQ","BEST_FPERIOD_OVERRIDE=FQ","FILING_STATUS=MR","SCALING_FORMAT=MLN","Sort=A","Dates=H","DateFormat=P","Fill=—","Direction=H","UseDPDF=Y")</f>
        <v>138308.304</v>
      </c>
      <c r="G6" s="19">
        <f>_xll.BDH("AMGN US Equity","HISTORICAL_MARKET_CAP","FQ3 2020","FQ3 2020","Currency=USD","Period=FQ","BEST_FPERIOD_OVERRIDE=FQ","FILING_STATUS=MR","SCALING_FORMAT=MLN","Sort=A","Dates=H","DateFormat=P","Fill=—","Direction=H","UseDPDF=Y")</f>
        <v>148302.35999999999</v>
      </c>
      <c r="H6" s="19">
        <f>_xll.BDH("AMGN US Equity","HISTORICAL_MARKET_CAP","FQ4 2020","FQ4 2020","Currency=USD","Period=FQ","BEST_FPERIOD_OVERRIDE=FQ","FILING_STATUS=MR","SCALING_FORMAT=MLN","Sort=A","Dates=H","DateFormat=P","Fill=—","Direction=H","UseDPDF=Y")</f>
        <v>132962.736</v>
      </c>
      <c r="I6" s="19">
        <f>_xll.BDH("AMGN US Equity","HISTORICAL_MARKET_CAP","FQ1 2021","FQ1 2021","Currency=USD","Period=FQ","BEST_FPERIOD_OVERRIDE=FQ","FILING_STATUS=MR","SCALING_FORMAT=MLN","Sort=A","Dates=H","DateFormat=P","Fill=—","Direction=H","UseDPDF=Y")</f>
        <v>143140.39300000001</v>
      </c>
      <c r="J6" s="19">
        <f>_xll.BDH("AMGN US Equity","HISTORICAL_MARKET_CAP","FQ2 2021","FQ2 2021","Currency=USD","Period=FQ","BEST_FPERIOD_OVERRIDE=FQ","FILING_STATUS=MR","SCALING_FORMAT=MLN","Sort=A","Dates=H","DateFormat=P","Fill=—","Direction=H","UseDPDF=Y")</f>
        <v>138840</v>
      </c>
      <c r="K6" s="19">
        <f>_xll.BDH("AMGN US Equity","HISTORICAL_MARKET_CAP","FQ3 2021","FQ3 2021","Currency=USD","Period=FQ","BEST_FPERIOD_OVERRIDE=FQ","FILING_STATUS=MR","SCALING_FORMAT=MLN","Sort=A","Dates=H","DateFormat=P","Fill=—","Direction=H","UseDPDF=Y")</f>
        <v>120147.25</v>
      </c>
      <c r="L6" s="19">
        <f>_xll.BDH("AMGN US Equity","HISTORICAL_MARKET_CAP","FQ4 2021","FQ4 2021","Currency=USD","Period=FQ","BEST_FPERIOD_OVERRIDE=FQ","FILING_STATUS=MR","SCALING_FORMAT=MLN","Sort=A","Dates=H","DateFormat=P","Fill=—","Direction=H","UseDPDF=Y")</f>
        <v>120133.98</v>
      </c>
      <c r="M6" s="19">
        <f>_xll.BDH("AMGN US Equity","HISTORICAL_MARKET_CAP","FQ1 2022","FQ1 2022","Currency=USD","Period=FQ","BEST_FPERIOD_OVERRIDE=FQ","FILING_STATUS=MR","SCALING_FORMAT=MLN","Sort=A","Dates=H","DateFormat=P","Fill=—","Direction=H","UseDPDF=Y")</f>
        <v>129180.24400000001</v>
      </c>
      <c r="N6" s="19">
        <f>_xll.BDH("AMGN US Equity","HISTORICAL_MARKET_CAP","FQ2 2022","FQ2 2022","Currency=USD","Period=FQ","BEST_FPERIOD_OVERRIDE=FQ","FILING_STATUS=MR","SCALING_FORMAT=MLN","Sort=A","Dates=H","DateFormat=P","Fill=—","Direction=H","UseDPDF=Y")</f>
        <v>130141.17</v>
      </c>
      <c r="O6" s="19">
        <f>_xll.BDH("AMGN US Equity","HISTORICAL_MARKET_CAP","FQ3 2022","FQ3 2022","Currency=USD","Period=FQ","BEST_FPERIOD_OVERRIDE=FQ","FILING_STATUS=MR","SCALING_FORMAT=MLN","Sort=A","Dates=H","DateFormat=P","Fill=—","Direction=H","UseDPDF=Y")</f>
        <v>120250.9</v>
      </c>
      <c r="P6" s="19">
        <f>_xll.BDH("AMGN US Equity","HISTORICAL_MARKET_CAP","FQ4 2022","FQ4 2022","Currency=USD","Period=FQ","BEST_FPERIOD_OVERRIDE=FQ","FILING_STATUS=MR","SCALING_FORMAT=MLN","Sort=A","Dates=H","DateFormat=P","Fill=—","Direction=H","UseDPDF=Y")</f>
        <v>140249.76</v>
      </c>
      <c r="Q6" s="19">
        <f>_xll.BDH("AMGN US Equity","HISTORICAL_MARKET_CAP","FQ1 2023","FQ1 2023","Currency=USD","Period=FQ","BEST_FPERIOD_OVERRIDE=FQ","FILING_STATUS=MR","SCALING_FORMAT=MLN","Sort=A","Dates=H","DateFormat=P","Fill=—","Direction=H","UseDPDF=Y")</f>
        <v>129167.02499999999</v>
      </c>
      <c r="R6" s="19">
        <f>_xll.BDH("AMGN US Equity","HISTORICAL_MARKET_CAP","FQ2 2023","FQ2 2023","Currency=USD","Period=FQ","BEST_FPERIOD_OVERRIDE=FQ","FILING_STATUS=MR","SCALING_FORMAT=MLN","Sort=A","Dates=H","DateFormat=P","Fill=—","Direction=H","UseDPDF=Y")</f>
        <v>118758.49800000001</v>
      </c>
      <c r="S6" s="19">
        <f>_xll.BDH("AMGN US Equity","HISTORICAL_MARKET_CAP","FQ3 2023","FQ3 2023","Currency=USD","Period=FQ","BEST_FPERIOD_OVERRIDE=FQ","FILING_STATUS=MR","SCALING_FORMAT=MLN","Sort=A","Dates=H","DateFormat=P","Fill=—","Direction=H","UseDPDF=Y")</f>
        <v>143813.476</v>
      </c>
      <c r="T6" s="19">
        <f>_xll.BDH("AMGN US Equity","HISTORICAL_MARKET_CAP","FQ4 2023","FQ4 2023","Currency=USD","Period=FQ","BEST_FPERIOD_OVERRIDE=FQ","FILING_STATUS=MR","SCALING_FORMAT=MLN","Sort=A","Dates=H","DateFormat=P","Fill=—","Direction=H","UseDPDF=Y")</f>
        <v>154205.908</v>
      </c>
      <c r="U6" s="19">
        <f>_xll.BDH("AMGN US Equity","HISTORICAL_MARKET_CAP","FQ1 2024","FQ1 2024","Currency=USD","Period=FQ","BEST_FPERIOD_OVERRIDE=FQ","FILING_STATUS=MR","SCALING_FORMAT=MLN","Sort=A","Dates=H","DateFormat=P","Fill=—","Direction=H","UseDPDF=Y")</f>
        <v>152509.24799999999</v>
      </c>
      <c r="V6" s="19">
        <f>_xll.BDH("AMGN US Equity","HISTORICAL_MARKET_CAP","FQ2 2024","FQ2 2024","Currency=USD","Period=FQ","BEST_FPERIOD_OVERRIDE=FQ","FILING_STATUS=MR","SCALING_FORMAT=MLN","Sort=A","Dates=H","DateFormat=P","Fill=—","Direction=H","UseDPDF=Y")</f>
        <v>167848.14</v>
      </c>
      <c r="W6" s="19">
        <f>_xll.BDH("AMGN US Equity","HISTORICAL_MARKET_CAP","FQ3 2024","FQ3 2024","Currency=USD","Period=FQ","BEST_FPERIOD_OVERRIDE=FQ","FILING_STATUS=MR","SCALING_FORMAT=MLN","Sort=A","Dates=H","DateFormat=P","Fill=—","Direction=H","UseDPDF=Y")</f>
        <v>173187.875</v>
      </c>
      <c r="X6" s="19">
        <f>_xll.BDH("AMGN US Equity","HISTORICAL_MARKET_CAP","FQ4 2024","FQ4 2024","Currency=USD","Period=FQ","BEST_FPERIOD_OVERRIDE=FQ","FILING_STATUS=MR","SCALING_FORMAT=MLN","Sort=A","Dates=H","DateFormat=P","Fill=—","Direction=H","UseDPDF=Y")</f>
        <v>139937.61600000001</v>
      </c>
      <c r="Y6" s="22">
        <v>165254.98456566001</v>
      </c>
      <c r="Z6" s="19"/>
      <c r="AA6" s="19"/>
    </row>
    <row r="7" spans="1:27" x14ac:dyDescent="0.25">
      <c r="A7" s="10" t="s">
        <v>166</v>
      </c>
      <c r="B7" s="10" t="s">
        <v>63</v>
      </c>
      <c r="C7" s="13">
        <f>_xll.BDH("AMGN US Equity","CASH_AND_MARKETABLE_SECURITIES","FQ3 2019","FQ3 2019","Currency=USD","Period=FQ","BEST_FPERIOD_OVERRIDE=FQ","FILING_STATUS=MR","SCALING_FORMAT=MLN","Sort=A","Dates=H","DateFormat=P","Fill=—","Direction=H","UseDPDF=Y")</f>
        <v>20853</v>
      </c>
      <c r="D7" s="13">
        <f>_xll.BDH("AMGN US Equity","CASH_AND_MARKETABLE_SECURITIES","FQ4 2019","FQ4 2019","Currency=USD","Period=FQ","BEST_FPERIOD_OVERRIDE=FQ","FILING_STATUS=MR","SCALING_FORMAT=MLN","Sort=A","Dates=H","DateFormat=P","Fill=—","Direction=H","UseDPDF=Y")</f>
        <v>8911</v>
      </c>
      <c r="E7" s="13">
        <f>_xll.BDH("AMGN US Equity","CASH_AND_MARKETABLE_SECURITIES","FQ1 2020","FQ1 2020","Currency=USD","Period=FQ","BEST_FPERIOD_OVERRIDE=FQ","FILING_STATUS=MR","SCALING_FORMAT=MLN","Sort=A","Dates=H","DateFormat=P","Fill=—","Direction=H","UseDPDF=Y")</f>
        <v>8012</v>
      </c>
      <c r="F7" s="13">
        <f>_xll.BDH("AMGN US Equity","CASH_AND_MARKETABLE_SECURITIES","FQ2 2020","FQ2 2020","Currency=USD","Period=FQ","BEST_FPERIOD_OVERRIDE=FQ","FILING_STATUS=MR","SCALING_FORMAT=MLN","Sort=A","Dates=H","DateFormat=P","Fill=—","Direction=H","UseDPDF=Y")</f>
        <v>11421</v>
      </c>
      <c r="G7" s="13">
        <f>_xll.BDH("AMGN US Equity","CASH_AND_MARKETABLE_SECURITIES","FQ3 2020","FQ3 2020","Currency=USD","Period=FQ","BEST_FPERIOD_OVERRIDE=FQ","FILING_STATUS=MR","SCALING_FORMAT=MLN","Sort=A","Dates=H","DateFormat=P","Fill=—","Direction=H","UseDPDF=Y")</f>
        <v>12360</v>
      </c>
      <c r="H7" s="13">
        <f>_xll.BDH("AMGN US Equity","CASH_AND_MARKETABLE_SECURITIES","FQ4 2020","FQ4 2020","Currency=USD","Period=FQ","BEST_FPERIOD_OVERRIDE=FQ","FILING_STATUS=MR","SCALING_FORMAT=MLN","Sort=A","Dates=H","DateFormat=P","Fill=—","Direction=H","UseDPDF=Y")</f>
        <v>10647</v>
      </c>
      <c r="I7" s="13">
        <f>_xll.BDH("AMGN US Equity","CASH_AND_MARKETABLE_SECURITIES","FQ1 2021","FQ1 2021","Currency=USD","Period=FQ","BEST_FPERIOD_OVERRIDE=FQ","FILING_STATUS=MR","SCALING_FORMAT=MLN","Sort=A","Dates=H","DateFormat=P","Fill=—","Direction=H","UseDPDF=Y")</f>
        <v>10566</v>
      </c>
      <c r="J7" s="13">
        <f>_xll.BDH("AMGN US Equity","CASH_AND_MARKETABLE_SECURITIES","FQ2 2021","FQ2 2021","Currency=USD","Period=FQ","BEST_FPERIOD_OVERRIDE=FQ","FILING_STATUS=MR","SCALING_FORMAT=MLN","Sort=A","Dates=H","DateFormat=P","Fill=—","Direction=H","UseDPDF=Y")</f>
        <v>8082</v>
      </c>
      <c r="K7" s="13">
        <f>_xll.BDH("AMGN US Equity","CASH_AND_MARKETABLE_SECURITIES","FQ3 2021","FQ3 2021","Currency=USD","Period=FQ","BEST_FPERIOD_OVERRIDE=FQ","FILING_STATUS=MR","SCALING_FORMAT=MLN","Sort=A","Dates=H","DateFormat=P","Fill=—","Direction=H","UseDPDF=Y")</f>
        <v>12921</v>
      </c>
      <c r="L7" s="13">
        <f>_xll.BDH("AMGN US Equity","CASH_AND_MARKETABLE_SECURITIES","FQ4 2021","FQ4 2021","Currency=USD","Period=FQ","BEST_FPERIOD_OVERRIDE=FQ","FILING_STATUS=MR","SCALING_FORMAT=MLN","Sort=A","Dates=H","DateFormat=P","Fill=—","Direction=H","UseDPDF=Y")</f>
        <v>8037</v>
      </c>
      <c r="M7" s="13">
        <f>_xll.BDH("AMGN US Equity","CASH_AND_MARKETABLE_SECURITIES","FQ1 2022","FQ1 2022","Currency=USD","Period=FQ","BEST_FPERIOD_OVERRIDE=FQ","FILING_STATUS=MR","SCALING_FORMAT=MLN","Sort=A","Dates=H","DateFormat=P","Fill=—","Direction=H","UseDPDF=Y")</f>
        <v>6544</v>
      </c>
      <c r="N7" s="13">
        <f>_xll.BDH("AMGN US Equity","CASH_AND_MARKETABLE_SECURITIES","FQ2 2022","FQ2 2022","Currency=USD","Period=FQ","BEST_FPERIOD_OVERRIDE=FQ","FILING_STATUS=MR","SCALING_FORMAT=MLN","Sort=A","Dates=H","DateFormat=P","Fill=—","Direction=H","UseDPDF=Y")</f>
        <v>7183</v>
      </c>
      <c r="O7" s="13">
        <f>_xll.BDH("AMGN US Equity","CASH_AND_MARKETABLE_SECURITIES","FQ3 2022","FQ3 2022","Currency=USD","Period=FQ","BEST_FPERIOD_OVERRIDE=FQ","FILING_STATUS=MR","SCALING_FORMAT=MLN","Sort=A","Dates=H","DateFormat=P","Fill=—","Direction=H","UseDPDF=Y")</f>
        <v>11478</v>
      </c>
      <c r="P7" s="13">
        <f>_xll.BDH("AMGN US Equity","CASH_AND_MARKETABLE_SECURITIES","FQ4 2022","FQ4 2022","Currency=USD","Period=FQ","BEST_FPERIOD_OVERRIDE=FQ","FILING_STATUS=MR","SCALING_FORMAT=MLN","Sort=A","Dates=H","DateFormat=P","Fill=—","Direction=H","UseDPDF=Y")</f>
        <v>9305</v>
      </c>
      <c r="Q7" s="13">
        <f>_xll.BDH("AMGN US Equity","CASH_AND_MARKETABLE_SECURITIES","FQ1 2023","FQ1 2023","Currency=USD","Period=FQ","BEST_FPERIOD_OVERRIDE=FQ","FILING_STATUS=MR","SCALING_FORMAT=MLN","Sort=A","Dates=H","DateFormat=P","Fill=—","Direction=H","UseDPDF=Y")</f>
        <v>31561</v>
      </c>
      <c r="R7" s="13">
        <f>_xll.BDH("AMGN US Equity","CASH_AND_MARKETABLE_SECURITIES","FQ2 2023","FQ2 2023","Currency=USD","Period=FQ","BEST_FPERIOD_OVERRIDE=FQ","FILING_STATUS=MR","SCALING_FORMAT=MLN","Sort=A","Dates=H","DateFormat=P","Fill=—","Direction=H","UseDPDF=Y")</f>
        <v>34248</v>
      </c>
      <c r="S7" s="13">
        <f>_xll.BDH("AMGN US Equity","CASH_AND_MARKETABLE_SECURITIES","FQ3 2023","FQ3 2023","Currency=USD","Period=FQ","BEST_FPERIOD_OVERRIDE=FQ","FILING_STATUS=MR","SCALING_FORMAT=MLN","Sort=A","Dates=H","DateFormat=P","Fill=—","Direction=H","UseDPDF=Y")</f>
        <v>34741</v>
      </c>
      <c r="T7" s="13">
        <f>_xll.BDH("AMGN US Equity","CASH_AND_MARKETABLE_SECURITIES","FQ4 2023","FQ4 2023","Currency=USD","Period=FQ","BEST_FPERIOD_OVERRIDE=FQ","FILING_STATUS=MR","SCALING_FORMAT=MLN","Sort=A","Dates=H","DateFormat=P","Fill=—","Direction=H","UseDPDF=Y")</f>
        <v>10944</v>
      </c>
      <c r="U7" s="13">
        <f>_xll.BDH("AMGN US Equity","CASH_AND_MARKETABLE_SECURITIES","FQ1 2024","FQ1 2024","Currency=USD","Period=FQ","BEST_FPERIOD_OVERRIDE=FQ","FILING_STATUS=MR","SCALING_FORMAT=MLN","Sort=A","Dates=H","DateFormat=P","Fill=—","Direction=H","UseDPDF=Y")</f>
        <v>9708</v>
      </c>
      <c r="V7" s="13">
        <f>_xll.BDH("AMGN US Equity","CASH_AND_MARKETABLE_SECURITIES","FQ2 2024","FQ2 2024","Currency=USD","Period=FQ","BEST_FPERIOD_OVERRIDE=FQ","FILING_STATUS=MR","SCALING_FORMAT=MLN","Sort=A","Dates=H","DateFormat=P","Fill=—","Direction=H","UseDPDF=Y")</f>
        <v>9301</v>
      </c>
      <c r="W7" s="13">
        <f>_xll.BDH("AMGN US Equity","CASH_AND_MARKETABLE_SECURITIES","FQ3 2024","FQ3 2024","Currency=USD","Period=FQ","BEST_FPERIOD_OVERRIDE=FQ","FILING_STATUS=MR","SCALING_FORMAT=MLN","Sort=A","Dates=H","DateFormat=P","Fill=—","Direction=H","UseDPDF=Y")</f>
        <v>9011</v>
      </c>
      <c r="X7" s="13">
        <f>_xll.BDH("AMGN US Equity","CASH_AND_MARKETABLE_SECURITIES","FQ4 2024","FQ4 2024","Currency=USD","Period=FQ","BEST_FPERIOD_OVERRIDE=FQ","FILING_STATUS=MR","SCALING_FORMAT=MLN","Sort=A","Dates=H","DateFormat=P","Fill=—","Direction=H","UseDPDF=Y")</f>
        <v>11973</v>
      </c>
      <c r="Y7" s="16">
        <v>11973</v>
      </c>
      <c r="Z7" s="13"/>
      <c r="AA7" s="13"/>
    </row>
    <row r="8" spans="1:27" x14ac:dyDescent="0.25">
      <c r="A8" s="10" t="s">
        <v>167</v>
      </c>
      <c r="B8" s="10" t="s">
        <v>168</v>
      </c>
      <c r="C8" s="13">
        <f>_xll.BDH("AMGN US Equity","PFD_EQTY_HYBRID_CAPITAL","FQ3 2019","FQ3 2019","Currency=USD","Period=FQ","BEST_FPERIOD_OVERRIDE=FQ","FILING_STATUS=MR","SCALING_FORMAT=MLN","Sort=A","Dates=H","DateFormat=P","Fill=—","Direction=H","UseDPDF=Y")</f>
        <v>0</v>
      </c>
      <c r="D8" s="13">
        <f>_xll.BDH("AMGN US Equity","PFD_EQTY_HYBRID_CAPITAL","FQ4 2019","FQ4 2019","Currency=USD","Period=FQ","BEST_FPERIOD_OVERRIDE=FQ","FILING_STATUS=MR","SCALING_FORMAT=MLN","Sort=A","Dates=H","DateFormat=P","Fill=—","Direction=H","UseDPDF=Y")</f>
        <v>0</v>
      </c>
      <c r="E8" s="13">
        <f>_xll.BDH("AMGN US Equity","PFD_EQTY_HYBRID_CAPITAL","FQ1 2020","FQ1 2020","Currency=USD","Period=FQ","BEST_FPERIOD_OVERRIDE=FQ","FILING_STATUS=MR","SCALING_FORMAT=MLN","Sort=A","Dates=H","DateFormat=P","Fill=—","Direction=H","UseDPDF=Y")</f>
        <v>0</v>
      </c>
      <c r="F8" s="13">
        <f>_xll.BDH("AMGN US Equity","PFD_EQTY_HYBRID_CAPITAL","FQ2 2020","FQ2 2020","Currency=USD","Period=FQ","BEST_FPERIOD_OVERRIDE=FQ","FILING_STATUS=MR","SCALING_FORMAT=MLN","Sort=A","Dates=H","DateFormat=P","Fill=—","Direction=H","UseDPDF=Y")</f>
        <v>0</v>
      </c>
      <c r="G8" s="13">
        <f>_xll.BDH("AMGN US Equity","PFD_EQTY_HYBRID_CAPITAL","FQ3 2020","FQ3 2020","Currency=USD","Period=FQ","BEST_FPERIOD_OVERRIDE=FQ","FILING_STATUS=MR","SCALING_FORMAT=MLN","Sort=A","Dates=H","DateFormat=P","Fill=—","Direction=H","UseDPDF=Y")</f>
        <v>0</v>
      </c>
      <c r="H8" s="13">
        <f>_xll.BDH("AMGN US Equity","PFD_EQTY_HYBRID_CAPITAL","FQ4 2020","FQ4 2020","Currency=USD","Period=FQ","BEST_FPERIOD_OVERRIDE=FQ","FILING_STATUS=MR","SCALING_FORMAT=MLN","Sort=A","Dates=H","DateFormat=P","Fill=—","Direction=H","UseDPDF=Y")</f>
        <v>0</v>
      </c>
      <c r="I8" s="13">
        <f>_xll.BDH("AMGN US Equity","PFD_EQTY_HYBRID_CAPITAL","FQ1 2021","FQ1 2021","Currency=USD","Period=FQ","BEST_FPERIOD_OVERRIDE=FQ","FILING_STATUS=MR","SCALING_FORMAT=MLN","Sort=A","Dates=H","DateFormat=P","Fill=—","Direction=H","UseDPDF=Y")</f>
        <v>0</v>
      </c>
      <c r="J8" s="13">
        <f>_xll.BDH("AMGN US Equity","PFD_EQTY_HYBRID_CAPITAL","FQ2 2021","FQ2 2021","Currency=USD","Period=FQ","BEST_FPERIOD_OVERRIDE=FQ","FILING_STATUS=MR","SCALING_FORMAT=MLN","Sort=A","Dates=H","DateFormat=P","Fill=—","Direction=H","UseDPDF=Y")</f>
        <v>0</v>
      </c>
      <c r="K8" s="13">
        <f>_xll.BDH("AMGN US Equity","PFD_EQTY_HYBRID_CAPITAL","FQ3 2021","FQ3 2021","Currency=USD","Period=FQ","BEST_FPERIOD_OVERRIDE=FQ","FILING_STATUS=MR","SCALING_FORMAT=MLN","Sort=A","Dates=H","DateFormat=P","Fill=—","Direction=H","UseDPDF=Y")</f>
        <v>0</v>
      </c>
      <c r="L8" s="13">
        <f>_xll.BDH("AMGN US Equity","PFD_EQTY_HYBRID_CAPITAL","FQ4 2021","FQ4 2021","Currency=USD","Period=FQ","BEST_FPERIOD_OVERRIDE=FQ","FILING_STATUS=MR","SCALING_FORMAT=MLN","Sort=A","Dates=H","DateFormat=P","Fill=—","Direction=H","UseDPDF=Y")</f>
        <v>0</v>
      </c>
      <c r="M8" s="13">
        <f>_xll.BDH("AMGN US Equity","PFD_EQTY_HYBRID_CAPITAL","FQ1 2022","FQ1 2022","Currency=USD","Period=FQ","BEST_FPERIOD_OVERRIDE=FQ","FILING_STATUS=MR","SCALING_FORMAT=MLN","Sort=A","Dates=H","DateFormat=P","Fill=—","Direction=H","UseDPDF=Y")</f>
        <v>0</v>
      </c>
      <c r="N8" s="13">
        <f>_xll.BDH("AMGN US Equity","PFD_EQTY_HYBRID_CAPITAL","FQ2 2022","FQ2 2022","Currency=USD","Period=FQ","BEST_FPERIOD_OVERRIDE=FQ","FILING_STATUS=MR","SCALING_FORMAT=MLN","Sort=A","Dates=H","DateFormat=P","Fill=—","Direction=H","UseDPDF=Y")</f>
        <v>0</v>
      </c>
      <c r="O8" s="13">
        <f>_xll.BDH("AMGN US Equity","PFD_EQTY_HYBRID_CAPITAL","FQ3 2022","FQ3 2022","Currency=USD","Period=FQ","BEST_FPERIOD_OVERRIDE=FQ","FILING_STATUS=MR","SCALING_FORMAT=MLN","Sort=A","Dates=H","DateFormat=P","Fill=—","Direction=H","UseDPDF=Y")</f>
        <v>0</v>
      </c>
      <c r="P8" s="13">
        <f>_xll.BDH("AMGN US Equity","PFD_EQTY_HYBRID_CAPITAL","FQ4 2022","FQ4 2022","Currency=USD","Period=FQ","BEST_FPERIOD_OVERRIDE=FQ","FILING_STATUS=MR","SCALING_FORMAT=MLN","Sort=A","Dates=H","DateFormat=P","Fill=—","Direction=H","UseDPDF=Y")</f>
        <v>0</v>
      </c>
      <c r="Q8" s="13">
        <f>_xll.BDH("AMGN US Equity","PFD_EQTY_HYBRID_CAPITAL","FQ1 2023","FQ1 2023","Currency=USD","Period=FQ","BEST_FPERIOD_OVERRIDE=FQ","FILING_STATUS=MR","SCALING_FORMAT=MLN","Sort=A","Dates=H","DateFormat=P","Fill=—","Direction=H","UseDPDF=Y")</f>
        <v>0</v>
      </c>
      <c r="R8" s="13">
        <f>_xll.BDH("AMGN US Equity","PFD_EQTY_HYBRID_CAPITAL","FQ2 2023","FQ2 2023","Currency=USD","Period=FQ","BEST_FPERIOD_OVERRIDE=FQ","FILING_STATUS=MR","SCALING_FORMAT=MLN","Sort=A","Dates=H","DateFormat=P","Fill=—","Direction=H","UseDPDF=Y")</f>
        <v>0</v>
      </c>
      <c r="S8" s="13">
        <f>_xll.BDH("AMGN US Equity","PFD_EQTY_HYBRID_CAPITAL","FQ3 2023","FQ3 2023","Currency=USD","Period=FQ","BEST_FPERIOD_OVERRIDE=FQ","FILING_STATUS=MR","SCALING_FORMAT=MLN","Sort=A","Dates=H","DateFormat=P","Fill=—","Direction=H","UseDPDF=Y")</f>
        <v>0</v>
      </c>
      <c r="T8" s="13">
        <f>_xll.BDH("AMGN US Equity","PFD_EQTY_HYBRID_CAPITAL","FQ4 2023","FQ4 2023","Currency=USD","Period=FQ","BEST_FPERIOD_OVERRIDE=FQ","FILING_STATUS=MR","SCALING_FORMAT=MLN","Sort=A","Dates=H","DateFormat=P","Fill=—","Direction=H","UseDPDF=Y")</f>
        <v>0</v>
      </c>
      <c r="U8" s="13">
        <f>_xll.BDH("AMGN US Equity","PFD_EQTY_HYBRID_CAPITAL","FQ1 2024","FQ1 2024","Currency=USD","Period=FQ","BEST_FPERIOD_OVERRIDE=FQ","FILING_STATUS=MR","SCALING_FORMAT=MLN","Sort=A","Dates=H","DateFormat=P","Fill=—","Direction=H","UseDPDF=Y")</f>
        <v>0</v>
      </c>
      <c r="V8" s="13">
        <f>_xll.BDH("AMGN US Equity","PFD_EQTY_HYBRID_CAPITAL","FQ2 2024","FQ2 2024","Currency=USD","Period=FQ","BEST_FPERIOD_OVERRIDE=FQ","FILING_STATUS=MR","SCALING_FORMAT=MLN","Sort=A","Dates=H","DateFormat=P","Fill=—","Direction=H","UseDPDF=Y")</f>
        <v>0</v>
      </c>
      <c r="W8" s="13">
        <f>_xll.BDH("AMGN US Equity","PFD_EQTY_HYBRID_CAPITAL","FQ3 2024","FQ3 2024","Currency=USD","Period=FQ","BEST_FPERIOD_OVERRIDE=FQ","FILING_STATUS=MR","SCALING_FORMAT=MLN","Sort=A","Dates=H","DateFormat=P","Fill=—","Direction=H","UseDPDF=Y")</f>
        <v>0</v>
      </c>
      <c r="X8" s="13">
        <f>_xll.BDH("AMGN US Equity","PFD_EQTY_HYBRID_CAPITAL","FQ4 2024","FQ4 2024","Currency=USD","Period=FQ","BEST_FPERIOD_OVERRIDE=FQ","FILING_STATUS=MR","SCALING_FORMAT=MLN","Sort=A","Dates=H","DateFormat=P","Fill=—","Direction=H","UseDPDF=Y")</f>
        <v>0</v>
      </c>
      <c r="Y8" s="16">
        <v>0</v>
      </c>
      <c r="Z8" s="13"/>
      <c r="AA8" s="13"/>
    </row>
    <row r="9" spans="1:27" x14ac:dyDescent="0.25">
      <c r="A9" s="10" t="s">
        <v>169</v>
      </c>
      <c r="B9" s="10" t="s">
        <v>170</v>
      </c>
      <c r="C9" s="13">
        <f>_xll.BDH("AMGN US Equity","MINORITY_NONCONTROLLING_INTEREST","FQ3 2019","FQ3 2019","Currency=USD","Period=FQ","BEST_FPERIOD_OVERRIDE=FQ","FILING_STATUS=MR","SCALING_FORMAT=MLN","Sort=A","Dates=H","DateFormat=P","Fill=—","Direction=H","UseDPDF=Y")</f>
        <v>0</v>
      </c>
      <c r="D9" s="13">
        <f>_xll.BDH("AMGN US Equity","MINORITY_NONCONTROLLING_INTEREST","FQ4 2019","FQ4 2019","Currency=USD","Period=FQ","BEST_FPERIOD_OVERRIDE=FQ","FILING_STATUS=MR","SCALING_FORMAT=MLN","Sort=A","Dates=H","DateFormat=P","Fill=—","Direction=H","UseDPDF=Y")</f>
        <v>0</v>
      </c>
      <c r="E9" s="13">
        <f>_xll.BDH("AMGN US Equity","MINORITY_NONCONTROLLING_INTEREST","FQ1 2020","FQ1 2020","Currency=USD","Period=FQ","BEST_FPERIOD_OVERRIDE=FQ","FILING_STATUS=MR","SCALING_FORMAT=MLN","Sort=A","Dates=H","DateFormat=P","Fill=—","Direction=H","UseDPDF=Y")</f>
        <v>0</v>
      </c>
      <c r="F9" s="13">
        <f>_xll.BDH("AMGN US Equity","MINORITY_NONCONTROLLING_INTEREST","FQ2 2020","FQ2 2020","Currency=USD","Period=FQ","BEST_FPERIOD_OVERRIDE=FQ","FILING_STATUS=MR","SCALING_FORMAT=MLN","Sort=A","Dates=H","DateFormat=P","Fill=—","Direction=H","UseDPDF=Y")</f>
        <v>0</v>
      </c>
      <c r="G9" s="13">
        <f>_xll.BDH("AMGN US Equity","MINORITY_NONCONTROLLING_INTEREST","FQ3 2020","FQ3 2020","Currency=USD","Period=FQ","BEST_FPERIOD_OVERRIDE=FQ","FILING_STATUS=MR","SCALING_FORMAT=MLN","Sort=A","Dates=H","DateFormat=P","Fill=—","Direction=H","UseDPDF=Y")</f>
        <v>0</v>
      </c>
      <c r="H9" s="13">
        <f>_xll.BDH("AMGN US Equity","MINORITY_NONCONTROLLING_INTEREST","FQ4 2020","FQ4 2020","Currency=USD","Period=FQ","BEST_FPERIOD_OVERRIDE=FQ","FILING_STATUS=MR","SCALING_FORMAT=MLN","Sort=A","Dates=H","DateFormat=P","Fill=—","Direction=H","UseDPDF=Y")</f>
        <v>0</v>
      </c>
      <c r="I9" s="13">
        <f>_xll.BDH("AMGN US Equity","MINORITY_NONCONTROLLING_INTEREST","FQ1 2021","FQ1 2021","Currency=USD","Period=FQ","BEST_FPERIOD_OVERRIDE=FQ","FILING_STATUS=MR","SCALING_FORMAT=MLN","Sort=A","Dates=H","DateFormat=P","Fill=—","Direction=H","UseDPDF=Y")</f>
        <v>0</v>
      </c>
      <c r="J9" s="13">
        <f>_xll.BDH("AMGN US Equity","MINORITY_NONCONTROLLING_INTEREST","FQ2 2021","FQ2 2021","Currency=USD","Period=FQ","BEST_FPERIOD_OVERRIDE=FQ","FILING_STATUS=MR","SCALING_FORMAT=MLN","Sort=A","Dates=H","DateFormat=P","Fill=—","Direction=H","UseDPDF=Y")</f>
        <v>0</v>
      </c>
      <c r="K9" s="13">
        <f>_xll.BDH("AMGN US Equity","MINORITY_NONCONTROLLING_INTEREST","FQ3 2021","FQ3 2021","Currency=USD","Period=FQ","BEST_FPERIOD_OVERRIDE=FQ","FILING_STATUS=MR","SCALING_FORMAT=MLN","Sort=A","Dates=H","DateFormat=P","Fill=—","Direction=H","UseDPDF=Y")</f>
        <v>0</v>
      </c>
      <c r="L9" s="13">
        <f>_xll.BDH("AMGN US Equity","MINORITY_NONCONTROLLING_INTEREST","FQ4 2021","FQ4 2021","Currency=USD","Period=FQ","BEST_FPERIOD_OVERRIDE=FQ","FILING_STATUS=MR","SCALING_FORMAT=MLN","Sort=A","Dates=H","DateFormat=P","Fill=—","Direction=H","UseDPDF=Y")</f>
        <v>0</v>
      </c>
      <c r="M9" s="13">
        <f>_xll.BDH("AMGN US Equity","MINORITY_NONCONTROLLING_INTEREST","FQ1 2022","FQ1 2022","Currency=USD","Period=FQ","BEST_FPERIOD_OVERRIDE=FQ","FILING_STATUS=MR","SCALING_FORMAT=MLN","Sort=A","Dates=H","DateFormat=P","Fill=—","Direction=H","UseDPDF=Y")</f>
        <v>0</v>
      </c>
      <c r="N9" s="13">
        <f>_xll.BDH("AMGN US Equity","MINORITY_NONCONTROLLING_INTEREST","FQ2 2022","FQ2 2022","Currency=USD","Period=FQ","BEST_FPERIOD_OVERRIDE=FQ","FILING_STATUS=MR","SCALING_FORMAT=MLN","Sort=A","Dates=H","DateFormat=P","Fill=—","Direction=H","UseDPDF=Y")</f>
        <v>0</v>
      </c>
      <c r="O9" s="13">
        <f>_xll.BDH("AMGN US Equity","MINORITY_NONCONTROLLING_INTEREST","FQ3 2022","FQ3 2022","Currency=USD","Period=FQ","BEST_FPERIOD_OVERRIDE=FQ","FILING_STATUS=MR","SCALING_FORMAT=MLN","Sort=A","Dates=H","DateFormat=P","Fill=—","Direction=H","UseDPDF=Y")</f>
        <v>0</v>
      </c>
      <c r="P9" s="13">
        <f>_xll.BDH("AMGN US Equity","MINORITY_NONCONTROLLING_INTEREST","FQ4 2022","FQ4 2022","Currency=USD","Period=FQ","BEST_FPERIOD_OVERRIDE=FQ","FILING_STATUS=MR","SCALING_FORMAT=MLN","Sort=A","Dates=H","DateFormat=P","Fill=—","Direction=H","UseDPDF=Y")</f>
        <v>0</v>
      </c>
      <c r="Q9" s="13">
        <f>_xll.BDH("AMGN US Equity","MINORITY_NONCONTROLLING_INTEREST","FQ1 2023","FQ1 2023","Currency=USD","Period=FQ","BEST_FPERIOD_OVERRIDE=FQ","FILING_STATUS=MR","SCALING_FORMAT=MLN","Sort=A","Dates=H","DateFormat=P","Fill=—","Direction=H","UseDPDF=Y")</f>
        <v>0</v>
      </c>
      <c r="R9" s="13">
        <f>_xll.BDH("AMGN US Equity","MINORITY_NONCONTROLLING_INTEREST","FQ2 2023","FQ2 2023","Currency=USD","Period=FQ","BEST_FPERIOD_OVERRIDE=FQ","FILING_STATUS=MR","SCALING_FORMAT=MLN","Sort=A","Dates=H","DateFormat=P","Fill=—","Direction=H","UseDPDF=Y")</f>
        <v>0</v>
      </c>
      <c r="S9" s="13">
        <f>_xll.BDH("AMGN US Equity","MINORITY_NONCONTROLLING_INTEREST","FQ3 2023","FQ3 2023","Currency=USD","Period=FQ","BEST_FPERIOD_OVERRIDE=FQ","FILING_STATUS=MR","SCALING_FORMAT=MLN","Sort=A","Dates=H","DateFormat=P","Fill=—","Direction=H","UseDPDF=Y")</f>
        <v>0</v>
      </c>
      <c r="T9" s="13">
        <f>_xll.BDH("AMGN US Equity","MINORITY_NONCONTROLLING_INTEREST","FQ4 2023","FQ4 2023","Currency=USD","Period=FQ","BEST_FPERIOD_OVERRIDE=FQ","FILING_STATUS=MR","SCALING_FORMAT=MLN","Sort=A","Dates=H","DateFormat=P","Fill=—","Direction=H","UseDPDF=Y")</f>
        <v>0</v>
      </c>
      <c r="U9" s="13">
        <f>_xll.BDH("AMGN US Equity","MINORITY_NONCONTROLLING_INTEREST","FQ1 2024","FQ1 2024","Currency=USD","Period=FQ","BEST_FPERIOD_OVERRIDE=FQ","FILING_STATUS=MR","SCALING_FORMAT=MLN","Sort=A","Dates=H","DateFormat=P","Fill=—","Direction=H","UseDPDF=Y")</f>
        <v>0</v>
      </c>
      <c r="V9" s="13">
        <f>_xll.BDH("AMGN US Equity","MINORITY_NONCONTROLLING_INTEREST","FQ2 2024","FQ2 2024","Currency=USD","Period=FQ","BEST_FPERIOD_OVERRIDE=FQ","FILING_STATUS=MR","SCALING_FORMAT=MLN","Sort=A","Dates=H","DateFormat=P","Fill=—","Direction=H","UseDPDF=Y")</f>
        <v>0</v>
      </c>
      <c r="W9" s="13">
        <f>_xll.BDH("AMGN US Equity","MINORITY_NONCONTROLLING_INTEREST","FQ3 2024","FQ3 2024","Currency=USD","Period=FQ","BEST_FPERIOD_OVERRIDE=FQ","FILING_STATUS=MR","SCALING_FORMAT=MLN","Sort=A","Dates=H","DateFormat=P","Fill=—","Direction=H","UseDPDF=Y")</f>
        <v>0</v>
      </c>
      <c r="X9" s="13">
        <f>_xll.BDH("AMGN US Equity","MINORITY_NONCONTROLLING_INTEREST","FQ4 2024","FQ4 2024","Currency=USD","Period=FQ","BEST_FPERIOD_OVERRIDE=FQ","FILING_STATUS=MR","SCALING_FORMAT=MLN","Sort=A","Dates=H","DateFormat=P","Fill=—","Direction=H","UseDPDF=Y")</f>
        <v>0</v>
      </c>
      <c r="Y9" s="16">
        <v>0</v>
      </c>
      <c r="Z9" s="13"/>
      <c r="AA9" s="13"/>
    </row>
    <row r="10" spans="1:27" x14ac:dyDescent="0.25">
      <c r="A10" s="10" t="s">
        <v>171</v>
      </c>
      <c r="B10" s="10" t="s">
        <v>67</v>
      </c>
      <c r="C10" s="13">
        <f>_xll.BDH("AMGN US Equity","SHORT_AND_LONG_TERM_DEBT","FQ3 2019","FQ3 2019","Currency=USD","Period=FQ","BEST_FPERIOD_OVERRIDE=FQ","FILING_STATUS=MR","SCALING_FORMAT=MLN","Sort=A","Dates=H","DateFormat=P","Fill=—","Direction=H","UseDPDF=Y")</f>
        <v>30277</v>
      </c>
      <c r="D10" s="13">
        <f>_xll.BDH("AMGN US Equity","SHORT_AND_LONG_TERM_DEBT","FQ4 2019","FQ4 2019","Currency=USD","Period=FQ","BEST_FPERIOD_OVERRIDE=FQ","FILING_STATUS=MR","SCALING_FORMAT=MLN","Sort=A","Dates=H","DateFormat=P","Fill=—","Direction=H","UseDPDF=Y")</f>
        <v>30431</v>
      </c>
      <c r="E10" s="13">
        <f>_xll.BDH("AMGN US Equity","SHORT_AND_LONG_TERM_DEBT","FQ1 2020","FQ1 2020","Currency=USD","Period=FQ","BEST_FPERIOD_OVERRIDE=FQ","FILING_STATUS=MR","SCALING_FORMAT=MLN","Sort=A","Dates=H","DateFormat=P","Fill=—","Direction=H","UseDPDF=Y")</f>
        <v>31848</v>
      </c>
      <c r="F10" s="13">
        <f>_xll.BDH("AMGN US Equity","SHORT_AND_LONG_TERM_DEBT","FQ2 2020","FQ2 2020","Currency=USD","Period=FQ","BEST_FPERIOD_OVERRIDE=FQ","FILING_STATUS=MR","SCALING_FORMAT=MLN","Sort=A","Dates=H","DateFormat=P","Fill=—","Direction=H","UseDPDF=Y")</f>
        <v>34224</v>
      </c>
      <c r="G10" s="13">
        <f>_xll.BDH("AMGN US Equity","SHORT_AND_LONG_TERM_DEBT","FQ3 2020","FQ3 2020","Currency=USD","Period=FQ","BEST_FPERIOD_OVERRIDE=FQ","FILING_STATUS=MR","SCALING_FORMAT=MLN","Sort=A","Dates=H","DateFormat=P","Fill=—","Direction=H","UseDPDF=Y")</f>
        <v>34287</v>
      </c>
      <c r="H10" s="13">
        <f>_xll.BDH("AMGN US Equity","SHORT_AND_LONG_TERM_DEBT","FQ4 2020","FQ4 2020","Currency=USD","Period=FQ","BEST_FPERIOD_OVERRIDE=FQ","FILING_STATUS=MR","SCALING_FORMAT=MLN","Sort=A","Dates=H","DateFormat=P","Fill=—","Direction=H","UseDPDF=Y")</f>
        <v>33445</v>
      </c>
      <c r="I10" s="13">
        <f>_xll.BDH("AMGN US Equity","SHORT_AND_LONG_TERM_DEBT","FQ1 2021","FQ1 2021","Currency=USD","Period=FQ","BEST_FPERIOD_OVERRIDE=FQ","FILING_STATUS=MR","SCALING_FORMAT=MLN","Sort=A","Dates=H","DateFormat=P","Fill=—","Direction=H","UseDPDF=Y")</f>
        <v>32685</v>
      </c>
      <c r="J10" s="13">
        <f>_xll.BDH("AMGN US Equity","SHORT_AND_LONG_TERM_DEBT","FQ2 2021","FQ2 2021","Currency=USD","Period=FQ","BEST_FPERIOD_OVERRIDE=FQ","FILING_STATUS=MR","SCALING_FORMAT=MLN","Sort=A","Dates=H","DateFormat=P","Fill=—","Direction=H","UseDPDF=Y")</f>
        <v>32782</v>
      </c>
      <c r="K10" s="13">
        <f>_xll.BDH("AMGN US Equity","SHORT_AND_LONG_TERM_DEBT","FQ3 2021","FQ3 2021","Currency=USD","Period=FQ","BEST_FPERIOD_OVERRIDE=FQ","FILING_STATUS=MR","SCALING_FORMAT=MLN","Sort=A","Dates=H","DateFormat=P","Fill=—","Direction=H","UseDPDF=Y")</f>
        <v>37579</v>
      </c>
      <c r="L10" s="13">
        <f>_xll.BDH("AMGN US Equity","SHORT_AND_LONG_TERM_DEBT","FQ4 2021","FQ4 2021","Currency=USD","Period=FQ","BEST_FPERIOD_OVERRIDE=FQ","FILING_STATUS=MR","SCALING_FORMAT=MLN","Sort=A","Dates=H","DateFormat=P","Fill=—","Direction=H","UseDPDF=Y")</f>
        <v>33979</v>
      </c>
      <c r="M10" s="13">
        <f>_xll.BDH("AMGN US Equity","SHORT_AND_LONG_TERM_DEBT","FQ1 2022","FQ1 2022","Currency=USD","Period=FQ","BEST_FPERIOD_OVERRIDE=FQ","FILING_STATUS=MR","SCALING_FORMAT=MLN","Sort=A","Dates=H","DateFormat=P","Fill=—","Direction=H","UseDPDF=Y")</f>
        <v>36854</v>
      </c>
      <c r="N10" s="13">
        <f>_xll.BDH("AMGN US Equity","SHORT_AND_LONG_TERM_DEBT","FQ2 2022","FQ2 2022","Currency=USD","Period=FQ","BEST_FPERIOD_OVERRIDE=FQ","FILING_STATUS=MR","SCALING_FORMAT=MLN","Sort=A","Dates=H","DateFormat=P","Fill=—","Direction=H","UseDPDF=Y")</f>
        <v>36522</v>
      </c>
      <c r="O10" s="13">
        <f>_xll.BDH("AMGN US Equity","SHORT_AND_LONG_TERM_DEBT","FQ3 2022","FQ3 2022","Currency=USD","Period=FQ","BEST_FPERIOD_OVERRIDE=FQ","FILING_STATUS=MR","SCALING_FORMAT=MLN","Sort=A","Dates=H","DateFormat=P","Fill=—","Direction=H","UseDPDF=Y")</f>
        <v>38704</v>
      </c>
      <c r="P10" s="13">
        <f>_xll.BDH("AMGN US Equity","SHORT_AND_LONG_TERM_DEBT","FQ4 2022","FQ4 2022","Currency=USD","Period=FQ","BEST_FPERIOD_OVERRIDE=FQ","FILING_STATUS=MR","SCALING_FORMAT=MLN","Sort=A","Dates=H","DateFormat=P","Fill=—","Direction=H","UseDPDF=Y")</f>
        <v>39640</v>
      </c>
      <c r="Q10" s="13">
        <f>_xll.BDH("AMGN US Equity","SHORT_AND_LONG_TERM_DEBT","FQ1 2023","FQ1 2023","Currency=USD","Period=FQ","BEST_FPERIOD_OVERRIDE=FQ","FILING_STATUS=MR","SCALING_FORMAT=MLN","Sort=A","Dates=H","DateFormat=P","Fill=—","Direction=H","UseDPDF=Y")</f>
        <v>61595</v>
      </c>
      <c r="R10" s="13">
        <f>_xll.BDH("AMGN US Equity","SHORT_AND_LONG_TERM_DEBT","FQ2 2023","FQ2 2023","Currency=USD","Period=FQ","BEST_FPERIOD_OVERRIDE=FQ","FILING_STATUS=MR","SCALING_FORMAT=MLN","Sort=A","Dates=H","DateFormat=P","Fill=—","Direction=H","UseDPDF=Y")</f>
        <v>61544</v>
      </c>
      <c r="S10" s="13">
        <f>_xll.BDH("AMGN US Equity","SHORT_AND_LONG_TERM_DEBT","FQ3 2023","FQ3 2023","Currency=USD","Period=FQ","BEST_FPERIOD_OVERRIDE=FQ","FILING_STATUS=MR","SCALING_FORMAT=MLN","Sort=A","Dates=H","DateFormat=P","Fill=—","Direction=H","UseDPDF=Y")</f>
        <v>60468</v>
      </c>
      <c r="T10" s="13">
        <f>_xll.BDH("AMGN US Equity","SHORT_AND_LONG_TERM_DEBT","FQ4 2023","FQ4 2023","Currency=USD","Period=FQ","BEST_FPERIOD_OVERRIDE=FQ","FILING_STATUS=MR","SCALING_FORMAT=MLN","Sort=A","Dates=H","DateFormat=P","Fill=—","Direction=H","UseDPDF=Y")</f>
        <v>65423</v>
      </c>
      <c r="U10" s="13">
        <f>_xll.BDH("AMGN US Equity","SHORT_AND_LONG_TERM_DEBT","FQ1 2024","FQ1 2024","Currency=USD","Period=FQ","BEST_FPERIOD_OVERRIDE=FQ","FILING_STATUS=MR","SCALING_FORMAT=MLN","Sort=A","Dates=H","DateFormat=P","Fill=—","Direction=H","UseDPDF=Y")</f>
        <v>64020</v>
      </c>
      <c r="V10" s="13">
        <f>_xll.BDH("AMGN US Equity","SHORT_AND_LONG_TERM_DEBT","FQ2 2024","FQ2 2024","Currency=USD","Period=FQ","BEST_FPERIOD_OVERRIDE=FQ","FILING_STATUS=MR","SCALING_FORMAT=MLN","Sort=A","Dates=H","DateFormat=P","Fill=—","Direction=H","UseDPDF=Y")</f>
        <v>62645</v>
      </c>
      <c r="W10" s="13">
        <f>_xll.BDH("AMGN US Equity","SHORT_AND_LONG_TERM_DEBT","FQ3 2024","FQ3 2024","Currency=USD","Period=FQ","BEST_FPERIOD_OVERRIDE=FQ","FILING_STATUS=MR","SCALING_FORMAT=MLN","Sort=A","Dates=H","DateFormat=P","Fill=—","Direction=H","UseDPDF=Y")</f>
        <v>60398</v>
      </c>
      <c r="X10" s="13">
        <f>_xll.BDH("AMGN US Equity","SHORT_AND_LONG_TERM_DEBT","FQ4 2024","FQ4 2024","Currency=USD","Period=FQ","BEST_FPERIOD_OVERRIDE=FQ","FILING_STATUS=MR","SCALING_FORMAT=MLN","Sort=A","Dates=H","DateFormat=P","Fill=—","Direction=H","UseDPDF=Y")</f>
        <v>60879</v>
      </c>
      <c r="Y10" s="16">
        <v>60879</v>
      </c>
      <c r="Z10" s="13"/>
      <c r="AA10" s="13"/>
    </row>
    <row r="11" spans="1:27" x14ac:dyDescent="0.25">
      <c r="A11" s="6" t="s">
        <v>68</v>
      </c>
      <c r="B11" s="6" t="s">
        <v>69</v>
      </c>
      <c r="C11" s="19">
        <f>_xll.BDH("AMGN US Equity","ENTERPRISE_VALUE","FQ3 2019","FQ3 2019","Currency=USD","Period=FQ","BEST_FPERIOD_OVERRIDE=FQ","FILING_STATUS=MR","SCALING_FORMAT=MLN","Sort=A","Dates=H","DateFormat=P","Fill=—","Direction=H","UseDPDF=Y")</f>
        <v>124794.662</v>
      </c>
      <c r="D11" s="19">
        <f>_xll.BDH("AMGN US Equity","ENTERPRISE_VALUE","FQ4 2019","FQ4 2019","Currency=USD","Period=FQ","BEST_FPERIOD_OVERRIDE=FQ","FILING_STATUS=MR","SCALING_FORMAT=MLN","Sort=A","Dates=H","DateFormat=P","Fill=—","Direction=H","UseDPDF=Y")</f>
        <v>164088.79800000001</v>
      </c>
      <c r="E11" s="19">
        <f>_xll.BDH("AMGN US Equity","ENTERPRISE_VALUE","FQ1 2020","FQ1 2020","Currency=USD","Period=FQ","BEST_FPERIOD_OVERRIDE=FQ","FILING_STATUS=MR","SCALING_FORMAT=MLN","Sort=A","Dates=H","DateFormat=P","Fill=—","Direction=H","UseDPDF=Y")</f>
        <v>143041.24</v>
      </c>
      <c r="F11" s="19">
        <f>_xll.BDH("AMGN US Equity","ENTERPRISE_VALUE","FQ2 2020","FQ2 2020","Currency=USD","Period=FQ","BEST_FPERIOD_OVERRIDE=FQ","FILING_STATUS=MR","SCALING_FORMAT=MLN","Sort=A","Dates=H","DateFormat=P","Fill=—","Direction=H","UseDPDF=Y")</f>
        <v>161111.304</v>
      </c>
      <c r="G11" s="19">
        <f>_xll.BDH("AMGN US Equity","ENTERPRISE_VALUE","FQ3 2020","FQ3 2020","Currency=USD","Period=FQ","BEST_FPERIOD_OVERRIDE=FQ","FILING_STATUS=MR","SCALING_FORMAT=MLN","Sort=A","Dates=H","DateFormat=P","Fill=—","Direction=H","UseDPDF=Y")</f>
        <v>170229.36</v>
      </c>
      <c r="H11" s="19">
        <f>_xll.BDH("AMGN US Equity","ENTERPRISE_VALUE","FQ4 2020","FQ4 2020","Currency=USD","Period=FQ","BEST_FPERIOD_OVERRIDE=FQ","FILING_STATUS=MR","SCALING_FORMAT=MLN","Sort=A","Dates=H","DateFormat=P","Fill=—","Direction=H","UseDPDF=Y")</f>
        <v>155760.736</v>
      </c>
      <c r="I11" s="19">
        <f>_xll.BDH("AMGN US Equity","ENTERPRISE_VALUE","FQ1 2021","FQ1 2021","Currency=USD","Period=FQ","BEST_FPERIOD_OVERRIDE=FQ","FILING_STATUS=MR","SCALING_FORMAT=MLN","Sort=A","Dates=H","DateFormat=P","Fill=—","Direction=H","UseDPDF=Y")</f>
        <v>165259.39300000001</v>
      </c>
      <c r="J11" s="19">
        <f>_xll.BDH("AMGN US Equity","ENTERPRISE_VALUE","FQ2 2021","FQ2 2021","Currency=USD","Period=FQ","BEST_FPERIOD_OVERRIDE=FQ","FILING_STATUS=MR","SCALING_FORMAT=MLN","Sort=A","Dates=H","DateFormat=P","Fill=—","Direction=H","UseDPDF=Y")</f>
        <v>163540</v>
      </c>
      <c r="K11" s="19">
        <f>_xll.BDH("AMGN US Equity","ENTERPRISE_VALUE","FQ3 2021","FQ3 2021","Currency=USD","Period=FQ","BEST_FPERIOD_OVERRIDE=FQ","FILING_STATUS=MR","SCALING_FORMAT=MLN","Sort=A","Dates=H","DateFormat=P","Fill=—","Direction=H","UseDPDF=Y")</f>
        <v>144805.25</v>
      </c>
      <c r="L11" s="19">
        <f>_xll.BDH("AMGN US Equity","ENTERPRISE_VALUE","FQ4 2021","FQ4 2021","Currency=USD","Period=FQ","BEST_FPERIOD_OVERRIDE=FQ","FILING_STATUS=MR","SCALING_FORMAT=MLN","Sort=A","Dates=H","DateFormat=P","Fill=—","Direction=H","UseDPDF=Y")</f>
        <v>146075.98000000001</v>
      </c>
      <c r="M11" s="19">
        <f>_xll.BDH("AMGN US Equity","ENTERPRISE_VALUE","FQ1 2022","FQ1 2022","Currency=USD","Period=FQ","BEST_FPERIOD_OVERRIDE=FQ","FILING_STATUS=MR","SCALING_FORMAT=MLN","Sort=A","Dates=H","DateFormat=P","Fill=—","Direction=H","UseDPDF=Y")</f>
        <v>159490.24400000001</v>
      </c>
      <c r="N11" s="19">
        <f>_xll.BDH("AMGN US Equity","ENTERPRISE_VALUE","FQ2 2022","FQ2 2022","Currency=USD","Period=FQ","BEST_FPERIOD_OVERRIDE=FQ","FILING_STATUS=MR","SCALING_FORMAT=MLN","Sort=A","Dates=H","DateFormat=P","Fill=—","Direction=H","UseDPDF=Y")</f>
        <v>159480.17000000001</v>
      </c>
      <c r="O11" s="19">
        <f>_xll.BDH("AMGN US Equity","ENTERPRISE_VALUE","FQ3 2022","FQ3 2022","Currency=USD","Period=FQ","BEST_FPERIOD_OVERRIDE=FQ","FILING_STATUS=MR","SCALING_FORMAT=MLN","Sort=A","Dates=H","DateFormat=P","Fill=—","Direction=H","UseDPDF=Y")</f>
        <v>147476.9</v>
      </c>
      <c r="P11" s="19">
        <f>_xll.BDH("AMGN US Equity","ENTERPRISE_VALUE","FQ4 2022","FQ4 2022","Currency=USD","Period=FQ","BEST_FPERIOD_OVERRIDE=FQ","FILING_STATUS=MR","SCALING_FORMAT=MLN","Sort=A","Dates=H","DateFormat=P","Fill=—","Direction=H","UseDPDF=Y")</f>
        <v>170584.76</v>
      </c>
      <c r="Q11" s="19">
        <f>_xll.BDH("AMGN US Equity","ENTERPRISE_VALUE","FQ1 2023","FQ1 2023","Currency=USD","Period=FQ","BEST_FPERIOD_OVERRIDE=FQ","FILING_STATUS=MR","SCALING_FORMAT=MLN","Sort=A","Dates=H","DateFormat=P","Fill=—","Direction=H","UseDPDF=Y")</f>
        <v>159201.02499999999</v>
      </c>
      <c r="R11" s="19">
        <f>_xll.BDH("AMGN US Equity","ENTERPRISE_VALUE","FQ2 2023","FQ2 2023","Currency=USD","Period=FQ","BEST_FPERIOD_OVERRIDE=FQ","FILING_STATUS=MR","SCALING_FORMAT=MLN","Sort=A","Dates=H","DateFormat=P","Fill=—","Direction=H","UseDPDF=Y")</f>
        <v>146054.49799999999</v>
      </c>
      <c r="S11" s="19">
        <f>_xll.BDH("AMGN US Equity","ENTERPRISE_VALUE","FQ3 2023","FQ3 2023","Currency=USD","Period=FQ","BEST_FPERIOD_OVERRIDE=FQ","FILING_STATUS=MR","SCALING_FORMAT=MLN","Sort=A","Dates=H","DateFormat=P","Fill=—","Direction=H","UseDPDF=Y")</f>
        <v>169540.476</v>
      </c>
      <c r="T11" s="19">
        <f>_xll.BDH("AMGN US Equity","ENTERPRISE_VALUE","FQ4 2023","FQ4 2023","Currency=USD","Period=FQ","BEST_FPERIOD_OVERRIDE=FQ","FILING_STATUS=MR","SCALING_FORMAT=MLN","Sort=A","Dates=H","DateFormat=P","Fill=—","Direction=H","UseDPDF=Y")</f>
        <v>208684.908</v>
      </c>
      <c r="U11" s="19">
        <f>_xll.BDH("AMGN US Equity","ENTERPRISE_VALUE","FQ1 2024","FQ1 2024","Currency=USD","Period=FQ","BEST_FPERIOD_OVERRIDE=FQ","FILING_STATUS=MR","SCALING_FORMAT=MLN","Sort=A","Dates=H","DateFormat=P","Fill=—","Direction=H","UseDPDF=Y")</f>
        <v>206821.24799999999</v>
      </c>
      <c r="V11" s="19">
        <f>_xll.BDH("AMGN US Equity","ENTERPRISE_VALUE","FQ2 2024","FQ2 2024","Currency=USD","Period=FQ","BEST_FPERIOD_OVERRIDE=FQ","FILING_STATUS=MR","SCALING_FORMAT=MLN","Sort=A","Dates=H","DateFormat=P","Fill=—","Direction=H","UseDPDF=Y")</f>
        <v>221192.14</v>
      </c>
      <c r="W11" s="19">
        <f>_xll.BDH("AMGN US Equity","ENTERPRISE_VALUE","FQ3 2024","FQ3 2024","Currency=USD","Period=FQ","BEST_FPERIOD_OVERRIDE=FQ","FILING_STATUS=MR","SCALING_FORMAT=MLN","Sort=A","Dates=H","DateFormat=P","Fill=—","Direction=H","UseDPDF=Y")</f>
        <v>224574.875</v>
      </c>
      <c r="X11" s="19">
        <f>_xll.BDH("AMGN US Equity","ENTERPRISE_VALUE","FQ4 2024","FQ4 2024","Currency=USD","Period=FQ","BEST_FPERIOD_OVERRIDE=FQ","FILING_STATUS=MR","SCALING_FORMAT=MLN","Sort=A","Dates=H","DateFormat=P","Fill=—","Direction=H","UseDPDF=Y")</f>
        <v>188843.61600000001</v>
      </c>
      <c r="Y11" s="22">
        <v>214160.98456566001</v>
      </c>
      <c r="Z11" s="19"/>
      <c r="AA11" s="19"/>
    </row>
    <row r="12" spans="1:27" x14ac:dyDescent="0.25">
      <c r="A12" s="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21"/>
      <c r="Z12" s="18"/>
      <c r="AA12" s="18"/>
    </row>
    <row r="13" spans="1:27" x14ac:dyDescent="0.25">
      <c r="A13" s="6" t="s">
        <v>172</v>
      </c>
      <c r="B13" s="6" t="s">
        <v>173</v>
      </c>
      <c r="C13" s="19">
        <f>_xll.BDH("AMGN US Equity","BS_TOT_CAP","FQ3 2019","FQ3 2019","Currency=USD","Period=FQ","BEST_FPERIOD_OVERRIDE=FQ","FILING_STATUS=MR","SCALING_FORMAT=MLN","Sort=A","Dates=H","DateFormat=P","Fill=—","Direction=H","UseDPDF=Y")</f>
        <v>41204</v>
      </c>
      <c r="D13" s="19">
        <f>_xll.BDH("AMGN US Equity","BS_TOT_CAP","FQ4 2019","FQ4 2019","Currency=USD","Period=FQ","BEST_FPERIOD_OVERRIDE=FQ","FILING_STATUS=MR","SCALING_FORMAT=MLN","Sort=A","Dates=H","DateFormat=P","Fill=—","Direction=H","UseDPDF=Y")</f>
        <v>40104</v>
      </c>
      <c r="E13" s="19">
        <f>_xll.BDH("AMGN US Equity","BS_TOT_CAP","FQ1 2020","FQ1 2020","Currency=USD","Period=FQ","BEST_FPERIOD_OVERRIDE=FQ","FILING_STATUS=MR","SCALING_FORMAT=MLN","Sort=A","Dates=H","DateFormat=P","Fill=—","Direction=H","UseDPDF=Y")</f>
        <v>41333</v>
      </c>
      <c r="F13" s="19">
        <f>_xll.BDH("AMGN US Equity","BS_TOT_CAP","FQ2 2020","FQ2 2020","Currency=USD","Period=FQ","BEST_FPERIOD_OVERRIDE=FQ","FILING_STATUS=MR","SCALING_FORMAT=MLN","Sort=A","Dates=H","DateFormat=P","Fill=—","Direction=H","UseDPDF=Y")</f>
        <v>44883</v>
      </c>
      <c r="G13" s="19">
        <f>_xll.BDH("AMGN US Equity","BS_TOT_CAP","FQ3 2020","FQ3 2020","Currency=USD","Period=FQ","BEST_FPERIOD_OVERRIDE=FQ","FILING_STATUS=MR","SCALING_FORMAT=MLN","Sort=A","Dates=H","DateFormat=P","Fill=—","Direction=H","UseDPDF=Y")</f>
        <v>45246</v>
      </c>
      <c r="H13" s="19">
        <f>_xll.BDH("AMGN US Equity","BS_TOT_CAP","FQ4 2020","FQ4 2020","Currency=USD","Period=FQ","BEST_FPERIOD_OVERRIDE=FQ","FILING_STATUS=MR","SCALING_FORMAT=MLN","Sort=A","Dates=H","DateFormat=P","Fill=—","Direction=H","UseDPDF=Y")</f>
        <v>42854</v>
      </c>
      <c r="I13" s="19">
        <f>_xll.BDH("AMGN US Equity","BS_TOT_CAP","FQ1 2021","FQ1 2021","Currency=USD","Period=FQ","BEST_FPERIOD_OVERRIDE=FQ","FILING_STATUS=MR","SCALING_FORMAT=MLN","Sort=A","Dates=H","DateFormat=P","Fill=—","Direction=H","UseDPDF=Y")</f>
        <v>42019</v>
      </c>
      <c r="J13" s="19">
        <f>_xll.BDH("AMGN US Equity","BS_TOT_CAP","FQ2 2021","FQ2 2021","Currency=USD","Period=FQ","BEST_FPERIOD_OVERRIDE=FQ","FILING_STATUS=MR","SCALING_FORMAT=MLN","Sort=A","Dates=H","DateFormat=P","Fill=—","Direction=H","UseDPDF=Y")</f>
        <v>41029</v>
      </c>
      <c r="K13" s="19">
        <f>_xll.BDH("AMGN US Equity","BS_TOT_CAP","FQ3 2021","FQ3 2021","Currency=USD","Period=FQ","BEST_FPERIOD_OVERRIDE=FQ","FILING_STATUS=MR","SCALING_FORMAT=MLN","Sort=A","Dates=H","DateFormat=P","Fill=—","Direction=H","UseDPDF=Y")</f>
        <v>45796</v>
      </c>
      <c r="L13" s="19">
        <f>_xll.BDH("AMGN US Equity","BS_TOT_CAP","FQ4 2021","FQ4 2021","Currency=USD","Period=FQ","BEST_FPERIOD_OVERRIDE=FQ","FILING_STATUS=MR","SCALING_FORMAT=MLN","Sort=A","Dates=H","DateFormat=P","Fill=—","Direction=H","UseDPDF=Y")</f>
        <v>40679</v>
      </c>
      <c r="M13" s="19">
        <f>_xll.BDH("AMGN US Equity","BS_TOT_CAP","FQ1 2022","FQ1 2022","Currency=USD","Period=FQ","BEST_FPERIOD_OVERRIDE=FQ","FILING_STATUS=MR","SCALING_FORMAT=MLN","Sort=A","Dates=H","DateFormat=P","Fill=—","Direction=H","UseDPDF=Y")</f>
        <v>37770</v>
      </c>
      <c r="N13" s="19">
        <f>_xll.BDH("AMGN US Equity","BS_TOT_CAP","FQ2 2022","FQ2 2022","Currency=USD","Period=FQ","BEST_FPERIOD_OVERRIDE=FQ","FILING_STATUS=MR","SCALING_FORMAT=MLN","Sort=A","Dates=H","DateFormat=P","Fill=—","Direction=H","UseDPDF=Y")</f>
        <v>38941</v>
      </c>
      <c r="O13" s="19">
        <f>_xll.BDH("AMGN US Equity","BS_TOT_CAP","FQ3 2022","FQ3 2022","Currency=USD","Period=FQ","BEST_FPERIOD_OVERRIDE=FQ","FILING_STATUS=MR","SCALING_FORMAT=MLN","Sort=A","Dates=H","DateFormat=P","Fill=—","Direction=H","UseDPDF=Y")</f>
        <v>42357</v>
      </c>
      <c r="P13" s="19">
        <f>_xll.BDH("AMGN US Equity","BS_TOT_CAP","FQ4 2022","FQ4 2022","Currency=USD","Period=FQ","BEST_FPERIOD_OVERRIDE=FQ","FILING_STATUS=MR","SCALING_FORMAT=MLN","Sort=A","Dates=H","DateFormat=P","Fill=—","Direction=H","UseDPDF=Y")</f>
        <v>43301</v>
      </c>
      <c r="Q13" s="19">
        <f>_xll.BDH("AMGN US Equity","BS_TOT_CAP","FQ1 2023","FQ1 2023","Currency=USD","Period=FQ","BEST_FPERIOD_OVERRIDE=FQ","FILING_STATUS=MR","SCALING_FORMAT=MLN","Sort=A","Dates=H","DateFormat=P","Fill=—","Direction=H","UseDPDF=Y")</f>
        <v>66943</v>
      </c>
      <c r="R13" s="19">
        <f>_xll.BDH("AMGN US Equity","BS_TOT_CAP","FQ2 2023","FQ2 2023","Currency=USD","Period=FQ","BEST_FPERIOD_OVERRIDE=FQ","FILING_STATUS=MR","SCALING_FORMAT=MLN","Sort=A","Dates=H","DateFormat=P","Fill=—","Direction=H","UseDPDF=Y")</f>
        <v>68325</v>
      </c>
      <c r="S13" s="19">
        <f>_xll.BDH("AMGN US Equity","BS_TOT_CAP","FQ3 2023","FQ3 2023","Currency=USD","Period=FQ","BEST_FPERIOD_OVERRIDE=FQ","FILING_STATUS=MR","SCALING_FORMAT=MLN","Sort=A","Dates=H","DateFormat=P","Fill=—","Direction=H","UseDPDF=Y")</f>
        <v>68124</v>
      </c>
      <c r="T13" s="19">
        <f>_xll.BDH("AMGN US Equity","BS_TOT_CAP","FQ4 2023","FQ4 2023","Currency=USD","Period=FQ","BEST_FPERIOD_OVERRIDE=FQ","FILING_STATUS=MR","SCALING_FORMAT=MLN","Sort=A","Dates=H","DateFormat=P","Fill=—","Direction=H","UseDPDF=Y")</f>
        <v>71655</v>
      </c>
      <c r="U13" s="19">
        <f>_xll.BDH("AMGN US Equity","BS_TOT_CAP","FQ1 2024","FQ1 2024","Currency=USD","Period=FQ","BEST_FPERIOD_OVERRIDE=FQ","FILING_STATUS=MR","SCALING_FORMAT=MLN","Sort=A","Dates=H","DateFormat=P","Fill=—","Direction=H","UseDPDF=Y")</f>
        <v>69042</v>
      </c>
      <c r="V13" s="19">
        <f>_xll.BDH("AMGN US Equity","BS_TOT_CAP","FQ2 2024","FQ2 2024","Currency=USD","Period=FQ","BEST_FPERIOD_OVERRIDE=FQ","FILING_STATUS=MR","SCALING_FORMAT=MLN","Sort=A","Dates=H","DateFormat=P","Fill=—","Direction=H","UseDPDF=Y")</f>
        <v>68570</v>
      </c>
      <c r="W13" s="19">
        <f>_xll.BDH("AMGN US Equity","BS_TOT_CAP","FQ3 2024","FQ3 2024","Currency=USD","Period=FQ","BEST_FPERIOD_OVERRIDE=FQ","FILING_STATUS=MR","SCALING_FORMAT=MLN","Sort=A","Dates=H","DateFormat=P","Fill=—","Direction=H","UseDPDF=Y")</f>
        <v>67925</v>
      </c>
      <c r="X13" s="19">
        <f>_xll.BDH("AMGN US Equity","BS_TOT_CAP","FQ4 2024","FQ4 2024","Currency=USD","Period=FQ","BEST_FPERIOD_OVERRIDE=FQ","FILING_STATUS=MR","SCALING_FORMAT=MLN","Sort=A","Dates=H","DateFormat=P","Fill=—","Direction=H","UseDPDF=Y")</f>
        <v>66756</v>
      </c>
      <c r="Y13" s="22">
        <v>66756</v>
      </c>
      <c r="Z13" s="19"/>
      <c r="AA13" s="19"/>
    </row>
    <row r="14" spans="1:27" x14ac:dyDescent="0.25">
      <c r="A14" s="10" t="s">
        <v>174</v>
      </c>
      <c r="B14" s="10" t="s">
        <v>175</v>
      </c>
      <c r="C14" s="14">
        <f>_xll.BDH("AMGN US Equity","TOT_DEBT_TO_TOT_CAP","FQ3 2019","FQ3 2019","Currency=USD","Period=FQ","BEST_FPERIOD_OVERRIDE=FQ","FILING_STATUS=MR","Sort=A","Dates=H","DateFormat=P","Fill=—","Direction=H","UseDPDF=Y")</f>
        <v>73.480699999999999</v>
      </c>
      <c r="D14" s="14">
        <f>_xll.BDH("AMGN US Equity","TOT_DEBT_TO_TOT_CAP","FQ4 2019","FQ4 2019","Currency=USD","Period=FQ","BEST_FPERIOD_OVERRIDE=FQ","FILING_STATUS=MR","Sort=A","Dates=H","DateFormat=P","Fill=—","Direction=H","UseDPDF=Y")</f>
        <v>75.880200000000002</v>
      </c>
      <c r="E14" s="14">
        <f>_xll.BDH("AMGN US Equity","TOT_DEBT_TO_TOT_CAP","FQ1 2020","FQ1 2020","Currency=USD","Period=FQ","BEST_FPERIOD_OVERRIDE=FQ","FILING_STATUS=MR","Sort=A","Dates=H","DateFormat=P","Fill=—","Direction=H","UseDPDF=Y")</f>
        <v>77.052199999999999</v>
      </c>
      <c r="F14" s="14">
        <f>_xll.BDH("AMGN US Equity","TOT_DEBT_TO_TOT_CAP","FQ2 2020","FQ2 2020","Currency=USD","Period=FQ","BEST_FPERIOD_OVERRIDE=FQ","FILING_STATUS=MR","Sort=A","Dates=H","DateFormat=P","Fill=—","Direction=H","UseDPDF=Y")</f>
        <v>76.251599999999996</v>
      </c>
      <c r="G14" s="14">
        <f>_xll.BDH("AMGN US Equity","TOT_DEBT_TO_TOT_CAP","FQ3 2020","FQ3 2020","Currency=USD","Period=FQ","BEST_FPERIOD_OVERRIDE=FQ","FILING_STATUS=MR","Sort=A","Dates=H","DateFormat=P","Fill=—","Direction=H","UseDPDF=Y")</f>
        <v>75.7791</v>
      </c>
      <c r="H14" s="14">
        <f>_xll.BDH("AMGN US Equity","TOT_DEBT_TO_TOT_CAP","FQ4 2020","FQ4 2020","Currency=USD","Period=FQ","BEST_FPERIOD_OVERRIDE=FQ","FILING_STATUS=MR","Sort=A","Dates=H","DateFormat=P","Fill=—","Direction=H","UseDPDF=Y")</f>
        <v>78.0441</v>
      </c>
      <c r="I14" s="14">
        <f>_xll.BDH("AMGN US Equity","TOT_DEBT_TO_TOT_CAP","FQ1 2021","FQ1 2021","Currency=USD","Period=FQ","BEST_FPERIOD_OVERRIDE=FQ","FILING_STATUS=MR","Sort=A","Dates=H","DateFormat=P","Fill=—","Direction=H","UseDPDF=Y")</f>
        <v>77.786199999999994</v>
      </c>
      <c r="J14" s="14">
        <f>_xll.BDH("AMGN US Equity","TOT_DEBT_TO_TOT_CAP","FQ2 2021","FQ2 2021","Currency=USD","Period=FQ","BEST_FPERIOD_OVERRIDE=FQ","FILING_STATUS=MR","Sort=A","Dates=H","DateFormat=P","Fill=—","Direction=H","UseDPDF=Y")</f>
        <v>79.899600000000007</v>
      </c>
      <c r="K14" s="14">
        <f>_xll.BDH("AMGN US Equity","TOT_DEBT_TO_TOT_CAP","FQ3 2021","FQ3 2021","Currency=USD","Period=FQ","BEST_FPERIOD_OVERRIDE=FQ","FILING_STATUS=MR","Sort=A","Dates=H","DateFormat=P","Fill=—","Direction=H","UseDPDF=Y")</f>
        <v>82.057400000000001</v>
      </c>
      <c r="L14" s="14">
        <f>_xll.BDH("AMGN US Equity","TOT_DEBT_TO_TOT_CAP","FQ4 2021","FQ4 2021","Currency=USD","Period=FQ","BEST_FPERIOD_OVERRIDE=FQ","FILING_STATUS=MR","Sort=A","Dates=H","DateFormat=P","Fill=—","Direction=H","UseDPDF=Y")</f>
        <v>83.529600000000002</v>
      </c>
      <c r="M14" s="14">
        <f>_xll.BDH("AMGN US Equity","TOT_DEBT_TO_TOT_CAP","FQ1 2022","FQ1 2022","Currency=USD","Period=FQ","BEST_FPERIOD_OVERRIDE=FQ","FILING_STATUS=MR","Sort=A","Dates=H","DateFormat=P","Fill=—","Direction=H","UseDPDF=Y")</f>
        <v>97.574799999999996</v>
      </c>
      <c r="N14" s="14">
        <f>_xll.BDH("AMGN US Equity","TOT_DEBT_TO_TOT_CAP","FQ2 2022","FQ2 2022","Currency=USD","Period=FQ","BEST_FPERIOD_OVERRIDE=FQ","FILING_STATUS=MR","Sort=A","Dates=H","DateFormat=P","Fill=—","Direction=H","UseDPDF=Y")</f>
        <v>93.787999999999997</v>
      </c>
      <c r="O14" s="14">
        <f>_xll.BDH("AMGN US Equity","TOT_DEBT_TO_TOT_CAP","FQ3 2022","FQ3 2022","Currency=USD","Period=FQ","BEST_FPERIOD_OVERRIDE=FQ","FILING_STATUS=MR","Sort=A","Dates=H","DateFormat=P","Fill=—","Direction=H","UseDPDF=Y")</f>
        <v>91.375699999999995</v>
      </c>
      <c r="P14" s="14">
        <f>_xll.BDH("AMGN US Equity","TOT_DEBT_TO_TOT_CAP","FQ4 2022","FQ4 2022","Currency=USD","Period=FQ","BEST_FPERIOD_OVERRIDE=FQ","FILING_STATUS=MR","Sort=A","Dates=H","DateFormat=P","Fill=—","Direction=H","UseDPDF=Y")</f>
        <v>91.545199999999994</v>
      </c>
      <c r="Q14" s="14">
        <f>_xll.BDH("AMGN US Equity","TOT_DEBT_TO_TOT_CAP","FQ1 2023","FQ1 2023","Currency=USD","Period=FQ","BEST_FPERIOD_OVERRIDE=FQ","FILING_STATUS=MR","Sort=A","Dates=H","DateFormat=P","Fill=—","Direction=H","UseDPDF=Y")</f>
        <v>92.011099999999999</v>
      </c>
      <c r="R14" s="14">
        <f>_xll.BDH("AMGN US Equity","TOT_DEBT_TO_TOT_CAP","FQ2 2023","FQ2 2023","Currency=USD","Period=FQ","BEST_FPERIOD_OVERRIDE=FQ","FILING_STATUS=MR","Sort=A","Dates=H","DateFormat=P","Fill=—","Direction=H","UseDPDF=Y")</f>
        <v>90.075400000000002</v>
      </c>
      <c r="S14" s="14">
        <f>_xll.BDH("AMGN US Equity","TOT_DEBT_TO_TOT_CAP","FQ3 2023","FQ3 2023","Currency=USD","Period=FQ","BEST_FPERIOD_OVERRIDE=FQ","FILING_STATUS=MR","Sort=A","Dates=H","DateFormat=P","Fill=—","Direction=H","UseDPDF=Y")</f>
        <v>88.761700000000005</v>
      </c>
      <c r="T14" s="14">
        <f>_xll.BDH("AMGN US Equity","TOT_DEBT_TO_TOT_CAP","FQ4 2023","FQ4 2023","Currency=USD","Period=FQ","BEST_FPERIOD_OVERRIDE=FQ","FILING_STATUS=MR","Sort=A","Dates=H","DateFormat=P","Fill=—","Direction=H","UseDPDF=Y")</f>
        <v>91.302800000000005</v>
      </c>
      <c r="U14" s="14">
        <f>_xll.BDH("AMGN US Equity","TOT_DEBT_TO_TOT_CAP","FQ1 2024","FQ1 2024","Currency=USD","Period=FQ","BEST_FPERIOD_OVERRIDE=FQ","FILING_STATUS=MR","Sort=A","Dates=H","DateFormat=P","Fill=—","Direction=H","UseDPDF=Y")</f>
        <v>92.726200000000006</v>
      </c>
      <c r="V14" s="14">
        <f>_xll.BDH("AMGN US Equity","TOT_DEBT_TO_TOT_CAP","FQ2 2024","FQ2 2024","Currency=USD","Period=FQ","BEST_FPERIOD_OVERRIDE=FQ","FILING_STATUS=MR","Sort=A","Dates=H","DateFormat=P","Fill=—","Direction=H","UseDPDF=Y")</f>
        <v>91.359200000000001</v>
      </c>
      <c r="W14" s="14">
        <f>_xll.BDH("AMGN US Equity","TOT_DEBT_TO_TOT_CAP","FQ3 2024","FQ3 2024","Currency=USD","Period=FQ","BEST_FPERIOD_OVERRIDE=FQ","FILING_STATUS=MR","Sort=A","Dates=H","DateFormat=P","Fill=—","Direction=H","UseDPDF=Y")</f>
        <v>88.918700000000001</v>
      </c>
      <c r="X14" s="14">
        <f>_xll.BDH("AMGN US Equity","TOT_DEBT_TO_TOT_CAP","FQ4 2024","FQ4 2024","Currency=USD","Period=FQ","BEST_FPERIOD_OVERRIDE=FQ","FILING_STATUS=MR","Sort=A","Dates=H","DateFormat=P","Fill=—","Direction=H","UseDPDF=Y")</f>
        <v>91.196299999999994</v>
      </c>
      <c r="Y14" s="17">
        <v>91.196296962070804</v>
      </c>
      <c r="Z14" s="14"/>
      <c r="AA14" s="14"/>
    </row>
    <row r="15" spans="1:27" x14ac:dyDescent="0.25">
      <c r="A15" s="10" t="s">
        <v>176</v>
      </c>
      <c r="B15" s="10" t="s">
        <v>177</v>
      </c>
      <c r="C15" s="14">
        <f>_xll.BDH("AMGN US Equity","TOTAL_DEBT_TO_EV","FQ3 2019","FQ3 2019","Currency=USD","Period=FQ","BEST_FPERIOD_OVERRIDE=FQ","FILING_STATUS=MR","Sort=A","Dates=H","DateFormat=P","Fill=—","Direction=H","UseDPDF=Y")</f>
        <v>0.24260000000000001</v>
      </c>
      <c r="D15" s="14">
        <f>_xll.BDH("AMGN US Equity","TOTAL_DEBT_TO_EV","FQ4 2019","FQ4 2019","Currency=USD","Period=FQ","BEST_FPERIOD_OVERRIDE=FQ","FILING_STATUS=MR","Sort=A","Dates=H","DateFormat=P","Fill=—","Direction=H","UseDPDF=Y")</f>
        <v>0.1855</v>
      </c>
      <c r="E15" s="14">
        <f>_xll.BDH("AMGN US Equity","TOTAL_DEBT_TO_EV","FQ1 2020","FQ1 2020","Currency=USD","Period=FQ","BEST_FPERIOD_OVERRIDE=FQ","FILING_STATUS=MR","Sort=A","Dates=H","DateFormat=P","Fill=—","Direction=H","UseDPDF=Y")</f>
        <v>0.22259999999999999</v>
      </c>
      <c r="F15" s="14">
        <f>_xll.BDH("AMGN US Equity","TOTAL_DEBT_TO_EV","FQ2 2020","FQ2 2020","Currency=USD","Period=FQ","BEST_FPERIOD_OVERRIDE=FQ","FILING_STATUS=MR","Sort=A","Dates=H","DateFormat=P","Fill=—","Direction=H","UseDPDF=Y")</f>
        <v>0.21240000000000001</v>
      </c>
      <c r="G15" s="14">
        <f>_xll.BDH("AMGN US Equity","TOTAL_DEBT_TO_EV","FQ3 2020","FQ3 2020","Currency=USD","Period=FQ","BEST_FPERIOD_OVERRIDE=FQ","FILING_STATUS=MR","Sort=A","Dates=H","DateFormat=P","Fill=—","Direction=H","UseDPDF=Y")</f>
        <v>0.2014</v>
      </c>
      <c r="H15" s="14">
        <f>_xll.BDH("AMGN US Equity","TOTAL_DEBT_TO_EV","FQ4 2020","FQ4 2020","Currency=USD","Period=FQ","BEST_FPERIOD_OVERRIDE=FQ","FILING_STATUS=MR","Sort=A","Dates=H","DateFormat=P","Fill=—","Direction=H","UseDPDF=Y")</f>
        <v>0.2147</v>
      </c>
      <c r="I15" s="14">
        <f>_xll.BDH("AMGN US Equity","TOTAL_DEBT_TO_EV","FQ1 2021","FQ1 2021","Currency=USD","Period=FQ","BEST_FPERIOD_OVERRIDE=FQ","FILING_STATUS=MR","Sort=A","Dates=H","DateFormat=P","Fill=—","Direction=H","UseDPDF=Y")</f>
        <v>0.1978</v>
      </c>
      <c r="J15" s="14">
        <f>_xll.BDH("AMGN US Equity","TOTAL_DEBT_TO_EV","FQ2 2021","FQ2 2021","Currency=USD","Period=FQ","BEST_FPERIOD_OVERRIDE=FQ","FILING_STATUS=MR","Sort=A","Dates=H","DateFormat=P","Fill=—","Direction=H","UseDPDF=Y")</f>
        <v>0.20050000000000001</v>
      </c>
      <c r="K15" s="14">
        <f>_xll.BDH("AMGN US Equity","TOTAL_DEBT_TO_EV","FQ3 2021","FQ3 2021","Currency=USD","Period=FQ","BEST_FPERIOD_OVERRIDE=FQ","FILING_STATUS=MR","Sort=A","Dates=H","DateFormat=P","Fill=—","Direction=H","UseDPDF=Y")</f>
        <v>0.25950000000000001</v>
      </c>
      <c r="L15" s="14">
        <f>_xll.BDH("AMGN US Equity","TOTAL_DEBT_TO_EV","FQ4 2021","FQ4 2021","Currency=USD","Period=FQ","BEST_FPERIOD_OVERRIDE=FQ","FILING_STATUS=MR","Sort=A","Dates=H","DateFormat=P","Fill=—","Direction=H","UseDPDF=Y")</f>
        <v>0.2326</v>
      </c>
      <c r="M15" s="14">
        <f>_xll.BDH("AMGN US Equity","TOTAL_DEBT_TO_EV","FQ1 2022","FQ1 2022","Currency=USD","Period=FQ","BEST_FPERIOD_OVERRIDE=FQ","FILING_STATUS=MR","Sort=A","Dates=H","DateFormat=P","Fill=—","Direction=H","UseDPDF=Y")</f>
        <v>0.2311</v>
      </c>
      <c r="N15" s="14">
        <f>_xll.BDH("AMGN US Equity","TOTAL_DEBT_TO_EV","FQ2 2022","FQ2 2022","Currency=USD","Period=FQ","BEST_FPERIOD_OVERRIDE=FQ","FILING_STATUS=MR","Sort=A","Dates=H","DateFormat=P","Fill=—","Direction=H","UseDPDF=Y")</f>
        <v>0.22900000000000001</v>
      </c>
      <c r="O15" s="14">
        <f>_xll.BDH("AMGN US Equity","TOTAL_DEBT_TO_EV","FQ3 2022","FQ3 2022","Currency=USD","Period=FQ","BEST_FPERIOD_OVERRIDE=FQ","FILING_STATUS=MR","Sort=A","Dates=H","DateFormat=P","Fill=—","Direction=H","UseDPDF=Y")</f>
        <v>0.26240000000000002</v>
      </c>
      <c r="P15" s="14">
        <f>_xll.BDH("AMGN US Equity","TOTAL_DEBT_TO_EV","FQ4 2022","FQ4 2022","Currency=USD","Period=FQ","BEST_FPERIOD_OVERRIDE=FQ","FILING_STATUS=MR","Sort=A","Dates=H","DateFormat=P","Fill=—","Direction=H","UseDPDF=Y")</f>
        <v>0.2324</v>
      </c>
      <c r="Q15" s="14">
        <f>_xll.BDH("AMGN US Equity","TOTAL_DEBT_TO_EV","FQ1 2023","FQ1 2023","Currency=USD","Period=FQ","BEST_FPERIOD_OVERRIDE=FQ","FILING_STATUS=MR","Sort=A","Dates=H","DateFormat=P","Fill=—","Direction=H","UseDPDF=Y")</f>
        <v>0.38690000000000002</v>
      </c>
      <c r="R15" s="14">
        <f>_xll.BDH("AMGN US Equity","TOTAL_DEBT_TO_EV","FQ2 2023","FQ2 2023","Currency=USD","Period=FQ","BEST_FPERIOD_OVERRIDE=FQ","FILING_STATUS=MR","Sort=A","Dates=H","DateFormat=P","Fill=—","Direction=H","UseDPDF=Y")</f>
        <v>0.4214</v>
      </c>
      <c r="S15" s="14">
        <f>_xll.BDH("AMGN US Equity","TOTAL_DEBT_TO_EV","FQ3 2023","FQ3 2023","Currency=USD","Period=FQ","BEST_FPERIOD_OVERRIDE=FQ","FILING_STATUS=MR","Sort=A","Dates=H","DateFormat=P","Fill=—","Direction=H","UseDPDF=Y")</f>
        <v>0.35670000000000002</v>
      </c>
      <c r="T15" s="14">
        <f>_xll.BDH("AMGN US Equity","TOTAL_DEBT_TO_EV","FQ4 2023","FQ4 2023","Currency=USD","Period=FQ","BEST_FPERIOD_OVERRIDE=FQ","FILING_STATUS=MR","Sort=A","Dates=H","DateFormat=P","Fill=—","Direction=H","UseDPDF=Y")</f>
        <v>0.3135</v>
      </c>
      <c r="U15" s="14">
        <f>_xll.BDH("AMGN US Equity","TOTAL_DEBT_TO_EV","FQ1 2024","FQ1 2024","Currency=USD","Period=FQ","BEST_FPERIOD_OVERRIDE=FQ","FILING_STATUS=MR","Sort=A","Dates=H","DateFormat=P","Fill=—","Direction=H","UseDPDF=Y")</f>
        <v>0.3095</v>
      </c>
      <c r="V15" s="14">
        <f>_xll.BDH("AMGN US Equity","TOTAL_DEBT_TO_EV","FQ2 2024","FQ2 2024","Currency=USD","Period=FQ","BEST_FPERIOD_OVERRIDE=FQ","FILING_STATUS=MR","Sort=A","Dates=H","DateFormat=P","Fill=—","Direction=H","UseDPDF=Y")</f>
        <v>0.28320000000000001</v>
      </c>
      <c r="W15" s="14">
        <f>_xll.BDH("AMGN US Equity","TOTAL_DEBT_TO_EV","FQ3 2024","FQ3 2024","Currency=USD","Period=FQ","BEST_FPERIOD_OVERRIDE=FQ","FILING_STATUS=MR","Sort=A","Dates=H","DateFormat=P","Fill=—","Direction=H","UseDPDF=Y")</f>
        <v>0.26889999999999997</v>
      </c>
      <c r="X15" s="14">
        <f>_xll.BDH("AMGN US Equity","TOTAL_DEBT_TO_EV","FQ4 2024","FQ4 2024","Currency=USD","Period=FQ","BEST_FPERIOD_OVERRIDE=FQ","FILING_STATUS=MR","Sort=A","Dates=H","DateFormat=P","Fill=—","Direction=H","UseDPDF=Y")</f>
        <v>0.32240000000000002</v>
      </c>
      <c r="Y15" s="17">
        <v>0.28426746413903897</v>
      </c>
      <c r="Z15" s="14"/>
      <c r="AA15" s="14"/>
    </row>
    <row r="16" spans="1:27" x14ac:dyDescent="0.25">
      <c r="A16" s="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21"/>
      <c r="Z16" s="18"/>
      <c r="AA16" s="18"/>
    </row>
    <row r="17" spans="1:27" x14ac:dyDescent="0.25">
      <c r="A17" s="6" t="s">
        <v>178</v>
      </c>
      <c r="B17" s="6" t="s">
        <v>179</v>
      </c>
      <c r="C17" s="20">
        <f>_xll.BDH("AMGN US Equity","EV_TO_T12M_SALES","FQ3 2019","FQ3 2019","Currency=USD","Period=FQ","BEST_FPERIOD_OVERRIDE=FQ","FILING_STATUS=MR","FA_ADJUSTED=GAAP","Sort=A","Dates=H","DateFormat=P","Fill=—","Direction=H","UseDPDF=Y")</f>
        <v>5.3342000000000001</v>
      </c>
      <c r="D17" s="20">
        <f>_xll.BDH("AMGN US Equity","EV_TO_T12M_SALES","FQ4 2019","FQ4 2019","Currency=USD","Period=FQ","BEST_FPERIOD_OVERRIDE=FQ","FILING_STATUS=MR","FA_ADJUSTED=GAAP","Sort=A","Dates=H","DateFormat=P","Fill=—","Direction=H","UseDPDF=Y")</f>
        <v>7.0236999999999998</v>
      </c>
      <c r="E17" s="20">
        <f>_xll.BDH("AMGN US Equity","EV_TO_T12M_SALES","FQ1 2020","FQ1 2020","Currency=USD","Period=FQ","BEST_FPERIOD_OVERRIDE=FQ","FILING_STATUS=MR","FA_ADJUSTED=GAAP","Sort=A","Dates=H","DateFormat=P","Fill=—","Direction=H","UseDPDF=Y")</f>
        <v>5.9684999999999997</v>
      </c>
      <c r="F17" s="20">
        <f>_xll.BDH("AMGN US Equity","EV_TO_T12M_SALES","FQ2 2020","FQ2 2020","Currency=USD","Period=FQ","BEST_FPERIOD_OVERRIDE=FQ","FILING_STATUS=MR","FA_ADJUSTED=GAAP","Sort=A","Dates=H","DateFormat=P","Fill=—","Direction=H","UseDPDF=Y")</f>
        <v>6.6298000000000004</v>
      </c>
      <c r="G17" s="20">
        <f>_xll.BDH("AMGN US Equity","EV_TO_T12M_SALES","FQ3 2020","FQ3 2020","Currency=USD","Period=FQ","BEST_FPERIOD_OVERRIDE=FQ","FILING_STATUS=MR","FA_ADJUSTED=GAAP","Sort=A","Dates=H","DateFormat=P","Fill=—","Direction=H","UseDPDF=Y")</f>
        <v>6.8127000000000004</v>
      </c>
      <c r="H17" s="20">
        <f>_xll.BDH("AMGN US Equity","EV_TO_T12M_SALES","FQ4 2020","FQ4 2020","Currency=USD","Period=FQ","BEST_FPERIOD_OVERRIDE=FQ","FILING_STATUS=MR","FA_ADJUSTED=GAAP","Sort=A","Dates=H","DateFormat=P","Fill=—","Direction=H","UseDPDF=Y")</f>
        <v>6.1265000000000001</v>
      </c>
      <c r="I17" s="20">
        <f>_xll.BDH("AMGN US Equity","EV_TO_T12M_SALES","FQ1 2021","FQ1 2021","Currency=USD","Period=FQ","BEST_FPERIOD_OVERRIDE=FQ","FILING_STATUS=MR","FA_ADJUSTED=GAAP","Sort=A","Dates=H","DateFormat=P","Fill=—","Direction=H","UseDPDF=Y")</f>
        <v>6.5673000000000004</v>
      </c>
      <c r="J17" s="20">
        <f>_xll.BDH("AMGN US Equity","EV_TO_T12M_SALES","FQ2 2021","FQ2 2021","Currency=USD","Period=FQ","BEST_FPERIOD_OVERRIDE=FQ","FILING_STATUS=MR","FA_ADJUSTED=GAAP","Sort=A","Dates=H","DateFormat=P","Fill=—","Direction=H","UseDPDF=Y")</f>
        <v>6.4173999999999998</v>
      </c>
      <c r="K17" s="20">
        <f>_xll.BDH("AMGN US Equity","EV_TO_T12M_SALES","FQ3 2021","FQ3 2021","Currency=USD","Period=FQ","BEST_FPERIOD_OVERRIDE=FQ","FILING_STATUS=MR","FA_ADJUSTED=GAAP","Sort=A","Dates=H","DateFormat=P","Fill=—","Direction=H","UseDPDF=Y")</f>
        <v>5.6197999999999997</v>
      </c>
      <c r="L17" s="20">
        <f>_xll.BDH("AMGN US Equity","EV_TO_T12M_SALES","FQ4 2021","FQ4 2021","Currency=USD","Period=FQ","BEST_FPERIOD_OVERRIDE=FQ","FILING_STATUS=MR","FA_ADJUSTED=GAAP","Sort=A","Dates=H","DateFormat=P","Fill=—","Direction=H","UseDPDF=Y")</f>
        <v>5.6227999999999998</v>
      </c>
      <c r="M17" s="20">
        <f>_xll.BDH("AMGN US Equity","EV_TO_T12M_SALES","FQ1 2022","FQ1 2022","Currency=USD","Period=FQ","BEST_FPERIOD_OVERRIDE=FQ","FILING_STATUS=MR","FA_ADJUSTED=GAAP","Sort=A","Dates=H","DateFormat=P","Fill=—","Direction=H","UseDPDF=Y")</f>
        <v>6.0606</v>
      </c>
      <c r="N17" s="20">
        <f>_xll.BDH("AMGN US Equity","EV_TO_T12M_SALES","FQ2 2022","FQ2 2022","Currency=USD","Period=FQ","BEST_FPERIOD_OVERRIDE=FQ","FILING_STATUS=MR","FA_ADJUSTED=GAAP","Sort=A","Dates=H","DateFormat=P","Fill=—","Direction=H","UseDPDF=Y")</f>
        <v>6.0446</v>
      </c>
      <c r="O17" s="20">
        <f>_xll.BDH("AMGN US Equity","EV_TO_T12M_SALES","FQ3 2022","FQ3 2022","Currency=USD","Period=FQ","BEST_FPERIOD_OVERRIDE=FQ","FILING_STATUS=MR","FA_ADJUSTED=GAAP","Sort=A","Dates=H","DateFormat=P","Fill=—","Direction=H","UseDPDF=Y")</f>
        <v>5.6010999999999997</v>
      </c>
      <c r="P17" s="20">
        <f>_xll.BDH("AMGN US Equity","EV_TO_T12M_SALES","FQ4 2022","FQ4 2022","Currency=USD","Period=FQ","BEST_FPERIOD_OVERRIDE=FQ","FILING_STATUS=MR","FA_ADJUSTED=GAAP","Sort=A","Dates=H","DateFormat=P","Fill=—","Direction=H","UseDPDF=Y")</f>
        <v>6.4804000000000004</v>
      </c>
      <c r="Q17" s="20">
        <f>_xll.BDH("AMGN US Equity","EV_TO_T12M_SALES","FQ1 2023","FQ1 2023","Currency=USD","Period=FQ","BEST_FPERIOD_OVERRIDE=FQ","FILING_STATUS=MR","FA_ADJUSTED=GAAP","Sort=A","Dates=H","DateFormat=P","Fill=—","Direction=H","UseDPDF=Y")</f>
        <v>6.0787000000000004</v>
      </c>
      <c r="R17" s="20">
        <f>_xll.BDH("AMGN US Equity","EV_TO_T12M_SALES","FQ2 2023","FQ2 2023","Currency=USD","Period=FQ","BEST_FPERIOD_OVERRIDE=FQ","FILING_STATUS=MR","FA_ADJUSTED=GAAP","Sort=A","Dates=H","DateFormat=P","Fill=—","Direction=H","UseDPDF=Y")</f>
        <v>5.4945000000000004</v>
      </c>
      <c r="S17" s="20">
        <f>_xll.BDH("AMGN US Equity","EV_TO_T12M_SALES","FQ3 2023","FQ3 2023","Currency=USD","Period=FQ","BEST_FPERIOD_OVERRIDE=FQ","FILING_STATUS=MR","FA_ADJUSTED=GAAP","Sort=A","Dates=H","DateFormat=P","Fill=—","Direction=H","UseDPDF=Y")</f>
        <v>6.3183999999999996</v>
      </c>
      <c r="T17" s="20">
        <f>_xll.BDH("AMGN US Equity","EV_TO_T12M_SALES","FQ4 2023","FQ4 2023","Currency=USD","Period=FQ","BEST_FPERIOD_OVERRIDE=FQ","FILING_STATUS=MR","FA_ADJUSTED=GAAP","Sort=A","Dates=H","DateFormat=P","Fill=—","Direction=H","UseDPDF=Y")</f>
        <v>7.4028</v>
      </c>
      <c r="U17" s="20">
        <f>_xll.BDH("AMGN US Equity","EV_TO_T12M_SALES","FQ1 2024","FQ1 2024","Currency=USD","Period=FQ","BEST_FPERIOD_OVERRIDE=FQ","FILING_STATUS=MR","FA_ADJUSTED=GAAP","Sort=A","Dates=H","DateFormat=P","Fill=—","Direction=H","UseDPDF=Y")</f>
        <v>7.0033000000000003</v>
      </c>
      <c r="V17" s="20">
        <f>_xll.BDH("AMGN US Equity","EV_TO_T12M_SALES","FQ2 2024","FQ2 2024","Currency=USD","Period=FQ","BEST_FPERIOD_OVERRIDE=FQ","FILING_STATUS=MR","FA_ADJUSTED=GAAP","Sort=A","Dates=H","DateFormat=P","Fill=—","Direction=H","UseDPDF=Y")</f>
        <v>7.1505000000000001</v>
      </c>
      <c r="W17" s="20">
        <f>_xll.BDH("AMGN US Equity","EV_TO_T12M_SALES","FQ3 2024","FQ3 2024","Currency=USD","Period=FQ","BEST_FPERIOD_OVERRIDE=FQ","FILING_STATUS=MR","FA_ADJUSTED=GAAP","Sort=A","Dates=H","DateFormat=P","Fill=—","Direction=H","UseDPDF=Y")</f>
        <v>6.9028</v>
      </c>
      <c r="X17" s="20">
        <f>_xll.BDH("AMGN US Equity","EV_TO_T12M_SALES","FQ4 2024","FQ4 2024","Currency=USD","Period=FQ","BEST_FPERIOD_OVERRIDE=FQ","FILING_STATUS=MR","FA_ADJUSTED=GAAP","Sort=A","Dates=H","DateFormat=P","Fill=—","Direction=H","UseDPDF=Y")</f>
        <v>5.6498999999999997</v>
      </c>
      <c r="Y17" s="23">
        <v>6.4074014051477999</v>
      </c>
      <c r="Z17" s="20">
        <v>6.0904702712607204</v>
      </c>
      <c r="AA17" s="20">
        <v>6.0584208484550803</v>
      </c>
    </row>
    <row r="18" spans="1:27" x14ac:dyDescent="0.25">
      <c r="A18" s="6" t="s">
        <v>180</v>
      </c>
      <c r="B18" s="6" t="s">
        <v>181</v>
      </c>
      <c r="C18" s="20">
        <f>_xll.BDH("AMGN US Equity","EV_TO_T12M_EBITDA","FQ3 2019","FQ3 2019","Currency=USD","Period=FQ","BEST_FPERIOD_OVERRIDE=FQ","FILING_STATUS=MR","FA_ADJUSTED=GAAP","Sort=A","Dates=H","DateFormat=P","Fill=—","Direction=H","UseDPDF=Y")</f>
        <v>10.256500000000001</v>
      </c>
      <c r="D18" s="20">
        <f>_xll.BDH("AMGN US Equity","EV_TO_T12M_EBITDA","FQ4 2019","FQ4 2019","Currency=USD","Period=FQ","BEST_FPERIOD_OVERRIDE=FQ","FILING_STATUS=MR","FA_ADJUSTED=GAAP","Sort=A","Dates=H","DateFormat=P","Fill=—","Direction=H","UseDPDF=Y")</f>
        <v>13.616199999999999</v>
      </c>
      <c r="E18" s="20">
        <f>_xll.BDH("AMGN US Equity","EV_TO_T12M_EBITDA","FQ1 2020","FQ1 2020","Currency=USD","Period=FQ","BEST_FPERIOD_OVERRIDE=FQ","FILING_STATUS=MR","FA_ADJUSTED=GAAP","Sort=A","Dates=H","DateFormat=P","Fill=—","Direction=H","UseDPDF=Y")</f>
        <v>11.6332</v>
      </c>
      <c r="F18" s="20">
        <f>_xll.BDH("AMGN US Equity","EV_TO_T12M_EBITDA","FQ2 2020","FQ2 2020","Currency=USD","Period=FQ","BEST_FPERIOD_OVERRIDE=FQ","FILING_STATUS=MR","FA_ADJUSTED=GAAP","Sort=A","Dates=H","DateFormat=P","Fill=—","Direction=H","UseDPDF=Y")</f>
        <v>13.0687</v>
      </c>
      <c r="G18" s="20">
        <f>_xll.BDH("AMGN US Equity","EV_TO_T12M_EBITDA","FQ3 2020","FQ3 2020","Currency=USD","Period=FQ","BEST_FPERIOD_OVERRIDE=FQ","FILING_STATUS=MR","FA_ADJUSTED=GAAP","Sort=A","Dates=H","DateFormat=P","Fill=—","Direction=H","UseDPDF=Y")</f>
        <v>13.4505</v>
      </c>
      <c r="H18" s="20">
        <f>_xll.BDH("AMGN US Equity","EV_TO_T12M_EBITDA","FQ4 2020","FQ4 2020","Currency=USD","Period=FQ","BEST_FPERIOD_OVERRIDE=FQ","FILING_STATUS=MR","FA_ADJUSTED=GAAP","Sort=A","Dates=H","DateFormat=P","Fill=—","Direction=H","UseDPDF=Y")</f>
        <v>12.226100000000001</v>
      </c>
      <c r="I18" s="20">
        <f>_xll.BDH("AMGN US Equity","EV_TO_T12M_EBITDA","FQ1 2021","FQ1 2021","Currency=USD","Period=FQ","BEST_FPERIOD_OVERRIDE=FQ","FILING_STATUS=MR","FA_ADJUSTED=GAAP","Sort=A","Dates=H","DateFormat=P","Fill=—","Direction=H","UseDPDF=Y")</f>
        <v>13.2653</v>
      </c>
      <c r="J18" s="20">
        <f>_xll.BDH("AMGN US Equity","EV_TO_T12M_EBITDA","FQ2 2021","FQ2 2021","Currency=USD","Period=FQ","BEST_FPERIOD_OVERRIDE=FQ","FILING_STATUS=MR","FA_ADJUSTED=GAAP","Sort=A","Dates=H","DateFormat=P","Fill=—","Direction=H","UseDPDF=Y")</f>
        <v>15.020200000000001</v>
      </c>
      <c r="K18" s="20">
        <f>_xll.BDH("AMGN US Equity","EV_TO_T12M_EBITDA","FQ3 2021","FQ3 2021","Currency=USD","Period=FQ","BEST_FPERIOD_OVERRIDE=FQ","FILING_STATUS=MR","FA_ADJUSTED=GAAP","Sort=A","Dates=H","DateFormat=P","Fill=—","Direction=H","UseDPDF=Y")</f>
        <v>13.4552</v>
      </c>
      <c r="L18" s="20">
        <f>_xll.BDH("AMGN US Equity","EV_TO_T12M_EBITDA","FQ4 2021","FQ4 2021","Currency=USD","Period=FQ","BEST_FPERIOD_OVERRIDE=FQ","FILING_STATUS=MR","FA_ADJUSTED=GAAP","Sort=A","Dates=H","DateFormat=P","Fill=—","Direction=H","UseDPDF=Y")</f>
        <v>13.235099999999999</v>
      </c>
      <c r="M18" s="20">
        <f>_xll.BDH("AMGN US Equity","EV_TO_T12M_EBITDA","FQ1 2022","FQ1 2022","Currency=USD","Period=FQ","BEST_FPERIOD_OVERRIDE=FQ","FILING_STATUS=MR","FA_ADJUSTED=GAAP","Sort=A","Dates=H","DateFormat=P","Fill=—","Direction=H","UseDPDF=Y")</f>
        <v>13.980600000000001</v>
      </c>
      <c r="N18" s="20">
        <f>_xll.BDH("AMGN US Equity","EV_TO_T12M_EBITDA","FQ2 2022","FQ2 2022","Currency=USD","Period=FQ","BEST_FPERIOD_OVERRIDE=FQ","FILING_STATUS=MR","FA_ADJUSTED=GAAP","Sort=A","Dates=H","DateFormat=P","Fill=—","Direction=H","UseDPDF=Y")</f>
        <v>12.5289</v>
      </c>
      <c r="O18" s="20">
        <f>_xll.BDH("AMGN US Equity","EV_TO_T12M_EBITDA","FQ3 2022","FQ3 2022","Currency=USD","Period=FQ","BEST_FPERIOD_OVERRIDE=FQ","FILING_STATUS=MR","FA_ADJUSTED=GAAP","Sort=A","Dates=H","DateFormat=P","Fill=—","Direction=H","UseDPDF=Y")</f>
        <v>11.3461</v>
      </c>
      <c r="P18" s="20">
        <f>_xll.BDH("AMGN US Equity","EV_TO_T12M_EBITDA","FQ4 2022","FQ4 2022","Currency=USD","Period=FQ","BEST_FPERIOD_OVERRIDE=FQ","FILING_STATUS=MR","FA_ADJUSTED=GAAP","Sort=A","Dates=H","DateFormat=P","Fill=—","Direction=H","UseDPDF=Y")</f>
        <v>13.139099999999999</v>
      </c>
      <c r="Q18" s="20">
        <f>_xll.BDH("AMGN US Equity","EV_TO_T12M_EBITDA","FQ1 2023","FQ1 2023","Currency=USD","Period=FQ","BEST_FPERIOD_OVERRIDE=FQ","FILING_STATUS=MR","FA_ADJUSTED=GAAP","Sort=A","Dates=H","DateFormat=P","Fill=—","Direction=H","UseDPDF=Y")</f>
        <v>12.773899999999999</v>
      </c>
      <c r="R18" s="20">
        <f>_xll.BDH("AMGN US Equity","EV_TO_T12M_EBITDA","FQ2 2023","FQ2 2023","Currency=USD","Period=FQ","BEST_FPERIOD_OVERRIDE=FQ","FILING_STATUS=MR","FA_ADJUSTED=GAAP","Sort=A","Dates=H","DateFormat=P","Fill=—","Direction=H","UseDPDF=Y")</f>
        <v>11.2014</v>
      </c>
      <c r="S18" s="20">
        <f>_xll.BDH("AMGN US Equity","EV_TO_T12M_EBITDA","FQ3 2023","FQ3 2023","Currency=USD","Period=FQ","BEST_FPERIOD_OVERRIDE=FQ","FILING_STATUS=MR","FA_ADJUSTED=GAAP","Sort=A","Dates=H","DateFormat=P","Fill=—","Direction=H","UseDPDF=Y")</f>
        <v>13.609</v>
      </c>
      <c r="T18" s="20">
        <f>_xll.BDH("AMGN US Equity","EV_TO_T12M_EBITDA","FQ4 2023","FQ4 2023","Currency=USD","Period=FQ","BEST_FPERIOD_OVERRIDE=FQ","FILING_STATUS=MR","FA_ADJUSTED=GAAP","Sort=A","Dates=H","DateFormat=P","Fill=—","Direction=H","UseDPDF=Y")</f>
        <v>17.436900000000001</v>
      </c>
      <c r="U18" s="20">
        <f>_xll.BDH("AMGN US Equity","EV_TO_T12M_EBITDA","FQ1 2024","FQ1 2024","Currency=USD","Period=FQ","BEST_FPERIOD_OVERRIDE=FQ","FILING_STATUS=MR","FA_ADJUSTED=GAAP","Sort=A","Dates=H","DateFormat=P","Fill=—","Direction=H","UseDPDF=Y")</f>
        <v>17.9268</v>
      </c>
      <c r="V18" s="20">
        <f>_xll.BDH("AMGN US Equity","EV_TO_T12M_EBITDA","FQ2 2024","FQ2 2024","Currency=USD","Period=FQ","BEST_FPERIOD_OVERRIDE=FQ","FILING_STATUS=MR","FA_ADJUSTED=GAAP","Sort=A","Dates=H","DateFormat=P","Fill=—","Direction=H","UseDPDF=Y")</f>
        <v>19.633600000000001</v>
      </c>
      <c r="W18" s="20">
        <f>_xll.BDH("AMGN US Equity","EV_TO_T12M_EBITDA","FQ3 2024","FQ3 2024","Currency=USD","Period=FQ","BEST_FPERIOD_OVERRIDE=FQ","FILING_STATUS=MR","FA_ADJUSTED=GAAP","Sort=A","Dates=H","DateFormat=P","Fill=—","Direction=H","UseDPDF=Y")</f>
        <v>19.043099999999999</v>
      </c>
      <c r="X18" s="20">
        <f>_xll.BDH("AMGN US Equity","EV_TO_T12M_EBITDA","FQ4 2024","FQ4 2024","Currency=USD","Period=FQ","BEST_FPERIOD_OVERRIDE=FQ","FILING_STATUS=MR","FA_ADJUSTED=GAAP","Sort=A","Dates=H","DateFormat=P","Fill=—","Direction=H","UseDPDF=Y")</f>
        <v>14.696</v>
      </c>
      <c r="Y18" s="23">
        <v>16.408288734727201</v>
      </c>
      <c r="Z18" s="20">
        <v>11.1423192605937</v>
      </c>
      <c r="AA18" s="20">
        <v>10.879869570657601</v>
      </c>
    </row>
    <row r="19" spans="1:27" x14ac:dyDescent="0.25">
      <c r="A19" s="6" t="s">
        <v>182</v>
      </c>
      <c r="B19" s="6" t="s">
        <v>183</v>
      </c>
      <c r="C19" s="20">
        <f>_xll.BDH("AMGN US Equity","EV_TO_T12M_EBIT","FQ3 2019","FQ3 2019","Currency=USD","Period=FQ","BEST_FPERIOD_OVERRIDE=FQ","FILING_STATUS=MR","FA_ADJUSTED=GAAP","Sort=A","Dates=H","DateFormat=P","Fill=—","Direction=H","UseDPDF=Y")</f>
        <v>12.449199999999999</v>
      </c>
      <c r="D19" s="20">
        <f>_xll.BDH("AMGN US Equity","EV_TO_T12M_EBIT","FQ4 2019","FQ4 2019","Currency=USD","Period=FQ","BEST_FPERIOD_OVERRIDE=FQ","FILING_STATUS=MR","FA_ADJUSTED=GAAP","Sort=A","Dates=H","DateFormat=P","Fill=—","Direction=H","UseDPDF=Y")</f>
        <v>16.933199999999999</v>
      </c>
      <c r="E19" s="20">
        <f>_xll.BDH("AMGN US Equity","EV_TO_T12M_EBIT","FQ1 2020","FQ1 2020","Currency=USD","Period=FQ","BEST_FPERIOD_OVERRIDE=FQ","FILING_STATUS=MR","FA_ADJUSTED=GAAP","Sort=A","Dates=H","DateFormat=P","Fill=—","Direction=H","UseDPDF=Y")</f>
        <v>14.9672</v>
      </c>
      <c r="F19" s="20">
        <f>_xll.BDH("AMGN US Equity","EV_TO_T12M_EBIT","FQ2 2020","FQ2 2020","Currency=USD","Period=FQ","BEST_FPERIOD_OVERRIDE=FQ","FILING_STATUS=MR","FA_ADJUSTED=GAAP","Sort=A","Dates=H","DateFormat=P","Fill=—","Direction=H","UseDPDF=Y")</f>
        <v>17.508299999999998</v>
      </c>
      <c r="G19" s="20">
        <f>_xll.BDH("AMGN US Equity","EV_TO_T12M_EBIT","FQ3 2020","FQ3 2020","Currency=USD","Period=FQ","BEST_FPERIOD_OVERRIDE=FQ","FILING_STATUS=MR","FA_ADJUSTED=GAAP","Sort=A","Dates=H","DateFormat=P","Fill=—","Direction=H","UseDPDF=Y")</f>
        <v>18.545500000000001</v>
      </c>
      <c r="H19" s="20">
        <f>_xll.BDH("AMGN US Equity","EV_TO_T12M_EBIT","FQ4 2020","FQ4 2020","Currency=USD","Period=FQ","BEST_FPERIOD_OVERRIDE=FQ","FILING_STATUS=MR","FA_ADJUSTED=GAAP","Sort=A","Dates=H","DateFormat=P","Fill=—","Direction=H","UseDPDF=Y")</f>
        <v>17.043500000000002</v>
      </c>
      <c r="I19" s="20">
        <f>_xll.BDH("AMGN US Equity","EV_TO_T12M_EBIT","FQ1 2021","FQ1 2021","Currency=USD","Period=FQ","BEST_FPERIOD_OVERRIDE=FQ","FILING_STATUS=MR","FA_ADJUSTED=GAAP","Sort=A","Dates=H","DateFormat=P","Fill=—","Direction=H","UseDPDF=Y")</f>
        <v>18.541399999999999</v>
      </c>
      <c r="J19" s="20">
        <f>_xll.BDH("AMGN US Equity","EV_TO_T12M_EBIT","FQ2 2021","FQ2 2021","Currency=USD","Period=FQ","BEST_FPERIOD_OVERRIDE=FQ","FILING_STATUS=MR","FA_ADJUSTED=GAAP","Sort=A","Dates=H","DateFormat=P","Fill=—","Direction=H","UseDPDF=Y")</f>
        <v>22.046399999999998</v>
      </c>
      <c r="K19" s="20">
        <f>_xll.BDH("AMGN US Equity","EV_TO_T12M_EBIT","FQ3 2021","FQ3 2021","Currency=USD","Period=FQ","BEST_FPERIOD_OVERRIDE=FQ","FILING_STATUS=MR","FA_ADJUSTED=GAAP","Sort=A","Dates=H","DateFormat=P","Fill=—","Direction=H","UseDPDF=Y")</f>
        <v>19.720199999999998</v>
      </c>
      <c r="L19" s="20">
        <f>_xll.BDH("AMGN US Equity","EV_TO_T12M_EBIT","FQ4 2021","FQ4 2021","Currency=USD","Period=FQ","BEST_FPERIOD_OVERRIDE=FQ","FILING_STATUS=MR","FA_ADJUSTED=GAAP","Sort=A","Dates=H","DateFormat=P","Fill=—","Direction=H","UseDPDF=Y")</f>
        <v>19.122399999999999</v>
      </c>
      <c r="M19" s="20">
        <f>_xll.BDH("AMGN US Equity","EV_TO_T12M_EBIT","FQ1 2022","FQ1 2022","Currency=USD","Period=FQ","BEST_FPERIOD_OVERRIDE=FQ","FILING_STATUS=MR","FA_ADJUSTED=GAAP","Sort=A","Dates=H","DateFormat=P","Fill=—","Direction=H","UseDPDF=Y")</f>
        <v>19.9114</v>
      </c>
      <c r="N19" s="20">
        <f>_xll.BDH("AMGN US Equity","EV_TO_T12M_EBIT","FQ2 2022","FQ2 2022","Currency=USD","Period=FQ","BEST_FPERIOD_OVERRIDE=FQ","FILING_STATUS=MR","FA_ADJUSTED=GAAP","Sort=A","Dates=H","DateFormat=P","Fill=—","Direction=H","UseDPDF=Y")</f>
        <v>17.042100000000001</v>
      </c>
      <c r="O19" s="20">
        <f>_xll.BDH("AMGN US Equity","EV_TO_T12M_EBIT","FQ3 2022","FQ3 2022","Currency=USD","Period=FQ","BEST_FPERIOD_OVERRIDE=FQ","FILING_STATUS=MR","FA_ADJUSTED=GAAP","Sort=A","Dates=H","DateFormat=P","Fill=—","Direction=H","UseDPDF=Y")</f>
        <v>15.298400000000001</v>
      </c>
      <c r="P19" s="20">
        <f>_xll.BDH("AMGN US Equity","EV_TO_T12M_EBIT","FQ4 2022","FQ4 2022","Currency=USD","Period=FQ","BEST_FPERIOD_OVERRIDE=FQ","FILING_STATUS=MR","FA_ADJUSTED=GAAP","Sort=A","Dates=H","DateFormat=P","Fill=—","Direction=H","UseDPDF=Y")</f>
        <v>17.8324</v>
      </c>
      <c r="Q19" s="20">
        <f>_xll.BDH("AMGN US Equity","EV_TO_T12M_EBIT","FQ1 2023","FQ1 2023","Currency=USD","Period=FQ","BEST_FPERIOD_OVERRIDE=FQ","FILING_STATUS=MR","FA_ADJUSTED=GAAP","Sort=A","Dates=H","DateFormat=P","Fill=—","Direction=H","UseDPDF=Y")</f>
        <v>17.714600000000001</v>
      </c>
      <c r="R19" s="20">
        <f>_xll.BDH("AMGN US Equity","EV_TO_T12M_EBIT","FQ2 2023","FQ2 2023","Currency=USD","Period=FQ","BEST_FPERIOD_OVERRIDE=FQ","FILING_STATUS=MR","FA_ADJUSTED=GAAP","Sort=A","Dates=H","DateFormat=P","Fill=—","Direction=H","UseDPDF=Y")</f>
        <v>15.382300000000001</v>
      </c>
      <c r="S19" s="20">
        <f>_xll.BDH("AMGN US Equity","EV_TO_T12M_EBIT","FQ3 2023","FQ3 2023","Currency=USD","Period=FQ","BEST_FPERIOD_OVERRIDE=FQ","FILING_STATUS=MR","FA_ADJUSTED=GAAP","Sort=A","Dates=H","DateFormat=P","Fill=—","Direction=H","UseDPDF=Y")</f>
        <v>19.144100000000002</v>
      </c>
      <c r="T19" s="20">
        <f>_xll.BDH("AMGN US Equity","EV_TO_T12M_EBIT","FQ4 2023","FQ4 2023","Currency=USD","Period=FQ","BEST_FPERIOD_OVERRIDE=FQ","FILING_STATUS=MR","FA_ADJUSTED=GAAP","Sort=A","Dates=H","DateFormat=P","Fill=—","Direction=H","UseDPDF=Y")</f>
        <v>26.425799999999999</v>
      </c>
      <c r="U19" s="20">
        <f>_xll.BDH("AMGN US Equity","EV_TO_T12M_EBIT","FQ1 2024","FQ1 2024","Currency=USD","Period=FQ","BEST_FPERIOD_OVERRIDE=FQ","FILING_STATUS=MR","FA_ADJUSTED=GAAP","Sort=A","Dates=H","DateFormat=P","Fill=—","Direction=H","UseDPDF=Y")</f>
        <v>29.6858</v>
      </c>
      <c r="V19" s="20">
        <f>_xll.BDH("AMGN US Equity","EV_TO_T12M_EBIT","FQ2 2024","FQ2 2024","Currency=USD","Period=FQ","BEST_FPERIOD_OVERRIDE=FQ","FILING_STATUS=MR","FA_ADJUSTED=GAAP","Sort=A","Dates=H","DateFormat=P","Fill=—","Direction=H","UseDPDF=Y")</f>
        <v>35.722200000000001</v>
      </c>
      <c r="W19" s="20">
        <f>_xll.BDH("AMGN US Equity","EV_TO_T12M_EBIT","FQ3 2024","FQ3 2024","Currency=USD","Period=FQ","BEST_FPERIOD_OVERRIDE=FQ","FILING_STATUS=MR","FA_ADJUSTED=GAAP","Sort=A","Dates=H","DateFormat=P","Fill=—","Direction=H","UseDPDF=Y")</f>
        <v>36.116900000000001</v>
      </c>
      <c r="X19" s="20">
        <f>_xll.BDH("AMGN US Equity","EV_TO_T12M_EBIT","FQ4 2024","FQ4 2024","Currency=USD","Period=FQ","BEST_FPERIOD_OVERRIDE=FQ","FILING_STATUS=MR","FA_ADJUSTED=GAAP","Sort=A","Dates=H","DateFormat=P","Fill=—","Direction=H","UseDPDF=Y")</f>
        <v>26.018699999999999</v>
      </c>
      <c r="Y19" s="23">
        <v>29.3877849094171</v>
      </c>
      <c r="Z19" s="20">
        <v>13.762982718568599</v>
      </c>
      <c r="AA19" s="20">
        <v>13.6376070035986</v>
      </c>
    </row>
    <row r="20" spans="1:27" x14ac:dyDescent="0.25">
      <c r="A20" s="6" t="s">
        <v>184</v>
      </c>
      <c r="B20" s="6" t="s">
        <v>185</v>
      </c>
      <c r="C20" s="20">
        <f>_xll.BDH("AMGN US Equity","EV_TO_T12M_CASH_FLOW_FIRM","FQ3 2019","FQ3 2019","Currency=USD","Period=FQ","BEST_FPERIOD_OVERRIDE=FQ","FILING_STATUS=MR","FA_ADJUSTED=GAAP","Sort=A","Dates=H","DateFormat=P","Fill=—","Direction=H","UseDPDF=Y")</f>
        <v>11.1876</v>
      </c>
      <c r="D20" s="20">
        <f>_xll.BDH("AMGN US Equity","EV_TO_T12M_CASH_FLOW_FIRM","FQ4 2019","FQ4 2019","Currency=USD","Period=FQ","BEST_FPERIOD_OVERRIDE=FQ","FILING_STATUS=MR","FA_ADJUSTED=GAAP","Sort=A","Dates=H","DateFormat=P","Fill=—","Direction=H","UseDPDF=Y")</f>
        <v>15.7501</v>
      </c>
      <c r="E20" s="20">
        <f>_xll.BDH("AMGN US Equity","EV_TO_T12M_CASH_FLOW_FIRM","FQ1 2020","FQ1 2020","Currency=USD","Period=FQ","BEST_FPERIOD_OVERRIDE=FQ","FILING_STATUS=MR","FA_ADJUSTED=GAAP","Sort=A","Dates=H","DateFormat=P","Fill=—","Direction=H","UseDPDF=Y")</f>
        <v>13.545299999999999</v>
      </c>
      <c r="F20" s="20">
        <f>_xll.BDH("AMGN US Equity","EV_TO_T12M_CASH_FLOW_FIRM","FQ2 2020","FQ2 2020","Currency=USD","Period=FQ","BEST_FPERIOD_OVERRIDE=FQ","FILING_STATUS=MR","FA_ADJUSTED=GAAP","Sort=A","Dates=H","DateFormat=P","Fill=—","Direction=H","UseDPDF=Y")</f>
        <v>13.4594</v>
      </c>
      <c r="G20" s="20">
        <f>_xll.BDH("AMGN US Equity","EV_TO_T12M_CASH_FLOW_FIRM","FQ3 2020","FQ3 2020","Currency=USD","Period=FQ","BEST_FPERIOD_OVERRIDE=FQ","FILING_STATUS=MR","FA_ADJUSTED=GAAP","Sort=A","Dates=H","DateFormat=P","Fill=—","Direction=H","UseDPDF=Y")</f>
        <v>14.2226</v>
      </c>
      <c r="H20" s="20">
        <f>_xll.BDH("AMGN US Equity","EV_TO_T12M_CASH_FLOW_FIRM","FQ4 2020","FQ4 2020","Currency=USD","Period=FQ","BEST_FPERIOD_OVERRIDE=FQ","FILING_STATUS=MR","FA_ADJUSTED=GAAP","Sort=A","Dates=H","DateFormat=P","Fill=—","Direction=H","UseDPDF=Y")</f>
        <v>13.1066</v>
      </c>
      <c r="I20" s="20">
        <f>_xll.BDH("AMGN US Equity","EV_TO_T12M_CASH_FLOW_FIRM","FQ1 2021","FQ1 2021","Currency=USD","Period=FQ","BEST_FPERIOD_OVERRIDE=FQ","FILING_STATUS=MR","FA_ADJUSTED=GAAP","Sort=A","Dates=H","DateFormat=P","Fill=—","Direction=H","UseDPDF=Y")</f>
        <v>14.0114</v>
      </c>
      <c r="J20" s="20">
        <f>_xll.BDH("AMGN US Equity","EV_TO_T12M_CASH_FLOW_FIRM","FQ2 2021","FQ2 2021","Currency=USD","Period=FQ","BEST_FPERIOD_OVERRIDE=FQ","FILING_STATUS=MR","FA_ADJUSTED=GAAP","Sort=A","Dates=H","DateFormat=P","Fill=—","Direction=H","UseDPDF=Y")</f>
        <v>15.0524</v>
      </c>
      <c r="K20" s="20">
        <f>_xll.BDH("AMGN US Equity","EV_TO_T12M_CASH_FLOW_FIRM","FQ3 2021","FQ3 2021","Currency=USD","Period=FQ","BEST_FPERIOD_OVERRIDE=FQ","FILING_STATUS=MR","FA_ADJUSTED=GAAP","Sort=A","Dates=H","DateFormat=P","Fill=—","Direction=H","UseDPDF=Y")</f>
        <v>14.637700000000001</v>
      </c>
      <c r="L20" s="20">
        <f>_xll.BDH("AMGN US Equity","EV_TO_T12M_CASH_FLOW_FIRM","FQ4 2021","FQ4 2021","Currency=USD","Period=FQ","BEST_FPERIOD_OVERRIDE=FQ","FILING_STATUS=MR","FA_ADJUSTED=GAAP","Sort=A","Dates=H","DateFormat=P","Fill=—","Direction=H","UseDPDF=Y")</f>
        <v>14.1633</v>
      </c>
      <c r="M20" s="20">
        <f>_xll.BDH("AMGN US Equity","EV_TO_T12M_CASH_FLOW_FIRM","FQ1 2022","FQ1 2022","Currency=USD","Period=FQ","BEST_FPERIOD_OVERRIDE=FQ","FILING_STATUS=MR","FA_ADJUSTED=GAAP","Sort=A","Dates=H","DateFormat=P","Fill=—","Direction=H","UseDPDF=Y")</f>
        <v>15.3642</v>
      </c>
      <c r="N20" s="20">
        <f>_xll.BDH("AMGN US Equity","EV_TO_T12M_CASH_FLOW_FIRM","FQ2 2022","FQ2 2022","Currency=USD","Period=FQ","BEST_FPERIOD_OVERRIDE=FQ","FILING_STATUS=MR","FA_ADJUSTED=GAAP","Sort=A","Dates=H","DateFormat=P","Fill=—","Direction=H","UseDPDF=Y")</f>
        <v>15.3042</v>
      </c>
      <c r="O20" s="20">
        <f>_xll.BDH("AMGN US Equity","EV_TO_T12M_CASH_FLOW_FIRM","FQ3 2022","FQ3 2022","Currency=USD","Period=FQ","BEST_FPERIOD_OVERRIDE=FQ","FILING_STATUS=MR","FA_ADJUSTED=GAAP","Sort=A","Dates=H","DateFormat=P","Fill=—","Direction=H","UseDPDF=Y")</f>
        <v>13.3432</v>
      </c>
      <c r="P20" s="20">
        <f>_xll.BDH("AMGN US Equity","EV_TO_T12M_CASH_FLOW_FIRM","FQ4 2022","FQ4 2022","Currency=USD","Period=FQ","BEST_FPERIOD_OVERRIDE=FQ","FILING_STATUS=MR","FA_ADJUSTED=GAAP","Sort=A","Dates=H","DateFormat=P","Fill=—","Direction=H","UseDPDF=Y")</f>
        <v>15.542999999999999</v>
      </c>
      <c r="Q20" s="20">
        <f>_xll.BDH("AMGN US Equity","EV_TO_T12M_CASH_FLOW_FIRM","FQ1 2023","FQ1 2023","Currency=USD","Period=FQ","BEST_FPERIOD_OVERRIDE=FQ","FILING_STATUS=MR","FA_ADJUSTED=GAAP","Sort=A","Dates=H","DateFormat=P","Fill=—","Direction=H","UseDPDF=Y")</f>
        <v>15.8284</v>
      </c>
      <c r="R20" s="20">
        <f>_xll.BDH("AMGN US Equity","EV_TO_T12M_CASH_FLOW_FIRM","FQ2 2023","FQ2 2023","Currency=USD","Period=FQ","BEST_FPERIOD_OVERRIDE=FQ","FILING_STATUS=MR","FA_ADJUSTED=GAAP","Sort=A","Dates=H","DateFormat=P","Fill=—","Direction=H","UseDPDF=Y")</f>
        <v>11.588900000000001</v>
      </c>
      <c r="S20" s="20">
        <f>_xll.BDH("AMGN US Equity","EV_TO_T12M_CASH_FLOW_FIRM","FQ3 2023","FQ3 2023","Currency=USD","Period=FQ","BEST_FPERIOD_OVERRIDE=FQ","FILING_STATUS=MR","FA_ADJUSTED=GAAP","Sort=A","Dates=H","DateFormat=P","Fill=—","Direction=H","UseDPDF=Y")</f>
        <v>13.332100000000001</v>
      </c>
      <c r="T20" s="20">
        <f>_xll.BDH("AMGN US Equity","EV_TO_T12M_CASH_FLOW_FIRM","FQ4 2023","FQ4 2023","Currency=USD","Period=FQ","BEST_FPERIOD_OVERRIDE=FQ","FILING_STATUS=MR","FA_ADJUSTED=GAAP","Sort=A","Dates=H","DateFormat=P","Fill=—","Direction=H","UseDPDF=Y")</f>
        <v>19.093800000000002</v>
      </c>
      <c r="U20" s="20">
        <f>_xll.BDH("AMGN US Equity","EV_TO_T12M_CASH_FLOW_FIRM","FQ1 2024","FQ1 2024","Currency=USD","Period=FQ","BEST_FPERIOD_OVERRIDE=FQ","FILING_STATUS=MR","FA_ADJUSTED=GAAP","Sort=A","Dates=H","DateFormat=P","Fill=—","Direction=H","UseDPDF=Y")</f>
        <v>19.098400000000002</v>
      </c>
      <c r="V20" s="20">
        <f>_xll.BDH("AMGN US Equity","EV_TO_T12M_CASH_FLOW_FIRM","FQ2 2024","FQ2 2024","Currency=USD","Period=FQ","BEST_FPERIOD_OVERRIDE=FQ","FILING_STATUS=MR","FA_ADJUSTED=GAAP","Sort=A","Dates=H","DateFormat=P","Fill=—","Direction=H","UseDPDF=Y")</f>
        <v>23.789000000000001</v>
      </c>
      <c r="W20" s="20">
        <f>_xll.BDH("AMGN US Equity","EV_TO_T12M_CASH_FLOW_FIRM","FQ3 2024","FQ3 2024","Currency=USD","Period=FQ","BEST_FPERIOD_OVERRIDE=FQ","FILING_STATUS=MR","FA_ADJUSTED=GAAP","Sort=A","Dates=H","DateFormat=P","Fill=—","Direction=H","UseDPDF=Y")</f>
        <v>22.0688</v>
      </c>
      <c r="X20" s="20">
        <f>_xll.BDH("AMGN US Equity","EV_TO_T12M_CASH_FLOW_FIRM","FQ4 2024","FQ4 2024","Currency=USD","Period=FQ","BEST_FPERIOD_OVERRIDE=FQ","FILING_STATUS=MR","FA_ADJUSTED=GAAP","Sort=A","Dates=H","DateFormat=P","Fill=—","Direction=H","UseDPDF=Y")</f>
        <v>13.215299999999999</v>
      </c>
      <c r="Y20" s="23">
        <v>14.7984714079362</v>
      </c>
      <c r="Z20" s="20"/>
      <c r="AA20" s="20"/>
    </row>
    <row r="21" spans="1:27" x14ac:dyDescent="0.25">
      <c r="A21" s="6" t="s">
        <v>186</v>
      </c>
      <c r="B21" s="6" t="s">
        <v>187</v>
      </c>
      <c r="C21" s="20">
        <f>_xll.BDH("AMGN US Equity","EV_TO_T12M_FREE_CASH_FLOW_FIRM","FQ3 2019","FQ3 2019","Currency=USD","Period=FQ","BEST_FPERIOD_OVERRIDE=FQ","FILING_STATUS=MR","FA_ADJUSTED=GAAP","Sort=A","Dates=H","DateFormat=P","Fill=—","Direction=H","UseDPDF=Y")</f>
        <v>11.8855</v>
      </c>
      <c r="D21" s="20">
        <f>_xll.BDH("AMGN US Equity","EV_TO_T12M_FREE_CASH_FLOW_FIRM","FQ4 2019","FQ4 2019","Currency=USD","Period=FQ","BEST_FPERIOD_OVERRIDE=FQ","FILING_STATUS=MR","FA_ADJUSTED=GAAP","Sort=A","Dates=H","DateFormat=P","Fill=—","Direction=H","UseDPDF=Y")</f>
        <v>16.743300000000001</v>
      </c>
      <c r="E21" s="20">
        <f>_xll.BDH("AMGN US Equity","EV_TO_T12M_FREE_CASH_FLOW_FIRM","FQ1 2020","FQ1 2020","Currency=USD","Period=FQ","BEST_FPERIOD_OVERRIDE=FQ","FILING_STATUS=MR","FA_ADJUSTED=GAAP","Sort=A","Dates=H","DateFormat=P","Fill=—","Direction=H","UseDPDF=Y")</f>
        <v>14.425000000000001</v>
      </c>
      <c r="F21" s="20">
        <f>_xll.BDH("AMGN US Equity","EV_TO_T12M_FREE_CASH_FLOW_FIRM","FQ2 2020","FQ2 2020","Currency=USD","Period=FQ","BEST_FPERIOD_OVERRIDE=FQ","FILING_STATUS=MR","FA_ADJUSTED=GAAP","Sort=A","Dates=H","DateFormat=P","Fill=—","Direction=H","UseDPDF=Y")</f>
        <v>14.2423</v>
      </c>
      <c r="G21" s="20">
        <f>_xll.BDH("AMGN US Equity","EV_TO_T12M_FREE_CASH_FLOW_FIRM","FQ3 2020","FQ3 2020","Currency=USD","Period=FQ","BEST_FPERIOD_OVERRIDE=FQ","FILING_STATUS=MR","FA_ADJUSTED=GAAP","Sort=A","Dates=H","DateFormat=P","Fill=—","Direction=H","UseDPDF=Y")</f>
        <v>15.003500000000001</v>
      </c>
      <c r="H21" s="20">
        <f>_xll.BDH("AMGN US Equity","EV_TO_T12M_FREE_CASH_FLOW_FIRM","FQ4 2020","FQ4 2020","Currency=USD","Period=FQ","BEST_FPERIOD_OVERRIDE=FQ","FILING_STATUS=MR","FA_ADJUSTED=GAAP","Sort=A","Dates=H","DateFormat=P","Fill=—","Direction=H","UseDPDF=Y")</f>
        <v>13.8133</v>
      </c>
      <c r="I21" s="20">
        <f>_xll.BDH("AMGN US Equity","EV_TO_T12M_FREE_CASH_FLOW_FIRM","FQ1 2021","FQ1 2021","Currency=USD","Period=FQ","BEST_FPERIOD_OVERRIDE=FQ","FILING_STATUS=MR","FA_ADJUSTED=GAAP","Sort=A","Dates=H","DateFormat=P","Fill=—","Direction=H","UseDPDF=Y")</f>
        <v>14.8047</v>
      </c>
      <c r="J21" s="20">
        <f>_xll.BDH("AMGN US Equity","EV_TO_T12M_FREE_CASH_FLOW_FIRM","FQ2 2021","FQ2 2021","Currency=USD","Period=FQ","BEST_FPERIOD_OVERRIDE=FQ","FILING_STATUS=MR","FA_ADJUSTED=GAAP","Sort=A","Dates=H","DateFormat=P","Fill=—","Direction=H","UseDPDF=Y")</f>
        <v>16.0243</v>
      </c>
      <c r="K21" s="20">
        <f>_xll.BDH("AMGN US Equity","EV_TO_T12M_FREE_CASH_FLOW_FIRM","FQ3 2021","FQ3 2021","Currency=USD","Period=FQ","BEST_FPERIOD_OVERRIDE=FQ","FILING_STATUS=MR","FA_ADJUSTED=GAAP","Sort=A","Dates=H","DateFormat=P","Fill=—","Direction=H","UseDPDF=Y")</f>
        <v>15.866300000000001</v>
      </c>
      <c r="L21" s="20">
        <f>_xll.BDH("AMGN US Equity","EV_TO_T12M_FREE_CASH_FLOW_FIRM","FQ4 2021","FQ4 2021","Currency=USD","Period=FQ","BEST_FPERIOD_OVERRIDE=FQ","FILING_STATUS=MR","FA_ADJUSTED=GAAP","Sort=A","Dates=H","DateFormat=P","Fill=—","Direction=H","UseDPDF=Y")</f>
        <v>15.484500000000001</v>
      </c>
      <c r="M21" s="20">
        <f>_xll.BDH("AMGN US Equity","EV_TO_T12M_FREE_CASH_FLOW_FIRM","FQ1 2022","FQ1 2022","Currency=USD","Period=FQ","BEST_FPERIOD_OVERRIDE=FQ","FILING_STATUS=MR","FA_ADJUSTED=GAAP","Sort=A","Dates=H","DateFormat=P","Fill=—","Direction=H","UseDPDF=Y")</f>
        <v>16.829899999999999</v>
      </c>
      <c r="N21" s="20">
        <f>_xll.BDH("AMGN US Equity","EV_TO_T12M_FREE_CASH_FLOW_FIRM","FQ2 2022","FQ2 2022","Currency=USD","Period=FQ","BEST_FPERIOD_OVERRIDE=FQ","FILING_STATUS=MR","FA_ADJUSTED=GAAP","Sort=A","Dates=H","DateFormat=P","Fill=—","Direction=H","UseDPDF=Y")</f>
        <v>16.866099999999999</v>
      </c>
      <c r="O21" s="20">
        <f>_xll.BDH("AMGN US Equity","EV_TO_T12M_FREE_CASH_FLOW_FIRM","FQ3 2022","FQ3 2022","Currency=USD","Period=FQ","BEST_FPERIOD_OVERRIDE=FQ","FILING_STATUS=MR","FA_ADJUSTED=GAAP","Sort=A","Dates=H","DateFormat=P","Fill=—","Direction=H","UseDPDF=Y")</f>
        <v>14.5017</v>
      </c>
      <c r="P21" s="20">
        <f>_xll.BDH("AMGN US Equity","EV_TO_T12M_FREE_CASH_FLOW_FIRM","FQ4 2022","FQ4 2022","Currency=USD","Period=FQ","BEST_FPERIOD_OVERRIDE=FQ","FILING_STATUS=MR","FA_ADJUSTED=GAAP","Sort=A","Dates=H","DateFormat=P","Fill=—","Direction=H","UseDPDF=Y")</f>
        <v>16.9922</v>
      </c>
      <c r="Q21" s="20">
        <f>_xll.BDH("AMGN US Equity","EV_TO_T12M_FREE_CASH_FLOW_FIRM","FQ1 2023","FQ1 2023","Currency=USD","Period=FQ","BEST_FPERIOD_OVERRIDE=FQ","FILING_STATUS=MR","FA_ADJUSTED=GAAP","Sort=A","Dates=H","DateFormat=P","Fill=—","Direction=H","UseDPDF=Y")</f>
        <v>17.752300000000002</v>
      </c>
      <c r="R21" s="20">
        <f>_xll.BDH("AMGN US Equity","EV_TO_T12M_FREE_CASH_FLOW_FIRM","FQ2 2023","FQ2 2023","Currency=USD","Period=FQ","BEST_FPERIOD_OVERRIDE=FQ","FILING_STATUS=MR","FA_ADJUSTED=GAAP","Sort=A","Dates=H","DateFormat=P","Fill=—","Direction=H","UseDPDF=Y")</f>
        <v>12.713699999999999</v>
      </c>
      <c r="S21" s="20">
        <f>_xll.BDH("AMGN US Equity","EV_TO_T12M_FREE_CASH_FLOW_FIRM","FQ3 2023","FQ3 2023","Currency=USD","Period=FQ","BEST_FPERIOD_OVERRIDE=FQ","FILING_STATUS=MR","FA_ADJUSTED=GAAP","Sort=A","Dates=H","DateFormat=P","Fill=—","Direction=H","UseDPDF=Y")</f>
        <v>14.725199999999999</v>
      </c>
      <c r="T21" s="20">
        <f>_xll.BDH("AMGN US Equity","EV_TO_T12M_FREE_CASH_FLOW_FIRM","FQ4 2023","FQ4 2023","Currency=USD","Period=FQ","BEST_FPERIOD_OVERRIDE=FQ","FILING_STATUS=MR","FA_ADJUSTED=GAAP","Sort=A","Dates=H","DateFormat=P","Fill=—","Direction=H","UseDPDF=Y")</f>
        <v>21.256499999999999</v>
      </c>
      <c r="U21" s="20">
        <f>_xll.BDH("AMGN US Equity","EV_TO_T12M_FREE_CASH_FLOW_FIRM","FQ1 2024","FQ1 2024","Currency=USD","Period=FQ","BEST_FPERIOD_OVERRIDE=FQ","FILING_STATUS=MR","FA_ADJUSTED=GAAP","Sort=A","Dates=H","DateFormat=P","Fill=—","Direction=H","UseDPDF=Y")</f>
        <v>21.037099999999999</v>
      </c>
      <c r="V21" s="20">
        <f>_xll.BDH("AMGN US Equity","EV_TO_T12M_FREE_CASH_FLOW_FIRM","FQ2 2024","FQ2 2024","Currency=USD","Period=FQ","BEST_FPERIOD_OVERRIDE=FQ","FILING_STATUS=MR","FA_ADJUSTED=GAAP","Sort=A","Dates=H","DateFormat=P","Fill=—","Direction=H","UseDPDF=Y")</f>
        <v>26.543900000000001</v>
      </c>
      <c r="W21" s="20">
        <f>_xll.BDH("AMGN US Equity","EV_TO_T12M_FREE_CASH_FLOW_FIRM","FQ3 2024","FQ3 2024","Currency=USD","Period=FQ","BEST_FPERIOD_OVERRIDE=FQ","FILING_STATUS=MR","FA_ADJUSTED=GAAP","Sort=A","Dates=H","DateFormat=P","Fill=—","Direction=H","UseDPDF=Y")</f>
        <v>24.404599999999999</v>
      </c>
      <c r="X21" s="20">
        <f>_xll.BDH("AMGN US Equity","EV_TO_T12M_FREE_CASH_FLOW_FIRM","FQ4 2024","FQ4 2024","Currency=USD","Period=FQ","BEST_FPERIOD_OVERRIDE=FQ","FILING_STATUS=MR","FA_ADJUSTED=GAAP","Sort=A","Dates=H","DateFormat=P","Fill=—","Direction=H","UseDPDF=Y")</f>
        <v>14.3131</v>
      </c>
      <c r="Y21" s="23">
        <v>16.0110408599297</v>
      </c>
      <c r="Z21" s="20"/>
      <c r="AA21" s="20"/>
    </row>
    <row r="22" spans="1:27" x14ac:dyDescent="0.25">
      <c r="A22" s="6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1"/>
      <c r="Z22" s="18"/>
      <c r="AA22" s="18"/>
    </row>
    <row r="23" spans="1:27" x14ac:dyDescent="0.25">
      <c r="A23" s="6" t="s">
        <v>188</v>
      </c>
      <c r="B23" s="6" t="s">
        <v>189</v>
      </c>
      <c r="C23" s="19">
        <f>_xll.BDH("AMGN US Equity","DILUTED_MKT_CAP","FQ3 2019","FQ3 2019","Currency=USD","Period=FQ","BEST_FPERIOD_OVERRIDE=FQ","FILING_STATUS=MR","SCALING_FORMAT=MLN","Sort=A","Dates=H","DateFormat=P","Fill=—","Direction=H","UseDPDF=Y")</f>
        <v>116493.02</v>
      </c>
      <c r="D23" s="19">
        <f>_xll.BDH("AMGN US Equity","DILUTED_MKT_CAP","FQ4 2019","FQ4 2019","Currency=USD","Period=FQ","BEST_FPERIOD_OVERRIDE=FQ","FILING_STATUS=MR","SCALING_FORMAT=MLN","Sort=A","Dates=H","DateFormat=P","Fill=—","Direction=H","UseDPDF=Y")</f>
        <v>144159.85999999999</v>
      </c>
      <c r="E23" s="19">
        <f>_xll.BDH("AMGN US Equity","DILUTED_MKT_CAP","FQ1 2020","FQ1 2020","Currency=USD","Period=FQ","BEST_FPERIOD_OVERRIDE=FQ","FILING_STATUS=MR","SCALING_FORMAT=MLN","Sort=A","Dates=H","DateFormat=P","Fill=—","Direction=H","UseDPDF=Y")</f>
        <v>120421.62</v>
      </c>
      <c r="F23" s="19">
        <f>_xll.BDH("AMGN US Equity","DILUTED_MKT_CAP","FQ2 2020","FQ2 2020","Currency=USD","Period=FQ","BEST_FPERIOD_OVERRIDE=FQ","FILING_STATUS=MR","SCALING_FORMAT=MLN","Sort=A","Dates=H","DateFormat=P","Fill=—","Direction=H","UseDPDF=Y")</f>
        <v>139629.12</v>
      </c>
      <c r="G23" s="19">
        <f>_xll.BDH("AMGN US Equity","DILUTED_MKT_CAP","FQ3 2020","FQ3 2020","Currency=USD","Period=FQ","BEST_FPERIOD_OVERRIDE=FQ","FILING_STATUS=MR","SCALING_FORMAT=MLN","Sort=A","Dates=H","DateFormat=P","Fill=—","Direction=H","UseDPDF=Y")</f>
        <v>149700.24</v>
      </c>
      <c r="H23" s="19">
        <f>_xll.BDH("AMGN US Equity","DILUTED_MKT_CAP","FQ4 2020","FQ4 2020","Currency=USD","Period=FQ","BEST_FPERIOD_OVERRIDE=FQ","FILING_STATUS=MR","SCALING_FORMAT=MLN","Sort=A","Dates=H","DateFormat=P","Fill=—","Direction=H","UseDPDF=Y")</f>
        <v>134503.20000000001</v>
      </c>
      <c r="I23" s="19">
        <f>_xll.BDH("AMGN US Equity","DILUTED_MKT_CAP","FQ1 2021","FQ1 2021","Currency=USD","Period=FQ","BEST_FPERIOD_OVERRIDE=FQ","FILING_STATUS=MR","SCALING_FORMAT=MLN","Sort=A","Dates=H","DateFormat=P","Fill=—","Direction=H","UseDPDF=Y")</f>
        <v>144558.60999999999</v>
      </c>
      <c r="J23" s="19">
        <f>_xll.BDH("AMGN US Equity","DILUTED_MKT_CAP","FQ2 2021","FQ2 2021","Currency=USD","Period=FQ","BEST_FPERIOD_OVERRIDE=FQ","FILING_STATUS=MR","SCALING_FORMAT=MLN","Sort=A","Dates=H","DateFormat=P","Fill=—","Direction=H","UseDPDF=Y")</f>
        <v>140400</v>
      </c>
      <c r="K23" s="19">
        <f>_xll.BDH("AMGN US Equity","DILUTED_MKT_CAP","FQ3 2021","FQ3 2021","Currency=USD","Period=FQ","BEST_FPERIOD_OVERRIDE=FQ","FILING_STATUS=MR","SCALING_FORMAT=MLN","Sort=A","Dates=H","DateFormat=P","Fill=—","Direction=H","UseDPDF=Y")</f>
        <v>121210.5</v>
      </c>
      <c r="L23" s="19">
        <f>_xll.BDH("AMGN US Equity","DILUTED_MKT_CAP","FQ4 2021","FQ4 2021","Currency=USD","Period=FQ","BEST_FPERIOD_OVERRIDE=FQ","FILING_STATUS=MR","SCALING_FORMAT=MLN","Sort=A","Dates=H","DateFormat=P","Fill=—","Direction=H","UseDPDF=Y")</f>
        <v>127108.05</v>
      </c>
      <c r="M23" s="19">
        <f>_xll.BDH("AMGN US Equity","DILUTED_MKT_CAP","FQ1 2022","FQ1 2022","Currency=USD","Period=FQ","BEST_FPERIOD_OVERRIDE=FQ","FILING_STATUS=MR","SCALING_FORMAT=MLN","Sort=A","Dates=H","DateFormat=P","Fill=—","Direction=H","UseDPDF=Y")</f>
        <v>133242.82</v>
      </c>
      <c r="N23" s="19">
        <f>_xll.BDH("AMGN US Equity","DILUTED_MKT_CAP","FQ2 2022","FQ2 2022","Currency=USD","Period=FQ","BEST_FPERIOD_OVERRIDE=FQ","FILING_STATUS=MR","SCALING_FORMAT=MLN","Sort=A","Dates=H","DateFormat=P","Fill=—","Direction=H","UseDPDF=Y")</f>
        <v>130652.1</v>
      </c>
      <c r="O23" s="19">
        <f>_xll.BDH("AMGN US Equity","DILUTED_MKT_CAP","FQ3 2022","FQ3 2022","Currency=USD","Period=FQ","BEST_FPERIOD_OVERRIDE=FQ","FILING_STATUS=MR","SCALING_FORMAT=MLN","Sort=A","Dates=H","DateFormat=P","Fill=—","Direction=H","UseDPDF=Y")</f>
        <v>121265.2</v>
      </c>
      <c r="P23" s="19">
        <f>_xll.BDH("AMGN US Equity","DILUTED_MKT_CAP","FQ4 2022","FQ4 2022","Currency=USD","Period=FQ","BEST_FPERIOD_OVERRIDE=FQ","FILING_STATUS=MR","SCALING_FORMAT=MLN","Sort=A","Dates=H","DateFormat=P","Fill=—","Direction=H","UseDPDF=Y")</f>
        <v>141562.96</v>
      </c>
      <c r="Q23" s="19">
        <f>_xll.BDH("AMGN US Equity","DILUTED_MKT_CAP","FQ1 2023","FQ1 2023","Currency=USD","Period=FQ","BEST_FPERIOD_OVERRIDE=FQ","FILING_STATUS=MR","SCALING_FORMAT=MLN","Sort=A","Dates=H","DateFormat=P","Fill=—","Direction=H","UseDPDF=Y")</f>
        <v>130061.5</v>
      </c>
      <c r="R23" s="19">
        <f>_xll.BDH("AMGN US Equity","DILUTED_MKT_CAP","FQ2 2023","FQ2 2023","Currency=USD","Period=FQ","BEST_FPERIOD_OVERRIDE=FQ","FILING_STATUS=MR","SCALING_FORMAT=MLN","Sort=A","Dates=H","DateFormat=P","Fill=—","Direction=H","UseDPDF=Y")</f>
        <v>119224.74</v>
      </c>
      <c r="S23" s="19">
        <f>_xll.BDH("AMGN US Equity","DILUTED_MKT_CAP","FQ3 2023","FQ3 2023","Currency=USD","Period=FQ","BEST_FPERIOD_OVERRIDE=FQ","FILING_STATUS=MR","SCALING_FORMAT=MLN","Sort=A","Dates=H","DateFormat=P","Fill=—","Direction=H","UseDPDF=Y")</f>
        <v>144592.88</v>
      </c>
      <c r="T23" s="19">
        <f>_xll.BDH("AMGN US Equity","DILUTED_MKT_CAP","FQ4 2023","FQ4 2023","Currency=USD","Period=FQ","BEST_FPERIOD_OVERRIDE=FQ","FILING_STATUS=MR","SCALING_FORMAT=MLN","Sort=A","Dates=H","DateFormat=P","Fill=—","Direction=H","UseDPDF=Y")</f>
        <v>155530.79999999999</v>
      </c>
      <c r="U23" s="19">
        <f>_xll.BDH("AMGN US Equity","DILUTED_MKT_CAP","FQ1 2024","FQ1 2024","Currency=USD","Period=FQ","BEST_FPERIOD_OVERRIDE=FQ","FILING_STATUS=MR","SCALING_FORMAT=MLN","Sort=A","Dates=H","DateFormat=P","Fill=—","Direction=H","UseDPDF=Y")</f>
        <v>152395.51999999999</v>
      </c>
      <c r="V23" s="19">
        <f>_xll.BDH("AMGN US Equity","DILUTED_MKT_CAP","FQ2 2024","FQ2 2024","Currency=USD","Period=FQ","BEST_FPERIOD_OVERRIDE=FQ","FILING_STATUS=MR","SCALING_FORMAT=MLN","Sort=A","Dates=H","DateFormat=P","Fill=—","Direction=H","UseDPDF=Y")</f>
        <v>169035.45</v>
      </c>
      <c r="W23" s="19">
        <f>_xll.BDH("AMGN US Equity","DILUTED_MKT_CAP","FQ3 2024","FQ3 2024","Currency=USD","Period=FQ","BEST_FPERIOD_OVERRIDE=FQ","FILING_STATUS=MR","SCALING_FORMAT=MLN","Sort=A","Dates=H","DateFormat=P","Fill=—","Direction=H","UseDPDF=Y")</f>
        <v>174637.82</v>
      </c>
      <c r="X23" s="19">
        <f>_xll.BDH("AMGN US Equity","DILUTED_MKT_CAP","FQ4 2024","FQ4 2024","Currency=USD","Period=FQ","BEST_FPERIOD_OVERRIDE=FQ","FILING_STATUS=MR","SCALING_FORMAT=MLN","Sort=A","Dates=H","DateFormat=P","Fill=—","Direction=H","UseDPDF=Y")</f>
        <v>141266.88</v>
      </c>
      <c r="Y23" s="22">
        <v>166730.037353516</v>
      </c>
      <c r="Z23" s="19"/>
      <c r="AA23" s="19"/>
    </row>
    <row r="24" spans="1:27" x14ac:dyDescent="0.25">
      <c r="A24" s="6" t="s">
        <v>190</v>
      </c>
      <c r="B24" s="6" t="s">
        <v>191</v>
      </c>
      <c r="C24" s="19">
        <f>_xll.BDH("AMGN US Equity","DILUTED_EV","FQ3 2019","FQ3 2019","Currency=USD","Period=FQ","BEST_FPERIOD_OVERRIDE=FQ","FILING_STATUS=MR","SCALING_FORMAT=MLN","Sort=A","Dates=H","DateFormat=P","Fill=—","Direction=H","UseDPDF=Y")</f>
        <v>125372.4783</v>
      </c>
      <c r="D24" s="19">
        <f>_xll.BDH("AMGN US Equity","DILUTED_EV","FQ4 2019","FQ4 2019","Currency=USD","Period=FQ","BEST_FPERIOD_OVERRIDE=FQ","FILING_STATUS=MR","SCALING_FORMAT=MLN","Sort=A","Dates=H","DateFormat=P","Fill=—","Direction=H","UseDPDF=Y")</f>
        <v>165290.8958</v>
      </c>
      <c r="E24" s="19">
        <f>_xll.BDH("AMGN US Equity","DILUTED_EV","FQ1 2020","FQ1 2020","Currency=USD","Period=FQ","BEST_FPERIOD_OVERRIDE=FQ","FILING_STATUS=MR","SCALING_FORMAT=MLN","Sort=A","Dates=H","DateFormat=P","Fill=—","Direction=H","UseDPDF=Y")</f>
        <v>143849.4111</v>
      </c>
      <c r="F24" s="19">
        <f>_xll.BDH("AMGN US Equity","DILUTED_EV","FQ2 2020","FQ2 2020","Currency=USD","Period=FQ","BEST_FPERIOD_OVERRIDE=FQ","FILING_STATUS=MR","SCALING_FORMAT=MLN","Sort=A","Dates=H","DateFormat=P","Fill=—","Direction=H","UseDPDF=Y")</f>
        <v>162052.17679999999</v>
      </c>
      <c r="G24" s="19">
        <f>_xll.BDH("AMGN US Equity","DILUTED_EV","FQ3 2020","FQ3 2020","Currency=USD","Period=FQ","BEST_FPERIOD_OVERRIDE=FQ","FILING_STATUS=MR","SCALING_FORMAT=MLN","Sort=A","Dates=H","DateFormat=P","Fill=—","Direction=H","UseDPDF=Y")</f>
        <v>171243.39319999999</v>
      </c>
      <c r="H24" s="19">
        <f>_xll.BDH("AMGN US Equity","DILUTED_EV","FQ4 2020","FQ4 2020","Currency=USD","Period=FQ","BEST_FPERIOD_OVERRIDE=FQ","FILING_STATUS=MR","SCALING_FORMAT=MLN","Sort=A","Dates=H","DateFormat=P","Fill=—","Direction=H","UseDPDF=Y")</f>
        <v>156676.1421</v>
      </c>
      <c r="I24" s="19">
        <f>_xll.BDH("AMGN US Equity","DILUTED_EV","FQ1 2021","FQ1 2021","Currency=USD","Period=FQ","BEST_FPERIOD_OVERRIDE=FQ","FILING_STATUS=MR","SCALING_FORMAT=MLN","Sort=A","Dates=H","DateFormat=P","Fill=—","Direction=H","UseDPDF=Y")</f>
        <v>166251.70079999999</v>
      </c>
      <c r="J24" s="19">
        <f>_xll.BDH("AMGN US Equity","DILUTED_EV","FQ2 2021","FQ2 2021","Currency=USD","Period=FQ","BEST_FPERIOD_OVERRIDE=FQ","FILING_STATUS=MR","SCALING_FORMAT=MLN","Sort=A","Dates=H","DateFormat=P","Fill=—","Direction=H","UseDPDF=Y")</f>
        <v>164266.91099999999</v>
      </c>
      <c r="K24" s="19">
        <f>_xll.BDH("AMGN US Equity","DILUTED_EV","FQ3 2021","FQ3 2021","Currency=USD","Period=FQ","BEST_FPERIOD_OVERRIDE=FQ","FILING_STATUS=MR","SCALING_FORMAT=MLN","Sort=A","Dates=H","DateFormat=P","Fill=—","Direction=H","UseDPDF=Y")</f>
        <v>145440.9497</v>
      </c>
      <c r="L24" s="19">
        <f>_xll.BDH("AMGN US Equity","DILUTED_EV","FQ4 2021","FQ4 2021","Currency=USD","Period=FQ","BEST_FPERIOD_OVERRIDE=FQ","FILING_STATUS=MR","SCALING_FORMAT=MLN","Sort=A","Dates=H","DateFormat=P","Fill=—","Direction=H","UseDPDF=Y")</f>
        <v>146717.26459999999</v>
      </c>
      <c r="M24" s="19">
        <f>_xll.BDH("AMGN US Equity","DILUTED_EV","FQ1 2022","FQ1 2022","Currency=USD","Period=FQ","BEST_FPERIOD_OVERRIDE=FQ","FILING_STATUS=MR","SCALING_FORMAT=MLN","Sort=A","Dates=H","DateFormat=P","Fill=—","Direction=H","UseDPDF=Y")</f>
        <v>160197.4351</v>
      </c>
      <c r="N24" s="19">
        <f>_xll.BDH("AMGN US Equity","DILUTED_EV","FQ2 2022","FQ2 2022","Currency=USD","Period=FQ","BEST_FPERIOD_OVERRIDE=FQ","FILING_STATUS=MR","SCALING_FORMAT=MLN","Sort=A","Dates=H","DateFormat=P","Fill=—","Direction=H","UseDPDF=Y")</f>
        <v>159966.679</v>
      </c>
      <c r="O24" s="19">
        <f>_xll.BDH("AMGN US Equity","DILUTED_EV","FQ3 2022","FQ3 2022","Currency=USD","Period=FQ","BEST_FPERIOD_OVERRIDE=FQ","FILING_STATUS=MR","SCALING_FORMAT=MLN","Sort=A","Dates=H","DateFormat=P","Fill=—","Direction=H","UseDPDF=Y")</f>
        <v>148151.2041</v>
      </c>
      <c r="P24" s="19">
        <f>_xll.BDH("AMGN US Equity","DILUTED_EV","FQ4 2022","FQ4 2022","Currency=USD","Period=FQ","BEST_FPERIOD_OVERRIDE=FQ","FILING_STATUS=MR","SCALING_FORMAT=MLN","Sort=A","Dates=H","DateFormat=P","Fill=—","Direction=H","UseDPDF=Y")</f>
        <v>171633.35630000001</v>
      </c>
      <c r="Q24" s="19">
        <f>_xll.BDH("AMGN US Equity","DILUTED_EV","FQ1 2023","FQ1 2023","Currency=USD","Period=FQ","BEST_FPERIOD_OVERRIDE=FQ","FILING_STATUS=MR","SCALING_FORMAT=MLN","Sort=A","Dates=H","DateFormat=P","Fill=—","Direction=H","UseDPDF=Y")</f>
        <v>160168.56830000001</v>
      </c>
      <c r="R24" s="19">
        <f>_xll.BDH("AMGN US Equity","DILUTED_EV","FQ2 2023","FQ2 2023","Currency=USD","Period=FQ","BEST_FPERIOD_OVERRIDE=FQ","FILING_STATUS=MR","SCALING_FORMAT=MLN","Sort=A","Dates=H","DateFormat=P","Fill=—","Direction=H","UseDPDF=Y")</f>
        <v>146498.45499999999</v>
      </c>
      <c r="S24" s="19">
        <f>_xll.BDH("AMGN US Equity","DILUTED_EV","FQ3 2023","FQ3 2023","Currency=USD","Period=FQ","BEST_FPERIOD_OVERRIDE=FQ","FILING_STATUS=MR","SCALING_FORMAT=MLN","Sort=A","Dates=H","DateFormat=P","Fill=—","Direction=H","UseDPDF=Y")</f>
        <v>170346.90669999999</v>
      </c>
      <c r="T24" s="19">
        <f>_xll.BDH("AMGN US Equity","DILUTED_EV","FQ4 2023","FQ4 2023","Currency=USD","Period=FQ","BEST_FPERIOD_OVERRIDE=FQ","FILING_STATUS=MR","SCALING_FORMAT=MLN","Sort=A","Dates=H","DateFormat=P","Fill=—","Direction=H","UseDPDF=Y")</f>
        <v>210126.08470000001</v>
      </c>
      <c r="U24" s="19">
        <f>_xll.BDH("AMGN US Equity","DILUTED_EV","FQ1 2024","FQ1 2024","Currency=USD","Period=FQ","BEST_FPERIOD_OVERRIDE=FQ","FILING_STATUS=MR","SCALING_FORMAT=MLN","Sort=A","Dates=H","DateFormat=P","Fill=—","Direction=H","UseDPDF=Y")</f>
        <v>206821.24799999999</v>
      </c>
      <c r="V24" s="19">
        <f>_xll.BDH("AMGN US Equity","DILUTED_EV","FQ2 2024","FQ2 2024","Currency=USD","Period=FQ","BEST_FPERIOD_OVERRIDE=FQ","FILING_STATUS=MR","SCALING_FORMAT=MLN","Sort=A","Dates=H","DateFormat=P","Fill=—","Direction=H","UseDPDF=Y")</f>
        <v>222442.40549999999</v>
      </c>
      <c r="W24" s="19">
        <f>_xll.BDH("AMGN US Equity","DILUTED_EV","FQ3 2024","FQ3 2024","Currency=USD","Period=FQ","BEST_FPERIOD_OVERRIDE=FQ","FILING_STATUS=MR","SCALING_FORMAT=MLN","Sort=A","Dates=H","DateFormat=P","Fill=—","Direction=H","UseDPDF=Y")</f>
        <v>226187.42499999999</v>
      </c>
      <c r="X24" s="19">
        <f>_xll.BDH("AMGN US Equity","DILUTED_EV","FQ4 2024","FQ4 2024","Currency=USD","Period=FQ","BEST_FPERIOD_OVERRIDE=FQ","FILING_STATUS=MR","SCALING_FORMAT=MLN","Sort=A","Dates=H","DateFormat=P","Fill=—","Direction=H","UseDPDF=Y")</f>
        <v>190146.57329999999</v>
      </c>
      <c r="Y24" s="22">
        <v>215604.988929427</v>
      </c>
      <c r="Z24" s="19"/>
      <c r="AA24" s="19"/>
    </row>
    <row r="25" spans="1:27" x14ac:dyDescent="0.25">
      <c r="A25" s="6" t="s">
        <v>192</v>
      </c>
      <c r="B25" s="6" t="s">
        <v>193</v>
      </c>
      <c r="C25" s="20">
        <f>_xll.BDH("AMGN US Equity","EV_TO_SH_OUT","FQ3 2019","FQ3 2019","Currency=USD","Period=FQ","BEST_FPERIOD_OVERRIDE=FQ","FILING_STATUS=MR","Sort=A","Dates=H","DateFormat=P","Fill=—","Direction=H","UseDPDF=Y")</f>
        <v>209.3168</v>
      </c>
      <c r="D25" s="20">
        <f>_xll.BDH("AMGN US Equity","EV_TO_SH_OUT","FQ4 2019","FQ4 2019","Currency=USD","Period=FQ","BEST_FPERIOD_OVERRIDE=FQ","FILING_STATUS=MR","Sort=A","Dates=H","DateFormat=P","Fill=—","Direction=H","UseDPDF=Y")</f>
        <v>277.45819999999998</v>
      </c>
      <c r="E25" s="20">
        <f>_xll.BDH("AMGN US Equity","EV_TO_SH_OUT","FQ1 2020","FQ1 2020","Currency=USD","Period=FQ","BEST_FPERIOD_OVERRIDE=FQ","FILING_STATUS=MR","Sort=A","Dates=H","DateFormat=P","Fill=—","Direction=H","UseDPDF=Y")</f>
        <v>243.26740000000001</v>
      </c>
      <c r="F25" s="20">
        <f>_xll.BDH("AMGN US Equity","EV_TO_SH_OUT","FQ2 2020","FQ2 2020","Currency=USD","Period=FQ","BEST_FPERIOD_OVERRIDE=FQ","FILING_STATUS=MR","Sort=A","Dates=H","DateFormat=P","Fill=—","Direction=H","UseDPDF=Y")</f>
        <v>274.74639999999999</v>
      </c>
      <c r="G25" s="20">
        <f>_xll.BDH("AMGN US Equity","EV_TO_SH_OUT","FQ3 2020","FQ3 2020","Currency=USD","Period=FQ","BEST_FPERIOD_OVERRIDE=FQ","FILING_STATUS=MR","Sort=A","Dates=H","DateFormat=P","Fill=—","Direction=H","UseDPDF=Y")</f>
        <v>291.73840000000001</v>
      </c>
      <c r="H25" s="20">
        <f>_xll.BDH("AMGN US Equity","EV_TO_SH_OUT","FQ4 2020","FQ4 2020","Currency=USD","Period=FQ","BEST_FPERIOD_OVERRIDE=FQ","FILING_STATUS=MR","Sort=A","Dates=H","DateFormat=P","Fill=—","Direction=H","UseDPDF=Y")</f>
        <v>269.3424</v>
      </c>
      <c r="I25" s="20">
        <f>_xll.BDH("AMGN US Equity","EV_TO_SH_OUT","FQ1 2021","FQ1 2021","Currency=USD","Period=FQ","BEST_FPERIOD_OVERRIDE=FQ","FILING_STATUS=MR","Sort=A","Dates=H","DateFormat=P","Fill=—","Direction=H","UseDPDF=Y")</f>
        <v>287.25779999999997</v>
      </c>
      <c r="J25" s="20">
        <f>_xll.BDH("AMGN US Equity","EV_TO_SH_OUT","FQ2 2021","FQ2 2021","Currency=USD","Period=FQ","BEST_FPERIOD_OVERRIDE=FQ","FILING_STATUS=MR","Sort=A","Dates=H","DateFormat=P","Fill=—","Direction=H","UseDPDF=Y")</f>
        <v>287.11380000000003</v>
      </c>
      <c r="K25" s="20">
        <f>_xll.BDH("AMGN US Equity","EV_TO_SH_OUT","FQ3 2021","FQ3 2021","Currency=USD","Period=FQ","BEST_FPERIOD_OVERRIDE=FQ","FILING_STATUS=MR","Sort=A","Dates=H","DateFormat=P","Fill=—","Direction=H","UseDPDF=Y")</f>
        <v>256.29250000000002</v>
      </c>
      <c r="L25" s="20">
        <f>_xll.BDH("AMGN US Equity","EV_TO_SH_OUT","FQ4 2021","FQ4 2021","Currency=USD","Period=FQ","BEST_FPERIOD_OVERRIDE=FQ","FILING_STATUS=MR","Sort=A","Dates=H","DateFormat=P","Fill=—","Direction=H","UseDPDF=Y")</f>
        <v>273.5505</v>
      </c>
      <c r="M25" s="20">
        <f>_xll.BDH("AMGN US Equity","EV_TO_SH_OUT","FQ1 2022","FQ1 2022","Currency=USD","Period=FQ","BEST_FPERIOD_OVERRIDE=FQ","FILING_STATUS=MR","Sort=A","Dates=H","DateFormat=P","Fill=—","Direction=H","UseDPDF=Y")</f>
        <v>298.55900000000003</v>
      </c>
      <c r="N25" s="20">
        <f>_xll.BDH("AMGN US Equity","EV_TO_SH_OUT","FQ2 2022","FQ2 2022","Currency=USD","Period=FQ","BEST_FPERIOD_OVERRIDE=FQ","FILING_STATUS=MR","Sort=A","Dates=H","DateFormat=P","Fill=—","Direction=H","UseDPDF=Y")</f>
        <v>298.14949999999999</v>
      </c>
      <c r="O25" s="20">
        <f>_xll.BDH("AMGN US Equity","EV_TO_SH_OUT","FQ3 2022","FQ3 2022","Currency=USD","Period=FQ","BEST_FPERIOD_OVERRIDE=FQ","FILING_STATUS=MR","Sort=A","Dates=H","DateFormat=P","Fill=—","Direction=H","UseDPDF=Y")</f>
        <v>276.43279999999999</v>
      </c>
      <c r="P25" s="20">
        <f>_xll.BDH("AMGN US Equity","EV_TO_SH_OUT","FQ4 2022","FQ4 2022","Currency=USD","Period=FQ","BEST_FPERIOD_OVERRIDE=FQ","FILING_STATUS=MR","Sort=A","Dates=H","DateFormat=P","Fill=—","Direction=H","UseDPDF=Y")</f>
        <v>319.44709999999998</v>
      </c>
      <c r="Q25" s="20">
        <f>_xll.BDH("AMGN US Equity","EV_TO_SH_OUT","FQ1 2023","FQ1 2023","Currency=USD","Period=FQ","BEST_FPERIOD_OVERRIDE=FQ","FILING_STATUS=MR","Sort=A","Dates=H","DateFormat=P","Fill=—","Direction=H","UseDPDF=Y")</f>
        <v>297.96190000000001</v>
      </c>
      <c r="R25" s="20">
        <f>_xll.BDH("AMGN US Equity","EV_TO_SH_OUT","FQ2 2023","FQ2 2023","Currency=USD","Period=FQ","BEST_FPERIOD_OVERRIDE=FQ","FILING_STATUS=MR","Sort=A","Dates=H","DateFormat=P","Fill=—","Direction=H","UseDPDF=Y")</f>
        <v>273.05009999999999</v>
      </c>
      <c r="S25" s="20">
        <f>_xll.BDH("AMGN US Equity","EV_TO_SH_OUT","FQ3 2023","FQ3 2023","Currency=USD","Period=FQ","BEST_FPERIOD_OVERRIDE=FQ","FILING_STATUS=MR","Sort=A","Dates=H","DateFormat=P","Fill=—","Direction=H","UseDPDF=Y")</f>
        <v>316.83890000000002</v>
      </c>
      <c r="T25" s="20">
        <f>_xll.BDH("AMGN US Equity","EV_TO_SH_OUT","FQ4 2023","FQ4 2023","Currency=USD","Period=FQ","BEST_FPERIOD_OVERRIDE=FQ","FILING_STATUS=MR","Sort=A","Dates=H","DateFormat=P","Fill=—","Direction=H","UseDPDF=Y")</f>
        <v>389.77379999999999</v>
      </c>
      <c r="U25" s="20">
        <f>_xll.BDH("AMGN US Equity","EV_TO_SH_OUT","FQ1 2024","FQ1 2024","Currency=USD","Period=FQ","BEST_FPERIOD_OVERRIDE=FQ","FILING_STATUS=MR","Sort=A","Dates=H","DateFormat=P","Fill=—","Direction=H","UseDPDF=Y")</f>
        <v>385.57279999999997</v>
      </c>
      <c r="V25" s="20">
        <f>_xll.BDH("AMGN US Equity","EV_TO_SH_OUT","FQ2 2024","FQ2 2024","Currency=USD","Period=FQ","BEST_FPERIOD_OVERRIDE=FQ","FILING_STATUS=MR","Sort=A","Dates=H","DateFormat=P","Fill=—","Direction=H","UseDPDF=Y")</f>
        <v>411.75009999999997</v>
      </c>
      <c r="W25" s="20">
        <f>_xll.BDH("AMGN US Equity","EV_TO_SH_OUT","FQ3 2024","FQ3 2024","Currency=USD","Period=FQ","BEST_FPERIOD_OVERRIDE=FQ","FILING_STATUS=MR","Sort=A","Dates=H","DateFormat=P","Fill=—","Direction=H","UseDPDF=Y")</f>
        <v>417.81369999999998</v>
      </c>
      <c r="X25" s="20">
        <f>_xll.BDH("AMGN US Equity","EV_TO_SH_OUT","FQ4 2024","FQ4 2024","Currency=USD","Period=FQ","BEST_FPERIOD_OVERRIDE=FQ","FILING_STATUS=MR","Sort=A","Dates=H","DateFormat=P","Fill=—","Direction=H","UseDPDF=Y")</f>
        <v>351.7296</v>
      </c>
      <c r="Y25" s="23">
        <v>351.72958837772399</v>
      </c>
      <c r="Z25" s="20"/>
      <c r="AA25" s="20"/>
    </row>
    <row r="26" spans="1:27" x14ac:dyDescent="0.25">
      <c r="A26" s="6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21"/>
      <c r="Z26" s="18"/>
      <c r="AA26" s="18"/>
    </row>
    <row r="27" spans="1:27" x14ac:dyDescent="0.25">
      <c r="A27" s="6" t="s">
        <v>4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21"/>
      <c r="Z27" s="18"/>
      <c r="AA27" s="18"/>
    </row>
    <row r="28" spans="1:27" x14ac:dyDescent="0.25">
      <c r="A28" s="11" t="s">
        <v>194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7"/>
      <c r="Z28" s="24"/>
      <c r="AA28" s="24"/>
    </row>
    <row r="29" spans="1:27" x14ac:dyDescent="0.25">
      <c r="A29" s="10" t="s">
        <v>195</v>
      </c>
      <c r="B29" s="10" t="s">
        <v>196</v>
      </c>
      <c r="C29" s="12" t="s">
        <v>197</v>
      </c>
      <c r="D29" s="12" t="s">
        <v>197</v>
      </c>
      <c r="E29" s="12" t="s">
        <v>197</v>
      </c>
      <c r="F29" s="12" t="s">
        <v>197</v>
      </c>
      <c r="G29" s="12" t="s">
        <v>197</v>
      </c>
      <c r="H29" s="12" t="s">
        <v>197</v>
      </c>
      <c r="I29" s="12" t="s">
        <v>197</v>
      </c>
      <c r="J29" s="12" t="s">
        <v>197</v>
      </c>
      <c r="K29" s="12" t="s">
        <v>197</v>
      </c>
      <c r="L29" s="12" t="s">
        <v>197</v>
      </c>
      <c r="M29" s="12" t="s">
        <v>197</v>
      </c>
      <c r="N29" s="12" t="s">
        <v>197</v>
      </c>
      <c r="O29" s="12" t="s">
        <v>197</v>
      </c>
      <c r="P29" s="12" t="s">
        <v>197</v>
      </c>
      <c r="Q29" s="12" t="s">
        <v>197</v>
      </c>
      <c r="R29" s="12" t="s">
        <v>197</v>
      </c>
      <c r="S29" s="12" t="s">
        <v>197</v>
      </c>
      <c r="T29" s="12" t="s">
        <v>197</v>
      </c>
      <c r="U29" s="12" t="s">
        <v>197</v>
      </c>
      <c r="V29" s="12" t="s">
        <v>197</v>
      </c>
      <c r="W29" s="12" t="s">
        <v>197</v>
      </c>
      <c r="X29" s="12" t="s">
        <v>197</v>
      </c>
      <c r="Y29" s="15" t="s">
        <v>197</v>
      </c>
      <c r="Z29" s="12"/>
      <c r="AA29" s="12"/>
    </row>
    <row r="30" spans="1:27" x14ac:dyDescent="0.25">
      <c r="A30" s="10" t="s">
        <v>198</v>
      </c>
      <c r="B30" s="10" t="s">
        <v>199</v>
      </c>
      <c r="C30" s="13">
        <f>_xll.BDH("AMGN US Equity","TRAIL_12M_NET_SALES","FQ3 2019","FQ3 2019","Currency=USD","Period=FQ","BEST_FPERIOD_OVERRIDE=FQ","FILING_STATUS=MR","SCALING_FORMAT=MLN","FA_ADJUSTED=GAAP","Sort=A","Dates=H","DateFormat=P","Fill=—","Direction=H","UseDPDF=Y")</f>
        <v>23395</v>
      </c>
      <c r="D30" s="13">
        <f>_xll.BDH("AMGN US Equity","TRAIL_12M_NET_SALES","FQ4 2019","FQ4 2019","Currency=USD","Period=FQ","BEST_FPERIOD_OVERRIDE=FQ","FILING_STATUS=MR","SCALING_FORMAT=MLN","FA_ADJUSTED=GAAP","Sort=A","Dates=H","DateFormat=P","Fill=—","Direction=H","UseDPDF=Y")</f>
        <v>23362</v>
      </c>
      <c r="E30" s="13">
        <f>_xll.BDH("AMGN US Equity","TRAIL_12M_NET_SALES","FQ1 2020","FQ1 2020","Currency=USD","Period=FQ","BEST_FPERIOD_OVERRIDE=FQ","FILING_STATUS=MR","SCALING_FORMAT=MLN","FA_ADJUSTED=GAAP","Sort=A","Dates=H","DateFormat=P","Fill=—","Direction=H","UseDPDF=Y")</f>
        <v>23966</v>
      </c>
      <c r="F30" s="13">
        <f>_xll.BDH("AMGN US Equity","TRAIL_12M_NET_SALES","FQ2 2020","FQ2 2020","Currency=USD","Period=FQ","BEST_FPERIOD_OVERRIDE=FQ","FILING_STATUS=MR","SCALING_FORMAT=MLN","FA_ADJUSTED=GAAP","Sort=A","Dates=H","DateFormat=P","Fill=—","Direction=H","UseDPDF=Y")</f>
        <v>24301</v>
      </c>
      <c r="G30" s="13">
        <f>_xll.BDH("AMGN US Equity","TRAIL_12M_NET_SALES","FQ3 2020","FQ3 2020","Currency=USD","Period=FQ","BEST_FPERIOD_OVERRIDE=FQ","FILING_STATUS=MR","SCALING_FORMAT=MLN","FA_ADJUSTED=GAAP","Sort=A","Dates=H","DateFormat=P","Fill=—","Direction=H","UseDPDF=Y")</f>
        <v>24987</v>
      </c>
      <c r="H30" s="13">
        <f>_xll.BDH("AMGN US Equity","TRAIL_12M_NET_SALES","FQ4 2020","FQ4 2020","Currency=USD","Period=FQ","BEST_FPERIOD_OVERRIDE=FQ","FILING_STATUS=MR","SCALING_FORMAT=MLN","FA_ADJUSTED=GAAP","Sort=A","Dates=H","DateFormat=P","Fill=—","Direction=H","UseDPDF=Y")</f>
        <v>25424</v>
      </c>
      <c r="I30" s="13">
        <f>_xll.BDH("AMGN US Equity","TRAIL_12M_NET_SALES","FQ1 2021","FQ1 2021","Currency=USD","Period=FQ","BEST_FPERIOD_OVERRIDE=FQ","FILING_STATUS=MR","SCALING_FORMAT=MLN","FA_ADJUSTED=GAAP","Sort=A","Dates=H","DateFormat=P","Fill=—","Direction=H","UseDPDF=Y")</f>
        <v>25164</v>
      </c>
      <c r="J30" s="13">
        <f>_xll.BDH("AMGN US Equity","TRAIL_12M_NET_SALES","FQ2 2021","FQ2 2021","Currency=USD","Period=FQ","BEST_FPERIOD_OVERRIDE=FQ","FILING_STATUS=MR","SCALING_FORMAT=MLN","FA_ADJUSTED=GAAP","Sort=A","Dates=H","DateFormat=P","Fill=—","Direction=H","UseDPDF=Y")</f>
        <v>25484</v>
      </c>
      <c r="K30" s="13">
        <f>_xll.BDH("AMGN US Equity","TRAIL_12M_NET_SALES","FQ3 2021","FQ3 2021","Currency=USD","Period=FQ","BEST_FPERIOD_OVERRIDE=FQ","FILING_STATUS=MR","SCALING_FORMAT=MLN","FA_ADJUSTED=GAAP","Sort=A","Dates=H","DateFormat=P","Fill=—","Direction=H","UseDPDF=Y")</f>
        <v>25767</v>
      </c>
      <c r="L30" s="13">
        <f>_xll.BDH("AMGN US Equity","TRAIL_12M_NET_SALES","FQ4 2021","FQ4 2021","Currency=USD","Period=FQ","BEST_FPERIOD_OVERRIDE=FQ","FILING_STATUS=MR","SCALING_FORMAT=MLN","FA_ADJUSTED=GAAP","Sort=A","Dates=H","DateFormat=P","Fill=—","Direction=H","UseDPDF=Y")</f>
        <v>25979</v>
      </c>
      <c r="M30" s="13">
        <f>_xll.BDH("AMGN US Equity","TRAIL_12M_NET_SALES","FQ1 2022","FQ1 2022","Currency=USD","Period=FQ","BEST_FPERIOD_OVERRIDE=FQ","FILING_STATUS=MR","SCALING_FORMAT=MLN","FA_ADJUSTED=GAAP","Sort=A","Dates=H","DateFormat=P","Fill=—","Direction=H","UseDPDF=Y")</f>
        <v>26316</v>
      </c>
      <c r="N30" s="13">
        <f>_xll.BDH("AMGN US Equity","TRAIL_12M_NET_SALES","FQ2 2022","FQ2 2022","Currency=USD","Period=FQ","BEST_FPERIOD_OVERRIDE=FQ","FILING_STATUS=MR","SCALING_FORMAT=MLN","FA_ADJUSTED=GAAP","Sort=A","Dates=H","DateFormat=P","Fill=—","Direction=H","UseDPDF=Y")</f>
        <v>26384</v>
      </c>
      <c r="O30" s="13">
        <f>_xll.BDH("AMGN US Equity","TRAIL_12M_NET_SALES","FQ3 2022","FQ3 2022","Currency=USD","Period=FQ","BEST_FPERIOD_OVERRIDE=FQ","FILING_STATUS=MR","SCALING_FORMAT=MLN","FA_ADJUSTED=GAAP","Sort=A","Dates=H","DateFormat=P","Fill=—","Direction=H","UseDPDF=Y")</f>
        <v>26330</v>
      </c>
      <c r="P30" s="13">
        <f>_xll.BDH("AMGN US Equity","TRAIL_12M_NET_SALES","FQ4 2022","FQ4 2022","Currency=USD","Period=FQ","BEST_FPERIOD_OVERRIDE=FQ","FILING_STATUS=MR","SCALING_FORMAT=MLN","FA_ADJUSTED=GAAP","Sort=A","Dates=H","DateFormat=P","Fill=—","Direction=H","UseDPDF=Y")</f>
        <v>26323</v>
      </c>
      <c r="Q30" s="13">
        <f>_xll.BDH("AMGN US Equity","TRAIL_12M_NET_SALES","FQ1 2023","FQ1 2023","Currency=USD","Period=FQ","BEST_FPERIOD_OVERRIDE=FQ","FILING_STATUS=MR","SCALING_FORMAT=MLN","FA_ADJUSTED=GAAP","Sort=A","Dates=H","DateFormat=P","Fill=—","Direction=H","UseDPDF=Y")</f>
        <v>26190</v>
      </c>
      <c r="R30" s="13">
        <f>_xll.BDH("AMGN US Equity","TRAIL_12M_NET_SALES","FQ2 2023","FQ2 2023","Currency=USD","Period=FQ","BEST_FPERIOD_OVERRIDE=FQ","FILING_STATUS=MR","SCALING_FORMAT=MLN","FA_ADJUSTED=GAAP","Sort=A","Dates=H","DateFormat=P","Fill=—","Direction=H","UseDPDF=Y")</f>
        <v>26582</v>
      </c>
      <c r="S30" s="13">
        <f>_xll.BDH("AMGN US Equity","TRAIL_12M_NET_SALES","FQ3 2023","FQ3 2023","Currency=USD","Period=FQ","BEST_FPERIOD_OVERRIDE=FQ","FILING_STATUS=MR","SCALING_FORMAT=MLN","FA_ADJUSTED=GAAP","Sort=A","Dates=H","DateFormat=P","Fill=—","Direction=H","UseDPDF=Y")</f>
        <v>26833</v>
      </c>
      <c r="T30" s="13">
        <f>_xll.BDH("AMGN US Equity","TRAIL_12M_NET_SALES","FQ4 2023","FQ4 2023","Currency=USD","Period=FQ","BEST_FPERIOD_OVERRIDE=FQ","FILING_STATUS=MR","SCALING_FORMAT=MLN","FA_ADJUSTED=GAAP","Sort=A","Dates=H","DateFormat=P","Fill=—","Direction=H","UseDPDF=Y")</f>
        <v>28190</v>
      </c>
      <c r="U30" s="13">
        <f>_xll.BDH("AMGN US Equity","TRAIL_12M_NET_SALES","FQ1 2024","FQ1 2024","Currency=USD","Period=FQ","BEST_FPERIOD_OVERRIDE=FQ","FILING_STATUS=MR","SCALING_FORMAT=MLN","FA_ADJUSTED=GAAP","Sort=A","Dates=H","DateFormat=P","Fill=—","Direction=H","UseDPDF=Y")</f>
        <v>29532</v>
      </c>
      <c r="V30" s="13">
        <f>_xll.BDH("AMGN US Equity","TRAIL_12M_NET_SALES","FQ2 2024","FQ2 2024","Currency=USD","Period=FQ","BEST_FPERIOD_OVERRIDE=FQ","FILING_STATUS=MR","SCALING_FORMAT=MLN","FA_ADJUSTED=GAAP","Sort=A","Dates=H","DateFormat=P","Fill=—","Direction=H","UseDPDF=Y")</f>
        <v>30934</v>
      </c>
      <c r="W30" s="13">
        <f>_xll.BDH("AMGN US Equity","TRAIL_12M_NET_SALES","FQ3 2024","FQ3 2024","Currency=USD","Period=FQ","BEST_FPERIOD_OVERRIDE=FQ","FILING_STATUS=MR","SCALING_FORMAT=MLN","FA_ADJUSTED=GAAP","Sort=A","Dates=H","DateFormat=P","Fill=—","Direction=H","UseDPDF=Y")</f>
        <v>32534</v>
      </c>
      <c r="X30" s="13">
        <f>_xll.BDH("AMGN US Equity","TRAIL_12M_NET_SALES","FQ4 2024","FQ4 2024","Currency=USD","Period=FQ","BEST_FPERIOD_OVERRIDE=FQ","FILING_STATUS=MR","SCALING_FORMAT=MLN","FA_ADJUSTED=GAAP","Sort=A","Dates=H","DateFormat=P","Fill=—","Direction=H","UseDPDF=Y")</f>
        <v>33424</v>
      </c>
      <c r="Y30" s="16">
        <v>33424</v>
      </c>
      <c r="Z30" s="13">
        <v>35163.292000000001</v>
      </c>
      <c r="AA30" s="13">
        <v>35349.307999999997</v>
      </c>
    </row>
    <row r="31" spans="1:27" x14ac:dyDescent="0.25">
      <c r="A31" s="10" t="s">
        <v>78</v>
      </c>
      <c r="B31" s="10" t="s">
        <v>200</v>
      </c>
      <c r="C31" s="13">
        <f>_xll.BDH("AMGN US Equity","TRAIL_12M_EBITDA","FQ3 2019","FQ3 2019","Currency=USD","Period=FQ","BEST_FPERIOD_OVERRIDE=FQ","FILING_STATUS=MR","SCALING_FORMAT=MLN","FA_ADJUSTED=GAAP","Sort=A","Dates=H","DateFormat=P","Fill=—","Direction=H","UseDPDF=Y")</f>
        <v>12126</v>
      </c>
      <c r="D31" s="13">
        <f>_xll.BDH("AMGN US Equity","TRAIL_12M_EBITDA","FQ4 2019","FQ4 2019","Currency=USD","Period=FQ","BEST_FPERIOD_OVERRIDE=FQ","FILING_STATUS=MR","SCALING_FORMAT=MLN","FA_ADJUSTED=GAAP","Sort=A","Dates=H","DateFormat=P","Fill=—","Direction=H","UseDPDF=Y")</f>
        <v>12051</v>
      </c>
      <c r="E31" s="13">
        <f>_xll.BDH("AMGN US Equity","TRAIL_12M_EBITDA","FQ1 2020","FQ1 2020","Currency=USD","Period=FQ","BEST_FPERIOD_OVERRIDE=FQ","FILING_STATUS=MR","SCALING_FORMAT=MLN","FA_ADJUSTED=GAAP","Sort=A","Dates=H","DateFormat=P","Fill=—","Direction=H","UseDPDF=Y")</f>
        <v>12296</v>
      </c>
      <c r="F31" s="13">
        <f>_xll.BDH("AMGN US Equity","TRAIL_12M_EBITDA","FQ2 2020","FQ2 2020","Currency=USD","Period=FQ","BEST_FPERIOD_OVERRIDE=FQ","FILING_STATUS=MR","SCALING_FORMAT=MLN","FA_ADJUSTED=GAAP","Sort=A","Dates=H","DateFormat=P","Fill=—","Direction=H","UseDPDF=Y")</f>
        <v>12328</v>
      </c>
      <c r="G31" s="13">
        <f>_xll.BDH("AMGN US Equity","TRAIL_12M_EBITDA","FQ3 2020","FQ3 2020","Currency=USD","Period=FQ","BEST_FPERIOD_OVERRIDE=FQ","FILING_STATUS=MR","SCALING_FORMAT=MLN","FA_ADJUSTED=GAAP","Sort=A","Dates=H","DateFormat=P","Fill=—","Direction=H","UseDPDF=Y")</f>
        <v>12656</v>
      </c>
      <c r="H31" s="13">
        <f>_xll.BDH("AMGN US Equity","TRAIL_12M_EBITDA","FQ4 2020","FQ4 2020","Currency=USD","Period=FQ","BEST_FPERIOD_OVERRIDE=FQ","FILING_STATUS=MR","SCALING_FORMAT=MLN","FA_ADJUSTED=GAAP","Sort=A","Dates=H","DateFormat=P","Fill=—","Direction=H","UseDPDF=Y")</f>
        <v>12740</v>
      </c>
      <c r="I31" s="13">
        <f>_xll.BDH("AMGN US Equity","TRAIL_12M_EBITDA","FQ1 2021","FQ1 2021","Currency=USD","Period=FQ","BEST_FPERIOD_OVERRIDE=FQ","FILING_STATUS=MR","SCALING_FORMAT=MLN","FA_ADJUSTED=GAAP","Sort=A","Dates=H","DateFormat=P","Fill=—","Direction=H","UseDPDF=Y")</f>
        <v>12458</v>
      </c>
      <c r="J31" s="13">
        <f>_xll.BDH("AMGN US Equity","TRAIL_12M_EBITDA","FQ2 2021","FQ2 2021","Currency=USD","Period=FQ","BEST_FPERIOD_OVERRIDE=FQ","FILING_STATUS=MR","SCALING_FORMAT=MLN","FA_ADJUSTED=GAAP","Sort=A","Dates=H","DateFormat=P","Fill=—","Direction=H","UseDPDF=Y")</f>
        <v>10888</v>
      </c>
      <c r="K31" s="13">
        <f>_xll.BDH("AMGN US Equity","TRAIL_12M_EBITDA","FQ3 2021","FQ3 2021","Currency=USD","Period=FQ","BEST_FPERIOD_OVERRIDE=FQ","FILING_STATUS=MR","SCALING_FORMAT=MLN","FA_ADJUSTED=GAAP","Sort=A","Dates=H","DateFormat=P","Fill=—","Direction=H","UseDPDF=Y")</f>
        <v>10762</v>
      </c>
      <c r="L31" s="13">
        <f>_xll.BDH("AMGN US Equity","TRAIL_12M_EBITDA","FQ4 2021","FQ4 2021","Currency=USD","Period=FQ","BEST_FPERIOD_OVERRIDE=FQ","FILING_STATUS=MR","SCALING_FORMAT=MLN","FA_ADJUSTED=GAAP","Sort=A","Dates=H","DateFormat=P","Fill=—","Direction=H","UseDPDF=Y")</f>
        <v>11037</v>
      </c>
      <c r="M31" s="13">
        <f>_xll.BDH("AMGN US Equity","TRAIL_12M_EBITDA","FQ1 2022","FQ1 2022","Currency=USD","Period=FQ","BEST_FPERIOD_OVERRIDE=FQ","FILING_STATUS=MR","SCALING_FORMAT=MLN","FA_ADJUSTED=GAAP","Sort=A","Dates=H","DateFormat=P","Fill=—","Direction=H","UseDPDF=Y")</f>
        <v>11408</v>
      </c>
      <c r="N31" s="13">
        <f>_xll.BDH("AMGN US Equity","TRAIL_12M_EBITDA","FQ2 2022","FQ2 2022","Currency=USD","Period=FQ","BEST_FPERIOD_OVERRIDE=FQ","FILING_STATUS=MR","SCALING_FORMAT=MLN","FA_ADJUSTED=GAAP","Sort=A","Dates=H","DateFormat=P","Fill=—","Direction=H","UseDPDF=Y")</f>
        <v>12729</v>
      </c>
      <c r="O31" s="13">
        <f>_xll.BDH("AMGN US Equity","TRAIL_12M_EBITDA","FQ3 2022","FQ3 2022","Currency=USD","Period=FQ","BEST_FPERIOD_OVERRIDE=FQ","FILING_STATUS=MR","SCALING_FORMAT=MLN","FA_ADJUSTED=GAAP","Sort=A","Dates=H","DateFormat=P","Fill=—","Direction=H","UseDPDF=Y")</f>
        <v>12998</v>
      </c>
      <c r="P31" s="13">
        <f>_xll.BDH("AMGN US Equity","TRAIL_12M_EBITDA","FQ4 2022","FQ4 2022","Currency=USD","Period=FQ","BEST_FPERIOD_OVERRIDE=FQ","FILING_STATUS=MR","SCALING_FORMAT=MLN","FA_ADJUSTED=GAAP","Sort=A","Dates=H","DateFormat=P","Fill=—","Direction=H","UseDPDF=Y")</f>
        <v>12983</v>
      </c>
      <c r="Q31" s="13">
        <f>_xll.BDH("AMGN US Equity","TRAIL_12M_EBITDA","FQ1 2023","FQ1 2023","Currency=USD","Period=FQ","BEST_FPERIOD_OVERRIDE=FQ","FILING_STATUS=MR","SCALING_FORMAT=MLN","FA_ADJUSTED=GAAP","Sort=A","Dates=H","DateFormat=P","Fill=—","Direction=H","UseDPDF=Y")</f>
        <v>12463</v>
      </c>
      <c r="R31" s="13">
        <f>_xll.BDH("AMGN US Equity","TRAIL_12M_EBITDA","FQ2 2023","FQ2 2023","Currency=USD","Period=FQ","BEST_FPERIOD_OVERRIDE=FQ","FILING_STATUS=MR","SCALING_FORMAT=MLN","FA_ADJUSTED=GAAP","Sort=A","Dates=H","DateFormat=P","Fill=—","Direction=H","UseDPDF=Y")</f>
        <v>13039</v>
      </c>
      <c r="S31" s="13">
        <f>_xll.BDH("AMGN US Equity","TRAIL_12M_EBITDA","FQ3 2023","FQ3 2023","Currency=USD","Period=FQ","BEST_FPERIOD_OVERRIDE=FQ","FILING_STATUS=MR","SCALING_FORMAT=MLN","FA_ADJUSTED=GAAP","Sort=A","Dates=H","DateFormat=P","Fill=—","Direction=H","UseDPDF=Y")</f>
        <v>12458</v>
      </c>
      <c r="T31" s="13">
        <f>_xll.BDH("AMGN US Equity","TRAIL_12M_EBITDA","FQ4 2023","FQ4 2023","Currency=USD","Period=FQ","BEST_FPERIOD_OVERRIDE=FQ","FILING_STATUS=MR","SCALING_FORMAT=MLN","FA_ADJUSTED=GAAP","Sort=A","Dates=H","DateFormat=P","Fill=—","Direction=H","UseDPDF=Y")</f>
        <v>11968</v>
      </c>
      <c r="U31" s="13">
        <f>_xll.BDH("AMGN US Equity","TRAIL_12M_EBITDA","FQ1 2024","FQ1 2024","Currency=USD","Period=FQ","BEST_FPERIOD_OVERRIDE=FQ","FILING_STATUS=MR","SCALING_FORMAT=MLN","FA_ADJUSTED=GAAP","Sort=A","Dates=H","DateFormat=P","Fill=—","Direction=H","UseDPDF=Y")</f>
        <v>11537</v>
      </c>
      <c r="V31" s="13">
        <f>_xll.BDH("AMGN US Equity","TRAIL_12M_EBITDA","FQ2 2024","FQ2 2024","Currency=USD","Period=FQ","BEST_FPERIOD_OVERRIDE=FQ","FILING_STATUS=MR","SCALING_FORMAT=MLN","FA_ADJUSTED=GAAP","Sort=A","Dates=H","DateFormat=P","Fill=—","Direction=H","UseDPDF=Y")</f>
        <v>11266</v>
      </c>
      <c r="W31" s="13">
        <f>_xll.BDH("AMGN US Equity","TRAIL_12M_EBITDA","FQ3 2024","FQ3 2024","Currency=USD","Period=FQ","BEST_FPERIOD_OVERRIDE=FQ","FILING_STATUS=MR","SCALING_FORMAT=MLN","FA_ADJUSTED=GAAP","Sort=A","Dates=H","DateFormat=P","Fill=—","Direction=H","UseDPDF=Y")</f>
        <v>11793</v>
      </c>
      <c r="X31" s="13">
        <f>_xll.BDH("AMGN US Equity","TRAIL_12M_EBITDA","FQ4 2024","FQ4 2024","Currency=USD","Period=FQ","BEST_FPERIOD_OVERRIDE=FQ","FILING_STATUS=MR","SCALING_FORMAT=MLN","FA_ADJUSTED=GAAP","Sort=A","Dates=H","DateFormat=P","Fill=—","Direction=H","UseDPDF=Y")</f>
        <v>12850</v>
      </c>
      <c r="Y31" s="16">
        <v>12850</v>
      </c>
      <c r="Z31" s="13">
        <v>19150.5</v>
      </c>
      <c r="AA31" s="13">
        <v>19612.457999999999</v>
      </c>
    </row>
    <row r="32" spans="1:27" x14ac:dyDescent="0.25">
      <c r="A32" s="10" t="s">
        <v>141</v>
      </c>
      <c r="B32" s="10" t="s">
        <v>201</v>
      </c>
      <c r="C32" s="13">
        <f>_xll.BDH("AMGN US Equity","TRAIL_12M_OPER_INC","FQ3 2019","FQ3 2019","Currency=USD","Period=FQ","BEST_FPERIOD_OVERRIDE=FQ","FILING_STATUS=MR","SCALING_FORMAT=MLN","FA_ADJUSTED=GAAP","Sort=A","Dates=H","DateFormat=P","Fill=—","Direction=H","UseDPDF=Y")</f>
        <v>10008</v>
      </c>
      <c r="D32" s="13">
        <f>_xll.BDH("AMGN US Equity","TRAIL_12M_OPER_INC","FQ4 2019","FQ4 2019","Currency=USD","Period=FQ","BEST_FPERIOD_OVERRIDE=FQ","FILING_STATUS=MR","SCALING_FORMAT=MLN","FA_ADJUSTED=GAAP","Sort=A","Dates=H","DateFormat=P","Fill=—","Direction=H","UseDPDF=Y")</f>
        <v>9674</v>
      </c>
      <c r="E32" s="13">
        <f>_xll.BDH("AMGN US Equity","TRAIL_12M_OPER_INC","FQ1 2020","FQ1 2020","Currency=USD","Period=FQ","BEST_FPERIOD_OVERRIDE=FQ","FILING_STATUS=MR","SCALING_FORMAT=MLN","FA_ADJUSTED=GAAP","Sort=A","Dates=H","DateFormat=P","Fill=—","Direction=H","UseDPDF=Y")</f>
        <v>9557</v>
      </c>
      <c r="F32" s="13">
        <f>_xll.BDH("AMGN US Equity","TRAIL_12M_OPER_INC","FQ2 2020","FQ2 2020","Currency=USD","Period=FQ","BEST_FPERIOD_OVERRIDE=FQ","FILING_STATUS=MR","SCALING_FORMAT=MLN","FA_ADJUSTED=GAAP","Sort=A","Dates=H","DateFormat=P","Fill=—","Direction=H","UseDPDF=Y")</f>
        <v>9202</v>
      </c>
      <c r="G32" s="13">
        <f>_xll.BDH("AMGN US Equity","TRAIL_12M_OPER_INC","FQ3 2020","FQ3 2020","Currency=USD","Period=FQ","BEST_FPERIOD_OVERRIDE=FQ","FILING_STATUS=MR","SCALING_FORMAT=MLN","FA_ADJUSTED=GAAP","Sort=A","Dates=H","DateFormat=P","Fill=—","Direction=H","UseDPDF=Y")</f>
        <v>9179</v>
      </c>
      <c r="H32" s="13">
        <f>_xll.BDH("AMGN US Equity","TRAIL_12M_OPER_INC","FQ4 2020","FQ4 2020","Currency=USD","Period=FQ","BEST_FPERIOD_OVERRIDE=FQ","FILING_STATUS=MR","SCALING_FORMAT=MLN","FA_ADJUSTED=GAAP","Sort=A","Dates=H","DateFormat=P","Fill=—","Direction=H","UseDPDF=Y")</f>
        <v>9139</v>
      </c>
      <c r="I32" s="13">
        <f>_xll.BDH("AMGN US Equity","TRAIL_12M_OPER_INC","FQ1 2021","FQ1 2021","Currency=USD","Period=FQ","BEST_FPERIOD_OVERRIDE=FQ","FILING_STATUS=MR","SCALING_FORMAT=MLN","FA_ADJUSTED=GAAP","Sort=A","Dates=H","DateFormat=P","Fill=—","Direction=H","UseDPDF=Y")</f>
        <v>8913</v>
      </c>
      <c r="J32" s="13">
        <f>_xll.BDH("AMGN US Equity","TRAIL_12M_OPER_INC","FQ2 2021","FQ2 2021","Currency=USD","Period=FQ","BEST_FPERIOD_OVERRIDE=FQ","FILING_STATUS=MR","SCALING_FORMAT=MLN","FA_ADJUSTED=GAAP","Sort=A","Dates=H","DateFormat=P","Fill=—","Direction=H","UseDPDF=Y")</f>
        <v>7418</v>
      </c>
      <c r="K32" s="13">
        <f>_xll.BDH("AMGN US Equity","TRAIL_12M_OPER_INC","FQ3 2021","FQ3 2021","Currency=USD","Period=FQ","BEST_FPERIOD_OVERRIDE=FQ","FILING_STATUS=MR","SCALING_FORMAT=MLN","FA_ADJUSTED=GAAP","Sort=A","Dates=H","DateFormat=P","Fill=—","Direction=H","UseDPDF=Y")</f>
        <v>7343</v>
      </c>
      <c r="L32" s="13">
        <f>_xll.BDH("AMGN US Equity","TRAIL_12M_OPER_INC","FQ4 2021","FQ4 2021","Currency=USD","Period=FQ","BEST_FPERIOD_OVERRIDE=FQ","FILING_STATUS=MR","SCALING_FORMAT=MLN","FA_ADJUSTED=GAAP","Sort=A","Dates=H","DateFormat=P","Fill=—","Direction=H","UseDPDF=Y")</f>
        <v>7639</v>
      </c>
      <c r="M32" s="13">
        <f>_xll.BDH("AMGN US Equity","TRAIL_12M_OPER_INC","FQ1 2022","FQ1 2022","Currency=USD","Period=FQ","BEST_FPERIOD_OVERRIDE=FQ","FILING_STATUS=MR","SCALING_FORMAT=MLN","FA_ADJUSTED=GAAP","Sort=A","Dates=H","DateFormat=P","Fill=—","Direction=H","UseDPDF=Y")</f>
        <v>8010</v>
      </c>
      <c r="N32" s="13">
        <f>_xll.BDH("AMGN US Equity","TRAIL_12M_OPER_INC","FQ2 2022","FQ2 2022","Currency=USD","Period=FQ","BEST_FPERIOD_OVERRIDE=FQ","FILING_STATUS=MR","SCALING_FORMAT=MLN","FA_ADJUSTED=GAAP","Sort=A","Dates=H","DateFormat=P","Fill=—","Direction=H","UseDPDF=Y")</f>
        <v>9358</v>
      </c>
      <c r="O32" s="13">
        <f>_xll.BDH("AMGN US Equity","TRAIL_12M_OPER_INC","FQ3 2022","FQ3 2022","Currency=USD","Period=FQ","BEST_FPERIOD_OVERRIDE=FQ","FILING_STATUS=MR","SCALING_FORMAT=MLN","FA_ADJUSTED=GAAP","Sort=A","Dates=H","DateFormat=P","Fill=—","Direction=H","UseDPDF=Y")</f>
        <v>9640</v>
      </c>
      <c r="P32" s="13">
        <f>_xll.BDH("AMGN US Equity","TRAIL_12M_OPER_INC","FQ4 2022","FQ4 2022","Currency=USD","Period=FQ","BEST_FPERIOD_OVERRIDE=FQ","FILING_STATUS=MR","SCALING_FORMAT=MLN","FA_ADJUSTED=GAAP","Sort=A","Dates=H","DateFormat=P","Fill=—","Direction=H","UseDPDF=Y")</f>
        <v>9566</v>
      </c>
      <c r="Q32" s="13">
        <f>_xll.BDH("AMGN US Equity","TRAIL_12M_OPER_INC","FQ1 2023","FQ1 2023","Currency=USD","Period=FQ","BEST_FPERIOD_OVERRIDE=FQ","FILING_STATUS=MR","SCALING_FORMAT=MLN","FA_ADJUSTED=GAAP","Sort=A","Dates=H","DateFormat=P","Fill=—","Direction=H","UseDPDF=Y")</f>
        <v>8987</v>
      </c>
      <c r="R32" s="13">
        <f>_xll.BDH("AMGN US Equity","TRAIL_12M_OPER_INC","FQ2 2023","FQ2 2023","Currency=USD","Period=FQ","BEST_FPERIOD_OVERRIDE=FQ","FILING_STATUS=MR","SCALING_FORMAT=MLN","FA_ADJUSTED=GAAP","Sort=A","Dates=H","DateFormat=P","Fill=—","Direction=H","UseDPDF=Y")</f>
        <v>9495</v>
      </c>
      <c r="S32" s="13">
        <f>_xll.BDH("AMGN US Equity","TRAIL_12M_OPER_INC","FQ3 2023","FQ3 2023","Currency=USD","Period=FQ","BEST_FPERIOD_OVERRIDE=FQ","FILING_STATUS=MR","SCALING_FORMAT=MLN","FA_ADJUSTED=GAAP","Sort=A","Dates=H","DateFormat=P","Fill=—","Direction=H","UseDPDF=Y")</f>
        <v>8856</v>
      </c>
      <c r="T32" s="13">
        <f>_xll.BDH("AMGN US Equity","TRAIL_12M_OPER_INC","FQ4 2023","FQ4 2023","Currency=USD","Period=FQ","BEST_FPERIOD_OVERRIDE=FQ","FILING_STATUS=MR","SCALING_FORMAT=MLN","FA_ADJUSTED=GAAP","Sort=A","Dates=H","DateFormat=P","Fill=—","Direction=H","UseDPDF=Y")</f>
        <v>7897</v>
      </c>
      <c r="U32" s="13">
        <f>_xll.BDH("AMGN US Equity","TRAIL_12M_OPER_INC","FQ1 2024","FQ1 2024","Currency=USD","Period=FQ","BEST_FPERIOD_OVERRIDE=FQ","FILING_STATUS=MR","SCALING_FORMAT=MLN","FA_ADJUSTED=GAAP","Sort=A","Dates=H","DateFormat=P","Fill=—","Direction=H","UseDPDF=Y")</f>
        <v>6967</v>
      </c>
      <c r="V32" s="13">
        <f>_xll.BDH("AMGN US Equity","TRAIL_12M_OPER_INC","FQ2 2024","FQ2 2024","Currency=USD","Period=FQ","BEST_FPERIOD_OVERRIDE=FQ","FILING_STATUS=MR","SCALING_FORMAT=MLN","FA_ADJUSTED=GAAP","Sort=A","Dates=H","DateFormat=P","Fill=—","Direction=H","UseDPDF=Y")</f>
        <v>6192</v>
      </c>
      <c r="W32" s="13">
        <f>_xll.BDH("AMGN US Equity","TRAIL_12M_OPER_INC","FQ3 2024","FQ3 2024","Currency=USD","Period=FQ","BEST_FPERIOD_OVERRIDE=FQ","FILING_STATUS=MR","SCALING_FORMAT=MLN","FA_ADJUSTED=GAAP","Sort=A","Dates=H","DateFormat=P","Fill=—","Direction=H","UseDPDF=Y")</f>
        <v>6218</v>
      </c>
      <c r="X32" s="13">
        <f>_xll.BDH("AMGN US Equity","TRAIL_12M_OPER_INC","FQ4 2024","FQ4 2024","Currency=USD","Period=FQ","BEST_FPERIOD_OVERRIDE=FQ","FILING_STATUS=MR","SCALING_FORMAT=MLN","FA_ADJUSTED=GAAP","Sort=A","Dates=H","DateFormat=P","Fill=—","Direction=H","UseDPDF=Y")</f>
        <v>7258</v>
      </c>
      <c r="Y32" s="16">
        <v>7258</v>
      </c>
      <c r="Z32" s="13">
        <v>15560.652</v>
      </c>
      <c r="AA32" s="13">
        <v>15703.707</v>
      </c>
    </row>
    <row r="33" spans="1:27" x14ac:dyDescent="0.25">
      <c r="A33" s="10" t="s">
        <v>202</v>
      </c>
      <c r="B33" s="10" t="s">
        <v>203</v>
      </c>
      <c r="C33" s="13">
        <f>_xll.BDH("AMGN US Equity","TRAIL_12M_CASH_FLOW_FIRM","FQ3 2019","FQ3 2019","Currency=USD","Period=FQ","BEST_FPERIOD_OVERRIDE=FQ","FILING_STATUS=MR","SCALING_FORMAT=MLN","FA_ADJUSTED=GAAP","Sort=A","Dates=H","DateFormat=P","Fill=—","Direction=H","UseDPDF=Y")</f>
        <v>10987.364</v>
      </c>
      <c r="D33" s="13">
        <f>_xll.BDH("AMGN US Equity","TRAIL_12M_CASH_FLOW_FIRM","FQ4 2019","FQ4 2019","Currency=USD","Period=FQ","BEST_FPERIOD_OVERRIDE=FQ","FILING_STATUS=MR","SCALING_FORMAT=MLN","FA_ADJUSTED=GAAP","Sort=A","Dates=H","DateFormat=P","Fill=—","Direction=H","UseDPDF=Y")</f>
        <v>10256.187099999999</v>
      </c>
      <c r="E33" s="13">
        <f>_xll.BDH("AMGN US Equity","TRAIL_12M_CASH_FLOW_FIRM","FQ1 2020","FQ1 2020","Currency=USD","Period=FQ","BEST_FPERIOD_OVERRIDE=FQ","FILING_STATUS=MR","SCALING_FORMAT=MLN","FA_ADJUSTED=GAAP","Sort=A","Dates=H","DateFormat=P","Fill=—","Direction=H","UseDPDF=Y")</f>
        <v>10560.223400000001</v>
      </c>
      <c r="F33" s="13">
        <f>_xll.BDH("AMGN US Equity","TRAIL_12M_CASH_FLOW_FIRM","FQ2 2020","FQ2 2020","Currency=USD","Period=FQ","BEST_FPERIOD_OVERRIDE=FQ","FILING_STATUS=MR","SCALING_FORMAT=MLN","FA_ADJUSTED=GAAP","Sort=A","Dates=H","DateFormat=P","Fill=—","Direction=H","UseDPDF=Y")</f>
        <v>11970.1942</v>
      </c>
      <c r="G33" s="13">
        <f>_xll.BDH("AMGN US Equity","TRAIL_12M_CASH_FLOW_FIRM","FQ3 2020","FQ3 2020","Currency=USD","Period=FQ","BEST_FPERIOD_OVERRIDE=FQ","FILING_STATUS=MR","SCALING_FORMAT=MLN","FA_ADJUSTED=GAAP","Sort=A","Dates=H","DateFormat=P","Fill=—","Direction=H","UseDPDF=Y")</f>
        <v>11968.964900000001</v>
      </c>
      <c r="H33" s="13">
        <f>_xll.BDH("AMGN US Equity","TRAIL_12M_CASH_FLOW_FIRM","FQ4 2020","FQ4 2020","Currency=USD","Period=FQ","BEST_FPERIOD_OVERRIDE=FQ","FILING_STATUS=MR","SCALING_FORMAT=MLN","FA_ADJUSTED=GAAP","Sort=A","Dates=H","DateFormat=P","Fill=—","Direction=H","UseDPDF=Y")</f>
        <v>11884.156999999999</v>
      </c>
      <c r="I33" s="13">
        <f>_xll.BDH("AMGN US Equity","TRAIL_12M_CASH_FLOW_FIRM","FQ1 2021","FQ1 2021","Currency=USD","Period=FQ","BEST_FPERIOD_OVERRIDE=FQ","FILING_STATUS=MR","SCALING_FORMAT=MLN","FA_ADJUSTED=GAAP","Sort=A","Dates=H","DateFormat=P","Fill=—","Direction=H","UseDPDF=Y")</f>
        <v>11794.639300000001</v>
      </c>
      <c r="J33" s="13">
        <f>_xll.BDH("AMGN US Equity","TRAIL_12M_CASH_FLOW_FIRM","FQ2 2021","FQ2 2021","Currency=USD","Period=FQ","BEST_FPERIOD_OVERRIDE=FQ","FILING_STATUS=MR","SCALING_FORMAT=MLN","FA_ADJUSTED=GAAP","Sort=A","Dates=H","DateFormat=P","Fill=—","Direction=H","UseDPDF=Y")</f>
        <v>10864.7467</v>
      </c>
      <c r="K33" s="13">
        <f>_xll.BDH("AMGN US Equity","TRAIL_12M_CASH_FLOW_FIRM","FQ3 2021","FQ3 2021","Currency=USD","Period=FQ","BEST_FPERIOD_OVERRIDE=FQ","FILING_STATUS=MR","SCALING_FORMAT=MLN","FA_ADJUSTED=GAAP","Sort=A","Dates=H","DateFormat=P","Fill=—","Direction=H","UseDPDF=Y")</f>
        <v>9892.6201000000001</v>
      </c>
      <c r="L33" s="13">
        <f>_xll.BDH("AMGN US Equity","TRAIL_12M_CASH_FLOW_FIRM","FQ4 2021","FQ4 2021","Currency=USD","Period=FQ","BEST_FPERIOD_OVERRIDE=FQ","FILING_STATUS=MR","SCALING_FORMAT=MLN","FA_ADJUSTED=GAAP","Sort=A","Dates=H","DateFormat=P","Fill=—","Direction=H","UseDPDF=Y")</f>
        <v>10313.6669</v>
      </c>
      <c r="M33" s="13">
        <f>_xll.BDH("AMGN US Equity","TRAIL_12M_CASH_FLOW_FIRM","FQ1 2022","FQ1 2022","Currency=USD","Period=FQ","BEST_FPERIOD_OVERRIDE=FQ","FILING_STATUS=MR","SCALING_FORMAT=MLN","FA_ADJUSTED=GAAP","Sort=A","Dates=H","DateFormat=P","Fill=—","Direction=H","UseDPDF=Y")</f>
        <v>10380.619699999999</v>
      </c>
      <c r="N33" s="13">
        <f>_xll.BDH("AMGN US Equity","TRAIL_12M_CASH_FLOW_FIRM","FQ2 2022","FQ2 2022","Currency=USD","Period=FQ","BEST_FPERIOD_OVERRIDE=FQ","FILING_STATUS=MR","SCALING_FORMAT=MLN","FA_ADJUSTED=GAAP","Sort=A","Dates=H","DateFormat=P","Fill=—","Direction=H","UseDPDF=Y")</f>
        <v>10420.6813</v>
      </c>
      <c r="O33" s="13">
        <f>_xll.BDH("AMGN US Equity","TRAIL_12M_CASH_FLOW_FIRM","FQ3 2022","FQ3 2022","Currency=USD","Period=FQ","BEST_FPERIOD_OVERRIDE=FQ","FILING_STATUS=MR","SCALING_FORMAT=MLN","FA_ADJUSTED=GAAP","Sort=A","Dates=H","DateFormat=P","Fill=—","Direction=H","UseDPDF=Y")</f>
        <v>11052.623900000001</v>
      </c>
      <c r="P33" s="13">
        <f>_xll.BDH("AMGN US Equity","TRAIL_12M_CASH_FLOW_FIRM","FQ4 2022","FQ4 2022","Currency=USD","Period=FQ","BEST_FPERIOD_OVERRIDE=FQ","FILING_STATUS=MR","SCALING_FORMAT=MLN","FA_ADJUSTED=GAAP","Sort=A","Dates=H","DateFormat=P","Fill=—","Direction=H","UseDPDF=Y")</f>
        <v>10975.031000000001</v>
      </c>
      <c r="Q33" s="13">
        <f>_xll.BDH("AMGN US Equity","TRAIL_12M_CASH_FLOW_FIRM","FQ1 2023","FQ1 2023","Currency=USD","Period=FQ","BEST_FPERIOD_OVERRIDE=FQ","FILING_STATUS=MR","SCALING_FORMAT=MLN","FA_ADJUSTED=GAAP","Sort=A","Dates=H","DateFormat=P","Fill=—","Direction=H","UseDPDF=Y")</f>
        <v>10057.9272</v>
      </c>
      <c r="R33" s="13">
        <f>_xll.BDH("AMGN US Equity","TRAIL_12M_CASH_FLOW_FIRM","FQ2 2023","FQ2 2023","Currency=USD","Period=FQ","BEST_FPERIOD_OVERRIDE=FQ","FILING_STATUS=MR","SCALING_FORMAT=MLN","FA_ADJUSTED=GAAP","Sort=A","Dates=H","DateFormat=P","Fill=—","Direction=H","UseDPDF=Y")</f>
        <v>12602.9972</v>
      </c>
      <c r="S33" s="13">
        <f>_xll.BDH("AMGN US Equity","TRAIL_12M_CASH_FLOW_FIRM","FQ3 2023","FQ3 2023","Currency=USD","Period=FQ","BEST_FPERIOD_OVERRIDE=FQ","FILING_STATUS=MR","SCALING_FORMAT=MLN","FA_ADJUSTED=GAAP","Sort=A","Dates=H","DateFormat=P","Fill=—","Direction=H","UseDPDF=Y")</f>
        <v>12716.6651</v>
      </c>
      <c r="T33" s="13">
        <f>_xll.BDH("AMGN US Equity","TRAIL_12M_CASH_FLOW_FIRM","FQ4 2023","FQ4 2023","Currency=USD","Period=FQ","BEST_FPERIOD_OVERRIDE=FQ","FILING_STATUS=MR","SCALING_FORMAT=MLN","FA_ADJUSTED=GAAP","Sort=A","Dates=H","DateFormat=P","Fill=—","Direction=H","UseDPDF=Y")</f>
        <v>10929.481900000001</v>
      </c>
      <c r="U33" s="13">
        <f>_xll.BDH("AMGN US Equity","TRAIL_12M_CASH_FLOW_FIRM","FQ1 2024","FQ1 2024","Currency=USD","Period=FQ","BEST_FPERIOD_OVERRIDE=FQ","FILING_STATUS=MR","SCALING_FORMAT=MLN","FA_ADJUSTED=GAAP","Sort=A","Dates=H","DateFormat=P","Fill=—","Direction=H","UseDPDF=Y")</f>
        <v>10829.2631</v>
      </c>
      <c r="V33" s="13">
        <f>_xll.BDH("AMGN US Equity","TRAIL_12M_CASH_FLOW_FIRM","FQ2 2024","FQ2 2024","Currency=USD","Period=FQ","BEST_FPERIOD_OVERRIDE=FQ","FILING_STATUS=MR","SCALING_FORMAT=MLN","FA_ADJUSTED=GAAP","Sort=A","Dates=H","DateFormat=P","Fill=—","Direction=H","UseDPDF=Y")</f>
        <v>9298.0738000000001</v>
      </c>
      <c r="W33" s="13">
        <f>_xll.BDH("AMGN US Equity","TRAIL_12M_CASH_FLOW_FIRM","FQ3 2024","FQ3 2024","Currency=USD","Period=FQ","BEST_FPERIOD_OVERRIDE=FQ","FILING_STATUS=MR","SCALING_FORMAT=MLN","FA_ADJUSTED=GAAP","Sort=A","Dates=H","DateFormat=P","Fill=—","Direction=H","UseDPDF=Y")</f>
        <v>10176.143</v>
      </c>
      <c r="X33" s="13">
        <f>_xll.BDH("AMGN US Equity","TRAIL_12M_CASH_FLOW_FIRM","FQ4 2024","FQ4 2024","Currency=USD","Period=FQ","BEST_FPERIOD_OVERRIDE=FQ","FILING_STATUS=MR","SCALING_FORMAT=MLN","FA_ADJUSTED=GAAP","Sort=A","Dates=H","DateFormat=P","Fill=—","Direction=H","UseDPDF=Y")</f>
        <v>14289.728800000001</v>
      </c>
      <c r="Y33" s="16">
        <v>14289.728791494899</v>
      </c>
      <c r="Z33" s="13"/>
      <c r="AA33" s="13"/>
    </row>
    <row r="34" spans="1:27" x14ac:dyDescent="0.25">
      <c r="A34" s="10" t="s">
        <v>204</v>
      </c>
      <c r="B34" s="10" t="s">
        <v>205</v>
      </c>
      <c r="C34" s="13">
        <f>_xll.BDH("AMGN US Equity","TRAIL_12M_FREE_CASH_FLOW_FIRM","FQ3 2019","FQ3 2019","Currency=USD","Period=FQ","BEST_FPERIOD_OVERRIDE=FQ","FILING_STATUS=MR","SCALING_FORMAT=MLN","FA_ADJUSTED=GAAP","Sort=A","Dates=H","DateFormat=P","Fill=—","Direction=H","UseDPDF=Y")</f>
        <v>10332.364</v>
      </c>
      <c r="D34" s="13">
        <f>_xll.BDH("AMGN US Equity","TRAIL_12M_FREE_CASH_FLOW_FIRM","FQ4 2019","FQ4 2019","Currency=USD","Period=FQ","BEST_FPERIOD_OVERRIDE=FQ","FILING_STATUS=MR","SCALING_FORMAT=MLN","FA_ADJUSTED=GAAP","Sort=A","Dates=H","DateFormat=P","Fill=—","Direction=H","UseDPDF=Y")</f>
        <v>9638.1870999999992</v>
      </c>
      <c r="E34" s="13">
        <f>_xll.BDH("AMGN US Equity","TRAIL_12M_FREE_CASH_FLOW_FIRM","FQ1 2020","FQ1 2020","Currency=USD","Period=FQ","BEST_FPERIOD_OVERRIDE=FQ","FILING_STATUS=MR","SCALING_FORMAT=MLN","FA_ADJUSTED=GAAP","Sort=A","Dates=H","DateFormat=P","Fill=—","Direction=H","UseDPDF=Y")</f>
        <v>9916.2234000000008</v>
      </c>
      <c r="F34" s="13">
        <f>_xll.BDH("AMGN US Equity","TRAIL_12M_FREE_CASH_FLOW_FIRM","FQ2 2020","FQ2 2020","Currency=USD","Period=FQ","BEST_FPERIOD_OVERRIDE=FQ","FILING_STATUS=MR","SCALING_FORMAT=MLN","FA_ADJUSTED=GAAP","Sort=A","Dates=H","DateFormat=P","Fill=—","Direction=H","UseDPDF=Y")</f>
        <v>11312.1942</v>
      </c>
      <c r="G34" s="13">
        <f>_xll.BDH("AMGN US Equity","TRAIL_12M_FREE_CASH_FLOW_FIRM","FQ3 2020","FQ3 2020","Currency=USD","Period=FQ","BEST_FPERIOD_OVERRIDE=FQ","FILING_STATUS=MR","SCALING_FORMAT=MLN","FA_ADJUSTED=GAAP","Sort=A","Dates=H","DateFormat=P","Fill=—","Direction=H","UseDPDF=Y")</f>
        <v>11345.964900000001</v>
      </c>
      <c r="H34" s="13">
        <f>_xll.BDH("AMGN US Equity","TRAIL_12M_FREE_CASH_FLOW_FIRM","FQ4 2020","FQ4 2020","Currency=USD","Period=FQ","BEST_FPERIOD_OVERRIDE=FQ","FILING_STATUS=MR","SCALING_FORMAT=MLN","FA_ADJUSTED=GAAP","Sort=A","Dates=H","DateFormat=P","Fill=—","Direction=H","UseDPDF=Y")</f>
        <v>11276.156999999999</v>
      </c>
      <c r="I34" s="13">
        <f>_xll.BDH("AMGN US Equity","TRAIL_12M_FREE_CASH_FLOW_FIRM","FQ1 2021","FQ1 2021","Currency=USD","Period=FQ","BEST_FPERIOD_OVERRIDE=FQ","FILING_STATUS=MR","SCALING_FORMAT=MLN","FA_ADJUSTED=GAAP","Sort=A","Dates=H","DateFormat=P","Fill=—","Direction=H","UseDPDF=Y")</f>
        <v>11162.639300000001</v>
      </c>
      <c r="J34" s="13">
        <f>_xll.BDH("AMGN US Equity","TRAIL_12M_FREE_CASH_FLOW_FIRM","FQ2 2021","FQ2 2021","Currency=USD","Period=FQ","BEST_FPERIOD_OVERRIDE=FQ","FILING_STATUS=MR","SCALING_FORMAT=MLN","FA_ADJUSTED=GAAP","Sort=A","Dates=H","DateFormat=P","Fill=—","Direction=H","UseDPDF=Y")</f>
        <v>10205.7467</v>
      </c>
      <c r="K34" s="13">
        <f>_xll.BDH("AMGN US Equity","TRAIL_12M_FREE_CASH_FLOW_FIRM","FQ3 2021","FQ3 2021","Currency=USD","Period=FQ","BEST_FPERIOD_OVERRIDE=FQ","FILING_STATUS=MR","SCALING_FORMAT=MLN","FA_ADJUSTED=GAAP","Sort=A","Dates=H","DateFormat=P","Fill=—","Direction=H","UseDPDF=Y")</f>
        <v>9126.6201000000001</v>
      </c>
      <c r="L34" s="13">
        <f>_xll.BDH("AMGN US Equity","TRAIL_12M_FREE_CASH_FLOW_FIRM","FQ4 2021","FQ4 2021","Currency=USD","Period=FQ","BEST_FPERIOD_OVERRIDE=FQ","FILING_STATUS=MR","SCALING_FORMAT=MLN","FA_ADJUSTED=GAAP","Sort=A","Dates=H","DateFormat=P","Fill=—","Direction=H","UseDPDF=Y")</f>
        <v>9433.6669000000002</v>
      </c>
      <c r="M34" s="13">
        <f>_xll.BDH("AMGN US Equity","TRAIL_12M_FREE_CASH_FLOW_FIRM","FQ1 2022","FQ1 2022","Currency=USD","Period=FQ","BEST_FPERIOD_OVERRIDE=FQ","FILING_STATUS=MR","SCALING_FORMAT=MLN","FA_ADJUSTED=GAAP","Sort=A","Dates=H","DateFormat=P","Fill=—","Direction=H","UseDPDF=Y")</f>
        <v>9476.6196999999993</v>
      </c>
      <c r="N34" s="13">
        <f>_xll.BDH("AMGN US Equity","TRAIL_12M_FREE_CASH_FLOW_FIRM","FQ2 2022","FQ2 2022","Currency=USD","Period=FQ","BEST_FPERIOD_OVERRIDE=FQ","FILING_STATUS=MR","SCALING_FORMAT=MLN","FA_ADJUSTED=GAAP","Sort=A","Dates=H","DateFormat=P","Fill=—","Direction=H","UseDPDF=Y")</f>
        <v>9455.6813000000002</v>
      </c>
      <c r="O34" s="13">
        <f>_xll.BDH("AMGN US Equity","TRAIL_12M_FREE_CASH_FLOW_FIRM","FQ3 2022","FQ3 2022","Currency=USD","Period=FQ","BEST_FPERIOD_OVERRIDE=FQ","FILING_STATUS=MR","SCALING_FORMAT=MLN","FA_ADJUSTED=GAAP","Sort=A","Dates=H","DateFormat=P","Fill=—","Direction=H","UseDPDF=Y")</f>
        <v>10169.623900000001</v>
      </c>
      <c r="P34" s="13">
        <f>_xll.BDH("AMGN US Equity","TRAIL_12M_FREE_CASH_FLOW_FIRM","FQ4 2022","FQ4 2022","Currency=USD","Period=FQ","BEST_FPERIOD_OVERRIDE=FQ","FILING_STATUS=MR","SCALING_FORMAT=MLN","FA_ADJUSTED=GAAP","Sort=A","Dates=H","DateFormat=P","Fill=—","Direction=H","UseDPDF=Y")</f>
        <v>10039.031000000001</v>
      </c>
      <c r="Q34" s="13">
        <f>_xll.BDH("AMGN US Equity","TRAIL_12M_FREE_CASH_FLOW_FIRM","FQ1 2023","FQ1 2023","Currency=USD","Period=FQ","BEST_FPERIOD_OVERRIDE=FQ","FILING_STATUS=MR","SCALING_FORMAT=MLN","FA_ADJUSTED=GAAP","Sort=A","Dates=H","DateFormat=P","Fill=—","Direction=H","UseDPDF=Y")</f>
        <v>8967.9272000000001</v>
      </c>
      <c r="R34" s="13">
        <f>_xll.BDH("AMGN US Equity","TRAIL_12M_FREE_CASH_FLOW_FIRM","FQ2 2023","FQ2 2023","Currency=USD","Period=FQ","BEST_FPERIOD_OVERRIDE=FQ","FILING_STATUS=MR","SCALING_FORMAT=MLN","FA_ADJUSTED=GAAP","Sort=A","Dates=H","DateFormat=P","Fill=—","Direction=H","UseDPDF=Y")</f>
        <v>11487.9972</v>
      </c>
      <c r="S34" s="13">
        <f>_xll.BDH("AMGN US Equity","TRAIL_12M_FREE_CASH_FLOW_FIRM","FQ3 2023","FQ3 2023","Currency=USD","Period=FQ","BEST_FPERIOD_OVERRIDE=FQ","FILING_STATUS=MR","SCALING_FORMAT=MLN","FA_ADJUSTED=GAAP","Sort=A","Dates=H","DateFormat=P","Fill=—","Direction=H","UseDPDF=Y")</f>
        <v>11513.6651</v>
      </c>
      <c r="T34" s="13">
        <f>_xll.BDH("AMGN US Equity","TRAIL_12M_FREE_CASH_FLOW_FIRM","FQ4 2023","FQ4 2023","Currency=USD","Period=FQ","BEST_FPERIOD_OVERRIDE=FQ","FILING_STATUS=MR","SCALING_FORMAT=MLN","FA_ADJUSTED=GAAP","Sort=A","Dates=H","DateFormat=P","Fill=—","Direction=H","UseDPDF=Y")</f>
        <v>9817.4819000000007</v>
      </c>
      <c r="U34" s="13">
        <f>_xll.BDH("AMGN US Equity","TRAIL_12M_FREE_CASH_FLOW_FIRM","FQ1 2024","FQ1 2024","Currency=USD","Period=FQ","BEST_FPERIOD_OVERRIDE=FQ","FILING_STATUS=MR","SCALING_FORMAT=MLN","FA_ADJUSTED=GAAP","Sort=A","Dates=H","DateFormat=P","Fill=—","Direction=H","UseDPDF=Y")</f>
        <v>9831.2631000000001</v>
      </c>
      <c r="V34" s="13">
        <f>_xll.BDH("AMGN US Equity","TRAIL_12M_FREE_CASH_FLOW_FIRM","FQ2 2024","FQ2 2024","Currency=USD","Period=FQ","BEST_FPERIOD_OVERRIDE=FQ","FILING_STATUS=MR","SCALING_FORMAT=MLN","FA_ADJUSTED=GAAP","Sort=A","Dates=H","DateFormat=P","Fill=—","Direction=H","UseDPDF=Y")</f>
        <v>8333.0738000000001</v>
      </c>
      <c r="W34" s="13">
        <f>_xll.BDH("AMGN US Equity","TRAIL_12M_FREE_CASH_FLOW_FIRM","FQ3 2024","FQ3 2024","Currency=USD","Period=FQ","BEST_FPERIOD_OVERRIDE=FQ","FILING_STATUS=MR","SCALING_FORMAT=MLN","FA_ADJUSTED=GAAP","Sort=A","Dates=H","DateFormat=P","Fill=—","Direction=H","UseDPDF=Y")</f>
        <v>9202.143</v>
      </c>
      <c r="X34" s="13">
        <f>_xll.BDH("AMGN US Equity","TRAIL_12M_FREE_CASH_FLOW_FIRM","FQ4 2024","FQ4 2024","Currency=USD","Period=FQ","BEST_FPERIOD_OVERRIDE=FQ","FILING_STATUS=MR","SCALING_FORMAT=MLN","FA_ADJUSTED=GAAP","Sort=A","Dates=H","DateFormat=P","Fill=—","Direction=H","UseDPDF=Y")</f>
        <v>13193.728800000001</v>
      </c>
      <c r="Y34" s="16">
        <v>13193.728791494899</v>
      </c>
      <c r="Z34" s="13"/>
      <c r="AA34" s="13"/>
    </row>
    <row r="35" spans="1:27" x14ac:dyDescent="0.25">
      <c r="A35" s="7" t="s">
        <v>90</v>
      </c>
      <c r="B35" s="7"/>
      <c r="C35" s="7" t="s">
        <v>5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5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206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4" t="s">
        <v>19</v>
      </c>
      <c r="M4" s="4" t="s">
        <v>20</v>
      </c>
      <c r="N4" s="4" t="s">
        <v>21</v>
      </c>
      <c r="O4" s="4" t="s">
        <v>22</v>
      </c>
      <c r="P4" s="4" t="s">
        <v>23</v>
      </c>
      <c r="Q4" s="4" t="s">
        <v>24</v>
      </c>
      <c r="R4" s="4" t="s">
        <v>25</v>
      </c>
      <c r="S4" s="4" t="s">
        <v>26</v>
      </c>
      <c r="T4" s="4" t="s">
        <v>27</v>
      </c>
      <c r="U4" s="4" t="s">
        <v>28</v>
      </c>
      <c r="V4" s="4" t="s">
        <v>29</v>
      </c>
      <c r="W4" s="4" t="s">
        <v>30</v>
      </c>
      <c r="X4" s="4" t="s">
        <v>31</v>
      </c>
      <c r="Y4" s="4" t="s">
        <v>164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36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41</v>
      </c>
      <c r="I5" s="5" t="s">
        <v>42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5" t="s">
        <v>48</v>
      </c>
      <c r="P5" s="5" t="s">
        <v>49</v>
      </c>
      <c r="Q5" s="5" t="s">
        <v>50</v>
      </c>
      <c r="R5" s="5" t="s">
        <v>51</v>
      </c>
      <c r="S5" s="5" t="s">
        <v>52</v>
      </c>
      <c r="T5" s="5" t="s">
        <v>53</v>
      </c>
      <c r="U5" s="5" t="s">
        <v>54</v>
      </c>
      <c r="V5" s="5" t="s">
        <v>55</v>
      </c>
      <c r="W5" s="5" t="s">
        <v>56</v>
      </c>
      <c r="X5" s="5" t="s">
        <v>57</v>
      </c>
      <c r="Y5" s="5" t="s">
        <v>165</v>
      </c>
      <c r="Z5" s="5" t="s">
        <v>58</v>
      </c>
      <c r="AA5" s="5" t="s">
        <v>59</v>
      </c>
    </row>
    <row r="6" spans="1:27" x14ac:dyDescent="0.25">
      <c r="A6" s="6" t="s">
        <v>207</v>
      </c>
      <c r="B6" s="6" t="s">
        <v>208</v>
      </c>
      <c r="C6" s="20">
        <f>_xll.BDH("AMGN US Equity","PE_RATIO","FQ3 2019","FQ3 2019","Currency=USD","Period=FQ","BEST_FPERIOD_OVERRIDE=FQ","FILING_STATUS=MR","Sort=A","Dates=H","DateFormat=P","Fill=—","Direction=H","UseDPDF=Y")</f>
        <v>14.764699999999999</v>
      </c>
      <c r="D6" s="20">
        <f>_xll.BDH("AMGN US Equity","PE_RATIO","FQ4 2019","FQ4 2019","Currency=USD","Period=FQ","BEST_FPERIOD_OVERRIDE=FQ","FILING_STATUS=MR","Sort=A","Dates=H","DateFormat=P","Fill=—","Direction=H","UseDPDF=Y")</f>
        <v>18.5197</v>
      </c>
      <c r="E6" s="20">
        <f>_xll.BDH("AMGN US Equity","PE_RATIO","FQ1 2020","FQ1 2020","Currency=USD","Period=FQ","BEST_FPERIOD_OVERRIDE=FQ","FILING_STATUS=MR","Sort=A","Dates=H","DateFormat=P","Fill=—","Direction=H","UseDPDF=Y")</f>
        <v>15.677</v>
      </c>
      <c r="F6" s="20">
        <f>_xll.BDH("AMGN US Equity","PE_RATIO","FQ2 2020","FQ2 2020","Currency=USD","Period=FQ","BEST_FPERIOD_OVERRIDE=FQ","FILING_STATUS=MR","Sort=A","Dates=H","DateFormat=P","Fill=—","Direction=H","UseDPDF=Y")</f>
        <v>18.858599999999999</v>
      </c>
      <c r="G6" s="20">
        <f>_xll.BDH("AMGN US Equity","PE_RATIO","FQ3 2020","FQ3 2020","Currency=USD","Period=FQ","BEST_FPERIOD_OVERRIDE=FQ","FILING_STATUS=MR","Sort=A","Dates=H","DateFormat=P","Fill=—","Direction=H","UseDPDF=Y")</f>
        <v>18.708200000000001</v>
      </c>
      <c r="H6" s="20">
        <f>_xll.BDH("AMGN US Equity","PE_RATIO","FQ4 2020","FQ4 2020","Currency=USD","Period=FQ","BEST_FPERIOD_OVERRIDE=FQ","FILING_STATUS=MR","Sort=A","Dates=H","DateFormat=P","Fill=—","Direction=H","UseDPDF=Y")</f>
        <v>17.052</v>
      </c>
      <c r="I6" s="20">
        <f>_xll.BDH("AMGN US Equity","PE_RATIO","FQ1 2021","FQ1 2021","Currency=USD","Period=FQ","BEST_FPERIOD_OVERRIDE=FQ","FILING_STATUS=MR","Sort=A","Dates=H","DateFormat=P","Fill=—","Direction=H","UseDPDF=Y")</f>
        <v>17.761700000000001</v>
      </c>
      <c r="J6" s="20">
        <f>_xll.BDH("AMGN US Equity","PE_RATIO","FQ2 2021","FQ2 2021","Currency=USD","Period=FQ","BEST_FPERIOD_OVERRIDE=FQ","FILING_STATUS=MR","Sort=A","Dates=H","DateFormat=P","Fill=—","Direction=H","UseDPDF=Y")</f>
        <v>16.084399999999999</v>
      </c>
      <c r="K6" s="20">
        <f>_xll.BDH("AMGN US Equity","PE_RATIO","FQ3 2021","FQ3 2021","Currency=USD","Period=FQ","BEST_FPERIOD_OVERRIDE=FQ","FILING_STATUS=MR","Sort=A","Dates=H","DateFormat=P","Fill=—","Direction=H","UseDPDF=Y")</f>
        <v>15.4145</v>
      </c>
      <c r="L6" s="20">
        <f>_xll.BDH("AMGN US Equity","PE_RATIO","FQ4 2021","FQ4 2021","Currency=USD","Period=FQ","BEST_FPERIOD_OVERRIDE=FQ","FILING_STATUS=MR","Sort=A","Dates=H","DateFormat=P","Fill=—","Direction=H","UseDPDF=Y")</f>
        <v>15.7873</v>
      </c>
      <c r="M6" s="20">
        <f>_xll.BDH("AMGN US Equity","PE_RATIO","FQ1 2022","FQ1 2022","Currency=USD","Period=FQ","BEST_FPERIOD_OVERRIDE=FQ","FILING_STATUS=MR","Sort=A","Dates=H","DateFormat=P","Fill=—","Direction=H","UseDPDF=Y")</f>
        <v>16.335000000000001</v>
      </c>
      <c r="N6" s="20">
        <f>_xll.BDH("AMGN US Equity","PE_RATIO","FQ2 2022","FQ2 2022","Currency=USD","Period=FQ","BEST_FPERIOD_OVERRIDE=FQ","FILING_STATUS=MR","Sort=A","Dates=H","DateFormat=P","Fill=—","Direction=H","UseDPDF=Y")</f>
        <v>16.164300000000001</v>
      </c>
      <c r="O6" s="20">
        <f>_xll.BDH("AMGN US Equity","PE_RATIO","FQ3 2022","FQ3 2022","Currency=USD","Period=FQ","BEST_FPERIOD_OVERRIDE=FQ","FILING_STATUS=MR","Sort=A","Dates=H","DateFormat=P","Fill=—","Direction=H","UseDPDF=Y")</f>
        <v>14.253399999999999</v>
      </c>
      <c r="P6" s="20">
        <f>_xll.BDH("AMGN US Equity","PE_RATIO","FQ4 2022","FQ4 2022","Currency=USD","Period=FQ","BEST_FPERIOD_OVERRIDE=FQ","FILING_STATUS=MR","Sort=A","Dates=H","DateFormat=P","Fill=—","Direction=H","UseDPDF=Y")</f>
        <v>17.1388</v>
      </c>
      <c r="Q6" s="20">
        <f>_xll.BDH("AMGN US Equity","PE_RATIO","FQ1 2023","FQ1 2023","Currency=USD","Period=FQ","BEST_FPERIOD_OVERRIDE=FQ","FILING_STATUS=MR","Sort=A","Dates=H","DateFormat=P","Fill=—","Direction=H","UseDPDF=Y")</f>
        <v>16.2224</v>
      </c>
      <c r="R6" s="20">
        <f>_xll.BDH("AMGN US Equity","PE_RATIO","FQ2 2023","FQ2 2023","Currency=USD","Period=FQ","BEST_FPERIOD_OVERRIDE=FQ","FILING_STATUS=MR","Sort=A","Dates=H","DateFormat=P","Fill=—","Direction=H","UseDPDF=Y")</f>
        <v>16.104399999999998</v>
      </c>
      <c r="S6" s="20">
        <f>_xll.BDH("AMGN US Equity","PE_RATIO","FQ3 2023","FQ3 2023","Currency=USD","Period=FQ","BEST_FPERIOD_OVERRIDE=FQ","FILING_STATUS=MR","Sort=A","Dates=H","DateFormat=P","Fill=—","Direction=H","UseDPDF=Y")</f>
        <v>19.349599999999999</v>
      </c>
      <c r="T6" s="20">
        <f>_xll.BDH("AMGN US Equity","PE_RATIO","FQ4 2023","FQ4 2023","Currency=USD","Period=FQ","BEST_FPERIOD_OVERRIDE=FQ","FILING_STATUS=MR","Sort=A","Dates=H","DateFormat=P","Fill=—","Direction=H","UseDPDF=Y")</f>
        <v>22.235499999999998</v>
      </c>
      <c r="U6" s="20">
        <f>_xll.BDH("AMGN US Equity","PE_RATIO","FQ1 2024","FQ1 2024","Currency=USD","Period=FQ","BEST_FPERIOD_OVERRIDE=FQ","FILING_STATUS=MR","Sort=A","Dates=H","DateFormat=P","Fill=—","Direction=H","UseDPDF=Y")</f>
        <v>28.438500000000001</v>
      </c>
      <c r="V6" s="20">
        <f>_xll.BDH("AMGN US Equity","PE_RATIO","FQ2 2024","FQ2 2024","Currency=USD","Period=FQ","BEST_FPERIOD_OVERRIDE=FQ","FILING_STATUS=MR","Sort=A","Dates=H","DateFormat=P","Fill=—","Direction=H","UseDPDF=Y")</f>
        <v>35.585700000000003</v>
      </c>
      <c r="W6" s="20">
        <f>_xll.BDH("AMGN US Equity","PE_RATIO","FQ3 2024","FQ3 2024","Currency=USD","Period=FQ","BEST_FPERIOD_OVERRIDE=FQ","FILING_STATUS=MR","Sort=A","Dates=H","DateFormat=P","Fill=—","Direction=H","UseDPDF=Y")</f>
        <v>37.117600000000003</v>
      </c>
      <c r="X6" s="20">
        <f>_xll.BDH("AMGN US Equity","PE_RATIO","FQ4 2024","FQ4 2024","Currency=USD","Period=FQ","BEST_FPERIOD_OVERRIDE=FQ","FILING_STATUS=MR","Sort=A","Dates=H","DateFormat=P","Fill=—","Direction=H","UseDPDF=Y")</f>
        <v>28.259</v>
      </c>
      <c r="Y6" s="23">
        <v>33.352689695424701</v>
      </c>
      <c r="Z6" s="20">
        <v>14.887480036780699</v>
      </c>
      <c r="AA6" s="20">
        <v>14.613082513894801</v>
      </c>
    </row>
    <row r="7" spans="1:27" x14ac:dyDescent="0.25">
      <c r="A7" s="10" t="s">
        <v>209</v>
      </c>
      <c r="B7" s="10" t="s">
        <v>210</v>
      </c>
      <c r="C7" s="14">
        <f>_xll.BDH("AMGN US Equity","AVERAGE_PRICE_EARNINGS_RATIO","FQ3 2019","FQ3 2019","Currency=USD","Period=FQ","BEST_FPERIOD_OVERRIDE=FQ","FILING_STATUS=MR","Sort=A","Dates=H","DateFormat=P","Fill=—","Direction=H","UseDPDF=Y")</f>
        <v>14.624499999999999</v>
      </c>
      <c r="D7" s="14">
        <f>_xll.BDH("AMGN US Equity","AVERAGE_PRICE_EARNINGS_RATIO","FQ4 2019","FQ4 2019","Currency=USD","Period=FQ","BEST_FPERIOD_OVERRIDE=FQ","FILING_STATUS=MR","Sort=A","Dates=H","DateFormat=P","Fill=—","Direction=H","UseDPDF=Y")</f>
        <v>16.820599999999999</v>
      </c>
      <c r="E7" s="14">
        <f>_xll.BDH("AMGN US Equity","AVERAGE_PRICE_EARNINGS_RATIO","FQ1 2020","FQ1 2020","Currency=USD","Period=FQ","BEST_FPERIOD_OVERRIDE=FQ","FILING_STATUS=MR","Sort=A","Dates=H","DateFormat=P","Fill=—","Direction=H","UseDPDF=Y")</f>
        <v>16.781700000000001</v>
      </c>
      <c r="F7" s="14">
        <f>_xll.BDH("AMGN US Equity","AVERAGE_PRICE_EARNINGS_RATIO","FQ2 2020","FQ2 2020","Currency=USD","Period=FQ","BEST_FPERIOD_OVERRIDE=FQ","FILING_STATUS=MR","Sort=A","Dates=H","DateFormat=P","Fill=—","Direction=H","UseDPDF=Y")</f>
        <v>17.653199999999998</v>
      </c>
      <c r="G7" s="14">
        <f>_xll.BDH("AMGN US Equity","AVERAGE_PRICE_EARNINGS_RATIO","FQ3 2020","FQ3 2020","Currency=USD","Period=FQ","BEST_FPERIOD_OVERRIDE=FQ","FILING_STATUS=MR","Sort=A","Dates=H","DateFormat=P","Fill=—","Direction=H","UseDPDF=Y")</f>
        <v>19.783000000000001</v>
      </c>
      <c r="H7" s="14">
        <f>_xll.BDH("AMGN US Equity","AVERAGE_PRICE_EARNINGS_RATIO","FQ4 2020","FQ4 2020","Currency=USD","Period=FQ","BEST_FPERIOD_OVERRIDE=FQ","FILING_STATUS=MR","Sort=A","Dates=H","DateFormat=P","Fill=—","Direction=H","UseDPDF=Y")</f>
        <v>16.972799999999999</v>
      </c>
      <c r="I7" s="14">
        <f>_xll.BDH("AMGN US Equity","AVERAGE_PRICE_EARNINGS_RATIO","FQ1 2021","FQ1 2021","Currency=USD","Period=FQ","BEST_FPERIOD_OVERRIDE=FQ","FILING_STATUS=MR","Sort=A","Dates=H","DateFormat=P","Fill=—","Direction=H","UseDPDF=Y")</f>
        <v>17.685199999999998</v>
      </c>
      <c r="J7" s="14">
        <f>_xll.BDH("AMGN US Equity","AVERAGE_PRICE_EARNINGS_RATIO","FQ2 2021","FQ2 2021","Currency=USD","Period=FQ","BEST_FPERIOD_OVERRIDE=FQ","FILING_STATUS=MR","Sort=A","Dates=H","DateFormat=P","Fill=—","Direction=H","UseDPDF=Y")</f>
        <v>17.540500000000002</v>
      </c>
      <c r="K7" s="14">
        <f>_xll.BDH("AMGN US Equity","AVERAGE_PRICE_EARNINGS_RATIO","FQ3 2021","FQ3 2021","Currency=USD","Period=FQ","BEST_FPERIOD_OVERRIDE=FQ","FILING_STATUS=MR","Sort=A","Dates=H","DateFormat=P","Fill=—","Direction=H","UseDPDF=Y")</f>
        <v>15.2096</v>
      </c>
      <c r="L7" s="14">
        <f>_xll.BDH("AMGN US Equity","AVERAGE_PRICE_EARNINGS_RATIO","FQ4 2021","FQ4 2021","Currency=USD","Period=FQ","BEST_FPERIOD_OVERRIDE=FQ","FILING_STATUS=MR","Sort=A","Dates=H","DateFormat=P","Fill=—","Direction=H","UseDPDF=Y")</f>
        <v>15.290800000000001</v>
      </c>
      <c r="M7" s="14">
        <f>_xll.BDH("AMGN US Equity","AVERAGE_PRICE_EARNINGS_RATIO","FQ1 2022","FQ1 2022","Currency=USD","Period=FQ","BEST_FPERIOD_OVERRIDE=FQ","FILING_STATUS=MR","Sort=A","Dates=H","DateFormat=P","Fill=—","Direction=H","UseDPDF=Y")</f>
        <v>16.113299999999999</v>
      </c>
      <c r="N7" s="14">
        <f>_xll.BDH("AMGN US Equity","AVERAGE_PRICE_EARNINGS_RATIO","FQ2 2022","FQ2 2022","Currency=USD","Period=FQ","BEST_FPERIOD_OVERRIDE=FQ","FILING_STATUS=MR","Sort=A","Dates=H","DateFormat=P","Fill=—","Direction=H","UseDPDF=Y")</f>
        <v>16.548999999999999</v>
      </c>
      <c r="O7" s="14">
        <f>_xll.BDH("AMGN US Equity","AVERAGE_PRICE_EARNINGS_RATIO","FQ3 2022","FQ3 2022","Currency=USD","Period=FQ","BEST_FPERIOD_OVERRIDE=FQ","FILING_STATUS=MR","Sort=A","Dates=H","DateFormat=P","Fill=—","Direction=H","UseDPDF=Y")</f>
        <v>16.093</v>
      </c>
      <c r="P7" s="14">
        <f>_xll.BDH("AMGN US Equity","AVERAGE_PRICE_EARNINGS_RATIO","FQ4 2022","FQ4 2022","Currency=USD","Period=FQ","BEST_FPERIOD_OVERRIDE=FQ","FILING_STATUS=MR","Sort=A","Dates=H","DateFormat=P","Fill=—","Direction=H","UseDPDF=Y")</f>
        <v>16.959499999999998</v>
      </c>
      <c r="Q7" s="14">
        <f>_xll.BDH("AMGN US Equity","AVERAGE_PRICE_EARNINGS_RATIO","FQ1 2023","FQ1 2023","Currency=USD","Period=FQ","BEST_FPERIOD_OVERRIDE=FQ","FILING_STATUS=MR","Sort=A","Dates=H","DateFormat=P","Fill=—","Direction=H","UseDPDF=Y")</f>
        <v>16.025700000000001</v>
      </c>
      <c r="R7" s="14">
        <f>_xll.BDH("AMGN US Equity","AVERAGE_PRICE_EARNINGS_RATIO","FQ2 2023","FQ2 2023","Currency=USD","Period=FQ","BEST_FPERIOD_OVERRIDE=FQ","FILING_STATUS=MR","Sort=A","Dates=H","DateFormat=P","Fill=—","Direction=H","UseDPDF=Y")</f>
        <v>15.590199999999999</v>
      </c>
      <c r="S7" s="14">
        <f>_xll.BDH("AMGN US Equity","AVERAGE_PRICE_EARNINGS_RATIO","FQ3 2023","FQ3 2023","Currency=USD","Period=FQ","BEST_FPERIOD_OVERRIDE=FQ","FILING_STATUS=MR","Sort=A","Dates=H","DateFormat=P","Fill=—","Direction=H","UseDPDF=Y")</f>
        <v>18.099499999999999</v>
      </c>
      <c r="T7" s="14">
        <f>_xll.BDH("AMGN US Equity","AVERAGE_PRICE_EARNINGS_RATIO","FQ4 2023","FQ4 2023","Currency=USD","Period=FQ","BEST_FPERIOD_OVERRIDE=FQ","FILING_STATUS=MR","Sort=A","Dates=H","DateFormat=P","Fill=—","Direction=H","UseDPDF=Y")</f>
        <v>19.6404</v>
      </c>
      <c r="U7" s="14">
        <f>_xll.BDH("AMGN US Equity","AVERAGE_PRICE_EARNINGS_RATIO","FQ1 2024","FQ1 2024","Currency=USD","Period=FQ","BEST_FPERIOD_OVERRIDE=FQ","FILING_STATUS=MR","Sort=A","Dates=H","DateFormat=P","Fill=—","Direction=H","UseDPDF=Y")</f>
        <v>22.696000000000002</v>
      </c>
      <c r="V7" s="14">
        <f>_xll.BDH("AMGN US Equity","AVERAGE_PRICE_EARNINGS_RATIO","FQ2 2024","FQ2 2024","Currency=USD","Period=FQ","BEST_FPERIOD_OVERRIDE=FQ","FILING_STATUS=MR","Sort=A","Dates=H","DateFormat=P","Fill=—","Direction=H","UseDPDF=Y")</f>
        <v>29.453399999999998</v>
      </c>
      <c r="W7" s="14">
        <f>_xll.BDH("AMGN US Equity","AVERAGE_PRICE_EARNINGS_RATIO","FQ3 2024","FQ3 2024","Currency=USD","Period=FQ","BEST_FPERIOD_OVERRIDE=FQ","FILING_STATUS=MR","Sort=A","Dates=H","DateFormat=P","Fill=—","Direction=H","UseDPDF=Y")</f>
        <v>37.261699999999998</v>
      </c>
      <c r="X7" s="14">
        <f>_xll.BDH("AMGN US Equity","AVERAGE_PRICE_EARNINGS_RATIO","FQ4 2024","FQ4 2024","Currency=USD","Period=FQ","BEST_FPERIOD_OVERRIDE=FQ","FILING_STATUS=MR","Sort=A","Dates=H","DateFormat=P","Fill=—","Direction=H","UseDPDF=Y")</f>
        <v>34.150599999999997</v>
      </c>
      <c r="Y7" s="17"/>
      <c r="Z7" s="14"/>
      <c r="AA7" s="14"/>
    </row>
    <row r="8" spans="1:27" x14ac:dyDescent="0.25">
      <c r="A8" s="10" t="s">
        <v>211</v>
      </c>
      <c r="B8" s="10" t="s">
        <v>212</v>
      </c>
      <c r="C8" s="14">
        <f>_xll.BDH("AMGN US Equity","PX_ERN_RATIO_WITH_HIGH_CLOS_PX","FQ3 2019","FQ3 2019","Currency=USD","Period=FQ","BEST_FPERIOD_OVERRIDE=FQ","FILING_STATUS=MR","Sort=A","Dates=H","DateFormat=P","Fill=—","Direction=H","UseDPDF=Y")</f>
        <v>15.894399999999999</v>
      </c>
      <c r="D8" s="14">
        <f>_xll.BDH("AMGN US Equity","PX_ERN_RATIO_WITH_HIGH_CLOS_PX","FQ4 2019","FQ4 2019","Currency=USD","Period=FQ","BEST_FPERIOD_OVERRIDE=FQ","FILING_STATUS=MR","Sort=A","Dates=H","DateFormat=P","Fill=—","Direction=H","UseDPDF=Y")</f>
        <v>18.556000000000001</v>
      </c>
      <c r="E8" s="14">
        <f>_xll.BDH("AMGN US Equity","PX_ERN_RATIO_WITH_HIGH_CLOS_PX","FQ1 2020","FQ1 2020","Currency=USD","Period=FQ","BEST_FPERIOD_OVERRIDE=FQ","FILING_STATUS=MR","Sort=A","Dates=H","DateFormat=P","Fill=—","Direction=H","UseDPDF=Y")</f>
        <v>18.568100000000001</v>
      </c>
      <c r="F8" s="14">
        <f>_xll.BDH("AMGN US Equity","PX_ERN_RATIO_WITH_HIGH_CLOS_PX","FQ2 2020","FQ2 2020","Currency=USD","Period=FQ","BEST_FPERIOD_OVERRIDE=FQ","FILING_STATUS=MR","Sort=A","Dates=H","DateFormat=P","Fill=—","Direction=H","UseDPDF=Y")</f>
        <v>18.858599999999999</v>
      </c>
      <c r="G8" s="14">
        <f>_xll.BDH("AMGN US Equity","PX_ERN_RATIO_WITH_HIGH_CLOS_PX","FQ3 2020","FQ3 2020","Currency=USD","Period=FQ","BEST_FPERIOD_OVERRIDE=FQ","FILING_STATUS=MR","Sort=A","Dates=H","DateFormat=P","Fill=—","Direction=H","UseDPDF=Y")</f>
        <v>20.864699999999999</v>
      </c>
      <c r="H8" s="14">
        <f>_xll.BDH("AMGN US Equity","PX_ERN_RATIO_WITH_HIGH_CLOS_PX","FQ4 2020","FQ4 2020","Currency=USD","Period=FQ","BEST_FPERIOD_OVERRIDE=FQ","FILING_STATUS=MR","Sort=A","Dates=H","DateFormat=P","Fill=—","Direction=H","UseDPDF=Y")</f>
        <v>18.9665</v>
      </c>
      <c r="I8" s="14">
        <f>_xll.BDH("AMGN US Equity","PX_ERN_RATIO_WITH_HIGH_CLOS_PX","FQ1 2021","FQ1 2021","Currency=USD","Period=FQ","BEST_FPERIOD_OVERRIDE=FQ","FILING_STATUS=MR","Sort=A","Dates=H","DateFormat=P","Fill=—","Direction=H","UseDPDF=Y")</f>
        <v>19.179099999999998</v>
      </c>
      <c r="J8" s="14">
        <f>_xll.BDH("AMGN US Equity","PX_ERN_RATIO_WITH_HIGH_CLOS_PX","FQ2 2021","FQ2 2021","Currency=USD","Period=FQ","BEST_FPERIOD_OVERRIDE=FQ","FILING_STATUS=MR","Sort=A","Dates=H","DateFormat=P","Fill=—","Direction=H","UseDPDF=Y")</f>
        <v>18.499099999999999</v>
      </c>
      <c r="K8" s="14">
        <f>_xll.BDH("AMGN US Equity","PX_ERN_RATIO_WITH_HIGH_CLOS_PX","FQ3 2021","FQ3 2021","Currency=USD","Period=FQ","BEST_FPERIOD_OVERRIDE=FQ","FILING_STATUS=MR","Sort=A","Dates=H","DateFormat=P","Fill=—","Direction=H","UseDPDF=Y")</f>
        <v>16.411100000000001</v>
      </c>
      <c r="L8" s="14">
        <f>_xll.BDH("AMGN US Equity","PX_ERN_RATIO_WITH_HIGH_CLOS_PX","FQ4 2021","FQ4 2021","Currency=USD","Period=FQ","BEST_FPERIOD_OVERRIDE=FQ","FILING_STATUS=MR","Sort=A","Dates=H","DateFormat=P","Fill=—","Direction=H","UseDPDF=Y")</f>
        <v>16.498200000000001</v>
      </c>
      <c r="M8" s="14">
        <f>_xll.BDH("AMGN US Equity","PX_ERN_RATIO_WITH_HIGH_CLOS_PX","FQ1 2022","FQ1 2022","Currency=USD","Period=FQ","BEST_FPERIOD_OVERRIDE=FQ","FILING_STATUS=MR","Sort=A","Dates=H","DateFormat=P","Fill=—","Direction=H","UseDPDF=Y")</f>
        <v>17.022300000000001</v>
      </c>
      <c r="N8" s="14">
        <f>_xll.BDH("AMGN US Equity","PX_ERN_RATIO_WITH_HIGH_CLOS_PX","FQ2 2022","FQ2 2022","Currency=USD","Period=FQ","BEST_FPERIOD_OVERRIDE=FQ","FILING_STATUS=MR","Sort=A","Dates=H","DateFormat=P","Fill=—","Direction=H","UseDPDF=Y")</f>
        <v>17.3429</v>
      </c>
      <c r="O8" s="14">
        <f>_xll.BDH("AMGN US Equity","PX_ERN_RATIO_WITH_HIGH_CLOS_PX","FQ3 2022","FQ3 2022","Currency=USD","Period=FQ","BEST_FPERIOD_OVERRIDE=FQ","FILING_STATUS=MR","Sort=A","Dates=H","DateFormat=P","Fill=—","Direction=H","UseDPDF=Y")</f>
        <v>16.8187</v>
      </c>
      <c r="P8" s="14">
        <f>_xll.BDH("AMGN US Equity","PX_ERN_RATIO_WITH_HIGH_CLOS_PX","FQ4 2022","FQ4 2022","Currency=USD","Period=FQ","BEST_FPERIOD_OVERRIDE=FQ","FILING_STATUS=MR","Sort=A","Dates=H","DateFormat=P","Fill=—","Direction=H","UseDPDF=Y")</f>
        <v>18.489599999999999</v>
      </c>
      <c r="Q8" s="14">
        <f>_xll.BDH("AMGN US Equity","PX_ERN_RATIO_WITH_HIGH_CLOS_PX","FQ1 2023","FQ1 2023","Currency=USD","Period=FQ","BEST_FPERIOD_OVERRIDE=FQ","FILING_STATUS=MR","Sort=A","Dates=H","DateFormat=P","Fill=—","Direction=H","UseDPDF=Y")</f>
        <v>17.958400000000001</v>
      </c>
      <c r="R8" s="14">
        <f>_xll.BDH("AMGN US Equity","PX_ERN_RATIO_WITH_HIGH_CLOS_PX","FQ2 2023","FQ2 2023","Currency=USD","Period=FQ","BEST_FPERIOD_OVERRIDE=FQ","FILING_STATUS=MR","Sort=A","Dates=H","DateFormat=P","Fill=—","Direction=H","UseDPDF=Y")</f>
        <v>17.002199999999998</v>
      </c>
      <c r="S8" s="14">
        <f>_xll.BDH("AMGN US Equity","PX_ERN_RATIO_WITH_HIGH_CLOS_PX","FQ3 2023","FQ3 2023","Currency=USD","Period=FQ","BEST_FPERIOD_OVERRIDE=FQ","FILING_STATUS=MR","Sort=A","Dates=H","DateFormat=P","Fill=—","Direction=H","UseDPDF=Y")</f>
        <v>19.6905</v>
      </c>
      <c r="T8" s="14">
        <f>_xll.BDH("AMGN US Equity","PX_ERN_RATIO_WITH_HIGH_CLOS_PX","FQ4 2023","FQ4 2023","Currency=USD","Period=FQ","BEST_FPERIOD_OVERRIDE=FQ","FILING_STATUS=MR","Sort=A","Dates=H","DateFormat=P","Fill=—","Direction=H","UseDPDF=Y")</f>
        <v>22.235499999999998</v>
      </c>
      <c r="U8" s="14">
        <f>_xll.BDH("AMGN US Equity","PX_ERN_RATIO_WITH_HIGH_CLOS_PX","FQ1 2024","FQ1 2024","Currency=USD","Period=FQ","BEST_FPERIOD_OVERRIDE=FQ","FILING_STATUS=MR","Sort=A","Dates=H","DateFormat=P","Fill=—","Direction=H","UseDPDF=Y")</f>
        <v>28.438500000000001</v>
      </c>
      <c r="V8" s="14">
        <f>_xll.BDH("AMGN US Equity","PX_ERN_RATIO_WITH_HIGH_CLOS_PX","FQ2 2024","FQ2 2024","Currency=USD","Period=FQ","BEST_FPERIOD_OVERRIDE=FQ","FILING_STATUS=MR","Sort=A","Dates=H","DateFormat=P","Fill=—","Direction=H","UseDPDF=Y")</f>
        <v>35.585700000000003</v>
      </c>
      <c r="W8" s="14">
        <f>_xll.BDH("AMGN US Equity","PX_ERN_RATIO_WITH_HIGH_CLOS_PX","FQ3 2024","FQ3 2024","Currency=USD","Period=FQ","BEST_FPERIOD_OVERRIDE=FQ","FILING_STATUS=MR","Sort=A","Dates=H","DateFormat=P","Fill=—","Direction=H","UseDPDF=Y")</f>
        <v>38.424999999999997</v>
      </c>
      <c r="X8" s="14">
        <f>_xll.BDH("AMGN US Equity","PX_ERN_RATIO_WITH_HIGH_CLOS_PX","FQ4 2024","FQ4 2024","Currency=USD","Period=FQ","BEST_FPERIOD_OVERRIDE=FQ","FILING_STATUS=MR","Sort=A","Dates=H","DateFormat=P","Fill=—","Direction=H","UseDPDF=Y")</f>
        <v>37.825000000000003</v>
      </c>
      <c r="Y8" s="17"/>
      <c r="Z8" s="14"/>
      <c r="AA8" s="14"/>
    </row>
    <row r="9" spans="1:27" x14ac:dyDescent="0.25">
      <c r="A9" s="10" t="s">
        <v>213</v>
      </c>
      <c r="B9" s="10" t="s">
        <v>214</v>
      </c>
      <c r="C9" s="14">
        <f>_xll.BDH("AMGN US Equity","PX_ERN_RATIO_WITH_LOW_CLOS_PX","FQ3 2019","FQ3 2019","Currency=USD","Period=FQ","BEST_FPERIOD_OVERRIDE=FQ","FILING_STATUS=MR","Sort=A","Dates=H","DateFormat=P","Fill=—","Direction=H","UseDPDF=Y")</f>
        <v>13.2651</v>
      </c>
      <c r="D9" s="14">
        <f>_xll.BDH("AMGN US Equity","PX_ERN_RATIO_WITH_LOW_CLOS_PX","FQ4 2019","FQ4 2019","Currency=USD","Period=FQ","BEST_FPERIOD_OVERRIDE=FQ","FILING_STATUS=MR","Sort=A","Dates=H","DateFormat=P","Fill=—","Direction=H","UseDPDF=Y")</f>
        <v>14.4366</v>
      </c>
      <c r="E9" s="14">
        <f>_xll.BDH("AMGN US Equity","PX_ERN_RATIO_WITH_LOW_CLOS_PX","FQ1 2020","FQ1 2020","Currency=USD","Period=FQ","BEST_FPERIOD_OVERRIDE=FQ","FILING_STATUS=MR","Sort=A","Dates=H","DateFormat=P","Fill=—","Direction=H","UseDPDF=Y")</f>
        <v>14.0002</v>
      </c>
      <c r="F9" s="14">
        <f>_xll.BDH("AMGN US Equity","PX_ERN_RATIO_WITH_LOW_CLOS_PX","FQ2 2020","FQ2 2020","Currency=USD","Period=FQ","BEST_FPERIOD_OVERRIDE=FQ","FILING_STATUS=MR","Sort=A","Dates=H","DateFormat=P","Fill=—","Direction=H","UseDPDF=Y")</f>
        <v>15.2966</v>
      </c>
      <c r="G9" s="14">
        <f>_xll.BDH("AMGN US Equity","PX_ERN_RATIO_WITH_LOW_CLOS_PX","FQ3 2020","FQ3 2020","Currency=USD","Period=FQ","BEST_FPERIOD_OVERRIDE=FQ","FILING_STATUS=MR","Sort=A","Dates=H","DateFormat=P","Fill=—","Direction=H","UseDPDF=Y")</f>
        <v>18.708200000000001</v>
      </c>
      <c r="H9" s="14">
        <f>_xll.BDH("AMGN US Equity","PX_ERN_RATIO_WITH_LOW_CLOS_PX","FQ4 2020","FQ4 2020","Currency=USD","Period=FQ","BEST_FPERIOD_OVERRIDE=FQ","FILING_STATUS=MR","Sort=A","Dates=H","DateFormat=P","Fill=—","Direction=H","UseDPDF=Y")</f>
        <v>15.927300000000001</v>
      </c>
      <c r="I9" s="14">
        <f>_xll.BDH("AMGN US Equity","PX_ERN_RATIO_WITH_LOW_CLOS_PX","FQ1 2021","FQ1 2021","Currency=USD","Period=FQ","BEST_FPERIOD_OVERRIDE=FQ","FILING_STATUS=MR","Sort=A","Dates=H","DateFormat=P","Fill=—","Direction=H","UseDPDF=Y")</f>
        <v>16.457999999999998</v>
      </c>
      <c r="J9" s="14">
        <f>_xll.BDH("AMGN US Equity","PX_ERN_RATIO_WITH_LOW_CLOS_PX","FQ2 2021","FQ2 2021","Currency=USD","Period=FQ","BEST_FPERIOD_OVERRIDE=FQ","FILING_STATUS=MR","Sort=A","Dates=H","DateFormat=P","Fill=—","Direction=H","UseDPDF=Y")</f>
        <v>16.084399999999999</v>
      </c>
      <c r="K9" s="14">
        <f>_xll.BDH("AMGN US Equity","PX_ERN_RATIO_WITH_LOW_CLOS_PX","FQ3 2021","FQ3 2021","Currency=USD","Period=FQ","BEST_FPERIOD_OVERRIDE=FQ","FILING_STATUS=MR","Sort=A","Dates=H","DateFormat=P","Fill=—","Direction=H","UseDPDF=Y")</f>
        <v>14.007099999999999</v>
      </c>
      <c r="L9" s="14">
        <f>_xll.BDH("AMGN US Equity","PX_ERN_RATIO_WITH_LOW_CLOS_PX","FQ4 2021","FQ4 2021","Currency=USD","Period=FQ","BEST_FPERIOD_OVERRIDE=FQ","FILING_STATUS=MR","Sort=A","Dates=H","DateFormat=P","Fill=—","Direction=H","UseDPDF=Y")</f>
        <v>14.4163</v>
      </c>
      <c r="M9" s="14">
        <f>_xll.BDH("AMGN US Equity","PX_ERN_RATIO_WITH_LOW_CLOS_PX","FQ1 2022","FQ1 2022","Currency=USD","Period=FQ","BEST_FPERIOD_OVERRIDE=FQ","FILING_STATUS=MR","Sort=A","Dates=H","DateFormat=P","Fill=—","Direction=H","UseDPDF=Y")</f>
        <v>15.3873</v>
      </c>
      <c r="N9" s="14">
        <f>_xll.BDH("AMGN US Equity","PX_ERN_RATIO_WITH_LOW_CLOS_PX","FQ2 2022","FQ2 2022","Currency=USD","Period=FQ","BEST_FPERIOD_OVERRIDE=FQ","FILING_STATUS=MR","Sort=A","Dates=H","DateFormat=P","Fill=—","Direction=H","UseDPDF=Y")</f>
        <v>15.5845</v>
      </c>
      <c r="O9" s="14">
        <f>_xll.BDH("AMGN US Equity","PX_ERN_RATIO_WITH_LOW_CLOS_PX","FQ3 2022","FQ3 2022","Currency=USD","Period=FQ","BEST_FPERIOD_OVERRIDE=FQ","FILING_STATUS=MR","Sort=A","Dates=H","DateFormat=P","Fill=—","Direction=H","UseDPDF=Y")</f>
        <v>14.253399999999999</v>
      </c>
      <c r="P9" s="14">
        <f>_xll.BDH("AMGN US Equity","PX_ERN_RATIO_WITH_LOW_CLOS_PX","FQ4 2022","FQ4 2022","Currency=USD","Period=FQ","BEST_FPERIOD_OVERRIDE=FQ","FILING_STATUS=MR","Sort=A","Dates=H","DateFormat=P","Fill=—","Direction=H","UseDPDF=Y")</f>
        <v>14.483000000000001</v>
      </c>
      <c r="Q9" s="14">
        <f>_xll.BDH("AMGN US Equity","PX_ERN_RATIO_WITH_LOW_CLOS_PX","FQ1 2023","FQ1 2023","Currency=USD","Period=FQ","BEST_FPERIOD_OVERRIDE=FQ","FILING_STATUS=MR","Sort=A","Dates=H","DateFormat=P","Fill=—","Direction=H","UseDPDF=Y")</f>
        <v>14.7341</v>
      </c>
      <c r="R9" s="14">
        <f>_xll.BDH("AMGN US Equity","PX_ERN_RATIO_WITH_LOW_CLOS_PX","FQ2 2023","FQ2 2023","Currency=USD","Period=FQ","BEST_FPERIOD_OVERRIDE=FQ","FILING_STATUS=MR","Sort=A","Dates=H","DateFormat=P","Fill=—","Direction=H","UseDPDF=Y")</f>
        <v>14.378399999999999</v>
      </c>
      <c r="S9" s="14">
        <f>_xll.BDH("AMGN US Equity","PX_ERN_RATIO_WITH_LOW_CLOS_PX","FQ3 2023","FQ3 2023","Currency=USD","Period=FQ","BEST_FPERIOD_OVERRIDE=FQ","FILING_STATUS=MR","Sort=A","Dates=H","DateFormat=P","Fill=—","Direction=H","UseDPDF=Y")</f>
        <v>15.8599</v>
      </c>
      <c r="T9" s="14">
        <f>_xll.BDH("AMGN US Equity","PX_ERN_RATIO_WITH_LOW_CLOS_PX","FQ4 2023","FQ4 2023","Currency=USD","Period=FQ","BEST_FPERIOD_OVERRIDE=FQ","FILING_STATUS=MR","Sort=A","Dates=H","DateFormat=P","Fill=—","Direction=H","UseDPDF=Y")</f>
        <v>18.409300000000002</v>
      </c>
      <c r="U9" s="14">
        <f>_xll.BDH("AMGN US Equity","PX_ERN_RATIO_WITH_LOW_CLOS_PX","FQ1 2024","FQ1 2024","Currency=USD","Period=FQ","BEST_FPERIOD_OVERRIDE=FQ","FILING_STATUS=MR","Sort=A","Dates=H","DateFormat=P","Fill=—","Direction=H","UseDPDF=Y")</f>
        <v>20.757100000000001</v>
      </c>
      <c r="V9" s="14">
        <f>_xll.BDH("AMGN US Equity","PX_ERN_RATIO_WITH_LOW_CLOS_PX","FQ2 2024","FQ2 2024","Currency=USD","Period=FQ","BEST_FPERIOD_OVERRIDE=FQ","FILING_STATUS=MR","Sort=A","Dates=H","DateFormat=P","Fill=—","Direction=H","UseDPDF=Y")</f>
        <v>26.280999999999999</v>
      </c>
      <c r="W9" s="14">
        <f>_xll.BDH("AMGN US Equity","PX_ERN_RATIO_WITH_LOW_CLOS_PX","FQ3 2024","FQ3 2024","Currency=USD","Period=FQ","BEST_FPERIOD_OVERRIDE=FQ","FILING_STATUS=MR","Sort=A","Dates=H","DateFormat=P","Fill=—","Direction=H","UseDPDF=Y")</f>
        <v>35.235999999999997</v>
      </c>
      <c r="X9" s="14">
        <f>_xll.BDH("AMGN US Equity","PX_ERN_RATIO_WITH_LOW_CLOS_PX","FQ4 2024","FQ4 2024","Currency=USD","Period=FQ","BEST_FPERIOD_OVERRIDE=FQ","FILING_STATUS=MR","Sort=A","Dates=H","DateFormat=P","Fill=—","Direction=H","UseDPDF=Y")</f>
        <v>28.259</v>
      </c>
      <c r="Y9" s="17"/>
      <c r="Z9" s="14"/>
      <c r="AA9" s="14"/>
    </row>
    <row r="10" spans="1:27" x14ac:dyDescent="0.25">
      <c r="A10" s="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21"/>
      <c r="Z10" s="18"/>
      <c r="AA10" s="18"/>
    </row>
    <row r="11" spans="1:27" x14ac:dyDescent="0.25">
      <c r="A11" s="6" t="s">
        <v>215</v>
      </c>
      <c r="B11" s="6" t="s">
        <v>216</v>
      </c>
      <c r="C11" s="20">
        <f>_xll.BDH("AMGN US Equity","PX_TO_BOOK_RATIO","FQ3 2019","FQ3 2019","Currency=USD","Period=FQ","BEST_FPERIOD_OVERRIDE=FQ","FILING_STATUS=MR","Sort=A","Dates=H","DateFormat=P","Fill=—","Direction=H","UseDPDF=Y")</f>
        <v>10.558299999999999</v>
      </c>
      <c r="D11" s="20">
        <f>_xll.BDH("AMGN US Equity","PX_TO_BOOK_RATIO","FQ4 2019","FQ4 2019","Currency=USD","Period=FQ","BEST_FPERIOD_OVERRIDE=FQ","FILING_STATUS=MR","Sort=A","Dates=H","DateFormat=P","Fill=—","Direction=H","UseDPDF=Y")</f>
        <v>14.738799999999999</v>
      </c>
      <c r="E11" s="20">
        <f>_xll.BDH("AMGN US Equity","PX_TO_BOOK_RATIO","FQ1 2020","FQ1 2020","Currency=USD","Period=FQ","BEST_FPERIOD_OVERRIDE=FQ","FILING_STATUS=MR","Sort=A","Dates=H","DateFormat=P","Fill=—","Direction=H","UseDPDF=Y")</f>
        <v>12.5678</v>
      </c>
      <c r="F11" s="20">
        <f>_xll.BDH("AMGN US Equity","PX_TO_BOOK_RATIO","FQ2 2020","FQ2 2020","Currency=USD","Period=FQ","BEST_FPERIOD_OVERRIDE=FQ","FILING_STATUS=MR","Sort=A","Dates=H","DateFormat=P","Fill=—","Direction=H","UseDPDF=Y")</f>
        <v>12.9757</v>
      </c>
      <c r="G11" s="20">
        <f>_xll.BDH("AMGN US Equity","PX_TO_BOOK_RATIO","FQ3 2020","FQ3 2020","Currency=USD","Period=FQ","BEST_FPERIOD_OVERRIDE=FQ","FILING_STATUS=MR","Sort=A","Dates=H","DateFormat=P","Fill=—","Direction=H","UseDPDF=Y")</f>
        <v>13.532500000000001</v>
      </c>
      <c r="H11" s="20">
        <f>_xll.BDH("AMGN US Equity","PX_TO_BOOK_RATIO","FQ4 2020","FQ4 2020","Currency=USD","Period=FQ","BEST_FPERIOD_OVERRIDE=FQ","FILING_STATUS=MR","Sort=A","Dates=H","DateFormat=P","Fill=—","Direction=H","UseDPDF=Y")</f>
        <v>14.131399999999999</v>
      </c>
      <c r="I11" s="20">
        <f>_xll.BDH("AMGN US Equity","PX_TO_BOOK_RATIO","FQ1 2021","FQ1 2021","Currency=USD","Period=FQ","BEST_FPERIOD_OVERRIDE=FQ","FILING_STATUS=MR","Sort=A","Dates=H","DateFormat=P","Fill=—","Direction=H","UseDPDF=Y")</f>
        <v>15.3354</v>
      </c>
      <c r="J11" s="20">
        <f>_xll.BDH("AMGN US Equity","PX_TO_BOOK_RATIO","FQ2 2021","FQ2 2021","Currency=USD","Period=FQ","BEST_FPERIOD_OVERRIDE=FQ","FILING_STATUS=MR","Sort=A","Dates=H","DateFormat=P","Fill=—","Direction=H","UseDPDF=Y")</f>
        <v>16.8352</v>
      </c>
      <c r="K11" s="20">
        <f>_xll.BDH("AMGN US Equity","PX_TO_BOOK_RATIO","FQ3 2021","FQ3 2021","Currency=USD","Period=FQ","BEST_FPERIOD_OVERRIDE=FQ","FILING_STATUS=MR","Sort=A","Dates=H","DateFormat=P","Fill=—","Direction=H","UseDPDF=Y")</f>
        <v>14.6218</v>
      </c>
      <c r="L11" s="20">
        <f>_xll.BDH("AMGN US Equity","PX_TO_BOOK_RATIO","FQ4 2021","FQ4 2021","Currency=USD","Period=FQ","BEST_FPERIOD_OVERRIDE=FQ","FILING_STATUS=MR","Sort=A","Dates=H","DateFormat=P","Fill=—","Direction=H","UseDPDF=Y")</f>
        <v>17.930399999999999</v>
      </c>
      <c r="M11" s="20">
        <f>_xll.BDH("AMGN US Equity","PX_TO_BOOK_RATIO","FQ1 2022","FQ1 2022","Currency=USD","Period=FQ","BEST_FPERIOD_OVERRIDE=FQ","FILING_STATUS=MR","Sort=A","Dates=H","DateFormat=P","Fill=—","Direction=H","UseDPDF=Y")</f>
        <v>141.0265</v>
      </c>
      <c r="N11" s="20">
        <f>_xll.BDH("AMGN US Equity","PX_TO_BOOK_RATIO","FQ2 2022","FQ2 2022","Currency=USD","Period=FQ","BEST_FPERIOD_OVERRIDE=FQ","FILING_STATUS=MR","Sort=A","Dates=H","DateFormat=P","Fill=—","Direction=H","UseDPDF=Y")</f>
        <v>53.799599999999998</v>
      </c>
      <c r="O11" s="20">
        <f>_xll.BDH("AMGN US Equity","PX_TO_BOOK_RATIO","FQ3 2022","FQ3 2022","Currency=USD","Period=FQ","BEST_FPERIOD_OVERRIDE=FQ","FILING_STATUS=MR","Sort=A","Dates=H","DateFormat=P","Fill=—","Direction=H","UseDPDF=Y")</f>
        <v>32.918399999999998</v>
      </c>
      <c r="P11" s="20">
        <f>_xll.BDH("AMGN US Equity","PX_TO_BOOK_RATIO","FQ4 2022","FQ4 2022","Currency=USD","Period=FQ","BEST_FPERIOD_OVERRIDE=FQ","FILING_STATUS=MR","Sort=A","Dates=H","DateFormat=P","Fill=—","Direction=H","UseDPDF=Y")</f>
        <v>38.309100000000001</v>
      </c>
      <c r="Q11" s="20">
        <f>_xll.BDH("AMGN US Equity","PX_TO_BOOK_RATIO","FQ1 2023","FQ1 2023","Currency=USD","Period=FQ","BEST_FPERIOD_OVERRIDE=FQ","FILING_STATUS=MR","Sort=A","Dates=H","DateFormat=P","Fill=—","Direction=H","UseDPDF=Y")</f>
        <v>24.1524</v>
      </c>
      <c r="R11" s="20">
        <f>_xll.BDH("AMGN US Equity","PX_TO_BOOK_RATIO","FQ2 2023","FQ2 2023","Currency=USD","Period=FQ","BEST_FPERIOD_OVERRIDE=FQ","FILING_STATUS=MR","Sort=A","Dates=H","DateFormat=P","Fill=—","Direction=H","UseDPDF=Y")</f>
        <v>17.513400000000001</v>
      </c>
      <c r="S11" s="20">
        <f>_xll.BDH("AMGN US Equity","PX_TO_BOOK_RATIO","FQ3 2023","FQ3 2023","Currency=USD","Period=FQ","BEST_FPERIOD_OVERRIDE=FQ","FILING_STATUS=MR","Sort=A","Dates=H","DateFormat=P","Fill=—","Direction=H","UseDPDF=Y")</f>
        <v>18.784400000000002</v>
      </c>
      <c r="T11" s="20">
        <f>_xll.BDH("AMGN US Equity","PX_TO_BOOK_RATIO","FQ4 2023","FQ4 2023","Currency=USD","Period=FQ","BEST_FPERIOD_OVERRIDE=FQ","FILING_STATUS=MR","Sort=A","Dates=H","DateFormat=P","Fill=—","Direction=H","UseDPDF=Y")</f>
        <v>24.744199999999999</v>
      </c>
      <c r="U11" s="20">
        <f>_xll.BDH("AMGN US Equity","PX_TO_BOOK_RATIO","FQ1 2024","FQ1 2024","Currency=USD","Period=FQ","BEST_FPERIOD_OVERRIDE=FQ","FILING_STATUS=MR","Sort=A","Dates=H","DateFormat=P","Fill=—","Direction=H","UseDPDF=Y")</f>
        <v>30.368200000000002</v>
      </c>
      <c r="V11" s="20">
        <f>_xll.BDH("AMGN US Equity","PX_TO_BOOK_RATIO","FQ2 2024","FQ2 2024","Currency=USD","Period=FQ","BEST_FPERIOD_OVERRIDE=FQ","FILING_STATUS=MR","Sort=A","Dates=H","DateFormat=P","Fill=—","Direction=H","UseDPDF=Y")</f>
        <v>28.328800000000001</v>
      </c>
      <c r="W11" s="20">
        <f>_xll.BDH("AMGN US Equity","PX_TO_BOOK_RATIO","FQ3 2024","FQ3 2024","Currency=USD","Period=FQ","BEST_FPERIOD_OVERRIDE=FQ","FILING_STATUS=MR","Sort=A","Dates=H","DateFormat=P","Fill=—","Direction=H","UseDPDF=Y")</f>
        <v>23.008900000000001</v>
      </c>
      <c r="X11" s="20">
        <f>_xll.BDH("AMGN US Equity","PX_TO_BOOK_RATIO","FQ4 2024","FQ4 2024","Currency=USD","Period=FQ","BEST_FPERIOD_OVERRIDE=FQ","FILING_STATUS=MR","Sort=A","Dates=H","DateFormat=P","Fill=—","Direction=H","UseDPDF=Y")</f>
        <v>23.8111</v>
      </c>
      <c r="Y11" s="23">
        <v>28.102973520234499</v>
      </c>
      <c r="Z11" s="20">
        <v>29.522072936660301</v>
      </c>
      <c r="AA11" s="20">
        <v>27.392698130008899</v>
      </c>
    </row>
    <row r="12" spans="1:27" x14ac:dyDescent="0.25">
      <c r="A12" s="10" t="s">
        <v>209</v>
      </c>
      <c r="B12" s="10" t="s">
        <v>217</v>
      </c>
      <c r="C12" s="14">
        <f>_xll.BDH("AMGN US Equity","AVERAGE_PRICE_TO_BOOK_RATIO","FQ3 2019","FQ3 2019","Currency=USD","Period=FQ","BEST_FPERIOD_OVERRIDE=FQ","FILING_STATUS=MR","Sort=A","Dates=H","DateFormat=P","Fill=—","Direction=H","UseDPDF=Y")</f>
        <v>10.7033</v>
      </c>
      <c r="D12" s="14">
        <f>_xll.BDH("AMGN US Equity","AVERAGE_PRICE_TO_BOOK_RATIO","FQ4 2019","FQ4 2019","Currency=USD","Period=FQ","BEST_FPERIOD_OVERRIDE=FQ","FILING_STATUS=MR","Sort=A","Dates=H","DateFormat=P","Fill=—","Direction=H","UseDPDF=Y")</f>
        <v>12.0519</v>
      </c>
      <c r="E12" s="14">
        <f>_xll.BDH("AMGN US Equity","AVERAGE_PRICE_TO_BOOK_RATIO","FQ1 2020","FQ1 2020","Currency=USD","Period=FQ","BEST_FPERIOD_OVERRIDE=FQ","FILING_STATUS=MR","Sort=A","Dates=H","DateFormat=P","Fill=—","Direction=H","UseDPDF=Y")</f>
        <v>13.357200000000001</v>
      </c>
      <c r="F12" s="14">
        <f>_xll.BDH("AMGN US Equity","AVERAGE_PRICE_TO_BOOK_RATIO","FQ2 2020","FQ2 2020","Currency=USD","Period=FQ","BEST_FPERIOD_OVERRIDE=FQ","FILING_STATUS=MR","Sort=A","Dates=H","DateFormat=P","Fill=—","Direction=H","UseDPDF=Y")</f>
        <v>14.118</v>
      </c>
      <c r="G12" s="14">
        <f>_xll.BDH("AMGN US Equity","AVERAGE_PRICE_TO_BOOK_RATIO","FQ3 2020","FQ3 2020","Currency=USD","Period=FQ","BEST_FPERIOD_OVERRIDE=FQ","FILING_STATUS=MR","Sort=A","Dates=H","DateFormat=P","Fill=—","Direction=H","UseDPDF=Y")</f>
        <v>13.6221</v>
      </c>
      <c r="H12" s="14">
        <f>_xll.BDH("AMGN US Equity","AVERAGE_PRICE_TO_BOOK_RATIO","FQ4 2020","FQ4 2020","Currency=USD","Period=FQ","BEST_FPERIOD_OVERRIDE=FQ","FILING_STATUS=MR","Sort=A","Dates=H","DateFormat=P","Fill=—","Direction=H","UseDPDF=Y")</f>
        <v>12.305300000000001</v>
      </c>
      <c r="I12" s="14">
        <f>_xll.BDH("AMGN US Equity","AVERAGE_PRICE_TO_BOOK_RATIO","FQ1 2021","FQ1 2021","Currency=USD","Period=FQ","BEST_FPERIOD_OVERRIDE=FQ","FILING_STATUS=MR","Sort=A","Dates=H","DateFormat=P","Fill=—","Direction=H","UseDPDF=Y")</f>
        <v>14.6662</v>
      </c>
      <c r="J12" s="14">
        <f>_xll.BDH("AMGN US Equity","AVERAGE_PRICE_TO_BOOK_RATIO","FQ2 2021","FQ2 2021","Currency=USD","Period=FQ","BEST_FPERIOD_OVERRIDE=FQ","FILING_STATUS=MR","Sort=A","Dates=H","DateFormat=P","Fill=—","Direction=H","UseDPDF=Y")</f>
        <v>15.1912</v>
      </c>
      <c r="K12" s="14">
        <f>_xll.BDH("AMGN US Equity","AVERAGE_PRICE_TO_BOOK_RATIO","FQ3 2021","FQ3 2021","Currency=USD","Period=FQ","BEST_FPERIOD_OVERRIDE=FQ","FILING_STATUS=MR","Sort=A","Dates=H","DateFormat=P","Fill=—","Direction=H","UseDPDF=Y")</f>
        <v>15.896000000000001</v>
      </c>
      <c r="L12" s="14">
        <f>_xll.BDH("AMGN US Equity","AVERAGE_PRICE_TO_BOOK_RATIO","FQ4 2021","FQ4 2021","Currency=USD","Period=FQ","BEST_FPERIOD_OVERRIDE=FQ","FILING_STATUS=MR","Sort=A","Dates=H","DateFormat=P","Fill=—","Direction=H","UseDPDF=Y")</f>
        <v>14.550700000000001</v>
      </c>
      <c r="M12" s="14">
        <f>_xll.BDH("AMGN US Equity","AVERAGE_PRICE_TO_BOOK_RATIO","FQ1 2022","FQ1 2022","Currency=USD","Period=FQ","BEST_FPERIOD_OVERRIDE=FQ","FILING_STATUS=MR","Sort=A","Dates=H","DateFormat=P","Fill=—","Direction=H","UseDPDF=Y")</f>
        <v>20.2761</v>
      </c>
      <c r="N12" s="14">
        <f>_xll.BDH("AMGN US Equity","AVERAGE_PRICE_TO_BOOK_RATIO","FQ2 2022","FQ2 2022","Currency=USD","Period=FQ","BEST_FPERIOD_OVERRIDE=FQ","FILING_STATUS=MR","Sort=A","Dates=H","DateFormat=P","Fill=—","Direction=H","UseDPDF=Y")</f>
        <v>141.49080000000001</v>
      </c>
      <c r="O12" s="14">
        <f>_xll.BDH("AMGN US Equity","AVERAGE_PRICE_TO_BOOK_RATIO","FQ3 2022","FQ3 2022","Currency=USD","Period=FQ","BEST_FPERIOD_OVERRIDE=FQ","FILING_STATUS=MR","Sort=A","Dates=H","DateFormat=P","Fill=—","Direction=H","UseDPDF=Y")</f>
        <v>53.335299999999997</v>
      </c>
      <c r="P12" s="14">
        <f>_xll.BDH("AMGN US Equity","AVERAGE_PRICE_TO_BOOK_RATIO","FQ4 2022","FQ4 2022","Currency=USD","Period=FQ","BEST_FPERIOD_OVERRIDE=FQ","FILING_STATUS=MR","Sort=A","Dates=H","DateFormat=P","Fill=—","Direction=H","UseDPDF=Y")</f>
        <v>39.148000000000003</v>
      </c>
      <c r="Q12" s="14">
        <f>_xll.BDH("AMGN US Equity","AVERAGE_PRICE_TO_BOOK_RATIO","FQ1 2023","FQ1 2023","Currency=USD","Period=FQ","BEST_FPERIOD_OVERRIDE=FQ","FILING_STATUS=MR","Sort=A","Dates=H","DateFormat=P","Fill=—","Direction=H","UseDPDF=Y")</f>
        <v>35.625799999999998</v>
      </c>
      <c r="R12" s="14">
        <f>_xll.BDH("AMGN US Equity","AVERAGE_PRICE_TO_BOOK_RATIO","FQ2 2023","FQ2 2023","Currency=USD","Period=FQ","BEST_FPERIOD_OVERRIDE=FQ","FILING_STATUS=MR","Sort=A","Dates=H","DateFormat=P","Fill=—","Direction=H","UseDPDF=Y")</f>
        <v>23.1069</v>
      </c>
      <c r="S12" s="14">
        <f>_xll.BDH("AMGN US Equity","AVERAGE_PRICE_TO_BOOK_RATIO","FQ3 2023","FQ3 2023","Currency=USD","Period=FQ","BEST_FPERIOD_OVERRIDE=FQ","FILING_STATUS=MR","Sort=A","Dates=H","DateFormat=P","Fill=—","Direction=H","UseDPDF=Y")</f>
        <v>19.647300000000001</v>
      </c>
      <c r="T12" s="14">
        <f>_xll.BDH("AMGN US Equity","AVERAGE_PRICE_TO_BOOK_RATIO","FQ4 2023","FQ4 2023","Currency=USD","Period=FQ","BEST_FPERIOD_OVERRIDE=FQ","FILING_STATUS=MR","Sort=A","Dates=H","DateFormat=P","Fill=—","Direction=H","UseDPDF=Y")</f>
        <v>19.116900000000001</v>
      </c>
      <c r="U12" s="14">
        <f>_xll.BDH("AMGN US Equity","AVERAGE_PRICE_TO_BOOK_RATIO","FQ1 2024","FQ1 2024","Currency=USD","Period=FQ","BEST_FPERIOD_OVERRIDE=FQ","FILING_STATUS=MR","Sort=A","Dates=H","DateFormat=P","Fill=—","Direction=H","UseDPDF=Y")</f>
        <v>25.235800000000001</v>
      </c>
      <c r="V12" s="14">
        <f>_xll.BDH("AMGN US Equity","AVERAGE_PRICE_TO_BOOK_RATIO","FQ2 2024","FQ2 2024","Currency=USD","Period=FQ","BEST_FPERIOD_OVERRIDE=FQ","FILING_STATUS=MR","Sort=A","Dates=H","DateFormat=P","Fill=—","Direction=H","UseDPDF=Y")</f>
        <v>31.298500000000001</v>
      </c>
      <c r="W12" s="14">
        <f>_xll.BDH("AMGN US Equity","AVERAGE_PRICE_TO_BOOK_RATIO","FQ3 2024","FQ3 2024","Currency=USD","Period=FQ","BEST_FPERIOD_OVERRIDE=FQ","FILING_STATUS=MR","Sort=A","Dates=H","DateFormat=P","Fill=—","Direction=H","UseDPDF=Y")</f>
        <v>29.5609</v>
      </c>
      <c r="X12" s="14">
        <f>_xll.BDH("AMGN US Equity","AVERAGE_PRICE_TO_BOOK_RATIO","FQ4 2024","FQ4 2024","Currency=USD","Period=FQ","BEST_FPERIOD_OVERRIDE=FQ","FILING_STATUS=MR","Sort=A","Dates=H","DateFormat=P","Fill=—","Direction=H","UseDPDF=Y")</f>
        <v>21.268000000000001</v>
      </c>
      <c r="Y12" s="17"/>
      <c r="Z12" s="14"/>
      <c r="AA12" s="14"/>
    </row>
    <row r="13" spans="1:27" x14ac:dyDescent="0.25">
      <c r="A13" s="10" t="s">
        <v>211</v>
      </c>
      <c r="B13" s="10" t="s">
        <v>218</v>
      </c>
      <c r="C13" s="14">
        <f>_xll.BDH("AMGN US Equity","HIGH_CLOSING_PRICE_TO_BOOK_RATIO","FQ3 2019","FQ3 2019","Currency=USD","Period=FQ","BEST_FPERIOD_OVERRIDE=FQ","FILING_STATUS=MR","Sort=A","Dates=H","DateFormat=P","Fill=—","Direction=H","UseDPDF=Y")</f>
        <v>11.637</v>
      </c>
      <c r="D13" s="14">
        <f>_xll.BDH("AMGN US Equity","HIGH_CLOSING_PRICE_TO_BOOK_RATIO","FQ4 2019","FQ4 2019","Currency=USD","Period=FQ","BEST_FPERIOD_OVERRIDE=FQ","FILING_STATUS=MR","Sort=A","Dates=H","DateFormat=P","Fill=—","Direction=H","UseDPDF=Y")</f>
        <v>14.738799999999999</v>
      </c>
      <c r="E13" s="14">
        <f>_xll.BDH("AMGN US Equity","HIGH_CLOSING_PRICE_TO_BOOK_RATIO","FQ1 2020","FQ1 2020","Currency=USD","Period=FQ","BEST_FPERIOD_OVERRIDE=FQ","FILING_STATUS=MR","Sort=A","Dates=H","DateFormat=P","Fill=—","Direction=H","UseDPDF=Y")</f>
        <v>14.7774</v>
      </c>
      <c r="F13" s="14">
        <f>_xll.BDH("AMGN US Equity","HIGH_CLOSING_PRICE_TO_BOOK_RATIO","FQ2 2020","FQ2 2020","Currency=USD","Period=FQ","BEST_FPERIOD_OVERRIDE=FQ","FILING_STATUS=MR","Sort=A","Dates=H","DateFormat=P","Fill=—","Direction=H","UseDPDF=Y")</f>
        <v>15.0481</v>
      </c>
      <c r="G13" s="14">
        <f>_xll.BDH("AMGN US Equity","HIGH_CLOSING_PRICE_TO_BOOK_RATIO","FQ3 2020","FQ3 2020","Currency=USD","Period=FQ","BEST_FPERIOD_OVERRIDE=FQ","FILING_STATUS=MR","Sort=A","Dates=H","DateFormat=P","Fill=—","Direction=H","UseDPDF=Y")</f>
        <v>14.356</v>
      </c>
      <c r="H13" s="14">
        <f>_xll.BDH("AMGN US Equity","HIGH_CLOSING_PRICE_TO_BOOK_RATIO","FQ4 2020","FQ4 2020","Currency=USD","Period=FQ","BEST_FPERIOD_OVERRIDE=FQ","FILING_STATUS=MR","Sort=A","Dates=H","DateFormat=P","Fill=—","Direction=H","UseDPDF=Y")</f>
        <v>14.131399999999999</v>
      </c>
      <c r="I13" s="14">
        <f>_xll.BDH("AMGN US Equity","HIGH_CLOSING_PRICE_TO_BOOK_RATIO","FQ1 2021","FQ1 2021","Currency=USD","Period=FQ","BEST_FPERIOD_OVERRIDE=FQ","FILING_STATUS=MR","Sort=A","Dates=H","DateFormat=P","Fill=—","Direction=H","UseDPDF=Y")</f>
        <v>15.8942</v>
      </c>
      <c r="J13" s="14">
        <f>_xll.BDH("AMGN US Equity","HIGH_CLOSING_PRICE_TO_BOOK_RATIO","FQ2 2021","FQ2 2021","Currency=USD","Period=FQ","BEST_FPERIOD_OVERRIDE=FQ","FILING_STATUS=MR","Sort=A","Dates=H","DateFormat=P","Fill=—","Direction=H","UseDPDF=Y")</f>
        <v>16.8352</v>
      </c>
      <c r="K13" s="14">
        <f>_xll.BDH("AMGN US Equity","HIGH_CLOSING_PRICE_TO_BOOK_RATIO","FQ3 2021","FQ3 2021","Currency=USD","Period=FQ","BEST_FPERIOD_OVERRIDE=FQ","FILING_STATUS=MR","Sort=A","Dates=H","DateFormat=P","Fill=—","Direction=H","UseDPDF=Y")</f>
        <v>17.177099999999999</v>
      </c>
      <c r="L13" s="14">
        <f>_xll.BDH("AMGN US Equity","HIGH_CLOSING_PRICE_TO_BOOK_RATIO","FQ4 2021","FQ4 2021","Currency=USD","Period=FQ","BEST_FPERIOD_OVERRIDE=FQ","FILING_STATUS=MR","Sort=A","Dates=H","DateFormat=P","Fill=—","Direction=H","UseDPDF=Y")</f>
        <v>17.930399999999999</v>
      </c>
      <c r="M13" s="14">
        <f>_xll.BDH("AMGN US Equity","HIGH_CLOSING_PRICE_TO_BOOK_RATIO","FQ1 2022","FQ1 2022","Currency=USD","Period=FQ","BEST_FPERIOD_OVERRIDE=FQ","FILING_STATUS=MR","Sort=A","Dates=H","DateFormat=P","Fill=—","Direction=H","UseDPDF=Y")</f>
        <v>141.0265</v>
      </c>
      <c r="N13" s="14">
        <f>_xll.BDH("AMGN US Equity","HIGH_CLOSING_PRICE_TO_BOOK_RATIO","FQ2 2022","FQ2 2022","Currency=USD","Period=FQ","BEST_FPERIOD_OVERRIDE=FQ","FILING_STATUS=MR","Sort=A","Dates=H","DateFormat=P","Fill=—","Direction=H","UseDPDF=Y")</f>
        <v>149.7276</v>
      </c>
      <c r="O13" s="14">
        <f>_xll.BDH("AMGN US Equity","HIGH_CLOSING_PRICE_TO_BOOK_RATIO","FQ3 2022","FQ3 2022","Currency=USD","Period=FQ","BEST_FPERIOD_OVERRIDE=FQ","FILING_STATUS=MR","Sort=A","Dates=H","DateFormat=P","Fill=—","Direction=H","UseDPDF=Y")</f>
        <v>55.977600000000002</v>
      </c>
      <c r="P13" s="14">
        <f>_xll.BDH("AMGN US Equity","HIGH_CLOSING_PRICE_TO_BOOK_RATIO","FQ4 2022","FQ4 2022","Currency=USD","Period=FQ","BEST_FPERIOD_OVERRIDE=FQ","FILING_STATUS=MR","Sort=A","Dates=H","DateFormat=P","Fill=—","Direction=H","UseDPDF=Y")</f>
        <v>42.701900000000002</v>
      </c>
      <c r="Q13" s="14">
        <f>_xll.BDH("AMGN US Equity","HIGH_CLOSING_PRICE_TO_BOOK_RATIO","FQ1 2023","FQ1 2023","Currency=USD","Period=FQ","BEST_FPERIOD_OVERRIDE=FQ","FILING_STATUS=MR","Sort=A","Dates=H","DateFormat=P","Fill=—","Direction=H","UseDPDF=Y")</f>
        <v>40.141199999999998</v>
      </c>
      <c r="R13" s="14">
        <f>_xll.BDH("AMGN US Equity","HIGH_CLOSING_PRICE_TO_BOOK_RATIO","FQ2 2023","FQ2 2023","Currency=USD","Period=FQ","BEST_FPERIOD_OVERRIDE=FQ","FILING_STATUS=MR","Sort=A","Dates=H","DateFormat=P","Fill=—","Direction=H","UseDPDF=Y")</f>
        <v>25.313300000000002</v>
      </c>
      <c r="S13" s="14">
        <f>_xll.BDH("AMGN US Equity","HIGH_CLOSING_PRICE_TO_BOOK_RATIO","FQ3 2023","FQ3 2023","Currency=USD","Period=FQ","BEST_FPERIOD_OVERRIDE=FQ","FILING_STATUS=MR","Sort=A","Dates=H","DateFormat=P","Fill=—","Direction=H","UseDPDF=Y")</f>
        <v>21.413399999999999</v>
      </c>
      <c r="T13" s="14">
        <f>_xll.BDH("AMGN US Equity","HIGH_CLOSING_PRICE_TO_BOOK_RATIO","FQ4 2023","FQ4 2023","Currency=USD","Period=FQ","BEST_FPERIOD_OVERRIDE=FQ","FILING_STATUS=MR","Sort=A","Dates=H","DateFormat=P","Fill=—","Direction=H","UseDPDF=Y")</f>
        <v>24.744199999999999</v>
      </c>
      <c r="U13" s="14">
        <f>_xll.BDH("AMGN US Equity","HIGH_CLOSING_PRICE_TO_BOOK_RATIO","FQ1 2024","FQ1 2024","Currency=USD","Period=FQ","BEST_FPERIOD_OVERRIDE=FQ","FILING_STATUS=MR","Sort=A","Dates=H","DateFormat=P","Fill=—","Direction=H","UseDPDF=Y")</f>
        <v>30.368200000000002</v>
      </c>
      <c r="V13" s="14">
        <f>_xll.BDH("AMGN US Equity","HIGH_CLOSING_PRICE_TO_BOOK_RATIO","FQ2 2024","FQ2 2024","Currency=USD","Period=FQ","BEST_FPERIOD_OVERRIDE=FQ","FILING_STATUS=MR","Sort=A","Dates=H","DateFormat=P","Fill=—","Direction=H","UseDPDF=Y")</f>
        <v>34.105499999999999</v>
      </c>
      <c r="W13" s="14">
        <f>_xll.BDH("AMGN US Equity","HIGH_CLOSING_PRICE_TO_BOOK_RATIO","FQ3 2024","FQ3 2024","Currency=USD","Period=FQ","BEST_FPERIOD_OVERRIDE=FQ","FILING_STATUS=MR","Sort=A","Dates=H","DateFormat=P","Fill=—","Direction=H","UseDPDF=Y")</f>
        <v>30.589099999999998</v>
      </c>
      <c r="X13" s="14">
        <f>_xll.BDH("AMGN US Equity","HIGH_CLOSING_PRICE_TO_BOOK_RATIO","FQ4 2024","FQ4 2024","Currency=USD","Period=FQ","BEST_FPERIOD_OVERRIDE=FQ","FILING_STATUS=MR","Sort=A","Dates=H","DateFormat=P","Fill=—","Direction=H","UseDPDF=Y")</f>
        <v>23.8111</v>
      </c>
      <c r="Y13" s="17"/>
      <c r="Z13" s="14"/>
      <c r="AA13" s="14"/>
    </row>
    <row r="14" spans="1:27" x14ac:dyDescent="0.25">
      <c r="A14" s="10" t="s">
        <v>213</v>
      </c>
      <c r="B14" s="10" t="s">
        <v>219</v>
      </c>
      <c r="C14" s="14">
        <f>_xll.BDH("AMGN US Equity","LOW_CLOSING_PRICE_TO_BOOK_RATIO","FQ3 2019","FQ3 2019","Currency=USD","Period=FQ","BEST_FPERIOD_OVERRIDE=FQ","FILING_STATUS=MR","Sort=A","Dates=H","DateFormat=P","Fill=—","Direction=H","UseDPDF=Y")</f>
        <v>9.7119999999999997</v>
      </c>
      <c r="D14" s="14">
        <f>_xll.BDH("AMGN US Equity","LOW_CLOSING_PRICE_TO_BOOK_RATIO","FQ4 2019","FQ4 2019","Currency=USD","Period=FQ","BEST_FPERIOD_OVERRIDE=FQ","FILING_STATUS=MR","Sort=A","Dates=H","DateFormat=P","Fill=—","Direction=H","UseDPDF=Y")</f>
        <v>10.323700000000001</v>
      </c>
      <c r="E14" s="14">
        <f>_xll.BDH("AMGN US Equity","LOW_CLOSING_PRICE_TO_BOOK_RATIO","FQ1 2020","FQ1 2020","Currency=USD","Period=FQ","BEST_FPERIOD_OVERRIDE=FQ","FILING_STATUS=MR","Sort=A","Dates=H","DateFormat=P","Fill=—","Direction=H","UseDPDF=Y")</f>
        <v>11.141999999999999</v>
      </c>
      <c r="F14" s="14">
        <f>_xll.BDH("AMGN US Equity","LOW_CLOSING_PRICE_TO_BOOK_RATIO","FQ2 2020","FQ2 2020","Currency=USD","Period=FQ","BEST_FPERIOD_OVERRIDE=FQ","FILING_STATUS=MR","Sort=A","Dates=H","DateFormat=P","Fill=—","Direction=H","UseDPDF=Y")</f>
        <v>12.2628</v>
      </c>
      <c r="G14" s="14">
        <f>_xll.BDH("AMGN US Equity","LOW_CLOSING_PRICE_TO_BOOK_RATIO","FQ3 2020","FQ3 2020","Currency=USD","Period=FQ","BEST_FPERIOD_OVERRIDE=FQ","FILING_STATUS=MR","Sort=A","Dates=H","DateFormat=P","Fill=—","Direction=H","UseDPDF=Y")</f>
        <v>12.9092</v>
      </c>
      <c r="H14" s="14">
        <f>_xll.BDH("AMGN US Equity","LOW_CLOSING_PRICE_TO_BOOK_RATIO","FQ4 2020","FQ4 2020","Currency=USD","Period=FQ","BEST_FPERIOD_OVERRIDE=FQ","FILING_STATUS=MR","Sort=A","Dates=H","DateFormat=P","Fill=—","Direction=H","UseDPDF=Y")</f>
        <v>11.520899999999999</v>
      </c>
      <c r="I14" s="14">
        <f>_xll.BDH("AMGN US Equity","LOW_CLOSING_PRICE_TO_BOOK_RATIO","FQ1 2021","FQ1 2021","Currency=USD","Period=FQ","BEST_FPERIOD_OVERRIDE=FQ","FILING_STATUS=MR","Sort=A","Dates=H","DateFormat=P","Fill=—","Direction=H","UseDPDF=Y")</f>
        <v>13.639099999999999</v>
      </c>
      <c r="J14" s="14">
        <f>_xll.BDH("AMGN US Equity","LOW_CLOSING_PRICE_TO_BOOK_RATIO","FQ2 2021","FQ2 2021","Currency=USD","Period=FQ","BEST_FPERIOD_OVERRIDE=FQ","FILING_STATUS=MR","Sort=A","Dates=H","DateFormat=P","Fill=—","Direction=H","UseDPDF=Y")</f>
        <v>14.396699999999999</v>
      </c>
      <c r="K14" s="14">
        <f>_xll.BDH("AMGN US Equity","LOW_CLOSING_PRICE_TO_BOOK_RATIO","FQ3 2021","FQ3 2021","Currency=USD","Period=FQ","BEST_FPERIOD_OVERRIDE=FQ","FILING_STATUS=MR","Sort=A","Dates=H","DateFormat=P","Fill=—","Direction=H","UseDPDF=Y")</f>
        <v>14.6218</v>
      </c>
      <c r="L14" s="14">
        <f>_xll.BDH("AMGN US Equity","LOW_CLOSING_PRICE_TO_BOOK_RATIO","FQ4 2021","FQ4 2021","Currency=USD","Period=FQ","BEST_FPERIOD_OVERRIDE=FQ","FILING_STATUS=MR","Sort=A","Dates=H","DateFormat=P","Fill=—","Direction=H","UseDPDF=Y")</f>
        <v>13.675000000000001</v>
      </c>
      <c r="M14" s="14">
        <f>_xll.BDH("AMGN US Equity","LOW_CLOSING_PRICE_TO_BOOK_RATIO","FQ1 2022","FQ1 2022","Currency=USD","Period=FQ","BEST_FPERIOD_OVERRIDE=FQ","FILING_STATUS=MR","Sort=A","Dates=H","DateFormat=P","Fill=—","Direction=H","UseDPDF=Y")</f>
        <v>17.476099999999999</v>
      </c>
      <c r="N14" s="14">
        <f>_xll.BDH("AMGN US Equity","LOW_CLOSING_PRICE_TO_BOOK_RATIO","FQ2 2022","FQ2 2022","Currency=USD","Period=FQ","BEST_FPERIOD_OVERRIDE=FQ","FILING_STATUS=MR","Sort=A","Dates=H","DateFormat=P","Fill=—","Direction=H","UseDPDF=Y")</f>
        <v>53.799599999999998</v>
      </c>
      <c r="O14" s="14">
        <f>_xll.BDH("AMGN US Equity","LOW_CLOSING_PRICE_TO_BOOK_RATIO","FQ3 2022","FQ3 2022","Currency=USD","Period=FQ","BEST_FPERIOD_OVERRIDE=FQ","FILING_STATUS=MR","Sort=A","Dates=H","DateFormat=P","Fill=—","Direction=H","UseDPDF=Y")</f>
        <v>32.918399999999998</v>
      </c>
      <c r="P14" s="14">
        <f>_xll.BDH("AMGN US Equity","LOW_CLOSING_PRICE_TO_BOOK_RATIO","FQ4 2022","FQ4 2022","Currency=USD","Period=FQ","BEST_FPERIOD_OVERRIDE=FQ","FILING_STATUS=MR","Sort=A","Dates=H","DateFormat=P","Fill=—","Direction=H","UseDPDF=Y")</f>
        <v>33.448500000000003</v>
      </c>
      <c r="Q14" s="14">
        <f>_xll.BDH("AMGN US Equity","LOW_CLOSING_PRICE_TO_BOOK_RATIO","FQ1 2023","FQ1 2023","Currency=USD","Period=FQ","BEST_FPERIOD_OVERRIDE=FQ","FILING_STATUS=MR","Sort=A","Dates=H","DateFormat=P","Fill=—","Direction=H","UseDPDF=Y")</f>
        <v>24.1524</v>
      </c>
      <c r="R14" s="14">
        <f>_xll.BDH("AMGN US Equity","LOW_CLOSING_PRICE_TO_BOOK_RATIO","FQ2 2023","FQ2 2023","Currency=USD","Period=FQ","BEST_FPERIOD_OVERRIDE=FQ","FILING_STATUS=MR","Sort=A","Dates=H","DateFormat=P","Fill=—","Direction=H","UseDPDF=Y")</f>
        <v>17.513400000000001</v>
      </c>
      <c r="S14" s="14">
        <f>_xll.BDH("AMGN US Equity","LOW_CLOSING_PRICE_TO_BOOK_RATIO","FQ3 2023","FQ3 2023","Currency=USD","Period=FQ","BEST_FPERIOD_OVERRIDE=FQ","FILING_STATUS=MR","Sort=A","Dates=H","DateFormat=P","Fill=—","Direction=H","UseDPDF=Y")</f>
        <v>17.247599999999998</v>
      </c>
      <c r="T14" s="14">
        <f>_xll.BDH("AMGN US Equity","LOW_CLOSING_PRICE_TO_BOOK_RATIO","FQ4 2023","FQ4 2023","Currency=USD","Period=FQ","BEST_FPERIOD_OVERRIDE=FQ","FILING_STATUS=MR","Sort=A","Dates=H","DateFormat=P","Fill=—","Direction=H","UseDPDF=Y")</f>
        <v>17.871600000000001</v>
      </c>
      <c r="U14" s="14">
        <f>_xll.BDH("AMGN US Equity","LOW_CLOSING_PRICE_TO_BOOK_RATIO","FQ1 2024","FQ1 2024","Currency=USD","Period=FQ","BEST_FPERIOD_OVERRIDE=FQ","FILING_STATUS=MR","Sort=A","Dates=H","DateFormat=P","Fill=—","Direction=H","UseDPDF=Y")</f>
        <v>23.099</v>
      </c>
      <c r="V14" s="14">
        <f>_xll.BDH("AMGN US Equity","LOW_CLOSING_PRICE_TO_BOOK_RATIO","FQ2 2024","FQ2 2024","Currency=USD","Period=FQ","BEST_FPERIOD_OVERRIDE=FQ","FILING_STATUS=MR","Sort=A","Dates=H","DateFormat=P","Fill=—","Direction=H","UseDPDF=Y")</f>
        <v>28.064299999999999</v>
      </c>
      <c r="W14" s="14">
        <f>_xll.BDH("AMGN US Equity","LOW_CLOSING_PRICE_TO_BOOK_RATIO","FQ3 2024","FQ3 2024","Currency=USD","Period=FQ","BEST_FPERIOD_OVERRIDE=FQ","FILING_STATUS=MR","Sort=A","Dates=H","DateFormat=P","Fill=—","Direction=H","UseDPDF=Y")</f>
        <v>23.008900000000001</v>
      </c>
      <c r="X14" s="14">
        <f>_xll.BDH("AMGN US Equity","LOW_CLOSING_PRICE_TO_BOOK_RATIO","FQ4 2024","FQ4 2024","Currency=USD","Period=FQ","BEST_FPERIOD_OVERRIDE=FQ","FILING_STATUS=MR","Sort=A","Dates=H","DateFormat=P","Fill=—","Direction=H","UseDPDF=Y")</f>
        <v>18.479399999999998</v>
      </c>
      <c r="Y14" s="17"/>
      <c r="Z14" s="14"/>
      <c r="AA14" s="14"/>
    </row>
    <row r="15" spans="1:27" x14ac:dyDescent="0.25">
      <c r="A15" s="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21"/>
      <c r="Z15" s="18"/>
      <c r="AA15" s="18"/>
    </row>
    <row r="16" spans="1:27" x14ac:dyDescent="0.25">
      <c r="A16" s="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21"/>
      <c r="Z16" s="18"/>
      <c r="AA16" s="18"/>
    </row>
    <row r="17" spans="1:27" x14ac:dyDescent="0.25">
      <c r="A17" s="6" t="s">
        <v>220</v>
      </c>
      <c r="B17" s="6" t="s">
        <v>221</v>
      </c>
      <c r="C17" s="20">
        <f>_xll.BDH("AMGN US Equity","PX_TO_SALES_RATIO","FQ3 2019","FQ3 2019","Currency=USD","Period=FQ","BEST_FPERIOD_OVERRIDE=FQ","FILING_STATUS=MR","FA_ADJUSTED=GAAP","Sort=A","Dates=H","DateFormat=P","Fill=—","Direction=H","UseDPDF=Y")</f>
        <v>5.0930999999999997</v>
      </c>
      <c r="D17" s="20">
        <f>_xll.BDH("AMGN US Equity","PX_TO_SALES_RATIO","FQ4 2019","FQ4 2019","Currency=USD","Period=FQ","BEST_FPERIOD_OVERRIDE=FQ","FILING_STATUS=MR","FA_ADJUSTED=GAAP","Sort=A","Dates=H","DateFormat=P","Fill=—","Direction=H","UseDPDF=Y")</f>
        <v>6.2397999999999998</v>
      </c>
      <c r="E17" s="20">
        <f>_xll.BDH("AMGN US Equity","PX_TO_SALES_RATIO","FQ1 2020","FQ1 2020","Currency=USD","Period=FQ","BEST_FPERIOD_OVERRIDE=FQ","FILING_STATUS=MR","FA_ADJUSTED=GAAP","Sort=A","Dates=H","DateFormat=P","Fill=—","Direction=H","UseDPDF=Y")</f>
        <v>5.0503</v>
      </c>
      <c r="F17" s="20">
        <f>_xll.BDH("AMGN US Equity","PX_TO_SALES_RATIO","FQ2 2020","FQ2 2020","Currency=USD","Period=FQ","BEST_FPERIOD_OVERRIDE=FQ","FILING_STATUS=MR","FA_ADJUSTED=GAAP","Sort=A","Dates=H","DateFormat=P","Fill=—","Direction=H","UseDPDF=Y")</f>
        <v>5.7492000000000001</v>
      </c>
      <c r="G17" s="20">
        <f>_xll.BDH("AMGN US Equity","PX_TO_SALES_RATIO","FQ3 2020","FQ3 2020","Currency=USD","Period=FQ","BEST_FPERIOD_OVERRIDE=FQ","FILING_STATUS=MR","FA_ADJUSTED=GAAP","Sort=A","Dates=H","DateFormat=P","Fill=—","Direction=H","UseDPDF=Y")</f>
        <v>5.9905999999999997</v>
      </c>
      <c r="H17" s="20">
        <f>_xll.BDH("AMGN US Equity","PX_TO_SALES_RATIO","FQ4 2020","FQ4 2020","Currency=USD","Period=FQ","BEST_FPERIOD_OVERRIDE=FQ","FILING_STATUS=MR","FA_ADJUSTED=GAAP","Sort=A","Dates=H","DateFormat=P","Fill=—","Direction=H","UseDPDF=Y")</f>
        <v>5.2984</v>
      </c>
      <c r="I17" s="20">
        <f>_xll.BDH("AMGN US Equity","PX_TO_SALES_RATIO","FQ1 2021","FQ1 2021","Currency=USD","Period=FQ","BEST_FPERIOD_OVERRIDE=FQ","FILING_STATUS=MR","FA_ADJUSTED=GAAP","Sort=A","Dates=H","DateFormat=P","Fill=—","Direction=H","UseDPDF=Y")</f>
        <v>5.7622999999999998</v>
      </c>
      <c r="J17" s="20">
        <f>_xll.BDH("AMGN US Equity","PX_TO_SALES_RATIO","FQ2 2021","FQ2 2021","Currency=USD","Period=FQ","BEST_FPERIOD_OVERRIDE=FQ","FILING_STATUS=MR","FA_ADJUSTED=GAAP","Sort=A","Dates=H","DateFormat=P","Fill=—","Direction=H","UseDPDF=Y")</f>
        <v>5.5380000000000003</v>
      </c>
      <c r="K17" s="20">
        <f>_xll.BDH("AMGN US Equity","PX_TO_SALES_RATIO","FQ3 2021","FQ3 2021","Currency=USD","Period=FQ","BEST_FPERIOD_OVERRIDE=FQ","FILING_STATUS=MR","FA_ADJUSTED=GAAP","Sort=A","Dates=H","DateFormat=P","Fill=—","Direction=H","UseDPDF=Y")</f>
        <v>4.7401</v>
      </c>
      <c r="L17" s="20">
        <f>_xll.BDH("AMGN US Equity","PX_TO_SALES_RATIO","FQ4 2021","FQ4 2021","Currency=USD","Period=FQ","BEST_FPERIOD_OVERRIDE=FQ","FILING_STATUS=MR","FA_ADJUSTED=GAAP","Sort=A","Dates=H","DateFormat=P","Fill=—","Direction=H","UseDPDF=Y")</f>
        <v>4.9309000000000003</v>
      </c>
      <c r="M17" s="20">
        <f>_xll.BDH("AMGN US Equity","PX_TO_SALES_RATIO","FQ1 2022","FQ1 2022","Currency=USD","Period=FQ","BEST_FPERIOD_OVERRIDE=FQ","FILING_STATUS=MR","FA_ADJUSTED=GAAP","Sort=A","Dates=H","DateFormat=P","Fill=—","Direction=H","UseDPDF=Y")</f>
        <v>5.1692</v>
      </c>
      <c r="N17" s="20">
        <f>_xll.BDH("AMGN US Equity","PX_TO_SALES_RATIO","FQ2 2022","FQ2 2022","Currency=USD","Period=FQ","BEST_FPERIOD_OVERRIDE=FQ","FILING_STATUS=MR","FA_ADJUSTED=GAAP","Sort=A","Dates=H","DateFormat=P","Fill=—","Direction=H","UseDPDF=Y")</f>
        <v>5.0987999999999998</v>
      </c>
      <c r="O17" s="20">
        <f>_xll.BDH("AMGN US Equity","PX_TO_SALES_RATIO","FQ3 2022","FQ3 2022","Currency=USD","Period=FQ","BEST_FPERIOD_OVERRIDE=FQ","FILING_STATUS=MR","FA_ADJUSTED=GAAP","Sort=A","Dates=H","DateFormat=P","Fill=—","Direction=H","UseDPDF=Y")</f>
        <v>4.6643999999999997</v>
      </c>
      <c r="P17" s="20">
        <f>_xll.BDH("AMGN US Equity","PX_TO_SALES_RATIO","FQ4 2022","FQ4 2022","Currency=USD","Period=FQ","BEST_FPERIOD_OVERRIDE=FQ","FILING_STATUS=MR","FA_ADJUSTED=GAAP","Sort=A","Dates=H","DateFormat=P","Fill=—","Direction=H","UseDPDF=Y")</f>
        <v>5.3681999999999999</v>
      </c>
      <c r="Q17" s="20">
        <f>_xll.BDH("AMGN US Equity","PX_TO_SALES_RATIO","FQ1 2023","FQ1 2023","Currency=USD","Period=FQ","BEST_FPERIOD_OVERRIDE=FQ","FILING_STATUS=MR","FA_ADJUSTED=GAAP","Sort=A","Dates=H","DateFormat=P","Fill=—","Direction=H","UseDPDF=Y")</f>
        <v>4.9362000000000004</v>
      </c>
      <c r="R17" s="20">
        <f>_xll.BDH("AMGN US Equity","PX_TO_SALES_RATIO","FQ2 2023","FQ2 2023","Currency=USD","Period=FQ","BEST_FPERIOD_OVERRIDE=FQ","FILING_STATUS=MR","FA_ADJUSTED=GAAP","Sort=A","Dates=H","DateFormat=P","Fill=—","Direction=H","UseDPDF=Y")</f>
        <v>4.4664999999999999</v>
      </c>
      <c r="S17" s="20">
        <f>_xll.BDH("AMGN US Equity","PX_TO_SALES_RATIO","FQ3 2023","FQ3 2023","Currency=USD","Period=FQ","BEST_FPERIOD_OVERRIDE=FQ","FILING_STATUS=MR","FA_ADJUSTED=GAAP","Sort=A","Dates=H","DateFormat=P","Fill=—","Direction=H","UseDPDF=Y")</f>
        <v>5.3563000000000001</v>
      </c>
      <c r="T17" s="20">
        <f>_xll.BDH("AMGN US Equity","PX_TO_SALES_RATIO","FQ4 2023","FQ4 2023","Currency=USD","Period=FQ","BEST_FPERIOD_OVERRIDE=FQ","FILING_STATUS=MR","FA_ADJUSTED=GAAP","Sort=A","Dates=H","DateFormat=P","Fill=—","Direction=H","UseDPDF=Y")</f>
        <v>5.4638999999999998</v>
      </c>
      <c r="U17" s="20">
        <f>_xll.BDH("AMGN US Equity","PX_TO_SALES_RATIO","FQ1 2024","FQ1 2024","Currency=USD","Period=FQ","BEST_FPERIOD_OVERRIDE=FQ","FILING_STATUS=MR","FA_ADJUSTED=GAAP","Sort=A","Dates=H","DateFormat=P","Fill=—","Direction=H","UseDPDF=Y")</f>
        <v>5.1531000000000002</v>
      </c>
      <c r="V17" s="20">
        <f>_xll.BDH("AMGN US Equity","PX_TO_SALES_RATIO","FQ2 2024","FQ2 2024","Currency=USD","Period=FQ","BEST_FPERIOD_OVERRIDE=FQ","FILING_STATUS=MR","FA_ADJUSTED=GAAP","Sort=A","Dates=H","DateFormat=P","Fill=—","Direction=H","UseDPDF=Y")</f>
        <v>5.4116999999999997</v>
      </c>
      <c r="W17" s="20">
        <f>_xll.BDH("AMGN US Equity","PX_TO_SALES_RATIO","FQ3 2024","FQ3 2024","Currency=USD","Period=FQ","BEST_FPERIOD_OVERRIDE=FQ","FILING_STATUS=MR","FA_ADJUSTED=GAAP","Sort=A","Dates=H","DateFormat=P","Fill=—","Direction=H","UseDPDF=Y")</f>
        <v>5.3110999999999997</v>
      </c>
      <c r="X17" s="20">
        <f>_xll.BDH("AMGN US Equity","PX_TO_SALES_RATIO","FQ4 2024","FQ4 2024","Currency=USD","Period=FQ","BEST_FPERIOD_OVERRIDE=FQ","FILING_STATUS=MR","FA_ADJUSTED=GAAP","Sort=A","Dates=H","DateFormat=P","Fill=—","Direction=H","UseDPDF=Y")</f>
        <v>4.1858000000000004</v>
      </c>
      <c r="Y17" s="23">
        <v>4.9402614612583102</v>
      </c>
      <c r="Z17" s="20">
        <v>4.6996448739782402</v>
      </c>
      <c r="AA17" s="20">
        <v>4.67491428686525</v>
      </c>
    </row>
    <row r="18" spans="1:27" x14ac:dyDescent="0.25">
      <c r="A18" s="10" t="s">
        <v>209</v>
      </c>
      <c r="B18" s="10" t="s">
        <v>222</v>
      </c>
      <c r="C18" s="14">
        <f>_xll.BDH("AMGN US Equity","AVERAGE_PRICE_TO_SALES_RATIO","FQ3 2019","FQ3 2019","Currency=USD","Period=FQ","BEST_FPERIOD_OVERRIDE=FQ","FILING_STATUS=MR","FA_ADJUSTED=GAAP","Sort=A","Dates=H","DateFormat=P","Fill=—","Direction=H","UseDPDF=Y")</f>
        <v>5.1081000000000003</v>
      </c>
      <c r="D18" s="14">
        <f>_xll.BDH("AMGN US Equity","AVERAGE_PRICE_TO_SALES_RATIO","FQ4 2019","FQ4 2019","Currency=USD","Period=FQ","BEST_FPERIOD_OVERRIDE=FQ","FILING_STATUS=MR","FA_ADJUSTED=GAAP","Sort=A","Dates=H","DateFormat=P","Fill=—","Direction=H","UseDPDF=Y")</f>
        <v>5.7999000000000001</v>
      </c>
      <c r="E18" s="14">
        <f>_xll.BDH("AMGN US Equity","AVERAGE_PRICE_TO_SALES_RATIO","FQ1 2020","FQ1 2020","Currency=USD","Period=FQ","BEST_FPERIOD_OVERRIDE=FQ","FILING_STATUS=MR","FA_ADJUSTED=GAAP","Sort=A","Dates=H","DateFormat=P","Fill=—","Direction=H","UseDPDF=Y")</f>
        <v>5.6505000000000001</v>
      </c>
      <c r="F18" s="14">
        <f>_xll.BDH("AMGN US Equity","AVERAGE_PRICE_TO_SALES_RATIO","FQ2 2020","FQ2 2020","Currency=USD","Period=FQ","BEST_FPERIOD_OVERRIDE=FQ","FILING_STATUS=MR","FA_ADJUSTED=GAAP","Sort=A","Dates=H","DateFormat=P","Fill=—","Direction=H","UseDPDF=Y")</f>
        <v>5.6817000000000002</v>
      </c>
      <c r="G18" s="14">
        <f>_xll.BDH("AMGN US Equity","AVERAGE_PRICE_TO_SALES_RATIO","FQ3 2020","FQ3 2020","Currency=USD","Period=FQ","BEST_FPERIOD_OVERRIDE=FQ","FILING_STATUS=MR","FA_ADJUSTED=GAAP","Sort=A","Dates=H","DateFormat=P","Fill=—","Direction=H","UseDPDF=Y")</f>
        <v>6.0354999999999999</v>
      </c>
      <c r="H18" s="14">
        <f>_xll.BDH("AMGN US Equity","AVERAGE_PRICE_TO_SALES_RATIO","FQ4 2020","FQ4 2020","Currency=USD","Period=FQ","BEST_FPERIOD_OVERRIDE=FQ","FILING_STATUS=MR","FA_ADJUSTED=GAAP","Sort=A","Dates=H","DateFormat=P","Fill=—","Direction=H","UseDPDF=Y")</f>
        <v>5.4324000000000003</v>
      </c>
      <c r="I18" s="14">
        <f>_xll.BDH("AMGN US Equity","AVERAGE_PRICE_TO_SALES_RATIO","FQ1 2021","FQ1 2021","Currency=USD","Period=FQ","BEST_FPERIOD_OVERRIDE=FQ","FILING_STATUS=MR","FA_ADJUSTED=GAAP","Sort=A","Dates=H","DateFormat=P","Fill=—","Direction=H","UseDPDF=Y")</f>
        <v>5.4991000000000003</v>
      </c>
      <c r="J18" s="14">
        <f>_xll.BDH("AMGN US Equity","AVERAGE_PRICE_TO_SALES_RATIO","FQ2 2021","FQ2 2021","Currency=USD","Period=FQ","BEST_FPERIOD_OVERRIDE=FQ","FILING_STATUS=MR","FA_ADJUSTED=GAAP","Sort=A","Dates=H","DateFormat=P","Fill=—","Direction=H","UseDPDF=Y")</f>
        <v>5.6955999999999998</v>
      </c>
      <c r="K18" s="14">
        <f>_xll.BDH("AMGN US Equity","AVERAGE_PRICE_TO_SALES_RATIO","FQ3 2021","FQ3 2021","Currency=USD","Period=FQ","BEST_FPERIOD_OVERRIDE=FQ","FILING_STATUS=MR","FA_ADJUSTED=GAAP","Sort=A","Dates=H","DateFormat=P","Fill=—","Direction=H","UseDPDF=Y")</f>
        <v>5.2279999999999998</v>
      </c>
      <c r="L18" s="14">
        <f>_xll.BDH("AMGN US Equity","AVERAGE_PRICE_TO_SALES_RATIO","FQ4 2021","FQ4 2021","Currency=USD","Period=FQ","BEST_FPERIOD_OVERRIDE=FQ","FILING_STATUS=MR","FA_ADJUSTED=GAAP","Sort=A","Dates=H","DateFormat=P","Fill=—","Direction=H","UseDPDF=Y")</f>
        <v>4.7032999999999996</v>
      </c>
      <c r="M18" s="14">
        <f>_xll.BDH("AMGN US Equity","AVERAGE_PRICE_TO_SALES_RATIO","FQ1 2022","FQ1 2022","Currency=USD","Period=FQ","BEST_FPERIOD_OVERRIDE=FQ","FILING_STATUS=MR","FA_ADJUSTED=GAAP","Sort=A","Dates=H","DateFormat=P","Fill=—","Direction=H","UseDPDF=Y")</f>
        <v>5.0338000000000003</v>
      </c>
      <c r="N18" s="14">
        <f>_xll.BDH("AMGN US Equity","AVERAGE_PRICE_TO_SALES_RATIO","FQ2 2022","FQ2 2022","Currency=USD","Period=FQ","BEST_FPERIOD_OVERRIDE=FQ","FILING_STATUS=MR","FA_ADJUSTED=GAAP","Sort=A","Dates=H","DateFormat=P","Fill=—","Direction=H","UseDPDF=Y")</f>
        <v>5.2366000000000001</v>
      </c>
      <c r="O18" s="14">
        <f>_xll.BDH("AMGN US Equity","AVERAGE_PRICE_TO_SALES_RATIO","FQ3 2022","FQ3 2022","Currency=USD","Period=FQ","BEST_FPERIOD_OVERRIDE=FQ","FILING_STATUS=MR","FA_ADJUSTED=GAAP","Sort=A","Dates=H","DateFormat=P","Fill=—","Direction=H","UseDPDF=Y")</f>
        <v>5.0789</v>
      </c>
      <c r="P18" s="14">
        <f>_xll.BDH("AMGN US Equity","AVERAGE_PRICE_TO_SALES_RATIO","FQ4 2022","FQ4 2022","Currency=USD","Period=FQ","BEST_FPERIOD_OVERRIDE=FQ","FILING_STATUS=MR","FA_ADJUSTED=GAAP","Sort=A","Dates=H","DateFormat=P","Fill=—","Direction=H","UseDPDF=Y")</f>
        <v>5.5461</v>
      </c>
      <c r="Q18" s="14">
        <f>_xll.BDH("AMGN US Equity","AVERAGE_PRICE_TO_SALES_RATIO","FQ1 2023","FQ1 2023","Currency=USD","Period=FQ","BEST_FPERIOD_OVERRIDE=FQ","FILING_STATUS=MR","FA_ADJUSTED=GAAP","Sort=A","Dates=H","DateFormat=P","Fill=—","Direction=H","UseDPDF=Y")</f>
        <v>5.0171999999999999</v>
      </c>
      <c r="R18" s="14">
        <f>_xll.BDH("AMGN US Equity","AVERAGE_PRICE_TO_SALES_RATIO","FQ2 2023","FQ2 2023","Currency=USD","Period=FQ","BEST_FPERIOD_OVERRIDE=FQ","FILING_STATUS=MR","FA_ADJUSTED=GAAP","Sort=A","Dates=H","DateFormat=P","Fill=—","Direction=H","UseDPDF=Y")</f>
        <v>4.7369000000000003</v>
      </c>
      <c r="S18" s="14">
        <f>_xll.BDH("AMGN US Equity","AVERAGE_PRICE_TO_SALES_RATIO","FQ3 2023","FQ3 2023","Currency=USD","Period=FQ","BEST_FPERIOD_OVERRIDE=FQ","FILING_STATUS=MR","FA_ADJUSTED=GAAP","Sort=A","Dates=H","DateFormat=P","Fill=—","Direction=H","UseDPDF=Y")</f>
        <v>5.0197000000000003</v>
      </c>
      <c r="T18" s="14">
        <f>_xll.BDH("AMGN US Equity","AVERAGE_PRICE_TO_SALES_RATIO","FQ4 2023","FQ4 2023","Currency=USD","Period=FQ","BEST_FPERIOD_OVERRIDE=FQ","FILING_STATUS=MR","FA_ADJUSTED=GAAP","Sort=A","Dates=H","DateFormat=P","Fill=—","Direction=H","UseDPDF=Y")</f>
        <v>5.4257999999999997</v>
      </c>
      <c r="U18" s="14">
        <f>_xll.BDH("AMGN US Equity","AVERAGE_PRICE_TO_SALES_RATIO","FQ1 2024","FQ1 2024","Currency=USD","Period=FQ","BEST_FPERIOD_OVERRIDE=FQ","FILING_STATUS=MR","FA_ADJUSTED=GAAP","Sort=A","Dates=H","DateFormat=P","Fill=—","Direction=H","UseDPDF=Y")</f>
        <v>5.5469999999999997</v>
      </c>
      <c r="V18" s="14">
        <f>_xll.BDH("AMGN US Equity","AVERAGE_PRICE_TO_SALES_RATIO","FQ2 2024","FQ2 2024","Currency=USD","Period=FQ","BEST_FPERIOD_OVERRIDE=FQ","FILING_STATUS=MR","FA_ADJUSTED=GAAP","Sort=A","Dates=H","DateFormat=P","Fill=—","Direction=H","UseDPDF=Y")</f>
        <v>5.3205999999999998</v>
      </c>
      <c r="W18" s="14">
        <f>_xll.BDH("AMGN US Equity","AVERAGE_PRICE_TO_SALES_RATIO","FQ3 2024","FQ3 2024","Currency=USD","Period=FQ","BEST_FPERIOD_OVERRIDE=FQ","FILING_STATUS=MR","FA_ADJUSTED=GAAP","Sort=A","Dates=H","DateFormat=P","Fill=—","Direction=H","UseDPDF=Y")</f>
        <v>5.6614000000000004</v>
      </c>
      <c r="X18" s="14">
        <f>_xll.BDH("AMGN US Equity","AVERAGE_PRICE_TO_SALES_RATIO","FQ4 2024","FQ4 2024","Currency=USD","Period=FQ","BEST_FPERIOD_OVERRIDE=FQ","FILING_STATUS=MR","FA_ADJUSTED=GAAP","Sort=A","Dates=H","DateFormat=P","Fill=—","Direction=H","UseDPDF=Y")</f>
        <v>4.8887</v>
      </c>
      <c r="Y18" s="17"/>
      <c r="Z18" s="14"/>
      <c r="AA18" s="14"/>
    </row>
    <row r="19" spans="1:27" x14ac:dyDescent="0.25">
      <c r="A19" s="10" t="s">
        <v>211</v>
      </c>
      <c r="B19" s="10" t="s">
        <v>223</v>
      </c>
      <c r="C19" s="14">
        <f>_xll.BDH("AMGN US Equity","HIGH_PX_TO_SALES_RATIO","FQ3 2019","FQ3 2019","Currency=USD","Period=FQ","BEST_FPERIOD_OVERRIDE=FQ","FILING_STATUS=MR","FA_ADJUSTED=GAAP","Sort=A","Dates=H","DateFormat=P","Fill=—","Direction=H","UseDPDF=Y")</f>
        <v>5.64</v>
      </c>
      <c r="D19" s="14">
        <f>_xll.BDH("AMGN US Equity","HIGH_PX_TO_SALES_RATIO","FQ4 2019","FQ4 2019","Currency=USD","Period=FQ","BEST_FPERIOD_OVERRIDE=FQ","FILING_STATUS=MR","FA_ADJUSTED=GAAP","Sort=A","Dates=H","DateFormat=P","Fill=—","Direction=H","UseDPDF=Y")</f>
        <v>6.4480000000000004</v>
      </c>
      <c r="E19" s="14">
        <f>_xll.BDH("AMGN US Equity","HIGH_PX_TO_SALES_RATIO","FQ1 2020","FQ1 2020","Currency=USD","Period=FQ","BEST_FPERIOD_OVERRIDE=FQ","FILING_STATUS=MR","FA_ADJUSTED=GAAP","Sort=A","Dates=H","DateFormat=P","Fill=—","Direction=H","UseDPDF=Y")</f>
        <v>6.3117999999999999</v>
      </c>
      <c r="F19" s="14">
        <f>_xll.BDH("AMGN US Equity","HIGH_PX_TO_SALES_RATIO","FQ2 2020","FQ2 2020","Currency=USD","Period=FQ","BEST_FPERIOD_OVERRIDE=FQ","FILING_STATUS=MR","FA_ADJUSTED=GAAP","Sort=A","Dates=H","DateFormat=P","Fill=—","Direction=H","UseDPDF=Y")</f>
        <v>6.1020000000000003</v>
      </c>
      <c r="G19" s="14">
        <f>_xll.BDH("AMGN US Equity","HIGH_PX_TO_SALES_RATIO","FQ3 2020","FQ3 2020","Currency=USD","Period=FQ","BEST_FPERIOD_OVERRIDE=FQ","FILING_STATUS=MR","FA_ADJUSTED=GAAP","Sort=A","Dates=H","DateFormat=P","Fill=—","Direction=H","UseDPDF=Y")</f>
        <v>6.4588000000000001</v>
      </c>
      <c r="H19" s="14">
        <f>_xll.BDH("AMGN US Equity","HIGH_PX_TO_SALES_RATIO","FQ4 2020","FQ4 2020","Currency=USD","Period=FQ","BEST_FPERIOD_OVERRIDE=FQ","FILING_STATUS=MR","FA_ADJUSTED=GAAP","Sort=A","Dates=H","DateFormat=P","Fill=—","Direction=H","UseDPDF=Y")</f>
        <v>6.093</v>
      </c>
      <c r="I19" s="14">
        <f>_xll.BDH("AMGN US Equity","HIGH_PX_TO_SALES_RATIO","FQ1 2021","FQ1 2021","Currency=USD","Period=FQ","BEST_FPERIOD_OVERRIDE=FQ","FILING_STATUS=MR","FA_ADJUSTED=GAAP","Sort=A","Dates=H","DateFormat=P","Fill=—","Direction=H","UseDPDF=Y")</f>
        <v>6.3761000000000001</v>
      </c>
      <c r="J19" s="14">
        <f>_xll.BDH("AMGN US Equity","HIGH_PX_TO_SALES_RATIO","FQ2 2021","FQ2 2021","Currency=USD","Period=FQ","BEST_FPERIOD_OVERRIDE=FQ","FILING_STATUS=MR","FA_ADJUSTED=GAAP","Sort=A","Dates=H","DateFormat=P","Fill=—","Direction=H","UseDPDF=Y")</f>
        <v>6.0446</v>
      </c>
      <c r="K19" s="14">
        <f>_xll.BDH("AMGN US Equity","HIGH_PX_TO_SALES_RATIO","FQ3 2021","FQ3 2021","Currency=USD","Period=FQ","BEST_FPERIOD_OVERRIDE=FQ","FILING_STATUS=MR","FA_ADJUSTED=GAAP","Sort=A","Dates=H","DateFormat=P","Fill=—","Direction=H","UseDPDF=Y")</f>
        <v>5.6889000000000003</v>
      </c>
      <c r="L19" s="14">
        <f>_xll.BDH("AMGN US Equity","HIGH_PX_TO_SALES_RATIO","FQ4 2021","FQ4 2021","Currency=USD","Period=FQ","BEST_FPERIOD_OVERRIDE=FQ","FILING_STATUS=MR","FA_ADJUSTED=GAAP","Sort=A","Dates=H","DateFormat=P","Fill=—","Direction=H","UseDPDF=Y")</f>
        <v>5.1501000000000001</v>
      </c>
      <c r="M19" s="14">
        <f>_xll.BDH("AMGN US Equity","HIGH_PX_TO_SALES_RATIO","FQ1 2022","FQ1 2022","Currency=USD","Period=FQ","BEST_FPERIOD_OVERRIDE=FQ","FILING_STATUS=MR","FA_ADJUSTED=GAAP","Sort=A","Dates=H","DateFormat=P","Fill=—","Direction=H","UseDPDF=Y")</f>
        <v>5.3639999999999999</v>
      </c>
      <c r="N19" s="14">
        <f>_xll.BDH("AMGN US Equity","HIGH_PX_TO_SALES_RATIO","FQ2 2022","FQ2 2022","Currency=USD","Period=FQ","BEST_FPERIOD_OVERRIDE=FQ","FILING_STATUS=MR","FA_ADJUSTED=GAAP","Sort=A","Dates=H","DateFormat=P","Fill=—","Direction=H","UseDPDF=Y")</f>
        <v>5.5247000000000002</v>
      </c>
      <c r="O19" s="14">
        <f>_xll.BDH("AMGN US Equity","HIGH_PX_TO_SALES_RATIO","FQ3 2022","FQ3 2022","Currency=USD","Period=FQ","BEST_FPERIOD_OVERRIDE=FQ","FILING_STATUS=MR","FA_ADJUSTED=GAAP","Sort=A","Dates=H","DateFormat=P","Fill=—","Direction=H","UseDPDF=Y")</f>
        <v>5.3263999999999996</v>
      </c>
      <c r="P19" s="14">
        <f>_xll.BDH("AMGN US Equity","HIGH_PX_TO_SALES_RATIO","FQ4 2022","FQ4 2022","Currency=USD","Period=FQ","BEST_FPERIOD_OVERRIDE=FQ","FILING_STATUS=MR","FA_ADJUSTED=GAAP","Sort=A","Dates=H","DateFormat=P","Fill=—","Direction=H","UseDPDF=Y")</f>
        <v>6.1391999999999998</v>
      </c>
      <c r="Q19" s="14">
        <f>_xll.BDH("AMGN US Equity","HIGH_PX_TO_SALES_RATIO","FQ1 2023","FQ1 2023","Currency=USD","Period=FQ","BEST_FPERIOD_OVERRIDE=FQ","FILING_STATUS=MR","FA_ADJUSTED=GAAP","Sort=A","Dates=H","DateFormat=P","Fill=—","Direction=H","UseDPDF=Y")</f>
        <v>5.6584000000000003</v>
      </c>
      <c r="R19" s="14">
        <f>_xll.BDH("AMGN US Equity","HIGH_PX_TO_SALES_RATIO","FQ2 2023","FQ2 2023","Currency=USD","Period=FQ","BEST_FPERIOD_OVERRIDE=FQ","FILING_STATUS=MR","FA_ADJUSTED=GAAP","Sort=A","Dates=H","DateFormat=P","Fill=—","Direction=H","UseDPDF=Y")</f>
        <v>5.2362000000000002</v>
      </c>
      <c r="S19" s="14">
        <f>_xll.BDH("AMGN US Equity","HIGH_PX_TO_SALES_RATIO","FQ3 2023","FQ3 2023","Currency=USD","Period=FQ","BEST_FPERIOD_OVERRIDE=FQ","FILING_STATUS=MR","FA_ADJUSTED=GAAP","Sort=A","Dates=H","DateFormat=P","Fill=—","Direction=H","UseDPDF=Y")</f>
        <v>5.5044000000000004</v>
      </c>
      <c r="T19" s="14">
        <f>_xll.BDH("AMGN US Equity","HIGH_PX_TO_SALES_RATIO","FQ4 2023","FQ4 2023","Currency=USD","Period=FQ","BEST_FPERIOD_OVERRIDE=FQ","FILING_STATUS=MR","FA_ADJUSTED=GAAP","Sort=A","Dates=H","DateFormat=P","Fill=—","Direction=H","UseDPDF=Y")</f>
        <v>5.7605000000000004</v>
      </c>
      <c r="U19" s="14">
        <f>_xll.BDH("AMGN US Equity","HIGH_PX_TO_SALES_RATIO","FQ1 2024","FQ1 2024","Currency=USD","Period=FQ","BEST_FPERIOD_OVERRIDE=FQ","FILING_STATUS=MR","FA_ADJUSTED=GAAP","Sort=A","Dates=H","DateFormat=P","Fill=—","Direction=H","UseDPDF=Y")</f>
        <v>6.2549999999999999</v>
      </c>
      <c r="V19" s="14">
        <f>_xll.BDH("AMGN US Equity","HIGH_PX_TO_SALES_RATIO","FQ2 2024","FQ2 2024","Currency=USD","Period=FQ","BEST_FPERIOD_OVERRIDE=FQ","FILING_STATUS=MR","FA_ADJUSTED=GAAP","Sort=A","Dates=H","DateFormat=P","Fill=—","Direction=H","UseDPDF=Y")</f>
        <v>5.9108000000000001</v>
      </c>
      <c r="W19" s="14">
        <f>_xll.BDH("AMGN US Equity","HIGH_PX_TO_SALES_RATIO","FQ3 2024","FQ3 2024","Currency=USD","Period=FQ","BEST_FPERIOD_OVERRIDE=FQ","FILING_STATUS=MR","FA_ADJUSTED=GAAP","Sort=A","Dates=H","DateFormat=P","Fill=—","Direction=H","UseDPDF=Y")</f>
        <v>6.0075000000000003</v>
      </c>
      <c r="X19" s="14">
        <f>_xll.BDH("AMGN US Equity","HIGH_PX_TO_SALES_RATIO","FQ4 2024","FQ4 2024","Currency=USD","Period=FQ","BEST_FPERIOD_OVERRIDE=FQ","FILING_STATUS=MR","FA_ADJUSTED=GAAP","Sort=A","Dates=H","DateFormat=P","Fill=—","Direction=H","UseDPDF=Y")</f>
        <v>5.4257999999999997</v>
      </c>
      <c r="Y19" s="17"/>
      <c r="Z19" s="14"/>
      <c r="AA19" s="14"/>
    </row>
    <row r="20" spans="1:27" x14ac:dyDescent="0.25">
      <c r="A20" s="10" t="s">
        <v>213</v>
      </c>
      <c r="B20" s="10" t="s">
        <v>224</v>
      </c>
      <c r="C20" s="14">
        <f>_xll.BDH("AMGN US Equity","LOW_PX_TO_SALES_RATIO","FQ3 2019","FQ3 2019","Currency=USD","Period=FQ","BEST_FPERIOD_OVERRIDE=FQ","FILING_STATUS=MR","FA_ADJUSTED=GAAP","Sort=A","Dates=H","DateFormat=P","Fill=—","Direction=H","UseDPDF=Y")</f>
        <v>4.6078000000000001</v>
      </c>
      <c r="D20" s="14">
        <f>_xll.BDH("AMGN US Equity","LOW_PX_TO_SALES_RATIO","FQ4 2019","FQ4 2019","Currency=USD","Period=FQ","BEST_FPERIOD_OVERRIDE=FQ","FILING_STATUS=MR","FA_ADJUSTED=GAAP","Sort=A","Dates=H","DateFormat=P","Fill=—","Direction=H","UseDPDF=Y")</f>
        <v>4.9686000000000003</v>
      </c>
      <c r="E20" s="14">
        <f>_xll.BDH("AMGN US Equity","LOW_PX_TO_SALES_RATIO","FQ1 2020","FQ1 2020","Currency=USD","Period=FQ","BEST_FPERIOD_OVERRIDE=FQ","FILING_STATUS=MR","FA_ADJUSTED=GAAP","Sort=A","Dates=H","DateFormat=P","Fill=—","Direction=H","UseDPDF=Y")</f>
        <v>4.5827</v>
      </c>
      <c r="F20" s="14">
        <f>_xll.BDH("AMGN US Equity","LOW_PX_TO_SALES_RATIO","FQ2 2020","FQ2 2020","Currency=USD","Period=FQ","BEST_FPERIOD_OVERRIDE=FQ","FILING_STATUS=MR","FA_ADJUSTED=GAAP","Sort=A","Dates=H","DateFormat=P","Fill=—","Direction=H","UseDPDF=Y")</f>
        <v>4.8380000000000001</v>
      </c>
      <c r="G20" s="14">
        <f>_xll.BDH("AMGN US Equity","LOW_PX_TO_SALES_RATIO","FQ3 2020","FQ3 2020","Currency=USD","Period=FQ","BEST_FPERIOD_OVERRIDE=FQ","FILING_STATUS=MR","FA_ADJUSTED=GAAP","Sort=A","Dates=H","DateFormat=P","Fill=—","Direction=H","UseDPDF=Y")</f>
        <v>5.6692999999999998</v>
      </c>
      <c r="H20" s="14">
        <f>_xll.BDH("AMGN US Equity","LOW_PX_TO_SALES_RATIO","FQ4 2020","FQ4 2020","Currency=USD","Period=FQ","BEST_FPERIOD_OVERRIDE=FQ","FILING_STATUS=MR","FA_ADJUSTED=GAAP","Sort=A","Dates=H","DateFormat=P","Fill=—","Direction=H","UseDPDF=Y")</f>
        <v>4.9562999999999997</v>
      </c>
      <c r="I20" s="14">
        <f>_xll.BDH("AMGN US Equity","LOW_PX_TO_SALES_RATIO","FQ1 2021","FQ1 2021","Currency=USD","Period=FQ","BEST_FPERIOD_OVERRIDE=FQ","FILING_STATUS=MR","FA_ADJUSTED=GAAP","Sort=A","Dates=H","DateFormat=P","Fill=—","Direction=H","UseDPDF=Y")</f>
        <v>5.0755999999999997</v>
      </c>
      <c r="J20" s="14">
        <f>_xll.BDH("AMGN US Equity","LOW_PX_TO_SALES_RATIO","FQ2 2021","FQ2 2021","Currency=USD","Period=FQ","BEST_FPERIOD_OVERRIDE=FQ","FILING_STATUS=MR","FA_ADJUSTED=GAAP","Sort=A","Dates=H","DateFormat=P","Fill=—","Direction=H","UseDPDF=Y")</f>
        <v>5.3505000000000003</v>
      </c>
      <c r="K20" s="14">
        <f>_xll.BDH("AMGN US Equity","LOW_PX_TO_SALES_RATIO","FQ3 2021","FQ3 2021","Currency=USD","Period=FQ","BEST_FPERIOD_OVERRIDE=FQ","FILING_STATUS=MR","FA_ADJUSTED=GAAP","Sort=A","Dates=H","DateFormat=P","Fill=—","Direction=H","UseDPDF=Y")</f>
        <v>4.7371999999999996</v>
      </c>
      <c r="L20" s="14">
        <f>_xll.BDH("AMGN US Equity","LOW_PX_TO_SALES_RATIO","FQ4 2021","FQ4 2021","Currency=USD","Period=FQ","BEST_FPERIOD_OVERRIDE=FQ","FILING_STATUS=MR","FA_ADJUSTED=GAAP","Sort=A","Dates=H","DateFormat=P","Fill=—","Direction=H","UseDPDF=Y")</f>
        <v>4.4278000000000004</v>
      </c>
      <c r="M20" s="14">
        <f>_xll.BDH("AMGN US Equity","LOW_PX_TO_SALES_RATIO","FQ1 2022","FQ1 2022","Currency=USD","Period=FQ","BEST_FPERIOD_OVERRIDE=FQ","FILING_STATUS=MR","FA_ADJUSTED=GAAP","Sort=A","Dates=H","DateFormat=P","Fill=—","Direction=H","UseDPDF=Y")</f>
        <v>4.6989999999999998</v>
      </c>
      <c r="N20" s="14">
        <f>_xll.BDH("AMGN US Equity","LOW_PX_TO_SALES_RATIO","FQ2 2022","FQ2 2022","Currency=USD","Period=FQ","BEST_FPERIOD_OVERRIDE=FQ","FILING_STATUS=MR","FA_ADJUSTED=GAAP","Sort=A","Dates=H","DateFormat=P","Fill=—","Direction=H","UseDPDF=Y")</f>
        <v>4.8592000000000004</v>
      </c>
      <c r="O20" s="14">
        <f>_xll.BDH("AMGN US Equity","LOW_PX_TO_SALES_RATIO","FQ3 2022","FQ3 2022","Currency=USD","Period=FQ","BEST_FPERIOD_OVERRIDE=FQ","FILING_STATUS=MR","FA_ADJUSTED=GAAP","Sort=A","Dates=H","DateFormat=P","Fill=—","Direction=H","UseDPDF=Y")</f>
        <v>4.6596000000000002</v>
      </c>
      <c r="P20" s="14">
        <f>_xll.BDH("AMGN US Equity","LOW_PX_TO_SALES_RATIO","FQ4 2022","FQ4 2022","Currency=USD","Period=FQ","BEST_FPERIOD_OVERRIDE=FQ","FILING_STATUS=MR","FA_ADJUSTED=GAAP","Sort=A","Dates=H","DateFormat=P","Fill=—","Direction=H","UseDPDF=Y")</f>
        <v>4.6855000000000002</v>
      </c>
      <c r="Q20" s="14">
        <f>_xll.BDH("AMGN US Equity","LOW_PX_TO_SALES_RATIO","FQ1 2023","FQ1 2023","Currency=USD","Period=FQ","BEST_FPERIOD_OVERRIDE=FQ","FILING_STATUS=MR","FA_ADJUSTED=GAAP","Sort=A","Dates=H","DateFormat=P","Fill=—","Direction=H","UseDPDF=Y")</f>
        <v>4.6070000000000002</v>
      </c>
      <c r="R20" s="14">
        <f>_xll.BDH("AMGN US Equity","LOW_PX_TO_SALES_RATIO","FQ2 2023","FQ2 2023","Currency=USD","Period=FQ","BEST_FPERIOD_OVERRIDE=FQ","FILING_STATUS=MR","FA_ADJUSTED=GAAP","Sort=A","Dates=H","DateFormat=P","Fill=—","Direction=H","UseDPDF=Y")</f>
        <v>4.3228</v>
      </c>
      <c r="S20" s="14">
        <f>_xll.BDH("AMGN US Equity","LOW_PX_TO_SALES_RATIO","FQ3 2023","FQ3 2023","Currency=USD","Period=FQ","BEST_FPERIOD_OVERRIDE=FQ","FILING_STATUS=MR","FA_ADJUSTED=GAAP","Sort=A","Dates=H","DateFormat=P","Fill=—","Direction=H","UseDPDF=Y")</f>
        <v>4.3944999999999999</v>
      </c>
      <c r="T20" s="14">
        <f>_xll.BDH("AMGN US Equity","LOW_PX_TO_SALES_RATIO","FQ4 2023","FQ4 2023","Currency=USD","Period=FQ","BEST_FPERIOD_OVERRIDE=FQ","FILING_STATUS=MR","FA_ADJUSTED=GAAP","Sort=A","Dates=H","DateFormat=P","Fill=—","Direction=H","UseDPDF=Y")</f>
        <v>4.9763999999999999</v>
      </c>
      <c r="U20" s="14">
        <f>_xll.BDH("AMGN US Equity","LOW_PX_TO_SALES_RATIO","FQ1 2024","FQ1 2024","Currency=USD","Period=FQ","BEST_FPERIOD_OVERRIDE=FQ","FILING_STATUS=MR","FA_ADJUSTED=GAAP","Sort=A","Dates=H","DateFormat=P","Fill=—","Direction=H","UseDPDF=Y")</f>
        <v>5.0873999999999997</v>
      </c>
      <c r="V20" s="14">
        <f>_xll.BDH("AMGN US Equity","LOW_PX_TO_SALES_RATIO","FQ2 2024","FQ2 2024","Currency=USD","Period=FQ","BEST_FPERIOD_OVERRIDE=FQ","FILING_STATUS=MR","FA_ADJUSTED=GAAP","Sort=A","Dates=H","DateFormat=P","Fill=—","Direction=H","UseDPDF=Y")</f>
        <v>4.7247000000000003</v>
      </c>
      <c r="W20" s="14">
        <f>_xll.BDH("AMGN US Equity","LOW_PX_TO_SALES_RATIO","FQ3 2024","FQ3 2024","Currency=USD","Period=FQ","BEST_FPERIOD_OVERRIDE=FQ","FILING_STATUS=MR","FA_ADJUSTED=GAAP","Sort=A","Dates=H","DateFormat=P","Fill=—","Direction=H","UseDPDF=Y")</f>
        <v>5.2546999999999997</v>
      </c>
      <c r="X20" s="14">
        <f>_xll.BDH("AMGN US Equity","LOW_PX_TO_SALES_RATIO","FQ4 2024","FQ4 2024","Currency=USD","Period=FQ","BEST_FPERIOD_OVERRIDE=FQ","FILING_STATUS=MR","FA_ADJUSTED=GAAP","Sort=A","Dates=H","DateFormat=P","Fill=—","Direction=H","UseDPDF=Y")</f>
        <v>4.157</v>
      </c>
      <c r="Y20" s="17"/>
      <c r="Z20" s="14"/>
      <c r="AA20" s="14"/>
    </row>
    <row r="21" spans="1:27" x14ac:dyDescent="0.25">
      <c r="A21" s="6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21"/>
      <c r="Z21" s="18"/>
      <c r="AA21" s="18"/>
    </row>
    <row r="22" spans="1:27" x14ac:dyDescent="0.25">
      <c r="A22" s="6" t="s">
        <v>225</v>
      </c>
      <c r="B22" s="6" t="s">
        <v>226</v>
      </c>
      <c r="C22" s="20">
        <f>_xll.BDH("AMGN US Equity","PX_TO_CASH_FLOW","FQ3 2019","FQ3 2019","Currency=USD","Period=FQ","BEST_FPERIOD_OVERRIDE=FQ","FILING_STATUS=MR","Sort=A","Dates=H","DateFormat=P","Fill=—","Direction=H","UseDPDF=Y")</f>
        <v>12.1221</v>
      </c>
      <c r="D22" s="20">
        <f>_xll.BDH("AMGN US Equity","PX_TO_CASH_FLOW","FQ4 2019","FQ4 2019","Currency=USD","Period=FQ","BEST_FPERIOD_OVERRIDE=FQ","FILING_STATUS=MR","Sort=A","Dates=H","DateFormat=P","Fill=—","Direction=H","UseDPDF=Y")</f>
        <v>15.888199999999999</v>
      </c>
      <c r="E22" s="20">
        <f>_xll.BDH("AMGN US Equity","PX_TO_CASH_FLOW","FQ1 2020","FQ1 2020","Currency=USD","Period=FQ","BEST_FPERIOD_OVERRIDE=FQ","FILING_STATUS=MR","Sort=A","Dates=H","DateFormat=P","Fill=—","Direction=H","UseDPDF=Y")</f>
        <v>12.8119</v>
      </c>
      <c r="F22" s="20">
        <f>_xll.BDH("AMGN US Equity","PX_TO_CASH_FLOW","FQ2 2020","FQ2 2020","Currency=USD","Period=FQ","BEST_FPERIOD_OVERRIDE=FQ","FILING_STATUS=MR","Sort=A","Dates=H","DateFormat=P","Fill=—","Direction=H","UseDPDF=Y")</f>
        <v>12.869199999999999</v>
      </c>
      <c r="G22" s="20">
        <f>_xll.BDH("AMGN US Equity","PX_TO_CASH_FLOW","FQ3 2020","FQ3 2020","Currency=USD","Period=FQ","BEST_FPERIOD_OVERRIDE=FQ","FILING_STATUS=MR","Sort=A","Dates=H","DateFormat=P","Fill=—","Direction=H","UseDPDF=Y")</f>
        <v>13.777799999999999</v>
      </c>
      <c r="H22" s="20">
        <f>_xll.BDH("AMGN US Equity","PX_TO_CASH_FLOW","FQ4 2020","FQ4 2020","Currency=USD","Period=FQ","BEST_FPERIOD_OVERRIDE=FQ","FILING_STATUS=MR","Sort=A","Dates=H","DateFormat=P","Fill=—","Direction=H","UseDPDF=Y")</f>
        <v>12.522399999999999</v>
      </c>
      <c r="I22" s="20">
        <f>_xll.BDH("AMGN US Equity","PX_TO_CASH_FLOW","FQ1 2021","FQ1 2021","Currency=USD","Period=FQ","BEST_FPERIOD_OVERRIDE=FQ","FILING_STATUS=MR","Sort=A","Dates=H","DateFormat=P","Fill=—","Direction=H","UseDPDF=Y")</f>
        <v>13.529500000000001</v>
      </c>
      <c r="J22" s="20">
        <f>_xll.BDH("AMGN US Equity","PX_TO_CASH_FLOW","FQ2 2021","FQ2 2021","Currency=USD","Period=FQ","BEST_FPERIOD_OVERRIDE=FQ","FILING_STATUS=MR","Sort=A","Dates=H","DateFormat=P","Fill=—","Direction=H","UseDPDF=Y")</f>
        <v>14.4002</v>
      </c>
      <c r="K22" s="20">
        <f>_xll.BDH("AMGN US Equity","PX_TO_CASH_FLOW","FQ3 2021","FQ3 2021","Currency=USD","Period=FQ","BEST_FPERIOD_OVERRIDE=FQ","FILING_STATUS=MR","Sort=A","Dates=H","DateFormat=P","Fill=—","Direction=H","UseDPDF=Y")</f>
        <v>13.777900000000001</v>
      </c>
      <c r="L22" s="20">
        <f>_xll.BDH("AMGN US Equity","PX_TO_CASH_FLOW","FQ4 2021","FQ4 2021","Currency=USD","Period=FQ","BEST_FPERIOD_OVERRIDE=FQ","FILING_STATUS=MR","Sort=A","Dates=H","DateFormat=P","Fill=—","Direction=H","UseDPDF=Y")</f>
        <v>13.821</v>
      </c>
      <c r="M22" s="20">
        <f>_xll.BDH("AMGN US Equity","PX_TO_CASH_FLOW","FQ1 2022","FQ1 2022","Currency=USD","Period=FQ","BEST_FPERIOD_OVERRIDE=FQ","FILING_STATUS=MR","Sort=A","Dates=H","DateFormat=P","Fill=—","Direction=H","UseDPDF=Y")</f>
        <v>14.585100000000001</v>
      </c>
      <c r="N22" s="20">
        <f>_xll.BDH("AMGN US Equity","PX_TO_CASH_FLOW","FQ2 2022","FQ2 2022","Currency=USD","Period=FQ","BEST_FPERIOD_OVERRIDE=FQ","FILING_STATUS=MR","Sort=A","Dates=H","DateFormat=P","Fill=—","Direction=H","UseDPDF=Y")</f>
        <v>14.4672</v>
      </c>
      <c r="O22" s="20">
        <f>_xll.BDH("AMGN US Equity","PX_TO_CASH_FLOW","FQ3 2022","FQ3 2022","Currency=USD","Period=FQ","BEST_FPERIOD_OVERRIDE=FQ","FILING_STATUS=MR","Sort=A","Dates=H","DateFormat=P","Fill=—","Direction=H","UseDPDF=Y")</f>
        <v>12.4399</v>
      </c>
      <c r="P22" s="20">
        <f>_xll.BDH("AMGN US Equity","PX_TO_CASH_FLOW","FQ4 2022","FQ4 2022","Currency=USD","Period=FQ","BEST_FPERIOD_OVERRIDE=FQ","FILING_STATUS=MR","Sort=A","Dates=H","DateFormat=P","Fill=—","Direction=H","UseDPDF=Y")</f>
        <v>14.5313</v>
      </c>
      <c r="Q22" s="20">
        <f>_xll.BDH("AMGN US Equity","PX_TO_CASH_FLOW","FQ1 2023","FQ1 2023","Currency=USD","Period=FQ","BEST_FPERIOD_OVERRIDE=FQ","FILING_STATUS=MR","Sort=A","Dates=H","DateFormat=P","Fill=—","Direction=H","UseDPDF=Y")</f>
        <v>14.999000000000001</v>
      </c>
      <c r="R22" s="20">
        <f>_xll.BDH("AMGN US Equity","PX_TO_CASH_FLOW","FQ2 2023","FQ2 2023","Currency=USD","Period=FQ","BEST_FPERIOD_OVERRIDE=FQ","FILING_STATUS=MR","Sort=A","Dates=H","DateFormat=P","Fill=—","Direction=H","UseDPDF=Y")</f>
        <v>10.9962</v>
      </c>
      <c r="S22" s="20">
        <f>_xll.BDH("AMGN US Equity","PX_TO_CASH_FLOW","FQ3 2023","FQ3 2023","Currency=USD","Period=FQ","BEST_FPERIOD_OVERRIDE=FQ","FILING_STATUS=MR","Sort=A","Dates=H","DateFormat=P","Fill=—","Direction=H","UseDPDF=Y")</f>
        <v>13.5853</v>
      </c>
      <c r="T22" s="20">
        <f>_xll.BDH("AMGN US Equity","PX_TO_CASH_FLOW","FQ4 2023","FQ4 2023","Currency=USD","Period=FQ","BEST_FPERIOD_OVERRIDE=FQ","FILING_STATUS=MR","Sort=A","Dates=H","DateFormat=P","Fill=—","Direction=H","UseDPDF=Y")</f>
        <v>18.1861</v>
      </c>
      <c r="U22" s="20">
        <f>_xll.BDH("AMGN US Equity","PX_TO_CASH_FLOW","FQ1 2024","FQ1 2024","Currency=USD","Period=FQ","BEST_FPERIOD_OVERRIDE=FQ","FILING_STATUS=MR","Sort=A","Dates=H","DateFormat=P","Fill=—","Direction=H","UseDPDF=Y")</f>
        <v>18.791399999999999</v>
      </c>
      <c r="V22" s="20">
        <f>_xll.BDH("AMGN US Equity","PX_TO_CASH_FLOW","FQ2 2024","FQ2 2024","Currency=USD","Period=FQ","BEST_FPERIOD_OVERRIDE=FQ","FILING_STATUS=MR","Sort=A","Dates=H","DateFormat=P","Fill=—","Direction=H","UseDPDF=Y")</f>
        <v>25.974599999999999</v>
      </c>
      <c r="W22" s="20">
        <f>_xll.BDH("AMGN US Equity","PX_TO_CASH_FLOW","FQ3 2024","FQ3 2024","Currency=USD","Period=FQ","BEST_FPERIOD_OVERRIDE=FQ","FILING_STATUS=MR","Sort=A","Dates=H","DateFormat=P","Fill=—","Direction=H","UseDPDF=Y")</f>
        <v>23.831900000000001</v>
      </c>
      <c r="X22" s="20">
        <f>_xll.BDH("AMGN US Equity","PX_TO_CASH_FLOW","FQ4 2024","FQ4 2024","Currency=USD","Period=FQ","BEST_FPERIOD_OVERRIDE=FQ","FILING_STATUS=MR","Sort=A","Dates=H","DateFormat=P","Fill=—","Direction=H","UseDPDF=Y")</f>
        <v>12.18</v>
      </c>
      <c r="Y22" s="23">
        <v>14.375409794568601</v>
      </c>
      <c r="Z22" s="20">
        <v>8.3683351468988008</v>
      </c>
      <c r="AA22" s="20"/>
    </row>
    <row r="23" spans="1:27" x14ac:dyDescent="0.25">
      <c r="A23" s="10" t="s">
        <v>209</v>
      </c>
      <c r="B23" s="10" t="s">
        <v>227</v>
      </c>
      <c r="C23" s="14">
        <f>_xll.BDH("AMGN US Equity","AVERAGE_PRICE_TO_CASH_FLOW","FQ3 2019","FQ3 2019","Currency=USD","Period=FQ","BEST_FPERIOD_OVERRIDE=FQ","FILING_STATUS=MR","Sort=A","Dates=H","DateFormat=P","Fill=—","Direction=H","UseDPDF=Y")</f>
        <v>12.4572</v>
      </c>
      <c r="D23" s="14">
        <f>_xll.BDH("AMGN US Equity","AVERAGE_PRICE_TO_CASH_FLOW","FQ4 2019","FQ4 2019","Currency=USD","Period=FQ","BEST_FPERIOD_OVERRIDE=FQ","FILING_STATUS=MR","Sort=A","Dates=H","DateFormat=P","Fill=—","Direction=H","UseDPDF=Y")</f>
        <v>13.8208</v>
      </c>
      <c r="E23" s="14">
        <f>_xll.BDH("AMGN US Equity","AVERAGE_PRICE_TO_CASH_FLOW","FQ1 2020","FQ1 2020","Currency=USD","Period=FQ","BEST_FPERIOD_OVERRIDE=FQ","FILING_STATUS=MR","Sort=A","Dates=H","DateFormat=P","Fill=—","Direction=H","UseDPDF=Y")</f>
        <v>14.386900000000001</v>
      </c>
      <c r="F23" s="14">
        <f>_xll.BDH("AMGN US Equity","AVERAGE_PRICE_TO_CASH_FLOW","FQ2 2020","FQ2 2020","Currency=USD","Period=FQ","BEST_FPERIOD_OVERRIDE=FQ","FILING_STATUS=MR","Sort=A","Dates=H","DateFormat=P","Fill=—","Direction=H","UseDPDF=Y")</f>
        <v>14.3865</v>
      </c>
      <c r="G23" s="14">
        <f>_xll.BDH("AMGN US Equity","AVERAGE_PRICE_TO_CASH_FLOW","FQ3 2020","FQ3 2020","Currency=USD","Period=FQ","BEST_FPERIOD_OVERRIDE=FQ","FILING_STATUS=MR","Sort=A","Dates=H","DateFormat=P","Fill=—","Direction=H","UseDPDF=Y")</f>
        <v>13.5159</v>
      </c>
      <c r="H23" s="14">
        <f>_xll.BDH("AMGN US Equity","AVERAGE_PRICE_TO_CASH_FLOW","FQ4 2020","FQ4 2020","Currency=USD","Period=FQ","BEST_FPERIOD_OVERRIDE=FQ","FILING_STATUS=MR","Sort=A","Dates=H","DateFormat=P","Fill=—","Direction=H","UseDPDF=Y")</f>
        <v>12.4993</v>
      </c>
      <c r="I23" s="14">
        <f>_xll.BDH("AMGN US Equity","AVERAGE_PRICE_TO_CASH_FLOW","FQ1 2021","FQ1 2021","Currency=USD","Period=FQ","BEST_FPERIOD_OVERRIDE=FQ","FILING_STATUS=MR","Sort=A","Dates=H","DateFormat=P","Fill=—","Direction=H","UseDPDF=Y")</f>
        <v>12.9953</v>
      </c>
      <c r="J23" s="14">
        <f>_xll.BDH("AMGN US Equity","AVERAGE_PRICE_TO_CASH_FLOW","FQ2 2021","FQ2 2021","Currency=USD","Period=FQ","BEST_FPERIOD_OVERRIDE=FQ","FILING_STATUS=MR","Sort=A","Dates=H","DateFormat=P","Fill=—","Direction=H","UseDPDF=Y")</f>
        <v>13.395099999999999</v>
      </c>
      <c r="K23" s="14">
        <f>_xll.BDH("AMGN US Equity","AVERAGE_PRICE_TO_CASH_FLOW","FQ3 2021","FQ3 2021","Currency=USD","Period=FQ","BEST_FPERIOD_OVERRIDE=FQ","FILING_STATUS=MR","Sort=A","Dates=H","DateFormat=P","Fill=—","Direction=H","UseDPDF=Y")</f>
        <v>13.6166</v>
      </c>
      <c r="L23" s="14">
        <f>_xll.BDH("AMGN US Equity","AVERAGE_PRICE_TO_CASH_FLOW","FQ4 2021","FQ4 2021","Currency=USD","Period=FQ","BEST_FPERIOD_OVERRIDE=FQ","FILING_STATUS=MR","Sort=A","Dates=H","DateFormat=P","Fill=—","Direction=H","UseDPDF=Y")</f>
        <v>13.662800000000001</v>
      </c>
      <c r="M23" s="14">
        <f>_xll.BDH("AMGN US Equity","AVERAGE_PRICE_TO_CASH_FLOW","FQ1 2022","FQ1 2022","Currency=USD","Period=FQ","BEST_FPERIOD_OVERRIDE=FQ","FILING_STATUS=MR","Sort=A","Dates=H","DateFormat=P","Fill=—","Direction=H","UseDPDF=Y")</f>
        <v>14.111000000000001</v>
      </c>
      <c r="N23" s="14">
        <f>_xll.BDH("AMGN US Equity","AVERAGE_PRICE_TO_CASH_FLOW","FQ2 2022","FQ2 2022","Currency=USD","Period=FQ","BEST_FPERIOD_OVERRIDE=FQ","FILING_STATUS=MR","Sort=A","Dates=H","DateFormat=P","Fill=—","Direction=H","UseDPDF=Y")</f>
        <v>14.7768</v>
      </c>
      <c r="O23" s="14">
        <f>_xll.BDH("AMGN US Equity","AVERAGE_PRICE_TO_CASH_FLOW","FQ3 2022","FQ3 2022","Currency=USD","Period=FQ","BEST_FPERIOD_OVERRIDE=FQ","FILING_STATUS=MR","Sort=A","Dates=H","DateFormat=P","Fill=—","Direction=H","UseDPDF=Y")</f>
        <v>14.398400000000001</v>
      </c>
      <c r="P23" s="14">
        <f>_xll.BDH("AMGN US Equity","AVERAGE_PRICE_TO_CASH_FLOW","FQ4 2022","FQ4 2022","Currency=USD","Period=FQ","BEST_FPERIOD_OVERRIDE=FQ","FILING_STATUS=MR","Sort=A","Dates=H","DateFormat=P","Fill=—","Direction=H","UseDPDF=Y")</f>
        <v>14.7949</v>
      </c>
      <c r="Q23" s="14">
        <f>_xll.BDH("AMGN US Equity","AVERAGE_PRICE_TO_CASH_FLOW","FQ1 2023","FQ1 2023","Currency=USD","Period=FQ","BEST_FPERIOD_OVERRIDE=FQ","FILING_STATUS=MR","Sort=A","Dates=H","DateFormat=P","Fill=—","Direction=H","UseDPDF=Y")</f>
        <v>13.6076</v>
      </c>
      <c r="R23" s="14">
        <f>_xll.BDH("AMGN US Equity","AVERAGE_PRICE_TO_CASH_FLOW","FQ2 2023","FQ2 2023","Currency=USD","Period=FQ","BEST_FPERIOD_OVERRIDE=FQ","FILING_STATUS=MR","Sort=A","Dates=H","DateFormat=P","Fill=—","Direction=H","UseDPDF=Y")</f>
        <v>14.351599999999999</v>
      </c>
      <c r="S23" s="14">
        <f>_xll.BDH("AMGN US Equity","AVERAGE_PRICE_TO_CASH_FLOW","FQ3 2023","FQ3 2023","Currency=USD","Period=FQ","BEST_FPERIOD_OVERRIDE=FQ","FILING_STATUS=MR","Sort=A","Dates=H","DateFormat=P","Fill=—","Direction=H","UseDPDF=Y")</f>
        <v>12.3644</v>
      </c>
      <c r="T23" s="14">
        <f>_xll.BDH("AMGN US Equity","AVERAGE_PRICE_TO_CASH_FLOW","FQ4 2023","FQ4 2023","Currency=USD","Period=FQ","BEST_FPERIOD_OVERRIDE=FQ","FILING_STATUS=MR","Sort=A","Dates=H","DateFormat=P","Fill=—","Direction=H","UseDPDF=Y")</f>
        <v>13.830299999999999</v>
      </c>
      <c r="U23" s="14">
        <f>_xll.BDH("AMGN US Equity","AVERAGE_PRICE_TO_CASH_FLOW","FQ1 2024","FQ1 2024","Currency=USD","Period=FQ","BEST_FPERIOD_OVERRIDE=FQ","FILING_STATUS=MR","Sort=A","Dates=H","DateFormat=P","Fill=—","Direction=H","UseDPDF=Y")</f>
        <v>18.489599999999999</v>
      </c>
      <c r="V23" s="14">
        <f>_xll.BDH("AMGN US Equity","AVERAGE_PRICE_TO_CASH_FLOW","FQ2 2024","FQ2 2024","Currency=USD","Period=FQ","BEST_FPERIOD_OVERRIDE=FQ","FILING_STATUS=MR","Sort=A","Dates=H","DateFormat=P","Fill=—","Direction=H","UseDPDF=Y")</f>
        <v>19.501100000000001</v>
      </c>
      <c r="W23" s="14">
        <f>_xll.BDH("AMGN US Equity","AVERAGE_PRICE_TO_CASH_FLOW","FQ3 2024","FQ3 2024","Currency=USD","Period=FQ","BEST_FPERIOD_OVERRIDE=FQ","FILING_STATUS=MR","Sort=A","Dates=H","DateFormat=P","Fill=—","Direction=H","UseDPDF=Y")</f>
        <v>27.146999999999998</v>
      </c>
      <c r="X23" s="14">
        <f>_xll.BDH("AMGN US Equity","AVERAGE_PRICE_TO_CASH_FLOW","FQ4 2024","FQ4 2024","Currency=USD","Period=FQ","BEST_FPERIOD_OVERRIDE=FQ","FILING_STATUS=MR","Sort=A","Dates=H","DateFormat=P","Fill=—","Direction=H","UseDPDF=Y")</f>
        <v>21.8337</v>
      </c>
      <c r="Y23" s="17"/>
      <c r="Z23" s="14"/>
      <c r="AA23" s="14"/>
    </row>
    <row r="24" spans="1:27" x14ac:dyDescent="0.25">
      <c r="A24" s="10" t="s">
        <v>211</v>
      </c>
      <c r="B24" s="10" t="s">
        <v>228</v>
      </c>
      <c r="C24" s="14">
        <f>_xll.BDH("AMGN US Equity","HIGH_CLOSING_PRICE_TO_CASH_FLOW","FQ3 2019","FQ3 2019","Currency=USD","Period=FQ","BEST_FPERIOD_OVERRIDE=FQ","FILING_STATUS=MR","Sort=A","Dates=H","DateFormat=P","Fill=—","Direction=H","UseDPDF=Y")</f>
        <v>13.5467</v>
      </c>
      <c r="D24" s="14">
        <f>_xll.BDH("AMGN US Equity","HIGH_CLOSING_PRICE_TO_CASH_FLOW","FQ4 2019","FQ4 2019","Currency=USD","Period=FQ","BEST_FPERIOD_OVERRIDE=FQ","FILING_STATUS=MR","Sort=A","Dates=H","DateFormat=P","Fill=—","Direction=H","UseDPDF=Y")</f>
        <v>15.888199999999999</v>
      </c>
      <c r="E24" s="14">
        <f>_xll.BDH("AMGN US Equity","HIGH_CLOSING_PRICE_TO_CASH_FLOW","FQ1 2020","FQ1 2020","Currency=USD","Period=FQ","BEST_FPERIOD_OVERRIDE=FQ","FILING_STATUS=MR","Sort=A","Dates=H","DateFormat=P","Fill=—","Direction=H","UseDPDF=Y")</f>
        <v>15.9297</v>
      </c>
      <c r="F24" s="14">
        <f>_xll.BDH("AMGN US Equity","HIGH_CLOSING_PRICE_TO_CASH_FLOW","FQ2 2020","FQ2 2020","Currency=USD","Period=FQ","BEST_FPERIOD_OVERRIDE=FQ","FILING_STATUS=MR","Sort=A","Dates=H","DateFormat=P","Fill=—","Direction=H","UseDPDF=Y")</f>
        <v>15.340400000000001</v>
      </c>
      <c r="G24" s="14">
        <f>_xll.BDH("AMGN US Equity","HIGH_CLOSING_PRICE_TO_CASH_FLOW","FQ3 2020","FQ3 2020","Currency=USD","Period=FQ","BEST_FPERIOD_OVERRIDE=FQ","FILING_STATUS=MR","Sort=A","Dates=H","DateFormat=P","Fill=—","Direction=H","UseDPDF=Y")</f>
        <v>14.238200000000001</v>
      </c>
      <c r="H24" s="14">
        <f>_xll.BDH("AMGN US Equity","HIGH_CLOSING_PRICE_TO_CASH_FLOW","FQ4 2020","FQ4 2020","Currency=USD","Period=FQ","BEST_FPERIOD_OVERRIDE=FQ","FILING_STATUS=MR","Sort=A","Dates=H","DateFormat=P","Fill=—","Direction=H","UseDPDF=Y")</f>
        <v>13.9681</v>
      </c>
      <c r="I24" s="14">
        <f>_xll.BDH("AMGN US Equity","HIGH_CLOSING_PRICE_TO_CASH_FLOW","FQ1 2021","FQ1 2021","Currency=USD","Period=FQ","BEST_FPERIOD_OVERRIDE=FQ","FILING_STATUS=MR","Sort=A","Dates=H","DateFormat=P","Fill=—","Direction=H","UseDPDF=Y")</f>
        <v>14.0844</v>
      </c>
      <c r="J24" s="14">
        <f>_xll.BDH("AMGN US Equity","HIGH_CLOSING_PRICE_TO_CASH_FLOW","FQ2 2021","FQ2 2021","Currency=USD","Period=FQ","BEST_FPERIOD_OVERRIDE=FQ","FILING_STATUS=MR","Sort=A","Dates=H","DateFormat=P","Fill=—","Direction=H","UseDPDF=Y")</f>
        <v>14.4002</v>
      </c>
      <c r="K24" s="14">
        <f>_xll.BDH("AMGN US Equity","HIGH_CLOSING_PRICE_TO_CASH_FLOW","FQ3 2021","FQ3 2021","Currency=USD","Period=FQ","BEST_FPERIOD_OVERRIDE=FQ","FILING_STATUS=MR","Sort=A","Dates=H","DateFormat=P","Fill=—","Direction=H","UseDPDF=Y")</f>
        <v>14.692600000000001</v>
      </c>
      <c r="L24" s="14">
        <f>_xll.BDH("AMGN US Equity","HIGH_CLOSING_PRICE_TO_CASH_FLOW","FQ4 2021","FQ4 2021","Currency=USD","Period=FQ","BEST_FPERIOD_OVERRIDE=FQ","FILING_STATUS=MR","Sort=A","Dates=H","DateFormat=P","Fill=—","Direction=H","UseDPDF=Y")</f>
        <v>14.746499999999999</v>
      </c>
      <c r="M24" s="14">
        <f>_xll.BDH("AMGN US Equity","HIGH_CLOSING_PRICE_TO_CASH_FLOW","FQ1 2022","FQ1 2022","Currency=USD","Period=FQ","BEST_FPERIOD_OVERRIDE=FQ","FILING_STATUS=MR","Sort=A","Dates=H","DateFormat=P","Fill=—","Direction=H","UseDPDF=Y")</f>
        <v>14.902200000000001</v>
      </c>
      <c r="N24" s="14">
        <f>_xll.BDH("AMGN US Equity","HIGH_CLOSING_PRICE_TO_CASH_FLOW","FQ2 2022","FQ2 2022","Currency=USD","Period=FQ","BEST_FPERIOD_OVERRIDE=FQ","FILING_STATUS=MR","Sort=A","Dates=H","DateFormat=P","Fill=—","Direction=H","UseDPDF=Y")</f>
        <v>15.484999999999999</v>
      </c>
      <c r="O24" s="14">
        <f>_xll.BDH("AMGN US Equity","HIGH_CLOSING_PRICE_TO_CASH_FLOW","FQ3 2022","FQ3 2022","Currency=USD","Period=FQ","BEST_FPERIOD_OVERRIDE=FQ","FILING_STATUS=MR","Sort=A","Dates=H","DateFormat=P","Fill=—","Direction=H","UseDPDF=Y")</f>
        <v>15.052899999999999</v>
      </c>
      <c r="P24" s="14">
        <f>_xll.BDH("AMGN US Equity","HIGH_CLOSING_PRICE_TO_CASH_FLOW","FQ4 2022","FQ4 2022","Currency=USD","Period=FQ","BEST_FPERIOD_OVERRIDE=FQ","FILING_STATUS=MR","Sort=A","Dates=H","DateFormat=P","Fill=—","Direction=H","UseDPDF=Y")</f>
        <v>16.137</v>
      </c>
      <c r="Q24" s="14">
        <f>_xll.BDH("AMGN US Equity","HIGH_CLOSING_PRICE_TO_CASH_FLOW","FQ1 2023","FQ1 2023","Currency=USD","Period=FQ","BEST_FPERIOD_OVERRIDE=FQ","FILING_STATUS=MR","Sort=A","Dates=H","DateFormat=P","Fill=—","Direction=H","UseDPDF=Y")</f>
        <v>15.2262</v>
      </c>
      <c r="R24" s="14">
        <f>_xll.BDH("AMGN US Equity","HIGH_CLOSING_PRICE_TO_CASH_FLOW","FQ2 2023","FQ2 2023","Currency=USD","Period=FQ","BEST_FPERIOD_OVERRIDE=FQ","FILING_STATUS=MR","Sort=A","Dates=H","DateFormat=P","Fill=—","Direction=H","UseDPDF=Y")</f>
        <v>15.719900000000001</v>
      </c>
      <c r="S24" s="14">
        <f>_xll.BDH("AMGN US Equity","HIGH_CLOSING_PRICE_TO_CASH_FLOW","FQ3 2023","FQ3 2023","Currency=USD","Period=FQ","BEST_FPERIOD_OVERRIDE=FQ","FILING_STATUS=MR","Sort=A","Dates=H","DateFormat=P","Fill=—","Direction=H","UseDPDF=Y")</f>
        <v>13.5853</v>
      </c>
      <c r="T24" s="14">
        <f>_xll.BDH("AMGN US Equity","HIGH_CLOSING_PRICE_TO_CASH_FLOW","FQ4 2023","FQ4 2023","Currency=USD","Period=FQ","BEST_FPERIOD_OVERRIDE=FQ","FILING_STATUS=MR","Sort=A","Dates=H","DateFormat=P","Fill=—","Direction=H","UseDPDF=Y")</f>
        <v>18.1861</v>
      </c>
      <c r="U24" s="14">
        <f>_xll.BDH("AMGN US Equity","HIGH_CLOSING_PRICE_TO_CASH_FLOW","FQ1 2024","FQ1 2024","Currency=USD","Period=FQ","BEST_FPERIOD_OVERRIDE=FQ","FILING_STATUS=MR","Sort=A","Dates=H","DateFormat=P","Fill=—","Direction=H","UseDPDF=Y")</f>
        <v>20.493300000000001</v>
      </c>
      <c r="V24" s="14">
        <f>_xll.BDH("AMGN US Equity","HIGH_CLOSING_PRICE_TO_CASH_FLOW","FQ2 2024","FQ2 2024","Currency=USD","Period=FQ","BEST_FPERIOD_OVERRIDE=FQ","FILING_STATUS=MR","Sort=A","Dates=H","DateFormat=P","Fill=—","Direction=H","UseDPDF=Y")</f>
        <v>25.974599999999999</v>
      </c>
      <c r="W24" s="14">
        <f>_xll.BDH("AMGN US Equity","HIGH_CLOSING_PRICE_TO_CASH_FLOW","FQ3 2024","FQ3 2024","Currency=USD","Period=FQ","BEST_FPERIOD_OVERRIDE=FQ","FILING_STATUS=MR","Sort=A","Dates=H","DateFormat=P","Fill=—","Direction=H","UseDPDF=Y")</f>
        <v>28.047000000000001</v>
      </c>
      <c r="X24" s="14">
        <f>_xll.BDH("AMGN US Equity","HIGH_CLOSING_PRICE_TO_CASH_FLOW","FQ4 2024","FQ4 2024","Currency=USD","Period=FQ","BEST_FPERIOD_OVERRIDE=FQ","FILING_STATUS=MR","Sort=A","Dates=H","DateFormat=P","Fill=—","Direction=H","UseDPDF=Y")</f>
        <v>24.286100000000001</v>
      </c>
      <c r="Y24" s="17"/>
      <c r="Z24" s="14"/>
      <c r="AA24" s="14"/>
    </row>
    <row r="25" spans="1:27" x14ac:dyDescent="0.25">
      <c r="A25" s="10" t="s">
        <v>213</v>
      </c>
      <c r="B25" s="10" t="s">
        <v>229</v>
      </c>
      <c r="C25" s="14">
        <f>_xll.BDH("AMGN US Equity","LOW_CLOSING_PRICE_TO_CASH_FLOW","FQ3 2019","FQ3 2019","Currency=USD","Period=FQ","BEST_FPERIOD_OVERRIDE=FQ","FILING_STATUS=MR","Sort=A","Dates=H","DateFormat=P","Fill=—","Direction=H","UseDPDF=Y")</f>
        <v>11.3058</v>
      </c>
      <c r="D25" s="14">
        <f>_xll.BDH("AMGN US Equity","LOW_CLOSING_PRICE_TO_CASH_FLOW","FQ4 2019","FQ4 2019","Currency=USD","Period=FQ","BEST_FPERIOD_OVERRIDE=FQ","FILING_STATUS=MR","Sort=A","Dates=H","DateFormat=P","Fill=—","Direction=H","UseDPDF=Y")</f>
        <v>11.8528</v>
      </c>
      <c r="E25" s="14">
        <f>_xll.BDH("AMGN US Equity","LOW_CLOSING_PRICE_TO_CASH_FLOW","FQ1 2020","FQ1 2020","Currency=USD","Period=FQ","BEST_FPERIOD_OVERRIDE=FQ","FILING_STATUS=MR","Sort=A","Dates=H","DateFormat=P","Fill=—","Direction=H","UseDPDF=Y")</f>
        <v>12.010899999999999</v>
      </c>
      <c r="F25" s="14">
        <f>_xll.BDH("AMGN US Equity","LOW_CLOSING_PRICE_TO_CASH_FLOW","FQ2 2020","FQ2 2020","Currency=USD","Period=FQ","BEST_FPERIOD_OVERRIDE=FQ","FILING_STATUS=MR","Sort=A","Dates=H","DateFormat=P","Fill=—","Direction=H","UseDPDF=Y")</f>
        <v>12.5009</v>
      </c>
      <c r="G25" s="14">
        <f>_xll.BDH("AMGN US Equity","LOW_CLOSING_PRICE_TO_CASH_FLOW","FQ3 2020","FQ3 2020","Currency=USD","Period=FQ","BEST_FPERIOD_OVERRIDE=FQ","FILING_STATUS=MR","Sort=A","Dates=H","DateFormat=P","Fill=—","Direction=H","UseDPDF=Y")</f>
        <v>12.8032</v>
      </c>
      <c r="H25" s="14">
        <f>_xll.BDH("AMGN US Equity","LOW_CLOSING_PRICE_TO_CASH_FLOW","FQ4 2020","FQ4 2020","Currency=USD","Period=FQ","BEST_FPERIOD_OVERRIDE=FQ","FILING_STATUS=MR","Sort=A","Dates=H","DateFormat=P","Fill=—","Direction=H","UseDPDF=Y")</f>
        <v>11.729799999999999</v>
      </c>
      <c r="I25" s="14">
        <f>_xll.BDH("AMGN US Equity","LOW_CLOSING_PRICE_TO_CASH_FLOW","FQ1 2021","FQ1 2021","Currency=USD","Period=FQ","BEST_FPERIOD_OVERRIDE=FQ","FILING_STATUS=MR","Sort=A","Dates=H","DateFormat=P","Fill=—","Direction=H","UseDPDF=Y")</f>
        <v>12.0861</v>
      </c>
      <c r="J25" s="14">
        <f>_xll.BDH("AMGN US Equity","LOW_CLOSING_PRICE_TO_CASH_FLOW","FQ2 2021","FQ2 2021","Currency=USD","Period=FQ","BEST_FPERIOD_OVERRIDE=FQ","FILING_STATUS=MR","Sort=A","Dates=H","DateFormat=P","Fill=—","Direction=H","UseDPDF=Y")</f>
        <v>12.7013</v>
      </c>
      <c r="K25" s="14">
        <f>_xll.BDH("AMGN US Equity","LOW_CLOSING_PRICE_TO_CASH_FLOW","FQ3 2021","FQ3 2021","Currency=USD","Period=FQ","BEST_FPERIOD_OVERRIDE=FQ","FILING_STATUS=MR","Sort=A","Dates=H","DateFormat=P","Fill=—","Direction=H","UseDPDF=Y")</f>
        <v>12.5404</v>
      </c>
      <c r="L25" s="14">
        <f>_xll.BDH("AMGN US Equity","LOW_CLOSING_PRICE_TO_CASH_FLOW","FQ4 2021","FQ4 2021","Currency=USD","Period=FQ","BEST_FPERIOD_OVERRIDE=FQ","FILING_STATUS=MR","Sort=A","Dates=H","DateFormat=P","Fill=—","Direction=H","UseDPDF=Y")</f>
        <v>12.8857</v>
      </c>
      <c r="M25" s="14">
        <f>_xll.BDH("AMGN US Equity","LOW_CLOSING_PRICE_TO_CASH_FLOW","FQ1 2022","FQ1 2022","Currency=USD","Period=FQ","BEST_FPERIOD_OVERRIDE=FQ","FILING_STATUS=MR","Sort=A","Dates=H","DateFormat=P","Fill=—","Direction=H","UseDPDF=Y")</f>
        <v>13.470800000000001</v>
      </c>
      <c r="N25" s="14">
        <f>_xll.BDH("AMGN US Equity","LOW_CLOSING_PRICE_TO_CASH_FLOW","FQ2 2022","FQ2 2022","Currency=USD","Period=FQ","BEST_FPERIOD_OVERRIDE=FQ","FILING_STATUS=MR","Sort=A","Dates=H","DateFormat=P","Fill=—","Direction=H","UseDPDF=Y")</f>
        <v>13.915100000000001</v>
      </c>
      <c r="O25" s="14">
        <f>_xll.BDH("AMGN US Equity","LOW_CLOSING_PRICE_TO_CASH_FLOW","FQ3 2022","FQ3 2022","Currency=USD","Period=FQ","BEST_FPERIOD_OVERRIDE=FQ","FILING_STATUS=MR","Sort=A","Dates=H","DateFormat=P","Fill=—","Direction=H","UseDPDF=Y")</f>
        <v>12.4399</v>
      </c>
      <c r="P25" s="14">
        <f>_xll.BDH("AMGN US Equity","LOW_CLOSING_PRICE_TO_CASH_FLOW","FQ4 2022","FQ4 2022","Currency=USD","Period=FQ","BEST_FPERIOD_OVERRIDE=FQ","FILING_STATUS=MR","Sort=A","Dates=H","DateFormat=P","Fill=—","Direction=H","UseDPDF=Y")</f>
        <v>12.6402</v>
      </c>
      <c r="Q25" s="14">
        <f>_xll.BDH("AMGN US Equity","LOW_CLOSING_PRICE_TO_CASH_FLOW","FQ1 2023","FQ1 2023","Currency=USD","Period=FQ","BEST_FPERIOD_OVERRIDE=FQ","FILING_STATUS=MR","Sort=A","Dates=H","DateFormat=P","Fill=—","Direction=H","UseDPDF=Y")</f>
        <v>12.4924</v>
      </c>
      <c r="R25" s="14">
        <f>_xll.BDH("AMGN US Equity","LOW_CLOSING_PRICE_TO_CASH_FLOW","FQ2 2023","FQ2 2023","Currency=USD","Period=FQ","BEST_FPERIOD_OVERRIDE=FQ","FILING_STATUS=MR","Sort=A","Dates=H","DateFormat=P","Fill=—","Direction=H","UseDPDF=Y")</f>
        <v>10.9962</v>
      </c>
      <c r="S25" s="14">
        <f>_xll.BDH("AMGN US Equity","LOW_CLOSING_PRICE_TO_CASH_FLOW","FQ3 2023","FQ3 2023","Currency=USD","Period=FQ","BEST_FPERIOD_OVERRIDE=FQ","FILING_STATUS=MR","Sort=A","Dates=H","DateFormat=P","Fill=—","Direction=H","UseDPDF=Y")</f>
        <v>10.8293</v>
      </c>
      <c r="T25" s="14">
        <f>_xll.BDH("AMGN US Equity","LOW_CLOSING_PRICE_TO_CASH_FLOW","FQ4 2023","FQ4 2023","Currency=USD","Period=FQ","BEST_FPERIOD_OVERRIDE=FQ","FILING_STATUS=MR","Sort=A","Dates=H","DateFormat=P","Fill=—","Direction=H","UseDPDF=Y")</f>
        <v>12.9251</v>
      </c>
      <c r="U25" s="14">
        <f>_xll.BDH("AMGN US Equity","LOW_CLOSING_PRICE_TO_CASH_FLOW","FQ1 2024","FQ1 2024","Currency=USD","Period=FQ","BEST_FPERIOD_OVERRIDE=FQ","FILING_STATUS=MR","Sort=A","Dates=H","DateFormat=P","Fill=—","Direction=H","UseDPDF=Y")</f>
        <v>16.976900000000001</v>
      </c>
      <c r="V25" s="14">
        <f>_xll.BDH("AMGN US Equity","LOW_CLOSING_PRICE_TO_CASH_FLOW","FQ2 2024","FQ2 2024","Currency=USD","Period=FQ","BEST_FPERIOD_OVERRIDE=FQ","FILING_STATUS=MR","Sort=A","Dates=H","DateFormat=P","Fill=—","Direction=H","UseDPDF=Y")</f>
        <v>17.3658</v>
      </c>
      <c r="W25" s="14">
        <f>_xll.BDH("AMGN US Equity","LOW_CLOSING_PRICE_TO_CASH_FLOW","FQ3 2024","FQ3 2024","Currency=USD","Period=FQ","BEST_FPERIOD_OVERRIDE=FQ","FILING_STATUS=MR","Sort=A","Dates=H","DateFormat=P","Fill=—","Direction=H","UseDPDF=Y")</f>
        <v>23.831900000000001</v>
      </c>
      <c r="X25" s="14">
        <f>_xll.BDH("AMGN US Equity","LOW_CLOSING_PRICE_TO_CASH_FLOW","FQ4 2024","FQ4 2024","Currency=USD","Period=FQ","BEST_FPERIOD_OVERRIDE=FQ","FILING_STATUS=MR","Sort=A","Dates=H","DateFormat=P","Fill=—","Direction=H","UseDPDF=Y")</f>
        <v>12.18</v>
      </c>
      <c r="Y25" s="17"/>
      <c r="Z25" s="14"/>
      <c r="AA25" s="14"/>
    </row>
    <row r="26" spans="1:27" x14ac:dyDescent="0.25">
      <c r="A26" s="6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21"/>
      <c r="Z26" s="18"/>
      <c r="AA26" s="18"/>
    </row>
    <row r="27" spans="1:27" x14ac:dyDescent="0.25">
      <c r="A27" s="6" t="s">
        <v>230</v>
      </c>
      <c r="B27" s="6" t="s">
        <v>231</v>
      </c>
      <c r="C27" s="20">
        <f>_xll.BDH("AMGN US Equity","PX_TO_FREE_CASH_FLOW","FQ3 2019","FQ3 2019","Currency=USD","Period=FQ","BEST_FPERIOD_OVERRIDE=FQ","FILING_STATUS=MR","Sort=A","Dates=H","DateFormat=P","Fill=—","Direction=H","UseDPDF=Y")</f>
        <v>12.985900000000001</v>
      </c>
      <c r="D27" s="20">
        <f>_xll.BDH("AMGN US Equity","PX_TO_FREE_CASH_FLOW","FQ4 2019","FQ4 2019","Currency=USD","Period=FQ","BEST_FPERIOD_OVERRIDE=FQ","FILING_STATUS=MR","Sort=A","Dates=H","DateFormat=P","Fill=—","Direction=H","UseDPDF=Y")</f>
        <v>17.038699999999999</v>
      </c>
      <c r="E27" s="20">
        <f>_xll.BDH("AMGN US Equity","PX_TO_FREE_CASH_FLOW","FQ1 2020","FQ1 2020","Currency=USD","Period=FQ","BEST_FPERIOD_OVERRIDE=FQ","FILING_STATUS=MR","Sort=A","Dates=H","DateFormat=P","Fill=—","Direction=H","UseDPDF=Y")</f>
        <v>13.7492</v>
      </c>
      <c r="F27" s="20">
        <f>_xll.BDH("AMGN US Equity","PX_TO_FREE_CASH_FLOW","FQ2 2020","FQ2 2020","Currency=USD","Period=FQ","BEST_FPERIOD_OVERRIDE=FQ","FILING_STATUS=MR","Sort=A","Dates=H","DateFormat=P","Fill=—","Direction=H","UseDPDF=Y")</f>
        <v>13.6991</v>
      </c>
      <c r="G27" s="20">
        <f>_xll.BDH("AMGN US Equity","PX_TO_FREE_CASH_FLOW","FQ3 2020","FQ3 2020","Currency=USD","Period=FQ","BEST_FPERIOD_OVERRIDE=FQ","FILING_STATUS=MR","Sort=A","Dates=H","DateFormat=P","Fill=—","Direction=H","UseDPDF=Y")</f>
        <v>14.615399999999999</v>
      </c>
      <c r="H27" s="20">
        <f>_xll.BDH("AMGN US Equity","PX_TO_FREE_CASH_FLOW","FQ4 2020","FQ4 2020","Currency=USD","Period=FQ","BEST_FPERIOD_OVERRIDE=FQ","FILING_STATUS=MR","Sort=A","Dates=H","DateFormat=P","Fill=—","Direction=H","UseDPDF=Y")</f>
        <v>13.2727</v>
      </c>
      <c r="I27" s="20">
        <f>_xll.BDH("AMGN US Equity","PX_TO_FREE_CASH_FLOW","FQ1 2021","FQ1 2021","Currency=USD","Period=FQ","BEST_FPERIOD_OVERRIDE=FQ","FILING_STATUS=MR","Sort=A","Dates=H","DateFormat=P","Fill=—","Direction=H","UseDPDF=Y")</f>
        <v>14.377700000000001</v>
      </c>
      <c r="J27" s="20">
        <f>_xll.BDH("AMGN US Equity","PX_TO_FREE_CASH_FLOW","FQ2 2021","FQ2 2021","Currency=USD","Period=FQ","BEST_FPERIOD_OVERRIDE=FQ","FILING_STATUS=MR","Sort=A","Dates=H","DateFormat=P","Fill=—","Direction=H","UseDPDF=Y")</f>
        <v>15.4391</v>
      </c>
      <c r="K27" s="20">
        <f>_xll.BDH("AMGN US Equity","PX_TO_FREE_CASH_FLOW","FQ3 2021","FQ3 2021","Currency=USD","Period=FQ","BEST_FPERIOD_OVERRIDE=FQ","FILING_STATUS=MR","Sort=A","Dates=H","DateFormat=P","Fill=—","Direction=H","UseDPDF=Y")</f>
        <v>15.082599999999999</v>
      </c>
      <c r="L27" s="20">
        <f>_xll.BDH("AMGN US Equity","PX_TO_FREE_CASH_FLOW","FQ4 2021","FQ4 2021","Currency=USD","Period=FQ","BEST_FPERIOD_OVERRIDE=FQ","FILING_STATUS=MR","Sort=A","Dates=H","DateFormat=P","Fill=—","Direction=H","UseDPDF=Y")</f>
        <v>15.2736</v>
      </c>
      <c r="M27" s="20">
        <f>_xll.BDH("AMGN US Equity","PX_TO_FREE_CASH_FLOW","FQ1 2022","FQ1 2022","Currency=USD","Period=FQ","BEST_FPERIOD_OVERRIDE=FQ","FILING_STATUS=MR","Sort=A","Dates=H","DateFormat=P","Fill=—","Direction=H","UseDPDF=Y")</f>
        <v>16.150600000000001</v>
      </c>
      <c r="N27" s="20">
        <f>_xll.BDH("AMGN US Equity","PX_TO_FREE_CASH_FLOW","FQ2 2022","FQ2 2022","Currency=USD","Period=FQ","BEST_FPERIOD_OVERRIDE=FQ","FILING_STATUS=MR","Sort=A","Dates=H","DateFormat=P","Fill=—","Direction=H","UseDPDF=Y")</f>
        <v>16.141100000000002</v>
      </c>
      <c r="O27" s="20">
        <f>_xll.BDH("AMGN US Equity","PX_TO_FREE_CASH_FLOW","FQ3 2022","FQ3 2022","Currency=USD","Period=FQ","BEST_FPERIOD_OVERRIDE=FQ","FILING_STATUS=MR","Sort=A","Dates=H","DateFormat=P","Fill=—","Direction=H","UseDPDF=Y")</f>
        <v>13.658200000000001</v>
      </c>
      <c r="P27" s="20">
        <f>_xll.BDH("AMGN US Equity","PX_TO_FREE_CASH_FLOW","FQ4 2022","FQ4 2022","Currency=USD","Period=FQ","BEST_FPERIOD_OVERRIDE=FQ","FILING_STATUS=MR","Sort=A","Dates=H","DateFormat=P","Fill=—","Direction=H","UseDPDF=Y")</f>
        <v>16.080300000000001</v>
      </c>
      <c r="Q27" s="20">
        <f>_xll.BDH("AMGN US Equity","PX_TO_FREE_CASH_FLOW","FQ1 2023","FQ1 2023","Currency=USD","Period=FQ","BEST_FPERIOD_OVERRIDE=FQ","FILING_STATUS=MR","Sort=A","Dates=H","DateFormat=P","Fill=—","Direction=H","UseDPDF=Y")</f>
        <v>17.1708</v>
      </c>
      <c r="R27" s="20">
        <f>_xll.BDH("AMGN US Equity","PX_TO_FREE_CASH_FLOW","FQ2 2023","FQ2 2023","Currency=USD","Period=FQ","BEST_FPERIOD_OVERRIDE=FQ","FILING_STATUS=MR","Sort=A","Dates=H","DateFormat=P","Fill=—","Direction=H","UseDPDF=Y")</f>
        <v>12.262700000000001</v>
      </c>
      <c r="S27" s="20">
        <f>_xll.BDH("AMGN US Equity","PX_TO_FREE_CASH_FLOW","FQ3 2023","FQ3 2023","Currency=USD","Period=FQ","BEST_FPERIOD_OVERRIDE=FQ","FILING_STATUS=MR","Sort=A","Dates=H","DateFormat=P","Fill=—","Direction=H","UseDPDF=Y")</f>
        <v>15.3285</v>
      </c>
      <c r="T27" s="20">
        <f>_xll.BDH("AMGN US Equity","PX_TO_FREE_CASH_FLOW","FQ4 2023","FQ4 2023","Currency=USD","Period=FQ","BEST_FPERIOD_OVERRIDE=FQ","FILING_STATUS=MR","Sort=A","Dates=H","DateFormat=P","Fill=—","Direction=H","UseDPDF=Y")</f>
        <v>20.935199999999998</v>
      </c>
      <c r="U27" s="20">
        <f>_xll.BDH("AMGN US Equity","PX_TO_FREE_CASH_FLOW","FQ1 2024","FQ1 2024","Currency=USD","Period=FQ","BEST_FPERIOD_OVERRIDE=FQ","FILING_STATUS=MR","Sort=A","Dates=H","DateFormat=P","Fill=—","Direction=H","UseDPDF=Y")</f>
        <v>21.432700000000001</v>
      </c>
      <c r="V27" s="20">
        <f>_xll.BDH("AMGN US Equity","PX_TO_FREE_CASH_FLOW","FQ2 2024","FQ2 2024","Currency=USD","Period=FQ","BEST_FPERIOD_OVERRIDE=FQ","FILING_STATUS=MR","Sort=A","Dates=H","DateFormat=P","Fill=—","Direction=H","UseDPDF=Y")</f>
        <v>30.549099999999999</v>
      </c>
      <c r="W27" s="20">
        <f>_xll.BDH("AMGN US Equity","PX_TO_FREE_CASH_FLOW","FQ3 2024","FQ3 2024","Currency=USD","Period=FQ","BEST_FPERIOD_OVERRIDE=FQ","FILING_STATUS=MR","Sort=A","Dates=H","DateFormat=P","Fill=—","Direction=H","UseDPDF=Y")</f>
        <v>27.5304</v>
      </c>
      <c r="X27" s="20">
        <f>_xll.BDH("AMGN US Equity","PX_TO_FREE_CASH_FLOW","FQ4 2024","FQ4 2024","Currency=USD","Period=FQ","BEST_FPERIOD_OVERRIDE=FQ","FILING_STATUS=MR","Sort=A","Dates=H","DateFormat=P","Fill=—","Direction=H","UseDPDF=Y")</f>
        <v>13.464700000000001</v>
      </c>
      <c r="Y27" s="23">
        <v>15.891699887191299</v>
      </c>
      <c r="Z27" s="20"/>
      <c r="AA27" s="20"/>
    </row>
    <row r="28" spans="1:27" x14ac:dyDescent="0.25">
      <c r="A28" s="10" t="s">
        <v>209</v>
      </c>
      <c r="B28" s="10" t="s">
        <v>232</v>
      </c>
      <c r="C28" s="14">
        <f>_xll.BDH("AMGN US Equity","AVERAGE_PRICE_TO_FREE_CASH_FLOW","FQ3 2019","FQ3 2019","Currency=USD","Period=FQ","BEST_FPERIOD_OVERRIDE=FQ","FILING_STATUS=MR","Sort=A","Dates=H","DateFormat=P","Fill=—","Direction=H","UseDPDF=Y")</f>
        <v>13.362</v>
      </c>
      <c r="D28" s="14">
        <f>_xll.BDH("AMGN US Equity","AVERAGE_PRICE_TO_FREE_CASH_FLOW","FQ4 2019","FQ4 2019","Currency=USD","Period=FQ","BEST_FPERIOD_OVERRIDE=FQ","FILING_STATUS=MR","Sort=A","Dates=H","DateFormat=P","Fill=—","Direction=H","UseDPDF=Y")</f>
        <v>14.805899999999999</v>
      </c>
      <c r="E28" s="14">
        <f>_xll.BDH("AMGN US Equity","AVERAGE_PRICE_TO_FREE_CASH_FLOW","FQ1 2020","FQ1 2020","Currency=USD","Period=FQ","BEST_FPERIOD_OVERRIDE=FQ","FILING_STATUS=MR","Sort=A","Dates=H","DateFormat=P","Fill=—","Direction=H","UseDPDF=Y")</f>
        <v>15.428900000000001</v>
      </c>
      <c r="F28" s="14">
        <f>_xll.BDH("AMGN US Equity","AVERAGE_PRICE_TO_FREE_CASH_FLOW","FQ2 2020","FQ2 2020","Currency=USD","Period=FQ","BEST_FPERIOD_OVERRIDE=FQ","FILING_STATUS=MR","Sort=A","Dates=H","DateFormat=P","Fill=—","Direction=H","UseDPDF=Y")</f>
        <v>15.437200000000001</v>
      </c>
      <c r="G28" s="14">
        <f>_xll.BDH("AMGN US Equity","AVERAGE_PRICE_TO_FREE_CASH_FLOW","FQ3 2020","FQ3 2020","Currency=USD","Period=FQ","BEST_FPERIOD_OVERRIDE=FQ","FILING_STATUS=MR","Sort=A","Dates=H","DateFormat=P","Fill=—","Direction=H","UseDPDF=Y")</f>
        <v>14.3866</v>
      </c>
      <c r="H28" s="14">
        <f>_xll.BDH("AMGN US Equity","AVERAGE_PRICE_TO_FREE_CASH_FLOW","FQ4 2020","FQ4 2020","Currency=USD","Period=FQ","BEST_FPERIOD_OVERRIDE=FQ","FILING_STATUS=MR","Sort=A","Dates=H","DateFormat=P","Fill=—","Direction=H","UseDPDF=Y")</f>
        <v>13.259</v>
      </c>
      <c r="I28" s="14">
        <f>_xll.BDH("AMGN US Equity","AVERAGE_PRICE_TO_FREE_CASH_FLOW","FQ1 2021","FQ1 2021","Currency=USD","Period=FQ","BEST_FPERIOD_OVERRIDE=FQ","FILING_STATUS=MR","Sort=A","Dates=H","DateFormat=P","Fill=—","Direction=H","UseDPDF=Y")</f>
        <v>13.7745</v>
      </c>
      <c r="J28" s="14">
        <f>_xll.BDH("AMGN US Equity","AVERAGE_PRICE_TO_FREE_CASH_FLOW","FQ2 2021","FQ2 2021","Currency=USD","Period=FQ","BEST_FPERIOD_OVERRIDE=FQ","FILING_STATUS=MR","Sort=A","Dates=H","DateFormat=P","Fill=—","Direction=H","UseDPDF=Y")</f>
        <v>14.2371</v>
      </c>
      <c r="K28" s="14">
        <f>_xll.BDH("AMGN US Equity","AVERAGE_PRICE_TO_FREE_CASH_FLOW","FQ3 2021","FQ3 2021","Currency=USD","Period=FQ","BEST_FPERIOD_OVERRIDE=FQ","FILING_STATUS=MR","Sort=A","Dates=H","DateFormat=P","Fill=—","Direction=H","UseDPDF=Y")</f>
        <v>14.603899999999999</v>
      </c>
      <c r="L28" s="14">
        <f>_xll.BDH("AMGN US Equity","AVERAGE_PRICE_TO_FREE_CASH_FLOW","FQ4 2021","FQ4 2021","Currency=USD","Period=FQ","BEST_FPERIOD_OVERRIDE=FQ","FILING_STATUS=MR","Sort=A","Dates=H","DateFormat=P","Fill=—","Direction=H","UseDPDF=Y")</f>
        <v>14.9589</v>
      </c>
      <c r="M28" s="14">
        <f>_xll.BDH("AMGN US Equity","AVERAGE_PRICE_TO_FREE_CASH_FLOW","FQ1 2022","FQ1 2022","Currency=USD","Period=FQ","BEST_FPERIOD_OVERRIDE=FQ","FILING_STATUS=MR","Sort=A","Dates=H","DateFormat=P","Fill=—","Direction=H","UseDPDF=Y")</f>
        <v>15.5945</v>
      </c>
      <c r="N28" s="14">
        <f>_xll.BDH("AMGN US Equity","AVERAGE_PRICE_TO_FREE_CASH_FLOW","FQ2 2022","FQ2 2022","Currency=USD","Period=FQ","BEST_FPERIOD_OVERRIDE=FQ","FILING_STATUS=MR","Sort=A","Dates=H","DateFormat=P","Fill=—","Direction=H","UseDPDF=Y")</f>
        <v>16.364699999999999</v>
      </c>
      <c r="O28" s="14">
        <f>_xll.BDH("AMGN US Equity","AVERAGE_PRICE_TO_FREE_CASH_FLOW","FQ3 2022","FQ3 2022","Currency=USD","Period=FQ","BEST_FPERIOD_OVERRIDE=FQ","FILING_STATUS=MR","Sort=A","Dates=H","DateFormat=P","Fill=—","Direction=H","UseDPDF=Y")</f>
        <v>16.0609</v>
      </c>
      <c r="P28" s="14">
        <f>_xll.BDH("AMGN US Equity","AVERAGE_PRICE_TO_FREE_CASH_FLOW","FQ4 2022","FQ4 2022","Currency=USD","Period=FQ","BEST_FPERIOD_OVERRIDE=FQ","FILING_STATUS=MR","Sort=A","Dates=H","DateFormat=P","Fill=—","Direction=H","UseDPDF=Y")</f>
        <v>16.245899999999999</v>
      </c>
      <c r="Q28" s="14">
        <f>_xll.BDH("AMGN US Equity","AVERAGE_PRICE_TO_FREE_CASH_FLOW","FQ1 2023","FQ1 2023","Currency=USD","Period=FQ","BEST_FPERIOD_OVERRIDE=FQ","FILING_STATUS=MR","Sort=A","Dates=H","DateFormat=P","Fill=—","Direction=H","UseDPDF=Y")</f>
        <v>15.067399999999999</v>
      </c>
      <c r="R28" s="14">
        <f>_xll.BDH("AMGN US Equity","AVERAGE_PRICE_TO_FREE_CASH_FLOW","FQ2 2023","FQ2 2023","Currency=USD","Period=FQ","BEST_FPERIOD_OVERRIDE=FQ","FILING_STATUS=MR","Sort=A","Dates=H","DateFormat=P","Fill=—","Direction=H","UseDPDF=Y")</f>
        <v>16.424399999999999</v>
      </c>
      <c r="S28" s="14">
        <f>_xll.BDH("AMGN US Equity","AVERAGE_PRICE_TO_FREE_CASH_FLOW","FQ3 2023","FQ3 2023","Currency=USD","Period=FQ","BEST_FPERIOD_OVERRIDE=FQ","FILING_STATUS=MR","Sort=A","Dates=H","DateFormat=P","Fill=—","Direction=H","UseDPDF=Y")</f>
        <v>13.7913</v>
      </c>
      <c r="T28" s="14">
        <f>_xll.BDH("AMGN US Equity","AVERAGE_PRICE_TO_FREE_CASH_FLOW","FQ4 2023","FQ4 2023","Currency=USD","Period=FQ","BEST_FPERIOD_OVERRIDE=FQ","FILING_STATUS=MR","Sort=A","Dates=H","DateFormat=P","Fill=—","Direction=H","UseDPDF=Y")</f>
        <v>15.611599999999999</v>
      </c>
      <c r="U28" s="14">
        <f>_xll.BDH("AMGN US Equity","AVERAGE_PRICE_TO_FREE_CASH_FLOW","FQ1 2024","FQ1 2024","Currency=USD","Period=FQ","BEST_FPERIOD_OVERRIDE=FQ","FILING_STATUS=MR","Sort=A","Dates=H","DateFormat=P","Fill=—","Direction=H","UseDPDF=Y")</f>
        <v>21.281300000000002</v>
      </c>
      <c r="V28" s="14">
        <f>_xll.BDH("AMGN US Equity","AVERAGE_PRICE_TO_FREE_CASH_FLOW","FQ2 2024","FQ2 2024","Currency=USD","Period=FQ","BEST_FPERIOD_OVERRIDE=FQ","FILING_STATUS=MR","Sort=A","Dates=H","DateFormat=P","Fill=—","Direction=H","UseDPDF=Y")</f>
        <v>22.256799999999998</v>
      </c>
      <c r="W28" s="14">
        <f>_xll.BDH("AMGN US Equity","AVERAGE_PRICE_TO_FREE_CASH_FLOW","FQ3 2024","FQ3 2024","Currency=USD","Period=FQ","BEST_FPERIOD_OVERRIDE=FQ","FILING_STATUS=MR","Sort=A","Dates=H","DateFormat=P","Fill=—","Direction=H","UseDPDF=Y")</f>
        <v>31.920200000000001</v>
      </c>
      <c r="X28" s="14">
        <f>_xll.BDH("AMGN US Equity","AVERAGE_PRICE_TO_FREE_CASH_FLOW","FQ4 2024","FQ4 2024","Currency=USD","Period=FQ","BEST_FPERIOD_OVERRIDE=FQ","FILING_STATUS=MR","Sort=A","Dates=H","DateFormat=P","Fill=—","Direction=H","UseDPDF=Y")</f>
        <v>25.212599999999998</v>
      </c>
      <c r="Y28" s="17"/>
      <c r="Z28" s="14"/>
      <c r="AA28" s="14"/>
    </row>
    <row r="29" spans="1:27" x14ac:dyDescent="0.25">
      <c r="A29" s="10" t="s">
        <v>211</v>
      </c>
      <c r="B29" s="10" t="s">
        <v>233</v>
      </c>
      <c r="C29" s="14">
        <f>_xll.BDH("AMGN US Equity","HIGH_PRICE_TO_FREE_CASH_FLOW","FQ3 2019","FQ3 2019","Currency=USD","Period=FQ","BEST_FPERIOD_OVERRIDE=FQ","FILING_STATUS=MR","Sort=A","Dates=H","DateFormat=P","Fill=—","Direction=H","UseDPDF=Y")</f>
        <v>14.531000000000001</v>
      </c>
      <c r="D29" s="14">
        <f>_xll.BDH("AMGN US Equity","HIGH_PRICE_TO_FREE_CASH_FLOW","FQ4 2019","FQ4 2019","Currency=USD","Period=FQ","BEST_FPERIOD_OVERRIDE=FQ","FILING_STATUS=MR","Sort=A","Dates=H","DateFormat=P","Fill=—","Direction=H","UseDPDF=Y")</f>
        <v>17.038699999999999</v>
      </c>
      <c r="E29" s="14">
        <f>_xll.BDH("AMGN US Equity","HIGH_PRICE_TO_FREE_CASH_FLOW","FQ1 2020","FQ1 2020","Currency=USD","Period=FQ","BEST_FPERIOD_OVERRIDE=FQ","FILING_STATUS=MR","Sort=A","Dates=H","DateFormat=P","Fill=—","Direction=H","UseDPDF=Y")</f>
        <v>17.083300000000001</v>
      </c>
      <c r="F29" s="14">
        <f>_xll.BDH("AMGN US Equity","HIGH_PRICE_TO_FREE_CASH_FLOW","FQ2 2020","FQ2 2020","Currency=USD","Period=FQ","BEST_FPERIOD_OVERRIDE=FQ","FILING_STATUS=MR","Sort=A","Dates=H","DateFormat=P","Fill=—","Direction=H","UseDPDF=Y")</f>
        <v>16.462700000000002</v>
      </c>
      <c r="G29" s="14">
        <f>_xll.BDH("AMGN US Equity","HIGH_PRICE_TO_FREE_CASH_FLOW","FQ3 2020","FQ3 2020","Currency=USD","Period=FQ","BEST_FPERIOD_OVERRIDE=FQ","FILING_STATUS=MR","Sort=A","Dates=H","DateFormat=P","Fill=—","Direction=H","UseDPDF=Y")</f>
        <v>15.1563</v>
      </c>
      <c r="H29" s="14">
        <f>_xll.BDH("AMGN US Equity","HIGH_PRICE_TO_FREE_CASH_FLOW","FQ4 2020","FQ4 2020","Currency=USD","Period=FQ","BEST_FPERIOD_OVERRIDE=FQ","FILING_STATUS=MR","Sort=A","Dates=H","DateFormat=P","Fill=—","Direction=H","UseDPDF=Y")</f>
        <v>14.817299999999999</v>
      </c>
      <c r="I29" s="14">
        <f>_xll.BDH("AMGN US Equity","HIGH_PRICE_TO_FREE_CASH_FLOW","FQ1 2021","FQ1 2021","Currency=USD","Period=FQ","BEST_FPERIOD_OVERRIDE=FQ","FILING_STATUS=MR","Sort=A","Dates=H","DateFormat=P","Fill=—","Direction=H","UseDPDF=Y")</f>
        <v>14.9283</v>
      </c>
      <c r="J29" s="14">
        <f>_xll.BDH("AMGN US Equity","HIGH_PRICE_TO_FREE_CASH_FLOW","FQ2 2021","FQ2 2021","Currency=USD","Period=FQ","BEST_FPERIOD_OVERRIDE=FQ","FILING_STATUS=MR","Sort=A","Dates=H","DateFormat=P","Fill=—","Direction=H","UseDPDF=Y")</f>
        <v>15.4391</v>
      </c>
      <c r="K29" s="14">
        <f>_xll.BDH("AMGN US Equity","HIGH_PRICE_TO_FREE_CASH_FLOW","FQ3 2021","FQ3 2021","Currency=USD","Period=FQ","BEST_FPERIOD_OVERRIDE=FQ","FILING_STATUS=MR","Sort=A","Dates=H","DateFormat=P","Fill=—","Direction=H","UseDPDF=Y")</f>
        <v>15.752700000000001</v>
      </c>
      <c r="L29" s="14">
        <f>_xll.BDH("AMGN US Equity","HIGH_PRICE_TO_FREE_CASH_FLOW","FQ4 2021","FQ4 2021","Currency=USD","Period=FQ","BEST_FPERIOD_OVERRIDE=FQ","FILING_STATUS=MR","Sort=A","Dates=H","DateFormat=P","Fill=—","Direction=H","UseDPDF=Y")</f>
        <v>16.142900000000001</v>
      </c>
      <c r="M29" s="14">
        <f>_xll.BDH("AMGN US Equity","HIGH_PRICE_TO_FREE_CASH_FLOW","FQ1 2022","FQ1 2022","Currency=USD","Period=FQ","BEST_FPERIOD_OVERRIDE=FQ","FILING_STATUS=MR","Sort=A","Dates=H","DateFormat=P","Fill=—","Direction=H","UseDPDF=Y")</f>
        <v>16.468399999999999</v>
      </c>
      <c r="N29" s="14">
        <f>_xll.BDH("AMGN US Equity","HIGH_PRICE_TO_FREE_CASH_FLOW","FQ2 2022","FQ2 2022","Currency=USD","Period=FQ","BEST_FPERIOD_OVERRIDE=FQ","FILING_STATUS=MR","Sort=A","Dates=H","DateFormat=P","Fill=—","Direction=H","UseDPDF=Y")</f>
        <v>17.147099999999998</v>
      </c>
      <c r="O29" s="14">
        <f>_xll.BDH("AMGN US Equity","HIGH_PRICE_TO_FREE_CASH_FLOW","FQ3 2022","FQ3 2022","Currency=USD","Period=FQ","BEST_FPERIOD_OVERRIDE=FQ","FILING_STATUS=MR","Sort=A","Dates=H","DateFormat=P","Fill=—","Direction=H","UseDPDF=Y")</f>
        <v>16.794499999999999</v>
      </c>
      <c r="P29" s="14">
        <f>_xll.BDH("AMGN US Equity","HIGH_PRICE_TO_FREE_CASH_FLOW","FQ4 2022","FQ4 2022","Currency=USD","Period=FQ","BEST_FPERIOD_OVERRIDE=FQ","FILING_STATUS=MR","Sort=A","Dates=H","DateFormat=P","Fill=—","Direction=H","UseDPDF=Y")</f>
        <v>17.717500000000001</v>
      </c>
      <c r="Q29" s="14">
        <f>_xll.BDH("AMGN US Equity","HIGH_PRICE_TO_FREE_CASH_FLOW","FQ1 2023","FQ1 2023","Currency=USD","Period=FQ","BEST_FPERIOD_OVERRIDE=FQ","FILING_STATUS=MR","Sort=A","Dates=H","DateFormat=P","Fill=—","Direction=H","UseDPDF=Y")</f>
        <v>17.1708</v>
      </c>
      <c r="R29" s="14">
        <f>_xll.BDH("AMGN US Equity","HIGH_PRICE_TO_FREE_CASH_FLOW","FQ2 2023","FQ2 2023","Currency=USD","Period=FQ","BEST_FPERIOD_OVERRIDE=FQ","FILING_STATUS=MR","Sort=A","Dates=H","DateFormat=P","Fill=—","Direction=H","UseDPDF=Y")</f>
        <v>17.996099999999998</v>
      </c>
      <c r="S29" s="14">
        <f>_xll.BDH("AMGN US Equity","HIGH_PRICE_TO_FREE_CASH_FLOW","FQ3 2023","FQ3 2023","Currency=USD","Period=FQ","BEST_FPERIOD_OVERRIDE=FQ","FILING_STATUS=MR","Sort=A","Dates=H","DateFormat=P","Fill=—","Direction=H","UseDPDF=Y")</f>
        <v>15.3285</v>
      </c>
      <c r="T29" s="14">
        <f>_xll.BDH("AMGN US Equity","HIGH_PRICE_TO_FREE_CASH_FLOW","FQ4 2023","FQ4 2023","Currency=USD","Period=FQ","BEST_FPERIOD_OVERRIDE=FQ","FILING_STATUS=MR","Sort=A","Dates=H","DateFormat=P","Fill=—","Direction=H","UseDPDF=Y")</f>
        <v>20.935199999999998</v>
      </c>
      <c r="U29" s="14">
        <f>_xll.BDH("AMGN US Equity","HIGH_PRICE_TO_FREE_CASH_FLOW","FQ1 2024","FQ1 2024","Currency=USD","Period=FQ","BEST_FPERIOD_OVERRIDE=FQ","FILING_STATUS=MR","Sort=A","Dates=H","DateFormat=P","Fill=—","Direction=H","UseDPDF=Y")</f>
        <v>23.591200000000001</v>
      </c>
      <c r="V29" s="14">
        <f>_xll.BDH("AMGN US Equity","HIGH_PRICE_TO_FREE_CASH_FLOW","FQ2 2024","FQ2 2024","Currency=USD","Period=FQ","BEST_FPERIOD_OVERRIDE=FQ","FILING_STATUS=MR","Sort=A","Dates=H","DateFormat=P","Fill=—","Direction=H","UseDPDF=Y")</f>
        <v>30.549099999999999</v>
      </c>
      <c r="W29" s="14">
        <f>_xll.BDH("AMGN US Equity","HIGH_PRICE_TO_FREE_CASH_FLOW","FQ3 2024","FQ3 2024","Currency=USD","Period=FQ","BEST_FPERIOD_OVERRIDE=FQ","FILING_STATUS=MR","Sort=A","Dates=H","DateFormat=P","Fill=—","Direction=H","UseDPDF=Y")</f>
        <v>32.986600000000003</v>
      </c>
      <c r="X29" s="14">
        <f>_xll.BDH("AMGN US Equity","HIGH_PRICE_TO_FREE_CASH_FLOW","FQ4 2024","FQ4 2024","Currency=USD","Period=FQ","BEST_FPERIOD_OVERRIDE=FQ","FILING_STATUS=MR","Sort=A","Dates=H","DateFormat=P","Fill=—","Direction=H","UseDPDF=Y")</f>
        <v>28.055</v>
      </c>
      <c r="Y29" s="17"/>
      <c r="Z29" s="14"/>
      <c r="AA29" s="14"/>
    </row>
    <row r="30" spans="1:27" x14ac:dyDescent="0.25">
      <c r="A30" s="10" t="s">
        <v>213</v>
      </c>
      <c r="B30" s="10" t="s">
        <v>234</v>
      </c>
      <c r="C30" s="14">
        <f>_xll.BDH("AMGN US Equity","LOW_PRICE_TO_FREE_CASH_FLOW","FQ3 2019","FQ3 2019","Currency=USD","Period=FQ","BEST_FPERIOD_OVERRIDE=FQ","FILING_STATUS=MR","Sort=A","Dates=H","DateFormat=P","Fill=—","Direction=H","UseDPDF=Y")</f>
        <v>12.1273</v>
      </c>
      <c r="D30" s="14">
        <f>_xll.BDH("AMGN US Equity","LOW_PRICE_TO_FREE_CASH_FLOW","FQ4 2019","FQ4 2019","Currency=USD","Period=FQ","BEST_FPERIOD_OVERRIDE=FQ","FILING_STATUS=MR","Sort=A","Dates=H","DateFormat=P","Fill=—","Direction=H","UseDPDF=Y")</f>
        <v>12.6974</v>
      </c>
      <c r="E30" s="14">
        <f>_xll.BDH("AMGN US Equity","LOW_PRICE_TO_FREE_CASH_FLOW","FQ1 2020","FQ1 2020","Currency=USD","Period=FQ","BEST_FPERIOD_OVERRIDE=FQ","FILING_STATUS=MR","Sort=A","Dates=H","DateFormat=P","Fill=—","Direction=H","UseDPDF=Y")</f>
        <v>12.880699999999999</v>
      </c>
      <c r="F30" s="14">
        <f>_xll.BDH("AMGN US Equity","LOW_PRICE_TO_FREE_CASH_FLOW","FQ2 2020","FQ2 2020","Currency=USD","Period=FQ","BEST_FPERIOD_OVERRIDE=FQ","FILING_STATUS=MR","Sort=A","Dates=H","DateFormat=P","Fill=—","Direction=H","UseDPDF=Y")</f>
        <v>13.4155</v>
      </c>
      <c r="G30" s="14">
        <f>_xll.BDH("AMGN US Equity","LOW_PRICE_TO_FREE_CASH_FLOW","FQ3 2020","FQ3 2020","Currency=USD","Period=FQ","BEST_FPERIOD_OVERRIDE=FQ","FILING_STATUS=MR","Sort=A","Dates=H","DateFormat=P","Fill=—","Direction=H","UseDPDF=Y")</f>
        <v>13.6288</v>
      </c>
      <c r="H30" s="14">
        <f>_xll.BDH("AMGN US Equity","LOW_PRICE_TO_FREE_CASH_FLOW","FQ4 2020","FQ4 2020","Currency=USD","Period=FQ","BEST_FPERIOD_OVERRIDE=FQ","FILING_STATUS=MR","Sort=A","Dates=H","DateFormat=P","Fill=—","Direction=H","UseDPDF=Y")</f>
        <v>12.4429</v>
      </c>
      <c r="I30" s="14">
        <f>_xll.BDH("AMGN US Equity","LOW_PRICE_TO_FREE_CASH_FLOW","FQ1 2021","FQ1 2021","Currency=USD","Period=FQ","BEST_FPERIOD_OVERRIDE=FQ","FILING_STATUS=MR","Sort=A","Dates=H","DateFormat=P","Fill=—","Direction=H","UseDPDF=Y")</f>
        <v>12.8103</v>
      </c>
      <c r="J30" s="14">
        <f>_xll.BDH("AMGN US Equity","LOW_PRICE_TO_FREE_CASH_FLOW","FQ2 2021","FQ2 2021","Currency=USD","Period=FQ","BEST_FPERIOD_OVERRIDE=FQ","FILING_STATUS=MR","Sort=A","Dates=H","DateFormat=P","Fill=—","Direction=H","UseDPDF=Y")</f>
        <v>13.4976</v>
      </c>
      <c r="K30" s="14">
        <f>_xll.BDH("AMGN US Equity","LOW_PRICE_TO_FREE_CASH_FLOW","FQ3 2021","FQ3 2021","Currency=USD","Period=FQ","BEST_FPERIOD_OVERRIDE=FQ","FILING_STATUS=MR","Sort=A","Dates=H","DateFormat=P","Fill=—","Direction=H","UseDPDF=Y")</f>
        <v>13.4452</v>
      </c>
      <c r="L30" s="14">
        <f>_xll.BDH("AMGN US Equity","LOW_PRICE_TO_FREE_CASH_FLOW","FQ4 2021","FQ4 2021","Currency=USD","Period=FQ","BEST_FPERIOD_OVERRIDE=FQ","FILING_STATUS=MR","Sort=A","Dates=H","DateFormat=P","Fill=—","Direction=H","UseDPDF=Y")</f>
        <v>14.1059</v>
      </c>
      <c r="M30" s="14">
        <f>_xll.BDH("AMGN US Equity","LOW_PRICE_TO_FREE_CASH_FLOW","FQ1 2022","FQ1 2022","Currency=USD","Period=FQ","BEST_FPERIOD_OVERRIDE=FQ","FILING_STATUS=MR","Sort=A","Dates=H","DateFormat=P","Fill=—","Direction=H","UseDPDF=Y")</f>
        <v>14.8866</v>
      </c>
      <c r="N30" s="14">
        <f>_xll.BDH("AMGN US Equity","LOW_PRICE_TO_FREE_CASH_FLOW","FQ2 2022","FQ2 2022","Currency=USD","Period=FQ","BEST_FPERIOD_OVERRIDE=FQ","FILING_STATUS=MR","Sort=A","Dates=H","DateFormat=P","Fill=—","Direction=H","UseDPDF=Y")</f>
        <v>15.4086</v>
      </c>
      <c r="O30" s="14">
        <f>_xll.BDH("AMGN US Equity","LOW_PRICE_TO_FREE_CASH_FLOW","FQ3 2022","FQ3 2022","Currency=USD","Period=FQ","BEST_FPERIOD_OVERRIDE=FQ","FILING_STATUS=MR","Sort=A","Dates=H","DateFormat=P","Fill=—","Direction=H","UseDPDF=Y")</f>
        <v>13.658200000000001</v>
      </c>
      <c r="P30" s="14">
        <f>_xll.BDH("AMGN US Equity","LOW_PRICE_TO_FREE_CASH_FLOW","FQ4 2022","FQ4 2022","Currency=USD","Period=FQ","BEST_FPERIOD_OVERRIDE=FQ","FILING_STATUS=MR","Sort=A","Dates=H","DateFormat=P","Fill=—","Direction=H","UseDPDF=Y")</f>
        <v>13.8782</v>
      </c>
      <c r="Q30" s="14">
        <f>_xll.BDH("AMGN US Equity","LOW_PRICE_TO_FREE_CASH_FLOW","FQ1 2023","FQ1 2023","Currency=USD","Period=FQ","BEST_FPERIOD_OVERRIDE=FQ","FILING_STATUS=MR","Sort=A","Dates=H","DateFormat=P","Fill=—","Direction=H","UseDPDF=Y")</f>
        <v>13.8241</v>
      </c>
      <c r="R30" s="14">
        <f>_xll.BDH("AMGN US Equity","LOW_PRICE_TO_FREE_CASH_FLOW","FQ2 2023","FQ2 2023","Currency=USD","Period=FQ","BEST_FPERIOD_OVERRIDE=FQ","FILING_STATUS=MR","Sort=A","Dates=H","DateFormat=P","Fill=—","Direction=H","UseDPDF=Y")</f>
        <v>12.262700000000001</v>
      </c>
      <c r="S30" s="14">
        <f>_xll.BDH("AMGN US Equity","LOW_PRICE_TO_FREE_CASH_FLOW","FQ3 2023","FQ3 2023","Currency=USD","Period=FQ","BEST_FPERIOD_OVERRIDE=FQ","FILING_STATUS=MR","Sort=A","Dates=H","DateFormat=P","Fill=—","Direction=H","UseDPDF=Y")</f>
        <v>12.076599999999999</v>
      </c>
      <c r="T30" s="14">
        <f>_xll.BDH("AMGN US Equity","LOW_PRICE_TO_FREE_CASH_FLOW","FQ4 2023","FQ4 2023","Currency=USD","Period=FQ","BEST_FPERIOD_OVERRIDE=FQ","FILING_STATUS=MR","Sort=A","Dates=H","DateFormat=P","Fill=—","Direction=H","UseDPDF=Y")</f>
        <v>14.583600000000001</v>
      </c>
      <c r="U30" s="14">
        <f>_xll.BDH("AMGN US Equity","LOW_PRICE_TO_FREE_CASH_FLOW","FQ1 2024","FQ1 2024","Currency=USD","Period=FQ","BEST_FPERIOD_OVERRIDE=FQ","FILING_STATUS=MR","Sort=A","Dates=H","DateFormat=P","Fill=—","Direction=H","UseDPDF=Y")</f>
        <v>19.543299999999999</v>
      </c>
      <c r="V30" s="14">
        <f>_xll.BDH("AMGN US Equity","LOW_PRICE_TO_FREE_CASH_FLOW","FQ2 2024","FQ2 2024","Currency=USD","Period=FQ","BEST_FPERIOD_OVERRIDE=FQ","FILING_STATUS=MR","Sort=A","Dates=H","DateFormat=P","Fill=—","Direction=H","UseDPDF=Y")</f>
        <v>19.806699999999999</v>
      </c>
      <c r="W30" s="14">
        <f>_xll.BDH("AMGN US Equity","LOW_PRICE_TO_FREE_CASH_FLOW","FQ3 2024","FQ3 2024","Currency=USD","Period=FQ","BEST_FPERIOD_OVERRIDE=FQ","FILING_STATUS=MR","Sort=A","Dates=H","DateFormat=P","Fill=—","Direction=H","UseDPDF=Y")</f>
        <v>27.5304</v>
      </c>
      <c r="X30" s="14">
        <f>_xll.BDH("AMGN US Equity","LOW_PRICE_TO_FREE_CASH_FLOW","FQ4 2024","FQ4 2024","Currency=USD","Period=FQ","BEST_FPERIOD_OVERRIDE=FQ","FILING_STATUS=MR","Sort=A","Dates=H","DateFormat=P","Fill=—","Direction=H","UseDPDF=Y")</f>
        <v>13.464700000000001</v>
      </c>
      <c r="Y30" s="17"/>
      <c r="Z30" s="14"/>
      <c r="AA30" s="14"/>
    </row>
    <row r="31" spans="1:27" x14ac:dyDescent="0.25">
      <c r="A31" s="6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21"/>
      <c r="Z31" s="18"/>
      <c r="AA31" s="18"/>
    </row>
    <row r="32" spans="1:27" x14ac:dyDescent="0.25">
      <c r="A32" s="6" t="s">
        <v>178</v>
      </c>
      <c r="B32" s="6" t="s">
        <v>179</v>
      </c>
      <c r="C32" s="20">
        <f>_xll.BDH("AMGN US Equity","EV_TO_T12M_SALES","FQ3 2019","FQ3 2019","Currency=USD","Period=FQ","BEST_FPERIOD_OVERRIDE=FQ","FILING_STATUS=MR","FA_ADJUSTED=GAAP","Sort=A","Dates=H","DateFormat=P","Fill=—","Direction=H","UseDPDF=Y")</f>
        <v>5.3342000000000001</v>
      </c>
      <c r="D32" s="20">
        <f>_xll.BDH("AMGN US Equity","EV_TO_T12M_SALES","FQ4 2019","FQ4 2019","Currency=USD","Period=FQ","BEST_FPERIOD_OVERRIDE=FQ","FILING_STATUS=MR","FA_ADJUSTED=GAAP","Sort=A","Dates=H","DateFormat=P","Fill=—","Direction=H","UseDPDF=Y")</f>
        <v>7.0236999999999998</v>
      </c>
      <c r="E32" s="20">
        <f>_xll.BDH("AMGN US Equity","EV_TO_T12M_SALES","FQ1 2020","FQ1 2020","Currency=USD","Period=FQ","BEST_FPERIOD_OVERRIDE=FQ","FILING_STATUS=MR","FA_ADJUSTED=GAAP","Sort=A","Dates=H","DateFormat=P","Fill=—","Direction=H","UseDPDF=Y")</f>
        <v>5.9684999999999997</v>
      </c>
      <c r="F32" s="20">
        <f>_xll.BDH("AMGN US Equity","EV_TO_T12M_SALES","FQ2 2020","FQ2 2020","Currency=USD","Period=FQ","BEST_FPERIOD_OVERRIDE=FQ","FILING_STATUS=MR","FA_ADJUSTED=GAAP","Sort=A","Dates=H","DateFormat=P","Fill=—","Direction=H","UseDPDF=Y")</f>
        <v>6.6298000000000004</v>
      </c>
      <c r="G32" s="20">
        <f>_xll.BDH("AMGN US Equity","EV_TO_T12M_SALES","FQ3 2020","FQ3 2020","Currency=USD","Period=FQ","BEST_FPERIOD_OVERRIDE=FQ","FILING_STATUS=MR","FA_ADJUSTED=GAAP","Sort=A","Dates=H","DateFormat=P","Fill=—","Direction=H","UseDPDF=Y")</f>
        <v>6.8127000000000004</v>
      </c>
      <c r="H32" s="20">
        <f>_xll.BDH("AMGN US Equity","EV_TO_T12M_SALES","FQ4 2020","FQ4 2020","Currency=USD","Period=FQ","BEST_FPERIOD_OVERRIDE=FQ","FILING_STATUS=MR","FA_ADJUSTED=GAAP","Sort=A","Dates=H","DateFormat=P","Fill=—","Direction=H","UseDPDF=Y")</f>
        <v>6.1265000000000001</v>
      </c>
      <c r="I32" s="20">
        <f>_xll.BDH("AMGN US Equity","EV_TO_T12M_SALES","FQ1 2021","FQ1 2021","Currency=USD","Period=FQ","BEST_FPERIOD_OVERRIDE=FQ","FILING_STATUS=MR","FA_ADJUSTED=GAAP","Sort=A","Dates=H","DateFormat=P","Fill=—","Direction=H","UseDPDF=Y")</f>
        <v>6.5673000000000004</v>
      </c>
      <c r="J32" s="20">
        <f>_xll.BDH("AMGN US Equity","EV_TO_T12M_SALES","FQ2 2021","FQ2 2021","Currency=USD","Period=FQ","BEST_FPERIOD_OVERRIDE=FQ","FILING_STATUS=MR","FA_ADJUSTED=GAAP","Sort=A","Dates=H","DateFormat=P","Fill=—","Direction=H","UseDPDF=Y")</f>
        <v>6.4173999999999998</v>
      </c>
      <c r="K32" s="20">
        <f>_xll.BDH("AMGN US Equity","EV_TO_T12M_SALES","FQ3 2021","FQ3 2021","Currency=USD","Period=FQ","BEST_FPERIOD_OVERRIDE=FQ","FILING_STATUS=MR","FA_ADJUSTED=GAAP","Sort=A","Dates=H","DateFormat=P","Fill=—","Direction=H","UseDPDF=Y")</f>
        <v>5.6197999999999997</v>
      </c>
      <c r="L32" s="20">
        <f>_xll.BDH("AMGN US Equity","EV_TO_T12M_SALES","FQ4 2021","FQ4 2021","Currency=USD","Period=FQ","BEST_FPERIOD_OVERRIDE=FQ","FILING_STATUS=MR","FA_ADJUSTED=GAAP","Sort=A","Dates=H","DateFormat=P","Fill=—","Direction=H","UseDPDF=Y")</f>
        <v>5.6227999999999998</v>
      </c>
      <c r="M32" s="20">
        <f>_xll.BDH("AMGN US Equity","EV_TO_T12M_SALES","FQ1 2022","FQ1 2022","Currency=USD","Period=FQ","BEST_FPERIOD_OVERRIDE=FQ","FILING_STATUS=MR","FA_ADJUSTED=GAAP","Sort=A","Dates=H","DateFormat=P","Fill=—","Direction=H","UseDPDF=Y")</f>
        <v>6.0606</v>
      </c>
      <c r="N32" s="20">
        <f>_xll.BDH("AMGN US Equity","EV_TO_T12M_SALES","FQ2 2022","FQ2 2022","Currency=USD","Period=FQ","BEST_FPERIOD_OVERRIDE=FQ","FILING_STATUS=MR","FA_ADJUSTED=GAAP","Sort=A","Dates=H","DateFormat=P","Fill=—","Direction=H","UseDPDF=Y")</f>
        <v>6.0446</v>
      </c>
      <c r="O32" s="20">
        <f>_xll.BDH("AMGN US Equity","EV_TO_T12M_SALES","FQ3 2022","FQ3 2022","Currency=USD","Period=FQ","BEST_FPERIOD_OVERRIDE=FQ","FILING_STATUS=MR","FA_ADJUSTED=GAAP","Sort=A","Dates=H","DateFormat=P","Fill=—","Direction=H","UseDPDF=Y")</f>
        <v>5.6010999999999997</v>
      </c>
      <c r="P32" s="20">
        <f>_xll.BDH("AMGN US Equity","EV_TO_T12M_SALES","FQ4 2022","FQ4 2022","Currency=USD","Period=FQ","BEST_FPERIOD_OVERRIDE=FQ","FILING_STATUS=MR","FA_ADJUSTED=GAAP","Sort=A","Dates=H","DateFormat=P","Fill=—","Direction=H","UseDPDF=Y")</f>
        <v>6.4804000000000004</v>
      </c>
      <c r="Q32" s="20">
        <f>_xll.BDH("AMGN US Equity","EV_TO_T12M_SALES","FQ1 2023","FQ1 2023","Currency=USD","Period=FQ","BEST_FPERIOD_OVERRIDE=FQ","FILING_STATUS=MR","FA_ADJUSTED=GAAP","Sort=A","Dates=H","DateFormat=P","Fill=—","Direction=H","UseDPDF=Y")</f>
        <v>6.0787000000000004</v>
      </c>
      <c r="R32" s="20">
        <f>_xll.BDH("AMGN US Equity","EV_TO_T12M_SALES","FQ2 2023","FQ2 2023","Currency=USD","Period=FQ","BEST_FPERIOD_OVERRIDE=FQ","FILING_STATUS=MR","FA_ADJUSTED=GAAP","Sort=A","Dates=H","DateFormat=P","Fill=—","Direction=H","UseDPDF=Y")</f>
        <v>5.4945000000000004</v>
      </c>
      <c r="S32" s="20">
        <f>_xll.BDH("AMGN US Equity","EV_TO_T12M_SALES","FQ3 2023","FQ3 2023","Currency=USD","Period=FQ","BEST_FPERIOD_OVERRIDE=FQ","FILING_STATUS=MR","FA_ADJUSTED=GAAP","Sort=A","Dates=H","DateFormat=P","Fill=—","Direction=H","UseDPDF=Y")</f>
        <v>6.3183999999999996</v>
      </c>
      <c r="T32" s="20">
        <f>_xll.BDH("AMGN US Equity","EV_TO_T12M_SALES","FQ4 2023","FQ4 2023","Currency=USD","Period=FQ","BEST_FPERIOD_OVERRIDE=FQ","FILING_STATUS=MR","FA_ADJUSTED=GAAP","Sort=A","Dates=H","DateFormat=P","Fill=—","Direction=H","UseDPDF=Y")</f>
        <v>7.4028</v>
      </c>
      <c r="U32" s="20">
        <f>_xll.BDH("AMGN US Equity","EV_TO_T12M_SALES","FQ1 2024","FQ1 2024","Currency=USD","Period=FQ","BEST_FPERIOD_OVERRIDE=FQ","FILING_STATUS=MR","FA_ADJUSTED=GAAP","Sort=A","Dates=H","DateFormat=P","Fill=—","Direction=H","UseDPDF=Y")</f>
        <v>7.0033000000000003</v>
      </c>
      <c r="V32" s="20">
        <f>_xll.BDH("AMGN US Equity","EV_TO_T12M_SALES","FQ2 2024","FQ2 2024","Currency=USD","Period=FQ","BEST_FPERIOD_OVERRIDE=FQ","FILING_STATUS=MR","FA_ADJUSTED=GAAP","Sort=A","Dates=H","DateFormat=P","Fill=—","Direction=H","UseDPDF=Y")</f>
        <v>7.1505000000000001</v>
      </c>
      <c r="W32" s="20">
        <f>_xll.BDH("AMGN US Equity","EV_TO_T12M_SALES","FQ3 2024","FQ3 2024","Currency=USD","Period=FQ","BEST_FPERIOD_OVERRIDE=FQ","FILING_STATUS=MR","FA_ADJUSTED=GAAP","Sort=A","Dates=H","DateFormat=P","Fill=—","Direction=H","UseDPDF=Y")</f>
        <v>6.9028</v>
      </c>
      <c r="X32" s="20">
        <f>_xll.BDH("AMGN US Equity","EV_TO_T12M_SALES","FQ4 2024","FQ4 2024","Currency=USD","Period=FQ","BEST_FPERIOD_OVERRIDE=FQ","FILING_STATUS=MR","FA_ADJUSTED=GAAP","Sort=A","Dates=H","DateFormat=P","Fill=—","Direction=H","UseDPDF=Y")</f>
        <v>5.6498999999999997</v>
      </c>
      <c r="Y32" s="23">
        <v>6.4074014051477999</v>
      </c>
      <c r="Z32" s="20">
        <v>6.0904702712607204</v>
      </c>
      <c r="AA32" s="20">
        <v>6.0584208484550803</v>
      </c>
    </row>
    <row r="33" spans="1:27" x14ac:dyDescent="0.25">
      <c r="A33" s="10" t="s">
        <v>209</v>
      </c>
      <c r="B33" s="10" t="s">
        <v>235</v>
      </c>
      <c r="C33" s="14">
        <f>_xll.BDH("AMGN US Equity","AVERAGE_EV_TO_T12M_SALES","FQ3 2019","FQ3 2019","Currency=USD","Period=FQ","BEST_FPERIOD_OVERRIDE=FQ","FILING_STATUS=MR","FA_ADJUSTED=GAAP","Sort=A","Dates=H","DateFormat=P","Fill=—","Direction=H","UseDPDF=Y")</f>
        <v>5.3076999999999996</v>
      </c>
      <c r="D33" s="14">
        <f>_xll.BDH("AMGN US Equity","AVERAGE_EV_TO_T12M_SALES","FQ4 2019","FQ4 2019","Currency=USD","Period=FQ","BEST_FPERIOD_OVERRIDE=FQ","FILING_STATUS=MR","FA_ADJUSTED=GAAP","Sort=A","Dates=H","DateFormat=P","Fill=—","Direction=H","UseDPDF=Y")</f>
        <v>6.0250000000000004</v>
      </c>
      <c r="E33" s="14">
        <f>_xll.BDH("AMGN US Equity","AVERAGE_EV_TO_T12M_SALES","FQ1 2020","FQ1 2020","Currency=USD","Period=FQ","BEST_FPERIOD_OVERRIDE=FQ","FILING_STATUS=MR","FA_ADJUSTED=GAAP","Sort=A","Dates=H","DateFormat=P","Fill=—","Direction=H","UseDPDF=Y")</f>
        <v>6.4504000000000001</v>
      </c>
      <c r="F33" s="14">
        <f>_xll.BDH("AMGN US Equity","AVERAGE_EV_TO_T12M_SALES","FQ2 2020","FQ2 2020","Currency=USD","Period=FQ","BEST_FPERIOD_OVERRIDE=FQ","FILING_STATUS=MR","FA_ADJUSTED=GAAP","Sort=A","Dates=H","DateFormat=P","Fill=—","Direction=H","UseDPDF=Y")</f>
        <v>6.5922000000000001</v>
      </c>
      <c r="G33" s="14">
        <f>_xll.BDH("AMGN US Equity","AVERAGE_EV_TO_T12M_SALES","FQ3 2020","FQ3 2020","Currency=USD","Period=FQ","BEST_FPERIOD_OVERRIDE=FQ","FILING_STATUS=MR","FA_ADJUSTED=GAAP","Sort=A","Dates=H","DateFormat=P","Fill=—","Direction=H","UseDPDF=Y")</f>
        <v>6.9131999999999998</v>
      </c>
      <c r="H33" s="14">
        <f>_xll.BDH("AMGN US Equity","AVERAGE_EV_TO_T12M_SALES","FQ4 2020","FQ4 2020","Currency=USD","Period=FQ","BEST_FPERIOD_OVERRIDE=FQ","FILING_STATUS=MR","FA_ADJUSTED=GAAP","Sort=A","Dates=H","DateFormat=P","Fill=—","Direction=H","UseDPDF=Y")</f>
        <v>6.2586000000000004</v>
      </c>
      <c r="I33" s="14">
        <f>_xll.BDH("AMGN US Equity","AVERAGE_EV_TO_T12M_SALES","FQ1 2021","FQ1 2021","Currency=USD","Period=FQ","BEST_FPERIOD_OVERRIDE=FQ","FILING_STATUS=MR","FA_ADJUSTED=GAAP","Sort=A","Dates=H","DateFormat=P","Fill=—","Direction=H","UseDPDF=Y")</f>
        <v>6.3334000000000001</v>
      </c>
      <c r="J33" s="14">
        <f>_xll.BDH("AMGN US Equity","AVERAGE_EV_TO_T12M_SALES","FQ2 2021","FQ2 2021","Currency=USD","Period=FQ","BEST_FPERIOD_OVERRIDE=FQ","FILING_STATUS=MR","FA_ADJUSTED=GAAP","Sort=A","Dates=H","DateFormat=P","Fill=—","Direction=H","UseDPDF=Y")</f>
        <v>6.5003000000000002</v>
      </c>
      <c r="K33" s="14">
        <f>_xll.BDH("AMGN US Equity","AVERAGE_EV_TO_T12M_SALES","FQ3 2021","FQ3 2021","Currency=USD","Period=FQ","BEST_FPERIOD_OVERRIDE=FQ","FILING_STATUS=MR","FA_ADJUSTED=GAAP","Sort=A","Dates=H","DateFormat=P","Fill=—","Direction=H","UseDPDF=Y")</f>
        <v>6.1200999999999999</v>
      </c>
      <c r="L33" s="14">
        <f>_xll.BDH("AMGN US Equity","AVERAGE_EV_TO_T12M_SALES","FQ4 2021","FQ4 2021","Currency=USD","Period=FQ","BEST_FPERIOD_OVERRIDE=FQ","FILING_STATUS=MR","FA_ADJUSTED=GAAP","Sort=A","Dates=H","DateFormat=P","Fill=—","Direction=H","UseDPDF=Y")</f>
        <v>5.5839999999999996</v>
      </c>
      <c r="M33" s="14">
        <f>_xll.BDH("AMGN US Equity","AVERAGE_EV_TO_T12M_SALES","FQ1 2022","FQ1 2022","Currency=USD","Period=FQ","BEST_FPERIOD_OVERRIDE=FQ","FILING_STATUS=MR","FA_ADJUSTED=GAAP","Sort=A","Dates=H","DateFormat=P","Fill=—","Direction=H","UseDPDF=Y")</f>
        <v>5.9493</v>
      </c>
      <c r="N33" s="14">
        <f>_xll.BDH("AMGN US Equity","AVERAGE_EV_TO_T12M_SALES","FQ2 2022","FQ2 2022","Currency=USD","Period=FQ","BEST_FPERIOD_OVERRIDE=FQ","FILING_STATUS=MR","FA_ADJUSTED=GAAP","Sort=A","Dates=H","DateFormat=P","Fill=—","Direction=H","UseDPDF=Y")</f>
        <v>6.1345999999999998</v>
      </c>
      <c r="O33" s="14">
        <f>_xll.BDH("AMGN US Equity","AVERAGE_EV_TO_T12M_SALES","FQ3 2022","FQ3 2022","Currency=USD","Period=FQ","BEST_FPERIOD_OVERRIDE=FQ","FILING_STATUS=MR","FA_ADJUSTED=GAAP","Sort=A","Dates=H","DateFormat=P","Fill=—","Direction=H","UseDPDF=Y")</f>
        <v>6.0228999999999999</v>
      </c>
      <c r="P33" s="14">
        <f>_xll.BDH("AMGN US Equity","AVERAGE_EV_TO_T12M_SALES","FQ4 2022","FQ4 2022","Currency=USD","Period=FQ","BEST_FPERIOD_OVERRIDE=FQ","FILING_STATUS=MR","FA_ADJUSTED=GAAP","Sort=A","Dates=H","DateFormat=P","Fill=—","Direction=H","UseDPDF=Y")</f>
        <v>6.4730999999999996</v>
      </c>
      <c r="Q33" s="14">
        <f>_xll.BDH("AMGN US Equity","AVERAGE_EV_TO_T12M_SALES","FQ1 2023","FQ1 2023","Currency=USD","Period=FQ","BEST_FPERIOD_OVERRIDE=FQ","FILING_STATUS=MR","FA_ADJUSTED=GAAP","Sort=A","Dates=H","DateFormat=P","Fill=—","Direction=H","UseDPDF=Y")</f>
        <v>6.1310000000000002</v>
      </c>
      <c r="R33" s="14">
        <f>_xll.BDH("AMGN US Equity","AVERAGE_EV_TO_T12M_SALES","FQ2 2023","FQ2 2023","Currency=USD","Period=FQ","BEST_FPERIOD_OVERRIDE=FQ","FILING_STATUS=MR","FA_ADJUSTED=GAAP","Sort=A","Dates=H","DateFormat=P","Fill=—","Direction=H","UseDPDF=Y")</f>
        <v>5.8773</v>
      </c>
      <c r="S33" s="14">
        <f>_xll.BDH("AMGN US Equity","AVERAGE_EV_TO_T12M_SALES","FQ3 2023","FQ3 2023","Currency=USD","Period=FQ","BEST_FPERIOD_OVERRIDE=FQ","FILING_STATUS=MR","FA_ADJUSTED=GAAP","Sort=A","Dates=H","DateFormat=P","Fill=—","Direction=H","UseDPDF=Y")</f>
        <v>6.0449000000000002</v>
      </c>
      <c r="T33" s="14">
        <f>_xll.BDH("AMGN US Equity","AVERAGE_EV_TO_T12M_SALES","FQ4 2023","FQ4 2023","Currency=USD","Period=FQ","BEST_FPERIOD_OVERRIDE=FQ","FILING_STATUS=MR","FA_ADJUSTED=GAAP","Sort=A","Dates=H","DateFormat=P","Fill=—","Direction=H","UseDPDF=Y")</f>
        <v>6.4032</v>
      </c>
      <c r="U33" s="14">
        <f>_xll.BDH("AMGN US Equity","AVERAGE_EV_TO_T12M_SALES","FQ1 2024","FQ1 2024","Currency=USD","Period=FQ","BEST_FPERIOD_OVERRIDE=FQ","FILING_STATUS=MR","FA_ADJUSTED=GAAP","Sort=A","Dates=H","DateFormat=P","Fill=—","Direction=H","UseDPDF=Y")</f>
        <v>7.4856999999999996</v>
      </c>
      <c r="V33" s="14">
        <f>_xll.BDH("AMGN US Equity","AVERAGE_EV_TO_T12M_SALES","FQ2 2024","FQ2 2024","Currency=USD","Period=FQ","BEST_FPERIOD_OVERRIDE=FQ","FILING_STATUS=MR","FA_ADJUSTED=GAAP","Sort=A","Dates=H","DateFormat=P","Fill=—","Direction=H","UseDPDF=Y")</f>
        <v>7.1684999999999999</v>
      </c>
      <c r="W33" s="14">
        <f>_xll.BDH("AMGN US Equity","AVERAGE_EV_TO_T12M_SALES","FQ3 2024","FQ3 2024","Currency=USD","Period=FQ","BEST_FPERIOD_OVERRIDE=FQ","FILING_STATUS=MR","FA_ADJUSTED=GAAP","Sort=A","Dates=H","DateFormat=P","Fill=—","Direction=H","UseDPDF=Y")</f>
        <v>7.3959999999999999</v>
      </c>
      <c r="X33" s="14">
        <f>_xll.BDH("AMGN US Equity","AVERAGE_EV_TO_T12M_SALES","FQ4 2024","FQ4 2024","Currency=USD","Period=FQ","BEST_FPERIOD_OVERRIDE=FQ","FILING_STATUS=MR","FA_ADJUSTED=GAAP","Sort=A","Dates=H","DateFormat=P","Fill=—","Direction=H","UseDPDF=Y")</f>
        <v>6.4771999999999998</v>
      </c>
      <c r="Y33" s="17"/>
      <c r="Z33" s="14"/>
      <c r="AA33" s="14"/>
    </row>
    <row r="34" spans="1:27" x14ac:dyDescent="0.25">
      <c r="A34" s="10" t="s">
        <v>211</v>
      </c>
      <c r="B34" s="10" t="s">
        <v>236</v>
      </c>
      <c r="C34" s="14">
        <f>_xll.BDH("AMGN US Equity","HIGH_EV_TO_T12M_SALES","FQ3 2019","FQ3 2019","Currency=USD","Period=FQ","BEST_FPERIOD_OVERRIDE=FQ","FILING_STATUS=MR","FA_ADJUSTED=GAAP","Sort=A","Dates=H","DateFormat=P","Fill=—","Direction=H","UseDPDF=Y")</f>
        <v>5.7068000000000003</v>
      </c>
      <c r="D34" s="14">
        <f>_xll.BDH("AMGN US Equity","HIGH_EV_TO_T12M_SALES","FQ4 2019","FQ4 2019","Currency=USD","Period=FQ","BEST_FPERIOD_OVERRIDE=FQ","FILING_STATUS=MR","FA_ADJUSTED=GAAP","Sort=A","Dates=H","DateFormat=P","Fill=—","Direction=H","UseDPDF=Y")</f>
        <v>7.0525000000000002</v>
      </c>
      <c r="E34" s="14">
        <f>_xll.BDH("AMGN US Equity","HIGH_EV_TO_T12M_SALES","FQ1 2020","FQ1 2020","Currency=USD","Period=FQ","BEST_FPERIOD_OVERRIDE=FQ","FILING_STATUS=MR","FA_ADJUSTED=GAAP","Sort=A","Dates=H","DateFormat=P","Fill=—","Direction=H","UseDPDF=Y")</f>
        <v>7.0685000000000002</v>
      </c>
      <c r="F34" s="14">
        <f>_xll.BDH("AMGN US Equity","HIGH_EV_TO_T12M_SALES","FQ2 2020","FQ2 2020","Currency=USD","Period=FQ","BEST_FPERIOD_OVERRIDE=FQ","FILING_STATUS=MR","FA_ADJUSTED=GAAP","Sort=A","Dates=H","DateFormat=P","Fill=—","Direction=H","UseDPDF=Y")</f>
        <v>6.9526000000000003</v>
      </c>
      <c r="G34" s="14">
        <f>_xll.BDH("AMGN US Equity","HIGH_EV_TO_T12M_SALES","FQ3 2020","FQ3 2020","Currency=USD","Period=FQ","BEST_FPERIOD_OVERRIDE=FQ","FILING_STATUS=MR","FA_ADJUSTED=GAAP","Sort=A","Dates=H","DateFormat=P","Fill=—","Direction=H","UseDPDF=Y")</f>
        <v>7.2550999999999997</v>
      </c>
      <c r="H34" s="14">
        <f>_xll.BDH("AMGN US Equity","HIGH_EV_TO_T12M_SALES","FQ4 2020","FQ4 2020","Currency=USD","Period=FQ","BEST_FPERIOD_OVERRIDE=FQ","FILING_STATUS=MR","FA_ADJUSTED=GAAP","Sort=A","Dates=H","DateFormat=P","Fill=—","Direction=H","UseDPDF=Y")</f>
        <v>6.9173</v>
      </c>
      <c r="I34" s="14">
        <f>_xll.BDH("AMGN US Equity","HIGH_EV_TO_T12M_SALES","FQ1 2021","FQ1 2021","Currency=USD","Period=FQ","BEST_FPERIOD_OVERRIDE=FQ","FILING_STATUS=MR","FA_ADJUSTED=GAAP","Sort=A","Dates=H","DateFormat=P","Fill=—","Direction=H","UseDPDF=Y")</f>
        <v>6.8182</v>
      </c>
      <c r="J34" s="14">
        <f>_xll.BDH("AMGN US Equity","HIGH_EV_TO_T12M_SALES","FQ2 2021","FQ2 2021","Currency=USD","Period=FQ","BEST_FPERIOD_OVERRIDE=FQ","FILING_STATUS=MR","FA_ADJUSTED=GAAP","Sort=A","Dates=H","DateFormat=P","Fill=—","Direction=H","UseDPDF=Y")</f>
        <v>6.8086000000000002</v>
      </c>
      <c r="K34" s="14">
        <f>_xll.BDH("AMGN US Equity","HIGH_EV_TO_T12M_SALES","FQ3 2021","FQ3 2021","Currency=USD","Period=FQ","BEST_FPERIOD_OVERRIDE=FQ","FILING_STATUS=MR","FA_ADJUSTED=GAAP","Sort=A","Dates=H","DateFormat=P","Fill=—","Direction=H","UseDPDF=Y")</f>
        <v>6.5762999999999998</v>
      </c>
      <c r="L34" s="14">
        <f>_xll.BDH("AMGN US Equity","HIGH_EV_TO_T12M_SALES","FQ4 2021","FQ4 2021","Currency=USD","Period=FQ","BEST_FPERIOD_OVERRIDE=FQ","FILING_STATUS=MR","FA_ADJUSTED=GAAP","Sort=A","Dates=H","DateFormat=P","Fill=—","Direction=H","UseDPDF=Y")</f>
        <v>5.9322999999999997</v>
      </c>
      <c r="M34" s="14">
        <f>_xll.BDH("AMGN US Equity","HIGH_EV_TO_T12M_SALES","FQ1 2022","FQ1 2022","Currency=USD","Period=FQ","BEST_FPERIOD_OVERRIDE=FQ","FILING_STATUS=MR","FA_ADJUSTED=GAAP","Sort=A","Dates=H","DateFormat=P","Fill=—","Direction=H","UseDPDF=Y")</f>
        <v>6.2704000000000004</v>
      </c>
      <c r="N34" s="14">
        <f>_xll.BDH("AMGN US Equity","HIGH_EV_TO_T12M_SALES","FQ2 2022","FQ2 2022","Currency=USD","Period=FQ","BEST_FPERIOD_OVERRIDE=FQ","FILING_STATUS=MR","FA_ADJUSTED=GAAP","Sort=A","Dates=H","DateFormat=P","Fill=—","Direction=H","UseDPDF=Y")</f>
        <v>6.3634000000000004</v>
      </c>
      <c r="O34" s="14">
        <f>_xll.BDH("AMGN US Equity","HIGH_EV_TO_T12M_SALES","FQ3 2022","FQ3 2022","Currency=USD","Period=FQ","BEST_FPERIOD_OVERRIDE=FQ","FILING_STATUS=MR","FA_ADJUSTED=GAAP","Sort=A","Dates=H","DateFormat=P","Fill=—","Direction=H","UseDPDF=Y")</f>
        <v>6.2446000000000002</v>
      </c>
      <c r="P34" s="14">
        <f>_xll.BDH("AMGN US Equity","HIGH_EV_TO_T12M_SALES","FQ4 2022","FQ4 2022","Currency=USD","Period=FQ","BEST_FPERIOD_OVERRIDE=FQ","FILING_STATUS=MR","FA_ADJUSTED=GAAP","Sort=A","Dates=H","DateFormat=P","Fill=—","Direction=H","UseDPDF=Y")</f>
        <v>6.9592999999999998</v>
      </c>
      <c r="Q34" s="14">
        <f>_xll.BDH("AMGN US Equity","HIGH_EV_TO_T12M_SALES","FQ1 2023","FQ1 2023","Currency=USD","Period=FQ","BEST_FPERIOD_OVERRIDE=FQ","FILING_STATUS=MR","FA_ADJUSTED=GAAP","Sort=A","Dates=H","DateFormat=P","Fill=—","Direction=H","UseDPDF=Y")</f>
        <v>6.7308000000000003</v>
      </c>
      <c r="R34" s="14">
        <f>_xll.BDH("AMGN US Equity","HIGH_EV_TO_T12M_SALES","FQ2 2023","FQ2 2023","Currency=USD","Period=FQ","BEST_FPERIOD_OVERRIDE=FQ","FILING_STATUS=MR","FA_ADJUSTED=GAAP","Sort=A","Dates=H","DateFormat=P","Fill=—","Direction=H","UseDPDF=Y")</f>
        <v>6.3125999999999998</v>
      </c>
      <c r="S34" s="14">
        <f>_xll.BDH("AMGN US Equity","HIGH_EV_TO_T12M_SALES","FQ3 2023","FQ3 2023","Currency=USD","Period=FQ","BEST_FPERIOD_OVERRIDE=FQ","FILING_STATUS=MR","FA_ADJUSTED=GAAP","Sort=A","Dates=H","DateFormat=P","Fill=—","Direction=H","UseDPDF=Y")</f>
        <v>6.4893999999999998</v>
      </c>
      <c r="T34" s="14">
        <f>_xll.BDH("AMGN US Equity","HIGH_EV_TO_T12M_SALES","FQ4 2023","FQ4 2023","Currency=USD","Period=FQ","BEST_FPERIOD_OVERRIDE=FQ","FILING_STATUS=MR","FA_ADJUSTED=GAAP","Sort=A","Dates=H","DateFormat=P","Fill=—","Direction=H","UseDPDF=Y")</f>
        <v>7.4005000000000001</v>
      </c>
      <c r="U34" s="14">
        <f>_xll.BDH("AMGN US Equity","HIGH_EV_TO_T12M_SALES","FQ1 2024","FQ1 2024","Currency=USD","Period=FQ","BEST_FPERIOD_OVERRIDE=FQ","FILING_STATUS=MR","FA_ADJUSTED=GAAP","Sort=A","Dates=H","DateFormat=P","Fill=—","Direction=H","UseDPDF=Y")</f>
        <v>8.0942000000000007</v>
      </c>
      <c r="V34" s="14">
        <f>_xll.BDH("AMGN US Equity","HIGH_EV_TO_T12M_SALES","FQ2 2024","FQ2 2024","Currency=USD","Period=FQ","BEST_FPERIOD_OVERRIDE=FQ","FILING_STATUS=MR","FA_ADJUSTED=GAAP","Sort=A","Dates=H","DateFormat=P","Fill=—","Direction=H","UseDPDF=Y")</f>
        <v>7.6391999999999998</v>
      </c>
      <c r="W34" s="14">
        <f>_xll.BDH("AMGN US Equity","HIGH_EV_TO_T12M_SALES","FQ3 2024","FQ3 2024","Currency=USD","Period=FQ","BEST_FPERIOD_OVERRIDE=FQ","FILING_STATUS=MR","FA_ADJUSTED=GAAP","Sort=A","Dates=H","DateFormat=P","Fill=—","Direction=H","UseDPDF=Y")</f>
        <v>7.5848000000000004</v>
      </c>
      <c r="X34" s="14">
        <f>_xll.BDH("AMGN US Equity","HIGH_EV_TO_T12M_SALES","FQ4 2024","FQ4 2024","Currency=USD","Period=FQ","BEST_FPERIOD_OVERRIDE=FQ","FILING_STATUS=MR","FA_ADJUSTED=GAAP","Sort=A","Dates=H","DateFormat=P","Fill=—","Direction=H","UseDPDF=Y")</f>
        <v>7.0025000000000004</v>
      </c>
      <c r="Y34" s="17"/>
      <c r="Z34" s="14"/>
      <c r="AA34" s="14"/>
    </row>
    <row r="35" spans="1:27" x14ac:dyDescent="0.25">
      <c r="A35" s="10" t="s">
        <v>213</v>
      </c>
      <c r="B35" s="10" t="s">
        <v>237</v>
      </c>
      <c r="C35" s="14">
        <f>_xll.BDH("AMGN US Equity","LOW_EV_TO_T12M_SALES","FQ3 2019","FQ3 2019","Currency=USD","Period=FQ","BEST_FPERIOD_OVERRIDE=FQ","FILING_STATUS=MR","FA_ADJUSTED=GAAP","Sort=A","Dates=H","DateFormat=P","Fill=—","Direction=H","UseDPDF=Y")</f>
        <v>4.9039999999999999</v>
      </c>
      <c r="D35" s="14">
        <f>_xll.BDH("AMGN US Equity","LOW_EV_TO_T12M_SALES","FQ4 2019","FQ4 2019","Currency=USD","Period=FQ","BEST_FPERIOD_OVERRIDE=FQ","FILING_STATUS=MR","FA_ADJUSTED=GAAP","Sort=A","Dates=H","DateFormat=P","Fill=—","Direction=H","UseDPDF=Y")</f>
        <v>5.2530000000000001</v>
      </c>
      <c r="E35" s="14">
        <f>_xll.BDH("AMGN US Equity","LOW_EV_TO_T12M_SALES","FQ1 2020","FQ1 2020","Currency=USD","Period=FQ","BEST_FPERIOD_OVERRIDE=FQ","FILING_STATUS=MR","FA_ADJUSTED=GAAP","Sort=A","Dates=H","DateFormat=P","Fill=—","Direction=H","UseDPDF=Y")</f>
        <v>5.5221</v>
      </c>
      <c r="F35" s="14">
        <f>_xll.BDH("AMGN US Equity","LOW_EV_TO_T12M_SALES","FQ2 2020","FQ2 2020","Currency=USD","Period=FQ","BEST_FPERIOD_OVERRIDE=FQ","FILING_STATUS=MR","FA_ADJUSTED=GAAP","Sort=A","Dates=H","DateFormat=P","Fill=—","Direction=H","UseDPDF=Y")</f>
        <v>5.8627000000000002</v>
      </c>
      <c r="G35" s="14">
        <f>_xll.BDH("AMGN US Equity","LOW_EV_TO_T12M_SALES","FQ3 2020","FQ3 2020","Currency=USD","Period=FQ","BEST_FPERIOD_OVERRIDE=FQ","FILING_STATUS=MR","FA_ADJUSTED=GAAP","Sort=A","Dates=H","DateFormat=P","Fill=—","Direction=H","UseDPDF=Y")</f>
        <v>6.5937999999999999</v>
      </c>
      <c r="H35" s="14">
        <f>_xll.BDH("AMGN US Equity","LOW_EV_TO_T12M_SALES","FQ4 2020","FQ4 2020","Currency=USD","Period=FQ","BEST_FPERIOD_OVERRIDE=FQ","FILING_STATUS=MR","FA_ADJUSTED=GAAP","Sort=A","Dates=H","DateFormat=P","Fill=—","Direction=H","UseDPDF=Y")</f>
        <v>5.9320000000000004</v>
      </c>
      <c r="I35" s="14">
        <f>_xll.BDH("AMGN US Equity","LOW_EV_TO_T12M_SALES","FQ1 2021","FQ1 2021","Currency=USD","Period=FQ","BEST_FPERIOD_OVERRIDE=FQ","FILING_STATUS=MR","FA_ADJUSTED=GAAP","Sort=A","Dates=H","DateFormat=P","Fill=—","Direction=H","UseDPDF=Y")</f>
        <v>5.9379</v>
      </c>
      <c r="J35" s="14">
        <f>_xll.BDH("AMGN US Equity","LOW_EV_TO_T12M_SALES","FQ2 2021","FQ2 2021","Currency=USD","Period=FQ","BEST_FPERIOD_OVERRIDE=FQ","FILING_STATUS=MR","FA_ADJUSTED=GAAP","Sort=A","Dates=H","DateFormat=P","Fill=—","Direction=H","UseDPDF=Y")</f>
        <v>6.2122000000000002</v>
      </c>
      <c r="K35" s="14">
        <f>_xll.BDH("AMGN US Equity","LOW_EV_TO_T12M_SALES","FQ3 2021","FQ3 2021","Currency=USD","Period=FQ","BEST_FPERIOD_OVERRIDE=FQ","FILING_STATUS=MR","FA_ADJUSTED=GAAP","Sort=A","Dates=H","DateFormat=P","Fill=—","Direction=H","UseDPDF=Y")</f>
        <v>5.6433</v>
      </c>
      <c r="L35" s="14">
        <f>_xll.BDH("AMGN US Equity","LOW_EV_TO_T12M_SALES","FQ4 2021","FQ4 2021","Currency=USD","Period=FQ","BEST_FPERIOD_OVERRIDE=FQ","FILING_STATUS=MR","FA_ADJUSTED=GAAP","Sort=A","Dates=H","DateFormat=P","Fill=—","Direction=H","UseDPDF=Y")</f>
        <v>5.3045</v>
      </c>
      <c r="M35" s="14">
        <f>_xll.BDH("AMGN US Equity","LOW_EV_TO_T12M_SALES","FQ1 2022","FQ1 2022","Currency=USD","Period=FQ","BEST_FPERIOD_OVERRIDE=FQ","FILING_STATUS=MR","FA_ADJUSTED=GAAP","Sort=A","Dates=H","DateFormat=P","Fill=—","Direction=H","UseDPDF=Y")</f>
        <v>5.7000999999999999</v>
      </c>
      <c r="N35" s="14">
        <f>_xll.BDH("AMGN US Equity","LOW_EV_TO_T12M_SALES","FQ2 2022","FQ2 2022","Currency=USD","Period=FQ","BEST_FPERIOD_OVERRIDE=FQ","FILING_STATUS=MR","FA_ADJUSTED=GAAP","Sort=A","Dates=H","DateFormat=P","Fill=—","Direction=H","UseDPDF=Y")</f>
        <v>5.8350999999999997</v>
      </c>
      <c r="O35" s="14">
        <f>_xll.BDH("AMGN US Equity","LOW_EV_TO_T12M_SALES","FQ3 2022","FQ3 2022","Currency=USD","Period=FQ","BEST_FPERIOD_OVERRIDE=FQ","FILING_STATUS=MR","FA_ADJUSTED=GAAP","Sort=A","Dates=H","DateFormat=P","Fill=—","Direction=H","UseDPDF=Y")</f>
        <v>5.6132999999999997</v>
      </c>
      <c r="P35" s="14">
        <f>_xll.BDH("AMGN US Equity","LOW_EV_TO_T12M_SALES","FQ4 2022","FQ4 2022","Currency=USD","Period=FQ","BEST_FPERIOD_OVERRIDE=FQ","FILING_STATUS=MR","FA_ADJUSTED=GAAP","Sort=A","Dates=H","DateFormat=P","Fill=—","Direction=H","UseDPDF=Y")</f>
        <v>5.6871</v>
      </c>
      <c r="Q35" s="14">
        <f>_xll.BDH("AMGN US Equity","LOW_EV_TO_T12M_SALES","FQ1 2023","FQ1 2023","Currency=USD","Period=FQ","BEST_FPERIOD_OVERRIDE=FQ","FILING_STATUS=MR","FA_ADJUSTED=GAAP","Sort=A","Dates=H","DateFormat=P","Fill=—","Direction=H","UseDPDF=Y")</f>
        <v>5.7327000000000004</v>
      </c>
      <c r="R35" s="14">
        <f>_xll.BDH("AMGN US Equity","LOW_EV_TO_T12M_SALES","FQ2 2023","FQ2 2023","Currency=USD","Period=FQ","BEST_FPERIOD_OVERRIDE=FQ","FILING_STATUS=MR","FA_ADJUSTED=GAAP","Sort=A","Dates=H","DateFormat=P","Fill=—","Direction=H","UseDPDF=Y")</f>
        <v>5.4897</v>
      </c>
      <c r="S35" s="14">
        <f>_xll.BDH("AMGN US Equity","LOW_EV_TO_T12M_SALES","FQ3 2023","FQ3 2023","Currency=USD","Period=FQ","BEST_FPERIOD_OVERRIDE=FQ","FILING_STATUS=MR","FA_ADJUSTED=GAAP","Sort=A","Dates=H","DateFormat=P","Fill=—","Direction=H","UseDPDF=Y")</f>
        <v>5.4219999999999997</v>
      </c>
      <c r="T35" s="14">
        <f>_xll.BDH("AMGN US Equity","LOW_EV_TO_T12M_SALES","FQ4 2023","FQ4 2023","Currency=USD","Period=FQ","BEST_FPERIOD_OVERRIDE=FQ","FILING_STATUS=MR","FA_ADJUSTED=GAAP","Sort=A","Dates=H","DateFormat=P","Fill=—","Direction=H","UseDPDF=Y")</f>
        <v>6.0587</v>
      </c>
      <c r="U35" s="14">
        <f>_xll.BDH("AMGN US Equity","LOW_EV_TO_T12M_SALES","FQ1 2024","FQ1 2024","Currency=USD","Period=FQ","BEST_FPERIOD_OVERRIDE=FQ","FILING_STATUS=MR","FA_ADJUSTED=GAAP","Sort=A","Dates=H","DateFormat=P","Fill=—","Direction=H","UseDPDF=Y")</f>
        <v>6.9987000000000004</v>
      </c>
      <c r="V35" s="14">
        <f>_xll.BDH("AMGN US Equity","LOW_EV_TO_T12M_SALES","FQ2 2024","FQ2 2024","Currency=USD","Period=FQ","BEST_FPERIOD_OVERRIDE=FQ","FILING_STATUS=MR","FA_ADJUSTED=GAAP","Sort=A","Dates=H","DateFormat=P","Fill=—","Direction=H","UseDPDF=Y")</f>
        <v>6.6113</v>
      </c>
      <c r="W35" s="14">
        <f>_xll.BDH("AMGN US Equity","LOW_EV_TO_T12M_SALES","FQ3 2024","FQ3 2024","Currency=USD","Period=FQ","BEST_FPERIOD_OVERRIDE=FQ","FILING_STATUS=MR","FA_ADJUSTED=GAAP","Sort=A","Dates=H","DateFormat=P","Fill=—","Direction=H","UseDPDF=Y")</f>
        <v>6.9010999999999996</v>
      </c>
      <c r="X35" s="14">
        <f>_xll.BDH("AMGN US Equity","LOW_EV_TO_T12M_SALES","FQ4 2024","FQ4 2024","Currency=USD","Period=FQ","BEST_FPERIOD_OVERRIDE=FQ","FILING_STATUS=MR","FA_ADJUSTED=GAAP","Sort=A","Dates=H","DateFormat=P","Fill=—","Direction=H","UseDPDF=Y")</f>
        <v>5.6548999999999996</v>
      </c>
      <c r="Y35" s="17"/>
      <c r="Z35" s="14"/>
      <c r="AA35" s="14"/>
    </row>
    <row r="36" spans="1:27" x14ac:dyDescent="0.25">
      <c r="A36" s="6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21"/>
      <c r="Z36" s="18"/>
      <c r="AA36" s="18"/>
    </row>
    <row r="37" spans="1:27" x14ac:dyDescent="0.25">
      <c r="A37" s="6" t="s">
        <v>180</v>
      </c>
      <c r="B37" s="6" t="s">
        <v>181</v>
      </c>
      <c r="C37" s="20">
        <f>_xll.BDH("AMGN US Equity","EV_TO_T12M_EBITDA","FQ3 2019","FQ3 2019","Currency=USD","Period=FQ","BEST_FPERIOD_OVERRIDE=FQ","FILING_STATUS=MR","FA_ADJUSTED=GAAP","Sort=A","Dates=H","DateFormat=P","Fill=—","Direction=H","UseDPDF=Y")</f>
        <v>10.256500000000001</v>
      </c>
      <c r="D37" s="20">
        <f>_xll.BDH("AMGN US Equity","EV_TO_T12M_EBITDA","FQ4 2019","FQ4 2019","Currency=USD","Period=FQ","BEST_FPERIOD_OVERRIDE=FQ","FILING_STATUS=MR","FA_ADJUSTED=GAAP","Sort=A","Dates=H","DateFormat=P","Fill=—","Direction=H","UseDPDF=Y")</f>
        <v>13.616199999999999</v>
      </c>
      <c r="E37" s="20">
        <f>_xll.BDH("AMGN US Equity","EV_TO_T12M_EBITDA","FQ1 2020","FQ1 2020","Currency=USD","Period=FQ","BEST_FPERIOD_OVERRIDE=FQ","FILING_STATUS=MR","FA_ADJUSTED=GAAP","Sort=A","Dates=H","DateFormat=P","Fill=—","Direction=H","UseDPDF=Y")</f>
        <v>11.6332</v>
      </c>
      <c r="F37" s="20">
        <f>_xll.BDH("AMGN US Equity","EV_TO_T12M_EBITDA","FQ2 2020","FQ2 2020","Currency=USD","Period=FQ","BEST_FPERIOD_OVERRIDE=FQ","FILING_STATUS=MR","FA_ADJUSTED=GAAP","Sort=A","Dates=H","DateFormat=P","Fill=—","Direction=H","UseDPDF=Y")</f>
        <v>13.0687</v>
      </c>
      <c r="G37" s="20">
        <f>_xll.BDH("AMGN US Equity","EV_TO_T12M_EBITDA","FQ3 2020","FQ3 2020","Currency=USD","Period=FQ","BEST_FPERIOD_OVERRIDE=FQ","FILING_STATUS=MR","FA_ADJUSTED=GAAP","Sort=A","Dates=H","DateFormat=P","Fill=—","Direction=H","UseDPDF=Y")</f>
        <v>13.4505</v>
      </c>
      <c r="H37" s="20">
        <f>_xll.BDH("AMGN US Equity","EV_TO_T12M_EBITDA","FQ4 2020","FQ4 2020","Currency=USD","Period=FQ","BEST_FPERIOD_OVERRIDE=FQ","FILING_STATUS=MR","FA_ADJUSTED=GAAP","Sort=A","Dates=H","DateFormat=P","Fill=—","Direction=H","UseDPDF=Y")</f>
        <v>12.226100000000001</v>
      </c>
      <c r="I37" s="20">
        <f>_xll.BDH("AMGN US Equity","EV_TO_T12M_EBITDA","FQ1 2021","FQ1 2021","Currency=USD","Period=FQ","BEST_FPERIOD_OVERRIDE=FQ","FILING_STATUS=MR","FA_ADJUSTED=GAAP","Sort=A","Dates=H","DateFormat=P","Fill=—","Direction=H","UseDPDF=Y")</f>
        <v>13.2653</v>
      </c>
      <c r="J37" s="20">
        <f>_xll.BDH("AMGN US Equity","EV_TO_T12M_EBITDA","FQ2 2021","FQ2 2021","Currency=USD","Period=FQ","BEST_FPERIOD_OVERRIDE=FQ","FILING_STATUS=MR","FA_ADJUSTED=GAAP","Sort=A","Dates=H","DateFormat=P","Fill=—","Direction=H","UseDPDF=Y")</f>
        <v>15.020200000000001</v>
      </c>
      <c r="K37" s="20">
        <f>_xll.BDH("AMGN US Equity","EV_TO_T12M_EBITDA","FQ3 2021","FQ3 2021","Currency=USD","Period=FQ","BEST_FPERIOD_OVERRIDE=FQ","FILING_STATUS=MR","FA_ADJUSTED=GAAP","Sort=A","Dates=H","DateFormat=P","Fill=—","Direction=H","UseDPDF=Y")</f>
        <v>13.4552</v>
      </c>
      <c r="L37" s="20">
        <f>_xll.BDH("AMGN US Equity","EV_TO_T12M_EBITDA","FQ4 2021","FQ4 2021","Currency=USD","Period=FQ","BEST_FPERIOD_OVERRIDE=FQ","FILING_STATUS=MR","FA_ADJUSTED=GAAP","Sort=A","Dates=H","DateFormat=P","Fill=—","Direction=H","UseDPDF=Y")</f>
        <v>13.235099999999999</v>
      </c>
      <c r="M37" s="20">
        <f>_xll.BDH("AMGN US Equity","EV_TO_T12M_EBITDA","FQ1 2022","FQ1 2022","Currency=USD","Period=FQ","BEST_FPERIOD_OVERRIDE=FQ","FILING_STATUS=MR","FA_ADJUSTED=GAAP","Sort=A","Dates=H","DateFormat=P","Fill=—","Direction=H","UseDPDF=Y")</f>
        <v>13.980600000000001</v>
      </c>
      <c r="N37" s="20">
        <f>_xll.BDH("AMGN US Equity","EV_TO_T12M_EBITDA","FQ2 2022","FQ2 2022","Currency=USD","Period=FQ","BEST_FPERIOD_OVERRIDE=FQ","FILING_STATUS=MR","FA_ADJUSTED=GAAP","Sort=A","Dates=H","DateFormat=P","Fill=—","Direction=H","UseDPDF=Y")</f>
        <v>12.5289</v>
      </c>
      <c r="O37" s="20">
        <f>_xll.BDH("AMGN US Equity","EV_TO_T12M_EBITDA","FQ3 2022","FQ3 2022","Currency=USD","Period=FQ","BEST_FPERIOD_OVERRIDE=FQ","FILING_STATUS=MR","FA_ADJUSTED=GAAP","Sort=A","Dates=H","DateFormat=P","Fill=—","Direction=H","UseDPDF=Y")</f>
        <v>11.3461</v>
      </c>
      <c r="P37" s="20">
        <f>_xll.BDH("AMGN US Equity","EV_TO_T12M_EBITDA","FQ4 2022","FQ4 2022","Currency=USD","Period=FQ","BEST_FPERIOD_OVERRIDE=FQ","FILING_STATUS=MR","FA_ADJUSTED=GAAP","Sort=A","Dates=H","DateFormat=P","Fill=—","Direction=H","UseDPDF=Y")</f>
        <v>13.139099999999999</v>
      </c>
      <c r="Q37" s="20">
        <f>_xll.BDH("AMGN US Equity","EV_TO_T12M_EBITDA","FQ1 2023","FQ1 2023","Currency=USD","Period=FQ","BEST_FPERIOD_OVERRIDE=FQ","FILING_STATUS=MR","FA_ADJUSTED=GAAP","Sort=A","Dates=H","DateFormat=P","Fill=—","Direction=H","UseDPDF=Y")</f>
        <v>12.773899999999999</v>
      </c>
      <c r="R37" s="20">
        <f>_xll.BDH("AMGN US Equity","EV_TO_T12M_EBITDA","FQ2 2023","FQ2 2023","Currency=USD","Period=FQ","BEST_FPERIOD_OVERRIDE=FQ","FILING_STATUS=MR","FA_ADJUSTED=GAAP","Sort=A","Dates=H","DateFormat=P","Fill=—","Direction=H","UseDPDF=Y")</f>
        <v>11.2014</v>
      </c>
      <c r="S37" s="20">
        <f>_xll.BDH("AMGN US Equity","EV_TO_T12M_EBITDA","FQ3 2023","FQ3 2023","Currency=USD","Period=FQ","BEST_FPERIOD_OVERRIDE=FQ","FILING_STATUS=MR","FA_ADJUSTED=GAAP","Sort=A","Dates=H","DateFormat=P","Fill=—","Direction=H","UseDPDF=Y")</f>
        <v>13.609</v>
      </c>
      <c r="T37" s="20">
        <f>_xll.BDH("AMGN US Equity","EV_TO_T12M_EBITDA","FQ4 2023","FQ4 2023","Currency=USD","Period=FQ","BEST_FPERIOD_OVERRIDE=FQ","FILING_STATUS=MR","FA_ADJUSTED=GAAP","Sort=A","Dates=H","DateFormat=P","Fill=—","Direction=H","UseDPDF=Y")</f>
        <v>17.436900000000001</v>
      </c>
      <c r="U37" s="20">
        <f>_xll.BDH("AMGN US Equity","EV_TO_T12M_EBITDA","FQ1 2024","FQ1 2024","Currency=USD","Period=FQ","BEST_FPERIOD_OVERRIDE=FQ","FILING_STATUS=MR","FA_ADJUSTED=GAAP","Sort=A","Dates=H","DateFormat=P","Fill=—","Direction=H","UseDPDF=Y")</f>
        <v>17.9268</v>
      </c>
      <c r="V37" s="20">
        <f>_xll.BDH("AMGN US Equity","EV_TO_T12M_EBITDA","FQ2 2024","FQ2 2024","Currency=USD","Period=FQ","BEST_FPERIOD_OVERRIDE=FQ","FILING_STATUS=MR","FA_ADJUSTED=GAAP","Sort=A","Dates=H","DateFormat=P","Fill=—","Direction=H","UseDPDF=Y")</f>
        <v>19.633600000000001</v>
      </c>
      <c r="W37" s="20">
        <f>_xll.BDH("AMGN US Equity","EV_TO_T12M_EBITDA","FQ3 2024","FQ3 2024","Currency=USD","Period=FQ","BEST_FPERIOD_OVERRIDE=FQ","FILING_STATUS=MR","FA_ADJUSTED=GAAP","Sort=A","Dates=H","DateFormat=P","Fill=—","Direction=H","UseDPDF=Y")</f>
        <v>19.043099999999999</v>
      </c>
      <c r="X37" s="20">
        <f>_xll.BDH("AMGN US Equity","EV_TO_T12M_EBITDA","FQ4 2024","FQ4 2024","Currency=USD","Period=FQ","BEST_FPERIOD_OVERRIDE=FQ","FILING_STATUS=MR","FA_ADJUSTED=GAAP","Sort=A","Dates=H","DateFormat=P","Fill=—","Direction=H","UseDPDF=Y")</f>
        <v>14.696</v>
      </c>
      <c r="Y37" s="23">
        <v>16.408288734727201</v>
      </c>
      <c r="Z37" s="20">
        <v>11.1423192605937</v>
      </c>
      <c r="AA37" s="20">
        <v>10.879869570657601</v>
      </c>
    </row>
    <row r="38" spans="1:27" x14ac:dyDescent="0.25">
      <c r="A38" s="10" t="s">
        <v>209</v>
      </c>
      <c r="B38" s="10" t="s">
        <v>238</v>
      </c>
      <c r="C38" s="14">
        <f>_xll.BDH("AMGN US Equity","AVG_EV_TO_T12M_EBITDA","FQ3 2019","FQ3 2019","Currency=USD","Period=FQ","BEST_FPERIOD_OVERRIDE=FQ","FILING_STATUS=MR","FA_ADJUSTED=GAAP","Sort=A","Dates=H","DateFormat=P","Fill=—","Direction=H","UseDPDF=Y")</f>
        <v>10.4131</v>
      </c>
      <c r="D38" s="14">
        <f>_xll.BDH("AMGN US Equity","AVG_EV_TO_T12M_EBITDA","FQ4 2019","FQ4 2019","Currency=USD","Period=FQ","BEST_FPERIOD_OVERRIDE=FQ","FILING_STATUS=MR","FA_ADJUSTED=GAAP","Sort=A","Dates=H","DateFormat=P","Fill=—","Direction=H","UseDPDF=Y")</f>
        <v>11.586499999999999</v>
      </c>
      <c r="E38" s="14">
        <f>_xll.BDH("AMGN US Equity","AVG_EV_TO_T12M_EBITDA","FQ1 2020","FQ1 2020","Currency=USD","Period=FQ","BEST_FPERIOD_OVERRIDE=FQ","FILING_STATUS=MR","FA_ADJUSTED=GAAP","Sort=A","Dates=H","DateFormat=P","Fill=—","Direction=H","UseDPDF=Y")</f>
        <v>12.505800000000001</v>
      </c>
      <c r="F38" s="14">
        <f>_xll.BDH("AMGN US Equity","AVG_EV_TO_T12M_EBITDA","FQ2 2020","FQ2 2020","Currency=USD","Period=FQ","BEST_FPERIOD_OVERRIDE=FQ","FILING_STATUS=MR","FA_ADJUSTED=GAAP","Sort=A","Dates=H","DateFormat=P","Fill=—","Direction=H","UseDPDF=Y")</f>
        <v>12.851000000000001</v>
      </c>
      <c r="G38" s="14">
        <f>_xll.BDH("AMGN US Equity","AVG_EV_TO_T12M_EBITDA","FQ3 2020","FQ3 2020","Currency=USD","Period=FQ","BEST_FPERIOD_OVERRIDE=FQ","FILING_STATUS=MR","FA_ADJUSTED=GAAP","Sort=A","Dates=H","DateFormat=P","Fill=—","Direction=H","UseDPDF=Y")</f>
        <v>13.627700000000001</v>
      </c>
      <c r="H38" s="14">
        <f>_xll.BDH("AMGN US Equity","AVG_EV_TO_T12M_EBITDA","FQ4 2020","FQ4 2020","Currency=USD","Period=FQ","BEST_FPERIOD_OVERRIDE=FQ","FILING_STATUS=MR","FA_ADJUSTED=GAAP","Sort=A","Dates=H","DateFormat=P","Fill=—","Direction=H","UseDPDF=Y")</f>
        <v>12.358499999999999</v>
      </c>
      <c r="I38" s="14">
        <f>_xll.BDH("AMGN US Equity","AVG_EV_TO_T12M_EBITDA","FQ1 2021","FQ1 2021","Currency=USD","Period=FQ","BEST_FPERIOD_OVERRIDE=FQ","FILING_STATUS=MR","FA_ADJUSTED=GAAP","Sort=A","Dates=H","DateFormat=P","Fill=—","Direction=H","UseDPDF=Y")</f>
        <v>12.641500000000001</v>
      </c>
      <c r="J38" s="14">
        <f>_xll.BDH("AMGN US Equity","AVG_EV_TO_T12M_EBITDA","FQ2 2021","FQ2 2021","Currency=USD","Period=FQ","BEST_FPERIOD_OVERRIDE=FQ","FILING_STATUS=MR","FA_ADJUSTED=GAAP","Sort=A","Dates=H","DateFormat=P","Fill=—","Direction=H","UseDPDF=Y")</f>
        <v>13.163</v>
      </c>
      <c r="K38" s="14">
        <f>_xll.BDH("AMGN US Equity","AVG_EV_TO_T12M_EBITDA","FQ3 2021","FQ3 2021","Currency=USD","Period=FQ","BEST_FPERIOD_OVERRIDE=FQ","FILING_STATUS=MR","FA_ADJUSTED=GAAP","Sort=A","Dates=H","DateFormat=P","Fill=—","Direction=H","UseDPDF=Y")</f>
        <v>14.3292</v>
      </c>
      <c r="L38" s="14">
        <f>_xll.BDH("AMGN US Equity","AVG_EV_TO_T12M_EBITDA","FQ4 2021","FQ4 2021","Currency=USD","Period=FQ","BEST_FPERIOD_OVERRIDE=FQ","FILING_STATUS=MR","FA_ADJUSTED=GAAP","Sort=A","Dates=H","DateFormat=P","Fill=—","Direction=H","UseDPDF=Y")</f>
        <v>13.3658</v>
      </c>
      <c r="M38" s="14">
        <f>_xll.BDH("AMGN US Equity","AVG_EV_TO_T12M_EBITDA","FQ1 2022","FQ1 2022","Currency=USD","Period=FQ","BEST_FPERIOD_OVERRIDE=FQ","FILING_STATUS=MR","FA_ADJUSTED=GAAP","Sort=A","Dates=H","DateFormat=P","Fill=—","Direction=H","UseDPDF=Y")</f>
        <v>13.998799999999999</v>
      </c>
      <c r="N38" s="14">
        <f>_xll.BDH("AMGN US Equity","AVG_EV_TO_T12M_EBITDA","FQ2 2022","FQ2 2022","Currency=USD","Period=FQ","BEST_FPERIOD_OVERRIDE=FQ","FILING_STATUS=MR","FA_ADJUSTED=GAAP","Sort=A","Dates=H","DateFormat=P","Fill=—","Direction=H","UseDPDF=Y")</f>
        <v>14.1286</v>
      </c>
      <c r="O38" s="14">
        <f>_xll.BDH("AMGN US Equity","AVG_EV_TO_T12M_EBITDA","FQ3 2022","FQ3 2022","Currency=USD","Period=FQ","BEST_FPERIOD_OVERRIDE=FQ","FILING_STATUS=MR","FA_ADJUSTED=GAAP","Sort=A","Dates=H","DateFormat=P","Fill=—","Direction=H","UseDPDF=Y")</f>
        <v>12.479799999999999</v>
      </c>
      <c r="P38" s="14">
        <f>_xll.BDH("AMGN US Equity","AVG_EV_TO_T12M_EBITDA","FQ4 2022","FQ4 2022","Currency=USD","Period=FQ","BEST_FPERIOD_OVERRIDE=FQ","FILING_STATUS=MR","FA_ADJUSTED=GAAP","Sort=A","Dates=H","DateFormat=P","Fill=—","Direction=H","UseDPDF=Y")</f>
        <v>13.1128</v>
      </c>
      <c r="Q38" s="14">
        <f>_xll.BDH("AMGN US Equity","AVG_EV_TO_T12M_EBITDA","FQ1 2023","FQ1 2023","Currency=USD","Period=FQ","BEST_FPERIOD_OVERRIDE=FQ","FILING_STATUS=MR","FA_ADJUSTED=GAAP","Sort=A","Dates=H","DateFormat=P","Fill=—","Direction=H","UseDPDF=Y")</f>
        <v>12.437799999999999</v>
      </c>
      <c r="R38" s="14">
        <f>_xll.BDH("AMGN US Equity","AVG_EV_TO_T12M_EBITDA","FQ2 2023","FQ2 2023","Currency=USD","Period=FQ","BEST_FPERIOD_OVERRIDE=FQ","FILING_STATUS=MR","FA_ADJUSTED=GAAP","Sort=A","Dates=H","DateFormat=P","Fill=—","Direction=H","UseDPDF=Y")</f>
        <v>12.3452</v>
      </c>
      <c r="S38" s="14">
        <f>_xll.BDH("AMGN US Equity","AVG_EV_TO_T12M_EBITDA","FQ3 2023","FQ3 2023","Currency=USD","Period=FQ","BEST_FPERIOD_OVERRIDE=FQ","FILING_STATUS=MR","FA_ADJUSTED=GAAP","Sort=A","Dates=H","DateFormat=P","Fill=—","Direction=H","UseDPDF=Y")</f>
        <v>12.335100000000001</v>
      </c>
      <c r="T38" s="14">
        <f>_xll.BDH("AMGN US Equity","AVG_EV_TO_T12M_EBITDA","FQ4 2023","FQ4 2023","Currency=USD","Period=FQ","BEST_FPERIOD_OVERRIDE=FQ","FILING_STATUS=MR","FA_ADJUSTED=GAAP","Sort=A","Dates=H","DateFormat=P","Fill=—","Direction=H","UseDPDF=Y")</f>
        <v>13.8155</v>
      </c>
      <c r="U38" s="14">
        <f>_xll.BDH("AMGN US Equity","AVG_EV_TO_T12M_EBITDA","FQ1 2024","FQ1 2024","Currency=USD","Period=FQ","BEST_FPERIOD_OVERRIDE=FQ","FILING_STATUS=MR","FA_ADJUSTED=GAAP","Sort=A","Dates=H","DateFormat=P","Fill=—","Direction=H","UseDPDF=Y")</f>
        <v>17.6555</v>
      </c>
      <c r="V38" s="14">
        <f>_xll.BDH("AMGN US Equity","AVG_EV_TO_T12M_EBITDA","FQ2 2024","FQ2 2024","Currency=USD","Period=FQ","BEST_FPERIOD_OVERRIDE=FQ","FILING_STATUS=MR","FA_ADJUSTED=GAAP","Sort=A","Dates=H","DateFormat=P","Fill=—","Direction=H","UseDPDF=Y")</f>
        <v>18.370699999999999</v>
      </c>
      <c r="W38" s="14">
        <f>_xll.BDH("AMGN US Equity","AVG_EV_TO_T12M_EBITDA","FQ3 2024","FQ3 2024","Currency=USD","Period=FQ","BEST_FPERIOD_OVERRIDE=FQ","FILING_STATUS=MR","FA_ADJUSTED=GAAP","Sort=A","Dates=H","DateFormat=P","Fill=—","Direction=H","UseDPDF=Y")</f>
        <v>20.309100000000001</v>
      </c>
      <c r="X38" s="14">
        <f>_xll.BDH("AMGN US Equity","AVG_EV_TO_T12M_EBITDA","FQ4 2024","FQ4 2024","Currency=USD","Period=FQ","BEST_FPERIOD_OVERRIDE=FQ","FILING_STATUS=MR","FA_ADJUSTED=GAAP","Sort=A","Dates=H","DateFormat=P","Fill=—","Direction=H","UseDPDF=Y")</f>
        <v>17.8551</v>
      </c>
      <c r="Y38" s="17"/>
      <c r="Z38" s="14"/>
      <c r="AA38" s="14"/>
    </row>
    <row r="39" spans="1:27" x14ac:dyDescent="0.25">
      <c r="A39" s="10" t="s">
        <v>211</v>
      </c>
      <c r="B39" s="10" t="s">
        <v>239</v>
      </c>
      <c r="C39" s="14">
        <f>_xll.BDH("AMGN US Equity","HIGH_EV_TO_T12M_EBITDA","FQ3 2019","FQ3 2019","Currency=USD","Period=FQ","BEST_FPERIOD_OVERRIDE=FQ","FILING_STATUS=MR","FA_ADJUSTED=GAAP","Sort=A","Dates=H","DateFormat=P","Fill=—","Direction=H","UseDPDF=Y")</f>
        <v>11.1996</v>
      </c>
      <c r="D39" s="14">
        <f>_xll.BDH("AMGN US Equity","HIGH_EV_TO_T12M_EBITDA","FQ4 2019","FQ4 2019","Currency=USD","Period=FQ","BEST_FPERIOD_OVERRIDE=FQ","FILING_STATUS=MR","FA_ADJUSTED=GAAP","Sort=A","Dates=H","DateFormat=P","Fill=—","Direction=H","UseDPDF=Y")</f>
        <v>13.671900000000001</v>
      </c>
      <c r="E39" s="14">
        <f>_xll.BDH("AMGN US Equity","HIGH_EV_TO_T12M_EBITDA","FQ1 2020","FQ1 2020","Currency=USD","Period=FQ","BEST_FPERIOD_OVERRIDE=FQ","FILING_STATUS=MR","FA_ADJUSTED=GAAP","Sort=A","Dates=H","DateFormat=P","Fill=—","Direction=H","UseDPDF=Y")</f>
        <v>13.7029</v>
      </c>
      <c r="F39" s="14">
        <f>_xll.BDH("AMGN US Equity","HIGH_EV_TO_T12M_EBITDA","FQ2 2020","FQ2 2020","Currency=USD","Period=FQ","BEST_FPERIOD_OVERRIDE=FQ","FILING_STATUS=MR","FA_ADJUSTED=GAAP","Sort=A","Dates=H","DateFormat=P","Fill=—","Direction=H","UseDPDF=Y")</f>
        <v>13.551299999999999</v>
      </c>
      <c r="G39" s="14">
        <f>_xll.BDH("AMGN US Equity","HIGH_EV_TO_T12M_EBITDA","FQ3 2020","FQ3 2020","Currency=USD","Period=FQ","BEST_FPERIOD_OVERRIDE=FQ","FILING_STATUS=MR","FA_ADJUSTED=GAAP","Sort=A","Dates=H","DateFormat=P","Fill=—","Direction=H","UseDPDF=Y")</f>
        <v>14.301299999999999</v>
      </c>
      <c r="H39" s="14">
        <f>_xll.BDH("AMGN US Equity","HIGH_EV_TO_T12M_EBITDA","FQ4 2020","FQ4 2020","Currency=USD","Period=FQ","BEST_FPERIOD_OVERRIDE=FQ","FILING_STATUS=MR","FA_ADJUSTED=GAAP","Sort=A","Dates=H","DateFormat=P","Fill=—","Direction=H","UseDPDF=Y")</f>
        <v>13.657</v>
      </c>
      <c r="I39" s="14">
        <f>_xll.BDH("AMGN US Equity","HIGH_EV_TO_T12M_EBITDA","FQ1 2021","FQ1 2021","Currency=USD","Period=FQ","BEST_FPERIOD_OVERRIDE=FQ","FILING_STATUS=MR","FA_ADJUSTED=GAAP","Sort=A","Dates=H","DateFormat=P","Fill=—","Direction=H","UseDPDF=Y")</f>
        <v>13.6065</v>
      </c>
      <c r="J39" s="14">
        <f>_xll.BDH("AMGN US Equity","HIGH_EV_TO_T12M_EBITDA","FQ2 2021","FQ2 2021","Currency=USD","Period=FQ","BEST_FPERIOD_OVERRIDE=FQ","FILING_STATUS=MR","FA_ADJUSTED=GAAP","Sort=A","Dates=H","DateFormat=P","Fill=—","Direction=H","UseDPDF=Y")</f>
        <v>15.1311</v>
      </c>
      <c r="K39" s="14">
        <f>_xll.BDH("AMGN US Equity","HIGH_EV_TO_T12M_EBITDA","FQ3 2021","FQ3 2021","Currency=USD","Period=FQ","BEST_FPERIOD_OVERRIDE=FQ","FILING_STATUS=MR","FA_ADJUSTED=GAAP","Sort=A","Dates=H","DateFormat=P","Fill=—","Direction=H","UseDPDF=Y")</f>
        <v>15.392300000000001</v>
      </c>
      <c r="L39" s="14">
        <f>_xll.BDH("AMGN US Equity","HIGH_EV_TO_T12M_EBITDA","FQ4 2021","FQ4 2021","Currency=USD","Period=FQ","BEST_FPERIOD_OVERRIDE=FQ","FILING_STATUS=MR","FA_ADJUSTED=GAAP","Sort=A","Dates=H","DateFormat=P","Fill=—","Direction=H","UseDPDF=Y")</f>
        <v>14.2034</v>
      </c>
      <c r="M39" s="14">
        <f>_xll.BDH("AMGN US Equity","HIGH_EV_TO_T12M_EBITDA","FQ1 2022","FQ1 2022","Currency=USD","Period=FQ","BEST_FPERIOD_OVERRIDE=FQ","FILING_STATUS=MR","FA_ADJUSTED=GAAP","Sort=A","Dates=H","DateFormat=P","Fill=—","Direction=H","UseDPDF=Y")</f>
        <v>14.5928</v>
      </c>
      <c r="N39" s="14">
        <f>_xll.BDH("AMGN US Equity","HIGH_EV_TO_T12M_EBITDA","FQ2 2022","FQ2 2022","Currency=USD","Period=FQ","BEST_FPERIOD_OVERRIDE=FQ","FILING_STATUS=MR","FA_ADJUSTED=GAAP","Sort=A","Dates=H","DateFormat=P","Fill=—","Direction=H","UseDPDF=Y")</f>
        <v>14.6792</v>
      </c>
      <c r="O39" s="14">
        <f>_xll.BDH("AMGN US Equity","HIGH_EV_TO_T12M_EBITDA","FQ3 2022","FQ3 2022","Currency=USD","Period=FQ","BEST_FPERIOD_OVERRIDE=FQ","FILING_STATUS=MR","FA_ADJUSTED=GAAP","Sort=A","Dates=H","DateFormat=P","Fill=—","Direction=H","UseDPDF=Y")</f>
        <v>12.9434</v>
      </c>
      <c r="P39" s="14">
        <f>_xll.BDH("AMGN US Equity","HIGH_EV_TO_T12M_EBITDA","FQ4 2022","FQ4 2022","Currency=USD","Period=FQ","BEST_FPERIOD_OVERRIDE=FQ","FILING_STATUS=MR","FA_ADJUSTED=GAAP","Sort=A","Dates=H","DateFormat=P","Fill=—","Direction=H","UseDPDF=Y")</f>
        <v>14.0975</v>
      </c>
      <c r="Q39" s="14">
        <f>_xll.BDH("AMGN US Equity","HIGH_EV_TO_T12M_EBITDA","FQ1 2023","FQ1 2023","Currency=USD","Period=FQ","BEST_FPERIOD_OVERRIDE=FQ","FILING_STATUS=MR","FA_ADJUSTED=GAAP","Sort=A","Dates=H","DateFormat=P","Fill=—","Direction=H","UseDPDF=Y")</f>
        <v>13.646800000000001</v>
      </c>
      <c r="R39" s="14">
        <f>_xll.BDH("AMGN US Equity","HIGH_EV_TO_T12M_EBITDA","FQ2 2023","FQ2 2023","Currency=USD","Period=FQ","BEST_FPERIOD_OVERRIDE=FQ","FILING_STATUS=MR","FA_ADJUSTED=GAAP","Sort=A","Dates=H","DateFormat=P","Fill=—","Direction=H","UseDPDF=Y")</f>
        <v>13.265499999999999</v>
      </c>
      <c r="S39" s="14">
        <f>_xll.BDH("AMGN US Equity","HIGH_EV_TO_T12M_EBITDA","FQ3 2023","FQ3 2023","Currency=USD","Period=FQ","BEST_FPERIOD_OVERRIDE=FQ","FILING_STATUS=MR","FA_ADJUSTED=GAAP","Sort=A","Dates=H","DateFormat=P","Fill=—","Direction=H","UseDPDF=Y")</f>
        <v>13.604699999999999</v>
      </c>
      <c r="T39" s="14">
        <f>_xll.BDH("AMGN US Equity","HIGH_EV_TO_T12M_EBITDA","FQ4 2023","FQ4 2023","Currency=USD","Period=FQ","BEST_FPERIOD_OVERRIDE=FQ","FILING_STATUS=MR","FA_ADJUSTED=GAAP","Sort=A","Dates=H","DateFormat=P","Fill=—","Direction=H","UseDPDF=Y")</f>
        <v>17.4316</v>
      </c>
      <c r="U39" s="14">
        <f>_xll.BDH("AMGN US Equity","HIGH_EV_TO_T12M_EBITDA","FQ1 2024","FQ1 2024","Currency=USD","Period=FQ","BEST_FPERIOD_OVERRIDE=FQ","FILING_STATUS=MR","FA_ADJUSTED=GAAP","Sort=A","Dates=H","DateFormat=P","Fill=—","Direction=H","UseDPDF=Y")</f>
        <v>19.0655</v>
      </c>
      <c r="V39" s="14">
        <f>_xll.BDH("AMGN US Equity","HIGH_EV_TO_T12M_EBITDA","FQ2 2024","FQ2 2024","Currency=USD","Period=FQ","BEST_FPERIOD_OVERRIDE=FQ","FILING_STATUS=MR","FA_ADJUSTED=GAAP","Sort=A","Dates=H","DateFormat=P","Fill=—","Direction=H","UseDPDF=Y")</f>
        <v>19.612400000000001</v>
      </c>
      <c r="W39" s="14">
        <f>_xll.BDH("AMGN US Equity","HIGH_EV_TO_T12M_EBITDA","FQ3 2024","FQ3 2024","Currency=USD","Period=FQ","BEST_FPERIOD_OVERRIDE=FQ","FILING_STATUS=MR","FA_ADJUSTED=GAAP","Sort=A","Dates=H","DateFormat=P","Fill=—","Direction=H","UseDPDF=Y")</f>
        <v>20.8262</v>
      </c>
      <c r="X39" s="14">
        <f>_xll.BDH("AMGN US Equity","HIGH_EV_TO_T12M_EBITDA","FQ4 2024","FQ4 2024","Currency=USD","Period=FQ","BEST_FPERIOD_OVERRIDE=FQ","FILING_STATUS=MR","FA_ADJUSTED=GAAP","Sort=A","Dates=H","DateFormat=P","Fill=—","Direction=H","UseDPDF=Y")</f>
        <v>19.318200000000001</v>
      </c>
      <c r="Y39" s="17"/>
      <c r="Z39" s="14"/>
      <c r="AA39" s="14"/>
    </row>
    <row r="40" spans="1:27" x14ac:dyDescent="0.25">
      <c r="A40" s="10" t="s">
        <v>213</v>
      </c>
      <c r="B40" s="10" t="s">
        <v>240</v>
      </c>
      <c r="C40" s="14">
        <f>_xll.BDH("AMGN US Equity","LOW_EV_TO_T12M_EBITDA","FQ3 2019","FQ3 2019","Currency=USD","Period=FQ","BEST_FPERIOD_OVERRIDE=FQ","FILING_STATUS=MR","FA_ADJUSTED=GAAP","Sort=A","Dates=H","DateFormat=P","Fill=—","Direction=H","UseDPDF=Y")</f>
        <v>9.6242999999999999</v>
      </c>
      <c r="D40" s="14">
        <f>_xll.BDH("AMGN US Equity","LOW_EV_TO_T12M_EBITDA","FQ4 2019","FQ4 2019","Currency=USD","Period=FQ","BEST_FPERIOD_OVERRIDE=FQ","FILING_STATUS=MR","FA_ADJUSTED=GAAP","Sort=A","Dates=H","DateFormat=P","Fill=—","Direction=H","UseDPDF=Y")</f>
        <v>10.100300000000001</v>
      </c>
      <c r="E40" s="14">
        <f>_xll.BDH("AMGN US Equity","LOW_EV_TO_T12M_EBITDA","FQ1 2020","FQ1 2020","Currency=USD","Period=FQ","BEST_FPERIOD_OVERRIDE=FQ","FILING_STATUS=MR","FA_ADJUSTED=GAAP","Sort=A","Dates=H","DateFormat=P","Fill=—","Direction=H","UseDPDF=Y")</f>
        <v>10.705</v>
      </c>
      <c r="F40" s="14">
        <f>_xll.BDH("AMGN US Equity","LOW_EV_TO_T12M_EBITDA","FQ2 2020","FQ2 2020","Currency=USD","Period=FQ","BEST_FPERIOD_OVERRIDE=FQ","FILING_STATUS=MR","FA_ADJUSTED=GAAP","Sort=A","Dates=H","DateFormat=P","Fill=—","Direction=H","UseDPDF=Y")</f>
        <v>11.4269</v>
      </c>
      <c r="G40" s="14">
        <f>_xll.BDH("AMGN US Equity","LOW_EV_TO_T12M_EBITDA","FQ3 2020","FQ3 2020","Currency=USD","Period=FQ","BEST_FPERIOD_OVERRIDE=FQ","FILING_STATUS=MR","FA_ADJUSTED=GAAP","Sort=A","Dates=H","DateFormat=P","Fill=—","Direction=H","UseDPDF=Y")</f>
        <v>12.9977</v>
      </c>
      <c r="H40" s="14">
        <f>_xll.BDH("AMGN US Equity","LOW_EV_TO_T12M_EBITDA","FQ4 2020","FQ4 2020","Currency=USD","Period=FQ","BEST_FPERIOD_OVERRIDE=FQ","FILING_STATUS=MR","FA_ADJUSTED=GAAP","Sort=A","Dates=H","DateFormat=P","Fill=—","Direction=H","UseDPDF=Y")</f>
        <v>11.7117</v>
      </c>
      <c r="I40" s="14">
        <f>_xll.BDH("AMGN US Equity","LOW_EV_TO_T12M_EBITDA","FQ1 2021","FQ1 2021","Currency=USD","Period=FQ","BEST_FPERIOD_OVERRIDE=FQ","FILING_STATUS=MR","FA_ADJUSTED=GAAP","Sort=A","Dates=H","DateFormat=P","Fill=—","Direction=H","UseDPDF=Y")</f>
        <v>11.8497</v>
      </c>
      <c r="J40" s="14">
        <f>_xll.BDH("AMGN US Equity","LOW_EV_TO_T12M_EBITDA","FQ2 2021","FQ2 2021","Currency=USD","Period=FQ","BEST_FPERIOD_OVERRIDE=FQ","FILING_STATUS=MR","FA_ADJUSTED=GAAP","Sort=A","Dates=H","DateFormat=P","Fill=—","Direction=H","UseDPDF=Y")</f>
        <v>12.548</v>
      </c>
      <c r="K40" s="14">
        <f>_xll.BDH("AMGN US Equity","LOW_EV_TO_T12M_EBITDA","FQ3 2021","FQ3 2021","Currency=USD","Period=FQ","BEST_FPERIOD_OVERRIDE=FQ","FILING_STATUS=MR","FA_ADJUSTED=GAAP","Sort=A","Dates=H","DateFormat=P","Fill=—","Direction=H","UseDPDF=Y")</f>
        <v>13.3393</v>
      </c>
      <c r="L40" s="14">
        <f>_xll.BDH("AMGN US Equity","LOW_EV_TO_T12M_EBITDA","FQ4 2021","FQ4 2021","Currency=USD","Period=FQ","BEST_FPERIOD_OVERRIDE=FQ","FILING_STATUS=MR","FA_ADJUSTED=GAAP","Sort=A","Dates=H","DateFormat=P","Fill=—","Direction=H","UseDPDF=Y")</f>
        <v>12.7003</v>
      </c>
      <c r="M40" s="14">
        <f>_xll.BDH("AMGN US Equity","LOW_EV_TO_T12M_EBITDA","FQ1 2022","FQ1 2022","Currency=USD","Period=FQ","BEST_FPERIOD_OVERRIDE=FQ","FILING_STATUS=MR","FA_ADJUSTED=GAAP","Sort=A","Dates=H","DateFormat=P","Fill=—","Direction=H","UseDPDF=Y")</f>
        <v>13.4169</v>
      </c>
      <c r="N40" s="14">
        <f>_xll.BDH("AMGN US Equity","LOW_EV_TO_T12M_EBITDA","FQ2 2022","FQ2 2022","Currency=USD","Period=FQ","BEST_FPERIOD_OVERRIDE=FQ","FILING_STATUS=MR","FA_ADJUSTED=GAAP","Sort=A","Dates=H","DateFormat=P","Fill=—","Direction=H","UseDPDF=Y")</f>
        <v>12.515499999999999</v>
      </c>
      <c r="O40" s="14">
        <f>_xll.BDH("AMGN US Equity","LOW_EV_TO_T12M_EBITDA","FQ3 2022","FQ3 2022","Currency=USD","Period=FQ","BEST_FPERIOD_OVERRIDE=FQ","FILING_STATUS=MR","FA_ADJUSTED=GAAP","Sort=A","Dates=H","DateFormat=P","Fill=—","Direction=H","UseDPDF=Y")</f>
        <v>11.370900000000001</v>
      </c>
      <c r="P40" s="14">
        <f>_xll.BDH("AMGN US Equity","LOW_EV_TO_T12M_EBITDA","FQ4 2022","FQ4 2022","Currency=USD","Period=FQ","BEST_FPERIOD_OVERRIDE=FQ","FILING_STATUS=MR","FA_ADJUSTED=GAAP","Sort=A","Dates=H","DateFormat=P","Fill=—","Direction=H","UseDPDF=Y")</f>
        <v>11.520300000000001</v>
      </c>
      <c r="Q40" s="14">
        <f>_xll.BDH("AMGN US Equity","LOW_EV_TO_T12M_EBITDA","FQ1 2023","FQ1 2023","Currency=USD","Period=FQ","BEST_FPERIOD_OVERRIDE=FQ","FILING_STATUS=MR","FA_ADJUSTED=GAAP","Sort=A","Dates=H","DateFormat=P","Fill=—","Direction=H","UseDPDF=Y")</f>
        <v>11.622999999999999</v>
      </c>
      <c r="R40" s="14">
        <f>_xll.BDH("AMGN US Equity","LOW_EV_TO_T12M_EBITDA","FQ2 2023","FQ2 2023","Currency=USD","Period=FQ","BEST_FPERIOD_OVERRIDE=FQ","FILING_STATUS=MR","FA_ADJUSTED=GAAP","Sort=A","Dates=H","DateFormat=P","Fill=—","Direction=H","UseDPDF=Y")</f>
        <v>11.191599999999999</v>
      </c>
      <c r="S40" s="14">
        <f>_xll.BDH("AMGN US Equity","LOW_EV_TO_T12M_EBITDA","FQ3 2023","FQ3 2023","Currency=USD","Period=FQ","BEST_FPERIOD_OVERRIDE=FQ","FILING_STATUS=MR","FA_ADJUSTED=GAAP","Sort=A","Dates=H","DateFormat=P","Fill=—","Direction=H","UseDPDF=Y")</f>
        <v>11.0535</v>
      </c>
      <c r="T40" s="14">
        <f>_xll.BDH("AMGN US Equity","LOW_EV_TO_T12M_EBITDA","FQ4 2023","FQ4 2023","Currency=USD","Period=FQ","BEST_FPERIOD_OVERRIDE=FQ","FILING_STATUS=MR","FA_ADJUSTED=GAAP","Sort=A","Dates=H","DateFormat=P","Fill=—","Direction=H","UseDPDF=Y")</f>
        <v>13.0496</v>
      </c>
      <c r="U40" s="14">
        <f>_xll.BDH("AMGN US Equity","LOW_EV_TO_T12M_EBITDA","FQ1 2024","FQ1 2024","Currency=USD","Period=FQ","BEST_FPERIOD_OVERRIDE=FQ","FILING_STATUS=MR","FA_ADJUSTED=GAAP","Sort=A","Dates=H","DateFormat=P","Fill=—","Direction=H","UseDPDF=Y")</f>
        <v>16.591899999999999</v>
      </c>
      <c r="V40" s="14">
        <f>_xll.BDH("AMGN US Equity","LOW_EV_TO_T12M_EBITDA","FQ2 2024","FQ2 2024","Currency=USD","Period=FQ","BEST_FPERIOD_OVERRIDE=FQ","FILING_STATUS=MR","FA_ADJUSTED=GAAP","Sort=A","Dates=H","DateFormat=P","Fill=—","Direction=H","UseDPDF=Y")</f>
        <v>16.923300000000001</v>
      </c>
      <c r="W40" s="14">
        <f>_xll.BDH("AMGN US Equity","LOW_EV_TO_T12M_EBITDA","FQ3 2024","FQ3 2024","Currency=USD","Period=FQ","BEST_FPERIOD_OVERRIDE=FQ","FILING_STATUS=MR","FA_ADJUSTED=GAAP","Sort=A","Dates=H","DateFormat=P","Fill=—","Direction=H","UseDPDF=Y")</f>
        <v>19.038399999999999</v>
      </c>
      <c r="X40" s="14">
        <f>_xll.BDH("AMGN US Equity","LOW_EV_TO_T12M_EBITDA","FQ4 2024","FQ4 2024","Currency=USD","Period=FQ","BEST_FPERIOD_OVERRIDE=FQ","FILING_STATUS=MR","FA_ADJUSTED=GAAP","Sort=A","Dates=H","DateFormat=P","Fill=—","Direction=H","UseDPDF=Y")</f>
        <v>14.7088</v>
      </c>
      <c r="Y40" s="17"/>
      <c r="Z40" s="14"/>
      <c r="AA40" s="14"/>
    </row>
    <row r="41" spans="1:27" x14ac:dyDescent="0.25">
      <c r="A41" s="6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21"/>
      <c r="Z41" s="18"/>
      <c r="AA41" s="18"/>
    </row>
    <row r="42" spans="1:27" x14ac:dyDescent="0.25">
      <c r="A42" s="6" t="s">
        <v>182</v>
      </c>
      <c r="B42" s="6" t="s">
        <v>183</v>
      </c>
      <c r="C42" s="20">
        <f>_xll.BDH("AMGN US Equity","EV_TO_T12M_EBIT","FQ3 2019","FQ3 2019","Currency=USD","Period=FQ","BEST_FPERIOD_OVERRIDE=FQ","FILING_STATUS=MR","FA_ADJUSTED=GAAP","Sort=A","Dates=H","DateFormat=P","Fill=—","Direction=H","UseDPDF=Y")</f>
        <v>12.449199999999999</v>
      </c>
      <c r="D42" s="20">
        <f>_xll.BDH("AMGN US Equity","EV_TO_T12M_EBIT","FQ4 2019","FQ4 2019","Currency=USD","Period=FQ","BEST_FPERIOD_OVERRIDE=FQ","FILING_STATUS=MR","FA_ADJUSTED=GAAP","Sort=A","Dates=H","DateFormat=P","Fill=—","Direction=H","UseDPDF=Y")</f>
        <v>16.933199999999999</v>
      </c>
      <c r="E42" s="20">
        <f>_xll.BDH("AMGN US Equity","EV_TO_T12M_EBIT","FQ1 2020","FQ1 2020","Currency=USD","Period=FQ","BEST_FPERIOD_OVERRIDE=FQ","FILING_STATUS=MR","FA_ADJUSTED=GAAP","Sort=A","Dates=H","DateFormat=P","Fill=—","Direction=H","UseDPDF=Y")</f>
        <v>14.9672</v>
      </c>
      <c r="F42" s="20">
        <f>_xll.BDH("AMGN US Equity","EV_TO_T12M_EBIT","FQ2 2020","FQ2 2020","Currency=USD","Period=FQ","BEST_FPERIOD_OVERRIDE=FQ","FILING_STATUS=MR","FA_ADJUSTED=GAAP","Sort=A","Dates=H","DateFormat=P","Fill=—","Direction=H","UseDPDF=Y")</f>
        <v>17.508299999999998</v>
      </c>
      <c r="G42" s="20">
        <f>_xll.BDH("AMGN US Equity","EV_TO_T12M_EBIT","FQ3 2020","FQ3 2020","Currency=USD","Period=FQ","BEST_FPERIOD_OVERRIDE=FQ","FILING_STATUS=MR","FA_ADJUSTED=GAAP","Sort=A","Dates=H","DateFormat=P","Fill=—","Direction=H","UseDPDF=Y")</f>
        <v>18.545500000000001</v>
      </c>
      <c r="H42" s="20">
        <f>_xll.BDH("AMGN US Equity","EV_TO_T12M_EBIT","FQ4 2020","FQ4 2020","Currency=USD","Period=FQ","BEST_FPERIOD_OVERRIDE=FQ","FILING_STATUS=MR","FA_ADJUSTED=GAAP","Sort=A","Dates=H","DateFormat=P","Fill=—","Direction=H","UseDPDF=Y")</f>
        <v>17.043500000000002</v>
      </c>
      <c r="I42" s="20">
        <f>_xll.BDH("AMGN US Equity","EV_TO_T12M_EBIT","FQ1 2021","FQ1 2021","Currency=USD","Period=FQ","BEST_FPERIOD_OVERRIDE=FQ","FILING_STATUS=MR","FA_ADJUSTED=GAAP","Sort=A","Dates=H","DateFormat=P","Fill=—","Direction=H","UseDPDF=Y")</f>
        <v>18.541399999999999</v>
      </c>
      <c r="J42" s="20">
        <f>_xll.BDH("AMGN US Equity","EV_TO_T12M_EBIT","FQ2 2021","FQ2 2021","Currency=USD","Period=FQ","BEST_FPERIOD_OVERRIDE=FQ","FILING_STATUS=MR","FA_ADJUSTED=GAAP","Sort=A","Dates=H","DateFormat=P","Fill=—","Direction=H","UseDPDF=Y")</f>
        <v>22.046399999999998</v>
      </c>
      <c r="K42" s="20">
        <f>_xll.BDH("AMGN US Equity","EV_TO_T12M_EBIT","FQ3 2021","FQ3 2021","Currency=USD","Period=FQ","BEST_FPERIOD_OVERRIDE=FQ","FILING_STATUS=MR","FA_ADJUSTED=GAAP","Sort=A","Dates=H","DateFormat=P","Fill=—","Direction=H","UseDPDF=Y")</f>
        <v>19.720199999999998</v>
      </c>
      <c r="L42" s="20">
        <f>_xll.BDH("AMGN US Equity","EV_TO_T12M_EBIT","FQ4 2021","FQ4 2021","Currency=USD","Period=FQ","BEST_FPERIOD_OVERRIDE=FQ","FILING_STATUS=MR","FA_ADJUSTED=GAAP","Sort=A","Dates=H","DateFormat=P","Fill=—","Direction=H","UseDPDF=Y")</f>
        <v>19.122399999999999</v>
      </c>
      <c r="M42" s="20">
        <f>_xll.BDH("AMGN US Equity","EV_TO_T12M_EBIT","FQ1 2022","FQ1 2022","Currency=USD","Period=FQ","BEST_FPERIOD_OVERRIDE=FQ","FILING_STATUS=MR","FA_ADJUSTED=GAAP","Sort=A","Dates=H","DateFormat=P","Fill=—","Direction=H","UseDPDF=Y")</f>
        <v>19.9114</v>
      </c>
      <c r="N42" s="20">
        <f>_xll.BDH("AMGN US Equity","EV_TO_T12M_EBIT","FQ2 2022","FQ2 2022","Currency=USD","Period=FQ","BEST_FPERIOD_OVERRIDE=FQ","FILING_STATUS=MR","FA_ADJUSTED=GAAP","Sort=A","Dates=H","DateFormat=P","Fill=—","Direction=H","UseDPDF=Y")</f>
        <v>17.042100000000001</v>
      </c>
      <c r="O42" s="20">
        <f>_xll.BDH("AMGN US Equity","EV_TO_T12M_EBIT","FQ3 2022","FQ3 2022","Currency=USD","Period=FQ","BEST_FPERIOD_OVERRIDE=FQ","FILING_STATUS=MR","FA_ADJUSTED=GAAP","Sort=A","Dates=H","DateFormat=P","Fill=—","Direction=H","UseDPDF=Y")</f>
        <v>15.298400000000001</v>
      </c>
      <c r="P42" s="20">
        <f>_xll.BDH("AMGN US Equity","EV_TO_T12M_EBIT","FQ4 2022","FQ4 2022","Currency=USD","Period=FQ","BEST_FPERIOD_OVERRIDE=FQ","FILING_STATUS=MR","FA_ADJUSTED=GAAP","Sort=A","Dates=H","DateFormat=P","Fill=—","Direction=H","UseDPDF=Y")</f>
        <v>17.8324</v>
      </c>
      <c r="Q42" s="20">
        <f>_xll.BDH("AMGN US Equity","EV_TO_T12M_EBIT","FQ1 2023","FQ1 2023","Currency=USD","Period=FQ","BEST_FPERIOD_OVERRIDE=FQ","FILING_STATUS=MR","FA_ADJUSTED=GAAP","Sort=A","Dates=H","DateFormat=P","Fill=—","Direction=H","UseDPDF=Y")</f>
        <v>17.714600000000001</v>
      </c>
      <c r="R42" s="20">
        <f>_xll.BDH("AMGN US Equity","EV_TO_T12M_EBIT","FQ2 2023","FQ2 2023","Currency=USD","Period=FQ","BEST_FPERIOD_OVERRIDE=FQ","FILING_STATUS=MR","FA_ADJUSTED=GAAP","Sort=A","Dates=H","DateFormat=P","Fill=—","Direction=H","UseDPDF=Y")</f>
        <v>15.382300000000001</v>
      </c>
      <c r="S42" s="20">
        <f>_xll.BDH("AMGN US Equity","EV_TO_T12M_EBIT","FQ3 2023","FQ3 2023","Currency=USD","Period=FQ","BEST_FPERIOD_OVERRIDE=FQ","FILING_STATUS=MR","FA_ADJUSTED=GAAP","Sort=A","Dates=H","DateFormat=P","Fill=—","Direction=H","UseDPDF=Y")</f>
        <v>19.144100000000002</v>
      </c>
      <c r="T42" s="20">
        <f>_xll.BDH("AMGN US Equity","EV_TO_T12M_EBIT","FQ4 2023","FQ4 2023","Currency=USD","Period=FQ","BEST_FPERIOD_OVERRIDE=FQ","FILING_STATUS=MR","FA_ADJUSTED=GAAP","Sort=A","Dates=H","DateFormat=P","Fill=—","Direction=H","UseDPDF=Y")</f>
        <v>26.425799999999999</v>
      </c>
      <c r="U42" s="20">
        <f>_xll.BDH("AMGN US Equity","EV_TO_T12M_EBIT","FQ1 2024","FQ1 2024","Currency=USD","Period=FQ","BEST_FPERIOD_OVERRIDE=FQ","FILING_STATUS=MR","FA_ADJUSTED=GAAP","Sort=A","Dates=H","DateFormat=P","Fill=—","Direction=H","UseDPDF=Y")</f>
        <v>29.6858</v>
      </c>
      <c r="V42" s="20">
        <f>_xll.BDH("AMGN US Equity","EV_TO_T12M_EBIT","FQ2 2024","FQ2 2024","Currency=USD","Period=FQ","BEST_FPERIOD_OVERRIDE=FQ","FILING_STATUS=MR","FA_ADJUSTED=GAAP","Sort=A","Dates=H","DateFormat=P","Fill=—","Direction=H","UseDPDF=Y")</f>
        <v>35.722200000000001</v>
      </c>
      <c r="W42" s="20">
        <f>_xll.BDH("AMGN US Equity","EV_TO_T12M_EBIT","FQ3 2024","FQ3 2024","Currency=USD","Period=FQ","BEST_FPERIOD_OVERRIDE=FQ","FILING_STATUS=MR","FA_ADJUSTED=GAAP","Sort=A","Dates=H","DateFormat=P","Fill=—","Direction=H","UseDPDF=Y")</f>
        <v>36.116900000000001</v>
      </c>
      <c r="X42" s="20">
        <f>_xll.BDH("AMGN US Equity","EV_TO_T12M_EBIT","FQ4 2024","FQ4 2024","Currency=USD","Period=FQ","BEST_FPERIOD_OVERRIDE=FQ","FILING_STATUS=MR","FA_ADJUSTED=GAAP","Sort=A","Dates=H","DateFormat=P","Fill=—","Direction=H","UseDPDF=Y")</f>
        <v>26.018699999999999</v>
      </c>
      <c r="Y42" s="23">
        <v>29.3877849094171</v>
      </c>
      <c r="Z42" s="20">
        <v>13.762982718568599</v>
      </c>
      <c r="AA42" s="20">
        <v>13.6376070035986</v>
      </c>
    </row>
    <row r="43" spans="1:27" x14ac:dyDescent="0.25">
      <c r="A43" s="10" t="s">
        <v>209</v>
      </c>
      <c r="B43" s="10" t="s">
        <v>241</v>
      </c>
      <c r="C43" s="14">
        <f>_xll.BDH("AMGN US Equity","AVERAGE_EV_TO_T12M_EBIT","FQ3 2019","FQ3 2019","Currency=USD","Period=FQ","BEST_FPERIOD_OVERRIDE=FQ","FILING_STATUS=MR","FA_ADJUSTED=GAAP","Sort=A","Dates=H","DateFormat=P","Fill=—","Direction=H","UseDPDF=Y")</f>
        <v>12.6646</v>
      </c>
      <c r="D43" s="14">
        <f>_xll.BDH("AMGN US Equity","AVERAGE_EV_TO_T12M_EBIT","FQ4 2019","FQ4 2019","Currency=USD","Period=FQ","BEST_FPERIOD_OVERRIDE=FQ","FILING_STATUS=MR","FA_ADJUSTED=GAAP","Sort=A","Dates=H","DateFormat=P","Fill=—","Direction=H","UseDPDF=Y")</f>
        <v>14.069900000000001</v>
      </c>
      <c r="E43" s="14">
        <f>_xll.BDH("AMGN US Equity","AVERAGE_EV_TO_T12M_EBIT","FQ1 2020","FQ1 2020","Currency=USD","Period=FQ","BEST_FPERIOD_OVERRIDE=FQ","FILING_STATUS=MR","FA_ADJUSTED=GAAP","Sort=A","Dates=H","DateFormat=P","Fill=—","Direction=H","UseDPDF=Y")</f>
        <v>15.5603</v>
      </c>
      <c r="F43" s="14">
        <f>_xll.BDH("AMGN US Equity","AVERAGE_EV_TO_T12M_EBIT","FQ2 2020","FQ2 2020","Currency=USD","Period=FQ","BEST_FPERIOD_OVERRIDE=FQ","FILING_STATUS=MR","FA_ADJUSTED=GAAP","Sort=A","Dates=H","DateFormat=P","Fill=—","Direction=H","UseDPDF=Y")</f>
        <v>16.545100000000001</v>
      </c>
      <c r="G43" s="14">
        <f>_xll.BDH("AMGN US Equity","AVERAGE_EV_TO_T12M_EBIT","FQ3 2020","FQ3 2020","Currency=USD","Period=FQ","BEST_FPERIOD_OVERRIDE=FQ","FILING_STATUS=MR","FA_ADJUSTED=GAAP","Sort=A","Dates=H","DateFormat=P","Fill=—","Direction=H","UseDPDF=Y")</f>
        <v>18.2654</v>
      </c>
      <c r="H43" s="14">
        <f>_xll.BDH("AMGN US Equity","AVERAGE_EV_TO_T12M_EBIT","FQ4 2020","FQ4 2020","Currency=USD","Period=FQ","BEST_FPERIOD_OVERRIDE=FQ","FILING_STATUS=MR","FA_ADJUSTED=GAAP","Sort=A","Dates=H","DateFormat=P","Fill=—","Direction=H","UseDPDF=Y")</f>
        <v>17.0428</v>
      </c>
      <c r="I43" s="14">
        <f>_xll.BDH("AMGN US Equity","AVERAGE_EV_TO_T12M_EBIT","FQ1 2021","FQ1 2021","Currency=USD","Period=FQ","BEST_FPERIOD_OVERRIDE=FQ","FILING_STATUS=MR","FA_ADJUSTED=GAAP","Sort=A","Dates=H","DateFormat=P","Fill=—","Direction=H","UseDPDF=Y")</f>
        <v>17.6234</v>
      </c>
      <c r="J43" s="14">
        <f>_xll.BDH("AMGN US Equity","AVERAGE_EV_TO_T12M_EBIT","FQ2 2021","FQ2 2021","Currency=USD","Period=FQ","BEST_FPERIOD_OVERRIDE=FQ","FILING_STATUS=MR","FA_ADJUSTED=GAAP","Sort=A","Dates=H","DateFormat=P","Fill=—","Direction=H","UseDPDF=Y")</f>
        <v>18.415099999999999</v>
      </c>
      <c r="K43" s="14">
        <f>_xll.BDH("AMGN US Equity","AVERAGE_EV_TO_T12M_EBIT","FQ3 2021","FQ3 2021","Currency=USD","Period=FQ","BEST_FPERIOD_OVERRIDE=FQ","FILING_STATUS=MR","FA_ADJUSTED=GAAP","Sort=A","Dates=H","DateFormat=P","Fill=—","Direction=H","UseDPDF=Y")</f>
        <v>21.031600000000001</v>
      </c>
      <c r="L43" s="14">
        <f>_xll.BDH("AMGN US Equity","AVERAGE_EV_TO_T12M_EBIT","FQ4 2021","FQ4 2021","Currency=USD","Period=FQ","BEST_FPERIOD_OVERRIDE=FQ","FILING_STATUS=MR","FA_ADJUSTED=GAAP","Sort=A","Dates=H","DateFormat=P","Fill=—","Direction=H","UseDPDF=Y")</f>
        <v>19.584599999999998</v>
      </c>
      <c r="M43" s="14">
        <f>_xll.BDH("AMGN US Equity","AVERAGE_EV_TO_T12M_EBIT","FQ1 2022","FQ1 2022","Currency=USD","Period=FQ","BEST_FPERIOD_OVERRIDE=FQ","FILING_STATUS=MR","FA_ADJUSTED=GAAP","Sort=A","Dates=H","DateFormat=P","Fill=—","Direction=H","UseDPDF=Y")</f>
        <v>20.2209</v>
      </c>
      <c r="N43" s="14">
        <f>_xll.BDH("AMGN US Equity","AVERAGE_EV_TO_T12M_EBIT","FQ2 2022","FQ2 2022","Currency=USD","Period=FQ","BEST_FPERIOD_OVERRIDE=FQ","FILING_STATUS=MR","FA_ADJUSTED=GAAP","Sort=A","Dates=H","DateFormat=P","Fill=—","Direction=H","UseDPDF=Y")</f>
        <v>20.109300000000001</v>
      </c>
      <c r="O43" s="14">
        <f>_xll.BDH("AMGN US Equity","AVERAGE_EV_TO_T12M_EBIT","FQ3 2022","FQ3 2022","Currency=USD","Period=FQ","BEST_FPERIOD_OVERRIDE=FQ","FILING_STATUS=MR","FA_ADJUSTED=GAAP","Sort=A","Dates=H","DateFormat=P","Fill=—","Direction=H","UseDPDF=Y")</f>
        <v>16.973299999999998</v>
      </c>
      <c r="P43" s="14">
        <f>_xll.BDH("AMGN US Equity","AVERAGE_EV_TO_T12M_EBIT","FQ4 2022","FQ4 2022","Currency=USD","Period=FQ","BEST_FPERIOD_OVERRIDE=FQ","FILING_STATUS=MR","FA_ADJUSTED=GAAP","Sort=A","Dates=H","DateFormat=P","Fill=—","Direction=H","UseDPDF=Y")</f>
        <v>17.682300000000001</v>
      </c>
      <c r="Q43" s="14">
        <f>_xll.BDH("AMGN US Equity","AVERAGE_EV_TO_T12M_EBIT","FQ1 2023","FQ1 2023","Currency=USD","Period=FQ","BEST_FPERIOD_OVERRIDE=FQ","FILING_STATUS=MR","FA_ADJUSTED=GAAP","Sort=A","Dates=H","DateFormat=P","Fill=—","Direction=H","UseDPDF=Y")</f>
        <v>16.886700000000001</v>
      </c>
      <c r="R43" s="14">
        <f>_xll.BDH("AMGN US Equity","AVERAGE_EV_TO_T12M_EBIT","FQ2 2023","FQ2 2023","Currency=USD","Period=FQ","BEST_FPERIOD_OVERRIDE=FQ","FILING_STATUS=MR","FA_ADJUSTED=GAAP","Sort=A","Dates=H","DateFormat=P","Fill=—","Direction=H","UseDPDF=Y")</f>
        <v>17.117699999999999</v>
      </c>
      <c r="S43" s="14">
        <f>_xll.BDH("AMGN US Equity","AVERAGE_EV_TO_T12M_EBIT","FQ3 2023","FQ3 2023","Currency=USD","Period=FQ","BEST_FPERIOD_OVERRIDE=FQ","FILING_STATUS=MR","FA_ADJUSTED=GAAP","Sort=A","Dates=H","DateFormat=P","Fill=—","Direction=H","UseDPDF=Y")</f>
        <v>16.946300000000001</v>
      </c>
      <c r="T43" s="14">
        <f>_xll.BDH("AMGN US Equity","AVERAGE_EV_TO_T12M_EBIT","FQ4 2023","FQ4 2023","Currency=USD","Period=FQ","BEST_FPERIOD_OVERRIDE=FQ","FILING_STATUS=MR","FA_ADJUSTED=GAAP","Sort=A","Dates=H","DateFormat=P","Fill=—","Direction=H","UseDPDF=Y")</f>
        <v>19.464700000000001</v>
      </c>
      <c r="U43" s="14">
        <f>_xll.BDH("AMGN US Equity","AVERAGE_EV_TO_T12M_EBIT","FQ1 2024","FQ1 2024","Currency=USD","Period=FQ","BEST_FPERIOD_OVERRIDE=FQ","FILING_STATUS=MR","FA_ADJUSTED=GAAP","Sort=A","Dates=H","DateFormat=P","Fill=—","Direction=H","UseDPDF=Y")</f>
        <v>26.798400000000001</v>
      </c>
      <c r="V43" s="14">
        <f>_xll.BDH("AMGN US Equity","AVERAGE_EV_TO_T12M_EBIT","FQ2 2024","FQ2 2024","Currency=USD","Period=FQ","BEST_FPERIOD_OVERRIDE=FQ","FILING_STATUS=MR","FA_ADJUSTED=GAAP","Sort=A","Dates=H","DateFormat=P","Fill=—","Direction=H","UseDPDF=Y")</f>
        <v>30.471800000000002</v>
      </c>
      <c r="W43" s="14">
        <f>_xll.BDH("AMGN US Equity","AVERAGE_EV_TO_T12M_EBIT","FQ3 2024","FQ3 2024","Currency=USD","Period=FQ","BEST_FPERIOD_OVERRIDE=FQ","FILING_STATUS=MR","FA_ADJUSTED=GAAP","Sort=A","Dates=H","DateFormat=P","Fill=—","Direction=H","UseDPDF=Y")</f>
        <v>36.974299999999999</v>
      </c>
      <c r="X43" s="14">
        <f>_xll.BDH("AMGN US Equity","AVERAGE_EV_TO_T12M_EBIT","FQ4 2024","FQ4 2024","Currency=USD","Period=FQ","BEST_FPERIOD_OVERRIDE=FQ","FILING_STATUS=MR","FA_ADJUSTED=GAAP","Sort=A","Dates=H","DateFormat=P","Fill=—","Direction=H","UseDPDF=Y")</f>
        <v>33.834800000000001</v>
      </c>
      <c r="Y43" s="17"/>
      <c r="Z43" s="14"/>
      <c r="AA43" s="14"/>
    </row>
    <row r="44" spans="1:27" x14ac:dyDescent="0.25">
      <c r="A44" s="10" t="s">
        <v>211</v>
      </c>
      <c r="B44" s="10" t="s">
        <v>242</v>
      </c>
      <c r="C44" s="14">
        <f>_xll.BDH("AMGN US Equity","HIGH_EV_TO_T12M_EBIT","FQ3 2019","FQ3 2019","Currency=USD","Period=FQ","BEST_FPERIOD_OVERRIDE=FQ","FILING_STATUS=MR","FA_ADJUSTED=GAAP","Sort=A","Dates=H","DateFormat=P","Fill=—","Direction=H","UseDPDF=Y")</f>
        <v>13.621600000000001</v>
      </c>
      <c r="D44" s="14">
        <f>_xll.BDH("AMGN US Equity","HIGH_EV_TO_T12M_EBIT","FQ4 2019","FQ4 2019","Currency=USD","Period=FQ","BEST_FPERIOD_OVERRIDE=FQ","FILING_STATUS=MR","FA_ADJUSTED=GAAP","Sort=A","Dates=H","DateFormat=P","Fill=—","Direction=H","UseDPDF=Y")</f>
        <v>17.002400000000002</v>
      </c>
      <c r="E44" s="14">
        <f>_xll.BDH("AMGN US Equity","HIGH_EV_TO_T12M_EBIT","FQ1 2020","FQ1 2020","Currency=USD","Period=FQ","BEST_FPERIOD_OVERRIDE=FQ","FILING_STATUS=MR","FA_ADJUSTED=GAAP","Sort=A","Dates=H","DateFormat=P","Fill=—","Direction=H","UseDPDF=Y")</f>
        <v>17.041</v>
      </c>
      <c r="F44" s="14">
        <f>_xll.BDH("AMGN US Equity","HIGH_EV_TO_T12M_EBIT","FQ2 2020","FQ2 2020","Currency=USD","Period=FQ","BEST_FPERIOD_OVERRIDE=FQ","FILING_STATUS=MR","FA_ADJUSTED=GAAP","Sort=A","Dates=H","DateFormat=P","Fill=—","Direction=H","UseDPDF=Y")</f>
        <v>17.555599999999998</v>
      </c>
      <c r="G44" s="14">
        <f>_xll.BDH("AMGN US Equity","HIGH_EV_TO_T12M_EBIT","FQ3 2020","FQ3 2020","Currency=USD","Period=FQ","BEST_FPERIOD_OVERRIDE=FQ","FILING_STATUS=MR","FA_ADJUSTED=GAAP","Sort=A","Dates=H","DateFormat=P","Fill=—","Direction=H","UseDPDF=Y")</f>
        <v>19.159500000000001</v>
      </c>
      <c r="H44" s="14">
        <f>_xll.BDH("AMGN US Equity","HIGH_EV_TO_T12M_EBIT","FQ4 2020","FQ4 2020","Currency=USD","Period=FQ","BEST_FPERIOD_OVERRIDE=FQ","FILING_STATUS=MR","FA_ADJUSTED=GAAP","Sort=A","Dates=H","DateFormat=P","Fill=—","Direction=H","UseDPDF=Y")</f>
        <v>18.830200000000001</v>
      </c>
      <c r="I44" s="14">
        <f>_xll.BDH("AMGN US Equity","HIGH_EV_TO_T12M_EBIT","FQ1 2021","FQ1 2021","Currency=USD","Period=FQ","BEST_FPERIOD_OVERRIDE=FQ","FILING_STATUS=MR","FA_ADJUSTED=GAAP","Sort=A","Dates=H","DateFormat=P","Fill=—","Direction=H","UseDPDF=Y")</f>
        <v>18.9678</v>
      </c>
      <c r="J44" s="14">
        <f>_xll.BDH("AMGN US Equity","HIGH_EV_TO_T12M_EBIT","FQ2 2021","FQ2 2021","Currency=USD","Period=FQ","BEST_FPERIOD_OVERRIDE=FQ","FILING_STATUS=MR","FA_ADJUSTED=GAAP","Sort=A","Dates=H","DateFormat=P","Fill=—","Direction=H","UseDPDF=Y")</f>
        <v>22.209199999999999</v>
      </c>
      <c r="K44" s="14">
        <f>_xll.BDH("AMGN US Equity","HIGH_EV_TO_T12M_EBIT","FQ3 2021","FQ3 2021","Currency=USD","Period=FQ","BEST_FPERIOD_OVERRIDE=FQ","FILING_STATUS=MR","FA_ADJUSTED=GAAP","Sort=A","Dates=H","DateFormat=P","Fill=—","Direction=H","UseDPDF=Y")</f>
        <v>22.592600000000001</v>
      </c>
      <c r="L44" s="14">
        <f>_xll.BDH("AMGN US Equity","HIGH_EV_TO_T12M_EBIT","FQ4 2021","FQ4 2021","Currency=USD","Period=FQ","BEST_FPERIOD_OVERRIDE=FQ","FILING_STATUS=MR","FA_ADJUSTED=GAAP","Sort=A","Dates=H","DateFormat=P","Fill=—","Direction=H","UseDPDF=Y")</f>
        <v>20.816700000000001</v>
      </c>
      <c r="M44" s="14">
        <f>_xll.BDH("AMGN US Equity","HIGH_EV_TO_T12M_EBIT","FQ1 2022","FQ1 2022","Currency=USD","Period=FQ","BEST_FPERIOD_OVERRIDE=FQ","FILING_STATUS=MR","FA_ADJUSTED=GAAP","Sort=A","Dates=H","DateFormat=P","Fill=—","Direction=H","UseDPDF=Y")</f>
        <v>21.084</v>
      </c>
      <c r="N44" s="14">
        <f>_xll.BDH("AMGN US Equity","HIGH_EV_TO_T12M_EBIT","FQ2 2022","FQ2 2022","Currency=USD","Period=FQ","BEST_FPERIOD_OVERRIDE=FQ","FILING_STATUS=MR","FA_ADJUSTED=GAAP","Sort=A","Dates=H","DateFormat=P","Fill=—","Direction=H","UseDPDF=Y")</f>
        <v>20.906400000000001</v>
      </c>
      <c r="O44" s="14">
        <f>_xll.BDH("AMGN US Equity","HIGH_EV_TO_T12M_EBIT","FQ3 2022","FQ3 2022","Currency=USD","Period=FQ","BEST_FPERIOD_OVERRIDE=FQ","FILING_STATUS=MR","FA_ADJUSTED=GAAP","Sort=A","Dates=H","DateFormat=P","Fill=—","Direction=H","UseDPDF=Y")</f>
        <v>17.606000000000002</v>
      </c>
      <c r="P44" s="14">
        <f>_xll.BDH("AMGN US Equity","HIGH_EV_TO_T12M_EBIT","FQ4 2022","FQ4 2022","Currency=USD","Period=FQ","BEST_FPERIOD_OVERRIDE=FQ","FILING_STATUS=MR","FA_ADJUSTED=GAAP","Sort=A","Dates=H","DateFormat=P","Fill=—","Direction=H","UseDPDF=Y")</f>
        <v>19.008199999999999</v>
      </c>
      <c r="Q44" s="14">
        <f>_xll.BDH("AMGN US Equity","HIGH_EV_TO_T12M_EBIT","FQ1 2023","FQ1 2023","Currency=USD","Period=FQ","BEST_FPERIOD_OVERRIDE=FQ","FILING_STATUS=MR","FA_ADJUSTED=GAAP","Sort=A","Dates=H","DateFormat=P","Fill=—","Direction=H","UseDPDF=Y")</f>
        <v>18.5214</v>
      </c>
      <c r="R44" s="14">
        <f>_xll.BDH("AMGN US Equity","HIGH_EV_TO_T12M_EBIT","FQ2 2023","FQ2 2023","Currency=USD","Period=FQ","BEST_FPERIOD_OVERRIDE=FQ","FILING_STATUS=MR","FA_ADJUSTED=GAAP","Sort=A","Dates=H","DateFormat=P","Fill=—","Direction=H","UseDPDF=Y")</f>
        <v>18.3963</v>
      </c>
      <c r="S44" s="14">
        <f>_xll.BDH("AMGN US Equity","HIGH_EV_TO_T12M_EBIT","FQ3 2023","FQ3 2023","Currency=USD","Period=FQ","BEST_FPERIOD_OVERRIDE=FQ","FILING_STATUS=MR","FA_ADJUSTED=GAAP","Sort=A","Dates=H","DateFormat=P","Fill=—","Direction=H","UseDPDF=Y")</f>
        <v>19.138100000000001</v>
      </c>
      <c r="T44" s="14">
        <f>_xll.BDH("AMGN US Equity","HIGH_EV_TO_T12M_EBIT","FQ4 2023","FQ4 2023","Currency=USD","Period=FQ","BEST_FPERIOD_OVERRIDE=FQ","FILING_STATUS=MR","FA_ADJUSTED=GAAP","Sort=A","Dates=H","DateFormat=P","Fill=—","Direction=H","UseDPDF=Y")</f>
        <v>26.4178</v>
      </c>
      <c r="U44" s="14">
        <f>_xll.BDH("AMGN US Equity","HIGH_EV_TO_T12M_EBIT","FQ1 2024","FQ1 2024","Currency=USD","Period=FQ","BEST_FPERIOD_OVERRIDE=FQ","FILING_STATUS=MR","FA_ADJUSTED=GAAP","Sort=A","Dates=H","DateFormat=P","Fill=—","Direction=H","UseDPDF=Y")</f>
        <v>29.6662</v>
      </c>
      <c r="V44" s="14">
        <f>_xll.BDH("AMGN US Equity","HIGH_EV_TO_T12M_EBIT","FQ2 2024","FQ2 2024","Currency=USD","Period=FQ","BEST_FPERIOD_OVERRIDE=FQ","FILING_STATUS=MR","FA_ADJUSTED=GAAP","Sort=A","Dates=H","DateFormat=P","Fill=—","Direction=H","UseDPDF=Y")</f>
        <v>35.683599999999998</v>
      </c>
      <c r="W44" s="14">
        <f>_xll.BDH("AMGN US Equity","HIGH_EV_TO_T12M_EBIT","FQ3 2024","FQ3 2024","Currency=USD","Period=FQ","BEST_FPERIOD_OVERRIDE=FQ","FILING_STATUS=MR","FA_ADJUSTED=GAAP","Sort=A","Dates=H","DateFormat=P","Fill=—","Direction=H","UseDPDF=Y")</f>
        <v>37.892099999999999</v>
      </c>
      <c r="X44" s="14">
        <f>_xll.BDH("AMGN US Equity","HIGH_EV_TO_T12M_EBIT","FQ4 2024","FQ4 2024","Currency=USD","Period=FQ","BEST_FPERIOD_OVERRIDE=FQ","FILING_STATUS=MR","FA_ADJUSTED=GAAP","Sort=A","Dates=H","DateFormat=P","Fill=—","Direction=H","UseDPDF=Y")</f>
        <v>36.638599999999997</v>
      </c>
      <c r="Y44" s="17"/>
      <c r="Z44" s="14"/>
      <c r="AA44" s="14"/>
    </row>
    <row r="45" spans="1:27" x14ac:dyDescent="0.25">
      <c r="A45" s="10" t="s">
        <v>213</v>
      </c>
      <c r="B45" s="10" t="s">
        <v>243</v>
      </c>
      <c r="C45" s="14">
        <f>_xll.BDH("AMGN US Equity","LOW_EV_TO_T12M_EBIT","FQ3 2019","FQ3 2019","Currency=USD","Period=FQ","BEST_FPERIOD_OVERRIDE=FQ","FILING_STATUS=MR","FA_ADJUSTED=GAAP","Sort=A","Dates=H","DateFormat=P","Fill=—","Direction=H","UseDPDF=Y")</f>
        <v>11.7056</v>
      </c>
      <c r="D45" s="14">
        <f>_xll.BDH("AMGN US Equity","LOW_EV_TO_T12M_EBIT","FQ4 2019","FQ4 2019","Currency=USD","Period=FQ","BEST_FPERIOD_OVERRIDE=FQ","FILING_STATUS=MR","FA_ADJUSTED=GAAP","Sort=A","Dates=H","DateFormat=P","Fill=—","Direction=H","UseDPDF=Y")</f>
        <v>12.259600000000001</v>
      </c>
      <c r="E45" s="14">
        <f>_xll.BDH("AMGN US Equity","LOW_EV_TO_T12M_EBIT","FQ1 2020","FQ1 2020","Currency=USD","Period=FQ","BEST_FPERIOD_OVERRIDE=FQ","FILING_STATUS=MR","FA_ADJUSTED=GAAP","Sort=A","Dates=H","DateFormat=P","Fill=—","Direction=H","UseDPDF=Y")</f>
        <v>13.312799999999999</v>
      </c>
      <c r="F45" s="14">
        <f>_xll.BDH("AMGN US Equity","LOW_EV_TO_T12M_EBIT","FQ2 2020","FQ2 2020","Currency=USD","Period=FQ","BEST_FPERIOD_OVERRIDE=FQ","FILING_STATUS=MR","FA_ADJUSTED=GAAP","Sort=A","Dates=H","DateFormat=P","Fill=—","Direction=H","UseDPDF=Y")</f>
        <v>14.7019</v>
      </c>
      <c r="G45" s="14">
        <f>_xll.BDH("AMGN US Equity","LOW_EV_TO_T12M_EBIT","FQ3 2020","FQ3 2020","Currency=USD","Period=FQ","BEST_FPERIOD_OVERRIDE=FQ","FILING_STATUS=MR","FA_ADJUSTED=GAAP","Sort=A","Dates=H","DateFormat=P","Fill=—","Direction=H","UseDPDF=Y")</f>
        <v>17.4132</v>
      </c>
      <c r="H45" s="14">
        <f>_xll.BDH("AMGN US Equity","LOW_EV_TO_T12M_EBIT","FQ4 2020","FQ4 2020","Currency=USD","Period=FQ","BEST_FPERIOD_OVERRIDE=FQ","FILING_STATUS=MR","FA_ADJUSTED=GAAP","Sort=A","Dates=H","DateFormat=P","Fill=—","Direction=H","UseDPDF=Y")</f>
        <v>16.148</v>
      </c>
      <c r="I45" s="14">
        <f>_xll.BDH("AMGN US Equity","LOW_EV_TO_T12M_EBIT","FQ1 2021","FQ1 2021","Currency=USD","Period=FQ","BEST_FPERIOD_OVERRIDE=FQ","FILING_STATUS=MR","FA_ADJUSTED=GAAP","Sort=A","Dates=H","DateFormat=P","Fill=—","Direction=H","UseDPDF=Y")</f>
        <v>16.518799999999999</v>
      </c>
      <c r="J45" s="14">
        <f>_xll.BDH("AMGN US Equity","LOW_EV_TO_T12M_EBIT","FQ2 2021","FQ2 2021","Currency=USD","Period=FQ","BEST_FPERIOD_OVERRIDE=FQ","FILING_STATUS=MR","FA_ADJUSTED=GAAP","Sort=A","Dates=H","DateFormat=P","Fill=—","Direction=H","UseDPDF=Y")</f>
        <v>17.538799999999998</v>
      </c>
      <c r="K45" s="14">
        <f>_xll.BDH("AMGN US Equity","LOW_EV_TO_T12M_EBIT","FQ3 2021","FQ3 2021","Currency=USD","Period=FQ","BEST_FPERIOD_OVERRIDE=FQ","FILING_STATUS=MR","FA_ADJUSTED=GAAP","Sort=A","Dates=H","DateFormat=P","Fill=—","Direction=H","UseDPDF=Y")</f>
        <v>19.5791</v>
      </c>
      <c r="L45" s="14">
        <f>_xll.BDH("AMGN US Equity","LOW_EV_TO_T12M_EBIT","FQ4 2021","FQ4 2021","Currency=USD","Period=FQ","BEST_FPERIOD_OVERRIDE=FQ","FILING_STATUS=MR","FA_ADJUSTED=GAAP","Sort=A","Dates=H","DateFormat=P","Fill=—","Direction=H","UseDPDF=Y")</f>
        <v>18.613700000000001</v>
      </c>
      <c r="M45" s="14">
        <f>_xll.BDH("AMGN US Equity","LOW_EV_TO_T12M_EBIT","FQ1 2022","FQ1 2022","Currency=USD","Period=FQ","BEST_FPERIOD_OVERRIDE=FQ","FILING_STATUS=MR","FA_ADJUSTED=GAAP","Sort=A","Dates=H","DateFormat=P","Fill=—","Direction=H","UseDPDF=Y")</f>
        <v>19.385000000000002</v>
      </c>
      <c r="N45" s="14">
        <f>_xll.BDH("AMGN US Equity","LOW_EV_TO_T12M_EBIT","FQ2 2022","FQ2 2022","Currency=USD","Period=FQ","BEST_FPERIOD_OVERRIDE=FQ","FILING_STATUS=MR","FA_ADJUSTED=GAAP","Sort=A","Dates=H","DateFormat=P","Fill=—","Direction=H","UseDPDF=Y")</f>
        <v>17.023900000000001</v>
      </c>
      <c r="O45" s="14">
        <f>_xll.BDH("AMGN US Equity","LOW_EV_TO_T12M_EBIT","FQ3 2022","FQ3 2022","Currency=USD","Period=FQ","BEST_FPERIOD_OVERRIDE=FQ","FILING_STATUS=MR","FA_ADJUSTED=GAAP","Sort=A","Dates=H","DateFormat=P","Fill=—","Direction=H","UseDPDF=Y")</f>
        <v>15.331899999999999</v>
      </c>
      <c r="P45" s="14">
        <f>_xll.BDH("AMGN US Equity","LOW_EV_TO_T12M_EBIT","FQ4 2022","FQ4 2022","Currency=USD","Period=FQ","BEST_FPERIOD_OVERRIDE=FQ","FILING_STATUS=MR","FA_ADJUSTED=GAAP","Sort=A","Dates=H","DateFormat=P","Fill=—","Direction=H","UseDPDF=Y")</f>
        <v>15.533300000000001</v>
      </c>
      <c r="Q45" s="14">
        <f>_xll.BDH("AMGN US Equity","LOW_EV_TO_T12M_EBIT","FQ1 2023","FQ1 2023","Currency=USD","Period=FQ","BEST_FPERIOD_OVERRIDE=FQ","FILING_STATUS=MR","FA_ADJUSTED=GAAP","Sort=A","Dates=H","DateFormat=P","Fill=—","Direction=H","UseDPDF=Y")</f>
        <v>15.774800000000001</v>
      </c>
      <c r="R45" s="14">
        <f>_xll.BDH("AMGN US Equity","LOW_EV_TO_T12M_EBIT","FQ2 2023","FQ2 2023","Currency=USD","Period=FQ","BEST_FPERIOD_OVERRIDE=FQ","FILING_STATUS=MR","FA_ADJUSTED=GAAP","Sort=A","Dates=H","DateFormat=P","Fill=—","Direction=H","UseDPDF=Y")</f>
        <v>15.3688</v>
      </c>
      <c r="S45" s="14">
        <f>_xll.BDH("AMGN US Equity","LOW_EV_TO_T12M_EBIT","FQ3 2023","FQ3 2023","Currency=USD","Period=FQ","BEST_FPERIOD_OVERRIDE=FQ","FILING_STATUS=MR","FA_ADJUSTED=GAAP","Sort=A","Dates=H","DateFormat=P","Fill=—","Direction=H","UseDPDF=Y")</f>
        <v>15.1792</v>
      </c>
      <c r="T45" s="14">
        <f>_xll.BDH("AMGN US Equity","LOW_EV_TO_T12M_EBIT","FQ4 2023","FQ4 2023","Currency=USD","Period=FQ","BEST_FPERIOD_OVERRIDE=FQ","FILING_STATUS=MR","FA_ADJUSTED=GAAP","Sort=A","Dates=H","DateFormat=P","Fill=—","Direction=H","UseDPDF=Y")</f>
        <v>18.357299999999999</v>
      </c>
      <c r="U45" s="14">
        <f>_xll.BDH("AMGN US Equity","LOW_EV_TO_T12M_EBIT","FQ1 2024","FQ1 2024","Currency=USD","Period=FQ","BEST_FPERIOD_OVERRIDE=FQ","FILING_STATUS=MR","FA_ADJUSTED=GAAP","Sort=A","Dates=H","DateFormat=P","Fill=—","Direction=H","UseDPDF=Y")</f>
        <v>25.145199999999999</v>
      </c>
      <c r="V45" s="14">
        <f>_xll.BDH("AMGN US Equity","LOW_EV_TO_T12M_EBIT","FQ2 2024","FQ2 2024","Currency=USD","Period=FQ","BEST_FPERIOD_OVERRIDE=FQ","FILING_STATUS=MR","FA_ADJUSTED=GAAP","Sort=A","Dates=H","DateFormat=P","Fill=—","Direction=H","UseDPDF=Y")</f>
        <v>28.0242</v>
      </c>
      <c r="W45" s="14">
        <f>_xll.BDH("AMGN US Equity","LOW_EV_TO_T12M_EBIT","FQ3 2024","FQ3 2024","Currency=USD","Period=FQ","BEST_FPERIOD_OVERRIDE=FQ","FILING_STATUS=MR","FA_ADJUSTED=GAAP","Sort=A","Dates=H","DateFormat=P","Fill=—","Direction=H","UseDPDF=Y")</f>
        <v>35.417700000000004</v>
      </c>
      <c r="X45" s="14">
        <f>_xll.BDH("AMGN US Equity","LOW_EV_TO_T12M_EBIT","FQ4 2024","FQ4 2024","Currency=USD","Period=FQ","BEST_FPERIOD_OVERRIDE=FQ","FILING_STATUS=MR","FA_ADJUSTED=GAAP","Sort=A","Dates=H","DateFormat=P","Fill=—","Direction=H","UseDPDF=Y")</f>
        <v>26.041399999999999</v>
      </c>
      <c r="Y45" s="17"/>
      <c r="Z45" s="14"/>
      <c r="AA45" s="14"/>
    </row>
    <row r="46" spans="1:27" x14ac:dyDescent="0.25">
      <c r="A46" s="6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21"/>
      <c r="Z46" s="18"/>
      <c r="AA46" s="18"/>
    </row>
    <row r="47" spans="1:27" x14ac:dyDescent="0.25">
      <c r="A47" s="6" t="s">
        <v>244</v>
      </c>
      <c r="B47" s="6" t="s">
        <v>245</v>
      </c>
      <c r="C47" s="20">
        <f>_xll.BDH("AMGN US Equity","PX_LAST","FQ3 2019","FQ3 2019","Currency=USD","Period=FQ","BEST_FPERIOD_OVERRIDE=FQ","FILING_STATUS=MR","Sort=A","Dates=H","DateFormat=P","Fill=—","Direction=H","UseDPDF=Y")</f>
        <v>193.51</v>
      </c>
      <c r="D47" s="20">
        <f>_xll.BDH("AMGN US Equity","PX_LAST","FQ4 2019","FQ4 2019","Currency=USD","Period=FQ","BEST_FPERIOD_OVERRIDE=FQ","FILING_STATUS=MR","Sort=A","Dates=H","DateFormat=P","Fill=—","Direction=H","UseDPDF=Y")</f>
        <v>241.07</v>
      </c>
      <c r="E47" s="20">
        <f>_xll.BDH("AMGN US Equity","PX_LAST","FQ1 2020","FQ1 2020","Currency=USD","Period=FQ","BEST_FPERIOD_OVERRIDE=FQ","FILING_STATUS=MR","Sort=A","Dates=H","DateFormat=P","Fill=—","Direction=H","UseDPDF=Y")</f>
        <v>202.73</v>
      </c>
      <c r="F47" s="20">
        <f>_xll.BDH("AMGN US Equity","PX_LAST","FQ2 2020","FQ2 2020","Currency=USD","Period=FQ","BEST_FPERIOD_OVERRIDE=FQ","FILING_STATUS=MR","Sort=A","Dates=H","DateFormat=P","Fill=—","Direction=H","UseDPDF=Y")</f>
        <v>235.86</v>
      </c>
      <c r="G47" s="20">
        <f>_xll.BDH("AMGN US Equity","PX_LAST","FQ3 2020","FQ3 2020","Currency=USD","Period=FQ","BEST_FPERIOD_OVERRIDE=FQ","FILING_STATUS=MR","Sort=A","Dates=H","DateFormat=P","Fill=—","Direction=H","UseDPDF=Y")</f>
        <v>254.16</v>
      </c>
      <c r="H47" s="20">
        <f>_xll.BDH("AMGN US Equity","PX_LAST","FQ4 2020","FQ4 2020","Currency=USD","Period=FQ","BEST_FPERIOD_OVERRIDE=FQ","FILING_STATUS=MR","Sort=A","Dates=H","DateFormat=P","Fill=—","Direction=H","UseDPDF=Y")</f>
        <v>229.92</v>
      </c>
      <c r="I47" s="20">
        <f>_xll.BDH("AMGN US Equity","PX_LAST","FQ1 2021","FQ1 2021","Currency=USD","Period=FQ","BEST_FPERIOD_OVERRIDE=FQ","FILING_STATUS=MR","Sort=A","Dates=H","DateFormat=P","Fill=—","Direction=H","UseDPDF=Y")</f>
        <v>248.81</v>
      </c>
      <c r="J47" s="20">
        <f>_xll.BDH("AMGN US Equity","PX_LAST","FQ2 2021","FQ2 2021","Currency=USD","Period=FQ","BEST_FPERIOD_OVERRIDE=FQ","FILING_STATUS=MR","Sort=A","Dates=H","DateFormat=P","Fill=—","Direction=H","UseDPDF=Y")</f>
        <v>243.75</v>
      </c>
      <c r="K47" s="20">
        <f>_xll.BDH("AMGN US Equity","PX_LAST","FQ3 2021","FQ3 2021","Currency=USD","Period=FQ","BEST_FPERIOD_OVERRIDE=FQ","FILING_STATUS=MR","Sort=A","Dates=H","DateFormat=P","Fill=—","Direction=H","UseDPDF=Y")</f>
        <v>212.65</v>
      </c>
      <c r="L47" s="20">
        <f>_xll.BDH("AMGN US Equity","PX_LAST","FQ4 2021","FQ4 2021","Currency=USD","Period=FQ","BEST_FPERIOD_OVERRIDE=FQ","FILING_STATUS=MR","Sort=A","Dates=H","DateFormat=P","Fill=—","Direction=H","UseDPDF=Y")</f>
        <v>224.97</v>
      </c>
      <c r="M47" s="20">
        <f>_xll.BDH("AMGN US Equity","PX_LAST","FQ1 2022","FQ1 2022","Currency=USD","Period=FQ","BEST_FPERIOD_OVERRIDE=FQ","FILING_STATUS=MR","Sort=A","Dates=H","DateFormat=P","Fill=—","Direction=H","UseDPDF=Y")</f>
        <v>241.82</v>
      </c>
      <c r="N47" s="20">
        <f>_xll.BDH("AMGN US Equity","PX_LAST","FQ2 2022","FQ2 2022","Currency=USD","Period=FQ","BEST_FPERIOD_OVERRIDE=FQ","FILING_STATUS=MR","Sort=A","Dates=H","DateFormat=P","Fill=—","Direction=H","UseDPDF=Y")</f>
        <v>243.3</v>
      </c>
      <c r="O47" s="20">
        <f>_xll.BDH("AMGN US Equity","PX_LAST","FQ3 2022","FQ3 2022","Currency=USD","Period=FQ","BEST_FPERIOD_OVERRIDE=FQ","FILING_STATUS=MR","Sort=A","Dates=H","DateFormat=P","Fill=—","Direction=H","UseDPDF=Y")</f>
        <v>225.4</v>
      </c>
      <c r="P47" s="20">
        <f>_xll.BDH("AMGN US Equity","PX_LAST","FQ4 2022","FQ4 2022","Currency=USD","Period=FQ","BEST_FPERIOD_OVERRIDE=FQ","FILING_STATUS=MR","Sort=A","Dates=H","DateFormat=P","Fill=—","Direction=H","UseDPDF=Y")</f>
        <v>262.64</v>
      </c>
      <c r="Q47" s="20">
        <f>_xll.BDH("AMGN US Equity","PX_LAST","FQ1 2023","FQ1 2023","Currency=USD","Period=FQ","BEST_FPERIOD_OVERRIDE=FQ","FILING_STATUS=MR","Sort=A","Dates=H","DateFormat=P","Fill=—","Direction=H","UseDPDF=Y")</f>
        <v>241.75</v>
      </c>
      <c r="R47" s="20">
        <f>_xll.BDH("AMGN US Equity","PX_LAST","FQ2 2023","FQ2 2023","Currency=USD","Period=FQ","BEST_FPERIOD_OVERRIDE=FQ","FILING_STATUS=MR","Sort=A","Dates=H","DateFormat=P","Fill=—","Direction=H","UseDPDF=Y")</f>
        <v>222.02</v>
      </c>
      <c r="S47" s="20">
        <f>_xll.BDH("AMGN US Equity","PX_LAST","FQ3 2023","FQ3 2023","Currency=USD","Period=FQ","BEST_FPERIOD_OVERRIDE=FQ","FILING_STATUS=MR","Sort=A","Dates=H","DateFormat=P","Fill=—","Direction=H","UseDPDF=Y")</f>
        <v>268.76</v>
      </c>
      <c r="T47" s="20">
        <f>_xll.BDH("AMGN US Equity","PX_LAST","FQ4 2023","FQ4 2023","Currency=USD","Period=FQ","BEST_FPERIOD_OVERRIDE=FQ","FILING_STATUS=MR","Sort=A","Dates=H","DateFormat=P","Fill=—","Direction=H","UseDPDF=Y")</f>
        <v>288.02</v>
      </c>
      <c r="U47" s="20">
        <f>_xll.BDH("AMGN US Equity","PX_LAST","FQ1 2024","FQ1 2024","Currency=USD","Period=FQ","BEST_FPERIOD_OVERRIDE=FQ","FILING_STATUS=MR","Sort=A","Dates=H","DateFormat=P","Fill=—","Direction=H","UseDPDF=Y")</f>
        <v>284.32</v>
      </c>
      <c r="V47" s="20">
        <f>_xll.BDH("AMGN US Equity","PX_LAST","FQ2 2024","FQ2 2024","Currency=USD","Period=FQ","BEST_FPERIOD_OVERRIDE=FQ","FILING_STATUS=MR","Sort=A","Dates=H","DateFormat=P","Fill=—","Direction=H","UseDPDF=Y")</f>
        <v>312.45</v>
      </c>
      <c r="W47" s="20">
        <f>_xll.BDH("AMGN US Equity","PX_LAST","FQ3 2024","FQ3 2024","Currency=USD","Period=FQ","BEST_FPERIOD_OVERRIDE=FQ","FILING_STATUS=MR","Sort=A","Dates=H","DateFormat=P","Fill=—","Direction=H","UseDPDF=Y")</f>
        <v>322.20999999999998</v>
      </c>
      <c r="X47" s="20">
        <f>_xll.BDH("AMGN US Equity","PX_LAST","FQ4 2024","FQ4 2024","Currency=USD","Period=FQ","BEST_FPERIOD_OVERRIDE=FQ","FILING_STATUS=MR","Sort=A","Dates=H","DateFormat=P","Fill=—","Direction=H","UseDPDF=Y")</f>
        <v>260.64</v>
      </c>
      <c r="Y47" s="23">
        <v>307.61999511718801</v>
      </c>
      <c r="Z47" s="20"/>
      <c r="AA47" s="20"/>
    </row>
    <row r="48" spans="1:27" x14ac:dyDescent="0.25">
      <c r="A48" s="10" t="s">
        <v>211</v>
      </c>
      <c r="B48" s="10" t="s">
        <v>246</v>
      </c>
      <c r="C48" s="14">
        <f>_xll.BDH("AMGN US Equity","PX_HIGH","FQ3 2019","FQ3 2019","Currency=USD","Period=FQ","BEST_FPERIOD_OVERRIDE=FQ","FILING_STATUS=MR","Sort=A","Dates=H","DateFormat=P","Fill=—","Direction=H","UseDPDF=Y")</f>
        <v>211.9</v>
      </c>
      <c r="D48" s="14">
        <f>_xll.BDH("AMGN US Equity","PX_HIGH","FQ4 2019","FQ4 2019","Currency=USD","Period=FQ","BEST_FPERIOD_OVERRIDE=FQ","FILING_STATUS=MR","Sort=A","Dates=H","DateFormat=P","Fill=—","Direction=H","UseDPDF=Y")</f>
        <v>244.99</v>
      </c>
      <c r="E48" s="14">
        <f>_xll.BDH("AMGN US Equity","PX_HIGH","FQ1 2020","FQ1 2020","Currency=USD","Period=FQ","BEST_FPERIOD_OVERRIDE=FQ","FILING_STATUS=MR","Sort=A","Dates=H","DateFormat=P","Fill=—","Direction=H","UseDPDF=Y")</f>
        <v>243.85</v>
      </c>
      <c r="F48" s="14">
        <f>_xll.BDH("AMGN US Equity","PX_HIGH","FQ2 2020","FQ2 2020","Currency=USD","Period=FQ","BEST_FPERIOD_OVERRIDE=FQ","FILING_STATUS=MR","Sort=A","Dates=H","DateFormat=P","Fill=—","Direction=H","UseDPDF=Y")</f>
        <v>244.95</v>
      </c>
      <c r="G48" s="14">
        <f>_xll.BDH("AMGN US Equity","PX_HIGH","FQ3 2020","FQ3 2020","Currency=USD","Period=FQ","BEST_FPERIOD_OVERRIDE=FQ","FILING_STATUS=MR","Sort=A","Dates=H","DateFormat=P","Fill=—","Direction=H","UseDPDF=Y")</f>
        <v>264.97000000000003</v>
      </c>
      <c r="H48" s="14">
        <f>_xll.BDH("AMGN US Equity","PX_HIGH","FQ4 2020","FQ4 2020","Currency=USD","Period=FQ","BEST_FPERIOD_OVERRIDE=FQ","FILING_STATUS=MR","Sort=A","Dates=H","DateFormat=P","Fill=—","Direction=H","UseDPDF=Y")</f>
        <v>258.505</v>
      </c>
      <c r="I48" s="14">
        <f>_xll.BDH("AMGN US Equity","PX_HIGH","FQ1 2021","FQ1 2021","Currency=USD","Period=FQ","BEST_FPERIOD_OVERRIDE=FQ","FILING_STATUS=MR","Sort=A","Dates=H","DateFormat=P","Fill=—","Direction=H","UseDPDF=Y")</f>
        <v>276.69</v>
      </c>
      <c r="J48" s="14">
        <f>_xll.BDH("AMGN US Equity","PX_HIGH","FQ2 2021","FQ2 2021","Currency=USD","Period=FQ","BEST_FPERIOD_OVERRIDE=FQ","FILING_STATUS=MR","Sort=A","Dates=H","DateFormat=P","Fill=—","Direction=H","UseDPDF=Y")</f>
        <v>261</v>
      </c>
      <c r="K48" s="14">
        <f>_xll.BDH("AMGN US Equity","PX_HIGH","FQ3 2021","FQ3 2021","Currency=USD","Period=FQ","BEST_FPERIOD_OVERRIDE=FQ","FILING_STATUS=MR","Sort=A","Dates=H","DateFormat=P","Fill=—","Direction=H","UseDPDF=Y")</f>
        <v>250.39</v>
      </c>
      <c r="L48" s="14">
        <f>_xll.BDH("AMGN US Equity","PX_HIGH","FQ4 2021","FQ4 2021","Currency=USD","Period=FQ","BEST_FPERIOD_OVERRIDE=FQ","FILING_STATUS=MR","Sort=A","Dates=H","DateFormat=P","Fill=—","Direction=H","UseDPDF=Y")</f>
        <v>231.04</v>
      </c>
      <c r="M48" s="14">
        <f>_xll.BDH("AMGN US Equity","PX_HIGH","FQ1 2022","FQ1 2022","Currency=USD","Period=FQ","BEST_FPERIOD_OVERRIDE=FQ","FILING_STATUS=MR","Sort=A","Dates=H","DateFormat=P","Fill=—","Direction=H","UseDPDF=Y")</f>
        <v>245.48</v>
      </c>
      <c r="N48" s="14">
        <f>_xll.BDH("AMGN US Equity","PX_HIGH","FQ2 2022","FQ2 2022","Currency=USD","Period=FQ","BEST_FPERIOD_OVERRIDE=FQ","FILING_STATUS=MR","Sort=A","Dates=H","DateFormat=P","Fill=—","Direction=H","UseDPDF=Y")</f>
        <v>258.45</v>
      </c>
      <c r="O48" s="14">
        <f>_xll.BDH("AMGN US Equity","PX_HIGH","FQ3 2022","FQ3 2022","Currency=USD","Period=FQ","BEST_FPERIOD_OVERRIDE=FQ","FILING_STATUS=MR","Sort=A","Dates=H","DateFormat=P","Fill=—","Direction=H","UseDPDF=Y")</f>
        <v>254.16</v>
      </c>
      <c r="P48" s="14">
        <f>_xll.BDH("AMGN US Equity","PX_HIGH","FQ4 2022","FQ4 2022","Currency=USD","Period=FQ","BEST_FPERIOD_OVERRIDE=FQ","FILING_STATUS=MR","Sort=A","Dates=H","DateFormat=P","Fill=—","Direction=H","UseDPDF=Y")</f>
        <v>296.67</v>
      </c>
      <c r="Q48" s="14">
        <f>_xll.BDH("AMGN US Equity","PX_HIGH","FQ1 2023","FQ1 2023","Currency=USD","Period=FQ","BEST_FPERIOD_OVERRIDE=FQ","FILING_STATUS=MR","Sort=A","Dates=H","DateFormat=P","Fill=—","Direction=H","UseDPDF=Y")</f>
        <v>276.83999999999997</v>
      </c>
      <c r="R48" s="14">
        <f>_xll.BDH("AMGN US Equity","PX_HIGH","FQ2 2023","FQ2 2023","Currency=USD","Period=FQ","BEST_FPERIOD_OVERRIDE=FQ","FILING_STATUS=MR","Sort=A","Dates=H","DateFormat=P","Fill=—","Direction=H","UseDPDF=Y")</f>
        <v>256.44</v>
      </c>
      <c r="S48" s="14">
        <f>_xll.BDH("AMGN US Equity","PX_HIGH","FQ3 2023","FQ3 2023","Currency=USD","Period=FQ","BEST_FPERIOD_OVERRIDE=FQ","FILING_STATUS=MR","Sort=A","Dates=H","DateFormat=P","Fill=—","Direction=H","UseDPDF=Y")</f>
        <v>273.61</v>
      </c>
      <c r="T48" s="14">
        <f>_xll.BDH("AMGN US Equity","PX_HIGH","FQ4 2023","FQ4 2023","Currency=USD","Period=FQ","BEST_FPERIOD_OVERRIDE=FQ","FILING_STATUS=MR","Sort=A","Dates=H","DateFormat=P","Fill=—","Direction=H","UseDPDF=Y")</f>
        <v>289.04000000000002</v>
      </c>
      <c r="U48" s="14">
        <f>_xll.BDH("AMGN US Equity","PX_HIGH","FQ1 2024","FQ1 2024","Currency=USD","Period=FQ","BEST_FPERIOD_OVERRIDE=FQ","FILING_STATUS=MR","Sort=A","Dates=H","DateFormat=P","Fill=—","Direction=H","UseDPDF=Y")</f>
        <v>329.72</v>
      </c>
      <c r="V48" s="14">
        <f>_xll.BDH("AMGN US Equity","PX_HIGH","FQ2 2024","FQ2 2024","Currency=USD","Period=FQ","BEST_FPERIOD_OVERRIDE=FQ","FILING_STATUS=MR","Sort=A","Dates=H","DateFormat=P","Fill=—","Direction=H","UseDPDF=Y")</f>
        <v>326.12</v>
      </c>
      <c r="W48" s="14">
        <f>_xll.BDH("AMGN US Equity","PX_HIGH","FQ3 2024","FQ3 2024","Currency=USD","Period=FQ","BEST_FPERIOD_OVERRIDE=FQ","FILING_STATUS=MR","Sort=A","Dates=H","DateFormat=P","Fill=—","Direction=H","UseDPDF=Y")</f>
        <v>346.85</v>
      </c>
      <c r="X48" s="14">
        <f>_xll.BDH("AMGN US Equity","PX_HIGH","FQ4 2024","FQ4 2024","Currency=USD","Period=FQ","BEST_FPERIOD_OVERRIDE=FQ","FILING_STATUS=MR","Sort=A","Dates=H","DateFormat=P","Fill=—","Direction=H","UseDPDF=Y")</f>
        <v>329.17</v>
      </c>
      <c r="Y48" s="17">
        <v>308.13729858398398</v>
      </c>
      <c r="Z48" s="14"/>
      <c r="AA48" s="14"/>
    </row>
    <row r="49" spans="1:27" x14ac:dyDescent="0.25">
      <c r="A49" s="10" t="s">
        <v>213</v>
      </c>
      <c r="B49" s="10" t="s">
        <v>247</v>
      </c>
      <c r="C49" s="14">
        <f>_xll.BDH("AMGN US Equity","PX_LOW","FQ3 2019","FQ3 2019","Currency=USD","Period=FQ","BEST_FPERIOD_OVERRIDE=FQ","FILING_STATUS=MR","Sort=A","Dates=H","DateFormat=P","Fill=—","Direction=H","UseDPDF=Y")</f>
        <v>173.12</v>
      </c>
      <c r="D49" s="14">
        <f>_xll.BDH("AMGN US Equity","PX_LOW","FQ4 2019","FQ4 2019","Currency=USD","Period=FQ","BEST_FPERIOD_OVERRIDE=FQ","FILING_STATUS=MR","Sort=A","Dates=H","DateFormat=P","Fill=—","Direction=H","UseDPDF=Y")</f>
        <v>188.78</v>
      </c>
      <c r="E49" s="14">
        <f>_xll.BDH("AMGN US Equity","PX_LOW","FQ1 2020","FQ1 2020","Currency=USD","Period=FQ","BEST_FPERIOD_OVERRIDE=FQ","FILING_STATUS=MR","Sort=A","Dates=H","DateFormat=P","Fill=—","Direction=H","UseDPDF=Y")</f>
        <v>177.05</v>
      </c>
      <c r="F49" s="14">
        <f>_xll.BDH("AMGN US Equity","PX_LOW","FQ2 2020","FQ2 2020","Currency=USD","Period=FQ","BEST_FPERIOD_OVERRIDE=FQ","FILING_STATUS=MR","Sort=A","Dates=H","DateFormat=P","Fill=—","Direction=H","UseDPDF=Y")</f>
        <v>194.21</v>
      </c>
      <c r="G49" s="14">
        <f>_xll.BDH("AMGN US Equity","PX_LOW","FQ3 2020","FQ3 2020","Currency=USD","Period=FQ","BEST_FPERIOD_OVERRIDE=FQ","FILING_STATUS=MR","Sort=A","Dates=H","DateFormat=P","Fill=—","Direction=H","UseDPDF=Y")</f>
        <v>232.58</v>
      </c>
      <c r="H49" s="14">
        <f>_xll.BDH("AMGN US Equity","PX_LOW","FQ4 2020","FQ4 2020","Currency=USD","Period=FQ","BEST_FPERIOD_OVERRIDE=FQ","FILING_STATUS=MR","Sort=A","Dates=H","DateFormat=P","Fill=—","Direction=H","UseDPDF=Y")</f>
        <v>210.28</v>
      </c>
      <c r="I49" s="14">
        <f>_xll.BDH("AMGN US Equity","PX_LOW","FQ1 2021","FQ1 2021","Currency=USD","Period=FQ","BEST_FPERIOD_OVERRIDE=FQ","FILING_STATUS=MR","Sort=A","Dates=H","DateFormat=P","Fill=—","Direction=H","UseDPDF=Y")</f>
        <v>220.25299999999999</v>
      </c>
      <c r="J49" s="14">
        <f>_xll.BDH("AMGN US Equity","PX_LOW","FQ2 2021","FQ2 2021","Currency=USD","Period=FQ","BEST_FPERIOD_OVERRIDE=FQ","FILING_STATUS=MR","Sort=A","Dates=H","DateFormat=P","Fill=—","Direction=H","UseDPDF=Y")</f>
        <v>231.03</v>
      </c>
      <c r="K49" s="14">
        <f>_xll.BDH("AMGN US Equity","PX_LOW","FQ3 2021","FQ3 2021","Currency=USD","Period=FQ","BEST_FPERIOD_OVERRIDE=FQ","FILING_STATUS=MR","Sort=A","Dates=H","DateFormat=P","Fill=—","Direction=H","UseDPDF=Y")</f>
        <v>211.65</v>
      </c>
      <c r="L49" s="14">
        <f>_xll.BDH("AMGN US Equity","PX_LOW","FQ4 2021","FQ4 2021","Currency=USD","Period=FQ","BEST_FPERIOD_OVERRIDE=FQ","FILING_STATUS=MR","Sort=A","Dates=H","DateFormat=P","Fill=—","Direction=H","UseDPDF=Y")</f>
        <v>198.64</v>
      </c>
      <c r="M49" s="14">
        <f>_xll.BDH("AMGN US Equity","PX_LOW","FQ1 2022","FQ1 2022","Currency=USD","Period=FQ","BEST_FPERIOD_OVERRIDE=FQ","FILING_STATUS=MR","Sort=A","Dates=H","DateFormat=P","Fill=—","Direction=H","UseDPDF=Y")</f>
        <v>214.392</v>
      </c>
      <c r="N49" s="14">
        <f>_xll.BDH("AMGN US Equity","PX_LOW","FQ2 2022","FQ2 2022","Currency=USD","Period=FQ","BEST_FPERIOD_OVERRIDE=FQ","FILING_STATUS=MR","Sort=A","Dates=H","DateFormat=P","Fill=—","Direction=H","UseDPDF=Y")</f>
        <v>227.32</v>
      </c>
      <c r="O49" s="14">
        <f>_xll.BDH("AMGN US Equity","PX_LOW","FQ3 2022","FQ3 2022","Currency=USD","Period=FQ","BEST_FPERIOD_OVERRIDE=FQ","FILING_STATUS=MR","Sort=A","Dates=H","DateFormat=P","Fill=—","Direction=H","UseDPDF=Y")</f>
        <v>223.3</v>
      </c>
      <c r="P49" s="14">
        <f>_xll.BDH("AMGN US Equity","PX_LOW","FQ4 2022","FQ4 2022","Currency=USD","Period=FQ","BEST_FPERIOD_OVERRIDE=FQ","FILING_STATUS=MR","Sort=A","Dates=H","DateFormat=P","Fill=—","Direction=H","UseDPDF=Y")</f>
        <v>226.42</v>
      </c>
      <c r="Q49" s="14">
        <f>_xll.BDH("AMGN US Equity","PX_LOW","FQ1 2023","FQ1 2023","Currency=USD","Period=FQ","BEST_FPERIOD_OVERRIDE=FQ","FILING_STATUS=MR","Sort=A","Dates=H","DateFormat=P","Fill=—","Direction=H","UseDPDF=Y")</f>
        <v>225.4</v>
      </c>
      <c r="R49" s="14">
        <f>_xll.BDH("AMGN US Equity","PX_LOW","FQ2 2023","FQ2 2023","Currency=USD","Period=FQ","BEST_FPERIOD_OVERRIDE=FQ","FILING_STATUS=MR","Sort=A","Dates=H","DateFormat=P","Fill=—","Direction=H","UseDPDF=Y")</f>
        <v>211.71</v>
      </c>
      <c r="S49" s="14">
        <f>_xll.BDH("AMGN US Equity","PX_LOW","FQ3 2023","FQ3 2023","Currency=USD","Period=FQ","BEST_FPERIOD_OVERRIDE=FQ","FILING_STATUS=MR","Sort=A","Dates=H","DateFormat=P","Fill=—","Direction=H","UseDPDF=Y")</f>
        <v>218.44</v>
      </c>
      <c r="T49" s="14">
        <f>_xll.BDH("AMGN US Equity","PX_LOW","FQ4 2023","FQ4 2023","Currency=USD","Period=FQ","BEST_FPERIOD_OVERRIDE=FQ","FILING_STATUS=MR","Sort=A","Dates=H","DateFormat=P","Fill=—","Direction=H","UseDPDF=Y")</f>
        <v>249.7</v>
      </c>
      <c r="U49" s="14">
        <f>_xll.BDH("AMGN US Equity","PX_LOW","FQ1 2024","FQ1 2024","Currency=USD","Period=FQ","BEST_FPERIOD_OVERRIDE=FQ","FILING_STATUS=MR","Sort=A","Dates=H","DateFormat=P","Fill=—","Direction=H","UseDPDF=Y")</f>
        <v>268.17</v>
      </c>
      <c r="V49" s="14">
        <f>_xll.BDH("AMGN US Equity","PX_LOW","FQ2 2024","FQ2 2024","Currency=USD","Period=FQ","BEST_FPERIOD_OVERRIDE=FQ","FILING_STATUS=MR","Sort=A","Dates=H","DateFormat=P","Fill=—","Direction=H","UseDPDF=Y")</f>
        <v>260.68</v>
      </c>
      <c r="W49" s="14">
        <f>_xll.BDH("AMGN US Equity","PX_LOW","FQ3 2024","FQ3 2024","Currency=USD","Period=FQ","BEST_FPERIOD_OVERRIDE=FQ","FILING_STATUS=MR","Sort=A","Dates=H","DateFormat=P","Fill=—","Direction=H","UseDPDF=Y")</f>
        <v>306.11</v>
      </c>
      <c r="X49" s="14">
        <f>_xll.BDH("AMGN US Equity","PX_LOW","FQ4 2024","FQ4 2024","Currency=USD","Period=FQ","BEST_FPERIOD_OVERRIDE=FQ","FILING_STATUS=MR","Sort=A","Dates=H","DateFormat=P","Fill=—","Direction=H","UseDPDF=Y")</f>
        <v>253.3</v>
      </c>
      <c r="Y49" s="17">
        <v>304.71499633789102</v>
      </c>
      <c r="Z49" s="14"/>
      <c r="AA49" s="14"/>
    </row>
    <row r="50" spans="1:27" x14ac:dyDescent="0.25">
      <c r="A50" s="6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21"/>
      <c r="Z50" s="18"/>
      <c r="AA50" s="18"/>
    </row>
    <row r="51" spans="1:27" x14ac:dyDescent="0.25">
      <c r="A51" s="6" t="s">
        <v>68</v>
      </c>
      <c r="B51" s="6" t="s">
        <v>69</v>
      </c>
      <c r="C51" s="19">
        <f>_xll.BDH("AMGN US Equity","ENTERPRISE_VALUE","FQ3 2019","FQ3 2019","Currency=USD","Period=FQ","BEST_FPERIOD_OVERRIDE=FQ","FILING_STATUS=MR","SCALING_FORMAT=MLN","Sort=A","Dates=H","DateFormat=P","Fill=—","Direction=H","UseDPDF=Y")</f>
        <v>124794.662</v>
      </c>
      <c r="D51" s="19">
        <f>_xll.BDH("AMGN US Equity","ENTERPRISE_VALUE","FQ4 2019","FQ4 2019","Currency=USD","Period=FQ","BEST_FPERIOD_OVERRIDE=FQ","FILING_STATUS=MR","SCALING_FORMAT=MLN","Sort=A","Dates=H","DateFormat=P","Fill=—","Direction=H","UseDPDF=Y")</f>
        <v>164088.79800000001</v>
      </c>
      <c r="E51" s="19">
        <f>_xll.BDH("AMGN US Equity","ENTERPRISE_VALUE","FQ1 2020","FQ1 2020","Currency=USD","Period=FQ","BEST_FPERIOD_OVERRIDE=FQ","FILING_STATUS=MR","SCALING_FORMAT=MLN","Sort=A","Dates=H","DateFormat=P","Fill=—","Direction=H","UseDPDF=Y")</f>
        <v>143041.24</v>
      </c>
      <c r="F51" s="19">
        <f>_xll.BDH("AMGN US Equity","ENTERPRISE_VALUE","FQ2 2020","FQ2 2020","Currency=USD","Period=FQ","BEST_FPERIOD_OVERRIDE=FQ","FILING_STATUS=MR","SCALING_FORMAT=MLN","Sort=A","Dates=H","DateFormat=P","Fill=—","Direction=H","UseDPDF=Y")</f>
        <v>161111.304</v>
      </c>
      <c r="G51" s="19">
        <f>_xll.BDH("AMGN US Equity","ENTERPRISE_VALUE","FQ3 2020","FQ3 2020","Currency=USD","Period=FQ","BEST_FPERIOD_OVERRIDE=FQ","FILING_STATUS=MR","SCALING_FORMAT=MLN","Sort=A","Dates=H","DateFormat=P","Fill=—","Direction=H","UseDPDF=Y")</f>
        <v>170229.36</v>
      </c>
      <c r="H51" s="19">
        <f>_xll.BDH("AMGN US Equity","ENTERPRISE_VALUE","FQ4 2020","FQ4 2020","Currency=USD","Period=FQ","BEST_FPERIOD_OVERRIDE=FQ","FILING_STATUS=MR","SCALING_FORMAT=MLN","Sort=A","Dates=H","DateFormat=P","Fill=—","Direction=H","UseDPDF=Y")</f>
        <v>155760.736</v>
      </c>
      <c r="I51" s="19">
        <f>_xll.BDH("AMGN US Equity","ENTERPRISE_VALUE","FQ1 2021","FQ1 2021","Currency=USD","Period=FQ","BEST_FPERIOD_OVERRIDE=FQ","FILING_STATUS=MR","SCALING_FORMAT=MLN","Sort=A","Dates=H","DateFormat=P","Fill=—","Direction=H","UseDPDF=Y")</f>
        <v>165259.39300000001</v>
      </c>
      <c r="J51" s="19">
        <f>_xll.BDH("AMGN US Equity","ENTERPRISE_VALUE","FQ2 2021","FQ2 2021","Currency=USD","Period=FQ","BEST_FPERIOD_OVERRIDE=FQ","FILING_STATUS=MR","SCALING_FORMAT=MLN","Sort=A","Dates=H","DateFormat=P","Fill=—","Direction=H","UseDPDF=Y")</f>
        <v>163540</v>
      </c>
      <c r="K51" s="19">
        <f>_xll.BDH("AMGN US Equity","ENTERPRISE_VALUE","FQ3 2021","FQ3 2021","Currency=USD","Period=FQ","BEST_FPERIOD_OVERRIDE=FQ","FILING_STATUS=MR","SCALING_FORMAT=MLN","Sort=A","Dates=H","DateFormat=P","Fill=—","Direction=H","UseDPDF=Y")</f>
        <v>144805.25</v>
      </c>
      <c r="L51" s="19">
        <f>_xll.BDH("AMGN US Equity","ENTERPRISE_VALUE","FQ4 2021","FQ4 2021","Currency=USD","Period=FQ","BEST_FPERIOD_OVERRIDE=FQ","FILING_STATUS=MR","SCALING_FORMAT=MLN","Sort=A","Dates=H","DateFormat=P","Fill=—","Direction=H","UseDPDF=Y")</f>
        <v>146075.98000000001</v>
      </c>
      <c r="M51" s="19">
        <f>_xll.BDH("AMGN US Equity","ENTERPRISE_VALUE","FQ1 2022","FQ1 2022","Currency=USD","Period=FQ","BEST_FPERIOD_OVERRIDE=FQ","FILING_STATUS=MR","SCALING_FORMAT=MLN","Sort=A","Dates=H","DateFormat=P","Fill=—","Direction=H","UseDPDF=Y")</f>
        <v>159490.24400000001</v>
      </c>
      <c r="N51" s="19">
        <f>_xll.BDH("AMGN US Equity","ENTERPRISE_VALUE","FQ2 2022","FQ2 2022","Currency=USD","Period=FQ","BEST_FPERIOD_OVERRIDE=FQ","FILING_STATUS=MR","SCALING_FORMAT=MLN","Sort=A","Dates=H","DateFormat=P","Fill=—","Direction=H","UseDPDF=Y")</f>
        <v>159480.17000000001</v>
      </c>
      <c r="O51" s="19">
        <f>_xll.BDH("AMGN US Equity","ENTERPRISE_VALUE","FQ3 2022","FQ3 2022","Currency=USD","Period=FQ","BEST_FPERIOD_OVERRIDE=FQ","FILING_STATUS=MR","SCALING_FORMAT=MLN","Sort=A","Dates=H","DateFormat=P","Fill=—","Direction=H","UseDPDF=Y")</f>
        <v>147476.9</v>
      </c>
      <c r="P51" s="19">
        <f>_xll.BDH("AMGN US Equity","ENTERPRISE_VALUE","FQ4 2022","FQ4 2022","Currency=USD","Period=FQ","BEST_FPERIOD_OVERRIDE=FQ","FILING_STATUS=MR","SCALING_FORMAT=MLN","Sort=A","Dates=H","DateFormat=P","Fill=—","Direction=H","UseDPDF=Y")</f>
        <v>170584.76</v>
      </c>
      <c r="Q51" s="19">
        <f>_xll.BDH("AMGN US Equity","ENTERPRISE_VALUE","FQ1 2023","FQ1 2023","Currency=USD","Period=FQ","BEST_FPERIOD_OVERRIDE=FQ","FILING_STATUS=MR","SCALING_FORMAT=MLN","Sort=A","Dates=H","DateFormat=P","Fill=—","Direction=H","UseDPDF=Y")</f>
        <v>159201.02499999999</v>
      </c>
      <c r="R51" s="19">
        <f>_xll.BDH("AMGN US Equity","ENTERPRISE_VALUE","FQ2 2023","FQ2 2023","Currency=USD","Period=FQ","BEST_FPERIOD_OVERRIDE=FQ","FILING_STATUS=MR","SCALING_FORMAT=MLN","Sort=A","Dates=H","DateFormat=P","Fill=—","Direction=H","UseDPDF=Y")</f>
        <v>146054.49799999999</v>
      </c>
      <c r="S51" s="19">
        <f>_xll.BDH("AMGN US Equity","ENTERPRISE_VALUE","FQ3 2023","FQ3 2023","Currency=USD","Period=FQ","BEST_FPERIOD_OVERRIDE=FQ","FILING_STATUS=MR","SCALING_FORMAT=MLN","Sort=A","Dates=H","DateFormat=P","Fill=—","Direction=H","UseDPDF=Y")</f>
        <v>169540.476</v>
      </c>
      <c r="T51" s="19">
        <f>_xll.BDH("AMGN US Equity","ENTERPRISE_VALUE","FQ4 2023","FQ4 2023","Currency=USD","Period=FQ","BEST_FPERIOD_OVERRIDE=FQ","FILING_STATUS=MR","SCALING_FORMAT=MLN","Sort=A","Dates=H","DateFormat=P","Fill=—","Direction=H","UseDPDF=Y")</f>
        <v>208684.908</v>
      </c>
      <c r="U51" s="19">
        <f>_xll.BDH("AMGN US Equity","ENTERPRISE_VALUE","FQ1 2024","FQ1 2024","Currency=USD","Period=FQ","BEST_FPERIOD_OVERRIDE=FQ","FILING_STATUS=MR","SCALING_FORMAT=MLN","Sort=A","Dates=H","DateFormat=P","Fill=—","Direction=H","UseDPDF=Y")</f>
        <v>206821.24799999999</v>
      </c>
      <c r="V51" s="19">
        <f>_xll.BDH("AMGN US Equity","ENTERPRISE_VALUE","FQ2 2024","FQ2 2024","Currency=USD","Period=FQ","BEST_FPERIOD_OVERRIDE=FQ","FILING_STATUS=MR","SCALING_FORMAT=MLN","Sort=A","Dates=H","DateFormat=P","Fill=—","Direction=H","UseDPDF=Y")</f>
        <v>221192.14</v>
      </c>
      <c r="W51" s="19">
        <f>_xll.BDH("AMGN US Equity","ENTERPRISE_VALUE","FQ3 2024","FQ3 2024","Currency=USD","Period=FQ","BEST_FPERIOD_OVERRIDE=FQ","FILING_STATUS=MR","SCALING_FORMAT=MLN","Sort=A","Dates=H","DateFormat=P","Fill=—","Direction=H","UseDPDF=Y")</f>
        <v>224574.875</v>
      </c>
      <c r="X51" s="19">
        <f>_xll.BDH("AMGN US Equity","ENTERPRISE_VALUE","FQ4 2024","FQ4 2024","Currency=USD","Period=FQ","BEST_FPERIOD_OVERRIDE=FQ","FILING_STATUS=MR","SCALING_FORMAT=MLN","Sort=A","Dates=H","DateFormat=P","Fill=—","Direction=H","UseDPDF=Y")</f>
        <v>188843.61600000001</v>
      </c>
      <c r="Y51" s="22">
        <v>214160.98456566001</v>
      </c>
      <c r="Z51" s="19"/>
      <c r="AA51" s="19"/>
    </row>
    <row r="52" spans="1:27" x14ac:dyDescent="0.25">
      <c r="A52" s="10" t="s">
        <v>209</v>
      </c>
      <c r="B52" s="10" t="s">
        <v>248</v>
      </c>
      <c r="C52" s="13">
        <f>_xll.BDH("AMGN US Equity","AVERAGE_ENTERPRISE_VALUE","FQ3 2019","FQ3 2019","Currency=USD","Period=FQ","BEST_FPERIOD_OVERRIDE=FQ","FILING_STATUS=MR","SCALING_FORMAT=MLN","Sort=A","Dates=H","DateFormat=P","Fill=—","Direction=H","UseDPDF=Y")</f>
        <v>125045.51179999999</v>
      </c>
      <c r="D52" s="13">
        <f>_xll.BDH("AMGN US Equity","AVERAGE_ENTERPRISE_VALUE","FQ4 2019","FQ4 2019","Currency=USD","Period=FQ","BEST_FPERIOD_OVERRIDE=FQ","FILING_STATUS=MR","SCALING_FORMAT=MLN","Sort=A","Dates=H","DateFormat=P","Fill=—","Direction=H","UseDPDF=Y")</f>
        <v>140951.68789999999</v>
      </c>
      <c r="E52" s="13">
        <f>_xll.BDH("AMGN US Equity","AVERAGE_ENTERPRISE_VALUE","FQ1 2020","FQ1 2020","Currency=USD","Period=FQ","BEST_FPERIOD_OVERRIDE=FQ","FILING_STATUS=MR","SCALING_FORMAT=MLN","Sort=A","Dates=H","DateFormat=P","Fill=—","Direction=H","UseDPDF=Y")</f>
        <v>150753.3284</v>
      </c>
      <c r="F52" s="13">
        <f>_xll.BDH("AMGN US Equity","AVERAGE_ENTERPRISE_VALUE","FQ2 2020","FQ2 2020","Currency=USD","Period=FQ","BEST_FPERIOD_OVERRIDE=FQ","FILING_STATUS=MR","SCALING_FORMAT=MLN","Sort=A","Dates=H","DateFormat=P","Fill=—","Direction=H","UseDPDF=Y")</f>
        <v>158023.014</v>
      </c>
      <c r="G52" s="13">
        <f>_xll.BDH("AMGN US Equity","AVERAGE_ENTERPRISE_VALUE","FQ3 2020","FQ3 2020","Currency=USD","Period=FQ","BEST_FPERIOD_OVERRIDE=FQ","FILING_STATUS=MR","SCALING_FORMAT=MLN","Sort=A","Dates=H","DateFormat=P","Fill=—","Direction=H","UseDPDF=Y")</f>
        <v>168071.47560000001</v>
      </c>
      <c r="H52" s="13">
        <f>_xll.BDH("AMGN US Equity","AVERAGE_ENTERPRISE_VALUE","FQ4 2020","FQ4 2020","Currency=USD","Period=FQ","BEST_FPERIOD_OVERRIDE=FQ","FILING_STATUS=MR","SCALING_FORMAT=MLN","Sort=A","Dates=H","DateFormat=P","Fill=—","Direction=H","UseDPDF=Y")</f>
        <v>156425.04190000001</v>
      </c>
      <c r="I52" s="13">
        <f>_xll.BDH("AMGN US Equity","AVERAGE_ENTERPRISE_VALUE","FQ1 2021","FQ1 2021","Currency=USD","Period=FQ","BEST_FPERIOD_OVERRIDE=FQ","FILING_STATUS=MR","SCALING_FORMAT=MLN","Sort=A","Dates=H","DateFormat=P","Fill=—","Direction=H","UseDPDF=Y")</f>
        <v>160991.29120000001</v>
      </c>
      <c r="J52" s="13">
        <f>_xll.BDH("AMGN US Equity","AVERAGE_ENTERPRISE_VALUE","FQ2 2021","FQ2 2021","Currency=USD","Period=FQ","BEST_FPERIOD_OVERRIDE=FQ","FILING_STATUS=MR","SCALING_FORMAT=MLN","Sort=A","Dates=H","DateFormat=P","Fill=—","Direction=H","UseDPDF=Y")</f>
        <v>163607.19029999999</v>
      </c>
      <c r="K52" s="13">
        <f>_xll.BDH("AMGN US Equity","AVERAGE_ENTERPRISE_VALUE","FQ3 2021","FQ3 2021","Currency=USD","Period=FQ","BEST_FPERIOD_OVERRIDE=FQ","FILING_STATUS=MR","SCALING_FORMAT=MLN","Sort=A","Dates=H","DateFormat=P","Fill=—","Direction=H","UseDPDF=Y")</f>
        <v>155989.3988</v>
      </c>
      <c r="L52" s="13">
        <f>_xll.BDH("AMGN US Equity","AVERAGE_ENTERPRISE_VALUE","FQ4 2021","FQ4 2021","Currency=USD","Period=FQ","BEST_FPERIOD_OVERRIDE=FQ","FILING_STATUS=MR","SCALING_FORMAT=MLN","Sort=A","Dates=H","DateFormat=P","Fill=—","Direction=H","UseDPDF=Y")</f>
        <v>143902.1882</v>
      </c>
      <c r="M52" s="13">
        <f>_xll.BDH("AMGN US Equity","AVERAGE_ENTERPRISE_VALUE","FQ1 2022","FQ1 2022","Currency=USD","Period=FQ","BEST_FPERIOD_OVERRIDE=FQ","FILING_STATUS=MR","SCALING_FORMAT=MLN","Sort=A","Dates=H","DateFormat=P","Fill=—","Direction=H","UseDPDF=Y")</f>
        <v>154590.92540000001</v>
      </c>
      <c r="N52" s="13">
        <f>_xll.BDH("AMGN US Equity","AVERAGE_ENTERPRISE_VALUE","FQ2 2022","FQ2 2022","Currency=USD","Period=FQ","BEST_FPERIOD_OVERRIDE=FQ","FILING_STATUS=MR","SCALING_FORMAT=MLN","Sort=A","Dates=H","DateFormat=P","Fill=—","Direction=H","UseDPDF=Y")</f>
        <v>161445.75690000001</v>
      </c>
      <c r="O52" s="13">
        <f>_xll.BDH("AMGN US Equity","AVERAGE_ENTERPRISE_VALUE","FQ3 2022","FQ3 2022","Currency=USD","Period=FQ","BEST_FPERIOD_OVERRIDE=FQ","FILING_STATUS=MR","SCALING_FORMAT=MLN","Sort=A","Dates=H","DateFormat=P","Fill=—","Direction=H","UseDPDF=Y")</f>
        <v>158903.39120000001</v>
      </c>
      <c r="P52" s="13">
        <f>_xll.BDH("AMGN US Equity","AVERAGE_ENTERPRISE_VALUE","FQ4 2022","FQ4 2022","Currency=USD","Period=FQ","BEST_FPERIOD_OVERRIDE=FQ","FILING_STATUS=MR","SCALING_FORMAT=MLN","Sort=A","Dates=H","DateFormat=P","Fill=—","Direction=H","UseDPDF=Y")</f>
        <v>170436.5852</v>
      </c>
      <c r="Q52" s="13">
        <f>_xll.BDH("AMGN US Equity","AVERAGE_ENTERPRISE_VALUE","FQ1 2023","FQ1 2023","Currency=USD","Period=FQ","BEST_FPERIOD_OVERRIDE=FQ","FILING_STATUS=MR","SCALING_FORMAT=MLN","Sort=A","Dates=H","DateFormat=P","Fill=—","Direction=H","UseDPDF=Y")</f>
        <v>161373.01250000001</v>
      </c>
      <c r="R52" s="13">
        <f>_xll.BDH("AMGN US Equity","AVERAGE_ENTERPRISE_VALUE","FQ2 2023","FQ2 2023","Currency=USD","Period=FQ","BEST_FPERIOD_OVERRIDE=FQ","FILING_STATUS=MR","SCALING_FORMAT=MLN","Sort=A","Dates=H","DateFormat=P","Fill=—","Direction=H","UseDPDF=Y")</f>
        <v>153962.37669999999</v>
      </c>
      <c r="S52" s="13">
        <f>_xll.BDH("AMGN US Equity","AVERAGE_ENTERPRISE_VALUE","FQ3 2023","FQ3 2023","Currency=USD","Period=FQ","BEST_FPERIOD_OVERRIDE=FQ","FILING_STATUS=MR","SCALING_FORMAT=MLN","Sort=A","Dates=H","DateFormat=P","Fill=—","Direction=H","UseDPDF=Y")</f>
        <v>160711.4455</v>
      </c>
      <c r="T52" s="13">
        <f>_xll.BDH("AMGN US Equity","AVERAGE_ENTERPRISE_VALUE","FQ4 2023","FQ4 2023","Currency=USD","Period=FQ","BEST_FPERIOD_OVERRIDE=FQ","FILING_STATUS=MR","SCALING_FORMAT=MLN","Sort=A","Dates=H","DateFormat=P","Fill=—","Direction=H","UseDPDF=Y")</f>
        <v>171977.47150000001</v>
      </c>
      <c r="U52" s="13">
        <f>_xll.BDH("AMGN US Equity","AVERAGE_ENTERPRISE_VALUE","FQ1 2024","FQ1 2024","Currency=USD","Period=FQ","BEST_FPERIOD_OVERRIDE=FQ","FILING_STATUS=MR","SCALING_FORMAT=MLN","Sort=A","Dates=H","DateFormat=P","Fill=—","Direction=H","UseDPDF=Y")</f>
        <v>211174.51980000001</v>
      </c>
      <c r="V52" s="13">
        <f>_xll.BDH("AMGN US Equity","AVERAGE_ENTERPRISE_VALUE","FQ2 2024","FQ2 2024","Currency=USD","Period=FQ","BEST_FPERIOD_OVERRIDE=FQ","FILING_STATUS=MR","SCALING_FORMAT=MLN","Sort=A","Dates=H","DateFormat=P","Fill=—","Direction=H","UseDPDF=Y")</f>
        <v>211858.27170000001</v>
      </c>
      <c r="W52" s="13">
        <f>_xll.BDH("AMGN US Equity","AVERAGE_ENTERPRISE_VALUE","FQ3 2024","FQ3 2024","Currency=USD","Period=FQ","BEST_FPERIOD_OVERRIDE=FQ","FILING_STATUS=MR","SCALING_FORMAT=MLN","Sort=A","Dates=H","DateFormat=P","Fill=—","Direction=H","UseDPDF=Y")</f>
        <v>228959.6434</v>
      </c>
      <c r="X52" s="13">
        <f>_xll.BDH("AMGN US Equity","AVERAGE_ENTERPRISE_VALUE","FQ4 2024","FQ4 2024","Currency=USD","Period=FQ","BEST_FPERIOD_OVERRIDE=FQ","FILING_STATUS=MR","SCALING_FORMAT=MLN","Sort=A","Dates=H","DateFormat=P","Fill=—","Direction=H","UseDPDF=Y")</f>
        <v>210808.22469999999</v>
      </c>
      <c r="Y52" s="16"/>
      <c r="Z52" s="13"/>
      <c r="AA52" s="13"/>
    </row>
    <row r="53" spans="1:27" x14ac:dyDescent="0.25">
      <c r="A53" s="10" t="s">
        <v>211</v>
      </c>
      <c r="B53" s="10" t="s">
        <v>249</v>
      </c>
      <c r="C53" s="13">
        <f>_xll.BDH("AMGN US Equity","HIGH_ENTERPRISE_VALUE","FQ3 2019","FQ3 2019","Currency=USD","Period=FQ","BEST_FPERIOD_OVERRIDE=FQ","FILING_STATUS=MR","SCALING_FORMAT=MLN","Sort=A","Dates=H","DateFormat=P","Fill=—","Direction=H","UseDPDF=Y")</f>
        <v>134462.66889999999</v>
      </c>
      <c r="D53" s="13">
        <f>_xll.BDH("AMGN US Equity","HIGH_ENTERPRISE_VALUE","FQ4 2019","FQ4 2019","Currency=USD","Period=FQ","BEST_FPERIOD_OVERRIDE=FQ","FILING_STATUS=MR","SCALING_FORMAT=MLN","Sort=A","Dates=H","DateFormat=P","Fill=—","Direction=H","UseDPDF=Y")</f>
        <v>164759.82620000001</v>
      </c>
      <c r="E53" s="13">
        <f>_xll.BDH("AMGN US Equity","HIGH_ENTERPRISE_VALUE","FQ1 2020","FQ1 2020","Currency=USD","Period=FQ","BEST_FPERIOD_OVERRIDE=FQ","FILING_STATUS=MR","SCALING_FORMAT=MLN","Sort=A","Dates=H","DateFormat=P","Fill=—","Direction=H","UseDPDF=Y")</f>
        <v>165134.16190000001</v>
      </c>
      <c r="F53" s="13">
        <f>_xll.BDH("AMGN US Equity","HIGH_ENTERPRISE_VALUE","FQ2 2020","FQ2 2020","Currency=USD","Period=FQ","BEST_FPERIOD_OVERRIDE=FQ","FILING_STATUS=MR","SCALING_FORMAT=MLN","Sort=A","Dates=H","DateFormat=P","Fill=—","Direction=H","UseDPDF=Y")</f>
        <v>166627.17360000001</v>
      </c>
      <c r="G53" s="13">
        <f>_xll.BDH("AMGN US Equity","HIGH_ENTERPRISE_VALUE","FQ3 2020","FQ3 2020","Currency=USD","Period=FQ","BEST_FPERIOD_OVERRIDE=FQ","FILING_STATUS=MR","SCALING_FORMAT=MLN","Sort=A","Dates=H","DateFormat=P","Fill=—","Direction=H","UseDPDF=Y")</f>
        <v>176306.1588</v>
      </c>
      <c r="H53" s="13">
        <f>_xll.BDH("AMGN US Equity","HIGH_ENTERPRISE_VALUE","FQ4 2020","FQ4 2020","Currency=USD","Period=FQ","BEST_FPERIOD_OVERRIDE=FQ","FILING_STATUS=MR","SCALING_FORMAT=MLN","Sort=A","Dates=H","DateFormat=P","Fill=—","Direction=H","UseDPDF=Y")</f>
        <v>172842.715</v>
      </c>
      <c r="I53" s="13">
        <f>_xll.BDH("AMGN US Equity","HIGH_ENTERPRISE_VALUE","FQ1 2021","FQ1 2021","Currency=USD","Period=FQ","BEST_FPERIOD_OVERRIDE=FQ","FILING_STATUS=MR","SCALING_FORMAT=MLN","Sort=A","Dates=H","DateFormat=P","Fill=—","Direction=H","UseDPDF=Y")</f>
        <v>173346.80309999999</v>
      </c>
      <c r="J53" s="13">
        <f>_xll.BDH("AMGN US Equity","HIGH_ENTERPRISE_VALUE","FQ2 2021","FQ2 2021","Currency=USD","Period=FQ","BEST_FPERIOD_OVERRIDE=FQ","FILING_STATUS=MR","SCALING_FORMAT=MLN","Sort=A","Dates=H","DateFormat=P","Fill=—","Direction=H","UseDPDF=Y")</f>
        <v>171332.45389999999</v>
      </c>
      <c r="K53" s="13">
        <f>_xll.BDH("AMGN US Equity","HIGH_ENTERPRISE_VALUE","FQ3 2021","FQ3 2021","Currency=USD","Period=FQ","BEST_FPERIOD_OVERRIDE=FQ","FILING_STATUS=MR","SCALING_FORMAT=MLN","Sort=A","Dates=H","DateFormat=P","Fill=—","Direction=H","UseDPDF=Y")</f>
        <v>167591.57629999999</v>
      </c>
      <c r="L53" s="13">
        <f>_xll.BDH("AMGN US Equity","HIGH_ENTERPRISE_VALUE","FQ4 2021","FQ4 2021","Currency=USD","Period=FQ","BEST_FPERIOD_OVERRIDE=FQ","FILING_STATUS=MR","SCALING_FORMAT=MLN","Sort=A","Dates=H","DateFormat=P","Fill=—","Direction=H","UseDPDF=Y")</f>
        <v>152857.3193</v>
      </c>
      <c r="M53" s="13">
        <f>_xll.BDH("AMGN US Equity","HIGH_ENTERPRISE_VALUE","FQ1 2022","FQ1 2022","Currency=USD","Period=FQ","BEST_FPERIOD_OVERRIDE=FQ","FILING_STATUS=MR","SCALING_FORMAT=MLN","Sort=A","Dates=H","DateFormat=P","Fill=—","Direction=H","UseDPDF=Y")</f>
        <v>165010.84229999999</v>
      </c>
      <c r="N53" s="13">
        <f>_xll.BDH("AMGN US Equity","HIGH_ENTERPRISE_VALUE","FQ2 2022","FQ2 2022","Currency=USD","Period=FQ","BEST_FPERIOD_OVERRIDE=FQ","FILING_STATUS=MR","SCALING_FORMAT=MLN","Sort=A","Dates=H","DateFormat=P","Fill=—","Direction=H","UseDPDF=Y")</f>
        <v>167460.4908</v>
      </c>
      <c r="O53" s="13">
        <f>_xll.BDH("AMGN US Equity","HIGH_ENTERPRISE_VALUE","FQ3 2022","FQ3 2022","Currency=USD","Period=FQ","BEST_FPERIOD_OVERRIDE=FQ","FILING_STATUS=MR","SCALING_FORMAT=MLN","Sort=A","Dates=H","DateFormat=P","Fill=—","Direction=H","UseDPDF=Y")</f>
        <v>164756.74470000001</v>
      </c>
      <c r="P53" s="13">
        <f>_xll.BDH("AMGN US Equity","HIGH_ENTERPRISE_VALUE","FQ4 2022","FQ4 2022","Currency=USD","Period=FQ","BEST_FPERIOD_OVERRIDE=FQ","FILING_STATUS=MR","SCALING_FORMAT=MLN","Sort=A","Dates=H","DateFormat=P","Fill=—","Direction=H","UseDPDF=Y")</f>
        <v>183239.22399999999</v>
      </c>
      <c r="Q53" s="13">
        <f>_xll.BDH("AMGN US Equity","HIGH_ENTERPRISE_VALUE","FQ1 2023","FQ1 2023","Currency=USD","Period=FQ","BEST_FPERIOD_OVERRIDE=FQ","FILING_STATUS=MR","SCALING_FORMAT=MLN","Sort=A","Dates=H","DateFormat=P","Fill=—","Direction=H","UseDPDF=Y")</f>
        <v>177175.9975</v>
      </c>
      <c r="R53" s="13">
        <f>_xll.BDH("AMGN US Equity","HIGH_ENTERPRISE_VALUE","FQ2 2023","FQ2 2023","Currency=USD","Period=FQ","BEST_FPERIOD_OVERRIDE=FQ","FILING_STATUS=MR","SCALING_FORMAT=MLN","Sort=A","Dates=H","DateFormat=P","Fill=—","Direction=H","UseDPDF=Y")</f>
        <v>165327.5594</v>
      </c>
      <c r="S53" s="13">
        <f>_xll.BDH("AMGN US Equity","HIGH_ENTERPRISE_VALUE","FQ3 2023","FQ3 2023","Currency=USD","Period=FQ","BEST_FPERIOD_OVERRIDE=FQ","FILING_STATUS=MR","SCALING_FORMAT=MLN","Sort=A","Dates=H","DateFormat=P","Fill=—","Direction=H","UseDPDF=Y")</f>
        <v>172500.2746</v>
      </c>
      <c r="T53" s="13">
        <f>_xll.BDH("AMGN US Equity","HIGH_ENTERPRISE_VALUE","FQ4 2023","FQ4 2023","Currency=USD","Period=FQ","BEST_FPERIOD_OVERRIDE=FQ","FILING_STATUS=MR","SCALING_FORMAT=MLN","Sort=A","Dates=H","DateFormat=P","Fill=—","Direction=H","UseDPDF=Y")</f>
        <v>208620.97529999999</v>
      </c>
      <c r="U53" s="13">
        <f>_xll.BDH("AMGN US Equity","HIGH_ENTERPRISE_VALUE","FQ1 2024","FQ1 2024","Currency=USD","Period=FQ","BEST_FPERIOD_OVERRIDE=FQ","FILING_STATUS=MR","SCALING_FORMAT=MLN","Sort=A","Dates=H","DateFormat=P","Fill=—","Direction=H","UseDPDF=Y")</f>
        <v>228176.38039999999</v>
      </c>
      <c r="V53" s="13">
        <f>_xll.BDH("AMGN US Equity","HIGH_ENTERPRISE_VALUE","FQ2 2024","FQ2 2024","Currency=USD","Period=FQ","BEST_FPERIOD_OVERRIDE=FQ","FILING_STATUS=MR","SCALING_FORMAT=MLN","Sort=A","Dates=H","DateFormat=P","Fill=—","Direction=H","UseDPDF=Y")</f>
        <v>225600.9615</v>
      </c>
      <c r="W53" s="13">
        <f>_xll.BDH("AMGN US Equity","HIGH_ENTERPRISE_VALUE","FQ3 2024","FQ3 2024","Currency=USD","Period=FQ","BEST_FPERIOD_OVERRIDE=FQ","FILING_STATUS=MR","SCALING_FORMAT=MLN","Sort=A","Dates=H","DateFormat=P","Fill=—","Direction=H","UseDPDF=Y")</f>
        <v>234628.13219999999</v>
      </c>
      <c r="X53" s="13">
        <f>_xll.BDH("AMGN US Equity","HIGH_ENTERPRISE_VALUE","FQ4 2024","FQ4 2024","Currency=USD","Period=FQ","BEST_FPERIOD_OVERRIDE=FQ","FILING_STATUS=MR","SCALING_FORMAT=MLN","Sort=A","Dates=H","DateFormat=P","Fill=—","Direction=H","UseDPDF=Y")</f>
        <v>227819.04939999999</v>
      </c>
      <c r="Y53" s="16"/>
      <c r="Z53" s="13"/>
      <c r="AA53" s="13"/>
    </row>
    <row r="54" spans="1:27" x14ac:dyDescent="0.25">
      <c r="A54" s="10" t="s">
        <v>213</v>
      </c>
      <c r="B54" s="10" t="s">
        <v>250</v>
      </c>
      <c r="C54" s="13">
        <f>_xll.BDH("AMGN US Equity","LOW_ENTERPRISE_VALUE","FQ3 2019","FQ3 2019","Currency=USD","Period=FQ","BEST_FPERIOD_OVERRIDE=FQ","FILING_STATUS=MR","SCALING_FORMAT=MLN","Sort=A","Dates=H","DateFormat=P","Fill=—","Direction=H","UseDPDF=Y")</f>
        <v>115548.9016</v>
      </c>
      <c r="D54" s="13">
        <f>_xll.BDH("AMGN US Equity","LOW_ENTERPRISE_VALUE","FQ4 2019","FQ4 2019","Currency=USD","Period=FQ","BEST_FPERIOD_OVERRIDE=FQ","FILING_STATUS=MR","SCALING_FORMAT=MLN","Sort=A","Dates=H","DateFormat=P","Fill=—","Direction=H","UseDPDF=Y")</f>
        <v>122893.4682</v>
      </c>
      <c r="E54" s="13">
        <f>_xll.BDH("AMGN US Equity","LOW_ENTERPRISE_VALUE","FQ1 2020","FQ1 2020","Currency=USD","Period=FQ","BEST_FPERIOD_OVERRIDE=FQ","FILING_STATUS=MR","SCALING_FORMAT=MLN","Sort=A","Dates=H","DateFormat=P","Fill=—","Direction=H","UseDPDF=Y")</f>
        <v>129006.3947</v>
      </c>
      <c r="F54" s="13">
        <f>_xll.BDH("AMGN US Equity","LOW_ENTERPRISE_VALUE","FQ2 2020","FQ2 2020","Currency=USD","Period=FQ","BEST_FPERIOD_OVERRIDE=FQ","FILING_STATUS=MR","SCALING_FORMAT=MLN","Sort=A","Dates=H","DateFormat=P","Fill=—","Direction=H","UseDPDF=Y")</f>
        <v>140505.6869</v>
      </c>
      <c r="G54" s="13">
        <f>_xll.BDH("AMGN US Equity","LOW_ENTERPRISE_VALUE","FQ3 2020","FQ3 2020","Currency=USD","Period=FQ","BEST_FPERIOD_OVERRIDE=FQ","FILING_STATUS=MR","SCALING_FORMAT=MLN","Sort=A","Dates=H","DateFormat=P","Fill=—","Direction=H","UseDPDF=Y")</f>
        <v>160236.04430000001</v>
      </c>
      <c r="H54" s="13">
        <f>_xll.BDH("AMGN US Equity","LOW_ENTERPRISE_VALUE","FQ4 2020","FQ4 2020","Currency=USD","Period=FQ","BEST_FPERIOD_OVERRIDE=FQ","FILING_STATUS=MR","SCALING_FORMAT=MLN","Sort=A","Dates=H","DateFormat=P","Fill=—","Direction=H","UseDPDF=Y")</f>
        <v>148222.6587</v>
      </c>
      <c r="I54" s="13">
        <f>_xll.BDH("AMGN US Equity","LOW_ENTERPRISE_VALUE","FQ1 2021","FQ1 2021","Currency=USD","Period=FQ","BEST_FPERIOD_OVERRIDE=FQ","FILING_STATUS=MR","SCALING_FORMAT=MLN","Sort=A","Dates=H","DateFormat=P","Fill=—","Direction=H","UseDPDF=Y")</f>
        <v>150965.7561</v>
      </c>
      <c r="J54" s="13">
        <f>_xll.BDH("AMGN US Equity","LOW_ENTERPRISE_VALUE","FQ2 2021","FQ2 2021","Currency=USD","Period=FQ","BEST_FPERIOD_OVERRIDE=FQ","FILING_STATUS=MR","SCALING_FORMAT=MLN","Sort=A","Dates=H","DateFormat=P","Fill=—","Direction=H","UseDPDF=Y")</f>
        <v>156323.32</v>
      </c>
      <c r="K54" s="13">
        <f>_xll.BDH("AMGN US Equity","LOW_ENTERPRISE_VALUE","FQ3 2021","FQ3 2021","Currency=USD","Period=FQ","BEST_FPERIOD_OVERRIDE=FQ","FILING_STATUS=MR","SCALING_FORMAT=MLN","Sort=A","Dates=H","DateFormat=P","Fill=—","Direction=H","UseDPDF=Y")</f>
        <v>145238.019</v>
      </c>
      <c r="L54" s="13">
        <f>_xll.BDH("AMGN US Equity","LOW_ENTERPRISE_VALUE","FQ4 2021","FQ4 2021","Currency=USD","Period=FQ","BEST_FPERIOD_OVERRIDE=FQ","FILING_STATUS=MR","SCALING_FORMAT=MLN","Sort=A","Dates=H","DateFormat=P","Fill=—","Direction=H","UseDPDF=Y")</f>
        <v>136680.32260000001</v>
      </c>
      <c r="M54" s="13">
        <f>_xll.BDH("AMGN US Equity","LOW_ENTERPRISE_VALUE","FQ1 2022","FQ1 2022","Currency=USD","Period=FQ","BEST_FPERIOD_OVERRIDE=FQ","FILING_STATUS=MR","SCALING_FORMAT=MLN","Sort=A","Dates=H","DateFormat=P","Fill=—","Direction=H","UseDPDF=Y")</f>
        <v>148081.82999999999</v>
      </c>
      <c r="N54" s="13">
        <f>_xll.BDH("AMGN US Equity","LOW_ENTERPRISE_VALUE","FQ2 2022","FQ2 2022","Currency=USD","Period=FQ","BEST_FPERIOD_OVERRIDE=FQ","FILING_STATUS=MR","SCALING_FORMAT=MLN","Sort=A","Dates=H","DateFormat=P","Fill=—","Direction=H","UseDPDF=Y")</f>
        <v>153555.2665</v>
      </c>
      <c r="O54" s="13">
        <f>_xll.BDH("AMGN US Equity","LOW_ENTERPRISE_VALUE","FQ3 2022","FQ3 2022","Currency=USD","Period=FQ","BEST_FPERIOD_OVERRIDE=FQ","FILING_STATUS=MR","SCALING_FORMAT=MLN","Sort=A","Dates=H","DateFormat=P","Fill=—","Direction=H","UseDPDF=Y")</f>
        <v>147799.4136</v>
      </c>
      <c r="P54" s="13">
        <f>_xll.BDH("AMGN US Equity","LOW_ENTERPRISE_VALUE","FQ4 2022","FQ4 2022","Currency=USD","Period=FQ","BEST_FPERIOD_OVERRIDE=FQ","FILING_STATUS=MR","SCALING_FORMAT=MLN","Sort=A","Dates=H","DateFormat=P","Fill=—","Direction=H","UseDPDF=Y")</f>
        <v>149741.2126</v>
      </c>
      <c r="Q54" s="13">
        <f>_xll.BDH("AMGN US Equity","LOW_ENTERPRISE_VALUE","FQ1 2023","FQ1 2023","Currency=USD","Period=FQ","BEST_FPERIOD_OVERRIDE=FQ","FILING_STATUS=MR","SCALING_FORMAT=MLN","Sort=A","Dates=H","DateFormat=P","Fill=—","Direction=H","UseDPDF=Y")</f>
        <v>150901.49479999999</v>
      </c>
      <c r="R54" s="13">
        <f>_xll.BDH("AMGN US Equity","LOW_ENTERPRISE_VALUE","FQ2 2023","FQ2 2023","Currency=USD","Period=FQ","BEST_FPERIOD_OVERRIDE=FQ","FILING_STATUS=MR","SCALING_FORMAT=MLN","Sort=A","Dates=H","DateFormat=P","Fill=—","Direction=H","UseDPDF=Y")</f>
        <v>144524.1593</v>
      </c>
      <c r="S54" s="13">
        <f>_xll.BDH("AMGN US Equity","LOW_ENTERPRISE_VALUE","FQ3 2023","FQ3 2023","Currency=USD","Period=FQ","BEST_FPERIOD_OVERRIDE=FQ","FILING_STATUS=MR","SCALING_FORMAT=MLN","Sort=A","Dates=H","DateFormat=P","Fill=—","Direction=H","UseDPDF=Y")</f>
        <v>144126.5098</v>
      </c>
      <c r="T54" s="13">
        <f>_xll.BDH("AMGN US Equity","LOW_ENTERPRISE_VALUE","FQ4 2023","FQ4 2023","Currency=USD","Period=FQ","BEST_FPERIOD_OVERRIDE=FQ","FILING_STATUS=MR","SCALING_FORMAT=MLN","Sort=A","Dates=H","DateFormat=P","Fill=—","Direction=H","UseDPDF=Y")</f>
        <v>162572.0215</v>
      </c>
      <c r="U54" s="13">
        <f>_xll.BDH("AMGN US Equity","LOW_ENTERPRISE_VALUE","FQ1 2024","FQ1 2024","Currency=USD","Period=FQ","BEST_FPERIOD_OVERRIDE=FQ","FILING_STATUS=MR","SCALING_FORMAT=MLN","Sort=A","Dates=H","DateFormat=P","Fill=—","Direction=H","UseDPDF=Y")</f>
        <v>198571.51490000001</v>
      </c>
      <c r="V54" s="13">
        <f>_xll.BDH("AMGN US Equity","LOW_ENTERPRISE_VALUE","FQ2 2024","FQ2 2024","Currency=USD","Period=FQ","BEST_FPERIOD_OVERRIDE=FQ","FILING_STATUS=MR","SCALING_FORMAT=MLN","Sort=A","Dates=H","DateFormat=P","Fill=—","Direction=H","UseDPDF=Y")</f>
        <v>195244.6752</v>
      </c>
      <c r="W54" s="13">
        <f>_xll.BDH("AMGN US Equity","LOW_ENTERPRISE_VALUE","FQ3 2024","FQ3 2024","Currency=USD","Period=FQ","BEST_FPERIOD_OVERRIDE=FQ","FILING_STATUS=MR","SCALING_FORMAT=MLN","Sort=A","Dates=H","DateFormat=P","Fill=—","Direction=H","UseDPDF=Y")</f>
        <v>219306.16500000001</v>
      </c>
      <c r="X54" s="13">
        <f>_xll.BDH("AMGN US Equity","LOW_ENTERPRISE_VALUE","FQ4 2024","FQ4 2024","Currency=USD","Period=FQ","BEST_FPERIOD_OVERRIDE=FQ","FILING_STATUS=MR","SCALING_FORMAT=MLN","Sort=A","Dates=H","DateFormat=P","Fill=—","Direction=H","UseDPDF=Y")</f>
        <v>189008.5289</v>
      </c>
      <c r="Y54" s="16"/>
      <c r="Z54" s="13"/>
      <c r="AA54" s="13"/>
    </row>
    <row r="55" spans="1:27" x14ac:dyDescent="0.25">
      <c r="A55" s="7" t="s">
        <v>90</v>
      </c>
      <c r="B55" s="7"/>
      <c r="C55" s="7" t="s">
        <v>5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8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251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31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</row>
    <row r="6" spans="1:27" x14ac:dyDescent="0.25">
      <c r="A6" s="10" t="s">
        <v>252</v>
      </c>
      <c r="B6" s="10" t="s">
        <v>121</v>
      </c>
      <c r="C6" s="13">
        <f>_xll.BDH("AMGN US Equity","BS_SH_OUT","FQ2 2019","FQ2 2019","Currency=USD","Period=FQ","BEST_FPERIOD_OVERRIDE=FQ","FILING_STATUS=MR","Sort=A","Dates=H","DateFormat=P","Fill=—","Direction=H","UseDPDF=Y")</f>
        <v>602.1</v>
      </c>
      <c r="D6" s="13">
        <f>_xll.BDH("AMGN US Equity","BS_SH_OUT","FQ3 2019","FQ3 2019","Currency=USD","Period=FQ","BEST_FPERIOD_OVERRIDE=FQ","FILING_STATUS=MR","Sort=A","Dates=H","DateFormat=P","Fill=—","Direction=H","UseDPDF=Y")</f>
        <v>596.20000000000005</v>
      </c>
      <c r="E6" s="13">
        <f>_xll.BDH("AMGN US Equity","BS_SH_OUT","FQ4 2019","FQ4 2019","Currency=USD","Period=FQ","BEST_FPERIOD_OVERRIDE=FQ","FILING_STATUS=MR","Sort=A","Dates=H","DateFormat=P","Fill=—","Direction=H","UseDPDF=Y")</f>
        <v>591.4</v>
      </c>
      <c r="F6" s="13">
        <f>_xll.BDH("AMGN US Equity","BS_SH_OUT","FQ1 2020","FQ1 2020","Currency=USD","Period=FQ","BEST_FPERIOD_OVERRIDE=FQ","FILING_STATUS=MR","Sort=A","Dates=H","DateFormat=P","Fill=—","Direction=H","UseDPDF=Y")</f>
        <v>588</v>
      </c>
      <c r="G6" s="13">
        <f>_xll.BDH("AMGN US Equity","BS_SH_OUT","FQ2 2020","FQ2 2020","Currency=USD","Period=FQ","BEST_FPERIOD_OVERRIDE=FQ","FILING_STATUS=MR","Sort=A","Dates=H","DateFormat=P","Fill=—","Direction=H","UseDPDF=Y")</f>
        <v>586.4</v>
      </c>
      <c r="H6" s="13">
        <f>_xll.BDH("AMGN US Equity","BS_SH_OUT","FQ3 2020","FQ3 2020","Currency=USD","Period=FQ","BEST_FPERIOD_OVERRIDE=FQ","FILING_STATUS=MR","Sort=A","Dates=H","DateFormat=P","Fill=—","Direction=H","UseDPDF=Y")</f>
        <v>583.5</v>
      </c>
      <c r="I6" s="13">
        <f>_xll.BDH("AMGN US Equity","BS_SH_OUT","FQ4 2020","FQ4 2020","Currency=USD","Period=FQ","BEST_FPERIOD_OVERRIDE=FQ","FILING_STATUS=MR","Sort=A","Dates=H","DateFormat=P","Fill=—","Direction=H","UseDPDF=Y")</f>
        <v>578.29999999999995</v>
      </c>
      <c r="J6" s="13">
        <f>_xll.BDH("AMGN US Equity","BS_SH_OUT","FQ1 2021","FQ1 2021","Currency=USD","Period=FQ","BEST_FPERIOD_OVERRIDE=FQ","FILING_STATUS=MR","Sort=A","Dates=H","DateFormat=P","Fill=—","Direction=H","UseDPDF=Y")</f>
        <v>575.29999999999995</v>
      </c>
      <c r="K6" s="13">
        <f>_xll.BDH("AMGN US Equity","BS_SH_OUT","FQ2 2021","FQ2 2021","Currency=USD","Period=FQ","BEST_FPERIOD_OVERRIDE=FQ","FILING_STATUS=MR","Sort=A","Dates=H","DateFormat=P","Fill=—","Direction=H","UseDPDF=Y")</f>
        <v>569.6</v>
      </c>
      <c r="L6" s="13">
        <f>_xll.BDH("AMGN US Equity","BS_SH_OUT","FQ3 2021","FQ3 2021","Currency=USD","Period=FQ","BEST_FPERIOD_OVERRIDE=FQ","FILING_STATUS=MR","Sort=A","Dates=H","DateFormat=P","Fill=—","Direction=H","UseDPDF=Y")</f>
        <v>565</v>
      </c>
      <c r="M6" s="13">
        <f>_xll.BDH("AMGN US Equity","BS_SH_OUT","FQ4 2021","FQ4 2021","Currency=USD","Period=FQ","BEST_FPERIOD_OVERRIDE=FQ","FILING_STATUS=MR","Sort=A","Dates=H","DateFormat=P","Fill=—","Direction=H","UseDPDF=Y")</f>
        <v>534</v>
      </c>
      <c r="N6" s="13">
        <f>_xll.BDH("AMGN US Equity","BS_SH_OUT","FQ1 2022","FQ1 2022","Currency=USD","Period=FQ","BEST_FPERIOD_OVERRIDE=FQ","FILING_STATUS=MR","Sort=A","Dates=H","DateFormat=P","Fill=—","Direction=H","UseDPDF=Y")</f>
        <v>534.20000000000005</v>
      </c>
      <c r="O6" s="13">
        <f>_xll.BDH("AMGN US Equity","BS_SH_OUT","FQ2 2022","FQ2 2022","Currency=USD","Period=FQ","BEST_FPERIOD_OVERRIDE=FQ","FILING_STATUS=MR","Sort=A","Dates=H","DateFormat=P","Fill=—","Direction=H","UseDPDF=Y")</f>
        <v>534.9</v>
      </c>
      <c r="P6" s="13">
        <f>_xll.BDH("AMGN US Equity","BS_SH_OUT","FQ3 2022","FQ3 2022","Currency=USD","Period=FQ","BEST_FPERIOD_OVERRIDE=FQ","FILING_STATUS=MR","Sort=A","Dates=H","DateFormat=P","Fill=—","Direction=H","UseDPDF=Y")</f>
        <v>533.5</v>
      </c>
      <c r="Q6" s="13">
        <f>_xll.BDH("AMGN US Equity","BS_SH_OUT","FQ4 2022","FQ4 2022","Currency=USD","Period=FQ","BEST_FPERIOD_OVERRIDE=FQ","FILING_STATUS=MR","Sort=A","Dates=H","DateFormat=P","Fill=—","Direction=H","UseDPDF=Y")</f>
        <v>534</v>
      </c>
      <c r="R6" s="13">
        <f>_xll.BDH("AMGN US Equity","BS_SH_OUT","FQ1 2023","FQ1 2023","Currency=USD","Period=FQ","BEST_FPERIOD_OVERRIDE=FQ","FILING_STATUS=MR","Sort=A","Dates=H","DateFormat=P","Fill=—","Direction=H","UseDPDF=Y")</f>
        <v>534.29999999999995</v>
      </c>
      <c r="S6" s="13">
        <f>_xll.BDH("AMGN US Equity","BS_SH_OUT","FQ2 2023","FQ2 2023","Currency=USD","Period=FQ","BEST_FPERIOD_OVERRIDE=FQ","FILING_STATUS=MR","Sort=A","Dates=H","DateFormat=P","Fill=—","Direction=H","UseDPDF=Y")</f>
        <v>534.9</v>
      </c>
      <c r="T6" s="13">
        <f>_xll.BDH("AMGN US Equity","BS_SH_OUT","FQ3 2023","FQ3 2023","Currency=USD","Period=FQ","BEST_FPERIOD_OVERRIDE=FQ","FILING_STATUS=MR","Sort=A","Dates=H","DateFormat=P","Fill=—","Direction=H","UseDPDF=Y")</f>
        <v>535.1</v>
      </c>
      <c r="U6" s="13">
        <f>_xll.BDH("AMGN US Equity","BS_SH_OUT","FQ4 2023","FQ4 2023","Currency=USD","Period=FQ","BEST_FPERIOD_OVERRIDE=FQ","FILING_STATUS=MR","Sort=A","Dates=H","DateFormat=P","Fill=—","Direction=H","UseDPDF=Y")</f>
        <v>535.4</v>
      </c>
      <c r="V6" s="13">
        <f>_xll.BDH("AMGN US Equity","BS_SH_OUT","FQ1 2024","FQ1 2024","Currency=USD","Period=FQ","BEST_FPERIOD_OVERRIDE=FQ","FILING_STATUS=MR","Sort=A","Dates=H","DateFormat=P","Fill=—","Direction=H","UseDPDF=Y")</f>
        <v>536.4</v>
      </c>
      <c r="W6" s="13">
        <f>_xll.BDH("AMGN US Equity","BS_SH_OUT","FQ2 2024","FQ2 2024","Currency=USD","Period=FQ","BEST_FPERIOD_OVERRIDE=FQ","FILING_STATUS=MR","Sort=A","Dates=H","DateFormat=P","Fill=—","Direction=H","UseDPDF=Y")</f>
        <v>537.20000000000005</v>
      </c>
      <c r="X6" s="13">
        <f>_xll.BDH("AMGN US Equity","BS_SH_OUT","FQ3 2024","FQ3 2024","Currency=USD","Period=FQ","BEST_FPERIOD_OVERRIDE=FQ","FILING_STATUS=MR","Sort=A","Dates=H","DateFormat=P","Fill=—","Direction=H","UseDPDF=Y")</f>
        <v>537.5</v>
      </c>
      <c r="Y6" s="13">
        <f>_xll.BDH("AMGN US Equity","BS_SH_OUT","FQ4 2024","FQ4 2024","Currency=USD","Period=FQ","BEST_FPERIOD_OVERRIDE=FQ","FILING_STATUS=MR","Sort=A","Dates=H","DateFormat=P","Fill=—","Direction=H","UseDPDF=Y")</f>
        <v>536.9</v>
      </c>
      <c r="Z6" s="13"/>
      <c r="AA6" s="13"/>
    </row>
    <row r="7" spans="1:27" x14ac:dyDescent="0.25">
      <c r="A7" s="10" t="s">
        <v>253</v>
      </c>
      <c r="B7" s="10" t="s">
        <v>108</v>
      </c>
      <c r="C7" s="13">
        <f>_xll.BDH("AMGN US Equity","IS_SH_FOR_DILUTED_EPS","FQ2 2019","FQ2 2019","Currency=USD","Period=FQ","BEST_FPERIOD_OVERRIDE=FQ","FILING_STATUS=MR","Sort=A","Dates=H","DateFormat=P","Fill=—","Direction=H","UseDPDF=Y")</f>
        <v>610</v>
      </c>
      <c r="D7" s="13">
        <f>_xll.BDH("AMGN US Equity","IS_SH_FOR_DILUTED_EPS","FQ3 2019","FQ3 2019","Currency=USD","Period=FQ","BEST_FPERIOD_OVERRIDE=FQ","FILING_STATUS=MR","Sort=A","Dates=H","DateFormat=P","Fill=—","Direction=H","UseDPDF=Y")</f>
        <v>602</v>
      </c>
      <c r="E7" s="13">
        <f>_xll.BDH("AMGN US Equity","IS_SH_FOR_DILUTED_EPS","FQ4 2019","FQ4 2019","Currency=USD","Period=FQ","BEST_FPERIOD_OVERRIDE=FQ","FILING_STATUS=MR","Sort=A","Dates=H","DateFormat=P","Fill=—","Direction=H","UseDPDF=Y")</f>
        <v>598</v>
      </c>
      <c r="F7" s="13">
        <f>_xll.BDH("AMGN US Equity","IS_SH_FOR_DILUTED_EPS","FQ1 2020","FQ1 2020","Currency=USD","Period=FQ","BEST_FPERIOD_OVERRIDE=FQ","FILING_STATUS=MR","Sort=A","Dates=H","DateFormat=P","Fill=—","Direction=H","UseDPDF=Y")</f>
        <v>594</v>
      </c>
      <c r="G7" s="13">
        <f>_xll.BDH("AMGN US Equity","IS_SH_FOR_DILUTED_EPS","FQ2 2020","FQ2 2020","Currency=USD","Period=FQ","BEST_FPERIOD_OVERRIDE=FQ","FILING_STATUS=MR","Sort=A","Dates=H","DateFormat=P","Fill=—","Direction=H","UseDPDF=Y")</f>
        <v>592</v>
      </c>
      <c r="H7" s="13">
        <f>_xll.BDH("AMGN US Equity","IS_SH_FOR_DILUTED_EPS","FQ3 2020","FQ3 2020","Currency=USD","Period=FQ","BEST_FPERIOD_OVERRIDE=FQ","FILING_STATUS=MR","Sort=A","Dates=H","DateFormat=P","Fill=—","Direction=H","UseDPDF=Y")</f>
        <v>589</v>
      </c>
      <c r="I7" s="13">
        <f>_xll.BDH("AMGN US Equity","IS_SH_FOR_DILUTED_EPS","FQ4 2020","FQ4 2020","Currency=USD","Period=FQ","BEST_FPERIOD_OVERRIDE=FQ","FILING_STATUS=MR","Sort=A","Dates=H","DateFormat=P","Fill=—","Direction=H","UseDPDF=Y")</f>
        <v>585</v>
      </c>
      <c r="J7" s="13">
        <f>_xll.BDH("AMGN US Equity","IS_SH_FOR_DILUTED_EPS","FQ1 2021","FQ1 2021","Currency=USD","Period=FQ","BEST_FPERIOD_OVERRIDE=FQ","FILING_STATUS=MR","Sort=A","Dates=H","DateFormat=P","Fill=—","Direction=H","UseDPDF=Y")</f>
        <v>581</v>
      </c>
      <c r="K7" s="13">
        <f>_xll.BDH("AMGN US Equity","IS_SH_FOR_DILUTED_EPS","FQ2 2021","FQ2 2021","Currency=USD","Period=FQ","BEST_FPERIOD_OVERRIDE=FQ","FILING_STATUS=MR","Sort=A","Dates=H","DateFormat=P","Fill=—","Direction=H","UseDPDF=Y")</f>
        <v>576</v>
      </c>
      <c r="L7" s="13">
        <f>_xll.BDH("AMGN US Equity","IS_SH_FOR_DILUTED_EPS","FQ3 2021","FQ3 2021","Currency=USD","Period=FQ","BEST_FPERIOD_OVERRIDE=FQ","FILING_STATUS=MR","Sort=A","Dates=H","DateFormat=P","Fill=—","Direction=H","UseDPDF=Y")</f>
        <v>570</v>
      </c>
      <c r="M7" s="13">
        <f>_xll.BDH("AMGN US Equity","IS_SH_FOR_DILUTED_EPS","FQ4 2021","FQ4 2021","Currency=USD","Period=FQ","BEST_FPERIOD_OVERRIDE=FQ","FILING_STATUS=MR","Sort=A","Dates=H","DateFormat=P","Fill=—","Direction=H","UseDPDF=Y")</f>
        <v>565</v>
      </c>
      <c r="N7" s="13">
        <f>_xll.BDH("AMGN US Equity","IS_SH_FOR_DILUTED_EPS","FQ1 2022","FQ1 2022","Currency=USD","Period=FQ","BEST_FPERIOD_OVERRIDE=FQ","FILING_STATUS=MR","Sort=A","Dates=H","DateFormat=P","Fill=—","Direction=H","UseDPDF=Y")</f>
        <v>551</v>
      </c>
      <c r="O7" s="13">
        <f>_xll.BDH("AMGN US Equity","IS_SH_FOR_DILUTED_EPS","FQ2 2022","FQ2 2022","Currency=USD","Period=FQ","BEST_FPERIOD_OVERRIDE=FQ","FILING_STATUS=MR","Sort=A","Dates=H","DateFormat=P","Fill=—","Direction=H","UseDPDF=Y")</f>
        <v>537</v>
      </c>
      <c r="P7" s="13">
        <f>_xll.BDH("AMGN US Equity","IS_SH_FOR_DILUTED_EPS","FQ3 2022","FQ3 2022","Currency=USD","Period=FQ","BEST_FPERIOD_OVERRIDE=FQ","FILING_STATUS=MR","Sort=A","Dates=H","DateFormat=P","Fill=—","Direction=H","UseDPDF=Y")</f>
        <v>538</v>
      </c>
      <c r="Q7" s="13">
        <f>_xll.BDH("AMGN US Equity","IS_SH_FOR_DILUTED_EPS","FQ4 2022","FQ4 2022","Currency=USD","Period=FQ","BEST_FPERIOD_OVERRIDE=FQ","FILING_STATUS=MR","Sort=A","Dates=H","DateFormat=P","Fill=—","Direction=H","UseDPDF=Y")</f>
        <v>539</v>
      </c>
      <c r="R7" s="13">
        <f>_xll.BDH("AMGN US Equity","IS_SH_FOR_DILUTED_EPS","FQ1 2023","FQ1 2023","Currency=USD","Period=FQ","BEST_FPERIOD_OVERRIDE=FQ","FILING_STATUS=MR","Sort=A","Dates=H","DateFormat=P","Fill=—","Direction=H","UseDPDF=Y")</f>
        <v>538</v>
      </c>
      <c r="S7" s="13">
        <f>_xll.BDH("AMGN US Equity","IS_SH_FOR_DILUTED_EPS","FQ2 2023","FQ2 2023","Currency=USD","Period=FQ","BEST_FPERIOD_OVERRIDE=FQ","FILING_STATUS=MR","Sort=A","Dates=H","DateFormat=P","Fill=—","Direction=H","UseDPDF=Y")</f>
        <v>537</v>
      </c>
      <c r="T7" s="13">
        <f>_xll.BDH("AMGN US Equity","IS_SH_FOR_DILUTED_EPS","FQ3 2023","FQ3 2023","Currency=USD","Period=FQ","BEST_FPERIOD_OVERRIDE=FQ","FILING_STATUS=MR","Sort=A","Dates=H","DateFormat=P","Fill=—","Direction=H","UseDPDF=Y")</f>
        <v>538</v>
      </c>
      <c r="U7" s="13">
        <f>_xll.BDH("AMGN US Equity","IS_SH_FOR_DILUTED_EPS","FQ4 2023","FQ4 2023","Currency=USD","Period=FQ","BEST_FPERIOD_OVERRIDE=FQ","FILING_STATUS=MR","Sort=A","Dates=H","DateFormat=P","Fill=—","Direction=H","UseDPDF=Y")</f>
        <v>540</v>
      </c>
      <c r="V7" s="13">
        <f>_xll.BDH("AMGN US Equity","IS_SH_FOR_DILUTED_EPS","FQ1 2024","FQ1 2024","Currency=USD","Period=FQ","BEST_FPERIOD_OVERRIDE=FQ","FILING_STATUS=MR","Sort=A","Dates=H","DateFormat=P","Fill=—","Direction=H","UseDPDF=Y")</f>
        <v>536</v>
      </c>
      <c r="W7" s="13">
        <f>_xll.BDH("AMGN US Equity","IS_SH_FOR_DILUTED_EPS","FQ2 2024","FQ2 2024","Currency=USD","Period=FQ","BEST_FPERIOD_OVERRIDE=FQ","FILING_STATUS=MR","Sort=A","Dates=H","DateFormat=P","Fill=—","Direction=H","UseDPDF=Y")</f>
        <v>541</v>
      </c>
      <c r="X7" s="13">
        <f>_xll.BDH("AMGN US Equity","IS_SH_FOR_DILUTED_EPS","FQ3 2024","FQ3 2024","Currency=USD","Period=FQ","BEST_FPERIOD_OVERRIDE=FQ","FILING_STATUS=MR","Sort=A","Dates=H","DateFormat=P","Fill=—","Direction=H","UseDPDF=Y")</f>
        <v>542</v>
      </c>
      <c r="Y7" s="13">
        <f>_xll.BDH("AMGN US Equity","IS_SH_FOR_DILUTED_EPS","FQ4 2024","FQ4 2024","Currency=USD","Period=FQ","BEST_FPERIOD_OVERRIDE=FQ","FILING_STATUS=MR","Sort=A","Dates=H","DateFormat=P","Fill=—","Direction=H","UseDPDF=Y")</f>
        <v>542</v>
      </c>
      <c r="Z7" s="13"/>
      <c r="AA7" s="13"/>
    </row>
    <row r="8" spans="1:27" x14ac:dyDescent="0.25">
      <c r="A8" s="10" t="s">
        <v>254</v>
      </c>
      <c r="B8" s="10" t="s">
        <v>106</v>
      </c>
      <c r="C8" s="13">
        <f>_xll.BDH("AMGN US Equity","IS_AVG_NUM_SH_FOR_EPS","FQ2 2019","FQ2 2019","Currency=USD","Period=FQ","BEST_FPERIOD_OVERRIDE=FQ","FILING_STATUS=MR","Sort=A","Dates=H","DateFormat=P","Fill=—","Direction=H","UseDPDF=Y")</f>
        <v>607</v>
      </c>
      <c r="D8" s="13">
        <f>_xll.BDH("AMGN US Equity","IS_AVG_NUM_SH_FOR_EPS","FQ3 2019","FQ3 2019","Currency=USD","Period=FQ","BEST_FPERIOD_OVERRIDE=FQ","FILING_STATUS=MR","Sort=A","Dates=H","DateFormat=P","Fill=—","Direction=H","UseDPDF=Y")</f>
        <v>599</v>
      </c>
      <c r="E8" s="13">
        <f>_xll.BDH("AMGN US Equity","IS_AVG_NUM_SH_FOR_EPS","FQ4 2019","FQ4 2019","Currency=USD","Period=FQ","BEST_FPERIOD_OVERRIDE=FQ","FILING_STATUS=MR","Sort=A","Dates=H","DateFormat=P","Fill=—","Direction=H","UseDPDF=Y")</f>
        <v>593</v>
      </c>
      <c r="F8" s="13">
        <f>_xll.BDH("AMGN US Equity","IS_AVG_NUM_SH_FOR_EPS","FQ1 2020","FQ1 2020","Currency=USD","Period=FQ","BEST_FPERIOD_OVERRIDE=FQ","FILING_STATUS=MR","Sort=A","Dates=H","DateFormat=P","Fill=—","Direction=H","UseDPDF=Y")</f>
        <v>590</v>
      </c>
      <c r="G8" s="13">
        <f>_xll.BDH("AMGN US Equity","IS_AVG_NUM_SH_FOR_EPS","FQ2 2020","FQ2 2020","Currency=USD","Period=FQ","BEST_FPERIOD_OVERRIDE=FQ","FILING_STATUS=MR","Sort=A","Dates=H","DateFormat=P","Fill=—","Direction=H","UseDPDF=Y")</f>
        <v>588</v>
      </c>
      <c r="H8" s="13">
        <f>_xll.BDH("AMGN US Equity","IS_AVG_NUM_SH_FOR_EPS","FQ3 2020","FQ3 2020","Currency=USD","Period=FQ","BEST_FPERIOD_OVERRIDE=FQ","FILING_STATUS=MR","Sort=A","Dates=H","DateFormat=P","Fill=—","Direction=H","UseDPDF=Y")</f>
        <v>585</v>
      </c>
      <c r="I8" s="13">
        <f>_xll.BDH("AMGN US Equity","IS_AVG_NUM_SH_FOR_EPS","FQ4 2020","FQ4 2020","Currency=USD","Period=FQ","BEST_FPERIOD_OVERRIDE=FQ","FILING_STATUS=MR","Sort=A","Dates=H","DateFormat=P","Fill=—","Direction=H","UseDPDF=Y")</f>
        <v>581</v>
      </c>
      <c r="J8" s="13">
        <f>_xll.BDH("AMGN US Equity","IS_AVG_NUM_SH_FOR_EPS","FQ1 2021","FQ1 2021","Currency=USD","Period=FQ","BEST_FPERIOD_OVERRIDE=FQ","FILING_STATUS=MR","Sort=A","Dates=H","DateFormat=P","Fill=—","Direction=H","UseDPDF=Y")</f>
        <v>577</v>
      </c>
      <c r="K8" s="13">
        <f>_xll.BDH("AMGN US Equity","IS_AVG_NUM_SH_FOR_EPS","FQ2 2021","FQ2 2021","Currency=USD","Period=FQ","BEST_FPERIOD_OVERRIDE=FQ","FILING_STATUS=MR","Sort=A","Dates=H","DateFormat=P","Fill=—","Direction=H","UseDPDF=Y")</f>
        <v>573</v>
      </c>
      <c r="L8" s="13">
        <f>_xll.BDH("AMGN US Equity","IS_AVG_NUM_SH_FOR_EPS","FQ3 2021","FQ3 2021","Currency=USD","Period=FQ","BEST_FPERIOD_OVERRIDE=FQ","FILING_STATUS=MR","Sort=A","Dates=H","DateFormat=P","Fill=—","Direction=H","UseDPDF=Y")</f>
        <v>567</v>
      </c>
      <c r="M8" s="13">
        <f>_xll.BDH("AMGN US Equity","IS_AVG_NUM_SH_FOR_EPS","FQ4 2021","FQ4 2021","Currency=USD","Period=FQ","BEST_FPERIOD_OVERRIDE=FQ","FILING_STATUS=MR","Sort=A","Dates=H","DateFormat=P","Fill=—","Direction=H","UseDPDF=Y")</f>
        <v>562</v>
      </c>
      <c r="N8" s="13">
        <f>_xll.BDH("AMGN US Equity","IS_AVG_NUM_SH_FOR_EPS","FQ1 2022","FQ1 2022","Currency=USD","Period=FQ","BEST_FPERIOD_OVERRIDE=FQ","FILING_STATUS=MR","Sort=A","Dates=H","DateFormat=P","Fill=—","Direction=H","UseDPDF=Y")</f>
        <v>548</v>
      </c>
      <c r="O8" s="13">
        <f>_xll.BDH("AMGN US Equity","IS_AVG_NUM_SH_FOR_EPS","FQ2 2022","FQ2 2022","Currency=USD","Period=FQ","BEST_FPERIOD_OVERRIDE=FQ","FILING_STATUS=MR","Sort=A","Dates=H","DateFormat=P","Fill=—","Direction=H","UseDPDF=Y")</f>
        <v>535</v>
      </c>
      <c r="P8" s="13">
        <f>_xll.BDH("AMGN US Equity","IS_AVG_NUM_SH_FOR_EPS","FQ3 2022","FQ3 2022","Currency=USD","Period=FQ","BEST_FPERIOD_OVERRIDE=FQ","FILING_STATUS=MR","Sort=A","Dates=H","DateFormat=P","Fill=—","Direction=H","UseDPDF=Y")</f>
        <v>535</v>
      </c>
      <c r="Q8" s="13">
        <f>_xll.BDH("AMGN US Equity","IS_AVG_NUM_SH_FOR_EPS","FQ4 2022","FQ4 2022","Currency=USD","Period=FQ","BEST_FPERIOD_OVERRIDE=FQ","FILING_STATUS=MR","Sort=A","Dates=H","DateFormat=P","Fill=—","Direction=H","UseDPDF=Y")</f>
        <v>535</v>
      </c>
      <c r="R8" s="13">
        <f>_xll.BDH("AMGN US Equity","IS_AVG_NUM_SH_FOR_EPS","FQ1 2023","FQ1 2023","Currency=USD","Period=FQ","BEST_FPERIOD_OVERRIDE=FQ","FILING_STATUS=MR","Sort=A","Dates=H","DateFormat=P","Fill=—","Direction=H","UseDPDF=Y")</f>
        <v>534</v>
      </c>
      <c r="S8" s="13">
        <f>_xll.BDH("AMGN US Equity","IS_AVG_NUM_SH_FOR_EPS","FQ2 2023","FQ2 2023","Currency=USD","Period=FQ","BEST_FPERIOD_OVERRIDE=FQ","FILING_STATUS=MR","Sort=A","Dates=H","DateFormat=P","Fill=—","Direction=H","UseDPDF=Y")</f>
        <v>535</v>
      </c>
      <c r="T8" s="13">
        <f>_xll.BDH("AMGN US Equity","IS_AVG_NUM_SH_FOR_EPS","FQ3 2023","FQ3 2023","Currency=USD","Period=FQ","BEST_FPERIOD_OVERRIDE=FQ","FILING_STATUS=MR","Sort=A","Dates=H","DateFormat=P","Fill=—","Direction=H","UseDPDF=Y")</f>
        <v>535</v>
      </c>
      <c r="U8" s="13">
        <f>_xll.BDH("AMGN US Equity","IS_AVG_NUM_SH_FOR_EPS","FQ4 2023","FQ4 2023","Currency=USD","Period=FQ","BEST_FPERIOD_OVERRIDE=FQ","FILING_STATUS=MR","Sort=A","Dates=H","DateFormat=P","Fill=—","Direction=H","UseDPDF=Y")</f>
        <v>535</v>
      </c>
      <c r="V8" s="13">
        <f>_xll.BDH("AMGN US Equity","IS_AVG_NUM_SH_FOR_EPS","FQ1 2024","FQ1 2024","Currency=USD","Period=FQ","BEST_FPERIOD_OVERRIDE=FQ","FILING_STATUS=MR","Sort=A","Dates=H","DateFormat=P","Fill=—","Direction=H","UseDPDF=Y")</f>
        <v>536</v>
      </c>
      <c r="W8" s="13">
        <f>_xll.BDH("AMGN US Equity","IS_AVG_NUM_SH_FOR_EPS","FQ2 2024","FQ2 2024","Currency=USD","Period=FQ","BEST_FPERIOD_OVERRIDE=FQ","FILING_STATUS=MR","Sort=A","Dates=H","DateFormat=P","Fill=—","Direction=H","UseDPDF=Y")</f>
        <v>537</v>
      </c>
      <c r="X8" s="13">
        <f>_xll.BDH("AMGN US Equity","IS_AVG_NUM_SH_FOR_EPS","FQ3 2024","FQ3 2024","Currency=USD","Period=FQ","BEST_FPERIOD_OVERRIDE=FQ","FILING_STATUS=MR","Sort=A","Dates=H","DateFormat=P","Fill=—","Direction=H","UseDPDF=Y")</f>
        <v>537</v>
      </c>
      <c r="Y8" s="13">
        <f>_xll.BDH("AMGN US Equity","IS_AVG_NUM_SH_FOR_EPS","FQ4 2024","FQ4 2024","Currency=USD","Period=FQ","BEST_FPERIOD_OVERRIDE=FQ","FILING_STATUS=MR","Sort=A","Dates=H","DateFormat=P","Fill=—","Direction=H","UseDPDF=Y")</f>
        <v>537</v>
      </c>
      <c r="Z8" s="13"/>
      <c r="AA8" s="13"/>
    </row>
    <row r="9" spans="1:27" x14ac:dyDescent="0.25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25">
      <c r="A10" s="6" t="s">
        <v>255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x14ac:dyDescent="0.25">
      <c r="A11" s="10" t="s">
        <v>0</v>
      </c>
      <c r="B11" s="10" t="s">
        <v>256</v>
      </c>
      <c r="C11" s="14">
        <f>_xll.BDH("AMGN US Equity","REVENUE_PER_SH","FQ2 2019","FQ2 2019","Currency=USD","Period=FQ","BEST_FPERIOD_OVERRIDE=FQ","FILING_STATUS=MR","FA_ADJUSTED=GAAP","Sort=A","Dates=H","DateFormat=P","Fill=—","Direction=H","UseDPDF=Y")</f>
        <v>9.6722000000000001</v>
      </c>
      <c r="D11" s="14">
        <f>_xll.BDH("AMGN US Equity","REVENUE_PER_SH","FQ3 2019","FQ3 2019","Currency=USD","Period=FQ","BEST_FPERIOD_OVERRIDE=FQ","FILING_STATUS=MR","FA_ADJUSTED=GAAP","Sort=A","Dates=H","DateFormat=P","Fill=—","Direction=H","UseDPDF=Y")</f>
        <v>9.5776000000000003</v>
      </c>
      <c r="E11" s="14">
        <f>_xll.BDH("AMGN US Equity","REVENUE_PER_SH","FQ4 2019","FQ4 2019","Currency=USD","Period=FQ","BEST_FPERIOD_OVERRIDE=FQ","FILING_STATUS=MR","FA_ADJUSTED=GAAP","Sort=A","Dates=H","DateFormat=P","Fill=—","Direction=H","UseDPDF=Y")</f>
        <v>10.4503</v>
      </c>
      <c r="F11" s="14">
        <f>_xll.BDH("AMGN US Equity","REVENUE_PER_SH","FQ1 2020","FQ1 2020","Currency=USD","Period=FQ","BEST_FPERIOD_OVERRIDE=FQ","FILING_STATUS=MR","FA_ADJUSTED=GAAP","Sort=A","Dates=H","DateFormat=P","Fill=—","Direction=H","UseDPDF=Y")</f>
        <v>10.442399999999999</v>
      </c>
      <c r="G11" s="14">
        <f>_xll.BDH("AMGN US Equity","REVENUE_PER_SH","FQ2 2020","FQ2 2020","Currency=USD","Period=FQ","BEST_FPERIOD_OVERRIDE=FQ","FILING_STATUS=MR","FA_ADJUSTED=GAAP","Sort=A","Dates=H","DateFormat=P","Fill=—","Direction=H","UseDPDF=Y")</f>
        <v>10.554399999999999</v>
      </c>
      <c r="H11" s="14">
        <f>_xll.BDH("AMGN US Equity","REVENUE_PER_SH","FQ3 2020","FQ3 2020","Currency=USD","Period=FQ","BEST_FPERIOD_OVERRIDE=FQ","FILING_STATUS=MR","FA_ADJUSTED=GAAP","Sort=A","Dates=H","DateFormat=P","Fill=—","Direction=H","UseDPDF=Y")</f>
        <v>10.9795</v>
      </c>
      <c r="I11" s="14">
        <f>_xll.BDH("AMGN US Equity","REVENUE_PER_SH","FQ4 2020","FQ4 2020","Currency=USD","Period=FQ","BEST_FPERIOD_OVERRIDE=FQ","FILING_STATUS=MR","FA_ADJUSTED=GAAP","Sort=A","Dates=H","DateFormat=P","Fill=—","Direction=H","UseDPDF=Y")</f>
        <v>11.418200000000001</v>
      </c>
      <c r="J11" s="14">
        <f>_xll.BDH("AMGN US Equity","REVENUE_PER_SH","FQ1 2021","FQ1 2021","Currency=USD","Period=FQ","BEST_FPERIOD_OVERRIDE=FQ","FILING_STATUS=MR","FA_ADJUSTED=GAAP","Sort=A","Dates=H","DateFormat=P","Fill=—","Direction=H","UseDPDF=Y")</f>
        <v>10.227</v>
      </c>
      <c r="K11" s="14">
        <f>_xll.BDH("AMGN US Equity","REVENUE_PER_SH","FQ2 2021","FQ2 2021","Currency=USD","Period=FQ","BEST_FPERIOD_OVERRIDE=FQ","FILING_STATUS=MR","FA_ADJUSTED=GAAP","Sort=A","Dates=H","DateFormat=P","Fill=—","Direction=H","UseDPDF=Y")</f>
        <v>11.389200000000001</v>
      </c>
      <c r="L11" s="14">
        <f>_xll.BDH("AMGN US Equity","REVENUE_PER_SH","FQ3 2021","FQ3 2021","Currency=USD","Period=FQ","BEST_FPERIOD_OVERRIDE=FQ","FILING_STATUS=MR","FA_ADJUSTED=GAAP","Sort=A","Dates=H","DateFormat=P","Fill=—","Direction=H","UseDPDF=Y")</f>
        <v>11.827199999999999</v>
      </c>
      <c r="M11" s="14">
        <f>_xll.BDH("AMGN US Equity","REVENUE_PER_SH","FQ4 2021","FQ4 2021","Currency=USD","Period=FQ","BEST_FPERIOD_OVERRIDE=FQ","FILING_STATUS=MR","FA_ADJUSTED=GAAP","Sort=A","Dates=H","DateFormat=P","Fill=—","Direction=H","UseDPDF=Y")</f>
        <v>12.1815</v>
      </c>
      <c r="N11" s="14">
        <f>_xll.BDH("AMGN US Equity","REVENUE_PER_SH","FQ1 2022","FQ1 2022","Currency=USD","Period=FQ","BEST_FPERIOD_OVERRIDE=FQ","FILING_STATUS=MR","FA_ADJUSTED=GAAP","Sort=A","Dates=H","DateFormat=P","Fill=—","Direction=H","UseDPDF=Y")</f>
        <v>11.3832</v>
      </c>
      <c r="O11" s="14">
        <f>_xll.BDH("AMGN US Equity","REVENUE_PER_SH","FQ2 2022","FQ2 2022","Currency=USD","Period=FQ","BEST_FPERIOD_OVERRIDE=FQ","FILING_STATUS=MR","FA_ADJUSTED=GAAP","Sort=A","Dates=H","DateFormat=P","Fill=—","Direction=H","UseDPDF=Y")</f>
        <v>12.325200000000001</v>
      </c>
      <c r="P11" s="14">
        <f>_xll.BDH("AMGN US Equity","REVENUE_PER_SH","FQ3 2022","FQ3 2022","Currency=USD","Period=FQ","BEST_FPERIOD_OVERRIDE=FQ","FILING_STATUS=MR","FA_ADJUSTED=GAAP","Sort=A","Dates=H","DateFormat=P","Fill=—","Direction=H","UseDPDF=Y")</f>
        <v>12.4336</v>
      </c>
      <c r="Q11" s="14">
        <f>_xll.BDH("AMGN US Equity","REVENUE_PER_SH","FQ4 2022","FQ4 2022","Currency=USD","Period=FQ","BEST_FPERIOD_OVERRIDE=FQ","FILING_STATUS=MR","FA_ADJUSTED=GAAP","Sort=A","Dates=H","DateFormat=P","Fill=—","Direction=H","UseDPDF=Y")</f>
        <v>12.783200000000001</v>
      </c>
      <c r="R11" s="14">
        <f>_xll.BDH("AMGN US Equity","REVENUE_PER_SH","FQ1 2023","FQ1 2023","Currency=USD","Period=FQ","BEST_FPERIOD_OVERRIDE=FQ","FILING_STATUS=MR","FA_ADJUSTED=GAAP","Sort=A","Dates=H","DateFormat=P","Fill=—","Direction=H","UseDPDF=Y")</f>
        <v>11.432600000000001</v>
      </c>
      <c r="S11" s="14">
        <f>_xll.BDH("AMGN US Equity","REVENUE_PER_SH","FQ2 2023","FQ2 2023","Currency=USD","Period=FQ","BEST_FPERIOD_OVERRIDE=FQ","FILING_STATUS=MR","FA_ADJUSTED=GAAP","Sort=A","Dates=H","DateFormat=P","Fill=—","Direction=H","UseDPDF=Y")</f>
        <v>13.0579</v>
      </c>
      <c r="T11" s="14">
        <f>_xll.BDH("AMGN US Equity","REVENUE_PER_SH","FQ3 2023","FQ3 2023","Currency=USD","Period=FQ","BEST_FPERIOD_OVERRIDE=FQ","FILING_STATUS=MR","FA_ADJUSTED=GAAP","Sort=A","Dates=H","DateFormat=P","Fill=—","Direction=H","UseDPDF=Y")</f>
        <v>12.902799999999999</v>
      </c>
      <c r="U11" s="14">
        <f>_xll.BDH("AMGN US Equity","REVENUE_PER_SH","FQ4 2023","FQ4 2023","Currency=USD","Period=FQ","BEST_FPERIOD_OVERRIDE=FQ","FILING_STATUS=MR","FA_ADJUSTED=GAAP","Sort=A","Dates=H","DateFormat=P","Fill=—","Direction=H","UseDPDF=Y")</f>
        <v>15.319599999999999</v>
      </c>
      <c r="V11" s="14">
        <f>_xll.BDH("AMGN US Equity","REVENUE_PER_SH","FQ1 2024","FQ1 2024","Currency=USD","Period=FQ","BEST_FPERIOD_OVERRIDE=FQ","FILING_STATUS=MR","FA_ADJUSTED=GAAP","Sort=A","Dates=H","DateFormat=P","Fill=—","Direction=H","UseDPDF=Y")</f>
        <v>13.893700000000001</v>
      </c>
      <c r="W11" s="14">
        <f>_xll.BDH("AMGN US Equity","REVENUE_PER_SH","FQ2 2024","FQ2 2024","Currency=USD","Period=FQ","BEST_FPERIOD_OVERRIDE=FQ","FILING_STATUS=MR","FA_ADJUSTED=GAAP","Sort=A","Dates=H","DateFormat=P","Fill=—","Direction=H","UseDPDF=Y")</f>
        <v>15.620100000000001</v>
      </c>
      <c r="X11" s="14">
        <f>_xll.BDH("AMGN US Equity","REVENUE_PER_SH","FQ3 2024","FQ3 2024","Currency=USD","Period=FQ","BEST_FPERIOD_OVERRIDE=FQ","FILING_STATUS=MR","FA_ADJUSTED=GAAP","Sort=A","Dates=H","DateFormat=P","Fill=—","Direction=H","UseDPDF=Y")</f>
        <v>15.834300000000001</v>
      </c>
      <c r="Y11" s="14">
        <f>_xll.BDH("AMGN US Equity","REVENUE_PER_SH","FQ4 2024","FQ4 2024","Currency=USD","Period=FQ","BEST_FPERIOD_OVERRIDE=FQ","FILING_STATUS=MR","FA_ADJUSTED=GAAP","Sort=A","Dates=H","DateFormat=P","Fill=—","Direction=H","UseDPDF=Y")</f>
        <v>16.919899999999998</v>
      </c>
      <c r="Z11" s="14"/>
      <c r="AA11" s="14"/>
    </row>
    <row r="12" spans="1:27" x14ac:dyDescent="0.25">
      <c r="A12" s="10" t="s">
        <v>78</v>
      </c>
      <c r="B12" s="10" t="s">
        <v>257</v>
      </c>
      <c r="C12" s="14">
        <f>_xll.BDH("AMGN US Equity","EBITDA_PER_SH","FQ2 2019","FQ2 2019","Currency=USD","Period=FQ","BEST_FPERIOD_OVERRIDE=FQ","FILING_STATUS=MR","FA_ADJUSTED=GAAP","Sort=A","Dates=H","DateFormat=P","Fill=—","Direction=H","UseDPDF=Y")</f>
        <v>5.3064</v>
      </c>
      <c r="D12" s="14">
        <f>_xll.BDH("AMGN US Equity","EBITDA_PER_SH","FQ3 2019","FQ3 2019","Currency=USD","Period=FQ","BEST_FPERIOD_OVERRIDE=FQ","FILING_STATUS=MR","FA_ADJUSTED=GAAP","Sort=A","Dates=H","DateFormat=P","Fill=—","Direction=H","UseDPDF=Y")</f>
        <v>5.0518000000000001</v>
      </c>
      <c r="E12" s="14">
        <f>_xll.BDH("AMGN US Equity","EBITDA_PER_SH","FQ4 2019","FQ4 2019","Currency=USD","Period=FQ","BEST_FPERIOD_OVERRIDE=FQ","FILING_STATUS=MR","FA_ADJUSTED=GAAP","Sort=A","Dates=H","DateFormat=P","Fill=—","Direction=H","UseDPDF=Y")</f>
        <v>4.7167000000000003</v>
      </c>
      <c r="F12" s="14">
        <f>_xll.BDH("AMGN US Equity","EBITDA_PER_SH","FQ1 2020","FQ1 2020","Currency=USD","Period=FQ","BEST_FPERIOD_OVERRIDE=FQ","FILING_STATUS=MR","FA_ADJUSTED=GAAP","Sort=A","Dates=H","DateFormat=P","Fill=—","Direction=H","UseDPDF=Y")</f>
        <v>5.5118999999999998</v>
      </c>
      <c r="G12" s="14">
        <f>_xll.BDH("AMGN US Equity","EBITDA_PER_SH","FQ2 2020","FQ2 2020","Currency=USD","Period=FQ","BEST_FPERIOD_OVERRIDE=FQ","FILING_STATUS=MR","FA_ADJUSTED=GAAP","Sort=A","Dates=H","DateFormat=P","Fill=—","Direction=H","UseDPDF=Y")</f>
        <v>5.5323000000000002</v>
      </c>
      <c r="H12" s="14">
        <f>_xll.BDH("AMGN US Equity","EBITDA_PER_SH","FQ3 2020","FQ3 2020","Currency=USD","Period=FQ","BEST_FPERIOD_OVERRIDE=FQ","FILING_STATUS=MR","FA_ADJUSTED=GAAP","Sort=A","Dates=H","DateFormat=P","Fill=—","Direction=H","UseDPDF=Y")</f>
        <v>5.7332999999999998</v>
      </c>
      <c r="I12" s="14">
        <f>_xll.BDH("AMGN US Equity","EBITDA_PER_SH","FQ4 2020","FQ4 2020","Currency=USD","Period=FQ","BEST_FPERIOD_OVERRIDE=FQ","FILING_STATUS=MR","FA_ADJUSTED=GAAP","Sort=A","Dates=H","DateFormat=P","Fill=—","Direction=H","UseDPDF=Y")</f>
        <v>4.9587000000000003</v>
      </c>
      <c r="J12" s="14">
        <f>_xll.BDH("AMGN US Equity","EBITDA_PER_SH","FQ1 2021","FQ1 2021","Currency=USD","Period=FQ","BEST_FPERIOD_OVERRIDE=FQ","FILING_STATUS=MR","FA_ADJUSTED=GAAP","Sort=A","Dates=H","DateFormat=P","Fill=—","Direction=H","UseDPDF=Y")</f>
        <v>5.1473000000000004</v>
      </c>
      <c r="K12" s="14">
        <f>_xll.BDH("AMGN US Equity","EBITDA_PER_SH","FQ2 2021","FQ2 2021","Currency=USD","Period=FQ","BEST_FPERIOD_OVERRIDE=FQ","FILING_STATUS=MR","FA_ADJUSTED=GAAP","Sort=A","Dates=H","DateFormat=P","Fill=—","Direction=H","UseDPDF=Y")</f>
        <v>2.9371999999999998</v>
      </c>
      <c r="L12" s="14">
        <f>_xll.BDH("AMGN US Equity","EBITDA_PER_SH","FQ3 2021","FQ3 2021","Currency=USD","Period=FQ","BEST_FPERIOD_OVERRIDE=FQ","FILING_STATUS=MR","FA_ADJUSTED=GAAP","Sort=A","Dates=H","DateFormat=P","Fill=—","Direction=H","UseDPDF=Y")</f>
        <v>5.6931000000000003</v>
      </c>
      <c r="M12" s="14">
        <f>_xll.BDH("AMGN US Equity","EBITDA_PER_SH","FQ4 2021","FQ4 2021","Currency=USD","Period=FQ","BEST_FPERIOD_OVERRIDE=FQ","FILING_STATUS=MR","FA_ADJUSTED=GAAP","Sort=A","Dates=H","DateFormat=P","Fill=—","Direction=H","UseDPDF=Y")</f>
        <v>5.6157000000000004</v>
      </c>
      <c r="N12" s="14">
        <f>_xll.BDH("AMGN US Equity","EBITDA_PER_SH","FQ1 2022","FQ1 2022","Currency=USD","Period=FQ","BEST_FPERIOD_OVERRIDE=FQ","FILING_STATUS=MR","FA_ADJUSTED=GAAP","Sort=A","Dates=H","DateFormat=P","Fill=—","Direction=H","UseDPDF=Y")</f>
        <v>6.0967000000000002</v>
      </c>
      <c r="O12" s="14">
        <f>_xll.BDH("AMGN US Equity","EBITDA_PER_SH","FQ2 2022","FQ2 2022","Currency=USD","Period=FQ","BEST_FPERIOD_OVERRIDE=FQ","FILING_STATUS=MR","FA_ADJUSTED=GAAP","Sort=A","Dates=H","DateFormat=P","Fill=—","Direction=H","UseDPDF=Y")</f>
        <v>5.6150000000000002</v>
      </c>
      <c r="P12" s="14">
        <f>_xll.BDH("AMGN US Equity","EBITDA_PER_SH","FQ3 2022","FQ3 2022","Currency=USD","Period=FQ","BEST_FPERIOD_OVERRIDE=FQ","FILING_STATUS=MR","FA_ADJUSTED=GAAP","Sort=A","Dates=H","DateFormat=P","Fill=—","Direction=H","UseDPDF=Y")</f>
        <v>6.5364000000000004</v>
      </c>
      <c r="Q12" s="14">
        <f>_xll.BDH("AMGN US Equity","EBITDA_PER_SH","FQ4 2022","FQ4 2022","Currency=USD","Period=FQ","BEST_FPERIOD_OVERRIDE=FQ","FILING_STATUS=MR","FA_ADJUSTED=GAAP","Sort=A","Dates=H","DateFormat=P","Fill=—","Direction=H","UseDPDF=Y")</f>
        <v>5.8710000000000004</v>
      </c>
      <c r="R12" s="14">
        <f>_xll.BDH("AMGN US Equity","EBITDA_PER_SH","FQ1 2023","FQ1 2023","Currency=USD","Period=FQ","BEST_FPERIOD_OVERRIDE=FQ","FILING_STATUS=MR","FA_ADJUSTED=GAAP","Sort=A","Dates=H","DateFormat=P","Fill=—","Direction=H","UseDPDF=Y")</f>
        <v>5.2827999999999999</v>
      </c>
      <c r="S12" s="14">
        <f>_xll.BDH("AMGN US Equity","EBITDA_PER_SH","FQ2 2023","FQ2 2023","Currency=USD","Period=FQ","BEST_FPERIOD_OVERRIDE=FQ","FILING_STATUS=MR","FA_ADJUSTED=GAAP","Sort=A","Dates=H","DateFormat=P","Fill=—","Direction=H","UseDPDF=Y")</f>
        <v>6.6916000000000002</v>
      </c>
      <c r="T12" s="14">
        <f>_xll.BDH("AMGN US Equity","EBITDA_PER_SH","FQ3 2023","FQ3 2023","Currency=USD","Period=FQ","BEST_FPERIOD_OVERRIDE=FQ","FILING_STATUS=MR","FA_ADJUSTED=GAAP","Sort=A","Dates=H","DateFormat=P","Fill=—","Direction=H","UseDPDF=Y")</f>
        <v>5.4504999999999999</v>
      </c>
      <c r="U12" s="14">
        <f>_xll.BDH("AMGN US Equity","EBITDA_PER_SH","FQ4 2023","FQ4 2023","Currency=USD","Period=FQ","BEST_FPERIOD_OVERRIDE=FQ","FILING_STATUS=MR","FA_ADJUSTED=GAAP","Sort=A","Dates=H","DateFormat=P","Fill=—","Direction=H","UseDPDF=Y")</f>
        <v>4.9550999999999998</v>
      </c>
      <c r="V12" s="14">
        <f>_xll.BDH("AMGN US Equity","EBITDA_PER_SH","FQ1 2024","FQ1 2024","Currency=USD","Period=FQ","BEST_FPERIOD_OVERRIDE=FQ","FILING_STATUS=MR","FA_ADJUSTED=GAAP","Sort=A","Dates=H","DateFormat=P","Fill=—","Direction=H","UseDPDF=Y")</f>
        <v>4.4589999999999996</v>
      </c>
      <c r="W12" s="14">
        <f>_xll.BDH("AMGN US Equity","EBITDA_PER_SH","FQ2 2024","FQ2 2024","Currency=USD","Period=FQ","BEST_FPERIOD_OVERRIDE=FQ","FILING_STATUS=MR","FA_ADJUSTED=GAAP","Sort=A","Dates=H","DateFormat=P","Fill=—","Direction=H","UseDPDF=Y")</f>
        <v>6.1619999999999999</v>
      </c>
      <c r="X12" s="14">
        <f>_xll.BDH("AMGN US Equity","EBITDA_PER_SH","FQ3 2024","FQ3 2024","Currency=USD","Period=FQ","BEST_FPERIOD_OVERRIDE=FQ","FILING_STATUS=MR","FA_ADJUSTED=GAAP","Sort=A","Dates=H","DateFormat=P","Fill=—","Direction=H","UseDPDF=Y")</f>
        <v>6.4115000000000002</v>
      </c>
      <c r="Y12" s="14">
        <f>_xll.BDH("AMGN US Equity","EBITDA_PER_SH","FQ4 2024","FQ4 2024","Currency=USD","Period=FQ","BEST_FPERIOD_OVERRIDE=FQ","FILING_STATUS=MR","FA_ADJUSTED=GAAP","Sort=A","Dates=H","DateFormat=P","Fill=—","Direction=H","UseDPDF=Y")</f>
        <v>6.9050000000000002</v>
      </c>
      <c r="Z12" s="14"/>
      <c r="AA12" s="14"/>
    </row>
    <row r="13" spans="1:27" x14ac:dyDescent="0.25">
      <c r="A13" s="10" t="s">
        <v>98</v>
      </c>
      <c r="B13" s="10" t="s">
        <v>258</v>
      </c>
      <c r="C13" s="14">
        <f>_xll.BDH("AMGN US Equity","OPER_INC_PER_SH","FQ2 2019","FQ2 2019","Currency=USD","Period=FQ","BEST_FPERIOD_OVERRIDE=FQ","FILING_STATUS=MR","FA_ADJUSTED=GAAP","Sort=A","Dates=H","DateFormat=P","Fill=—","Direction=H","UseDPDF=Y")</f>
        <v>4.4119000000000002</v>
      </c>
      <c r="D13" s="14">
        <f>_xll.BDH("AMGN US Equity","OPER_INC_PER_SH","FQ3 2019","FQ3 2019","Currency=USD","Period=FQ","BEST_FPERIOD_OVERRIDE=FQ","FILING_STATUS=MR","FA_ADJUSTED=GAAP","Sort=A","Dates=H","DateFormat=P","Fill=—","Direction=H","UseDPDF=Y")</f>
        <v>4.1336000000000004</v>
      </c>
      <c r="E13" s="14">
        <f>_xll.BDH("AMGN US Equity","OPER_INC_PER_SH","FQ4 2019","FQ4 2019","Currency=USD","Period=FQ","BEST_FPERIOD_OVERRIDE=FQ","FILING_STATUS=MR","FA_ADJUSTED=GAAP","Sort=A","Dates=H","DateFormat=P","Fill=—","Direction=H","UseDPDF=Y")</f>
        <v>3.4535999999999998</v>
      </c>
      <c r="F13" s="14">
        <f>_xll.BDH("AMGN US Equity","OPER_INC_PER_SH","FQ1 2020","FQ1 2020","Currency=USD","Period=FQ","BEST_FPERIOD_OVERRIDE=FQ","FILING_STATUS=MR","FA_ADJUSTED=GAAP","Sort=A","Dates=H","DateFormat=P","Fill=—","Direction=H","UseDPDF=Y")</f>
        <v>3.9914999999999998</v>
      </c>
      <c r="G13" s="14">
        <f>_xll.BDH("AMGN US Equity","OPER_INC_PER_SH","FQ2 2020","FQ2 2020","Currency=USD","Period=FQ","BEST_FPERIOD_OVERRIDE=FQ","FILING_STATUS=MR","FA_ADJUSTED=GAAP","Sort=A","Dates=H","DateFormat=P","Fill=—","Direction=H","UseDPDF=Y")</f>
        <v>3.9506999999999999</v>
      </c>
      <c r="H13" s="14">
        <f>_xll.BDH("AMGN US Equity","OPER_INC_PER_SH","FQ3 2020","FQ3 2020","Currency=USD","Period=FQ","BEST_FPERIOD_OVERRIDE=FQ","FILING_STATUS=MR","FA_ADJUSTED=GAAP","Sort=A","Dates=H","DateFormat=P","Fill=—","Direction=H","UseDPDF=Y")</f>
        <v>4.1932</v>
      </c>
      <c r="I13" s="14">
        <f>_xll.BDH("AMGN US Equity","OPER_INC_PER_SH","FQ4 2020","FQ4 2020","Currency=USD","Period=FQ","BEST_FPERIOD_OVERRIDE=FQ","FILING_STATUS=MR","FA_ADJUSTED=GAAP","Sort=A","Dates=H","DateFormat=P","Fill=—","Direction=H","UseDPDF=Y")</f>
        <v>3.4561000000000002</v>
      </c>
      <c r="J13" s="14">
        <f>_xll.BDH("AMGN US Equity","OPER_INC_PER_SH","FQ1 2021","FQ1 2021","Currency=USD","Period=FQ","BEST_FPERIOD_OVERRIDE=FQ","FILING_STATUS=MR","FA_ADJUSTED=GAAP","Sort=A","Dates=H","DateFormat=P","Fill=—","Direction=H","UseDPDF=Y")</f>
        <v>3.6898</v>
      </c>
      <c r="K13" s="14">
        <f>_xll.BDH("AMGN US Equity","OPER_INC_PER_SH","FQ2 2021","FQ2 2021","Currency=USD","Period=FQ","BEST_FPERIOD_OVERRIDE=FQ","FILING_STATUS=MR","FA_ADJUSTED=GAAP","Sort=A","Dates=H","DateFormat=P","Fill=—","Direction=H","UseDPDF=Y")</f>
        <v>1.4450000000000001</v>
      </c>
      <c r="L13" s="14">
        <f>_xll.BDH("AMGN US Equity","OPER_INC_PER_SH","FQ3 2021","FQ3 2021","Currency=USD","Period=FQ","BEST_FPERIOD_OVERRIDE=FQ","FILING_STATUS=MR","FA_ADJUSTED=GAAP","Sort=A","Dates=H","DateFormat=P","Fill=—","Direction=H","UseDPDF=Y")</f>
        <v>4.194</v>
      </c>
      <c r="M13" s="14">
        <f>_xll.BDH("AMGN US Equity","OPER_INC_PER_SH","FQ4 2021","FQ4 2021","Currency=USD","Period=FQ","BEST_FPERIOD_OVERRIDE=FQ","FILING_STATUS=MR","FA_ADJUSTED=GAAP","Sort=A","Dates=H","DateFormat=P","Fill=—","Direction=H","UseDPDF=Y")</f>
        <v>4.0995999999999997</v>
      </c>
      <c r="N13" s="14">
        <f>_xll.BDH("AMGN US Equity","OPER_INC_PER_SH","FQ1 2022","FQ1 2022","Currency=USD","Period=FQ","BEST_FPERIOD_OVERRIDE=FQ","FILING_STATUS=MR","FA_ADJUSTED=GAAP","Sort=A","Dates=H","DateFormat=P","Fill=—","Direction=H","UseDPDF=Y")</f>
        <v>4.5620000000000003</v>
      </c>
      <c r="O13" s="14">
        <f>_xll.BDH("AMGN US Equity","OPER_INC_PER_SH","FQ2 2022","FQ2 2022","Currency=USD","Period=FQ","BEST_FPERIOD_OVERRIDE=FQ","FILING_STATUS=MR","FA_ADJUSTED=GAAP","Sort=A","Dates=H","DateFormat=P","Fill=—","Direction=H","UseDPDF=Y")</f>
        <v>4.0673000000000004</v>
      </c>
      <c r="P13" s="14">
        <f>_xll.BDH("AMGN US Equity","OPER_INC_PER_SH","FQ3 2022","FQ3 2022","Currency=USD","Period=FQ","BEST_FPERIOD_OVERRIDE=FQ","FILING_STATUS=MR","FA_ADJUSTED=GAAP","Sort=A","Dates=H","DateFormat=P","Fill=—","Direction=H","UseDPDF=Y")</f>
        <v>4.9720000000000004</v>
      </c>
      <c r="Q13" s="14">
        <f>_xll.BDH("AMGN US Equity","OPER_INC_PER_SH","FQ4 2022","FQ4 2022","Currency=USD","Period=FQ","BEST_FPERIOD_OVERRIDE=FQ","FILING_STATUS=MR","FA_ADJUSTED=GAAP","Sort=A","Dates=H","DateFormat=P","Fill=—","Direction=H","UseDPDF=Y")</f>
        <v>4.1681999999999997</v>
      </c>
      <c r="R13" s="14">
        <f>_xll.BDH("AMGN US Equity","OPER_INC_PER_SH","FQ1 2023","FQ1 2023","Currency=USD","Period=FQ","BEST_FPERIOD_OVERRIDE=FQ","FILING_STATUS=MR","FA_ADJUSTED=GAAP","Sort=A","Dates=H","DateFormat=P","Fill=—","Direction=H","UseDPDF=Y")</f>
        <v>3.5973999999999999</v>
      </c>
      <c r="S13" s="14">
        <f>_xll.BDH("AMGN US Equity","OPER_INC_PER_SH","FQ2 2023","FQ2 2023","Currency=USD","Period=FQ","BEST_FPERIOD_OVERRIDE=FQ","FILING_STATUS=MR","FA_ADJUSTED=GAAP","Sort=A","Dates=H","DateFormat=P","Fill=—","Direction=H","UseDPDF=Y")</f>
        <v>5.0167999999999999</v>
      </c>
      <c r="T13" s="14">
        <f>_xll.BDH("AMGN US Equity","OPER_INC_PER_SH","FQ3 2023","FQ3 2023","Currency=USD","Period=FQ","BEST_FPERIOD_OVERRIDE=FQ","FILING_STATUS=MR","FA_ADJUSTED=GAAP","Sort=A","Dates=H","DateFormat=P","Fill=—","Direction=H","UseDPDF=Y")</f>
        <v>3.7776000000000001</v>
      </c>
      <c r="U13" s="14">
        <f>_xll.BDH("AMGN US Equity","OPER_INC_PER_SH","FQ4 2023","FQ4 2023","Currency=USD","Period=FQ","BEST_FPERIOD_OVERRIDE=FQ","FILING_STATUS=MR","FA_ADJUSTED=GAAP","Sort=A","Dates=H","DateFormat=P","Fill=—","Direction=H","UseDPDF=Y")</f>
        <v>2.3757000000000001</v>
      </c>
      <c r="V13" s="14">
        <f>_xll.BDH("AMGN US Equity","OPER_INC_PER_SH","FQ1 2024","FQ1 2024","Currency=USD","Period=FQ","BEST_FPERIOD_OVERRIDE=FQ","FILING_STATUS=MR","FA_ADJUSTED=GAAP","Sort=A","Dates=H","DateFormat=P","Fill=—","Direction=H","UseDPDF=Y")</f>
        <v>1.8489</v>
      </c>
      <c r="W13" s="14">
        <f>_xll.BDH("AMGN US Equity","OPER_INC_PER_SH","FQ2 2024","FQ2 2024","Currency=USD","Period=FQ","BEST_FPERIOD_OVERRIDE=FQ","FILING_STATUS=MR","FA_ADJUSTED=GAAP","Sort=A","Dates=H","DateFormat=P","Fill=—","Direction=H","UseDPDF=Y")</f>
        <v>3.5548999999999999</v>
      </c>
      <c r="X13" s="14">
        <f>_xll.BDH("AMGN US Equity","OPER_INC_PER_SH","FQ3 2024","FQ3 2024","Currency=USD","Period=FQ","BEST_FPERIOD_OVERRIDE=FQ","FILING_STATUS=MR","FA_ADJUSTED=GAAP","Sort=A","Dates=H","DateFormat=P","Fill=—","Direction=H","UseDPDF=Y")</f>
        <v>3.8119000000000001</v>
      </c>
      <c r="Y13" s="14">
        <f>_xll.BDH("AMGN US Equity","OPER_INC_PER_SH","FQ4 2024","FQ4 2024","Currency=USD","Period=FQ","BEST_FPERIOD_OVERRIDE=FQ","FILING_STATUS=MR","FA_ADJUSTED=GAAP","Sort=A","Dates=H","DateFormat=P","Fill=—","Direction=H","UseDPDF=Y")</f>
        <v>4.3034999999999997</v>
      </c>
      <c r="Z13" s="14"/>
      <c r="AA13" s="14"/>
    </row>
    <row r="14" spans="1:27" x14ac:dyDescent="0.25">
      <c r="A14" s="10" t="s">
        <v>259</v>
      </c>
      <c r="B14" s="10" t="s">
        <v>102</v>
      </c>
      <c r="C14" s="14">
        <f>_xll.BDH("AMGN US Equity","IS_EPS","FQ2 2019","FQ2 2019","Currency=USD","Period=FQ","BEST_FPERIOD_OVERRIDE=FQ","FILING_STATUS=MR","FA_ADJUSTED=GAAP","Sort=A","Dates=H","DateFormat=P","Fill=—","Direction=H","UseDPDF=Y")</f>
        <v>3.59</v>
      </c>
      <c r="D14" s="14">
        <f>_xll.BDH("AMGN US Equity","IS_EPS","FQ3 2019","FQ3 2019","Currency=USD","Period=FQ","BEST_FPERIOD_OVERRIDE=FQ","FILING_STATUS=MR","FA_ADJUSTED=GAAP","Sort=A","Dates=H","DateFormat=P","Fill=—","Direction=H","UseDPDF=Y")</f>
        <v>3.29</v>
      </c>
      <c r="E14" s="14">
        <f>_xll.BDH("AMGN US Equity","IS_EPS","FQ4 2019","FQ4 2019","Currency=USD","Period=FQ","BEST_FPERIOD_OVERRIDE=FQ","FILING_STATUS=MR","FA_ADJUSTED=GAAP","Sort=A","Dates=H","DateFormat=P","Fill=—","Direction=H","UseDPDF=Y")</f>
        <v>2.87</v>
      </c>
      <c r="F14" s="14">
        <f>_xll.BDH("AMGN US Equity","IS_EPS","FQ1 2020","FQ1 2020","Currency=USD","Period=FQ","BEST_FPERIOD_OVERRIDE=FQ","FILING_STATUS=MR","FA_ADJUSTED=GAAP","Sort=A","Dates=H","DateFormat=P","Fill=—","Direction=H","UseDPDF=Y")</f>
        <v>3.09</v>
      </c>
      <c r="G14" s="14">
        <f>_xll.BDH("AMGN US Equity","IS_EPS","FQ2 2020","FQ2 2020","Currency=USD","Period=FQ","BEST_FPERIOD_OVERRIDE=FQ","FILING_STATUS=MR","FA_ADJUSTED=GAAP","Sort=A","Dates=H","DateFormat=P","Fill=—","Direction=H","UseDPDF=Y")</f>
        <v>3.07</v>
      </c>
      <c r="H14" s="14">
        <f>_xll.BDH("AMGN US Equity","IS_EPS","FQ3 2020","FQ3 2020","Currency=USD","Period=FQ","BEST_FPERIOD_OVERRIDE=FQ","FILING_STATUS=MR","FA_ADJUSTED=GAAP","Sort=A","Dates=H","DateFormat=P","Fill=—","Direction=H","UseDPDF=Y")</f>
        <v>3.45</v>
      </c>
      <c r="I14" s="14">
        <f>_xll.BDH("AMGN US Equity","IS_EPS","FQ4 2020","FQ4 2020","Currency=USD","Period=FQ","BEST_FPERIOD_OVERRIDE=FQ","FILING_STATUS=MR","FA_ADJUSTED=GAAP","Sort=A","Dates=H","DateFormat=P","Fill=—","Direction=H","UseDPDF=Y")</f>
        <v>2.78</v>
      </c>
      <c r="J14" s="14">
        <f>_xll.BDH("AMGN US Equity","IS_EPS","FQ1 2021","FQ1 2021","Currency=USD","Period=FQ","BEST_FPERIOD_OVERRIDE=FQ","FILING_STATUS=MR","FA_ADJUSTED=GAAP","Sort=A","Dates=H","DateFormat=P","Fill=—","Direction=H","UseDPDF=Y")</f>
        <v>2.85</v>
      </c>
      <c r="K14" s="14">
        <f>_xll.BDH("AMGN US Equity","IS_EPS","FQ2 2021","FQ2 2021","Currency=USD","Period=FQ","BEST_FPERIOD_OVERRIDE=FQ","FILING_STATUS=MR","FA_ADJUSTED=GAAP","Sort=A","Dates=H","DateFormat=P","Fill=—","Direction=H","UseDPDF=Y")</f>
        <v>0.81</v>
      </c>
      <c r="L14" s="14">
        <f>_xll.BDH("AMGN US Equity","IS_EPS","FQ3 2021","FQ3 2021","Currency=USD","Period=FQ","BEST_FPERIOD_OVERRIDE=FQ","FILING_STATUS=MR","FA_ADJUSTED=GAAP","Sort=A","Dates=H","DateFormat=P","Fill=—","Direction=H","UseDPDF=Y")</f>
        <v>3.32</v>
      </c>
      <c r="M14" s="14">
        <f>_xll.BDH("AMGN US Equity","IS_EPS","FQ4 2021","FQ4 2021","Currency=USD","Period=FQ","BEST_FPERIOD_OVERRIDE=FQ","FILING_STATUS=MR","FA_ADJUSTED=GAAP","Sort=A","Dates=H","DateFormat=P","Fill=—","Direction=H","UseDPDF=Y")</f>
        <v>3.38</v>
      </c>
      <c r="N14" s="14">
        <f>_xll.BDH("AMGN US Equity","IS_EPS","FQ1 2022","FQ1 2022","Currency=USD","Period=FQ","BEST_FPERIOD_OVERRIDE=FQ","FILING_STATUS=MR","FA_ADJUSTED=GAAP","Sort=A","Dates=H","DateFormat=P","Fill=—","Direction=H","UseDPDF=Y")</f>
        <v>2.69</v>
      </c>
      <c r="O14" s="14">
        <f>_xll.BDH("AMGN US Equity","IS_EPS","FQ2 2022","FQ2 2022","Currency=USD","Period=FQ","BEST_FPERIOD_OVERRIDE=FQ","FILING_STATUS=MR","FA_ADJUSTED=GAAP","Sort=A","Dates=H","DateFormat=P","Fill=—","Direction=H","UseDPDF=Y")</f>
        <v>2.46</v>
      </c>
      <c r="P14" s="14">
        <f>_xll.BDH("AMGN US Equity","IS_EPS","FQ3 2022","FQ3 2022","Currency=USD","Period=FQ","BEST_FPERIOD_OVERRIDE=FQ","FILING_STATUS=MR","FA_ADJUSTED=GAAP","Sort=A","Dates=H","DateFormat=P","Fill=—","Direction=H","UseDPDF=Y")</f>
        <v>4.01</v>
      </c>
      <c r="Q14" s="14">
        <f>_xll.BDH("AMGN US Equity","IS_EPS","FQ4 2022","FQ4 2022","Currency=USD","Period=FQ","BEST_FPERIOD_OVERRIDE=FQ","FILING_STATUS=MR","FA_ADJUSTED=GAAP","Sort=A","Dates=H","DateFormat=P","Fill=—","Direction=H","UseDPDF=Y")</f>
        <v>3.02</v>
      </c>
      <c r="R14" s="14">
        <f>_xll.BDH("AMGN US Equity","IS_EPS","FQ1 2023","FQ1 2023","Currency=USD","Period=FQ","BEST_FPERIOD_OVERRIDE=FQ","FILING_STATUS=MR","FA_ADJUSTED=GAAP","Sort=A","Dates=H","DateFormat=P","Fill=—","Direction=H","UseDPDF=Y")</f>
        <v>5.32</v>
      </c>
      <c r="S14" s="14">
        <f>_xll.BDH("AMGN US Equity","IS_EPS","FQ2 2023","FQ2 2023","Currency=USD","Period=FQ","BEST_FPERIOD_OVERRIDE=FQ","FILING_STATUS=MR","FA_ADJUSTED=GAAP","Sort=A","Dates=H","DateFormat=P","Fill=—","Direction=H","UseDPDF=Y")</f>
        <v>2.58</v>
      </c>
      <c r="T14" s="14">
        <f>_xll.BDH("AMGN US Equity","IS_EPS","FQ3 2023","FQ3 2023","Currency=USD","Period=FQ","BEST_FPERIOD_OVERRIDE=FQ","FILING_STATUS=MR","FA_ADJUSTED=GAAP","Sort=A","Dates=H","DateFormat=P","Fill=—","Direction=H","UseDPDF=Y")</f>
        <v>3.23</v>
      </c>
      <c r="U14" s="14">
        <f>_xll.BDH("AMGN US Equity","IS_EPS","FQ4 2023","FQ4 2023","Currency=USD","Period=FQ","BEST_FPERIOD_OVERRIDE=FQ","FILING_STATUS=MR","FA_ADJUSTED=GAAP","Sort=A","Dates=H","DateFormat=P","Fill=—","Direction=H","UseDPDF=Y")</f>
        <v>1.43</v>
      </c>
      <c r="V14" s="14">
        <f>_xll.BDH("AMGN US Equity","IS_EPS","FQ1 2024","FQ1 2024","Currency=USD","Period=FQ","BEST_FPERIOD_OVERRIDE=FQ","FILING_STATUS=MR","FA_ADJUSTED=GAAP","Sort=A","Dates=H","DateFormat=P","Fill=—","Direction=H","UseDPDF=Y")</f>
        <v>-0.21</v>
      </c>
      <c r="W14" s="14">
        <f>_xll.BDH("AMGN US Equity","IS_EPS","FQ2 2024","FQ2 2024","Currency=USD","Period=FQ","BEST_FPERIOD_OVERRIDE=FQ","FILING_STATUS=MR","FA_ADJUSTED=GAAP","Sort=A","Dates=H","DateFormat=P","Fill=—","Direction=H","UseDPDF=Y")</f>
        <v>1.39</v>
      </c>
      <c r="X14" s="14">
        <f>_xll.BDH("AMGN US Equity","IS_EPS","FQ3 2024","FQ3 2024","Currency=USD","Period=FQ","BEST_FPERIOD_OVERRIDE=FQ","FILING_STATUS=MR","FA_ADJUSTED=GAAP","Sort=A","Dates=H","DateFormat=P","Fill=—","Direction=H","UseDPDF=Y")</f>
        <v>5.27</v>
      </c>
      <c r="Y14" s="14">
        <f>_xll.BDH("AMGN US Equity","IS_EPS","FQ4 2024","FQ4 2024","Currency=USD","Period=FQ","BEST_FPERIOD_OVERRIDE=FQ","FILING_STATUS=MR","FA_ADJUSTED=GAAP","Sort=A","Dates=H","DateFormat=P","Fill=—","Direction=H","UseDPDF=Y")</f>
        <v>1.17</v>
      </c>
      <c r="Z14" s="14">
        <v>1.9430000000000001</v>
      </c>
      <c r="AA14" s="14">
        <v>3.23</v>
      </c>
    </row>
    <row r="15" spans="1:27" x14ac:dyDescent="0.25">
      <c r="A15" s="10" t="s">
        <v>260</v>
      </c>
      <c r="B15" s="10" t="s">
        <v>261</v>
      </c>
      <c r="C15" s="14">
        <f>_xll.BDH("AMGN US Equity","IS_EARN_BEF_XO_ITEMS_PER_SH","FQ2 2019","FQ2 2019","Currency=USD","Period=FQ","BEST_FPERIOD_OVERRIDE=FQ","FILING_STATUS=MR","Sort=A","Dates=H","DateFormat=P","Fill=—","Direction=H","UseDPDF=Y")</f>
        <v>3.59</v>
      </c>
      <c r="D15" s="14">
        <f>_xll.BDH("AMGN US Equity","IS_EARN_BEF_XO_ITEMS_PER_SH","FQ3 2019","FQ3 2019","Currency=USD","Period=FQ","BEST_FPERIOD_OVERRIDE=FQ","FILING_STATUS=MR","Sort=A","Dates=H","DateFormat=P","Fill=—","Direction=H","UseDPDF=Y")</f>
        <v>3.29</v>
      </c>
      <c r="E15" s="14">
        <f>_xll.BDH("AMGN US Equity","IS_EARN_BEF_XO_ITEMS_PER_SH","FQ4 2019","FQ4 2019","Currency=USD","Period=FQ","BEST_FPERIOD_OVERRIDE=FQ","FILING_STATUS=MR","Sort=A","Dates=H","DateFormat=P","Fill=—","Direction=H","UseDPDF=Y")</f>
        <v>2.87</v>
      </c>
      <c r="F15" s="14">
        <f>_xll.BDH("AMGN US Equity","IS_EARN_BEF_XO_ITEMS_PER_SH","FQ1 2020","FQ1 2020","Currency=USD","Period=FQ","BEST_FPERIOD_OVERRIDE=FQ","FILING_STATUS=MR","Sort=A","Dates=H","DateFormat=P","Fill=—","Direction=H","UseDPDF=Y")</f>
        <v>3.09</v>
      </c>
      <c r="G15" s="14">
        <f>_xll.BDH("AMGN US Equity","IS_EARN_BEF_XO_ITEMS_PER_SH","FQ2 2020","FQ2 2020","Currency=USD","Period=FQ","BEST_FPERIOD_OVERRIDE=FQ","FILING_STATUS=MR","Sort=A","Dates=H","DateFormat=P","Fill=—","Direction=H","UseDPDF=Y")</f>
        <v>3.07</v>
      </c>
      <c r="H15" s="14">
        <f>_xll.BDH("AMGN US Equity","IS_EARN_BEF_XO_ITEMS_PER_SH","FQ3 2020","FQ3 2020","Currency=USD","Period=FQ","BEST_FPERIOD_OVERRIDE=FQ","FILING_STATUS=MR","Sort=A","Dates=H","DateFormat=P","Fill=—","Direction=H","UseDPDF=Y")</f>
        <v>3.45</v>
      </c>
      <c r="I15" s="14">
        <f>_xll.BDH("AMGN US Equity","IS_EARN_BEF_XO_ITEMS_PER_SH","FQ4 2020","FQ4 2020","Currency=USD","Period=FQ","BEST_FPERIOD_OVERRIDE=FQ","FILING_STATUS=MR","Sort=A","Dates=H","DateFormat=P","Fill=—","Direction=H","UseDPDF=Y")</f>
        <v>2.78</v>
      </c>
      <c r="J15" s="14">
        <f>_xll.BDH("AMGN US Equity","IS_EARN_BEF_XO_ITEMS_PER_SH","FQ1 2021","FQ1 2021","Currency=USD","Period=FQ","BEST_FPERIOD_OVERRIDE=FQ","FILING_STATUS=MR","Sort=A","Dates=H","DateFormat=P","Fill=—","Direction=H","UseDPDF=Y")</f>
        <v>2.85</v>
      </c>
      <c r="K15" s="14">
        <f>_xll.BDH("AMGN US Equity","IS_EARN_BEF_XO_ITEMS_PER_SH","FQ2 2021","FQ2 2021","Currency=USD","Period=FQ","BEST_FPERIOD_OVERRIDE=FQ","FILING_STATUS=MR","Sort=A","Dates=H","DateFormat=P","Fill=—","Direction=H","UseDPDF=Y")</f>
        <v>0.81</v>
      </c>
      <c r="L15" s="14">
        <f>_xll.BDH("AMGN US Equity","IS_EARN_BEF_XO_ITEMS_PER_SH","FQ3 2021","FQ3 2021","Currency=USD","Period=FQ","BEST_FPERIOD_OVERRIDE=FQ","FILING_STATUS=MR","Sort=A","Dates=H","DateFormat=P","Fill=—","Direction=H","UseDPDF=Y")</f>
        <v>3.32</v>
      </c>
      <c r="M15" s="14">
        <f>_xll.BDH("AMGN US Equity","IS_EARN_BEF_XO_ITEMS_PER_SH","FQ4 2021","FQ4 2021","Currency=USD","Period=FQ","BEST_FPERIOD_OVERRIDE=FQ","FILING_STATUS=MR","Sort=A","Dates=H","DateFormat=P","Fill=—","Direction=H","UseDPDF=Y")</f>
        <v>3.38</v>
      </c>
      <c r="N15" s="14">
        <f>_xll.BDH("AMGN US Equity","IS_EARN_BEF_XO_ITEMS_PER_SH","FQ1 2022","FQ1 2022","Currency=USD","Period=FQ","BEST_FPERIOD_OVERRIDE=FQ","FILING_STATUS=MR","Sort=A","Dates=H","DateFormat=P","Fill=—","Direction=H","UseDPDF=Y")</f>
        <v>2.69</v>
      </c>
      <c r="O15" s="14">
        <f>_xll.BDH("AMGN US Equity","IS_EARN_BEF_XO_ITEMS_PER_SH","FQ2 2022","FQ2 2022","Currency=USD","Period=FQ","BEST_FPERIOD_OVERRIDE=FQ","FILING_STATUS=MR","Sort=A","Dates=H","DateFormat=P","Fill=—","Direction=H","UseDPDF=Y")</f>
        <v>2.46</v>
      </c>
      <c r="P15" s="14">
        <f>_xll.BDH("AMGN US Equity","IS_EARN_BEF_XO_ITEMS_PER_SH","FQ3 2022","FQ3 2022","Currency=USD","Period=FQ","BEST_FPERIOD_OVERRIDE=FQ","FILING_STATUS=MR","Sort=A","Dates=H","DateFormat=P","Fill=—","Direction=H","UseDPDF=Y")</f>
        <v>4.01</v>
      </c>
      <c r="Q15" s="14">
        <f>_xll.BDH("AMGN US Equity","IS_EARN_BEF_XO_ITEMS_PER_SH","FQ4 2022","FQ4 2022","Currency=USD","Period=FQ","BEST_FPERIOD_OVERRIDE=FQ","FILING_STATUS=MR","Sort=A","Dates=H","DateFormat=P","Fill=—","Direction=H","UseDPDF=Y")</f>
        <v>3.02</v>
      </c>
      <c r="R15" s="14">
        <f>_xll.BDH("AMGN US Equity","IS_EARN_BEF_XO_ITEMS_PER_SH","FQ1 2023","FQ1 2023","Currency=USD","Period=FQ","BEST_FPERIOD_OVERRIDE=FQ","FILING_STATUS=MR","Sort=A","Dates=H","DateFormat=P","Fill=—","Direction=H","UseDPDF=Y")</f>
        <v>5.32</v>
      </c>
      <c r="S15" s="14">
        <f>_xll.BDH("AMGN US Equity","IS_EARN_BEF_XO_ITEMS_PER_SH","FQ2 2023","FQ2 2023","Currency=USD","Period=FQ","BEST_FPERIOD_OVERRIDE=FQ","FILING_STATUS=MR","Sort=A","Dates=H","DateFormat=P","Fill=—","Direction=H","UseDPDF=Y")</f>
        <v>2.58</v>
      </c>
      <c r="T15" s="14">
        <f>_xll.BDH("AMGN US Equity","IS_EARN_BEF_XO_ITEMS_PER_SH","FQ3 2023","FQ3 2023","Currency=USD","Period=FQ","BEST_FPERIOD_OVERRIDE=FQ","FILING_STATUS=MR","Sort=A","Dates=H","DateFormat=P","Fill=—","Direction=H","UseDPDF=Y")</f>
        <v>3.23</v>
      </c>
      <c r="U15" s="14">
        <f>_xll.BDH("AMGN US Equity","IS_EARN_BEF_XO_ITEMS_PER_SH","FQ4 2023","FQ4 2023","Currency=USD","Period=FQ","BEST_FPERIOD_OVERRIDE=FQ","FILING_STATUS=MR","Sort=A","Dates=H","DateFormat=P","Fill=—","Direction=H","UseDPDF=Y")</f>
        <v>1.43</v>
      </c>
      <c r="V15" s="14">
        <f>_xll.BDH("AMGN US Equity","IS_EARN_BEF_XO_ITEMS_PER_SH","FQ1 2024","FQ1 2024","Currency=USD","Period=FQ","BEST_FPERIOD_OVERRIDE=FQ","FILING_STATUS=MR","Sort=A","Dates=H","DateFormat=P","Fill=—","Direction=H","UseDPDF=Y")</f>
        <v>-0.21</v>
      </c>
      <c r="W15" s="14">
        <f>_xll.BDH("AMGN US Equity","IS_EARN_BEF_XO_ITEMS_PER_SH","FQ2 2024","FQ2 2024","Currency=USD","Period=FQ","BEST_FPERIOD_OVERRIDE=FQ","FILING_STATUS=MR","Sort=A","Dates=H","DateFormat=P","Fill=—","Direction=H","UseDPDF=Y")</f>
        <v>1.39</v>
      </c>
      <c r="X15" s="14">
        <f>_xll.BDH("AMGN US Equity","IS_EARN_BEF_XO_ITEMS_PER_SH","FQ3 2024","FQ3 2024","Currency=USD","Period=FQ","BEST_FPERIOD_OVERRIDE=FQ","FILING_STATUS=MR","Sort=A","Dates=H","DateFormat=P","Fill=—","Direction=H","UseDPDF=Y")</f>
        <v>5.27</v>
      </c>
      <c r="Y15" s="14">
        <f>_xll.BDH("AMGN US Equity","IS_EARN_BEF_XO_ITEMS_PER_SH","FQ4 2024","FQ4 2024","Currency=USD","Period=FQ","BEST_FPERIOD_OVERRIDE=FQ","FILING_STATUS=MR","Sort=A","Dates=H","DateFormat=P","Fill=—","Direction=H","UseDPDF=Y")</f>
        <v>1.17</v>
      </c>
      <c r="Z15" s="14">
        <v>1.9430000000000001</v>
      </c>
      <c r="AA15" s="14">
        <v>3.23</v>
      </c>
    </row>
    <row r="16" spans="1:27" x14ac:dyDescent="0.25">
      <c r="A16" s="10" t="s">
        <v>262</v>
      </c>
      <c r="B16" s="10" t="s">
        <v>263</v>
      </c>
      <c r="C16" s="14">
        <f>_xll.BDH("AMGN US Equity","IS_BASIC_EPS_CONT_OPS","FQ2 2019","FQ2 2019","Currency=USD","Period=FQ","BEST_FPERIOD_OVERRIDE=FQ","FILING_STATUS=MR","Sort=A","Dates=H","DateFormat=P","Fill=—","Direction=H","UseDPDF=Y")</f>
        <v>3.6173000000000002</v>
      </c>
      <c r="D16" s="14">
        <f>_xll.BDH("AMGN US Equity","IS_BASIC_EPS_CONT_OPS","FQ3 2019","FQ3 2019","Currency=USD","Period=FQ","BEST_FPERIOD_OVERRIDE=FQ","FILING_STATUS=MR","Sort=A","Dates=H","DateFormat=P","Fill=—","Direction=H","UseDPDF=Y")</f>
        <v>3.2988</v>
      </c>
      <c r="E16" s="14">
        <f>_xll.BDH("AMGN US Equity","IS_BASIC_EPS_CONT_OPS","FQ4 2019","FQ4 2019","Currency=USD","Period=FQ","BEST_FPERIOD_OVERRIDE=FQ","FILING_STATUS=MR","Sort=A","Dates=H","DateFormat=P","Fill=—","Direction=H","UseDPDF=Y")</f>
        <v>2.9685999999999999</v>
      </c>
      <c r="F16" s="14">
        <f>_xll.BDH("AMGN US Equity","IS_BASIC_EPS_CONT_OPS","FQ1 2020","FQ1 2020","Currency=USD","Period=FQ","BEST_FPERIOD_OVERRIDE=FQ","FILING_STATUS=MR","Sort=A","Dates=H","DateFormat=P","Fill=—","Direction=H","UseDPDF=Y")</f>
        <v>3.1284999999999998</v>
      </c>
      <c r="G16" s="14">
        <f>_xll.BDH("AMGN US Equity","IS_BASIC_EPS_CONT_OPS","FQ2 2020","FQ2 2020","Currency=USD","Period=FQ","BEST_FPERIOD_OVERRIDE=FQ","FILING_STATUS=MR","Sort=A","Dates=H","DateFormat=P","Fill=—","Direction=H","UseDPDF=Y")</f>
        <v>3.1897000000000002</v>
      </c>
      <c r="H16" s="14">
        <f>_xll.BDH("AMGN US Equity","IS_BASIC_EPS_CONT_OPS","FQ3 2020","FQ3 2020","Currency=USD","Period=FQ","BEST_FPERIOD_OVERRIDE=FQ","FILING_STATUS=MR","Sort=A","Dates=H","DateFormat=P","Fill=—","Direction=H","UseDPDF=Y")</f>
        <v>4.3930999999999996</v>
      </c>
      <c r="I16" s="14">
        <f>_xll.BDH("AMGN US Equity","IS_BASIC_EPS_CONT_OPS","FQ4 2020","FQ4 2020","Currency=USD","Period=FQ","BEST_FPERIOD_OVERRIDE=FQ","FILING_STATUS=MR","Sort=A","Dates=H","DateFormat=P","Fill=—","Direction=H","UseDPDF=Y")</f>
        <v>2.8641000000000001</v>
      </c>
      <c r="J16" s="14">
        <f>_xll.BDH("AMGN US Equity","IS_BASIC_EPS_CONT_OPS","FQ1 2021","FQ1 2021","Currency=USD","Period=FQ","BEST_FPERIOD_OVERRIDE=FQ","FILING_STATUS=MR","Sort=A","Dates=H","DateFormat=P","Fill=—","Direction=H","UseDPDF=Y")</f>
        <v>3.6581000000000001</v>
      </c>
      <c r="K16" s="14">
        <f>_xll.BDH("AMGN US Equity","IS_BASIC_EPS_CONT_OPS","FQ2 2021","FQ2 2021","Currency=USD","Period=FQ","BEST_FPERIOD_OVERRIDE=FQ","FILING_STATUS=MR","Sort=A","Dates=H","DateFormat=P","Fill=—","Direction=H","UseDPDF=Y")</f>
        <v>4.3368000000000002</v>
      </c>
      <c r="L16" s="14">
        <f>_xll.BDH("AMGN US Equity","IS_BASIC_EPS_CONT_OPS","FQ3 2021","FQ3 2021","Currency=USD","Period=FQ","BEST_FPERIOD_OVERRIDE=FQ","FILING_STATUS=MR","Sort=A","Dates=H","DateFormat=P","Fill=—","Direction=H","UseDPDF=Y")</f>
        <v>3.0142000000000002</v>
      </c>
      <c r="M16" s="14">
        <f>_xll.BDH("AMGN US Equity","IS_BASIC_EPS_CONT_OPS","FQ4 2021","FQ4 2021","Currency=USD","Period=FQ","BEST_FPERIOD_OVERRIDE=FQ","FILING_STATUS=MR","Sort=A","Dates=H","DateFormat=P","Fill=—","Direction=H","UseDPDF=Y")</f>
        <v>3.3172000000000001</v>
      </c>
      <c r="N16" s="14">
        <f>_xll.BDH("AMGN US Equity","IS_BASIC_EPS_CONT_OPS","FQ1 2022","FQ1 2022","Currency=USD","Period=FQ","BEST_FPERIOD_OVERRIDE=FQ","FILING_STATUS=MR","Sort=A","Dates=H","DateFormat=P","Fill=—","Direction=H","UseDPDF=Y")</f>
        <v>4.2051999999999996</v>
      </c>
      <c r="O16" s="14">
        <f>_xll.BDH("AMGN US Equity","IS_BASIC_EPS_CONT_OPS","FQ2 2022","FQ2 2022","Currency=USD","Period=FQ","BEST_FPERIOD_OVERRIDE=FQ","FILING_STATUS=MR","Sort=A","Dates=H","DateFormat=P","Fill=—","Direction=H","UseDPDF=Y")</f>
        <v>4.5861999999999998</v>
      </c>
      <c r="P16" s="14">
        <f>_xll.BDH("AMGN US Equity","IS_BASIC_EPS_CONT_OPS","FQ3 2022","FQ3 2022","Currency=USD","Period=FQ","BEST_FPERIOD_OVERRIDE=FQ","FILING_STATUS=MR","Sort=A","Dates=H","DateFormat=P","Fill=—","Direction=H","UseDPDF=Y")</f>
        <v>3.7896000000000001</v>
      </c>
      <c r="Q16" s="14">
        <f>_xll.BDH("AMGN US Equity","IS_BASIC_EPS_CONT_OPS","FQ4 2022","FQ4 2022","Currency=USD","Period=FQ","BEST_FPERIOD_OVERRIDE=FQ","FILING_STATUS=MR","Sort=A","Dates=H","DateFormat=P","Fill=—","Direction=H","UseDPDF=Y")</f>
        <v>2.8281999999999998</v>
      </c>
      <c r="R16" s="14">
        <f>_xll.BDH("AMGN US Equity","IS_BASIC_EPS_CONT_OPS","FQ1 2023","FQ1 2023","Currency=USD","Period=FQ","BEST_FPERIOD_OVERRIDE=FQ","FILING_STATUS=MR","Sort=A","Dates=H","DateFormat=P","Fill=—","Direction=H","UseDPDF=Y")</f>
        <v>3.7902999999999998</v>
      </c>
      <c r="S16" s="14">
        <f>_xll.BDH("AMGN US Equity","IS_BASIC_EPS_CONT_OPS","FQ2 2023","FQ2 2023","Currency=USD","Period=FQ","BEST_FPERIOD_OVERRIDE=FQ","FILING_STATUS=MR","Sort=A","Dates=H","DateFormat=P","Fill=—","Direction=H","UseDPDF=Y")</f>
        <v>3.4615999999999998</v>
      </c>
      <c r="T16" s="14">
        <f>_xll.BDH("AMGN US Equity","IS_BASIC_EPS_CONT_OPS","FQ3 2023","FQ3 2023","Currency=USD","Period=FQ","BEST_FPERIOD_OVERRIDE=FQ","FILING_STATUS=MR","Sort=A","Dates=H","DateFormat=P","Fill=—","Direction=H","UseDPDF=Y")</f>
        <v>3.8858000000000001</v>
      </c>
      <c r="U16" s="14">
        <f>_xll.BDH("AMGN US Equity","IS_BASIC_EPS_CONT_OPS","FQ4 2023","FQ4 2023","Currency=USD","Period=FQ","BEST_FPERIOD_OVERRIDE=FQ","FILING_STATUS=MR","Sort=A","Dates=H","DateFormat=P","Fill=—","Direction=H","UseDPDF=Y")</f>
        <v>1.8904000000000001</v>
      </c>
      <c r="V16" s="14">
        <f>_xll.BDH("AMGN US Equity","IS_BASIC_EPS_CONT_OPS","FQ1 2024","FQ1 2024","Currency=USD","Period=FQ","BEST_FPERIOD_OVERRIDE=FQ","FILING_STATUS=MR","Sort=A","Dates=H","DateFormat=P","Fill=—","Direction=H","UseDPDF=Y")</f>
        <v>0.80589999999999995</v>
      </c>
      <c r="W16" s="14">
        <f>_xll.BDH("AMGN US Equity","IS_BASIC_EPS_CONT_OPS","FQ2 2024","FQ2 2024","Currency=USD","Period=FQ","BEST_FPERIOD_OVERRIDE=FQ","FILING_STATUS=MR","Sort=A","Dates=H","DateFormat=P","Fill=—","Direction=H","UseDPDF=Y")</f>
        <v>2.2488000000000001</v>
      </c>
      <c r="X16" s="14">
        <f>_xll.BDH("AMGN US Equity","IS_BASIC_EPS_CONT_OPS","FQ3 2024","FQ3 2024","Currency=USD","Period=FQ","BEST_FPERIOD_OVERRIDE=FQ","FILING_STATUS=MR","Sort=A","Dates=H","DateFormat=P","Fill=—","Direction=H","UseDPDF=Y")</f>
        <v>3.8056000000000001</v>
      </c>
      <c r="Y16" s="14">
        <f>_xll.BDH("AMGN US Equity","IS_BASIC_EPS_CONT_OPS","FQ4 2024","FQ4 2024","Currency=USD","Period=FQ","BEST_FPERIOD_OVERRIDE=FQ","FILING_STATUS=MR","Sort=A","Dates=H","DateFormat=P","Fill=—","Direction=H","UseDPDF=Y")</f>
        <v>2.4342999999999999</v>
      </c>
      <c r="Z16" s="14">
        <v>4.2480000000000002</v>
      </c>
      <c r="AA16" s="14">
        <v>5.3029999999999999</v>
      </c>
    </row>
    <row r="17" spans="1:27" x14ac:dyDescent="0.25">
      <c r="A17" s="10" t="s">
        <v>264</v>
      </c>
      <c r="B17" s="10" t="s">
        <v>104</v>
      </c>
      <c r="C17" s="14">
        <f>_xll.BDH("AMGN US Equity","IS_DILUTED_EPS","FQ2 2019","FQ2 2019","Currency=USD","Period=FQ","BEST_FPERIOD_OVERRIDE=FQ","FILING_STATUS=MR","FA_ADJUSTED=GAAP","Sort=A","Dates=H","DateFormat=P","Fill=—","Direction=H","UseDPDF=Y")</f>
        <v>3.57</v>
      </c>
      <c r="D17" s="14">
        <f>_xll.BDH("AMGN US Equity","IS_DILUTED_EPS","FQ3 2019","FQ3 2019","Currency=USD","Period=FQ","BEST_FPERIOD_OVERRIDE=FQ","FILING_STATUS=MR","FA_ADJUSTED=GAAP","Sort=A","Dates=H","DateFormat=P","Fill=—","Direction=H","UseDPDF=Y")</f>
        <v>3.27</v>
      </c>
      <c r="E17" s="14">
        <f>_xll.BDH("AMGN US Equity","IS_DILUTED_EPS","FQ4 2019","FQ4 2019","Currency=USD","Period=FQ","BEST_FPERIOD_OVERRIDE=FQ","FILING_STATUS=MR","FA_ADJUSTED=GAAP","Sort=A","Dates=H","DateFormat=P","Fill=—","Direction=H","UseDPDF=Y")</f>
        <v>2.85</v>
      </c>
      <c r="F17" s="14">
        <f>_xll.BDH("AMGN US Equity","IS_DILUTED_EPS","FQ1 2020","FQ1 2020","Currency=USD","Period=FQ","BEST_FPERIOD_OVERRIDE=FQ","FILING_STATUS=MR","FA_ADJUSTED=GAAP","Sort=A","Dates=H","DateFormat=P","Fill=—","Direction=H","UseDPDF=Y")</f>
        <v>3.07</v>
      </c>
      <c r="G17" s="14">
        <f>_xll.BDH("AMGN US Equity","IS_DILUTED_EPS","FQ2 2020","FQ2 2020","Currency=USD","Period=FQ","BEST_FPERIOD_OVERRIDE=FQ","FILING_STATUS=MR","FA_ADJUSTED=GAAP","Sort=A","Dates=H","DateFormat=P","Fill=—","Direction=H","UseDPDF=Y")</f>
        <v>3.05</v>
      </c>
      <c r="H17" s="14">
        <f>_xll.BDH("AMGN US Equity","IS_DILUTED_EPS","FQ3 2020","FQ3 2020","Currency=USD","Period=FQ","BEST_FPERIOD_OVERRIDE=FQ","FILING_STATUS=MR","FA_ADJUSTED=GAAP","Sort=A","Dates=H","DateFormat=P","Fill=—","Direction=H","UseDPDF=Y")</f>
        <v>3.43</v>
      </c>
      <c r="I17" s="14">
        <f>_xll.BDH("AMGN US Equity","IS_DILUTED_EPS","FQ4 2020","FQ4 2020","Currency=USD","Period=FQ","BEST_FPERIOD_OVERRIDE=FQ","FILING_STATUS=MR","FA_ADJUSTED=GAAP","Sort=A","Dates=H","DateFormat=P","Fill=—","Direction=H","UseDPDF=Y")</f>
        <v>2.76</v>
      </c>
      <c r="J17" s="14">
        <f>_xll.BDH("AMGN US Equity","IS_DILUTED_EPS","FQ1 2021","FQ1 2021","Currency=USD","Period=FQ","BEST_FPERIOD_OVERRIDE=FQ","FILING_STATUS=MR","FA_ADJUSTED=GAAP","Sort=A","Dates=H","DateFormat=P","Fill=—","Direction=H","UseDPDF=Y")</f>
        <v>2.83</v>
      </c>
      <c r="K17" s="14">
        <f>_xll.BDH("AMGN US Equity","IS_DILUTED_EPS","FQ2 2021","FQ2 2021","Currency=USD","Period=FQ","BEST_FPERIOD_OVERRIDE=FQ","FILING_STATUS=MR","FA_ADJUSTED=GAAP","Sort=A","Dates=H","DateFormat=P","Fill=—","Direction=H","UseDPDF=Y")</f>
        <v>0.81</v>
      </c>
      <c r="L17" s="14">
        <f>_xll.BDH("AMGN US Equity","IS_DILUTED_EPS","FQ3 2021","FQ3 2021","Currency=USD","Period=FQ","BEST_FPERIOD_OVERRIDE=FQ","FILING_STATUS=MR","FA_ADJUSTED=GAAP","Sort=A","Dates=H","DateFormat=P","Fill=—","Direction=H","UseDPDF=Y")</f>
        <v>3.31</v>
      </c>
      <c r="M17" s="14">
        <f>_xll.BDH("AMGN US Equity","IS_DILUTED_EPS","FQ4 2021","FQ4 2021","Currency=USD","Period=FQ","BEST_FPERIOD_OVERRIDE=FQ","FILING_STATUS=MR","FA_ADJUSTED=GAAP","Sort=A","Dates=H","DateFormat=P","Fill=—","Direction=H","UseDPDF=Y")</f>
        <v>3.36</v>
      </c>
      <c r="N17" s="14">
        <f>_xll.BDH("AMGN US Equity","IS_DILUTED_EPS","FQ1 2022","FQ1 2022","Currency=USD","Period=FQ","BEST_FPERIOD_OVERRIDE=FQ","FILING_STATUS=MR","FA_ADJUSTED=GAAP","Sort=A","Dates=H","DateFormat=P","Fill=—","Direction=H","UseDPDF=Y")</f>
        <v>2.68</v>
      </c>
      <c r="O17" s="14">
        <f>_xll.BDH("AMGN US Equity","IS_DILUTED_EPS","FQ2 2022","FQ2 2022","Currency=USD","Period=FQ","BEST_FPERIOD_OVERRIDE=FQ","FILING_STATUS=MR","FA_ADJUSTED=GAAP","Sort=A","Dates=H","DateFormat=P","Fill=—","Direction=H","UseDPDF=Y")</f>
        <v>2.4500000000000002</v>
      </c>
      <c r="P17" s="14">
        <f>_xll.BDH("AMGN US Equity","IS_DILUTED_EPS","FQ3 2022","FQ3 2022","Currency=USD","Period=FQ","BEST_FPERIOD_OVERRIDE=FQ","FILING_STATUS=MR","FA_ADJUSTED=GAAP","Sort=A","Dates=H","DateFormat=P","Fill=—","Direction=H","UseDPDF=Y")</f>
        <v>3.98</v>
      </c>
      <c r="Q17" s="14">
        <f>_xll.BDH("AMGN US Equity","IS_DILUTED_EPS","FQ4 2022","FQ4 2022","Currency=USD","Period=FQ","BEST_FPERIOD_OVERRIDE=FQ","FILING_STATUS=MR","FA_ADJUSTED=GAAP","Sort=A","Dates=H","DateFormat=P","Fill=—","Direction=H","UseDPDF=Y")</f>
        <v>3</v>
      </c>
      <c r="R17" s="14">
        <f>_xll.BDH("AMGN US Equity","IS_DILUTED_EPS","FQ1 2023","FQ1 2023","Currency=USD","Period=FQ","BEST_FPERIOD_OVERRIDE=FQ","FILING_STATUS=MR","FA_ADJUSTED=GAAP","Sort=A","Dates=H","DateFormat=P","Fill=—","Direction=H","UseDPDF=Y")</f>
        <v>5.28</v>
      </c>
      <c r="S17" s="14">
        <f>_xll.BDH("AMGN US Equity","IS_DILUTED_EPS","FQ2 2023","FQ2 2023","Currency=USD","Period=FQ","BEST_FPERIOD_OVERRIDE=FQ","FILING_STATUS=MR","FA_ADJUSTED=GAAP","Sort=A","Dates=H","DateFormat=P","Fill=—","Direction=H","UseDPDF=Y")</f>
        <v>2.57</v>
      </c>
      <c r="T17" s="14">
        <f>_xll.BDH("AMGN US Equity","IS_DILUTED_EPS","FQ3 2023","FQ3 2023","Currency=USD","Period=FQ","BEST_FPERIOD_OVERRIDE=FQ","FILING_STATUS=MR","FA_ADJUSTED=GAAP","Sort=A","Dates=H","DateFormat=P","Fill=—","Direction=H","UseDPDF=Y")</f>
        <v>3.22</v>
      </c>
      <c r="U17" s="14">
        <f>_xll.BDH("AMGN US Equity","IS_DILUTED_EPS","FQ4 2023","FQ4 2023","Currency=USD","Period=FQ","BEST_FPERIOD_OVERRIDE=FQ","FILING_STATUS=MR","FA_ADJUSTED=GAAP","Sort=A","Dates=H","DateFormat=P","Fill=—","Direction=H","UseDPDF=Y")</f>
        <v>1.42</v>
      </c>
      <c r="V17" s="14">
        <f>_xll.BDH("AMGN US Equity","IS_DILUTED_EPS","FQ1 2024","FQ1 2024","Currency=USD","Period=FQ","BEST_FPERIOD_OVERRIDE=FQ","FILING_STATUS=MR","FA_ADJUSTED=GAAP","Sort=A","Dates=H","DateFormat=P","Fill=—","Direction=H","UseDPDF=Y")</f>
        <v>-0.21</v>
      </c>
      <c r="W17" s="14">
        <f>_xll.BDH("AMGN US Equity","IS_DILUTED_EPS","FQ2 2024","FQ2 2024","Currency=USD","Period=FQ","BEST_FPERIOD_OVERRIDE=FQ","FILING_STATUS=MR","FA_ADJUSTED=GAAP","Sort=A","Dates=H","DateFormat=P","Fill=—","Direction=H","UseDPDF=Y")</f>
        <v>1.38</v>
      </c>
      <c r="X17" s="14">
        <f>_xll.BDH("AMGN US Equity","IS_DILUTED_EPS","FQ3 2024","FQ3 2024","Currency=USD","Period=FQ","BEST_FPERIOD_OVERRIDE=FQ","FILING_STATUS=MR","FA_ADJUSTED=GAAP","Sort=A","Dates=H","DateFormat=P","Fill=—","Direction=H","UseDPDF=Y")</f>
        <v>5.22</v>
      </c>
      <c r="Y17" s="14">
        <f>_xll.BDH("AMGN US Equity","IS_DILUTED_EPS","FQ4 2024","FQ4 2024","Currency=USD","Period=FQ","BEST_FPERIOD_OVERRIDE=FQ","FILING_STATUS=MR","FA_ADJUSTED=GAAP","Sort=A","Dates=H","DateFormat=P","Fill=—","Direction=H","UseDPDF=Y")</f>
        <v>1.1599999999999999</v>
      </c>
      <c r="Z17" s="14">
        <v>1.9430000000000001</v>
      </c>
      <c r="AA17" s="14">
        <v>3.23</v>
      </c>
    </row>
    <row r="18" spans="1:27" x14ac:dyDescent="0.25">
      <c r="A18" s="10" t="s">
        <v>265</v>
      </c>
      <c r="B18" s="10" t="s">
        <v>266</v>
      </c>
      <c r="C18" s="14">
        <f>_xll.BDH("AMGN US Equity","IS_DIL_EPS_BEF_XO","FQ2 2019","FQ2 2019","Currency=USD","Period=FQ","BEST_FPERIOD_OVERRIDE=FQ","FILING_STATUS=MR","Sort=A","Dates=H","DateFormat=P","Fill=—","Direction=H","UseDPDF=Y")</f>
        <v>3.57</v>
      </c>
      <c r="D18" s="14">
        <f>_xll.BDH("AMGN US Equity","IS_DIL_EPS_BEF_XO","FQ3 2019","FQ3 2019","Currency=USD","Period=FQ","BEST_FPERIOD_OVERRIDE=FQ","FILING_STATUS=MR","Sort=A","Dates=H","DateFormat=P","Fill=—","Direction=H","UseDPDF=Y")</f>
        <v>3.27</v>
      </c>
      <c r="E18" s="14">
        <f>_xll.BDH("AMGN US Equity","IS_DIL_EPS_BEF_XO","FQ4 2019","FQ4 2019","Currency=USD","Period=FQ","BEST_FPERIOD_OVERRIDE=FQ","FILING_STATUS=MR","Sort=A","Dates=H","DateFormat=P","Fill=—","Direction=H","UseDPDF=Y")</f>
        <v>2.85</v>
      </c>
      <c r="F18" s="14">
        <f>_xll.BDH("AMGN US Equity","IS_DIL_EPS_BEF_XO","FQ1 2020","FQ1 2020","Currency=USD","Period=FQ","BEST_FPERIOD_OVERRIDE=FQ","FILING_STATUS=MR","Sort=A","Dates=H","DateFormat=P","Fill=—","Direction=H","UseDPDF=Y")</f>
        <v>3.07</v>
      </c>
      <c r="G18" s="14">
        <f>_xll.BDH("AMGN US Equity","IS_DIL_EPS_BEF_XO","FQ2 2020","FQ2 2020","Currency=USD","Period=FQ","BEST_FPERIOD_OVERRIDE=FQ","FILING_STATUS=MR","Sort=A","Dates=H","DateFormat=P","Fill=—","Direction=H","UseDPDF=Y")</f>
        <v>3.05</v>
      </c>
      <c r="H18" s="14">
        <f>_xll.BDH("AMGN US Equity","IS_DIL_EPS_BEF_XO","FQ3 2020","FQ3 2020","Currency=USD","Period=FQ","BEST_FPERIOD_OVERRIDE=FQ","FILING_STATUS=MR","Sort=A","Dates=H","DateFormat=P","Fill=—","Direction=H","UseDPDF=Y")</f>
        <v>3.43</v>
      </c>
      <c r="I18" s="14">
        <f>_xll.BDH("AMGN US Equity","IS_DIL_EPS_BEF_XO","FQ4 2020","FQ4 2020","Currency=USD","Period=FQ","BEST_FPERIOD_OVERRIDE=FQ","FILING_STATUS=MR","Sort=A","Dates=H","DateFormat=P","Fill=—","Direction=H","UseDPDF=Y")</f>
        <v>2.76</v>
      </c>
      <c r="J18" s="14">
        <f>_xll.BDH("AMGN US Equity","IS_DIL_EPS_BEF_XO","FQ1 2021","FQ1 2021","Currency=USD","Period=FQ","BEST_FPERIOD_OVERRIDE=FQ","FILING_STATUS=MR","Sort=A","Dates=H","DateFormat=P","Fill=—","Direction=H","UseDPDF=Y")</f>
        <v>2.83</v>
      </c>
      <c r="K18" s="14">
        <f>_xll.BDH("AMGN US Equity","IS_DIL_EPS_BEF_XO","FQ2 2021","FQ2 2021","Currency=USD","Period=FQ","BEST_FPERIOD_OVERRIDE=FQ","FILING_STATUS=MR","Sort=A","Dates=H","DateFormat=P","Fill=—","Direction=H","UseDPDF=Y")</f>
        <v>0.81</v>
      </c>
      <c r="L18" s="14">
        <f>_xll.BDH("AMGN US Equity","IS_DIL_EPS_BEF_XO","FQ3 2021","FQ3 2021","Currency=USD","Period=FQ","BEST_FPERIOD_OVERRIDE=FQ","FILING_STATUS=MR","Sort=A","Dates=H","DateFormat=P","Fill=—","Direction=H","UseDPDF=Y")</f>
        <v>3.31</v>
      </c>
      <c r="M18" s="14">
        <f>_xll.BDH("AMGN US Equity","IS_DIL_EPS_BEF_XO","FQ4 2021","FQ4 2021","Currency=USD","Period=FQ","BEST_FPERIOD_OVERRIDE=FQ","FILING_STATUS=MR","Sort=A","Dates=H","DateFormat=P","Fill=—","Direction=H","UseDPDF=Y")</f>
        <v>3.36</v>
      </c>
      <c r="N18" s="14">
        <f>_xll.BDH("AMGN US Equity","IS_DIL_EPS_BEF_XO","FQ1 2022","FQ1 2022","Currency=USD","Period=FQ","BEST_FPERIOD_OVERRIDE=FQ","FILING_STATUS=MR","Sort=A","Dates=H","DateFormat=P","Fill=—","Direction=H","UseDPDF=Y")</f>
        <v>2.68</v>
      </c>
      <c r="O18" s="14">
        <f>_xll.BDH("AMGN US Equity","IS_DIL_EPS_BEF_XO","FQ2 2022","FQ2 2022","Currency=USD","Period=FQ","BEST_FPERIOD_OVERRIDE=FQ","FILING_STATUS=MR","Sort=A","Dates=H","DateFormat=P","Fill=—","Direction=H","UseDPDF=Y")</f>
        <v>2.4500000000000002</v>
      </c>
      <c r="P18" s="14">
        <f>_xll.BDH("AMGN US Equity","IS_DIL_EPS_BEF_XO","FQ3 2022","FQ3 2022","Currency=USD","Period=FQ","BEST_FPERIOD_OVERRIDE=FQ","FILING_STATUS=MR","Sort=A","Dates=H","DateFormat=P","Fill=—","Direction=H","UseDPDF=Y")</f>
        <v>3.98</v>
      </c>
      <c r="Q18" s="14">
        <f>_xll.BDH("AMGN US Equity","IS_DIL_EPS_BEF_XO","FQ4 2022","FQ4 2022","Currency=USD","Period=FQ","BEST_FPERIOD_OVERRIDE=FQ","FILING_STATUS=MR","Sort=A","Dates=H","DateFormat=P","Fill=—","Direction=H","UseDPDF=Y")</f>
        <v>3</v>
      </c>
      <c r="R18" s="14">
        <f>_xll.BDH("AMGN US Equity","IS_DIL_EPS_BEF_XO","FQ1 2023","FQ1 2023","Currency=USD","Period=FQ","BEST_FPERIOD_OVERRIDE=FQ","FILING_STATUS=MR","Sort=A","Dates=H","DateFormat=P","Fill=—","Direction=H","UseDPDF=Y")</f>
        <v>5.28</v>
      </c>
      <c r="S18" s="14">
        <f>_xll.BDH("AMGN US Equity","IS_DIL_EPS_BEF_XO","FQ2 2023","FQ2 2023","Currency=USD","Period=FQ","BEST_FPERIOD_OVERRIDE=FQ","FILING_STATUS=MR","Sort=A","Dates=H","DateFormat=P","Fill=—","Direction=H","UseDPDF=Y")</f>
        <v>2.57</v>
      </c>
      <c r="T18" s="14">
        <f>_xll.BDH("AMGN US Equity","IS_DIL_EPS_BEF_XO","FQ3 2023","FQ3 2023","Currency=USD","Period=FQ","BEST_FPERIOD_OVERRIDE=FQ","FILING_STATUS=MR","Sort=A","Dates=H","DateFormat=P","Fill=—","Direction=H","UseDPDF=Y")</f>
        <v>3.22</v>
      </c>
      <c r="U18" s="14">
        <f>_xll.BDH("AMGN US Equity","IS_DIL_EPS_BEF_XO","FQ4 2023","FQ4 2023","Currency=USD","Period=FQ","BEST_FPERIOD_OVERRIDE=FQ","FILING_STATUS=MR","Sort=A","Dates=H","DateFormat=P","Fill=—","Direction=H","UseDPDF=Y")</f>
        <v>1.42</v>
      </c>
      <c r="V18" s="14">
        <f>_xll.BDH("AMGN US Equity","IS_DIL_EPS_BEF_XO","FQ1 2024","FQ1 2024","Currency=USD","Period=FQ","BEST_FPERIOD_OVERRIDE=FQ","FILING_STATUS=MR","Sort=A","Dates=H","DateFormat=P","Fill=—","Direction=H","UseDPDF=Y")</f>
        <v>-0.21</v>
      </c>
      <c r="W18" s="14">
        <f>_xll.BDH("AMGN US Equity","IS_DIL_EPS_BEF_XO","FQ2 2024","FQ2 2024","Currency=USD","Period=FQ","BEST_FPERIOD_OVERRIDE=FQ","FILING_STATUS=MR","Sort=A","Dates=H","DateFormat=P","Fill=—","Direction=H","UseDPDF=Y")</f>
        <v>1.38</v>
      </c>
      <c r="X18" s="14">
        <f>_xll.BDH("AMGN US Equity","IS_DIL_EPS_BEF_XO","FQ3 2024","FQ3 2024","Currency=USD","Period=FQ","BEST_FPERIOD_OVERRIDE=FQ","FILING_STATUS=MR","Sort=A","Dates=H","DateFormat=P","Fill=—","Direction=H","UseDPDF=Y")</f>
        <v>5.22</v>
      </c>
      <c r="Y18" s="14">
        <f>_xll.BDH("AMGN US Equity","IS_DIL_EPS_BEF_XO","FQ4 2024","FQ4 2024","Currency=USD","Period=FQ","BEST_FPERIOD_OVERRIDE=FQ","FILING_STATUS=MR","Sort=A","Dates=H","DateFormat=P","Fill=—","Direction=H","UseDPDF=Y")</f>
        <v>1.1599999999999999</v>
      </c>
      <c r="Z18" s="14">
        <v>1.9430000000000001</v>
      </c>
      <c r="AA18" s="14">
        <v>3.23</v>
      </c>
    </row>
    <row r="19" spans="1:27" x14ac:dyDescent="0.25">
      <c r="A19" s="10" t="s">
        <v>267</v>
      </c>
      <c r="B19" s="10" t="s">
        <v>82</v>
      </c>
      <c r="C19" s="14">
        <f>_xll.BDH("AMGN US Equity","IS_DIL_EPS_CONT_OPS","FQ2 2019","FQ2 2019","Currency=USD","Period=FQ","BEST_FPERIOD_OVERRIDE=FQ","FILING_STATUS=MR","Sort=A","Dates=H","DateFormat=P","Fill=—","Direction=H","UseDPDF=Y")</f>
        <v>3.5973999999999999</v>
      </c>
      <c r="D19" s="14">
        <f>_xll.BDH("AMGN US Equity","IS_DIL_EPS_CONT_OPS","FQ3 2019","FQ3 2019","Currency=USD","Period=FQ","BEST_FPERIOD_OVERRIDE=FQ","FILING_STATUS=MR","Sort=A","Dates=H","DateFormat=P","Fill=—","Direction=H","UseDPDF=Y")</f>
        <v>3.2833000000000001</v>
      </c>
      <c r="E19" s="14">
        <f>_xll.BDH("AMGN US Equity","IS_DIL_EPS_CONT_OPS","FQ4 2019","FQ4 2019","Currency=USD","Period=FQ","BEST_FPERIOD_OVERRIDE=FQ","FILING_STATUS=MR","Sort=A","Dates=H","DateFormat=P","Fill=—","Direction=H","UseDPDF=Y")</f>
        <v>2.9460000000000002</v>
      </c>
      <c r="F19" s="14">
        <f>_xll.BDH("AMGN US Equity","IS_DIL_EPS_CONT_OPS","FQ1 2020","FQ1 2020","Currency=USD","Period=FQ","BEST_FPERIOD_OVERRIDE=FQ","FILING_STATUS=MR","Sort=A","Dates=H","DateFormat=P","Fill=—","Direction=H","UseDPDF=Y")</f>
        <v>3.105</v>
      </c>
      <c r="G19" s="14">
        <f>_xll.BDH("AMGN US Equity","IS_DIL_EPS_CONT_OPS","FQ2 2020","FQ2 2020","Currency=USD","Period=FQ","BEST_FPERIOD_OVERRIDE=FQ","FILING_STATUS=MR","Sort=A","Dates=H","DateFormat=P","Fill=—","Direction=H","UseDPDF=Y")</f>
        <v>3.1724999999999999</v>
      </c>
      <c r="H19" s="14">
        <f>_xll.BDH("AMGN US Equity","IS_DIL_EPS_CONT_OPS","FQ3 2020","FQ3 2020","Currency=USD","Period=FQ","BEST_FPERIOD_OVERRIDE=FQ","FILING_STATUS=MR","Sort=A","Dates=H","DateFormat=P","Fill=—","Direction=H","UseDPDF=Y")</f>
        <v>4.3620000000000001</v>
      </c>
      <c r="I19" s="14">
        <f>_xll.BDH("AMGN US Equity","IS_DIL_EPS_CONT_OPS","FQ4 2020","FQ4 2020","Currency=USD","Period=FQ","BEST_FPERIOD_OVERRIDE=FQ","FILING_STATUS=MR","Sort=A","Dates=H","DateFormat=P","Fill=—","Direction=H","UseDPDF=Y")</f>
        <v>2.8439000000000001</v>
      </c>
      <c r="J19" s="14">
        <f>_xll.BDH("AMGN US Equity","IS_DIL_EPS_CONT_OPS","FQ1 2021","FQ1 2021","Currency=USD","Period=FQ","BEST_FPERIOD_OVERRIDE=FQ","FILING_STATUS=MR","Sort=A","Dates=H","DateFormat=P","Fill=—","Direction=H","UseDPDF=Y")</f>
        <v>3.6297999999999999</v>
      </c>
      <c r="K19" s="14">
        <f>_xll.BDH("AMGN US Equity","IS_DIL_EPS_CONT_OPS","FQ2 2021","FQ2 2021","Currency=USD","Period=FQ","BEST_FPERIOD_OVERRIDE=FQ","FILING_STATUS=MR","Sort=A","Dates=H","DateFormat=P","Fill=—","Direction=H","UseDPDF=Y")</f>
        <v>4.3186999999999998</v>
      </c>
      <c r="L19" s="14">
        <f>_xll.BDH("AMGN US Equity","IS_DIL_EPS_CONT_OPS","FQ3 2021","FQ3 2021","Currency=USD","Period=FQ","BEST_FPERIOD_OVERRIDE=FQ","FILING_STATUS=MR","Sort=A","Dates=H","DateFormat=P","Fill=—","Direction=H","UseDPDF=Y")</f>
        <v>3.0030999999999999</v>
      </c>
      <c r="M19" s="14">
        <f>_xll.BDH("AMGN US Equity","IS_DIL_EPS_CONT_OPS","FQ4 2021","FQ4 2021","Currency=USD","Period=FQ","BEST_FPERIOD_OVERRIDE=FQ","FILING_STATUS=MR","Sort=A","Dates=H","DateFormat=P","Fill=—","Direction=H","UseDPDF=Y")</f>
        <v>3.2985000000000002</v>
      </c>
      <c r="N19" s="14">
        <f>_xll.BDH("AMGN US Equity","IS_DIL_EPS_CONT_OPS","FQ1 2022","FQ1 2022","Currency=USD","Period=FQ","BEST_FPERIOD_OVERRIDE=FQ","FILING_STATUS=MR","Sort=A","Dates=H","DateFormat=P","Fill=—","Direction=H","UseDPDF=Y")</f>
        <v>4.1835000000000004</v>
      </c>
      <c r="O19" s="14">
        <f>_xll.BDH("AMGN US Equity","IS_DIL_EPS_CONT_OPS","FQ2 2022","FQ2 2022","Currency=USD","Period=FQ","BEST_FPERIOD_OVERRIDE=FQ","FILING_STATUS=MR","Sort=A","Dates=H","DateFormat=P","Fill=—","Direction=H","UseDPDF=Y")</f>
        <v>4.5666000000000002</v>
      </c>
      <c r="P19" s="14">
        <f>_xll.BDH("AMGN US Equity","IS_DIL_EPS_CONT_OPS","FQ3 2022","FQ3 2022","Currency=USD","Period=FQ","BEST_FPERIOD_OVERRIDE=FQ","FILING_STATUS=MR","Sort=A","Dates=H","DateFormat=P","Fill=—","Direction=H","UseDPDF=Y")</f>
        <v>3.7652000000000001</v>
      </c>
      <c r="Q19" s="14">
        <f>_xll.BDH("AMGN US Equity","IS_DIL_EPS_CONT_OPS","FQ4 2022","FQ4 2022","Currency=USD","Period=FQ","BEST_FPERIOD_OVERRIDE=FQ","FILING_STATUS=MR","Sort=A","Dates=H","DateFormat=P","Fill=—","Direction=H","UseDPDF=Y")</f>
        <v>2.8090999999999999</v>
      </c>
      <c r="R19" s="14">
        <f>_xll.BDH("AMGN US Equity","IS_DIL_EPS_CONT_OPS","FQ1 2023","FQ1 2023","Currency=USD","Period=FQ","BEST_FPERIOD_OVERRIDE=FQ","FILING_STATUS=MR","Sort=A","Dates=H","DateFormat=P","Fill=—","Direction=H","UseDPDF=Y")</f>
        <v>3.7614000000000001</v>
      </c>
      <c r="S19" s="14">
        <f>_xll.BDH("AMGN US Equity","IS_DIL_EPS_CONT_OPS","FQ2 2023","FQ2 2023","Currency=USD","Period=FQ","BEST_FPERIOD_OVERRIDE=FQ","FILING_STATUS=MR","Sort=A","Dates=H","DateFormat=P","Fill=—","Direction=H","UseDPDF=Y")</f>
        <v>3.4506999999999999</v>
      </c>
      <c r="T19" s="14">
        <f>_xll.BDH("AMGN US Equity","IS_DIL_EPS_CONT_OPS","FQ3 2023","FQ3 2023","Currency=USD","Period=FQ","BEST_FPERIOD_OVERRIDE=FQ","FILING_STATUS=MR","Sort=A","Dates=H","DateFormat=P","Fill=—","Direction=H","UseDPDF=Y")</f>
        <v>3.8685</v>
      </c>
      <c r="U19" s="14">
        <f>_xll.BDH("AMGN US Equity","IS_DIL_EPS_CONT_OPS","FQ4 2023","FQ4 2023","Currency=USD","Period=FQ","BEST_FPERIOD_OVERRIDE=FQ","FILING_STATUS=MR","Sort=A","Dates=H","DateFormat=P","Fill=—","Direction=H","UseDPDF=Y")</f>
        <v>1.8725000000000001</v>
      </c>
      <c r="V19" s="14">
        <f>_xll.BDH("AMGN US Equity","IS_DIL_EPS_CONT_OPS","FQ1 2024","FQ1 2024","Currency=USD","Period=FQ","BEST_FPERIOD_OVERRIDE=FQ","FILING_STATUS=MR","Sort=A","Dates=H","DateFormat=P","Fill=—","Direction=H","UseDPDF=Y")</f>
        <v>0.80589999999999995</v>
      </c>
      <c r="W19" s="14">
        <f>_xll.BDH("AMGN US Equity","IS_DIL_EPS_CONT_OPS","FQ2 2024","FQ2 2024","Currency=USD","Period=FQ","BEST_FPERIOD_OVERRIDE=FQ","FILING_STATUS=MR","Sort=A","Dates=H","DateFormat=P","Fill=—","Direction=H","UseDPDF=Y")</f>
        <v>2.2332000000000001</v>
      </c>
      <c r="X19" s="14">
        <f>_xll.BDH("AMGN US Equity","IS_DIL_EPS_CONT_OPS","FQ3 2024","FQ3 2024","Currency=USD","Period=FQ","BEST_FPERIOD_OVERRIDE=FQ","FILING_STATUS=MR","Sort=A","Dates=H","DateFormat=P","Fill=—","Direction=H","UseDPDF=Y")</f>
        <v>3.7690999999999999</v>
      </c>
      <c r="Y19" s="14">
        <f>_xll.BDH("AMGN US Equity","IS_DIL_EPS_CONT_OPS","FQ4 2024","FQ4 2024","Currency=USD","Period=FQ","BEST_FPERIOD_OVERRIDE=FQ","FILING_STATUS=MR","Sort=A","Dates=H","DateFormat=P","Fill=—","Direction=H","UseDPDF=Y")</f>
        <v>2.415</v>
      </c>
      <c r="Z19" s="14">
        <v>4.2480000000000002</v>
      </c>
      <c r="AA19" s="14">
        <v>5.3029999999999999</v>
      </c>
    </row>
    <row r="20" spans="1:27" x14ac:dyDescent="0.25">
      <c r="A20" s="10" t="s">
        <v>268</v>
      </c>
      <c r="B20" s="10" t="s">
        <v>269</v>
      </c>
      <c r="C20" s="14">
        <f>_xll.BDH("AMGN US Equity","EQY_DPS","FQ2 2019","FQ2 2019","Currency=USD","Period=FQ","BEST_FPERIOD_OVERRIDE=FQ","FILING_STATUS=MR","Sort=A","Dates=H","DateFormat=P","Fill=—","Direction=H","UseDPDF=Y")</f>
        <v>1.45</v>
      </c>
      <c r="D20" s="14">
        <f>_xll.BDH("AMGN US Equity","EQY_DPS","FQ3 2019","FQ3 2019","Currency=USD","Period=FQ","BEST_FPERIOD_OVERRIDE=FQ","FILING_STATUS=MR","Sort=A","Dates=H","DateFormat=P","Fill=—","Direction=H","UseDPDF=Y")</f>
        <v>1.45</v>
      </c>
      <c r="E20" s="14">
        <f>_xll.BDH("AMGN US Equity","EQY_DPS","FQ4 2019","FQ4 2019","Currency=USD","Period=FQ","BEST_FPERIOD_OVERRIDE=FQ","FILING_STATUS=MR","Sort=A","Dates=H","DateFormat=P","Fill=—","Direction=H","UseDPDF=Y")</f>
        <v>1.45</v>
      </c>
      <c r="F20" s="14">
        <f>_xll.BDH("AMGN US Equity","EQY_DPS","FQ1 2020","FQ1 2020","Currency=USD","Period=FQ","BEST_FPERIOD_OVERRIDE=FQ","FILING_STATUS=MR","Sort=A","Dates=H","DateFormat=P","Fill=—","Direction=H","UseDPDF=Y")</f>
        <v>1.6</v>
      </c>
      <c r="G20" s="14">
        <f>_xll.BDH("AMGN US Equity","EQY_DPS","FQ2 2020","FQ2 2020","Currency=USD","Period=FQ","BEST_FPERIOD_OVERRIDE=FQ","FILING_STATUS=MR","Sort=A","Dates=H","DateFormat=P","Fill=—","Direction=H","UseDPDF=Y")</f>
        <v>1.6</v>
      </c>
      <c r="H20" s="14">
        <f>_xll.BDH("AMGN US Equity","EQY_DPS","FQ3 2020","FQ3 2020","Currency=USD","Period=FQ","BEST_FPERIOD_OVERRIDE=FQ","FILING_STATUS=MR","Sort=A","Dates=H","DateFormat=P","Fill=—","Direction=H","UseDPDF=Y")</f>
        <v>1.6</v>
      </c>
      <c r="I20" s="14">
        <f>_xll.BDH("AMGN US Equity","EQY_DPS","FQ4 2020","FQ4 2020","Currency=USD","Period=FQ","BEST_FPERIOD_OVERRIDE=FQ","FILING_STATUS=MR","Sort=A","Dates=H","DateFormat=P","Fill=—","Direction=H","UseDPDF=Y")</f>
        <v>1.6</v>
      </c>
      <c r="J20" s="14">
        <f>_xll.BDH("AMGN US Equity","EQY_DPS","FQ1 2021","FQ1 2021","Currency=USD","Period=FQ","BEST_FPERIOD_OVERRIDE=FQ","FILING_STATUS=MR","Sort=A","Dates=H","DateFormat=P","Fill=—","Direction=H","UseDPDF=Y")</f>
        <v>1.76</v>
      </c>
      <c r="K20" s="14">
        <f>_xll.BDH("AMGN US Equity","EQY_DPS","FQ2 2021","FQ2 2021","Currency=USD","Period=FQ","BEST_FPERIOD_OVERRIDE=FQ","FILING_STATUS=MR","Sort=A","Dates=H","DateFormat=P","Fill=—","Direction=H","UseDPDF=Y")</f>
        <v>1.76</v>
      </c>
      <c r="L20" s="14">
        <f>_xll.BDH("AMGN US Equity","EQY_DPS","FQ3 2021","FQ3 2021","Currency=USD","Period=FQ","BEST_FPERIOD_OVERRIDE=FQ","FILING_STATUS=MR","Sort=A","Dates=H","DateFormat=P","Fill=—","Direction=H","UseDPDF=Y")</f>
        <v>1.76</v>
      </c>
      <c r="M20" s="14">
        <f>_xll.BDH("AMGN US Equity","EQY_DPS","FQ4 2021","FQ4 2021","Currency=USD","Period=FQ","BEST_FPERIOD_OVERRIDE=FQ","FILING_STATUS=MR","Sort=A","Dates=H","DateFormat=P","Fill=—","Direction=H","UseDPDF=Y")</f>
        <v>1.76</v>
      </c>
      <c r="N20" s="14">
        <f>_xll.BDH("AMGN US Equity","EQY_DPS","FQ1 2022","FQ1 2022","Currency=USD","Period=FQ","BEST_FPERIOD_OVERRIDE=FQ","FILING_STATUS=MR","Sort=A","Dates=H","DateFormat=P","Fill=—","Direction=H","UseDPDF=Y")</f>
        <v>1.94</v>
      </c>
      <c r="O20" s="14">
        <f>_xll.BDH("AMGN US Equity","EQY_DPS","FQ2 2022","FQ2 2022","Currency=USD","Period=FQ","BEST_FPERIOD_OVERRIDE=FQ","FILING_STATUS=MR","Sort=A","Dates=H","DateFormat=P","Fill=—","Direction=H","UseDPDF=Y")</f>
        <v>1.94</v>
      </c>
      <c r="P20" s="14">
        <f>_xll.BDH("AMGN US Equity","EQY_DPS","FQ3 2022","FQ3 2022","Currency=USD","Period=FQ","BEST_FPERIOD_OVERRIDE=FQ","FILING_STATUS=MR","Sort=A","Dates=H","DateFormat=P","Fill=—","Direction=H","UseDPDF=Y")</f>
        <v>1.94</v>
      </c>
      <c r="Q20" s="14">
        <f>_xll.BDH("AMGN US Equity","EQY_DPS","FQ4 2022","FQ4 2022","Currency=USD","Period=FQ","BEST_FPERIOD_OVERRIDE=FQ","FILING_STATUS=MR","Sort=A","Dates=H","DateFormat=P","Fill=—","Direction=H","UseDPDF=Y")</f>
        <v>1.94</v>
      </c>
      <c r="R20" s="14">
        <f>_xll.BDH("AMGN US Equity","EQY_DPS","FQ1 2023","FQ1 2023","Currency=USD","Period=FQ","BEST_FPERIOD_OVERRIDE=FQ","FILING_STATUS=MR","Sort=A","Dates=H","DateFormat=P","Fill=—","Direction=H","UseDPDF=Y")</f>
        <v>2.13</v>
      </c>
      <c r="S20" s="14">
        <f>_xll.BDH("AMGN US Equity","EQY_DPS","FQ2 2023","FQ2 2023","Currency=USD","Period=FQ","BEST_FPERIOD_OVERRIDE=FQ","FILING_STATUS=MR","Sort=A","Dates=H","DateFormat=P","Fill=—","Direction=H","UseDPDF=Y")</f>
        <v>2.13</v>
      </c>
      <c r="T20" s="14">
        <f>_xll.BDH("AMGN US Equity","EQY_DPS","FQ3 2023","FQ3 2023","Currency=USD","Period=FQ","BEST_FPERIOD_OVERRIDE=FQ","FILING_STATUS=MR","Sort=A","Dates=H","DateFormat=P","Fill=—","Direction=H","UseDPDF=Y")</f>
        <v>2.13</v>
      </c>
      <c r="U20" s="14">
        <f>_xll.BDH("AMGN US Equity","EQY_DPS","FQ4 2023","FQ4 2023","Currency=USD","Period=FQ","BEST_FPERIOD_OVERRIDE=FQ","FILING_STATUS=MR","Sort=A","Dates=H","DateFormat=P","Fill=—","Direction=H","UseDPDF=Y")</f>
        <v>2.13</v>
      </c>
      <c r="V20" s="14">
        <f>_xll.BDH("AMGN US Equity","EQY_DPS","FQ1 2024","FQ1 2024","Currency=USD","Period=FQ","BEST_FPERIOD_OVERRIDE=FQ","FILING_STATUS=MR","Sort=A","Dates=H","DateFormat=P","Fill=—","Direction=H","UseDPDF=Y")</f>
        <v>2.25</v>
      </c>
      <c r="W20" s="14">
        <f>_xll.BDH("AMGN US Equity","EQY_DPS","FQ2 2024","FQ2 2024","Currency=USD","Period=FQ","BEST_FPERIOD_OVERRIDE=FQ","FILING_STATUS=MR","Sort=A","Dates=H","DateFormat=P","Fill=—","Direction=H","UseDPDF=Y")</f>
        <v>2.25</v>
      </c>
      <c r="X20" s="14">
        <f>_xll.BDH("AMGN US Equity","EQY_DPS","FQ3 2024","FQ3 2024","Currency=USD","Period=FQ","BEST_FPERIOD_OVERRIDE=FQ","FILING_STATUS=MR","Sort=A","Dates=H","DateFormat=P","Fill=—","Direction=H","UseDPDF=Y")</f>
        <v>2.25</v>
      </c>
      <c r="Y20" s="14">
        <f>_xll.BDH("AMGN US Equity","EQY_DPS","FQ4 2024","FQ4 2024","Currency=USD","Period=FQ","BEST_FPERIOD_OVERRIDE=FQ","FILING_STATUS=MR","Sort=A","Dates=H","DateFormat=P","Fill=—","Direction=H","UseDPDF=Y")</f>
        <v>2.25</v>
      </c>
      <c r="Z20" s="14">
        <v>2.4359999999999999</v>
      </c>
      <c r="AA20" s="14">
        <v>2.3820000000000001</v>
      </c>
    </row>
    <row r="21" spans="1:27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10" t="s">
        <v>270</v>
      </c>
      <c r="B22" s="10" t="s">
        <v>271</v>
      </c>
      <c r="C22" s="14">
        <f>_xll.BDH("AMGN US Equity","CASH_FLOW_PER_SH","FQ2 2019","FQ2 2019","Currency=USD","Period=FQ","BEST_FPERIOD_OVERRIDE=FQ","FILING_STATUS=MR","Sort=A","Dates=H","DateFormat=P","Fill=—","Direction=H","UseDPDF=Y")</f>
        <v>2.3294999999999999</v>
      </c>
      <c r="D22" s="14">
        <f>_xll.BDH("AMGN US Equity","CASH_FLOW_PER_SH","FQ3 2019","FQ3 2019","Currency=USD","Period=FQ","BEST_FPERIOD_OVERRIDE=FQ","FILING_STATUS=MR","Sort=A","Dates=H","DateFormat=P","Fill=—","Direction=H","UseDPDF=Y")</f>
        <v>5.6376999999999997</v>
      </c>
      <c r="E22" s="14">
        <f>_xll.BDH("AMGN US Equity","CASH_FLOW_PER_SH","FQ4 2019","FQ4 2019","Currency=USD","Period=FQ","BEST_FPERIOD_OVERRIDE=FQ","FILING_STATUS=MR","Sort=A","Dates=H","DateFormat=P","Fill=—","Direction=H","UseDPDF=Y")</f>
        <v>4.2394999999999996</v>
      </c>
      <c r="F22" s="14">
        <f>_xll.BDH("AMGN US Equity","CASH_FLOW_PER_SH","FQ1 2020","FQ1 2020","Currency=USD","Period=FQ","BEST_FPERIOD_OVERRIDE=FQ","FILING_STATUS=MR","Sort=A","Dates=H","DateFormat=P","Fill=—","Direction=H","UseDPDF=Y")</f>
        <v>3.6168999999999998</v>
      </c>
      <c r="G22" s="14">
        <f>_xll.BDH("AMGN US Equity","CASH_FLOW_PER_SH","FQ2 2020","FQ2 2020","Currency=USD","Period=FQ","BEST_FPERIOD_OVERRIDE=FQ","FILING_STATUS=MR","Sort=A","Dates=H","DateFormat=P","Fill=—","Direction=H","UseDPDF=Y")</f>
        <v>4.8333000000000004</v>
      </c>
      <c r="H22" s="14">
        <f>_xll.BDH("AMGN US Equity","CASH_FLOW_PER_SH","FQ3 2020","FQ3 2020","Currency=USD","Period=FQ","BEST_FPERIOD_OVERRIDE=FQ","FILING_STATUS=MR","Sort=A","Dates=H","DateFormat=P","Fill=—","Direction=H","UseDPDF=Y")</f>
        <v>5.7572999999999999</v>
      </c>
      <c r="I22" s="14">
        <f>_xll.BDH("AMGN US Equity","CASH_FLOW_PER_SH","FQ4 2020","FQ4 2020","Currency=USD","Period=FQ","BEST_FPERIOD_OVERRIDE=FQ","FILING_STATUS=MR","Sort=A","Dates=H","DateFormat=P","Fill=—","Direction=H","UseDPDF=Y")</f>
        <v>4.1532</v>
      </c>
      <c r="J22" s="14">
        <f>_xll.BDH("AMGN US Equity","CASH_FLOW_PER_SH","FQ1 2021","FQ1 2021","Currency=USD","Period=FQ","BEST_FPERIOD_OVERRIDE=FQ","FILING_STATUS=MR","Sort=A","Dates=H","DateFormat=P","Fill=—","Direction=H","UseDPDF=Y")</f>
        <v>3.6463999999999999</v>
      </c>
      <c r="K22" s="14">
        <f>_xll.BDH("AMGN US Equity","CASH_FLOW_PER_SH","FQ2 2021","FQ2 2021","Currency=USD","Period=FQ","BEST_FPERIOD_OVERRIDE=FQ","FILING_STATUS=MR","Sort=A","Dates=H","DateFormat=P","Fill=—","Direction=H","UseDPDF=Y")</f>
        <v>3.37</v>
      </c>
      <c r="L22" s="14">
        <f>_xll.BDH("AMGN US Equity","CASH_FLOW_PER_SH","FQ3 2021","FQ3 2021","Currency=USD","Period=FQ","BEST_FPERIOD_OVERRIDE=FQ","FILING_STATUS=MR","Sort=A","Dates=H","DateFormat=P","Fill=—","Direction=H","UseDPDF=Y")</f>
        <v>4.2645999999999997</v>
      </c>
      <c r="M22" s="14">
        <f>_xll.BDH("AMGN US Equity","CASH_FLOW_PER_SH","FQ4 2021","FQ4 2021","Currency=USD","Period=FQ","BEST_FPERIOD_OVERRIDE=FQ","FILING_STATUS=MR","Sort=A","Dates=H","DateFormat=P","Fill=—","Direction=H","UseDPDF=Y")</f>
        <v>4.9964000000000004</v>
      </c>
      <c r="N22" s="14">
        <f>_xll.BDH("AMGN US Equity","CASH_FLOW_PER_SH","FQ1 2022","FQ1 2022","Currency=USD","Period=FQ","BEST_FPERIOD_OVERRIDE=FQ","FILING_STATUS=MR","Sort=A","Dates=H","DateFormat=P","Fill=—","Direction=H","UseDPDF=Y")</f>
        <v>3.9489000000000001</v>
      </c>
      <c r="O22" s="14">
        <f>_xll.BDH("AMGN US Equity","CASH_FLOW_PER_SH","FQ2 2022","FQ2 2022","Currency=USD","Period=FQ","BEST_FPERIOD_OVERRIDE=FQ","FILING_STATUS=MR","Sort=A","Dates=H","DateFormat=P","Fill=—","Direction=H","UseDPDF=Y")</f>
        <v>3.6074999999999999</v>
      </c>
      <c r="P22" s="14">
        <f>_xll.BDH("AMGN US Equity","CASH_FLOW_PER_SH","FQ3 2022","FQ3 2022","Currency=USD","Period=FQ","BEST_FPERIOD_OVERRIDE=FQ","FILING_STATUS=MR","Sort=A","Dates=H","DateFormat=P","Fill=—","Direction=H","UseDPDF=Y")</f>
        <v>5.5663999999999998</v>
      </c>
      <c r="Q22" s="14">
        <f>_xll.BDH("AMGN US Equity","CASH_FLOW_PER_SH","FQ4 2022","FQ4 2022","Currency=USD","Period=FQ","BEST_FPERIOD_OVERRIDE=FQ","FILING_STATUS=MR","Sort=A","Dates=H","DateFormat=P","Fill=—","Direction=H","UseDPDF=Y")</f>
        <v>4.9513999999999996</v>
      </c>
      <c r="R22" s="14">
        <f>_xll.BDH("AMGN US Equity","CASH_FLOW_PER_SH","FQ1 2023","FQ1 2023","Currency=USD","Period=FQ","BEST_FPERIOD_OVERRIDE=FQ","FILING_STATUS=MR","Sort=A","Dates=H","DateFormat=P","Fill=—","Direction=H","UseDPDF=Y")</f>
        <v>1.9924999999999999</v>
      </c>
      <c r="S22" s="14">
        <f>_xll.BDH("AMGN US Equity","CASH_FLOW_PER_SH","FQ2 2023","FQ2 2023","Currency=USD","Period=FQ","BEST_FPERIOD_OVERRIDE=FQ","FILING_STATUS=MR","Sort=A","Dates=H","DateFormat=P","Fill=—","Direction=H","UseDPDF=Y")</f>
        <v>7.6803999999999997</v>
      </c>
      <c r="T22" s="14">
        <f>_xll.BDH("AMGN US Equity","CASH_FLOW_PER_SH","FQ3 2023","FQ3 2023","Currency=USD","Period=FQ","BEST_FPERIOD_OVERRIDE=FQ","FILING_STATUS=MR","Sort=A","Dates=H","DateFormat=P","Fill=—","Direction=H","UseDPDF=Y")</f>
        <v>5.1589</v>
      </c>
      <c r="U22" s="14">
        <f>_xll.BDH("AMGN US Equity","CASH_FLOW_PER_SH","FQ4 2023","FQ4 2023","Currency=USD","Period=FQ","BEST_FPERIOD_OVERRIDE=FQ","FILING_STATUS=MR","Sort=A","Dates=H","DateFormat=P","Fill=—","Direction=H","UseDPDF=Y")</f>
        <v>1.0056</v>
      </c>
      <c r="V22" s="14">
        <f>_xll.BDH("AMGN US Equity","CASH_FLOW_PER_SH","FQ1 2024","FQ1 2024","Currency=USD","Period=FQ","BEST_FPERIOD_OVERRIDE=FQ","FILING_STATUS=MR","Sort=A","Dates=H","DateFormat=P","Fill=—","Direction=H","UseDPDF=Y")</f>
        <v>1.2854000000000001</v>
      </c>
      <c r="W22" s="14">
        <f>_xll.BDH("AMGN US Equity","CASH_FLOW_PER_SH","FQ2 2024","FQ2 2024","Currency=USD","Period=FQ","BEST_FPERIOD_OVERRIDE=FQ","FILING_STATUS=MR","Sort=A","Dates=H","DateFormat=P","Fill=—","Direction=H","UseDPDF=Y")</f>
        <v>4.5791000000000004</v>
      </c>
      <c r="X22" s="14">
        <f>_xll.BDH("AMGN US Equity","CASH_FLOW_PER_SH","FQ3 2024","FQ3 2024","Currency=USD","Period=FQ","BEST_FPERIOD_OVERRIDE=FQ","FILING_STATUS=MR","Sort=A","Dates=H","DateFormat=P","Fill=—","Direction=H","UseDPDF=Y")</f>
        <v>6.6498999999999997</v>
      </c>
      <c r="Y22" s="14">
        <f>_xll.BDH("AMGN US Equity","CASH_FLOW_PER_SH","FQ4 2024","FQ4 2024","Currency=USD","Period=FQ","BEST_FPERIOD_OVERRIDE=FQ","FILING_STATUS=MR","Sort=A","Dates=H","DateFormat=P","Fill=—","Direction=H","UseDPDF=Y")</f>
        <v>8.8844999999999992</v>
      </c>
      <c r="Z22" s="14">
        <v>4.2</v>
      </c>
      <c r="AA22" s="14">
        <v>7.6349999999999998</v>
      </c>
    </row>
    <row r="23" spans="1:27" x14ac:dyDescent="0.25">
      <c r="A23" s="10" t="s">
        <v>88</v>
      </c>
      <c r="B23" s="10" t="s">
        <v>272</v>
      </c>
      <c r="C23" s="14">
        <f>_xll.BDH("AMGN US Equity","FREE_CASH_FLOW_PER_SH","FQ2 2019","FQ2 2019","Currency=USD","Period=FQ","BEST_FPERIOD_OVERRIDE=FQ","FILING_STATUS=MR","Sort=A","Dates=H","DateFormat=P","Fill=—","Direction=H","UseDPDF=Y")</f>
        <v>2.0922999999999998</v>
      </c>
      <c r="D23" s="14">
        <f>_xll.BDH("AMGN US Equity","FREE_CASH_FLOW_PER_SH","FQ3 2019","FQ3 2019","Currency=USD","Period=FQ","BEST_FPERIOD_OVERRIDE=FQ","FILING_STATUS=MR","Sort=A","Dates=H","DateFormat=P","Fill=—","Direction=H","UseDPDF=Y")</f>
        <v>5.3539000000000003</v>
      </c>
      <c r="E23" s="14">
        <f>_xll.BDH("AMGN US Equity","FREE_CASH_FLOW_PER_SH","FQ4 2019","FQ4 2019","Currency=USD","Period=FQ","BEST_FPERIOD_OVERRIDE=FQ","FILING_STATUS=MR","Sort=A","Dates=H","DateFormat=P","Fill=—","Direction=H","UseDPDF=Y")</f>
        <v>3.9224000000000001</v>
      </c>
      <c r="F23" s="14">
        <f>_xll.BDH("AMGN US Equity","FREE_CASH_FLOW_PER_SH","FQ1 2020","FQ1 2020","Currency=USD","Period=FQ","BEST_FPERIOD_OVERRIDE=FQ","FILING_STATUS=MR","Sort=A","Dates=H","DateFormat=P","Fill=—","Direction=H","UseDPDF=Y")</f>
        <v>3.3763000000000001</v>
      </c>
      <c r="G23" s="14">
        <f>_xll.BDH("AMGN US Equity","FREE_CASH_FLOW_PER_SH","FQ2 2020","FQ2 2020","Currency=USD","Period=FQ","BEST_FPERIOD_OVERRIDE=FQ","FILING_STATUS=MR","Sort=A","Dates=H","DateFormat=P","Fill=—","Direction=H","UseDPDF=Y")</f>
        <v>4.5646000000000004</v>
      </c>
      <c r="H23" s="14">
        <f>_xll.BDH("AMGN US Equity","FREE_CASH_FLOW_PER_SH","FQ3 2020","FQ3 2020","Currency=USD","Period=FQ","BEST_FPERIOD_OVERRIDE=FQ","FILING_STATUS=MR","Sort=A","Dates=H","DateFormat=P","Fill=—","Direction=H","UseDPDF=Y")</f>
        <v>5.5265000000000004</v>
      </c>
      <c r="I23" s="14">
        <f>_xll.BDH("AMGN US Equity","FREE_CASH_FLOW_PER_SH","FQ4 2020","FQ4 2020","Currency=USD","Period=FQ","BEST_FPERIOD_OVERRIDE=FQ","FILING_STATUS=MR","Sort=A","Dates=H","DateFormat=P","Fill=—","Direction=H","UseDPDF=Y")</f>
        <v>3.8553999999999999</v>
      </c>
      <c r="J23" s="14">
        <f>_xll.BDH("AMGN US Equity","FREE_CASH_FLOW_PER_SH","FQ1 2021","FQ1 2021","Currency=USD","Period=FQ","BEST_FPERIOD_OVERRIDE=FQ","FILING_STATUS=MR","Sort=A","Dates=H","DateFormat=P","Fill=—","Direction=H","UseDPDF=Y")</f>
        <v>3.3588</v>
      </c>
      <c r="K23" s="14">
        <f>_xll.BDH("AMGN US Equity","FREE_CASH_FLOW_PER_SH","FQ2 2021","FQ2 2021","Currency=USD","Period=FQ","BEST_FPERIOD_OVERRIDE=FQ","FILING_STATUS=MR","Sort=A","Dates=H","DateFormat=P","Fill=—","Direction=H","UseDPDF=Y")</f>
        <v>3.0470999999999999</v>
      </c>
      <c r="L23" s="14">
        <f>_xll.BDH("AMGN US Equity","FREE_CASH_FLOW_PER_SH","FQ3 2021","FQ3 2021","Currency=USD","Period=FQ","BEST_FPERIOD_OVERRIDE=FQ","FILING_STATUS=MR","Sort=A","Dates=H","DateFormat=P","Fill=—","Direction=H","UseDPDF=Y")</f>
        <v>3.8376999999999999</v>
      </c>
      <c r="M23" s="14">
        <f>_xll.BDH("AMGN US Equity","FREE_CASH_FLOW_PER_SH","FQ4 2021","FQ4 2021","Currency=USD","Period=FQ","BEST_FPERIOD_OVERRIDE=FQ","FILING_STATUS=MR","Sort=A","Dates=H","DateFormat=P","Fill=—","Direction=H","UseDPDF=Y")</f>
        <v>4.4858000000000002</v>
      </c>
      <c r="N23" s="14">
        <f>_xll.BDH("AMGN US Equity","FREE_CASH_FLOW_PER_SH","FQ1 2022","FQ1 2022","Currency=USD","Period=FQ","BEST_FPERIOD_OVERRIDE=FQ","FILING_STATUS=MR","Sort=A","Dates=H","DateFormat=P","Fill=—","Direction=H","UseDPDF=Y")</f>
        <v>3.6021999999999998</v>
      </c>
      <c r="O23" s="14">
        <f>_xll.BDH("AMGN US Equity","FREE_CASH_FLOW_PER_SH","FQ2 2022","FQ2 2022","Currency=USD","Period=FQ","BEST_FPERIOD_OVERRIDE=FQ","FILING_STATUS=MR","Sort=A","Dates=H","DateFormat=P","Fill=—","Direction=H","UseDPDF=Y")</f>
        <v>3.1476999999999999</v>
      </c>
      <c r="P23" s="14">
        <f>_xll.BDH("AMGN US Equity","FREE_CASH_FLOW_PER_SH","FQ3 2022","FQ3 2022","Currency=USD","Period=FQ","BEST_FPERIOD_OVERRIDE=FQ","FILING_STATUS=MR","Sort=A","Dates=H","DateFormat=P","Fill=—","Direction=H","UseDPDF=Y")</f>
        <v>5.2672999999999996</v>
      </c>
      <c r="Q23" s="14">
        <f>_xll.BDH("AMGN US Equity","FREE_CASH_FLOW_PER_SH","FQ4 2022","FQ4 2022","Currency=USD","Period=FQ","BEST_FPERIOD_OVERRIDE=FQ","FILING_STATUS=MR","Sort=A","Dates=H","DateFormat=P","Fill=—","Direction=H","UseDPDF=Y")</f>
        <v>4.3159000000000001</v>
      </c>
      <c r="R23" s="14">
        <f>_xll.BDH("AMGN US Equity","FREE_CASH_FLOW_PER_SH","FQ1 2023","FQ1 2023","Currency=USD","Period=FQ","BEST_FPERIOD_OVERRIDE=FQ","FILING_STATUS=MR","Sort=A","Dates=H","DateFormat=P","Fill=—","Direction=H","UseDPDF=Y")</f>
        <v>1.3483000000000001</v>
      </c>
      <c r="S23" s="14">
        <f>_xll.BDH("AMGN US Equity","FREE_CASH_FLOW_PER_SH","FQ2 2023","FQ2 2023","Currency=USD","Period=FQ","BEST_FPERIOD_OVERRIDE=FQ","FILING_STATUS=MR","Sort=A","Dates=H","DateFormat=P","Fill=—","Direction=H","UseDPDF=Y")</f>
        <v>7.1738</v>
      </c>
      <c r="T23" s="14">
        <f>_xll.BDH("AMGN US Equity","FREE_CASH_FLOW_PER_SH","FQ3 2023","FQ3 2023","Currency=USD","Period=FQ","BEST_FPERIOD_OVERRIDE=FQ","FILING_STATUS=MR","Sort=A","Dates=H","DateFormat=P","Fill=—","Direction=H","UseDPDF=Y")</f>
        <v>4.6952999999999996</v>
      </c>
      <c r="U23" s="14">
        <f>_xll.BDH("AMGN US Equity","FREE_CASH_FLOW_PER_SH","FQ4 2023","FQ4 2023","Currency=USD","Period=FQ","BEST_FPERIOD_OVERRIDE=FQ","FILING_STATUS=MR","Sort=A","Dates=H","DateFormat=P","Fill=—","Direction=H","UseDPDF=Y")</f>
        <v>0.54020000000000001</v>
      </c>
      <c r="V23" s="14">
        <f>_xll.BDH("AMGN US Equity","FREE_CASH_FLOW_PER_SH","FQ1 2024","FQ1 2024","Currency=USD","Period=FQ","BEST_FPERIOD_OVERRIDE=FQ","FILING_STATUS=MR","Sort=A","Dates=H","DateFormat=P","Fill=—","Direction=H","UseDPDF=Y")</f>
        <v>0.85629999999999995</v>
      </c>
      <c r="W23" s="14">
        <f>_xll.BDH("AMGN US Equity","FREE_CASH_FLOW_PER_SH","FQ2 2024","FQ2 2024","Currency=USD","Period=FQ","BEST_FPERIOD_OVERRIDE=FQ","FILING_STATUS=MR","Sort=A","Dates=H","DateFormat=P","Fill=—","Direction=H","UseDPDF=Y")</f>
        <v>4.1359000000000004</v>
      </c>
      <c r="X23" s="14">
        <f>_xll.BDH("AMGN US Equity","FREE_CASH_FLOW_PER_SH","FQ3 2024","FQ3 2024","Currency=USD","Period=FQ","BEST_FPERIOD_OVERRIDE=FQ","FILING_STATUS=MR","Sort=A","Dates=H","DateFormat=P","Fill=—","Direction=H","UseDPDF=Y")</f>
        <v>6.1712999999999996</v>
      </c>
      <c r="Y23" s="14">
        <f>_xll.BDH("AMGN US Equity","FREE_CASH_FLOW_PER_SH","FQ4 2024","FQ4 2024","Currency=USD","Period=FQ","BEST_FPERIOD_OVERRIDE=FQ","FILING_STATUS=MR","Sort=A","Dates=H","DateFormat=P","Fill=—","Direction=H","UseDPDF=Y")</f>
        <v>8.1936999999999998</v>
      </c>
      <c r="Z23" s="14"/>
      <c r="AA23" s="14"/>
    </row>
    <row r="24" spans="1:27" x14ac:dyDescent="0.25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5">
      <c r="A25" s="10" t="s">
        <v>3</v>
      </c>
      <c r="B25" s="10" t="s">
        <v>273</v>
      </c>
      <c r="C25" s="14">
        <f>_xll.BDH("AMGN US Equity","CASH_ST_INVESTMENTS_PER_SH","FQ2 2019","FQ2 2019","Currency=USD","Period=FQ","BEST_FPERIOD_OVERRIDE=FQ","FILING_STATUS=MR","Sort=A","Dates=H","DateFormat=P","Fill=—","Direction=H","UseDPDF=Y")</f>
        <v>36.136899999999997</v>
      </c>
      <c r="D25" s="14">
        <f>_xll.BDH("AMGN US Equity","CASH_ST_INVESTMENTS_PER_SH","FQ3 2019","FQ3 2019","Currency=USD","Period=FQ","BEST_FPERIOD_OVERRIDE=FQ","FILING_STATUS=MR","Sort=A","Dates=H","DateFormat=P","Fill=—","Direction=H","UseDPDF=Y")</f>
        <v>34.976500000000001</v>
      </c>
      <c r="E25" s="14">
        <f>_xll.BDH("AMGN US Equity","CASH_ST_INVESTMENTS_PER_SH","FQ4 2019","FQ4 2019","Currency=USD","Period=FQ","BEST_FPERIOD_OVERRIDE=FQ","FILING_STATUS=MR","Sort=A","Dates=H","DateFormat=P","Fill=—","Direction=H","UseDPDF=Y")</f>
        <v>15.067600000000001</v>
      </c>
      <c r="F25" s="14">
        <f>_xll.BDH("AMGN US Equity","CASH_ST_INVESTMENTS_PER_SH","FQ1 2020","FQ1 2020","Currency=USD","Period=FQ","BEST_FPERIOD_OVERRIDE=FQ","FILING_STATUS=MR","Sort=A","Dates=H","DateFormat=P","Fill=—","Direction=H","UseDPDF=Y")</f>
        <v>13.6259</v>
      </c>
      <c r="G25" s="14">
        <f>_xll.BDH("AMGN US Equity","CASH_ST_INVESTMENTS_PER_SH","FQ2 2020","FQ2 2020","Currency=USD","Period=FQ","BEST_FPERIOD_OVERRIDE=FQ","FILING_STATUS=MR","Sort=A","Dates=H","DateFormat=P","Fill=—","Direction=H","UseDPDF=Y")</f>
        <v>19.476500000000001</v>
      </c>
      <c r="H25" s="14">
        <f>_xll.BDH("AMGN US Equity","CASH_ST_INVESTMENTS_PER_SH","FQ3 2020","FQ3 2020","Currency=USD","Period=FQ","BEST_FPERIOD_OVERRIDE=FQ","FILING_STATUS=MR","Sort=A","Dates=H","DateFormat=P","Fill=—","Direction=H","UseDPDF=Y")</f>
        <v>21.182500000000001</v>
      </c>
      <c r="I25" s="14">
        <f>_xll.BDH("AMGN US Equity","CASH_ST_INVESTMENTS_PER_SH","FQ4 2020","FQ4 2020","Currency=USD","Period=FQ","BEST_FPERIOD_OVERRIDE=FQ","FILING_STATUS=MR","Sort=A","Dates=H","DateFormat=P","Fill=—","Direction=H","UseDPDF=Y")</f>
        <v>18.410900000000002</v>
      </c>
      <c r="J25" s="14">
        <f>_xll.BDH("AMGN US Equity","CASH_ST_INVESTMENTS_PER_SH","FQ1 2021","FQ1 2021","Currency=USD","Period=FQ","BEST_FPERIOD_OVERRIDE=FQ","FILING_STATUS=MR","Sort=A","Dates=H","DateFormat=P","Fill=—","Direction=H","UseDPDF=Y")</f>
        <v>18.366099999999999</v>
      </c>
      <c r="K25" s="14">
        <f>_xll.BDH("AMGN US Equity","CASH_ST_INVESTMENTS_PER_SH","FQ2 2021","FQ2 2021","Currency=USD","Period=FQ","BEST_FPERIOD_OVERRIDE=FQ","FILING_STATUS=MR","Sort=A","Dates=H","DateFormat=P","Fill=—","Direction=H","UseDPDF=Y")</f>
        <v>14.1889</v>
      </c>
      <c r="L25" s="14">
        <f>_xll.BDH("AMGN US Equity","CASH_ST_INVESTMENTS_PER_SH","FQ3 2021","FQ3 2021","Currency=USD","Period=FQ","BEST_FPERIOD_OVERRIDE=FQ","FILING_STATUS=MR","Sort=A","Dates=H","DateFormat=P","Fill=—","Direction=H","UseDPDF=Y")</f>
        <v>22.869</v>
      </c>
      <c r="M25" s="14">
        <f>_xll.BDH("AMGN US Equity","CASH_ST_INVESTMENTS_PER_SH","FQ4 2021","FQ4 2021","Currency=USD","Period=FQ","BEST_FPERIOD_OVERRIDE=FQ","FILING_STATUS=MR","Sort=A","Dates=H","DateFormat=P","Fill=—","Direction=H","UseDPDF=Y")</f>
        <v>15.050599999999999</v>
      </c>
      <c r="N25" s="14">
        <f>_xll.BDH("AMGN US Equity","CASH_ST_INVESTMENTS_PER_SH","FQ1 2022","FQ1 2022","Currency=USD","Period=FQ","BEST_FPERIOD_OVERRIDE=FQ","FILING_STATUS=MR","Sort=A","Dates=H","DateFormat=P","Fill=—","Direction=H","UseDPDF=Y")</f>
        <v>12.2501</v>
      </c>
      <c r="O25" s="14">
        <f>_xll.BDH("AMGN US Equity","CASH_ST_INVESTMENTS_PER_SH","FQ2 2022","FQ2 2022","Currency=USD","Period=FQ","BEST_FPERIOD_OVERRIDE=FQ","FILING_STATUS=MR","Sort=A","Dates=H","DateFormat=P","Fill=—","Direction=H","UseDPDF=Y")</f>
        <v>13.428699999999999</v>
      </c>
      <c r="P25" s="14">
        <f>_xll.BDH("AMGN US Equity","CASH_ST_INVESTMENTS_PER_SH","FQ3 2022","FQ3 2022","Currency=USD","Period=FQ","BEST_FPERIOD_OVERRIDE=FQ","FILING_STATUS=MR","Sort=A","Dates=H","DateFormat=P","Fill=—","Direction=H","UseDPDF=Y")</f>
        <v>21.514500000000002</v>
      </c>
      <c r="Q25" s="14">
        <f>_xll.BDH("AMGN US Equity","CASH_ST_INVESTMENTS_PER_SH","FQ4 2022","FQ4 2022","Currency=USD","Period=FQ","BEST_FPERIOD_OVERRIDE=FQ","FILING_STATUS=MR","Sort=A","Dates=H","DateFormat=P","Fill=—","Direction=H","UseDPDF=Y")</f>
        <v>17.4251</v>
      </c>
      <c r="R25" s="14">
        <f>_xll.BDH("AMGN US Equity","CASH_ST_INVESTMENTS_PER_SH","FQ1 2023","FQ1 2023","Currency=USD","Period=FQ","BEST_FPERIOD_OVERRIDE=FQ","FILING_STATUS=MR","Sort=A","Dates=H","DateFormat=P","Fill=—","Direction=H","UseDPDF=Y")</f>
        <v>59.069800000000001</v>
      </c>
      <c r="S25" s="14">
        <f>_xll.BDH("AMGN US Equity","CASH_ST_INVESTMENTS_PER_SH","FQ2 2023","FQ2 2023","Currency=USD","Period=FQ","BEST_FPERIOD_OVERRIDE=FQ","FILING_STATUS=MR","Sort=A","Dates=H","DateFormat=P","Fill=—","Direction=H","UseDPDF=Y")</f>
        <v>64.026899999999998</v>
      </c>
      <c r="T25" s="14">
        <f>_xll.BDH("AMGN US Equity","CASH_ST_INVESTMENTS_PER_SH","FQ3 2023","FQ3 2023","Currency=USD","Period=FQ","BEST_FPERIOD_OVERRIDE=FQ","FILING_STATUS=MR","Sort=A","Dates=H","DateFormat=P","Fill=—","Direction=H","UseDPDF=Y")</f>
        <v>64.924300000000002</v>
      </c>
      <c r="U25" s="14">
        <f>_xll.BDH("AMGN US Equity","CASH_ST_INVESTMENTS_PER_SH","FQ4 2023","FQ4 2023","Currency=USD","Period=FQ","BEST_FPERIOD_OVERRIDE=FQ","FILING_STATUS=MR","Sort=A","Dates=H","DateFormat=P","Fill=—","Direction=H","UseDPDF=Y")</f>
        <v>20.440799999999999</v>
      </c>
      <c r="V25" s="14">
        <f>_xll.BDH("AMGN US Equity","CASH_ST_INVESTMENTS_PER_SH","FQ1 2024","FQ1 2024","Currency=USD","Period=FQ","BEST_FPERIOD_OVERRIDE=FQ","FILING_STATUS=MR","Sort=A","Dates=H","DateFormat=P","Fill=—","Direction=H","UseDPDF=Y")</f>
        <v>18.098400000000002</v>
      </c>
      <c r="W25" s="14">
        <f>_xll.BDH("AMGN US Equity","CASH_ST_INVESTMENTS_PER_SH","FQ2 2024","FQ2 2024","Currency=USD","Period=FQ","BEST_FPERIOD_OVERRIDE=FQ","FILING_STATUS=MR","Sort=A","Dates=H","DateFormat=P","Fill=—","Direction=H","UseDPDF=Y")</f>
        <v>17.313800000000001</v>
      </c>
      <c r="X25" s="14">
        <f>_xll.BDH("AMGN US Equity","CASH_ST_INVESTMENTS_PER_SH","FQ3 2024","FQ3 2024","Currency=USD","Period=FQ","BEST_FPERIOD_OVERRIDE=FQ","FILING_STATUS=MR","Sort=A","Dates=H","DateFormat=P","Fill=—","Direction=H","UseDPDF=Y")</f>
        <v>16.764700000000001</v>
      </c>
      <c r="Y25" s="14">
        <f>_xll.BDH("AMGN US Equity","CASH_ST_INVESTMENTS_PER_SH","FQ4 2024","FQ4 2024","Currency=USD","Period=FQ","BEST_FPERIOD_OVERRIDE=FQ","FILING_STATUS=MR","Sort=A","Dates=H","DateFormat=P","Fill=—","Direction=H","UseDPDF=Y")</f>
        <v>22.3002</v>
      </c>
      <c r="Z25" s="14"/>
      <c r="AA25" s="14"/>
    </row>
    <row r="26" spans="1:27" x14ac:dyDescent="0.25">
      <c r="A26" s="10" t="s">
        <v>274</v>
      </c>
      <c r="B26" s="10" t="s">
        <v>275</v>
      </c>
      <c r="C26" s="14">
        <f>_xll.BDH("AMGN US Equity","BOOK_VAL_PER_SH","FQ2 2019","FQ2 2019","Currency=USD","Period=FQ","BEST_FPERIOD_OVERRIDE=FQ","FILING_STATUS=MR","Sort=A","Dates=H","DateFormat=P","Fill=—","Direction=H","UseDPDF=Y")</f>
        <v>17.927299999999999</v>
      </c>
      <c r="D26" s="14">
        <f>_xll.BDH("AMGN US Equity","BOOK_VAL_PER_SH","FQ3 2019","FQ3 2019","Currency=USD","Period=FQ","BEST_FPERIOD_OVERRIDE=FQ","FILING_STATUS=MR","Sort=A","Dates=H","DateFormat=P","Fill=—","Direction=H","UseDPDF=Y")</f>
        <v>18.3277</v>
      </c>
      <c r="E26" s="14">
        <f>_xll.BDH("AMGN US Equity","BOOK_VAL_PER_SH","FQ4 2019","FQ4 2019","Currency=USD","Period=FQ","BEST_FPERIOD_OVERRIDE=FQ","FILING_STATUS=MR","Sort=A","Dates=H","DateFormat=P","Fill=—","Direction=H","UseDPDF=Y")</f>
        <v>16.356100000000001</v>
      </c>
      <c r="F26" s="14">
        <f>_xll.BDH("AMGN US Equity","BOOK_VAL_PER_SH","FQ1 2020","FQ1 2020","Currency=USD","Period=FQ","BEST_FPERIOD_OVERRIDE=FQ","FILING_STATUS=MR","Sort=A","Dates=H","DateFormat=P","Fill=—","Direction=H","UseDPDF=Y")</f>
        <v>16.131</v>
      </c>
      <c r="G26" s="14">
        <f>_xll.BDH("AMGN US Equity","BOOK_VAL_PER_SH","FQ2 2020","FQ2 2020","Currency=USD","Period=FQ","BEST_FPERIOD_OVERRIDE=FQ","FILING_STATUS=MR","Sort=A","Dates=H","DateFormat=P","Fill=—","Direction=H","UseDPDF=Y")</f>
        <v>18.177</v>
      </c>
      <c r="H26" s="14">
        <f>_xll.BDH("AMGN US Equity","BOOK_VAL_PER_SH","FQ3 2020","FQ3 2020","Currency=USD","Period=FQ","BEST_FPERIOD_OVERRIDE=FQ","FILING_STATUS=MR","Sort=A","Dates=H","DateFormat=P","Fill=—","Direction=H","UseDPDF=Y")</f>
        <v>18.781500000000001</v>
      </c>
      <c r="I26" s="14">
        <f>_xll.BDH("AMGN US Equity","BOOK_VAL_PER_SH","FQ4 2020","FQ4 2020","Currency=USD","Period=FQ","BEST_FPERIOD_OVERRIDE=FQ","FILING_STATUS=MR","Sort=A","Dates=H","DateFormat=P","Fill=—","Direction=H","UseDPDF=Y")</f>
        <v>16.270099999999999</v>
      </c>
      <c r="J26" s="14">
        <f>_xll.BDH("AMGN US Equity","BOOK_VAL_PER_SH","FQ1 2021","FQ1 2021","Currency=USD","Period=FQ","BEST_FPERIOD_OVERRIDE=FQ","FILING_STATUS=MR","Sort=A","Dates=H","DateFormat=P","Fill=—","Direction=H","UseDPDF=Y")</f>
        <v>16.224599999999999</v>
      </c>
      <c r="K26" s="14">
        <f>_xll.BDH("AMGN US Equity","BOOK_VAL_PER_SH","FQ2 2021","FQ2 2021","Currency=USD","Period=FQ","BEST_FPERIOD_OVERRIDE=FQ","FILING_STATUS=MR","Sort=A","Dates=H","DateFormat=P","Fill=—","Direction=H","UseDPDF=Y")</f>
        <v>14.4786</v>
      </c>
      <c r="L26" s="14">
        <f>_xll.BDH("AMGN US Equity","BOOK_VAL_PER_SH","FQ3 2021","FQ3 2021","Currency=USD","Period=FQ","BEST_FPERIOD_OVERRIDE=FQ","FILING_STATUS=MR","Sort=A","Dates=H","DateFormat=P","Fill=—","Direction=H","UseDPDF=Y")</f>
        <v>14.5434</v>
      </c>
      <c r="M26" s="14">
        <f>_xll.BDH("AMGN US Equity","BOOK_VAL_PER_SH","FQ4 2021","FQ4 2021","Currency=USD","Period=FQ","BEST_FPERIOD_OVERRIDE=FQ","FILING_STATUS=MR","Sort=A","Dates=H","DateFormat=P","Fill=—","Direction=H","UseDPDF=Y")</f>
        <v>12.546799999999999</v>
      </c>
      <c r="N26" s="14">
        <f>_xll.BDH("AMGN US Equity","BOOK_VAL_PER_SH","FQ1 2022","FQ1 2022","Currency=USD","Period=FQ","BEST_FPERIOD_OVERRIDE=FQ","FILING_STATUS=MR","Sort=A","Dates=H","DateFormat=P","Fill=—","Direction=H","UseDPDF=Y")</f>
        <v>1.7146999999999999</v>
      </c>
      <c r="O26" s="14">
        <f>_xll.BDH("AMGN US Equity","BOOK_VAL_PER_SH","FQ2 2022","FQ2 2022","Currency=USD","Period=FQ","BEST_FPERIOD_OVERRIDE=FQ","FILING_STATUS=MR","Sort=A","Dates=H","DateFormat=P","Fill=—","Direction=H","UseDPDF=Y")</f>
        <v>4.5223000000000004</v>
      </c>
      <c r="P26" s="14">
        <f>_xll.BDH("AMGN US Equity","BOOK_VAL_PER_SH","FQ3 2022","FQ3 2022","Currency=USD","Period=FQ","BEST_FPERIOD_OVERRIDE=FQ","FILING_STATUS=MR","Sort=A","Dates=H","DateFormat=P","Fill=—","Direction=H","UseDPDF=Y")</f>
        <v>6.8472</v>
      </c>
      <c r="Q26" s="14">
        <f>_xll.BDH("AMGN US Equity","BOOK_VAL_PER_SH","FQ4 2022","FQ4 2022","Currency=USD","Period=FQ","BEST_FPERIOD_OVERRIDE=FQ","FILING_STATUS=MR","Sort=A","Dates=H","DateFormat=P","Fill=—","Direction=H","UseDPDF=Y")</f>
        <v>6.8558000000000003</v>
      </c>
      <c r="R26" s="14">
        <f>_xll.BDH("AMGN US Equity","BOOK_VAL_PER_SH","FQ1 2023","FQ1 2023","Currency=USD","Period=FQ","BEST_FPERIOD_OVERRIDE=FQ","FILING_STATUS=MR","Sort=A","Dates=H","DateFormat=P","Fill=—","Direction=H","UseDPDF=Y")</f>
        <v>10.009399999999999</v>
      </c>
      <c r="S26" s="14">
        <f>_xll.BDH("AMGN US Equity","BOOK_VAL_PER_SH","FQ2 2023","FQ2 2023","Currency=USD","Period=FQ","BEST_FPERIOD_OVERRIDE=FQ","FILING_STATUS=MR","Sort=A","Dates=H","DateFormat=P","Fill=—","Direction=H","UseDPDF=Y")</f>
        <v>12.677099999999999</v>
      </c>
      <c r="T26" s="14">
        <f>_xll.BDH("AMGN US Equity","BOOK_VAL_PER_SH","FQ3 2023","FQ3 2023","Currency=USD","Period=FQ","BEST_FPERIOD_OVERRIDE=FQ","FILING_STATUS=MR","Sort=A","Dates=H","DateFormat=P","Fill=—","Direction=H","UseDPDF=Y")</f>
        <v>14.307600000000001</v>
      </c>
      <c r="U26" s="14">
        <f>_xll.BDH("AMGN US Equity","BOOK_VAL_PER_SH","FQ4 2023","FQ4 2023","Currency=USD","Period=FQ","BEST_FPERIOD_OVERRIDE=FQ","FILING_STATUS=MR","Sort=A","Dates=H","DateFormat=P","Fill=—","Direction=H","UseDPDF=Y")</f>
        <v>11.639900000000001</v>
      </c>
      <c r="V26" s="14">
        <f>_xll.BDH("AMGN US Equity","BOOK_VAL_PER_SH","FQ1 2024","FQ1 2024","Currency=USD","Period=FQ","BEST_FPERIOD_OVERRIDE=FQ","FILING_STATUS=MR","Sort=A","Dates=H","DateFormat=P","Fill=—","Direction=H","UseDPDF=Y")</f>
        <v>9.3623999999999992</v>
      </c>
      <c r="W26" s="14">
        <f>_xll.BDH("AMGN US Equity","BOOK_VAL_PER_SH","FQ2 2024","FQ2 2024","Currency=USD","Period=FQ","BEST_FPERIOD_OVERRIDE=FQ","FILING_STATUS=MR","Sort=A","Dates=H","DateFormat=P","Fill=—","Direction=H","UseDPDF=Y")</f>
        <v>11.029400000000001</v>
      </c>
      <c r="X26" s="14">
        <f>_xll.BDH("AMGN US Equity","BOOK_VAL_PER_SH","FQ3 2024","FQ3 2024","Currency=USD","Period=FQ","BEST_FPERIOD_OVERRIDE=FQ","FILING_STATUS=MR","Sort=A","Dates=H","DateFormat=P","Fill=—","Direction=H","UseDPDF=Y")</f>
        <v>14.0037</v>
      </c>
      <c r="Y26" s="14">
        <f>_xll.BDH("AMGN US Equity","BOOK_VAL_PER_SH","FQ4 2024","FQ4 2024","Currency=USD","Period=FQ","BEST_FPERIOD_OVERRIDE=FQ","FILING_STATUS=MR","Sort=A","Dates=H","DateFormat=P","Fill=—","Direction=H","UseDPDF=Y")</f>
        <v>10.946199999999999</v>
      </c>
      <c r="Z26" s="14">
        <v>10.42</v>
      </c>
      <c r="AA26" s="14">
        <v>11.23</v>
      </c>
    </row>
    <row r="27" spans="1:27" x14ac:dyDescent="0.25">
      <c r="A27" s="10" t="s">
        <v>276</v>
      </c>
      <c r="B27" s="10" t="s">
        <v>277</v>
      </c>
      <c r="C27" s="14">
        <f>_xll.BDH("AMGN US Equity","TANG_BOOK_VAL_PER_SH","FQ2 2019","FQ2 2019","Currency=USD","Period=FQ","BEST_FPERIOD_OVERRIDE=FQ","FILING_STATUS=MR","Sort=A","Dates=H","DateFormat=P","Fill=—","Direction=H","UseDPDF=Y")</f>
        <v>-17.784400000000002</v>
      </c>
      <c r="D27" s="14">
        <f>_xll.BDH("AMGN US Equity","TANG_BOOK_VAL_PER_SH","FQ3 2019","FQ3 2019","Currency=USD","Period=FQ","BEST_FPERIOD_OVERRIDE=FQ","FILING_STATUS=MR","Sort=A","Dates=H","DateFormat=P","Fill=—","Direction=H","UseDPDF=Y")</f>
        <v>-17.577999999999999</v>
      </c>
      <c r="E27" s="14">
        <f>_xll.BDH("AMGN US Equity","TANG_BOOK_VAL_PER_SH","FQ4 2019","FQ4 2019","Currency=USD","Period=FQ","BEST_FPERIOD_OVERRIDE=FQ","FILING_STATUS=MR","Sort=A","Dates=H","DateFormat=P","Fill=—","Direction=H","UseDPDF=Y")</f>
        <v>-41.3307</v>
      </c>
      <c r="F27" s="14">
        <f>_xll.BDH("AMGN US Equity","TANG_BOOK_VAL_PER_SH","FQ1 2020","FQ1 2020","Currency=USD","Period=FQ","BEST_FPERIOD_OVERRIDE=FQ","FILING_STATUS=MR","Sort=A","Dates=H","DateFormat=P","Fill=—","Direction=H","UseDPDF=Y")</f>
        <v>-40.562899999999999</v>
      </c>
      <c r="G27" s="14">
        <f>_xll.BDH("AMGN US Equity","TANG_BOOK_VAL_PER_SH","FQ2 2020","FQ2 2020","Currency=USD","Period=FQ","BEST_FPERIOD_OVERRIDE=FQ","FILING_STATUS=MR","Sort=A","Dates=H","DateFormat=P","Fill=—","Direction=H","UseDPDF=Y")</f>
        <v>-37.460799999999999</v>
      </c>
      <c r="H27" s="14">
        <f>_xll.BDH("AMGN US Equity","TANG_BOOK_VAL_PER_SH","FQ3 2020","FQ3 2020","Currency=USD","Period=FQ","BEST_FPERIOD_OVERRIDE=FQ","FILING_STATUS=MR","Sort=A","Dates=H","DateFormat=P","Fill=—","Direction=H","UseDPDF=Y")</f>
        <v>-35.936599999999999</v>
      </c>
      <c r="I27" s="14">
        <f>_xll.BDH("AMGN US Equity","TANG_BOOK_VAL_PER_SH","FQ4 2020","FQ4 2020","Currency=USD","Period=FQ","BEST_FPERIOD_OVERRIDE=FQ","FILING_STATUS=MR","Sort=A","Dates=H","DateFormat=P","Fill=—","Direction=H","UseDPDF=Y")</f>
        <v>-37.812600000000003</v>
      </c>
      <c r="J27" s="14">
        <f>_xll.BDH("AMGN US Equity","TANG_BOOK_VAL_PER_SH","FQ1 2021","FQ1 2021","Currency=USD","Period=FQ","BEST_FPERIOD_OVERRIDE=FQ","FILING_STATUS=MR","Sort=A","Dates=H","DateFormat=P","Fill=—","Direction=H","UseDPDF=Y")</f>
        <v>-36.9998</v>
      </c>
      <c r="K27" s="14">
        <f>_xll.BDH("AMGN US Equity","TANG_BOOK_VAL_PER_SH","FQ2 2021","FQ2 2021","Currency=USD","Period=FQ","BEST_FPERIOD_OVERRIDE=FQ","FILING_STATUS=MR","Sort=A","Dates=H","DateFormat=P","Fill=—","Direction=H","UseDPDF=Y")</f>
        <v>-38.161900000000003</v>
      </c>
      <c r="L27" s="14">
        <f>_xll.BDH("AMGN US Equity","TANG_BOOK_VAL_PER_SH","FQ3 2021","FQ3 2021","Currency=USD","Period=FQ","BEST_FPERIOD_OVERRIDE=FQ","FILING_STATUS=MR","Sort=A","Dates=H","DateFormat=P","Fill=—","Direction=H","UseDPDF=Y")</f>
        <v>-37.357500000000002</v>
      </c>
      <c r="M27" s="14">
        <f>_xll.BDH("AMGN US Equity","TANG_BOOK_VAL_PER_SH","FQ4 2021","FQ4 2021","Currency=USD","Period=FQ","BEST_FPERIOD_OVERRIDE=FQ","FILING_STATUS=MR","Sort=A","Dates=H","DateFormat=P","Fill=—","Direction=H","UseDPDF=Y")</f>
        <v>-43.767800000000001</v>
      </c>
      <c r="N27" s="14">
        <f>_xll.BDH("AMGN US Equity","TANG_BOOK_VAL_PER_SH","FQ1 2022","FQ1 2022","Currency=USD","Period=FQ","BEST_FPERIOD_OVERRIDE=FQ","FILING_STATUS=MR","Sort=A","Dates=H","DateFormat=P","Fill=—","Direction=H","UseDPDF=Y")</f>
        <v>-53.4407</v>
      </c>
      <c r="O27" s="14">
        <f>_xll.BDH("AMGN US Equity","TANG_BOOK_VAL_PER_SH","FQ2 2022","FQ2 2022","Currency=USD","Period=FQ","BEST_FPERIOD_OVERRIDE=FQ","FILING_STATUS=MR","Sort=A","Dates=H","DateFormat=P","Fill=—","Direction=H","UseDPDF=Y")</f>
        <v>-49.304499999999997</v>
      </c>
      <c r="P27" s="14">
        <f>_xll.BDH("AMGN US Equity","TANG_BOOK_VAL_PER_SH","FQ3 2022","FQ3 2022","Currency=USD","Period=FQ","BEST_FPERIOD_OVERRIDE=FQ","FILING_STATUS=MR","Sort=A","Dates=H","DateFormat=P","Fill=—","Direction=H","UseDPDF=Y")</f>
        <v>-45.8444</v>
      </c>
      <c r="Q27" s="14">
        <f>_xll.BDH("AMGN US Equity","TANG_BOOK_VAL_PER_SH","FQ4 2022","FQ4 2022","Currency=USD","Period=FQ","BEST_FPERIOD_OVERRIDE=FQ","FILING_STATUS=MR","Sort=A","Dates=H","DateFormat=P","Fill=—","Direction=H","UseDPDF=Y")</f>
        <v>-52.3371</v>
      </c>
      <c r="R27" s="14">
        <f>_xll.BDH("AMGN US Equity","TANG_BOOK_VAL_PER_SH","FQ1 2023","FQ1 2023","Currency=USD","Period=FQ","BEST_FPERIOD_OVERRIDE=FQ","FILING_STATUS=MR","Sort=A","Dates=H","DateFormat=P","Fill=—","Direction=H","UseDPDF=Y")</f>
        <v>-47.868200000000002</v>
      </c>
      <c r="S27" s="14">
        <f>_xll.BDH("AMGN US Equity","TANG_BOOK_VAL_PER_SH","FQ2 2023","FQ2 2023","Currency=USD","Period=FQ","BEST_FPERIOD_OVERRIDE=FQ","FILING_STATUS=MR","Sort=A","Dates=H","DateFormat=P","Fill=—","Direction=H","UseDPDF=Y")</f>
        <v>-43.714700000000001</v>
      </c>
      <c r="T27" s="14">
        <f>_xll.BDH("AMGN US Equity","TANG_BOOK_VAL_PER_SH","FQ3 2023","FQ3 2023","Currency=USD","Period=FQ","BEST_FPERIOD_OVERRIDE=FQ","FILING_STATUS=MR","Sort=A","Dates=H","DateFormat=P","Fill=—","Direction=H","UseDPDF=Y")</f>
        <v>-39.250599999999999</v>
      </c>
      <c r="U27" s="14">
        <f>_xll.BDH("AMGN US Equity","TANG_BOOK_VAL_PER_SH","FQ4 2023","FQ4 2023","Currency=USD","Period=FQ","BEST_FPERIOD_OVERRIDE=FQ","FILING_STATUS=MR","Sort=A","Dates=H","DateFormat=P","Fill=—","Direction=H","UseDPDF=Y")</f>
        <v>-84.1203</v>
      </c>
      <c r="V27" s="14">
        <f>_xll.BDH("AMGN US Equity","TANG_BOOK_VAL_PER_SH","FQ1 2024","FQ1 2024","Currency=USD","Period=FQ","BEST_FPERIOD_OVERRIDE=FQ","FILING_STATUS=MR","Sort=A","Dates=H","DateFormat=P","Fill=—","Direction=H","UseDPDF=Y")</f>
        <v>-83.743499999999997</v>
      </c>
      <c r="W27" s="14">
        <f>_xll.BDH("AMGN US Equity","TANG_BOOK_VAL_PER_SH","FQ2 2024","FQ2 2024","Currency=USD","Period=FQ","BEST_FPERIOD_OVERRIDE=FQ","FILING_STATUS=MR","Sort=A","Dates=H","DateFormat=P","Fill=—","Direction=H","UseDPDF=Y")</f>
        <v>-79.789699999999996</v>
      </c>
      <c r="X27" s="14">
        <f>_xll.BDH("AMGN US Equity","TANG_BOOK_VAL_PER_SH","FQ3 2024","FQ3 2024","Currency=USD","Period=FQ","BEST_FPERIOD_OVERRIDE=FQ","FILING_STATUS=MR","Sort=A","Dates=H","DateFormat=P","Fill=—","Direction=H","UseDPDF=Y")</f>
        <v>-74.513499999999993</v>
      </c>
      <c r="Y27" s="14">
        <f>_xll.BDH("AMGN US Equity","TANG_BOOK_VAL_PER_SH","FQ4 2024","FQ4 2024","Currency=USD","Period=FQ","BEST_FPERIOD_OVERRIDE=FQ","FILING_STATUS=MR","Sort=A","Dates=H","DateFormat=P","Fill=—","Direction=H","UseDPDF=Y")</f>
        <v>-75.356700000000004</v>
      </c>
      <c r="Z27" s="14"/>
      <c r="AA27" s="14"/>
    </row>
    <row r="28" spans="1:27" x14ac:dyDescent="0.25">
      <c r="A28" s="7" t="s">
        <v>90</v>
      </c>
      <c r="B28" s="7"/>
      <c r="C28" s="7" t="s">
        <v>5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5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278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94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31</v>
      </c>
      <c r="AA4" s="4" t="s">
        <v>164</v>
      </c>
    </row>
    <row r="5" spans="1:27" x14ac:dyDescent="0.25">
      <c r="A5" s="9" t="s">
        <v>34</v>
      </c>
      <c r="B5" s="9"/>
      <c r="C5" s="5" t="s">
        <v>96</v>
      </c>
      <c r="D5" s="5" t="s">
        <v>35</v>
      </c>
      <c r="E5" s="5" t="s">
        <v>36</v>
      </c>
      <c r="F5" s="5" t="s">
        <v>37</v>
      </c>
      <c r="G5" s="5" t="s">
        <v>38</v>
      </c>
      <c r="H5" s="5" t="s">
        <v>39</v>
      </c>
      <c r="I5" s="5" t="s">
        <v>40</v>
      </c>
      <c r="J5" s="5" t="s">
        <v>41</v>
      </c>
      <c r="K5" s="5" t="s">
        <v>42</v>
      </c>
      <c r="L5" s="5" t="s">
        <v>43</v>
      </c>
      <c r="M5" s="5" t="s">
        <v>44</v>
      </c>
      <c r="N5" s="5" t="s">
        <v>45</v>
      </c>
      <c r="O5" s="5" t="s">
        <v>46</v>
      </c>
      <c r="P5" s="5" t="s">
        <v>47</v>
      </c>
      <c r="Q5" s="5" t="s">
        <v>48</v>
      </c>
      <c r="R5" s="5" t="s">
        <v>49</v>
      </c>
      <c r="S5" s="5" t="s">
        <v>50</v>
      </c>
      <c r="T5" s="5" t="s">
        <v>51</v>
      </c>
      <c r="U5" s="5" t="s">
        <v>52</v>
      </c>
      <c r="V5" s="5" t="s">
        <v>53</v>
      </c>
      <c r="W5" s="5" t="s">
        <v>54</v>
      </c>
      <c r="X5" s="5" t="s">
        <v>55</v>
      </c>
      <c r="Y5" s="5" t="s">
        <v>56</v>
      </c>
      <c r="Z5" s="5" t="s">
        <v>57</v>
      </c>
      <c r="AA5" s="5" t="s">
        <v>165</v>
      </c>
    </row>
    <row r="6" spans="1:27" x14ac:dyDescent="0.25">
      <c r="A6" s="6" t="s">
        <v>279</v>
      </c>
      <c r="B6" s="6" t="s">
        <v>245</v>
      </c>
      <c r="C6" s="20">
        <f>_xll.BDH("AMGN US Equity","PX_LAST","FQ1 2019","FQ1 2019","Currency=USD","Period=FQ","BEST_FPERIOD_OVERRIDE=FQ","FILING_STATUS=MR","Sort=A","Dates=H","DateFormat=P","Fill=—","Direction=H","UseDPDF=Y")</f>
        <v>189.98</v>
      </c>
      <c r="D6" s="20">
        <f>_xll.BDH("AMGN US Equity","PX_LAST","FQ2 2019","FQ2 2019","Currency=USD","Period=FQ","BEST_FPERIOD_OVERRIDE=FQ","FILING_STATUS=MR","Sort=A","Dates=H","DateFormat=P","Fill=—","Direction=H","UseDPDF=Y")</f>
        <v>184.28</v>
      </c>
      <c r="E6" s="20">
        <f>_xll.BDH("AMGN US Equity","PX_LAST","FQ3 2019","FQ3 2019","Currency=USD","Period=FQ","BEST_FPERIOD_OVERRIDE=FQ","FILING_STATUS=MR","Sort=A","Dates=H","DateFormat=P","Fill=—","Direction=H","UseDPDF=Y")</f>
        <v>193.51</v>
      </c>
      <c r="F6" s="20">
        <f>_xll.BDH("AMGN US Equity","PX_LAST","FQ4 2019","FQ4 2019","Currency=USD","Period=FQ","BEST_FPERIOD_OVERRIDE=FQ","FILING_STATUS=MR","Sort=A","Dates=H","DateFormat=P","Fill=—","Direction=H","UseDPDF=Y")</f>
        <v>241.07</v>
      </c>
      <c r="G6" s="20">
        <f>_xll.BDH("AMGN US Equity","PX_LAST","FQ1 2020","FQ1 2020","Currency=USD","Period=FQ","BEST_FPERIOD_OVERRIDE=FQ","FILING_STATUS=MR","Sort=A","Dates=H","DateFormat=P","Fill=—","Direction=H","UseDPDF=Y")</f>
        <v>202.73</v>
      </c>
      <c r="H6" s="20">
        <f>_xll.BDH("AMGN US Equity","PX_LAST","FQ2 2020","FQ2 2020","Currency=USD","Period=FQ","BEST_FPERIOD_OVERRIDE=FQ","FILING_STATUS=MR","Sort=A","Dates=H","DateFormat=P","Fill=—","Direction=H","UseDPDF=Y")</f>
        <v>235.86</v>
      </c>
      <c r="I6" s="20">
        <f>_xll.BDH("AMGN US Equity","PX_LAST","FQ3 2020","FQ3 2020","Currency=USD","Period=FQ","BEST_FPERIOD_OVERRIDE=FQ","FILING_STATUS=MR","Sort=A","Dates=H","DateFormat=P","Fill=—","Direction=H","UseDPDF=Y")</f>
        <v>254.16</v>
      </c>
      <c r="J6" s="20">
        <f>_xll.BDH("AMGN US Equity","PX_LAST","FQ4 2020","FQ4 2020","Currency=USD","Period=FQ","BEST_FPERIOD_OVERRIDE=FQ","FILING_STATUS=MR","Sort=A","Dates=H","DateFormat=P","Fill=—","Direction=H","UseDPDF=Y")</f>
        <v>229.92</v>
      </c>
      <c r="K6" s="20">
        <f>_xll.BDH("AMGN US Equity","PX_LAST","FQ1 2021","FQ1 2021","Currency=USD","Period=FQ","BEST_FPERIOD_OVERRIDE=FQ","FILING_STATUS=MR","Sort=A","Dates=H","DateFormat=P","Fill=—","Direction=H","UseDPDF=Y")</f>
        <v>248.81</v>
      </c>
      <c r="L6" s="20">
        <f>_xll.BDH("AMGN US Equity","PX_LAST","FQ2 2021","FQ2 2021","Currency=USD","Period=FQ","BEST_FPERIOD_OVERRIDE=FQ","FILING_STATUS=MR","Sort=A","Dates=H","DateFormat=P","Fill=—","Direction=H","UseDPDF=Y")</f>
        <v>243.75</v>
      </c>
      <c r="M6" s="20">
        <f>_xll.BDH("AMGN US Equity","PX_LAST","FQ3 2021","FQ3 2021","Currency=USD","Period=FQ","BEST_FPERIOD_OVERRIDE=FQ","FILING_STATUS=MR","Sort=A","Dates=H","DateFormat=P","Fill=—","Direction=H","UseDPDF=Y")</f>
        <v>212.65</v>
      </c>
      <c r="N6" s="20">
        <f>_xll.BDH("AMGN US Equity","PX_LAST","FQ4 2021","FQ4 2021","Currency=USD","Period=FQ","BEST_FPERIOD_OVERRIDE=FQ","FILING_STATUS=MR","Sort=A","Dates=H","DateFormat=P","Fill=—","Direction=H","UseDPDF=Y")</f>
        <v>224.97</v>
      </c>
      <c r="O6" s="20">
        <f>_xll.BDH("AMGN US Equity","PX_LAST","FQ1 2022","FQ1 2022","Currency=USD","Period=FQ","BEST_FPERIOD_OVERRIDE=FQ","FILING_STATUS=MR","Sort=A","Dates=H","DateFormat=P","Fill=—","Direction=H","UseDPDF=Y")</f>
        <v>241.82</v>
      </c>
      <c r="P6" s="20">
        <f>_xll.BDH("AMGN US Equity","PX_LAST","FQ2 2022","FQ2 2022","Currency=USD","Period=FQ","BEST_FPERIOD_OVERRIDE=FQ","FILING_STATUS=MR","Sort=A","Dates=H","DateFormat=P","Fill=—","Direction=H","UseDPDF=Y")</f>
        <v>243.3</v>
      </c>
      <c r="Q6" s="20">
        <f>_xll.BDH("AMGN US Equity","PX_LAST","FQ3 2022","FQ3 2022","Currency=USD","Period=FQ","BEST_FPERIOD_OVERRIDE=FQ","FILING_STATUS=MR","Sort=A","Dates=H","DateFormat=P","Fill=—","Direction=H","UseDPDF=Y")</f>
        <v>225.4</v>
      </c>
      <c r="R6" s="20">
        <f>_xll.BDH("AMGN US Equity","PX_LAST","FQ4 2022","FQ4 2022","Currency=USD","Period=FQ","BEST_FPERIOD_OVERRIDE=FQ","FILING_STATUS=MR","Sort=A","Dates=H","DateFormat=P","Fill=—","Direction=H","UseDPDF=Y")</f>
        <v>262.64</v>
      </c>
      <c r="S6" s="20">
        <f>_xll.BDH("AMGN US Equity","PX_LAST","FQ1 2023","FQ1 2023","Currency=USD","Period=FQ","BEST_FPERIOD_OVERRIDE=FQ","FILING_STATUS=MR","Sort=A","Dates=H","DateFormat=P","Fill=—","Direction=H","UseDPDF=Y")</f>
        <v>241.75</v>
      </c>
      <c r="T6" s="20">
        <f>_xll.BDH("AMGN US Equity","PX_LAST","FQ2 2023","FQ2 2023","Currency=USD","Period=FQ","BEST_FPERIOD_OVERRIDE=FQ","FILING_STATUS=MR","Sort=A","Dates=H","DateFormat=P","Fill=—","Direction=H","UseDPDF=Y")</f>
        <v>222.02</v>
      </c>
      <c r="U6" s="20">
        <f>_xll.BDH("AMGN US Equity","PX_LAST","FQ3 2023","FQ3 2023","Currency=USD","Period=FQ","BEST_FPERIOD_OVERRIDE=FQ","FILING_STATUS=MR","Sort=A","Dates=H","DateFormat=P","Fill=—","Direction=H","UseDPDF=Y")</f>
        <v>268.76</v>
      </c>
      <c r="V6" s="20">
        <f>_xll.BDH("AMGN US Equity","PX_LAST","FQ4 2023","FQ4 2023","Currency=USD","Period=FQ","BEST_FPERIOD_OVERRIDE=FQ","FILING_STATUS=MR","Sort=A","Dates=H","DateFormat=P","Fill=—","Direction=H","UseDPDF=Y")</f>
        <v>288.02</v>
      </c>
      <c r="W6" s="20">
        <f>_xll.BDH("AMGN US Equity","PX_LAST","FQ1 2024","FQ1 2024","Currency=USD","Period=FQ","BEST_FPERIOD_OVERRIDE=FQ","FILING_STATUS=MR","Sort=A","Dates=H","DateFormat=P","Fill=—","Direction=H","UseDPDF=Y")</f>
        <v>284.32</v>
      </c>
      <c r="X6" s="20">
        <f>_xll.BDH("AMGN US Equity","PX_LAST","FQ2 2024","FQ2 2024","Currency=USD","Period=FQ","BEST_FPERIOD_OVERRIDE=FQ","FILING_STATUS=MR","Sort=A","Dates=H","DateFormat=P","Fill=—","Direction=H","UseDPDF=Y")</f>
        <v>312.45</v>
      </c>
      <c r="Y6" s="20">
        <f>_xll.BDH("AMGN US Equity","PX_LAST","FQ3 2024","FQ3 2024","Currency=USD","Period=FQ","BEST_FPERIOD_OVERRIDE=FQ","FILING_STATUS=MR","Sort=A","Dates=H","DateFormat=P","Fill=—","Direction=H","UseDPDF=Y")</f>
        <v>322.20999999999998</v>
      </c>
      <c r="Z6" s="20">
        <f>_xll.BDH("AMGN US Equity","PX_LAST","FQ4 2024","FQ4 2024","Currency=USD","Period=FQ","BEST_FPERIOD_OVERRIDE=FQ","FILING_STATUS=MR","Sort=A","Dates=H","DateFormat=P","Fill=—","Direction=H","UseDPDF=Y")</f>
        <v>260.64</v>
      </c>
      <c r="AA6" s="23">
        <v>307.61999511718801</v>
      </c>
    </row>
    <row r="7" spans="1:27" x14ac:dyDescent="0.25">
      <c r="A7" s="11" t="s">
        <v>280</v>
      </c>
      <c r="B7" s="11" t="s">
        <v>281</v>
      </c>
      <c r="C7" s="26">
        <f>_xll.BDH("AMGN US Equity","CHG_PCT_PERIOD","FQ1 2019","FQ1 2019","Currency=USD","Period=FQ","BEST_FPERIOD_OVERRIDE=FQ","FILING_STATUS=MR","Sort=A","Dates=H","DateFormat=P","Fill=—","Direction=H","UseDPDF=Y")</f>
        <v>-2.4091999999999998</v>
      </c>
      <c r="D7" s="26">
        <f>_xll.BDH("AMGN US Equity","CHG_PCT_PERIOD","FQ2 2019","FQ2 2019","Currency=USD","Period=FQ","BEST_FPERIOD_OVERRIDE=FQ","FILING_STATUS=MR","Sort=A","Dates=H","DateFormat=P","Fill=—","Direction=H","UseDPDF=Y")</f>
        <v>-3.0003000000000002</v>
      </c>
      <c r="E7" s="26" t="str">
        <f>_xll.BDH("AMGN US Equity","CHG_PCT_PERIOD","FQ3 2019","FQ3 2019","Currency=USD","Period=FQ","BEST_FPERIOD_OVERRIDE=FQ","FILING_STATUS=MR","Sort=A","Dates=H","DateFormat=P","Fill=—","Direction=H","UseDPDF=Y")</f>
        <v>—</v>
      </c>
      <c r="F7" s="26">
        <f>_xll.BDH("AMGN US Equity","CHG_PCT_PERIOD","FQ4 2019","FQ4 2019","Currency=USD","Period=FQ","BEST_FPERIOD_OVERRIDE=FQ","FILING_STATUS=MR","Sort=A","Dates=H","DateFormat=P","Fill=—","Direction=H","UseDPDF=Y")</f>
        <v>24.577500000000001</v>
      </c>
      <c r="G7" s="26">
        <f>_xll.BDH("AMGN US Equity","CHG_PCT_PERIOD","FQ1 2020","FQ1 2020","Currency=USD","Period=FQ","BEST_FPERIOD_OVERRIDE=FQ","FILING_STATUS=MR","Sort=A","Dates=H","DateFormat=P","Fill=—","Direction=H","UseDPDF=Y")</f>
        <v>-15.9041</v>
      </c>
      <c r="H7" s="26">
        <f>_xll.BDH("AMGN US Equity","CHG_PCT_PERIOD","FQ2 2020","FQ2 2020","Currency=USD","Period=FQ","BEST_FPERIOD_OVERRIDE=FQ","FILING_STATUS=MR","Sort=A","Dates=H","DateFormat=P","Fill=—","Direction=H","UseDPDF=Y")</f>
        <v>16.341899999999999</v>
      </c>
      <c r="I7" s="26">
        <f>_xll.BDH("AMGN US Equity","CHG_PCT_PERIOD","FQ3 2020","FQ3 2020","Currency=USD","Period=FQ","BEST_FPERIOD_OVERRIDE=FQ","FILING_STATUS=MR","Sort=A","Dates=H","DateFormat=P","Fill=—","Direction=H","UseDPDF=Y")</f>
        <v>7.7587999999999999</v>
      </c>
      <c r="J7" s="26">
        <f>_xll.BDH("AMGN US Equity","CHG_PCT_PERIOD","FQ4 2020","FQ4 2020","Currency=USD","Period=FQ","BEST_FPERIOD_OVERRIDE=FQ","FILING_STATUS=MR","Sort=A","Dates=H","DateFormat=P","Fill=—","Direction=H","UseDPDF=Y")</f>
        <v>-9.5373000000000001</v>
      </c>
      <c r="K7" s="26">
        <f>_xll.BDH("AMGN US Equity","CHG_PCT_PERIOD","FQ1 2021","FQ1 2021","Currency=USD","Period=FQ","BEST_FPERIOD_OVERRIDE=FQ","FILING_STATUS=MR","Sort=A","Dates=H","DateFormat=P","Fill=—","Direction=H","UseDPDF=Y")</f>
        <v>8.2158999999999995</v>
      </c>
      <c r="L7" s="26">
        <f>_xll.BDH("AMGN US Equity","CHG_PCT_PERIOD","FQ2 2021","FQ2 2021","Currency=USD","Period=FQ","BEST_FPERIOD_OVERRIDE=FQ","FILING_STATUS=MR","Sort=A","Dates=H","DateFormat=P","Fill=—","Direction=H","UseDPDF=Y")</f>
        <v>-2.0337000000000001</v>
      </c>
      <c r="M7" s="26">
        <f>_xll.BDH("AMGN US Equity","CHG_PCT_PERIOD","FQ3 2021","FQ3 2021","Currency=USD","Period=FQ","BEST_FPERIOD_OVERRIDE=FQ","FILING_STATUS=MR","Sort=A","Dates=H","DateFormat=P","Fill=—","Direction=H","UseDPDF=Y")</f>
        <v>-12.759</v>
      </c>
      <c r="N7" s="26">
        <f>_xll.BDH("AMGN US Equity","CHG_PCT_PERIOD","FQ4 2021","FQ4 2021","Currency=USD","Period=FQ","BEST_FPERIOD_OVERRIDE=FQ","FILING_STATUS=MR","Sort=A","Dates=H","DateFormat=P","Fill=—","Direction=H","UseDPDF=Y")</f>
        <v>5.7935999999999996</v>
      </c>
      <c r="O7" s="26">
        <f>_xll.BDH("AMGN US Equity","CHG_PCT_PERIOD","FQ1 2022","FQ1 2022","Currency=USD","Period=FQ","BEST_FPERIOD_OVERRIDE=FQ","FILING_STATUS=MR","Sort=A","Dates=H","DateFormat=P","Fill=—","Direction=H","UseDPDF=Y")</f>
        <v>7.4898999999999996</v>
      </c>
      <c r="P7" s="26">
        <f>_xll.BDH("AMGN US Equity","CHG_PCT_PERIOD","FQ2 2022","FQ2 2022","Currency=USD","Period=FQ","BEST_FPERIOD_OVERRIDE=FQ","FILING_STATUS=MR","Sort=A","Dates=H","DateFormat=P","Fill=—","Direction=H","UseDPDF=Y")</f>
        <v>0.61199999999999999</v>
      </c>
      <c r="Q7" s="26">
        <f>_xll.BDH("AMGN US Equity","CHG_PCT_PERIOD","FQ3 2022","FQ3 2022","Currency=USD","Period=FQ","BEST_FPERIOD_OVERRIDE=FQ","FILING_STATUS=MR","Sort=A","Dates=H","DateFormat=P","Fill=—","Direction=H","UseDPDF=Y")</f>
        <v>-7.3571999999999997</v>
      </c>
      <c r="R7" s="26">
        <f>_xll.BDH("AMGN US Equity","CHG_PCT_PERIOD","FQ4 2022","FQ4 2022","Currency=USD","Period=FQ","BEST_FPERIOD_OVERRIDE=FQ","FILING_STATUS=MR","Sort=A","Dates=H","DateFormat=P","Fill=—","Direction=H","UseDPDF=Y")</f>
        <v>16.521699999999999</v>
      </c>
      <c r="S7" s="26">
        <f>_xll.BDH("AMGN US Equity","CHG_PCT_PERIOD","FQ1 2023","FQ1 2023","Currency=USD","Period=FQ","BEST_FPERIOD_OVERRIDE=FQ","FILING_STATUS=MR","Sort=A","Dates=H","DateFormat=P","Fill=—","Direction=H","UseDPDF=Y")</f>
        <v>-7.9539</v>
      </c>
      <c r="T7" s="26">
        <f>_xll.BDH("AMGN US Equity","CHG_PCT_PERIOD","FQ2 2023","FQ2 2023","Currency=USD","Period=FQ","BEST_FPERIOD_OVERRIDE=FQ","FILING_STATUS=MR","Sort=A","Dates=H","DateFormat=P","Fill=—","Direction=H","UseDPDF=Y")</f>
        <v>-8.1613000000000007</v>
      </c>
      <c r="U7" s="26">
        <f>_xll.BDH("AMGN US Equity","CHG_PCT_PERIOD","FQ3 2023","FQ3 2023","Currency=USD","Period=FQ","BEST_FPERIOD_OVERRIDE=FQ","FILING_STATUS=MR","Sort=A","Dates=H","DateFormat=P","Fill=—","Direction=H","UseDPDF=Y")</f>
        <v>21.052199999999999</v>
      </c>
      <c r="V7" s="26">
        <f>_xll.BDH("AMGN US Equity","CHG_PCT_PERIOD","FQ4 2023","FQ4 2023","Currency=USD","Period=FQ","BEST_FPERIOD_OVERRIDE=FQ","FILING_STATUS=MR","Sort=A","Dates=H","DateFormat=P","Fill=—","Direction=H","UseDPDF=Y")</f>
        <v>7.1661999999999999</v>
      </c>
      <c r="W7" s="26">
        <f>_xll.BDH("AMGN US Equity","CHG_PCT_PERIOD","FQ1 2024","FQ1 2024","Currency=USD","Period=FQ","BEST_FPERIOD_OVERRIDE=FQ","FILING_STATUS=MR","Sort=A","Dates=H","DateFormat=P","Fill=—","Direction=H","UseDPDF=Y")</f>
        <v>-1.2846</v>
      </c>
      <c r="X7" s="26" t="str">
        <f>_xll.BDH("AMGN US Equity","CHG_PCT_PERIOD","FQ2 2024","FQ2 2024","Currency=USD","Period=FQ","BEST_FPERIOD_OVERRIDE=FQ","FILING_STATUS=MR","Sort=A","Dates=H","DateFormat=P","Fill=—","Direction=H","UseDPDF=Y")</f>
        <v>—</v>
      </c>
      <c r="Y7" s="26" t="str">
        <f>_xll.BDH("AMGN US Equity","CHG_PCT_PERIOD","FQ3 2024","FQ3 2024","Currency=USD","Period=FQ","BEST_FPERIOD_OVERRIDE=FQ","FILING_STATUS=MR","Sort=A","Dates=H","DateFormat=P","Fill=—","Direction=H","UseDPDF=Y")</f>
        <v>—</v>
      </c>
      <c r="Z7" s="26">
        <f>_xll.BDH("AMGN US Equity","CHG_PCT_PERIOD","FQ4 2024","FQ4 2024","Currency=USD","Period=FQ","BEST_FPERIOD_OVERRIDE=FQ","FILING_STATUS=MR","Sort=A","Dates=H","DateFormat=P","Fill=—","Direction=H","UseDPDF=Y")</f>
        <v>-19.108699999999999</v>
      </c>
      <c r="AA7" s="29"/>
    </row>
    <row r="8" spans="1:27" x14ac:dyDescent="0.25">
      <c r="A8" s="10" t="s">
        <v>282</v>
      </c>
      <c r="B8" s="10" t="s">
        <v>283</v>
      </c>
      <c r="C8" s="14">
        <f>_xll.BDH("AMGN US Equity","PX_OPEN","FQ1 2019","FQ1 2019","Currency=USD","Period=FQ","BEST_FPERIOD_OVERRIDE=FQ","FILING_STATUS=MR","Sort=A","Dates=H","DateFormat=P","Fill=—","Direction=H","UseDPDF=Y")</f>
        <v>192.52</v>
      </c>
      <c r="D8" s="14">
        <f>_xll.BDH("AMGN US Equity","PX_OPEN","FQ2 2019","FQ2 2019","Currency=USD","Period=FQ","BEST_FPERIOD_OVERRIDE=FQ","FILING_STATUS=MR","Sort=A","Dates=H","DateFormat=P","Fill=—","Direction=H","UseDPDF=Y")</f>
        <v>191.14</v>
      </c>
      <c r="E8" s="14">
        <f>_xll.BDH("AMGN US Equity","PX_OPEN","FQ3 2019","FQ3 2019","Currency=USD","Period=FQ","BEST_FPERIOD_OVERRIDE=FQ","FILING_STATUS=MR","Sort=A","Dates=H","DateFormat=P","Fill=—","Direction=H","UseDPDF=Y")</f>
        <v>186.88</v>
      </c>
      <c r="F8" s="14">
        <f>_xll.BDH("AMGN US Equity","PX_OPEN","FQ4 2019","FQ4 2019","Currency=USD","Period=FQ","BEST_FPERIOD_OVERRIDE=FQ","FILING_STATUS=MR","Sort=A","Dates=H","DateFormat=P","Fill=—","Direction=H","UseDPDF=Y")</f>
        <v>192.58</v>
      </c>
      <c r="G8" s="14">
        <f>_xll.BDH("AMGN US Equity","PX_OPEN","FQ1 2020","FQ1 2020","Currency=USD","Period=FQ","BEST_FPERIOD_OVERRIDE=FQ","FILING_STATUS=MR","Sort=A","Dates=H","DateFormat=P","Fill=—","Direction=H","UseDPDF=Y")</f>
        <v>243</v>
      </c>
      <c r="H8" s="14">
        <f>_xll.BDH("AMGN US Equity","PX_OPEN","FQ2 2020","FQ2 2020","Currency=USD","Period=FQ","BEST_FPERIOD_OVERRIDE=FQ","FILING_STATUS=MR","Sort=A","Dates=H","DateFormat=P","Fill=—","Direction=H","UseDPDF=Y")</f>
        <v>197.56</v>
      </c>
      <c r="I8" s="14">
        <f>_xll.BDH("AMGN US Equity","PX_OPEN","FQ3 2020","FQ3 2020","Currency=USD","Period=FQ","BEST_FPERIOD_OVERRIDE=FQ","FILING_STATUS=MR","Sort=A","Dates=H","DateFormat=P","Fill=—","Direction=H","UseDPDF=Y")</f>
        <v>235.52</v>
      </c>
      <c r="J8" s="14">
        <f>_xll.BDH("AMGN US Equity","PX_OPEN","FQ4 2020","FQ4 2020","Currency=USD","Period=FQ","BEST_FPERIOD_OVERRIDE=FQ","FILING_STATUS=MR","Sort=A","Dates=H","DateFormat=P","Fill=—","Direction=H","UseDPDF=Y")</f>
        <v>255.07</v>
      </c>
      <c r="K8" s="14">
        <f>_xll.BDH("AMGN US Equity","PX_OPEN","FQ1 2021","FQ1 2021","Currency=USD","Period=FQ","BEST_FPERIOD_OVERRIDE=FQ","FILING_STATUS=MR","Sort=A","Dates=H","DateFormat=P","Fill=—","Direction=H","UseDPDF=Y")</f>
        <v>231.25</v>
      </c>
      <c r="L8" s="14">
        <f>_xll.BDH("AMGN US Equity","PX_OPEN","FQ2 2021","FQ2 2021","Currency=USD","Period=FQ","BEST_FPERIOD_OVERRIDE=FQ","FILING_STATUS=MR","Sort=A","Dates=H","DateFormat=P","Fill=—","Direction=H","UseDPDF=Y")</f>
        <v>249.73</v>
      </c>
      <c r="M8" s="14">
        <f>_xll.BDH("AMGN US Equity","PX_OPEN","FQ3 2021","FQ3 2021","Currency=USD","Period=FQ","BEST_FPERIOD_OVERRIDE=FQ","FILING_STATUS=MR","Sort=A","Dates=H","DateFormat=P","Fill=—","Direction=H","UseDPDF=Y")</f>
        <v>243.74</v>
      </c>
      <c r="N8" s="14">
        <f>_xll.BDH("AMGN US Equity","PX_OPEN","FQ4 2021","FQ4 2021","Currency=USD","Period=FQ","BEST_FPERIOD_OVERRIDE=FQ","FILING_STATUS=MR","Sort=A","Dates=H","DateFormat=P","Fill=—","Direction=H","UseDPDF=Y")</f>
        <v>213.59</v>
      </c>
      <c r="O8" s="14">
        <f>_xll.BDH("AMGN US Equity","PX_OPEN","FQ1 2022","FQ1 2022","Currency=USD","Period=FQ","BEST_FPERIOD_OVERRIDE=FQ","FILING_STATUS=MR","Sort=A","Dates=H","DateFormat=P","Fill=—","Direction=H","UseDPDF=Y")</f>
        <v>223.63</v>
      </c>
      <c r="P8" s="14">
        <f>_xll.BDH("AMGN US Equity","PX_OPEN","FQ2 2022","FQ2 2022","Currency=USD","Period=FQ","BEST_FPERIOD_OVERRIDE=FQ","FILING_STATUS=MR","Sort=A","Dates=H","DateFormat=P","Fill=—","Direction=H","UseDPDF=Y")</f>
        <v>243.03</v>
      </c>
      <c r="Q8" s="14">
        <f>_xll.BDH("AMGN US Equity","PX_OPEN","FQ3 2022","FQ3 2022","Currency=USD","Period=FQ","BEST_FPERIOD_OVERRIDE=FQ","FILING_STATUS=MR","Sort=A","Dates=H","DateFormat=P","Fill=—","Direction=H","UseDPDF=Y")</f>
        <v>243.25</v>
      </c>
      <c r="R8" s="14">
        <f>_xll.BDH("AMGN US Equity","PX_OPEN","FQ4 2022","FQ4 2022","Currency=USD","Period=FQ","BEST_FPERIOD_OVERRIDE=FQ","FILING_STATUS=MR","Sort=A","Dates=H","DateFormat=P","Fill=—","Direction=H","UseDPDF=Y")</f>
        <v>228.27</v>
      </c>
      <c r="S8" s="14">
        <f>_xll.BDH("AMGN US Equity","PX_OPEN","FQ1 2023","FQ1 2023","Currency=USD","Period=FQ","BEST_FPERIOD_OVERRIDE=FQ","FILING_STATUS=MR","Sort=A","Dates=H","DateFormat=P","Fill=—","Direction=H","UseDPDF=Y")</f>
        <v>260.87</v>
      </c>
      <c r="T8" s="14">
        <f>_xll.BDH("AMGN US Equity","PX_OPEN","FQ2 2023","FQ2 2023","Currency=USD","Period=FQ","BEST_FPERIOD_OVERRIDE=FQ","FILING_STATUS=MR","Sort=A","Dates=H","DateFormat=P","Fill=—","Direction=H","UseDPDF=Y")</f>
        <v>242</v>
      </c>
      <c r="U8" s="14">
        <f>_xll.BDH("AMGN US Equity","PX_OPEN","FQ3 2023","FQ3 2023","Currency=USD","Period=FQ","BEST_FPERIOD_OVERRIDE=FQ","FILING_STATUS=MR","Sort=A","Dates=H","DateFormat=P","Fill=—","Direction=H","UseDPDF=Y")</f>
        <v>221.21</v>
      </c>
      <c r="V8" s="14">
        <f>_xll.BDH("AMGN US Equity","PX_OPEN","FQ4 2023","FQ4 2023","Currency=USD","Period=FQ","BEST_FPERIOD_OVERRIDE=FQ","FILING_STATUS=MR","Sort=A","Dates=H","DateFormat=P","Fill=—","Direction=H","UseDPDF=Y")</f>
        <v>267.70999999999998</v>
      </c>
      <c r="W8" s="14">
        <f>_xll.BDH("AMGN US Equity","PX_OPEN","FQ1 2024","FQ1 2024","Currency=USD","Period=FQ","BEST_FPERIOD_OVERRIDE=FQ","FILING_STATUS=MR","Sort=A","Dates=H","DateFormat=P","Fill=—","Direction=H","UseDPDF=Y")</f>
        <v>287.27999999999997</v>
      </c>
      <c r="X8" s="14">
        <f>_xll.BDH("AMGN US Equity","PX_OPEN","FQ2 2024","FQ2 2024","Currency=USD","Period=FQ","BEST_FPERIOD_OVERRIDE=FQ","FILING_STATUS=MR","Sort=A","Dates=H","DateFormat=P","Fill=—","Direction=H","UseDPDF=Y")</f>
        <v>282.11</v>
      </c>
      <c r="Y8" s="14">
        <f>_xll.BDH("AMGN US Equity","PX_OPEN","FQ3 2024","FQ3 2024","Currency=USD","Period=FQ","BEST_FPERIOD_OVERRIDE=FQ","FILING_STATUS=MR","Sort=A","Dates=H","DateFormat=P","Fill=—","Direction=H","UseDPDF=Y")</f>
        <v>313.33999999999997</v>
      </c>
      <c r="Z8" s="14">
        <f>_xll.BDH("AMGN US Equity","PX_OPEN","FQ4 2024","FQ4 2024","Currency=USD","Period=FQ","BEST_FPERIOD_OVERRIDE=FQ","FILING_STATUS=MR","Sort=A","Dates=H","DateFormat=P","Fill=—","Direction=H","UseDPDF=Y")</f>
        <v>322.05</v>
      </c>
      <c r="AA8" s="17">
        <v>307.44000244140602</v>
      </c>
    </row>
    <row r="9" spans="1:27" x14ac:dyDescent="0.25">
      <c r="A9" s="10" t="s">
        <v>284</v>
      </c>
      <c r="B9" s="10" t="s">
        <v>246</v>
      </c>
      <c r="C9" s="14">
        <f>_xll.BDH("AMGN US Equity","PX_HIGH","FQ1 2019","FQ1 2019","Currency=USD","Period=FQ","BEST_FPERIOD_OVERRIDE=FQ","FILING_STATUS=MR","Sort=A","Dates=H","DateFormat=P","Fill=—","Direction=H","UseDPDF=Y")</f>
        <v>204.33</v>
      </c>
      <c r="D9" s="14">
        <f>_xll.BDH("AMGN US Equity","PX_HIGH","FQ2 2019","FQ2 2019","Currency=USD","Period=FQ","BEST_FPERIOD_OVERRIDE=FQ","FILING_STATUS=MR","Sort=A","Dates=H","DateFormat=P","Fill=—","Direction=H","UseDPDF=Y")</f>
        <v>196.87</v>
      </c>
      <c r="E9" s="14">
        <f>_xll.BDH("AMGN US Equity","PX_HIGH","FQ3 2019","FQ3 2019","Currency=USD","Period=FQ","BEST_FPERIOD_OVERRIDE=FQ","FILING_STATUS=MR","Sort=A","Dates=H","DateFormat=P","Fill=—","Direction=H","UseDPDF=Y")</f>
        <v>211.9</v>
      </c>
      <c r="F9" s="14">
        <f>_xll.BDH("AMGN US Equity","PX_HIGH","FQ4 2019","FQ4 2019","Currency=USD","Period=FQ","BEST_FPERIOD_OVERRIDE=FQ","FILING_STATUS=MR","Sort=A","Dates=H","DateFormat=P","Fill=—","Direction=H","UseDPDF=Y")</f>
        <v>244.99</v>
      </c>
      <c r="G9" s="14">
        <f>_xll.BDH("AMGN US Equity","PX_HIGH","FQ1 2020","FQ1 2020","Currency=USD","Period=FQ","BEST_FPERIOD_OVERRIDE=FQ","FILING_STATUS=MR","Sort=A","Dates=H","DateFormat=P","Fill=—","Direction=H","UseDPDF=Y")</f>
        <v>243.85</v>
      </c>
      <c r="H9" s="14">
        <f>_xll.BDH("AMGN US Equity","PX_HIGH","FQ2 2020","FQ2 2020","Currency=USD","Period=FQ","BEST_FPERIOD_OVERRIDE=FQ","FILING_STATUS=MR","Sort=A","Dates=H","DateFormat=P","Fill=—","Direction=H","UseDPDF=Y")</f>
        <v>244.95</v>
      </c>
      <c r="I9" s="14">
        <f>_xll.BDH("AMGN US Equity","PX_HIGH","FQ3 2020","FQ3 2020","Currency=USD","Period=FQ","BEST_FPERIOD_OVERRIDE=FQ","FILING_STATUS=MR","Sort=A","Dates=H","DateFormat=P","Fill=—","Direction=H","UseDPDF=Y")</f>
        <v>264.97000000000003</v>
      </c>
      <c r="J9" s="14">
        <f>_xll.BDH("AMGN US Equity","PX_HIGH","FQ4 2020","FQ4 2020","Currency=USD","Period=FQ","BEST_FPERIOD_OVERRIDE=FQ","FILING_STATUS=MR","Sort=A","Dates=H","DateFormat=P","Fill=—","Direction=H","UseDPDF=Y")</f>
        <v>258.505</v>
      </c>
      <c r="K9" s="14">
        <f>_xll.BDH("AMGN US Equity","PX_HIGH","FQ1 2021","FQ1 2021","Currency=USD","Period=FQ","BEST_FPERIOD_OVERRIDE=FQ","FILING_STATUS=MR","Sort=A","Dates=H","DateFormat=P","Fill=—","Direction=H","UseDPDF=Y")</f>
        <v>276.69</v>
      </c>
      <c r="L9" s="14">
        <f>_xll.BDH("AMGN US Equity","PX_HIGH","FQ2 2021","FQ2 2021","Currency=USD","Period=FQ","BEST_FPERIOD_OVERRIDE=FQ","FILING_STATUS=MR","Sort=A","Dates=H","DateFormat=P","Fill=—","Direction=H","UseDPDF=Y")</f>
        <v>261</v>
      </c>
      <c r="M9" s="14">
        <f>_xll.BDH("AMGN US Equity","PX_HIGH","FQ3 2021","FQ3 2021","Currency=USD","Period=FQ","BEST_FPERIOD_OVERRIDE=FQ","FILING_STATUS=MR","Sort=A","Dates=H","DateFormat=P","Fill=—","Direction=H","UseDPDF=Y")</f>
        <v>250.39</v>
      </c>
      <c r="N9" s="14">
        <f>_xll.BDH("AMGN US Equity","PX_HIGH","FQ4 2021","FQ4 2021","Currency=USD","Period=FQ","BEST_FPERIOD_OVERRIDE=FQ","FILING_STATUS=MR","Sort=A","Dates=H","DateFormat=P","Fill=—","Direction=H","UseDPDF=Y")</f>
        <v>231.04</v>
      </c>
      <c r="O9" s="14">
        <f>_xll.BDH("AMGN US Equity","PX_HIGH","FQ1 2022","FQ1 2022","Currency=USD","Period=FQ","BEST_FPERIOD_OVERRIDE=FQ","FILING_STATUS=MR","Sort=A","Dates=H","DateFormat=P","Fill=—","Direction=H","UseDPDF=Y")</f>
        <v>245.48</v>
      </c>
      <c r="P9" s="14">
        <f>_xll.BDH("AMGN US Equity","PX_HIGH","FQ2 2022","FQ2 2022","Currency=USD","Period=FQ","BEST_FPERIOD_OVERRIDE=FQ","FILING_STATUS=MR","Sort=A","Dates=H","DateFormat=P","Fill=—","Direction=H","UseDPDF=Y")</f>
        <v>258.45</v>
      </c>
      <c r="Q9" s="14">
        <f>_xll.BDH("AMGN US Equity","PX_HIGH","FQ3 2022","FQ3 2022","Currency=USD","Period=FQ","BEST_FPERIOD_OVERRIDE=FQ","FILING_STATUS=MR","Sort=A","Dates=H","DateFormat=P","Fill=—","Direction=H","UseDPDF=Y")</f>
        <v>254.16</v>
      </c>
      <c r="R9" s="14">
        <f>_xll.BDH("AMGN US Equity","PX_HIGH","FQ4 2022","FQ4 2022","Currency=USD","Period=FQ","BEST_FPERIOD_OVERRIDE=FQ","FILING_STATUS=MR","Sort=A","Dates=H","DateFormat=P","Fill=—","Direction=H","UseDPDF=Y")</f>
        <v>296.67</v>
      </c>
      <c r="S9" s="14">
        <f>_xll.BDH("AMGN US Equity","PX_HIGH","FQ1 2023","FQ1 2023","Currency=USD","Period=FQ","BEST_FPERIOD_OVERRIDE=FQ","FILING_STATUS=MR","Sort=A","Dates=H","DateFormat=P","Fill=—","Direction=H","UseDPDF=Y")</f>
        <v>276.83999999999997</v>
      </c>
      <c r="T9" s="14">
        <f>_xll.BDH("AMGN US Equity","PX_HIGH","FQ2 2023","FQ2 2023","Currency=USD","Period=FQ","BEST_FPERIOD_OVERRIDE=FQ","FILING_STATUS=MR","Sort=A","Dates=H","DateFormat=P","Fill=—","Direction=H","UseDPDF=Y")</f>
        <v>256.44</v>
      </c>
      <c r="U9" s="14">
        <f>_xll.BDH("AMGN US Equity","PX_HIGH","FQ3 2023","FQ3 2023","Currency=USD","Period=FQ","BEST_FPERIOD_OVERRIDE=FQ","FILING_STATUS=MR","Sort=A","Dates=H","DateFormat=P","Fill=—","Direction=H","UseDPDF=Y")</f>
        <v>273.61</v>
      </c>
      <c r="V9" s="14">
        <f>_xll.BDH("AMGN US Equity","PX_HIGH","FQ4 2023","FQ4 2023","Currency=USD","Period=FQ","BEST_FPERIOD_OVERRIDE=FQ","FILING_STATUS=MR","Sort=A","Dates=H","DateFormat=P","Fill=—","Direction=H","UseDPDF=Y")</f>
        <v>289.04000000000002</v>
      </c>
      <c r="W9" s="14">
        <f>_xll.BDH("AMGN US Equity","PX_HIGH","FQ1 2024","FQ1 2024","Currency=USD","Period=FQ","BEST_FPERIOD_OVERRIDE=FQ","FILING_STATUS=MR","Sort=A","Dates=H","DateFormat=P","Fill=—","Direction=H","UseDPDF=Y")</f>
        <v>329.72</v>
      </c>
      <c r="X9" s="14">
        <f>_xll.BDH("AMGN US Equity","PX_HIGH","FQ2 2024","FQ2 2024","Currency=USD","Period=FQ","BEST_FPERIOD_OVERRIDE=FQ","FILING_STATUS=MR","Sort=A","Dates=H","DateFormat=P","Fill=—","Direction=H","UseDPDF=Y")</f>
        <v>326.12</v>
      </c>
      <c r="Y9" s="14">
        <f>_xll.BDH("AMGN US Equity","PX_HIGH","FQ3 2024","FQ3 2024","Currency=USD","Period=FQ","BEST_FPERIOD_OVERRIDE=FQ","FILING_STATUS=MR","Sort=A","Dates=H","DateFormat=P","Fill=—","Direction=H","UseDPDF=Y")</f>
        <v>346.85</v>
      </c>
      <c r="Z9" s="14">
        <f>_xll.BDH("AMGN US Equity","PX_HIGH","FQ4 2024","FQ4 2024","Currency=USD","Period=FQ","BEST_FPERIOD_OVERRIDE=FQ","FILING_STATUS=MR","Sort=A","Dates=H","DateFormat=P","Fill=—","Direction=H","UseDPDF=Y")</f>
        <v>329.17</v>
      </c>
      <c r="AA9" s="17">
        <v>308.13729858398398</v>
      </c>
    </row>
    <row r="10" spans="1:27" x14ac:dyDescent="0.25">
      <c r="A10" s="10" t="s">
        <v>285</v>
      </c>
      <c r="B10" s="10" t="s">
        <v>247</v>
      </c>
      <c r="C10" s="14">
        <f>_xll.BDH("AMGN US Equity","PX_LOW","FQ1 2019","FQ1 2019","Currency=USD","Period=FQ","BEST_FPERIOD_OVERRIDE=FQ","FILING_STATUS=MR","Sort=A","Dates=H","DateFormat=P","Fill=—","Direction=H","UseDPDF=Y")</f>
        <v>179.01</v>
      </c>
      <c r="D10" s="14">
        <f>_xll.BDH("AMGN US Equity","PX_LOW","FQ2 2019","FQ2 2019","Currency=USD","Period=FQ","BEST_FPERIOD_OVERRIDE=FQ","FILING_STATUS=MR","Sort=A","Dates=H","DateFormat=P","Fill=—","Direction=H","UseDPDF=Y")</f>
        <v>166.3</v>
      </c>
      <c r="E10" s="14">
        <f>_xll.BDH("AMGN US Equity","PX_LOW","FQ3 2019","FQ3 2019","Currency=USD","Period=FQ","BEST_FPERIOD_OVERRIDE=FQ","FILING_STATUS=MR","Sort=A","Dates=H","DateFormat=P","Fill=—","Direction=H","UseDPDF=Y")</f>
        <v>173.12</v>
      </c>
      <c r="F10" s="14">
        <f>_xll.BDH("AMGN US Equity","PX_LOW","FQ4 2019","FQ4 2019","Currency=USD","Period=FQ","BEST_FPERIOD_OVERRIDE=FQ","FILING_STATUS=MR","Sort=A","Dates=H","DateFormat=P","Fill=—","Direction=H","UseDPDF=Y")</f>
        <v>188.78</v>
      </c>
      <c r="G10" s="14">
        <f>_xll.BDH("AMGN US Equity","PX_LOW","FQ1 2020","FQ1 2020","Currency=USD","Period=FQ","BEST_FPERIOD_OVERRIDE=FQ","FILING_STATUS=MR","Sort=A","Dates=H","DateFormat=P","Fill=—","Direction=H","UseDPDF=Y")</f>
        <v>177.05</v>
      </c>
      <c r="H10" s="14">
        <f>_xll.BDH("AMGN US Equity","PX_LOW","FQ2 2020","FQ2 2020","Currency=USD","Period=FQ","BEST_FPERIOD_OVERRIDE=FQ","FILING_STATUS=MR","Sort=A","Dates=H","DateFormat=P","Fill=—","Direction=H","UseDPDF=Y")</f>
        <v>194.21</v>
      </c>
      <c r="I10" s="14">
        <f>_xll.BDH("AMGN US Equity","PX_LOW","FQ3 2020","FQ3 2020","Currency=USD","Period=FQ","BEST_FPERIOD_OVERRIDE=FQ","FILING_STATUS=MR","Sort=A","Dates=H","DateFormat=P","Fill=—","Direction=H","UseDPDF=Y")</f>
        <v>232.58</v>
      </c>
      <c r="J10" s="14">
        <f>_xll.BDH("AMGN US Equity","PX_LOW","FQ4 2020","FQ4 2020","Currency=USD","Period=FQ","BEST_FPERIOD_OVERRIDE=FQ","FILING_STATUS=MR","Sort=A","Dates=H","DateFormat=P","Fill=—","Direction=H","UseDPDF=Y")</f>
        <v>210.28</v>
      </c>
      <c r="K10" s="14">
        <f>_xll.BDH("AMGN US Equity","PX_LOW","FQ1 2021","FQ1 2021","Currency=USD","Period=FQ","BEST_FPERIOD_OVERRIDE=FQ","FILING_STATUS=MR","Sort=A","Dates=H","DateFormat=P","Fill=—","Direction=H","UseDPDF=Y")</f>
        <v>220.25299999999999</v>
      </c>
      <c r="L10" s="14">
        <f>_xll.BDH("AMGN US Equity","PX_LOW","FQ2 2021","FQ2 2021","Currency=USD","Period=FQ","BEST_FPERIOD_OVERRIDE=FQ","FILING_STATUS=MR","Sort=A","Dates=H","DateFormat=P","Fill=—","Direction=H","UseDPDF=Y")</f>
        <v>231.03</v>
      </c>
      <c r="M10" s="14">
        <f>_xll.BDH("AMGN US Equity","PX_LOW","FQ3 2021","FQ3 2021","Currency=USD","Period=FQ","BEST_FPERIOD_OVERRIDE=FQ","FILING_STATUS=MR","Sort=A","Dates=H","DateFormat=P","Fill=—","Direction=H","UseDPDF=Y")</f>
        <v>211.65</v>
      </c>
      <c r="N10" s="14">
        <f>_xll.BDH("AMGN US Equity","PX_LOW","FQ4 2021","FQ4 2021","Currency=USD","Period=FQ","BEST_FPERIOD_OVERRIDE=FQ","FILING_STATUS=MR","Sort=A","Dates=H","DateFormat=P","Fill=—","Direction=H","UseDPDF=Y")</f>
        <v>198.64</v>
      </c>
      <c r="O10" s="14">
        <f>_xll.BDH("AMGN US Equity","PX_LOW","FQ1 2022","FQ1 2022","Currency=USD","Period=FQ","BEST_FPERIOD_OVERRIDE=FQ","FILING_STATUS=MR","Sort=A","Dates=H","DateFormat=P","Fill=—","Direction=H","UseDPDF=Y")</f>
        <v>214.392</v>
      </c>
      <c r="P10" s="14">
        <f>_xll.BDH("AMGN US Equity","PX_LOW","FQ2 2022","FQ2 2022","Currency=USD","Period=FQ","BEST_FPERIOD_OVERRIDE=FQ","FILING_STATUS=MR","Sort=A","Dates=H","DateFormat=P","Fill=—","Direction=H","UseDPDF=Y")</f>
        <v>227.32</v>
      </c>
      <c r="Q10" s="14">
        <f>_xll.BDH("AMGN US Equity","PX_LOW","FQ3 2022","FQ3 2022","Currency=USD","Period=FQ","BEST_FPERIOD_OVERRIDE=FQ","FILING_STATUS=MR","Sort=A","Dates=H","DateFormat=P","Fill=—","Direction=H","UseDPDF=Y")</f>
        <v>223.3</v>
      </c>
      <c r="R10" s="14">
        <f>_xll.BDH("AMGN US Equity","PX_LOW","FQ4 2022","FQ4 2022","Currency=USD","Period=FQ","BEST_FPERIOD_OVERRIDE=FQ","FILING_STATUS=MR","Sort=A","Dates=H","DateFormat=P","Fill=—","Direction=H","UseDPDF=Y")</f>
        <v>226.42</v>
      </c>
      <c r="S10" s="14">
        <f>_xll.BDH("AMGN US Equity","PX_LOW","FQ1 2023","FQ1 2023","Currency=USD","Period=FQ","BEST_FPERIOD_OVERRIDE=FQ","FILING_STATUS=MR","Sort=A","Dates=H","DateFormat=P","Fill=—","Direction=H","UseDPDF=Y")</f>
        <v>225.4</v>
      </c>
      <c r="T10" s="14">
        <f>_xll.BDH("AMGN US Equity","PX_LOW","FQ2 2023","FQ2 2023","Currency=USD","Period=FQ","BEST_FPERIOD_OVERRIDE=FQ","FILING_STATUS=MR","Sort=A","Dates=H","DateFormat=P","Fill=—","Direction=H","UseDPDF=Y")</f>
        <v>211.71</v>
      </c>
      <c r="U10" s="14">
        <f>_xll.BDH("AMGN US Equity","PX_LOW","FQ3 2023","FQ3 2023","Currency=USD","Period=FQ","BEST_FPERIOD_OVERRIDE=FQ","FILING_STATUS=MR","Sort=A","Dates=H","DateFormat=P","Fill=—","Direction=H","UseDPDF=Y")</f>
        <v>218.44</v>
      </c>
      <c r="V10" s="14">
        <f>_xll.BDH("AMGN US Equity","PX_LOW","FQ4 2023","FQ4 2023","Currency=USD","Period=FQ","BEST_FPERIOD_OVERRIDE=FQ","FILING_STATUS=MR","Sort=A","Dates=H","DateFormat=P","Fill=—","Direction=H","UseDPDF=Y")</f>
        <v>249.7</v>
      </c>
      <c r="W10" s="14">
        <f>_xll.BDH("AMGN US Equity","PX_LOW","FQ1 2024","FQ1 2024","Currency=USD","Period=FQ","BEST_FPERIOD_OVERRIDE=FQ","FILING_STATUS=MR","Sort=A","Dates=H","DateFormat=P","Fill=—","Direction=H","UseDPDF=Y")</f>
        <v>268.17</v>
      </c>
      <c r="X10" s="14">
        <f>_xll.BDH("AMGN US Equity","PX_LOW","FQ2 2024","FQ2 2024","Currency=USD","Period=FQ","BEST_FPERIOD_OVERRIDE=FQ","FILING_STATUS=MR","Sort=A","Dates=H","DateFormat=P","Fill=—","Direction=H","UseDPDF=Y")</f>
        <v>260.68</v>
      </c>
      <c r="Y10" s="14">
        <f>_xll.BDH("AMGN US Equity","PX_LOW","FQ3 2024","FQ3 2024","Currency=USD","Period=FQ","BEST_FPERIOD_OVERRIDE=FQ","FILING_STATUS=MR","Sort=A","Dates=H","DateFormat=P","Fill=—","Direction=H","UseDPDF=Y")</f>
        <v>306.11</v>
      </c>
      <c r="Z10" s="14">
        <f>_xll.BDH("AMGN US Equity","PX_LOW","FQ4 2024","FQ4 2024","Currency=USD","Period=FQ","BEST_FPERIOD_OVERRIDE=FQ","FILING_STATUS=MR","Sort=A","Dates=H","DateFormat=P","Fill=—","Direction=H","UseDPDF=Y")</f>
        <v>253.3</v>
      </c>
      <c r="AA10" s="17">
        <v>304.71499633789102</v>
      </c>
    </row>
    <row r="11" spans="1:27" x14ac:dyDescent="0.25">
      <c r="A11" s="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21"/>
    </row>
    <row r="12" spans="1:27" x14ac:dyDescent="0.25">
      <c r="A12" s="6" t="s">
        <v>60</v>
      </c>
      <c r="B12" s="6" t="s">
        <v>61</v>
      </c>
      <c r="C12" s="19">
        <f>_xll.BDH("AMGN US Equity","HISTORICAL_MARKET_CAP","FQ1 2019","FQ1 2019","Currency=USD","Period=FQ","BEST_FPERIOD_OVERRIDE=FQ","FILING_STATUS=MR","SCALING_FORMAT=MLN","Sort=A","Dates=H","DateFormat=P","Fill=—","Direction=H","UseDPDF=Y")</f>
        <v>116723.712</v>
      </c>
      <c r="D12" s="19">
        <f>_xll.BDH("AMGN US Equity","HISTORICAL_MARKET_CAP","FQ2 2019","FQ2 2019","Currency=USD","Period=FQ","BEST_FPERIOD_OVERRIDE=FQ","FILING_STATUS=MR","SCALING_FORMAT=MLN","Sort=A","Dates=H","DateFormat=P","Fill=—","Direction=H","UseDPDF=Y")</f>
        <v>110954.988</v>
      </c>
      <c r="E12" s="19">
        <f>_xll.BDH("AMGN US Equity","HISTORICAL_MARKET_CAP","FQ3 2019","FQ3 2019","Currency=USD","Period=FQ","BEST_FPERIOD_OVERRIDE=FQ","FILING_STATUS=MR","SCALING_FORMAT=MLN","Sort=A","Dates=H","DateFormat=P","Fill=—","Direction=H","UseDPDF=Y")</f>
        <v>115370.662</v>
      </c>
      <c r="F12" s="19">
        <f>_xll.BDH("AMGN US Equity","HISTORICAL_MARKET_CAP","FQ4 2019","FQ4 2019","Currency=USD","Period=FQ","BEST_FPERIOD_OVERRIDE=FQ","FILING_STATUS=MR","SCALING_FORMAT=MLN","Sort=A","Dates=H","DateFormat=P","Fill=—","Direction=H","UseDPDF=Y")</f>
        <v>142568.79800000001</v>
      </c>
      <c r="G12" s="19">
        <f>_xll.BDH("AMGN US Equity","HISTORICAL_MARKET_CAP","FQ1 2020","FQ1 2020","Currency=USD","Period=FQ","BEST_FPERIOD_OVERRIDE=FQ","FILING_STATUS=MR","SCALING_FORMAT=MLN","Sort=A","Dates=H","DateFormat=P","Fill=—","Direction=H","UseDPDF=Y")</f>
        <v>119205.24</v>
      </c>
      <c r="H12" s="19">
        <f>_xll.BDH("AMGN US Equity","HISTORICAL_MARKET_CAP","FQ2 2020","FQ2 2020","Currency=USD","Period=FQ","BEST_FPERIOD_OVERRIDE=FQ","FILING_STATUS=MR","SCALING_FORMAT=MLN","Sort=A","Dates=H","DateFormat=P","Fill=—","Direction=H","UseDPDF=Y")</f>
        <v>138308.304</v>
      </c>
      <c r="I12" s="19">
        <f>_xll.BDH("AMGN US Equity","HISTORICAL_MARKET_CAP","FQ3 2020","FQ3 2020","Currency=USD","Period=FQ","BEST_FPERIOD_OVERRIDE=FQ","FILING_STATUS=MR","SCALING_FORMAT=MLN","Sort=A","Dates=H","DateFormat=P","Fill=—","Direction=H","UseDPDF=Y")</f>
        <v>148302.35999999999</v>
      </c>
      <c r="J12" s="19">
        <f>_xll.BDH("AMGN US Equity","HISTORICAL_MARKET_CAP","FQ4 2020","FQ4 2020","Currency=USD","Period=FQ","BEST_FPERIOD_OVERRIDE=FQ","FILING_STATUS=MR","SCALING_FORMAT=MLN","Sort=A","Dates=H","DateFormat=P","Fill=—","Direction=H","UseDPDF=Y")</f>
        <v>132962.736</v>
      </c>
      <c r="K12" s="19">
        <f>_xll.BDH("AMGN US Equity","HISTORICAL_MARKET_CAP","FQ1 2021","FQ1 2021","Currency=USD","Period=FQ","BEST_FPERIOD_OVERRIDE=FQ","FILING_STATUS=MR","SCALING_FORMAT=MLN","Sort=A","Dates=H","DateFormat=P","Fill=—","Direction=H","UseDPDF=Y")</f>
        <v>143140.39300000001</v>
      </c>
      <c r="L12" s="19">
        <f>_xll.BDH("AMGN US Equity","HISTORICAL_MARKET_CAP","FQ2 2021","FQ2 2021","Currency=USD","Period=FQ","BEST_FPERIOD_OVERRIDE=FQ","FILING_STATUS=MR","SCALING_FORMAT=MLN","Sort=A","Dates=H","DateFormat=P","Fill=—","Direction=H","UseDPDF=Y")</f>
        <v>138840</v>
      </c>
      <c r="M12" s="19">
        <f>_xll.BDH("AMGN US Equity","HISTORICAL_MARKET_CAP","FQ3 2021","FQ3 2021","Currency=USD","Period=FQ","BEST_FPERIOD_OVERRIDE=FQ","FILING_STATUS=MR","SCALING_FORMAT=MLN","Sort=A","Dates=H","DateFormat=P","Fill=—","Direction=H","UseDPDF=Y")</f>
        <v>120147.25</v>
      </c>
      <c r="N12" s="19">
        <f>_xll.BDH("AMGN US Equity","HISTORICAL_MARKET_CAP","FQ4 2021","FQ4 2021","Currency=USD","Period=FQ","BEST_FPERIOD_OVERRIDE=FQ","FILING_STATUS=MR","SCALING_FORMAT=MLN","Sort=A","Dates=H","DateFormat=P","Fill=—","Direction=H","UseDPDF=Y")</f>
        <v>120133.98</v>
      </c>
      <c r="O12" s="19">
        <f>_xll.BDH("AMGN US Equity","HISTORICAL_MARKET_CAP","FQ1 2022","FQ1 2022","Currency=USD","Period=FQ","BEST_FPERIOD_OVERRIDE=FQ","FILING_STATUS=MR","SCALING_FORMAT=MLN","Sort=A","Dates=H","DateFormat=P","Fill=—","Direction=H","UseDPDF=Y")</f>
        <v>129180.24400000001</v>
      </c>
      <c r="P12" s="19">
        <f>_xll.BDH("AMGN US Equity","HISTORICAL_MARKET_CAP","FQ2 2022","FQ2 2022","Currency=USD","Period=FQ","BEST_FPERIOD_OVERRIDE=FQ","FILING_STATUS=MR","SCALING_FORMAT=MLN","Sort=A","Dates=H","DateFormat=P","Fill=—","Direction=H","UseDPDF=Y")</f>
        <v>130141.17</v>
      </c>
      <c r="Q12" s="19">
        <f>_xll.BDH("AMGN US Equity","HISTORICAL_MARKET_CAP","FQ3 2022","FQ3 2022","Currency=USD","Period=FQ","BEST_FPERIOD_OVERRIDE=FQ","FILING_STATUS=MR","SCALING_FORMAT=MLN","Sort=A","Dates=H","DateFormat=P","Fill=—","Direction=H","UseDPDF=Y")</f>
        <v>120250.9</v>
      </c>
      <c r="R12" s="19">
        <f>_xll.BDH("AMGN US Equity","HISTORICAL_MARKET_CAP","FQ4 2022","FQ4 2022","Currency=USD","Period=FQ","BEST_FPERIOD_OVERRIDE=FQ","FILING_STATUS=MR","SCALING_FORMAT=MLN","Sort=A","Dates=H","DateFormat=P","Fill=—","Direction=H","UseDPDF=Y")</f>
        <v>140249.76</v>
      </c>
      <c r="S12" s="19">
        <f>_xll.BDH("AMGN US Equity","HISTORICAL_MARKET_CAP","FQ1 2023","FQ1 2023","Currency=USD","Period=FQ","BEST_FPERIOD_OVERRIDE=FQ","FILING_STATUS=MR","SCALING_FORMAT=MLN","Sort=A","Dates=H","DateFormat=P","Fill=—","Direction=H","UseDPDF=Y")</f>
        <v>129167.02499999999</v>
      </c>
      <c r="T12" s="19">
        <f>_xll.BDH("AMGN US Equity","HISTORICAL_MARKET_CAP","FQ2 2023","FQ2 2023","Currency=USD","Period=FQ","BEST_FPERIOD_OVERRIDE=FQ","FILING_STATUS=MR","SCALING_FORMAT=MLN","Sort=A","Dates=H","DateFormat=P","Fill=—","Direction=H","UseDPDF=Y")</f>
        <v>118758.49800000001</v>
      </c>
      <c r="U12" s="19">
        <f>_xll.BDH("AMGN US Equity","HISTORICAL_MARKET_CAP","FQ3 2023","FQ3 2023","Currency=USD","Period=FQ","BEST_FPERIOD_OVERRIDE=FQ","FILING_STATUS=MR","SCALING_FORMAT=MLN","Sort=A","Dates=H","DateFormat=P","Fill=—","Direction=H","UseDPDF=Y")</f>
        <v>143813.476</v>
      </c>
      <c r="V12" s="19">
        <f>_xll.BDH("AMGN US Equity","HISTORICAL_MARKET_CAP","FQ4 2023","FQ4 2023","Currency=USD","Period=FQ","BEST_FPERIOD_OVERRIDE=FQ","FILING_STATUS=MR","SCALING_FORMAT=MLN","Sort=A","Dates=H","DateFormat=P","Fill=—","Direction=H","UseDPDF=Y")</f>
        <v>154205.908</v>
      </c>
      <c r="W12" s="19">
        <f>_xll.BDH("AMGN US Equity","HISTORICAL_MARKET_CAP","FQ1 2024","FQ1 2024","Currency=USD","Period=FQ","BEST_FPERIOD_OVERRIDE=FQ","FILING_STATUS=MR","SCALING_FORMAT=MLN","Sort=A","Dates=H","DateFormat=P","Fill=—","Direction=H","UseDPDF=Y")</f>
        <v>152509.24799999999</v>
      </c>
      <c r="X12" s="19">
        <f>_xll.BDH("AMGN US Equity","HISTORICAL_MARKET_CAP","FQ2 2024","FQ2 2024","Currency=USD","Period=FQ","BEST_FPERIOD_OVERRIDE=FQ","FILING_STATUS=MR","SCALING_FORMAT=MLN","Sort=A","Dates=H","DateFormat=P","Fill=—","Direction=H","UseDPDF=Y")</f>
        <v>167848.14</v>
      </c>
      <c r="Y12" s="19">
        <f>_xll.BDH("AMGN US Equity","HISTORICAL_MARKET_CAP","FQ3 2024","FQ3 2024","Currency=USD","Period=FQ","BEST_FPERIOD_OVERRIDE=FQ","FILING_STATUS=MR","SCALING_FORMAT=MLN","Sort=A","Dates=H","DateFormat=P","Fill=—","Direction=H","UseDPDF=Y")</f>
        <v>173187.875</v>
      </c>
      <c r="Z12" s="19">
        <f>_xll.BDH("AMGN US Equity","HISTORICAL_MARKET_CAP","FQ4 2024","FQ4 2024","Currency=USD","Period=FQ","BEST_FPERIOD_OVERRIDE=FQ","FILING_STATUS=MR","SCALING_FORMAT=MLN","Sort=A","Dates=H","DateFormat=P","Fill=—","Direction=H","UseDPDF=Y")</f>
        <v>139937.61600000001</v>
      </c>
      <c r="AA12" s="22">
        <v>165254.98456566001</v>
      </c>
    </row>
    <row r="13" spans="1:27" x14ac:dyDescent="0.25">
      <c r="A13" s="10" t="s">
        <v>286</v>
      </c>
      <c r="B13" s="10" t="s">
        <v>287</v>
      </c>
      <c r="C13" s="14">
        <f>_xll.BDH("AMGN US Equity","EQY_SH_OUT","FQ1 2019","FQ1 2019","Currency=USD","Period=FQ","BEST_FPERIOD_OVERRIDE=FQ","FILING_STATUS=MR","Sort=A","Dates=H","DateFormat=P","Fill=—","Direction=H","UseDPDF=Y")</f>
        <v>622.27802999999994</v>
      </c>
      <c r="D13" s="14">
        <f>_xll.BDH("AMGN US Equity","EQY_SH_OUT","FQ2 2019","FQ2 2019","Currency=USD","Period=FQ","BEST_FPERIOD_OVERRIDE=FQ","FILING_STATUS=MR","Sort=A","Dates=H","DateFormat=P","Fill=—","Direction=H","UseDPDF=Y")</f>
        <v>609.93568000000005</v>
      </c>
      <c r="E13" s="14">
        <f>_xll.BDH("AMGN US Equity","EQY_SH_OUT","FQ3 2019","FQ3 2019","Currency=USD","Period=FQ","BEST_FPERIOD_OVERRIDE=FQ","FILING_STATUS=MR","Sort=A","Dates=H","DateFormat=P","Fill=—","Direction=H","UseDPDF=Y")</f>
        <v>599.70122000000003</v>
      </c>
      <c r="F13" s="14">
        <f>_xll.BDH("AMGN US Equity","EQY_SH_OUT","FQ4 2019","FQ4 2019","Currency=USD","Period=FQ","BEST_FPERIOD_OVERRIDE=FQ","FILING_STATUS=MR","Sort=A","Dates=H","DateFormat=P","Fill=—","Direction=H","UseDPDF=Y")</f>
        <v>594.18353999999999</v>
      </c>
      <c r="G13" s="14">
        <f>_xll.BDH("AMGN US Equity","EQY_SH_OUT","FQ1 2020","FQ1 2020","Currency=USD","Period=FQ","BEST_FPERIOD_OVERRIDE=FQ","FILING_STATUS=MR","Sort=A","Dates=H","DateFormat=P","Fill=—","Direction=H","UseDPDF=Y")</f>
        <v>589.80682000000002</v>
      </c>
      <c r="H13" s="14">
        <f>_xll.BDH("AMGN US Equity","EQY_SH_OUT","FQ2 2020","FQ2 2020","Currency=USD","Period=FQ","BEST_FPERIOD_OVERRIDE=FQ","FILING_STATUS=MR","Sort=A","Dates=H","DateFormat=P","Fill=—","Direction=H","UseDPDF=Y")</f>
        <v>588.24739999999997</v>
      </c>
      <c r="I13" s="14">
        <f>_xll.BDH("AMGN US Equity","EQY_SH_OUT","FQ3 2020","FQ3 2020","Currency=USD","Period=FQ","BEST_FPERIOD_OVERRIDE=FQ","FILING_STATUS=MR","Sort=A","Dates=H","DateFormat=P","Fill=—","Direction=H","UseDPDF=Y")</f>
        <v>585.69376999999997</v>
      </c>
      <c r="J13" s="14">
        <f>_xll.BDH("AMGN US Equity","EQY_SH_OUT","FQ4 2020","FQ4 2020","Currency=USD","Period=FQ","BEST_FPERIOD_OVERRIDE=FQ","FILING_STATUS=MR","Sort=A","Dates=H","DateFormat=P","Fill=—","Direction=H","UseDPDF=Y")</f>
        <v>582.16860999999994</v>
      </c>
      <c r="K13" s="14">
        <f>_xll.BDH("AMGN US Equity","EQY_SH_OUT","FQ1 2021","FQ1 2021","Currency=USD","Period=FQ","BEST_FPERIOD_OVERRIDE=FQ","FILING_STATUS=MR","Sort=A","Dates=H","DateFormat=P","Fill=—","Direction=H","UseDPDF=Y")</f>
        <v>577.56637999999998</v>
      </c>
      <c r="L13" s="14">
        <f>_xll.BDH("AMGN US Equity","EQY_SH_OUT","FQ2 2021","FQ2 2021","Currency=USD","Period=FQ","BEST_FPERIOD_OVERRIDE=FQ","FILING_STATUS=MR","Sort=A","Dates=H","DateFormat=P","Fill=—","Direction=H","UseDPDF=Y")</f>
        <v>574.55399</v>
      </c>
      <c r="M13" s="14">
        <f>_xll.BDH("AMGN US Equity","EQY_SH_OUT","FQ3 2021","FQ3 2021","Currency=USD","Period=FQ","BEST_FPERIOD_OVERRIDE=FQ","FILING_STATUS=MR","Sort=A","Dates=H","DateFormat=P","Fill=—","Direction=H","UseDPDF=Y")</f>
        <v>567.85235</v>
      </c>
      <c r="N13" s="14">
        <f>_xll.BDH("AMGN US Equity","EQY_SH_OUT","FQ4 2021","FQ4 2021","Currency=USD","Period=FQ","BEST_FPERIOD_OVERRIDE=FQ","FILING_STATUS=MR","Sort=A","Dates=H","DateFormat=P","Fill=—","Direction=H","UseDPDF=Y")</f>
        <v>563.26589999999999</v>
      </c>
      <c r="O13" s="14">
        <f>_xll.BDH("AMGN US Equity","EQY_SH_OUT","FQ1 2022","FQ1 2022","Currency=USD","Period=FQ","BEST_FPERIOD_OVERRIDE=FQ","FILING_STATUS=MR","Sort=A","Dates=H","DateFormat=P","Fill=—","Direction=H","UseDPDF=Y")</f>
        <v>557.02936999999997</v>
      </c>
      <c r="P13" s="14">
        <f>_xll.BDH("AMGN US Equity","EQY_SH_OUT","FQ2 2022","FQ2 2022","Currency=USD","Period=FQ","BEST_FPERIOD_OVERRIDE=FQ","FILING_STATUS=MR","Sort=A","Dates=H","DateFormat=P","Fill=—","Direction=H","UseDPDF=Y")</f>
        <v>534.19992999999999</v>
      </c>
      <c r="Q13" s="14">
        <f>_xll.BDH("AMGN US Equity","EQY_SH_OUT","FQ3 2022","FQ3 2022","Currency=USD","Period=FQ","BEST_FPERIOD_OVERRIDE=FQ","FILING_STATUS=MR","Sort=A","Dates=H","DateFormat=P","Fill=—","Direction=H","UseDPDF=Y")</f>
        <v>534.93084999999996</v>
      </c>
      <c r="R13" s="14">
        <f>_xll.BDH("AMGN US Equity","EQY_SH_OUT","FQ4 2022","FQ4 2022","Currency=USD","Period=FQ","BEST_FPERIOD_OVERRIDE=FQ","FILING_STATUS=MR","Sort=A","Dates=H","DateFormat=P","Fill=—","Direction=H","UseDPDF=Y")</f>
        <v>533.57920999999999</v>
      </c>
      <c r="S13" s="14">
        <f>_xll.BDH("AMGN US Equity","EQY_SH_OUT","FQ1 2023","FQ1 2023","Currency=USD","Period=FQ","BEST_FPERIOD_OVERRIDE=FQ","FILING_STATUS=MR","Sort=A","Dates=H","DateFormat=P","Fill=—","Direction=H","UseDPDF=Y")</f>
        <v>533.97623999999996</v>
      </c>
      <c r="T13" s="14">
        <f>_xll.BDH("AMGN US Equity","EQY_SH_OUT","FQ2 2023","FQ2 2023","Currency=USD","Period=FQ","BEST_FPERIOD_OVERRIDE=FQ","FILING_STATUS=MR","Sort=A","Dates=H","DateFormat=P","Fill=—","Direction=H","UseDPDF=Y")</f>
        <v>534.32659000000001</v>
      </c>
      <c r="U13" s="14">
        <f>_xll.BDH("AMGN US Equity","EQY_SH_OUT","FQ3 2023","FQ3 2023","Currency=USD","Period=FQ","BEST_FPERIOD_OVERRIDE=FQ","FILING_STATUS=MR","Sort=A","Dates=H","DateFormat=P","Fill=—","Direction=H","UseDPDF=Y")</f>
        <v>534.90117999999995</v>
      </c>
      <c r="V13" s="14">
        <f>_xll.BDH("AMGN US Equity","EQY_SH_OUT","FQ4 2023","FQ4 2023","Currency=USD","Period=FQ","BEST_FPERIOD_OVERRIDE=FQ","FILING_STATUS=MR","Sort=A","Dates=H","DateFormat=P","Fill=—","Direction=H","UseDPDF=Y")</f>
        <v>535.17803000000004</v>
      </c>
      <c r="W13" s="14">
        <f>_xll.BDH("AMGN US Equity","EQY_SH_OUT","FQ1 2024","FQ1 2024","Currency=USD","Period=FQ","BEST_FPERIOD_OVERRIDE=FQ","FILING_STATUS=MR","Sort=A","Dates=H","DateFormat=P","Fill=—","Direction=H","UseDPDF=Y")</f>
        <v>535.91890000000001</v>
      </c>
      <c r="X13" s="14">
        <f>_xll.BDH("AMGN US Equity","EQY_SH_OUT","FQ2 2024","FQ2 2024","Currency=USD","Period=FQ","BEST_FPERIOD_OVERRIDE=FQ","FILING_STATUS=MR","Sort=A","Dates=H","DateFormat=P","Fill=—","Direction=H","UseDPDF=Y")</f>
        <v>536.43469000000005</v>
      </c>
      <c r="Y13" s="14">
        <f>_xll.BDH("AMGN US Equity","EQY_SH_OUT","FQ3 2024","FQ3 2024","Currency=USD","Period=FQ","BEST_FPERIOD_OVERRIDE=FQ","FILING_STATUS=MR","Sort=A","Dates=H","DateFormat=P","Fill=—","Direction=H","UseDPDF=Y")</f>
        <v>537.32921999999996</v>
      </c>
      <c r="Z13" s="14">
        <f>_xll.BDH("AMGN US Equity","EQY_SH_OUT","FQ4 2024","FQ4 2024","Currency=USD","Period=FQ","BEST_FPERIOD_OVERRIDE=FQ","FILING_STATUS=MR","Sort=A","Dates=H","DateFormat=P","Fill=—","Direction=H","UseDPDF=Y")</f>
        <v>537.53272000000004</v>
      </c>
      <c r="AA13" s="17">
        <v>537.20489999999995</v>
      </c>
    </row>
    <row r="14" spans="1:27" x14ac:dyDescent="0.25">
      <c r="A14" s="10" t="s">
        <v>288</v>
      </c>
      <c r="B14" s="10" t="s">
        <v>289</v>
      </c>
      <c r="C14" s="14">
        <f>_xll.BDH("AMGN US Equity","EQY_FLOAT","FQ1 2019","FQ1 2019","Currency=USD","Period=FQ","BEST_FPERIOD_OVERRIDE=FQ","FILING_STATUS=MR","Sort=A","Dates=H","DateFormat=P","Fill=—","Direction=H","UseDPDF=Y")</f>
        <v>620.90499999999997</v>
      </c>
      <c r="D14" s="14">
        <f>_xll.BDH("AMGN US Equity","EQY_FLOAT","FQ2 2019","FQ2 2019","Currency=USD","Period=FQ","BEST_FPERIOD_OVERRIDE=FQ","FILING_STATUS=MR","Sort=A","Dates=H","DateFormat=P","Fill=—","Direction=H","UseDPDF=Y")</f>
        <v>608.46699999999998</v>
      </c>
      <c r="E14" s="14">
        <f>_xll.BDH("AMGN US Equity","EQY_FLOAT","FQ3 2019","FQ3 2019","Currency=USD","Period=FQ","BEST_FPERIOD_OVERRIDE=FQ","FILING_STATUS=MR","Sort=A","Dates=H","DateFormat=P","Fill=—","Direction=H","UseDPDF=Y")</f>
        <v>598.404</v>
      </c>
      <c r="F14" s="14">
        <f>_xll.BDH("AMGN US Equity","EQY_FLOAT","FQ4 2019","FQ4 2019","Currency=USD","Period=FQ","BEST_FPERIOD_OVERRIDE=FQ","FILING_STATUS=MR","Sort=A","Dates=H","DateFormat=P","Fill=—","Direction=H","UseDPDF=Y")</f>
        <v>592.89099999999996</v>
      </c>
      <c r="G14" s="14">
        <f>_xll.BDH("AMGN US Equity","EQY_FLOAT","FQ1 2020","FQ1 2020","Currency=USD","Period=FQ","BEST_FPERIOD_OVERRIDE=FQ","FILING_STATUS=MR","Sort=A","Dates=H","DateFormat=P","Fill=—","Direction=H","UseDPDF=Y")</f>
        <v>588.45100000000002</v>
      </c>
      <c r="H14" s="14">
        <f>_xll.BDH("AMGN US Equity","EQY_FLOAT","FQ2 2020","FQ2 2020","Currency=USD","Period=FQ","BEST_FPERIOD_OVERRIDE=FQ","FILING_STATUS=MR","Sort=A","Dates=H","DateFormat=P","Fill=—","Direction=H","UseDPDF=Y")</f>
        <v>586.81799999999998</v>
      </c>
      <c r="I14" s="14">
        <f>_xll.BDH("AMGN US Equity","EQY_FLOAT","FQ3 2020","FQ3 2020","Currency=USD","Period=FQ","BEST_FPERIOD_OVERRIDE=FQ","FILING_STATUS=MR","Sort=A","Dates=H","DateFormat=P","Fill=—","Direction=H","UseDPDF=Y")</f>
        <v>584.63499999999999</v>
      </c>
      <c r="J14" s="14">
        <f>_xll.BDH("AMGN US Equity","EQY_FLOAT","FQ4 2020","FQ4 2020","Currency=USD","Period=FQ","BEST_FPERIOD_OVERRIDE=FQ","FILING_STATUS=MR","Sort=A","Dates=H","DateFormat=P","Fill=—","Direction=H","UseDPDF=Y")</f>
        <v>581.11599999999999</v>
      </c>
      <c r="K14" s="14">
        <f>_xll.BDH("AMGN US Equity","EQY_FLOAT","FQ1 2021","FQ1 2021","Currency=USD","Period=FQ","BEST_FPERIOD_OVERRIDE=FQ","FILING_STATUS=MR","Sort=A","Dates=H","DateFormat=P","Fill=—","Direction=H","UseDPDF=Y")</f>
        <v>576.45100000000002</v>
      </c>
      <c r="L14" s="14">
        <f>_xll.BDH("AMGN US Equity","EQY_FLOAT","FQ2 2021","FQ2 2021","Currency=USD","Period=FQ","BEST_FPERIOD_OVERRIDE=FQ","FILING_STATUS=MR","Sort=A","Dates=H","DateFormat=P","Fill=—","Direction=H","UseDPDF=Y")</f>
        <v>573.40800000000002</v>
      </c>
      <c r="M14" s="14">
        <f>_xll.BDH("AMGN US Equity","EQY_FLOAT","FQ3 2021","FQ3 2021","Currency=USD","Period=FQ","BEST_FPERIOD_OVERRIDE=FQ","FILING_STATUS=MR","Sort=A","Dates=H","DateFormat=P","Fill=—","Direction=H","UseDPDF=Y")</f>
        <v>566.70100000000002</v>
      </c>
      <c r="N14" s="14">
        <f>_xll.BDH("AMGN US Equity","EQY_FLOAT","FQ4 2021","FQ4 2021","Currency=USD","Period=FQ","BEST_FPERIOD_OVERRIDE=FQ","FILING_STATUS=MR","Sort=A","Dates=H","DateFormat=P","Fill=—","Direction=H","UseDPDF=Y")</f>
        <v>562.12199999999996</v>
      </c>
      <c r="O14" s="14">
        <f>_xll.BDH("AMGN US Equity","EQY_FLOAT","FQ1 2022","FQ1 2022","Currency=USD","Period=FQ","BEST_FPERIOD_OVERRIDE=FQ","FILING_STATUS=MR","Sort=A","Dates=H","DateFormat=P","Fill=—","Direction=H","UseDPDF=Y")</f>
        <v>555.83500000000004</v>
      </c>
      <c r="P14" s="14">
        <f>_xll.BDH("AMGN US Equity","EQY_FLOAT","FQ2 2022","FQ2 2022","Currency=USD","Period=FQ","BEST_FPERIOD_OVERRIDE=FQ","FILING_STATUS=MR","Sort=A","Dates=H","DateFormat=P","Fill=—","Direction=H","UseDPDF=Y")</f>
        <v>533.12599999999998</v>
      </c>
      <c r="Q14" s="14">
        <f>_xll.BDH("AMGN US Equity","EQY_FLOAT","FQ3 2022","FQ3 2022","Currency=USD","Period=FQ","BEST_FPERIOD_OVERRIDE=FQ","FILING_STATUS=MR","Sort=A","Dates=H","DateFormat=P","Fill=—","Direction=H","UseDPDF=Y")</f>
        <v>533.86900000000003</v>
      </c>
      <c r="R14" s="14">
        <f>_xll.BDH("AMGN US Equity","EQY_FLOAT","FQ4 2022","FQ4 2022","Currency=USD","Period=FQ","BEST_FPERIOD_OVERRIDE=FQ","FILING_STATUS=MR","Sort=A","Dates=H","DateFormat=P","Fill=—","Direction=H","UseDPDF=Y")</f>
        <v>532.524</v>
      </c>
      <c r="S14" s="14">
        <f>_xll.BDH("AMGN US Equity","EQY_FLOAT","FQ1 2023","FQ1 2023","Currency=USD","Period=FQ","BEST_FPERIOD_OVERRIDE=FQ","FILING_STATUS=MR","Sort=A","Dates=H","DateFormat=P","Fill=—","Direction=H","UseDPDF=Y")</f>
        <v>532.88199999999995</v>
      </c>
      <c r="T14" s="14">
        <f>_xll.BDH("AMGN US Equity","EQY_FLOAT","FQ2 2023","FQ2 2023","Currency=USD","Period=FQ","BEST_FPERIOD_OVERRIDE=FQ","FILING_STATUS=MR","Sort=A","Dates=H","DateFormat=P","Fill=—","Direction=H","UseDPDF=Y")</f>
        <v>533.245</v>
      </c>
      <c r="U14" s="14">
        <f>_xll.BDH("AMGN US Equity","EQY_FLOAT","FQ3 2023","FQ3 2023","Currency=USD","Period=FQ","BEST_FPERIOD_OVERRIDE=FQ","FILING_STATUS=MR","Sort=A","Dates=H","DateFormat=P","Fill=—","Direction=H","UseDPDF=Y")</f>
        <v>533.86599999999999</v>
      </c>
      <c r="V14" s="14">
        <f>_xll.BDH("AMGN US Equity","EQY_FLOAT","FQ4 2023","FQ4 2023","Currency=USD","Period=FQ","BEST_FPERIOD_OVERRIDE=FQ","FILING_STATUS=MR","Sort=A","Dates=H","DateFormat=P","Fill=—","Direction=H","UseDPDF=Y")</f>
        <v>534.16</v>
      </c>
      <c r="W14" s="14">
        <f>_xll.BDH("AMGN US Equity","EQY_FLOAT","FQ1 2024","FQ1 2024","Currency=USD","Period=FQ","BEST_FPERIOD_OVERRIDE=FQ","FILING_STATUS=MR","Sort=A","Dates=H","DateFormat=P","Fill=—","Direction=H","UseDPDF=Y")</f>
        <v>534.81899999999996</v>
      </c>
      <c r="X14" s="14">
        <f>_xll.BDH("AMGN US Equity","EQY_FLOAT","FQ2 2024","FQ2 2024","Currency=USD","Period=FQ","BEST_FPERIOD_OVERRIDE=FQ","FILING_STATUS=MR","Sort=A","Dates=H","DateFormat=P","Fill=—","Direction=H","UseDPDF=Y")</f>
        <v>535.31200000000001</v>
      </c>
      <c r="Y14" s="14">
        <f>_xll.BDH("AMGN US Equity","EQY_FLOAT","FQ3 2024","FQ3 2024","Currency=USD","Period=FQ","BEST_FPERIOD_OVERRIDE=FQ","FILING_STATUS=MR","Sort=A","Dates=H","DateFormat=P","Fill=—","Direction=H","UseDPDF=Y")</f>
        <v>536.20799999999997</v>
      </c>
      <c r="Z14" s="14">
        <f>_xll.BDH("AMGN US Equity","EQY_FLOAT","FQ4 2024","FQ4 2024","Currency=USD","Period=FQ","BEST_FPERIOD_OVERRIDE=FQ","FILING_STATUS=MR","Sort=A","Dates=H","DateFormat=P","Fill=—","Direction=H","UseDPDF=Y")</f>
        <v>536.38199999999995</v>
      </c>
      <c r="AA14" s="17">
        <v>536.00329999999997</v>
      </c>
    </row>
    <row r="15" spans="1:27" x14ac:dyDescent="0.25">
      <c r="A15" s="7" t="s">
        <v>90</v>
      </c>
      <c r="B15" s="7"/>
      <c r="C15" s="7" t="s">
        <v>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5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290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4" t="s">
        <v>19</v>
      </c>
      <c r="M4" s="4" t="s">
        <v>20</v>
      </c>
      <c r="N4" s="4" t="s">
        <v>21</v>
      </c>
      <c r="O4" s="4" t="s">
        <v>22</v>
      </c>
      <c r="P4" s="4" t="s">
        <v>23</v>
      </c>
      <c r="Q4" s="4" t="s">
        <v>24</v>
      </c>
      <c r="R4" s="4" t="s">
        <v>25</v>
      </c>
      <c r="S4" s="4" t="s">
        <v>26</v>
      </c>
      <c r="T4" s="4" t="s">
        <v>27</v>
      </c>
      <c r="U4" s="4" t="s">
        <v>28</v>
      </c>
      <c r="V4" s="4" t="s">
        <v>29</v>
      </c>
      <c r="W4" s="4" t="s">
        <v>30</v>
      </c>
      <c r="X4" s="4" t="s">
        <v>31</v>
      </c>
      <c r="Y4" s="4" t="s">
        <v>164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36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41</v>
      </c>
      <c r="I5" s="5" t="s">
        <v>42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5" t="s">
        <v>48</v>
      </c>
      <c r="P5" s="5" t="s">
        <v>49</v>
      </c>
      <c r="Q5" s="5" t="s">
        <v>50</v>
      </c>
      <c r="R5" s="5" t="s">
        <v>51</v>
      </c>
      <c r="S5" s="5" t="s">
        <v>52</v>
      </c>
      <c r="T5" s="5" t="s">
        <v>53</v>
      </c>
      <c r="U5" s="5" t="s">
        <v>54</v>
      </c>
      <c r="V5" s="5" t="s">
        <v>55</v>
      </c>
      <c r="W5" s="5" t="s">
        <v>56</v>
      </c>
      <c r="X5" s="5" t="s">
        <v>57</v>
      </c>
      <c r="Y5" s="5" t="s">
        <v>165</v>
      </c>
      <c r="Z5" s="5" t="s">
        <v>58</v>
      </c>
      <c r="AA5" s="5" t="s">
        <v>59</v>
      </c>
    </row>
    <row r="6" spans="1:27" x14ac:dyDescent="0.25">
      <c r="A6" s="10" t="s">
        <v>60</v>
      </c>
      <c r="B6" s="10" t="s">
        <v>61</v>
      </c>
      <c r="C6" s="13">
        <f>_xll.BDH("AMGN US Equity","HISTORICAL_MARKET_CAP","FQ3 2019","FQ3 2019","Currency=USD","Period=FQ","BEST_FPERIOD_OVERRIDE=FQ","FILING_STATUS=MR","SCALING_FORMAT=MLN","Sort=A","Dates=H","DateFormat=P","Fill=—","Direction=H","UseDPDF=Y")</f>
        <v>115370.662</v>
      </c>
      <c r="D6" s="13">
        <f>_xll.BDH("AMGN US Equity","HISTORICAL_MARKET_CAP","FQ4 2019","FQ4 2019","Currency=USD","Period=FQ","BEST_FPERIOD_OVERRIDE=FQ","FILING_STATUS=MR","SCALING_FORMAT=MLN","Sort=A","Dates=H","DateFormat=P","Fill=—","Direction=H","UseDPDF=Y")</f>
        <v>142568.79800000001</v>
      </c>
      <c r="E6" s="13">
        <f>_xll.BDH("AMGN US Equity","HISTORICAL_MARKET_CAP","FQ1 2020","FQ1 2020","Currency=USD","Period=FQ","BEST_FPERIOD_OVERRIDE=FQ","FILING_STATUS=MR","SCALING_FORMAT=MLN","Sort=A","Dates=H","DateFormat=P","Fill=—","Direction=H","UseDPDF=Y")</f>
        <v>119205.24</v>
      </c>
      <c r="F6" s="13">
        <f>_xll.BDH("AMGN US Equity","HISTORICAL_MARKET_CAP","FQ2 2020","FQ2 2020","Currency=USD","Period=FQ","BEST_FPERIOD_OVERRIDE=FQ","FILING_STATUS=MR","SCALING_FORMAT=MLN","Sort=A","Dates=H","DateFormat=P","Fill=—","Direction=H","UseDPDF=Y")</f>
        <v>138308.304</v>
      </c>
      <c r="G6" s="13">
        <f>_xll.BDH("AMGN US Equity","HISTORICAL_MARKET_CAP","FQ3 2020","FQ3 2020","Currency=USD","Period=FQ","BEST_FPERIOD_OVERRIDE=FQ","FILING_STATUS=MR","SCALING_FORMAT=MLN","Sort=A","Dates=H","DateFormat=P","Fill=—","Direction=H","UseDPDF=Y")</f>
        <v>148302.35999999999</v>
      </c>
      <c r="H6" s="13">
        <f>_xll.BDH("AMGN US Equity","HISTORICAL_MARKET_CAP","FQ4 2020","FQ4 2020","Currency=USD","Period=FQ","BEST_FPERIOD_OVERRIDE=FQ","FILING_STATUS=MR","SCALING_FORMAT=MLN","Sort=A","Dates=H","DateFormat=P","Fill=—","Direction=H","UseDPDF=Y")</f>
        <v>132962.736</v>
      </c>
      <c r="I6" s="13">
        <f>_xll.BDH("AMGN US Equity","HISTORICAL_MARKET_CAP","FQ1 2021","FQ1 2021","Currency=USD","Period=FQ","BEST_FPERIOD_OVERRIDE=FQ","FILING_STATUS=MR","SCALING_FORMAT=MLN","Sort=A","Dates=H","DateFormat=P","Fill=—","Direction=H","UseDPDF=Y")</f>
        <v>143140.39300000001</v>
      </c>
      <c r="J6" s="13">
        <f>_xll.BDH("AMGN US Equity","HISTORICAL_MARKET_CAP","FQ2 2021","FQ2 2021","Currency=USD","Period=FQ","BEST_FPERIOD_OVERRIDE=FQ","FILING_STATUS=MR","SCALING_FORMAT=MLN","Sort=A","Dates=H","DateFormat=P","Fill=—","Direction=H","UseDPDF=Y")</f>
        <v>138840</v>
      </c>
      <c r="K6" s="13">
        <f>_xll.BDH("AMGN US Equity","HISTORICAL_MARKET_CAP","FQ3 2021","FQ3 2021","Currency=USD","Period=FQ","BEST_FPERIOD_OVERRIDE=FQ","FILING_STATUS=MR","SCALING_FORMAT=MLN","Sort=A","Dates=H","DateFormat=P","Fill=—","Direction=H","UseDPDF=Y")</f>
        <v>120147.25</v>
      </c>
      <c r="L6" s="13">
        <f>_xll.BDH("AMGN US Equity","HISTORICAL_MARKET_CAP","FQ4 2021","FQ4 2021","Currency=USD","Period=FQ","BEST_FPERIOD_OVERRIDE=FQ","FILING_STATUS=MR","SCALING_FORMAT=MLN","Sort=A","Dates=H","DateFormat=P","Fill=—","Direction=H","UseDPDF=Y")</f>
        <v>120133.98</v>
      </c>
      <c r="M6" s="13">
        <f>_xll.BDH("AMGN US Equity","HISTORICAL_MARKET_CAP","FQ1 2022","FQ1 2022","Currency=USD","Period=FQ","BEST_FPERIOD_OVERRIDE=FQ","FILING_STATUS=MR","SCALING_FORMAT=MLN","Sort=A","Dates=H","DateFormat=P","Fill=—","Direction=H","UseDPDF=Y")</f>
        <v>129180.24400000001</v>
      </c>
      <c r="N6" s="13">
        <f>_xll.BDH("AMGN US Equity","HISTORICAL_MARKET_CAP","FQ2 2022","FQ2 2022","Currency=USD","Period=FQ","BEST_FPERIOD_OVERRIDE=FQ","FILING_STATUS=MR","SCALING_FORMAT=MLN","Sort=A","Dates=H","DateFormat=P","Fill=—","Direction=H","UseDPDF=Y")</f>
        <v>130141.17</v>
      </c>
      <c r="O6" s="13">
        <f>_xll.BDH("AMGN US Equity","HISTORICAL_MARKET_CAP","FQ3 2022","FQ3 2022","Currency=USD","Period=FQ","BEST_FPERIOD_OVERRIDE=FQ","FILING_STATUS=MR","SCALING_FORMAT=MLN","Sort=A","Dates=H","DateFormat=P","Fill=—","Direction=H","UseDPDF=Y")</f>
        <v>120250.9</v>
      </c>
      <c r="P6" s="13">
        <f>_xll.BDH("AMGN US Equity","HISTORICAL_MARKET_CAP","FQ4 2022","FQ4 2022","Currency=USD","Period=FQ","BEST_FPERIOD_OVERRIDE=FQ","FILING_STATUS=MR","SCALING_FORMAT=MLN","Sort=A","Dates=H","DateFormat=P","Fill=—","Direction=H","UseDPDF=Y")</f>
        <v>140249.76</v>
      </c>
      <c r="Q6" s="13">
        <f>_xll.BDH("AMGN US Equity","HISTORICAL_MARKET_CAP","FQ1 2023","FQ1 2023","Currency=USD","Period=FQ","BEST_FPERIOD_OVERRIDE=FQ","FILING_STATUS=MR","SCALING_FORMAT=MLN","Sort=A","Dates=H","DateFormat=P","Fill=—","Direction=H","UseDPDF=Y")</f>
        <v>129167.02499999999</v>
      </c>
      <c r="R6" s="13">
        <f>_xll.BDH("AMGN US Equity","HISTORICAL_MARKET_CAP","FQ2 2023","FQ2 2023","Currency=USD","Period=FQ","BEST_FPERIOD_OVERRIDE=FQ","FILING_STATUS=MR","SCALING_FORMAT=MLN","Sort=A","Dates=H","DateFormat=P","Fill=—","Direction=H","UseDPDF=Y")</f>
        <v>118758.49800000001</v>
      </c>
      <c r="S6" s="13">
        <f>_xll.BDH("AMGN US Equity","HISTORICAL_MARKET_CAP","FQ3 2023","FQ3 2023","Currency=USD","Period=FQ","BEST_FPERIOD_OVERRIDE=FQ","FILING_STATUS=MR","SCALING_FORMAT=MLN","Sort=A","Dates=H","DateFormat=P","Fill=—","Direction=H","UseDPDF=Y")</f>
        <v>143813.476</v>
      </c>
      <c r="T6" s="13">
        <f>_xll.BDH("AMGN US Equity","HISTORICAL_MARKET_CAP","FQ4 2023","FQ4 2023","Currency=USD","Period=FQ","BEST_FPERIOD_OVERRIDE=FQ","FILING_STATUS=MR","SCALING_FORMAT=MLN","Sort=A","Dates=H","DateFormat=P","Fill=—","Direction=H","UseDPDF=Y")</f>
        <v>154205.908</v>
      </c>
      <c r="U6" s="13">
        <f>_xll.BDH("AMGN US Equity","HISTORICAL_MARKET_CAP","FQ1 2024","FQ1 2024","Currency=USD","Period=FQ","BEST_FPERIOD_OVERRIDE=FQ","FILING_STATUS=MR","SCALING_FORMAT=MLN","Sort=A","Dates=H","DateFormat=P","Fill=—","Direction=H","UseDPDF=Y")</f>
        <v>152509.24799999999</v>
      </c>
      <c r="V6" s="13">
        <f>_xll.BDH("AMGN US Equity","HISTORICAL_MARKET_CAP","FQ2 2024","FQ2 2024","Currency=USD","Period=FQ","BEST_FPERIOD_OVERRIDE=FQ","FILING_STATUS=MR","SCALING_FORMAT=MLN","Sort=A","Dates=H","DateFormat=P","Fill=—","Direction=H","UseDPDF=Y")</f>
        <v>167848.14</v>
      </c>
      <c r="W6" s="13">
        <f>_xll.BDH("AMGN US Equity","HISTORICAL_MARKET_CAP","FQ3 2024","FQ3 2024","Currency=USD","Period=FQ","BEST_FPERIOD_OVERRIDE=FQ","FILING_STATUS=MR","SCALING_FORMAT=MLN","Sort=A","Dates=H","DateFormat=P","Fill=—","Direction=H","UseDPDF=Y")</f>
        <v>173187.875</v>
      </c>
      <c r="X6" s="13">
        <f>_xll.BDH("AMGN US Equity","HISTORICAL_MARKET_CAP","FQ4 2024","FQ4 2024","Currency=USD","Period=FQ","BEST_FPERIOD_OVERRIDE=FQ","FILING_STATUS=MR","SCALING_FORMAT=MLN","Sort=A","Dates=H","DateFormat=P","Fill=—","Direction=H","UseDPDF=Y")</f>
        <v>139937.61600000001</v>
      </c>
      <c r="Y6" s="16">
        <v>165254.98456566001</v>
      </c>
      <c r="Z6" s="13"/>
      <c r="AA6" s="13"/>
    </row>
    <row r="7" spans="1:27" x14ac:dyDescent="0.25">
      <c r="A7" s="10" t="s">
        <v>166</v>
      </c>
      <c r="B7" s="10" t="s">
        <v>63</v>
      </c>
      <c r="C7" s="13">
        <f>_xll.BDH("AMGN US Equity","CASH_AND_MARKETABLE_SECURITIES","FQ3 2019","FQ3 2019","Currency=USD","Period=FQ","BEST_FPERIOD_OVERRIDE=FQ","FILING_STATUS=MR","SCALING_FORMAT=MLN","Sort=A","Dates=H","DateFormat=P","Fill=—","Direction=H","UseDPDF=Y")</f>
        <v>20853</v>
      </c>
      <c r="D7" s="13">
        <f>_xll.BDH("AMGN US Equity","CASH_AND_MARKETABLE_SECURITIES","FQ4 2019","FQ4 2019","Currency=USD","Period=FQ","BEST_FPERIOD_OVERRIDE=FQ","FILING_STATUS=MR","SCALING_FORMAT=MLN","Sort=A","Dates=H","DateFormat=P","Fill=—","Direction=H","UseDPDF=Y")</f>
        <v>8911</v>
      </c>
      <c r="E7" s="13">
        <f>_xll.BDH("AMGN US Equity","CASH_AND_MARKETABLE_SECURITIES","FQ1 2020","FQ1 2020","Currency=USD","Period=FQ","BEST_FPERIOD_OVERRIDE=FQ","FILING_STATUS=MR","SCALING_FORMAT=MLN","Sort=A","Dates=H","DateFormat=P","Fill=—","Direction=H","UseDPDF=Y")</f>
        <v>8012</v>
      </c>
      <c r="F7" s="13">
        <f>_xll.BDH("AMGN US Equity","CASH_AND_MARKETABLE_SECURITIES","FQ2 2020","FQ2 2020","Currency=USD","Period=FQ","BEST_FPERIOD_OVERRIDE=FQ","FILING_STATUS=MR","SCALING_FORMAT=MLN","Sort=A","Dates=H","DateFormat=P","Fill=—","Direction=H","UseDPDF=Y")</f>
        <v>11421</v>
      </c>
      <c r="G7" s="13">
        <f>_xll.BDH("AMGN US Equity","CASH_AND_MARKETABLE_SECURITIES","FQ3 2020","FQ3 2020","Currency=USD","Period=FQ","BEST_FPERIOD_OVERRIDE=FQ","FILING_STATUS=MR","SCALING_FORMAT=MLN","Sort=A","Dates=H","DateFormat=P","Fill=—","Direction=H","UseDPDF=Y")</f>
        <v>12360</v>
      </c>
      <c r="H7" s="13">
        <f>_xll.BDH("AMGN US Equity","CASH_AND_MARKETABLE_SECURITIES","FQ4 2020","FQ4 2020","Currency=USD","Period=FQ","BEST_FPERIOD_OVERRIDE=FQ","FILING_STATUS=MR","SCALING_FORMAT=MLN","Sort=A","Dates=H","DateFormat=P","Fill=—","Direction=H","UseDPDF=Y")</f>
        <v>10647</v>
      </c>
      <c r="I7" s="13">
        <f>_xll.BDH("AMGN US Equity","CASH_AND_MARKETABLE_SECURITIES","FQ1 2021","FQ1 2021","Currency=USD","Period=FQ","BEST_FPERIOD_OVERRIDE=FQ","FILING_STATUS=MR","SCALING_FORMAT=MLN","Sort=A","Dates=H","DateFormat=P","Fill=—","Direction=H","UseDPDF=Y")</f>
        <v>10566</v>
      </c>
      <c r="J7" s="13">
        <f>_xll.BDH("AMGN US Equity","CASH_AND_MARKETABLE_SECURITIES","FQ2 2021","FQ2 2021","Currency=USD","Period=FQ","BEST_FPERIOD_OVERRIDE=FQ","FILING_STATUS=MR","SCALING_FORMAT=MLN","Sort=A","Dates=H","DateFormat=P","Fill=—","Direction=H","UseDPDF=Y")</f>
        <v>8082</v>
      </c>
      <c r="K7" s="13">
        <f>_xll.BDH("AMGN US Equity","CASH_AND_MARKETABLE_SECURITIES","FQ3 2021","FQ3 2021","Currency=USD","Period=FQ","BEST_FPERIOD_OVERRIDE=FQ","FILING_STATUS=MR","SCALING_FORMAT=MLN","Sort=A","Dates=H","DateFormat=P","Fill=—","Direction=H","UseDPDF=Y")</f>
        <v>12921</v>
      </c>
      <c r="L7" s="13">
        <f>_xll.BDH("AMGN US Equity","CASH_AND_MARKETABLE_SECURITIES","FQ4 2021","FQ4 2021","Currency=USD","Period=FQ","BEST_FPERIOD_OVERRIDE=FQ","FILING_STATUS=MR","SCALING_FORMAT=MLN","Sort=A","Dates=H","DateFormat=P","Fill=—","Direction=H","UseDPDF=Y")</f>
        <v>8037</v>
      </c>
      <c r="M7" s="13">
        <f>_xll.BDH("AMGN US Equity","CASH_AND_MARKETABLE_SECURITIES","FQ1 2022","FQ1 2022","Currency=USD","Period=FQ","BEST_FPERIOD_OVERRIDE=FQ","FILING_STATUS=MR","SCALING_FORMAT=MLN","Sort=A","Dates=H","DateFormat=P","Fill=—","Direction=H","UseDPDF=Y")</f>
        <v>6544</v>
      </c>
      <c r="N7" s="13">
        <f>_xll.BDH("AMGN US Equity","CASH_AND_MARKETABLE_SECURITIES","FQ2 2022","FQ2 2022","Currency=USD","Period=FQ","BEST_FPERIOD_OVERRIDE=FQ","FILING_STATUS=MR","SCALING_FORMAT=MLN","Sort=A","Dates=H","DateFormat=P","Fill=—","Direction=H","UseDPDF=Y")</f>
        <v>7183</v>
      </c>
      <c r="O7" s="13">
        <f>_xll.BDH("AMGN US Equity","CASH_AND_MARKETABLE_SECURITIES","FQ3 2022","FQ3 2022","Currency=USD","Period=FQ","BEST_FPERIOD_OVERRIDE=FQ","FILING_STATUS=MR","SCALING_FORMAT=MLN","Sort=A","Dates=H","DateFormat=P","Fill=—","Direction=H","UseDPDF=Y")</f>
        <v>11478</v>
      </c>
      <c r="P7" s="13">
        <f>_xll.BDH("AMGN US Equity","CASH_AND_MARKETABLE_SECURITIES","FQ4 2022","FQ4 2022","Currency=USD","Period=FQ","BEST_FPERIOD_OVERRIDE=FQ","FILING_STATUS=MR","SCALING_FORMAT=MLN","Sort=A","Dates=H","DateFormat=P","Fill=—","Direction=H","UseDPDF=Y")</f>
        <v>9305</v>
      </c>
      <c r="Q7" s="13">
        <f>_xll.BDH("AMGN US Equity","CASH_AND_MARKETABLE_SECURITIES","FQ1 2023","FQ1 2023","Currency=USD","Period=FQ","BEST_FPERIOD_OVERRIDE=FQ","FILING_STATUS=MR","SCALING_FORMAT=MLN","Sort=A","Dates=H","DateFormat=P","Fill=—","Direction=H","UseDPDF=Y")</f>
        <v>31561</v>
      </c>
      <c r="R7" s="13">
        <f>_xll.BDH("AMGN US Equity","CASH_AND_MARKETABLE_SECURITIES","FQ2 2023","FQ2 2023","Currency=USD","Period=FQ","BEST_FPERIOD_OVERRIDE=FQ","FILING_STATUS=MR","SCALING_FORMAT=MLN","Sort=A","Dates=H","DateFormat=P","Fill=—","Direction=H","UseDPDF=Y")</f>
        <v>34248</v>
      </c>
      <c r="S7" s="13">
        <f>_xll.BDH("AMGN US Equity","CASH_AND_MARKETABLE_SECURITIES","FQ3 2023","FQ3 2023","Currency=USD","Period=FQ","BEST_FPERIOD_OVERRIDE=FQ","FILING_STATUS=MR","SCALING_FORMAT=MLN","Sort=A","Dates=H","DateFormat=P","Fill=—","Direction=H","UseDPDF=Y")</f>
        <v>34741</v>
      </c>
      <c r="T7" s="13">
        <f>_xll.BDH("AMGN US Equity","CASH_AND_MARKETABLE_SECURITIES","FQ4 2023","FQ4 2023","Currency=USD","Period=FQ","BEST_FPERIOD_OVERRIDE=FQ","FILING_STATUS=MR","SCALING_FORMAT=MLN","Sort=A","Dates=H","DateFormat=P","Fill=—","Direction=H","UseDPDF=Y")</f>
        <v>10944</v>
      </c>
      <c r="U7" s="13">
        <f>_xll.BDH("AMGN US Equity","CASH_AND_MARKETABLE_SECURITIES","FQ1 2024","FQ1 2024","Currency=USD","Period=FQ","BEST_FPERIOD_OVERRIDE=FQ","FILING_STATUS=MR","SCALING_FORMAT=MLN","Sort=A","Dates=H","DateFormat=P","Fill=—","Direction=H","UseDPDF=Y")</f>
        <v>9708</v>
      </c>
      <c r="V7" s="13">
        <f>_xll.BDH("AMGN US Equity","CASH_AND_MARKETABLE_SECURITIES","FQ2 2024","FQ2 2024","Currency=USD","Period=FQ","BEST_FPERIOD_OVERRIDE=FQ","FILING_STATUS=MR","SCALING_FORMAT=MLN","Sort=A","Dates=H","DateFormat=P","Fill=—","Direction=H","UseDPDF=Y")</f>
        <v>9301</v>
      </c>
      <c r="W7" s="13">
        <f>_xll.BDH("AMGN US Equity","CASH_AND_MARKETABLE_SECURITIES","FQ3 2024","FQ3 2024","Currency=USD","Period=FQ","BEST_FPERIOD_OVERRIDE=FQ","FILING_STATUS=MR","SCALING_FORMAT=MLN","Sort=A","Dates=H","DateFormat=P","Fill=—","Direction=H","UseDPDF=Y")</f>
        <v>9011</v>
      </c>
      <c r="X7" s="13">
        <f>_xll.BDH("AMGN US Equity","CASH_AND_MARKETABLE_SECURITIES","FQ4 2024","FQ4 2024","Currency=USD","Period=FQ","BEST_FPERIOD_OVERRIDE=FQ","FILING_STATUS=MR","SCALING_FORMAT=MLN","Sort=A","Dates=H","DateFormat=P","Fill=—","Direction=H","UseDPDF=Y")</f>
        <v>11973</v>
      </c>
      <c r="Y7" s="16">
        <v>11973</v>
      </c>
      <c r="Z7" s="13"/>
      <c r="AA7" s="13"/>
    </row>
    <row r="8" spans="1:27" x14ac:dyDescent="0.25">
      <c r="A8" s="10" t="s">
        <v>167</v>
      </c>
      <c r="B8" s="10" t="s">
        <v>168</v>
      </c>
      <c r="C8" s="13">
        <f>_xll.BDH("AMGN US Equity","PFD_EQTY_HYBRID_CAPITAL","FQ3 2019","FQ3 2019","Currency=USD","Period=FQ","BEST_FPERIOD_OVERRIDE=FQ","FILING_STATUS=MR","SCALING_FORMAT=MLN","Sort=A","Dates=H","DateFormat=P","Fill=—","Direction=H","UseDPDF=Y")</f>
        <v>0</v>
      </c>
      <c r="D8" s="13">
        <f>_xll.BDH("AMGN US Equity","PFD_EQTY_HYBRID_CAPITAL","FQ4 2019","FQ4 2019","Currency=USD","Period=FQ","BEST_FPERIOD_OVERRIDE=FQ","FILING_STATUS=MR","SCALING_FORMAT=MLN","Sort=A","Dates=H","DateFormat=P","Fill=—","Direction=H","UseDPDF=Y")</f>
        <v>0</v>
      </c>
      <c r="E8" s="13">
        <f>_xll.BDH("AMGN US Equity","PFD_EQTY_HYBRID_CAPITAL","FQ1 2020","FQ1 2020","Currency=USD","Period=FQ","BEST_FPERIOD_OVERRIDE=FQ","FILING_STATUS=MR","SCALING_FORMAT=MLN","Sort=A","Dates=H","DateFormat=P","Fill=—","Direction=H","UseDPDF=Y")</f>
        <v>0</v>
      </c>
      <c r="F8" s="13">
        <f>_xll.BDH("AMGN US Equity","PFD_EQTY_HYBRID_CAPITAL","FQ2 2020","FQ2 2020","Currency=USD","Period=FQ","BEST_FPERIOD_OVERRIDE=FQ","FILING_STATUS=MR","SCALING_FORMAT=MLN","Sort=A","Dates=H","DateFormat=P","Fill=—","Direction=H","UseDPDF=Y")</f>
        <v>0</v>
      </c>
      <c r="G8" s="13">
        <f>_xll.BDH("AMGN US Equity","PFD_EQTY_HYBRID_CAPITAL","FQ3 2020","FQ3 2020","Currency=USD","Period=FQ","BEST_FPERIOD_OVERRIDE=FQ","FILING_STATUS=MR","SCALING_FORMAT=MLN","Sort=A","Dates=H","DateFormat=P","Fill=—","Direction=H","UseDPDF=Y")</f>
        <v>0</v>
      </c>
      <c r="H8" s="13">
        <f>_xll.BDH("AMGN US Equity","PFD_EQTY_HYBRID_CAPITAL","FQ4 2020","FQ4 2020","Currency=USD","Period=FQ","BEST_FPERIOD_OVERRIDE=FQ","FILING_STATUS=MR","SCALING_FORMAT=MLN","Sort=A","Dates=H","DateFormat=P","Fill=—","Direction=H","UseDPDF=Y")</f>
        <v>0</v>
      </c>
      <c r="I8" s="13">
        <f>_xll.BDH("AMGN US Equity","PFD_EQTY_HYBRID_CAPITAL","FQ1 2021","FQ1 2021","Currency=USD","Period=FQ","BEST_FPERIOD_OVERRIDE=FQ","FILING_STATUS=MR","SCALING_FORMAT=MLN","Sort=A","Dates=H","DateFormat=P","Fill=—","Direction=H","UseDPDF=Y")</f>
        <v>0</v>
      </c>
      <c r="J8" s="13">
        <f>_xll.BDH("AMGN US Equity","PFD_EQTY_HYBRID_CAPITAL","FQ2 2021","FQ2 2021","Currency=USD","Period=FQ","BEST_FPERIOD_OVERRIDE=FQ","FILING_STATUS=MR","SCALING_FORMAT=MLN","Sort=A","Dates=H","DateFormat=P","Fill=—","Direction=H","UseDPDF=Y")</f>
        <v>0</v>
      </c>
      <c r="K8" s="13">
        <f>_xll.BDH("AMGN US Equity","PFD_EQTY_HYBRID_CAPITAL","FQ3 2021","FQ3 2021","Currency=USD","Period=FQ","BEST_FPERIOD_OVERRIDE=FQ","FILING_STATUS=MR","SCALING_FORMAT=MLN","Sort=A","Dates=H","DateFormat=P","Fill=—","Direction=H","UseDPDF=Y")</f>
        <v>0</v>
      </c>
      <c r="L8" s="13">
        <f>_xll.BDH("AMGN US Equity","PFD_EQTY_HYBRID_CAPITAL","FQ4 2021","FQ4 2021","Currency=USD","Period=FQ","BEST_FPERIOD_OVERRIDE=FQ","FILING_STATUS=MR","SCALING_FORMAT=MLN","Sort=A","Dates=H","DateFormat=P","Fill=—","Direction=H","UseDPDF=Y")</f>
        <v>0</v>
      </c>
      <c r="M8" s="13">
        <f>_xll.BDH("AMGN US Equity","PFD_EQTY_HYBRID_CAPITAL","FQ1 2022","FQ1 2022","Currency=USD","Period=FQ","BEST_FPERIOD_OVERRIDE=FQ","FILING_STATUS=MR","SCALING_FORMAT=MLN","Sort=A","Dates=H","DateFormat=P","Fill=—","Direction=H","UseDPDF=Y")</f>
        <v>0</v>
      </c>
      <c r="N8" s="13">
        <f>_xll.BDH("AMGN US Equity","PFD_EQTY_HYBRID_CAPITAL","FQ2 2022","FQ2 2022","Currency=USD","Period=FQ","BEST_FPERIOD_OVERRIDE=FQ","FILING_STATUS=MR","SCALING_FORMAT=MLN","Sort=A","Dates=H","DateFormat=P","Fill=—","Direction=H","UseDPDF=Y")</f>
        <v>0</v>
      </c>
      <c r="O8" s="13">
        <f>_xll.BDH("AMGN US Equity","PFD_EQTY_HYBRID_CAPITAL","FQ3 2022","FQ3 2022","Currency=USD","Period=FQ","BEST_FPERIOD_OVERRIDE=FQ","FILING_STATUS=MR","SCALING_FORMAT=MLN","Sort=A","Dates=H","DateFormat=P","Fill=—","Direction=H","UseDPDF=Y")</f>
        <v>0</v>
      </c>
      <c r="P8" s="13">
        <f>_xll.BDH("AMGN US Equity","PFD_EQTY_HYBRID_CAPITAL","FQ4 2022","FQ4 2022","Currency=USD","Period=FQ","BEST_FPERIOD_OVERRIDE=FQ","FILING_STATUS=MR","SCALING_FORMAT=MLN","Sort=A","Dates=H","DateFormat=P","Fill=—","Direction=H","UseDPDF=Y")</f>
        <v>0</v>
      </c>
      <c r="Q8" s="13">
        <f>_xll.BDH("AMGN US Equity","PFD_EQTY_HYBRID_CAPITAL","FQ1 2023","FQ1 2023","Currency=USD","Period=FQ","BEST_FPERIOD_OVERRIDE=FQ","FILING_STATUS=MR","SCALING_FORMAT=MLN","Sort=A","Dates=H","DateFormat=P","Fill=—","Direction=H","UseDPDF=Y")</f>
        <v>0</v>
      </c>
      <c r="R8" s="13">
        <f>_xll.BDH("AMGN US Equity","PFD_EQTY_HYBRID_CAPITAL","FQ2 2023","FQ2 2023","Currency=USD","Period=FQ","BEST_FPERIOD_OVERRIDE=FQ","FILING_STATUS=MR","SCALING_FORMAT=MLN","Sort=A","Dates=H","DateFormat=P","Fill=—","Direction=H","UseDPDF=Y")</f>
        <v>0</v>
      </c>
      <c r="S8" s="13">
        <f>_xll.BDH("AMGN US Equity","PFD_EQTY_HYBRID_CAPITAL","FQ3 2023","FQ3 2023","Currency=USD","Period=FQ","BEST_FPERIOD_OVERRIDE=FQ","FILING_STATUS=MR","SCALING_FORMAT=MLN","Sort=A","Dates=H","DateFormat=P","Fill=—","Direction=H","UseDPDF=Y")</f>
        <v>0</v>
      </c>
      <c r="T8" s="13">
        <f>_xll.BDH("AMGN US Equity","PFD_EQTY_HYBRID_CAPITAL","FQ4 2023","FQ4 2023","Currency=USD","Period=FQ","BEST_FPERIOD_OVERRIDE=FQ","FILING_STATUS=MR","SCALING_FORMAT=MLN","Sort=A","Dates=H","DateFormat=P","Fill=—","Direction=H","UseDPDF=Y")</f>
        <v>0</v>
      </c>
      <c r="U8" s="13">
        <f>_xll.BDH("AMGN US Equity","PFD_EQTY_HYBRID_CAPITAL","FQ1 2024","FQ1 2024","Currency=USD","Period=FQ","BEST_FPERIOD_OVERRIDE=FQ","FILING_STATUS=MR","SCALING_FORMAT=MLN","Sort=A","Dates=H","DateFormat=P","Fill=—","Direction=H","UseDPDF=Y")</f>
        <v>0</v>
      </c>
      <c r="V8" s="13">
        <f>_xll.BDH("AMGN US Equity","PFD_EQTY_HYBRID_CAPITAL","FQ2 2024","FQ2 2024","Currency=USD","Period=FQ","BEST_FPERIOD_OVERRIDE=FQ","FILING_STATUS=MR","SCALING_FORMAT=MLN","Sort=A","Dates=H","DateFormat=P","Fill=—","Direction=H","UseDPDF=Y")</f>
        <v>0</v>
      </c>
      <c r="W8" s="13">
        <f>_xll.BDH("AMGN US Equity","PFD_EQTY_HYBRID_CAPITAL","FQ3 2024","FQ3 2024","Currency=USD","Period=FQ","BEST_FPERIOD_OVERRIDE=FQ","FILING_STATUS=MR","SCALING_FORMAT=MLN","Sort=A","Dates=H","DateFormat=P","Fill=—","Direction=H","UseDPDF=Y")</f>
        <v>0</v>
      </c>
      <c r="X8" s="13">
        <f>_xll.BDH("AMGN US Equity","PFD_EQTY_HYBRID_CAPITAL","FQ4 2024","FQ4 2024","Currency=USD","Period=FQ","BEST_FPERIOD_OVERRIDE=FQ","FILING_STATUS=MR","SCALING_FORMAT=MLN","Sort=A","Dates=H","DateFormat=P","Fill=—","Direction=H","UseDPDF=Y")</f>
        <v>0</v>
      </c>
      <c r="Y8" s="16">
        <v>0</v>
      </c>
      <c r="Z8" s="13"/>
      <c r="AA8" s="13"/>
    </row>
    <row r="9" spans="1:27" x14ac:dyDescent="0.25">
      <c r="A9" s="10" t="s">
        <v>169</v>
      </c>
      <c r="B9" s="10" t="s">
        <v>170</v>
      </c>
      <c r="C9" s="13">
        <f>_xll.BDH("AMGN US Equity","MINORITY_NONCONTROLLING_INTEREST","FQ3 2019","FQ3 2019","Currency=USD","Period=FQ","BEST_FPERIOD_OVERRIDE=FQ","FILING_STATUS=MR","SCALING_FORMAT=MLN","Sort=A","Dates=H","DateFormat=P","Fill=—","Direction=H","UseDPDF=Y")</f>
        <v>0</v>
      </c>
      <c r="D9" s="13">
        <f>_xll.BDH("AMGN US Equity","MINORITY_NONCONTROLLING_INTEREST","FQ4 2019","FQ4 2019","Currency=USD","Period=FQ","BEST_FPERIOD_OVERRIDE=FQ","FILING_STATUS=MR","SCALING_FORMAT=MLN","Sort=A","Dates=H","DateFormat=P","Fill=—","Direction=H","UseDPDF=Y")</f>
        <v>0</v>
      </c>
      <c r="E9" s="13">
        <f>_xll.BDH("AMGN US Equity","MINORITY_NONCONTROLLING_INTEREST","FQ1 2020","FQ1 2020","Currency=USD","Period=FQ","BEST_FPERIOD_OVERRIDE=FQ","FILING_STATUS=MR","SCALING_FORMAT=MLN","Sort=A","Dates=H","DateFormat=P","Fill=—","Direction=H","UseDPDF=Y")</f>
        <v>0</v>
      </c>
      <c r="F9" s="13">
        <f>_xll.BDH("AMGN US Equity","MINORITY_NONCONTROLLING_INTEREST","FQ2 2020","FQ2 2020","Currency=USD","Period=FQ","BEST_FPERIOD_OVERRIDE=FQ","FILING_STATUS=MR","SCALING_FORMAT=MLN","Sort=A","Dates=H","DateFormat=P","Fill=—","Direction=H","UseDPDF=Y")</f>
        <v>0</v>
      </c>
      <c r="G9" s="13">
        <f>_xll.BDH("AMGN US Equity","MINORITY_NONCONTROLLING_INTEREST","FQ3 2020","FQ3 2020","Currency=USD","Period=FQ","BEST_FPERIOD_OVERRIDE=FQ","FILING_STATUS=MR","SCALING_FORMAT=MLN","Sort=A","Dates=H","DateFormat=P","Fill=—","Direction=H","UseDPDF=Y")</f>
        <v>0</v>
      </c>
      <c r="H9" s="13">
        <f>_xll.BDH("AMGN US Equity","MINORITY_NONCONTROLLING_INTEREST","FQ4 2020","FQ4 2020","Currency=USD","Period=FQ","BEST_FPERIOD_OVERRIDE=FQ","FILING_STATUS=MR","SCALING_FORMAT=MLN","Sort=A","Dates=H","DateFormat=P","Fill=—","Direction=H","UseDPDF=Y")</f>
        <v>0</v>
      </c>
      <c r="I9" s="13">
        <f>_xll.BDH("AMGN US Equity","MINORITY_NONCONTROLLING_INTEREST","FQ1 2021","FQ1 2021","Currency=USD","Period=FQ","BEST_FPERIOD_OVERRIDE=FQ","FILING_STATUS=MR","SCALING_FORMAT=MLN","Sort=A","Dates=H","DateFormat=P","Fill=—","Direction=H","UseDPDF=Y")</f>
        <v>0</v>
      </c>
      <c r="J9" s="13">
        <f>_xll.BDH("AMGN US Equity","MINORITY_NONCONTROLLING_INTEREST","FQ2 2021","FQ2 2021","Currency=USD","Period=FQ","BEST_FPERIOD_OVERRIDE=FQ","FILING_STATUS=MR","SCALING_FORMAT=MLN","Sort=A","Dates=H","DateFormat=P","Fill=—","Direction=H","UseDPDF=Y")</f>
        <v>0</v>
      </c>
      <c r="K9" s="13">
        <f>_xll.BDH("AMGN US Equity","MINORITY_NONCONTROLLING_INTEREST","FQ3 2021","FQ3 2021","Currency=USD","Period=FQ","BEST_FPERIOD_OVERRIDE=FQ","FILING_STATUS=MR","SCALING_FORMAT=MLN","Sort=A","Dates=H","DateFormat=P","Fill=—","Direction=H","UseDPDF=Y")</f>
        <v>0</v>
      </c>
      <c r="L9" s="13">
        <f>_xll.BDH("AMGN US Equity","MINORITY_NONCONTROLLING_INTEREST","FQ4 2021","FQ4 2021","Currency=USD","Period=FQ","BEST_FPERIOD_OVERRIDE=FQ","FILING_STATUS=MR","SCALING_FORMAT=MLN","Sort=A","Dates=H","DateFormat=P","Fill=—","Direction=H","UseDPDF=Y")</f>
        <v>0</v>
      </c>
      <c r="M9" s="13">
        <f>_xll.BDH("AMGN US Equity","MINORITY_NONCONTROLLING_INTEREST","FQ1 2022","FQ1 2022","Currency=USD","Period=FQ","BEST_FPERIOD_OVERRIDE=FQ","FILING_STATUS=MR","SCALING_FORMAT=MLN","Sort=A","Dates=H","DateFormat=P","Fill=—","Direction=H","UseDPDF=Y")</f>
        <v>0</v>
      </c>
      <c r="N9" s="13">
        <f>_xll.BDH("AMGN US Equity","MINORITY_NONCONTROLLING_INTEREST","FQ2 2022","FQ2 2022","Currency=USD","Period=FQ","BEST_FPERIOD_OVERRIDE=FQ","FILING_STATUS=MR","SCALING_FORMAT=MLN","Sort=A","Dates=H","DateFormat=P","Fill=—","Direction=H","UseDPDF=Y")</f>
        <v>0</v>
      </c>
      <c r="O9" s="13">
        <f>_xll.BDH("AMGN US Equity","MINORITY_NONCONTROLLING_INTEREST","FQ3 2022","FQ3 2022","Currency=USD","Period=FQ","BEST_FPERIOD_OVERRIDE=FQ","FILING_STATUS=MR","SCALING_FORMAT=MLN","Sort=A","Dates=H","DateFormat=P","Fill=—","Direction=H","UseDPDF=Y")</f>
        <v>0</v>
      </c>
      <c r="P9" s="13">
        <f>_xll.BDH("AMGN US Equity","MINORITY_NONCONTROLLING_INTEREST","FQ4 2022","FQ4 2022","Currency=USD","Period=FQ","BEST_FPERIOD_OVERRIDE=FQ","FILING_STATUS=MR","SCALING_FORMAT=MLN","Sort=A","Dates=H","DateFormat=P","Fill=—","Direction=H","UseDPDF=Y")</f>
        <v>0</v>
      </c>
      <c r="Q9" s="13">
        <f>_xll.BDH("AMGN US Equity","MINORITY_NONCONTROLLING_INTEREST","FQ1 2023","FQ1 2023","Currency=USD","Period=FQ","BEST_FPERIOD_OVERRIDE=FQ","FILING_STATUS=MR","SCALING_FORMAT=MLN","Sort=A","Dates=H","DateFormat=P","Fill=—","Direction=H","UseDPDF=Y")</f>
        <v>0</v>
      </c>
      <c r="R9" s="13">
        <f>_xll.BDH("AMGN US Equity","MINORITY_NONCONTROLLING_INTEREST","FQ2 2023","FQ2 2023","Currency=USD","Period=FQ","BEST_FPERIOD_OVERRIDE=FQ","FILING_STATUS=MR","SCALING_FORMAT=MLN","Sort=A","Dates=H","DateFormat=P","Fill=—","Direction=H","UseDPDF=Y")</f>
        <v>0</v>
      </c>
      <c r="S9" s="13">
        <f>_xll.BDH("AMGN US Equity","MINORITY_NONCONTROLLING_INTEREST","FQ3 2023","FQ3 2023","Currency=USD","Period=FQ","BEST_FPERIOD_OVERRIDE=FQ","FILING_STATUS=MR","SCALING_FORMAT=MLN","Sort=A","Dates=H","DateFormat=P","Fill=—","Direction=H","UseDPDF=Y")</f>
        <v>0</v>
      </c>
      <c r="T9" s="13">
        <f>_xll.BDH("AMGN US Equity","MINORITY_NONCONTROLLING_INTEREST","FQ4 2023","FQ4 2023","Currency=USD","Period=FQ","BEST_FPERIOD_OVERRIDE=FQ","FILING_STATUS=MR","SCALING_FORMAT=MLN","Sort=A","Dates=H","DateFormat=P","Fill=—","Direction=H","UseDPDF=Y")</f>
        <v>0</v>
      </c>
      <c r="U9" s="13">
        <f>_xll.BDH("AMGN US Equity","MINORITY_NONCONTROLLING_INTEREST","FQ1 2024","FQ1 2024","Currency=USD","Period=FQ","BEST_FPERIOD_OVERRIDE=FQ","FILING_STATUS=MR","SCALING_FORMAT=MLN","Sort=A","Dates=H","DateFormat=P","Fill=—","Direction=H","UseDPDF=Y")</f>
        <v>0</v>
      </c>
      <c r="V9" s="13">
        <f>_xll.BDH("AMGN US Equity","MINORITY_NONCONTROLLING_INTEREST","FQ2 2024","FQ2 2024","Currency=USD","Period=FQ","BEST_FPERIOD_OVERRIDE=FQ","FILING_STATUS=MR","SCALING_FORMAT=MLN","Sort=A","Dates=H","DateFormat=P","Fill=—","Direction=H","UseDPDF=Y")</f>
        <v>0</v>
      </c>
      <c r="W9" s="13">
        <f>_xll.BDH("AMGN US Equity","MINORITY_NONCONTROLLING_INTEREST","FQ3 2024","FQ3 2024","Currency=USD","Period=FQ","BEST_FPERIOD_OVERRIDE=FQ","FILING_STATUS=MR","SCALING_FORMAT=MLN","Sort=A","Dates=H","DateFormat=P","Fill=—","Direction=H","UseDPDF=Y")</f>
        <v>0</v>
      </c>
      <c r="X9" s="13">
        <f>_xll.BDH("AMGN US Equity","MINORITY_NONCONTROLLING_INTEREST","FQ4 2024","FQ4 2024","Currency=USD","Period=FQ","BEST_FPERIOD_OVERRIDE=FQ","FILING_STATUS=MR","SCALING_FORMAT=MLN","Sort=A","Dates=H","DateFormat=P","Fill=—","Direction=H","UseDPDF=Y")</f>
        <v>0</v>
      </c>
      <c r="Y9" s="16">
        <v>0</v>
      </c>
      <c r="Z9" s="13"/>
      <c r="AA9" s="13"/>
    </row>
    <row r="10" spans="1:27" x14ac:dyDescent="0.25">
      <c r="A10" s="10" t="s">
        <v>171</v>
      </c>
      <c r="B10" s="10" t="s">
        <v>291</v>
      </c>
      <c r="C10" s="13">
        <f>_xll.BDH("AMGN US Equity","TOT_DEBT_EX_OPERATING_LEA_LIABS","FQ3 2019","FQ3 2019","Currency=USD","Period=FQ","BEST_FPERIOD_OVERRIDE=FQ","FILING_STATUS=MR","SCALING_FORMAT=MLN","Sort=A","Dates=H","DateFormat=P","Fill=—","Direction=H","UseDPDF=Y")</f>
        <v>29791</v>
      </c>
      <c r="D10" s="13">
        <f>_xll.BDH("AMGN US Equity","TOT_DEBT_EX_OPERATING_LEA_LIABS","FQ4 2019","FQ4 2019","Currency=USD","Period=FQ","BEST_FPERIOD_OVERRIDE=FQ","FILING_STATUS=MR","SCALING_FORMAT=MLN","Sort=A","Dates=H","DateFormat=P","Fill=—","Direction=H","UseDPDF=Y")</f>
        <v>29903</v>
      </c>
      <c r="E10" s="13">
        <f>_xll.BDH("AMGN US Equity","TOT_DEBT_EX_OPERATING_LEA_LIABS","FQ1 2020","FQ1 2020","Currency=USD","Period=FQ","BEST_FPERIOD_OVERRIDE=FQ","FILING_STATUS=MR","SCALING_FORMAT=MLN","Sort=A","Dates=H","DateFormat=P","Fill=—","Direction=H","UseDPDF=Y")</f>
        <v>31848</v>
      </c>
      <c r="F10" s="13">
        <f>_xll.BDH("AMGN US Equity","TOT_DEBT_EX_OPERATING_LEA_LIABS","FQ2 2020","FQ2 2020","Currency=USD","Period=FQ","BEST_FPERIOD_OVERRIDE=FQ","FILING_STATUS=MR","SCALING_FORMAT=MLN","Sort=A","Dates=H","DateFormat=P","Fill=—","Direction=H","UseDPDF=Y")</f>
        <v>34224</v>
      </c>
      <c r="G10" s="13">
        <f>_xll.BDH("AMGN US Equity","TOT_DEBT_EX_OPERATING_LEA_LIABS","FQ3 2020","FQ3 2020","Currency=USD","Period=FQ","BEST_FPERIOD_OVERRIDE=FQ","FILING_STATUS=MR","SCALING_FORMAT=MLN","Sort=A","Dates=H","DateFormat=P","Fill=—","Direction=H","UseDPDF=Y")</f>
        <v>34287</v>
      </c>
      <c r="H10" s="13">
        <f>_xll.BDH("AMGN US Equity","TOT_DEBT_EX_OPERATING_LEA_LIABS","FQ4 2020","FQ4 2020","Currency=USD","Period=FQ","BEST_FPERIOD_OVERRIDE=FQ","FILING_STATUS=MR","SCALING_FORMAT=MLN","Sort=A","Dates=H","DateFormat=P","Fill=—","Direction=H","UseDPDF=Y")</f>
        <v>32986</v>
      </c>
      <c r="I10" s="13">
        <f>_xll.BDH("AMGN US Equity","TOT_DEBT_EX_OPERATING_LEA_LIABS","FQ1 2021","FQ1 2021","Currency=USD","Period=FQ","BEST_FPERIOD_OVERRIDE=FQ","FILING_STATUS=MR","SCALING_FORMAT=MLN","Sort=A","Dates=H","DateFormat=P","Fill=—","Direction=H","UseDPDF=Y")</f>
        <v>32685</v>
      </c>
      <c r="J10" s="13">
        <f>_xll.BDH("AMGN US Equity","TOT_DEBT_EX_OPERATING_LEA_LIABS","FQ2 2021","FQ2 2021","Currency=USD","Period=FQ","BEST_FPERIOD_OVERRIDE=FQ","FILING_STATUS=MR","SCALING_FORMAT=MLN","Sort=A","Dates=H","DateFormat=P","Fill=—","Direction=H","UseDPDF=Y")</f>
        <v>32782</v>
      </c>
      <c r="K10" s="13">
        <f>_xll.BDH("AMGN US Equity","TOT_DEBT_EX_OPERATING_LEA_LIABS","FQ3 2021","FQ3 2021","Currency=USD","Period=FQ","BEST_FPERIOD_OVERRIDE=FQ","FILING_STATUS=MR","SCALING_FORMAT=MLN","Sort=A","Dates=H","DateFormat=P","Fill=—","Direction=H","UseDPDF=Y")</f>
        <v>37579</v>
      </c>
      <c r="L10" s="13">
        <f>_xll.BDH("AMGN US Equity","TOT_DEBT_EX_OPERATING_LEA_LIABS","FQ4 2021","FQ4 2021","Currency=USD","Period=FQ","BEST_FPERIOD_OVERRIDE=FQ","FILING_STATUS=MR","SCALING_FORMAT=MLN","Sort=A","Dates=H","DateFormat=P","Fill=—","Direction=H","UseDPDF=Y")</f>
        <v>33309</v>
      </c>
      <c r="M10" s="13">
        <f>_xll.BDH("AMGN US Equity","TOT_DEBT_EX_OPERATING_LEA_LIABS","FQ1 2022","FQ1 2022","Currency=USD","Period=FQ","BEST_FPERIOD_OVERRIDE=FQ","FILING_STATUS=MR","SCALING_FORMAT=MLN","Sort=A","Dates=H","DateFormat=P","Fill=—","Direction=H","UseDPDF=Y")</f>
        <v>36854</v>
      </c>
      <c r="N10" s="13">
        <f>_xll.BDH("AMGN US Equity","TOT_DEBT_EX_OPERATING_LEA_LIABS","FQ2 2022","FQ2 2022","Currency=USD","Period=FQ","BEST_FPERIOD_OVERRIDE=FQ","FILING_STATUS=MR","SCALING_FORMAT=MLN","Sort=A","Dates=H","DateFormat=P","Fill=—","Direction=H","UseDPDF=Y")</f>
        <v>36522</v>
      </c>
      <c r="O10" s="13">
        <f>_xll.BDH("AMGN US Equity","TOT_DEBT_EX_OPERATING_LEA_LIABS","FQ3 2022","FQ3 2022","Currency=USD","Period=FQ","BEST_FPERIOD_OVERRIDE=FQ","FILING_STATUS=MR","SCALING_FORMAT=MLN","Sort=A","Dates=H","DateFormat=P","Fill=—","Direction=H","UseDPDF=Y")</f>
        <v>38704</v>
      </c>
      <c r="P10" s="13">
        <f>_xll.BDH("AMGN US Equity","TOT_DEBT_EX_OPERATING_LEA_LIABS","FQ4 2022","FQ4 2022","Currency=USD","Period=FQ","BEST_FPERIOD_OVERRIDE=FQ","FILING_STATUS=MR","SCALING_FORMAT=MLN","Sort=A","Dates=H","DateFormat=P","Fill=—","Direction=H","UseDPDF=Y")</f>
        <v>38945</v>
      </c>
      <c r="Q10" s="13">
        <f>_xll.BDH("AMGN US Equity","TOT_DEBT_EX_OPERATING_LEA_LIABS","FQ1 2023","FQ1 2023","Currency=USD","Period=FQ","BEST_FPERIOD_OVERRIDE=FQ","FILING_STATUS=MR","SCALING_FORMAT=MLN","Sort=A","Dates=H","DateFormat=P","Fill=—","Direction=H","UseDPDF=Y")</f>
        <v>61595</v>
      </c>
      <c r="R10" s="13">
        <f>_xll.BDH("AMGN US Equity","TOT_DEBT_EX_OPERATING_LEA_LIABS","FQ2 2023","FQ2 2023","Currency=USD","Period=FQ","BEST_FPERIOD_OVERRIDE=FQ","FILING_STATUS=MR","SCALING_FORMAT=MLN","Sort=A","Dates=H","DateFormat=P","Fill=—","Direction=H","UseDPDF=Y")</f>
        <v>61544</v>
      </c>
      <c r="S10" s="13">
        <f>_xll.BDH("AMGN US Equity","TOT_DEBT_EX_OPERATING_LEA_LIABS","FQ3 2023","FQ3 2023","Currency=USD","Period=FQ","BEST_FPERIOD_OVERRIDE=FQ","FILING_STATUS=MR","SCALING_FORMAT=MLN","Sort=A","Dates=H","DateFormat=P","Fill=—","Direction=H","UseDPDF=Y")</f>
        <v>60468</v>
      </c>
      <c r="T10" s="13">
        <f>_xll.BDH("AMGN US Equity","TOT_DEBT_EX_OPERATING_LEA_LIABS","FQ4 2023","FQ4 2023","Currency=USD","Period=FQ","BEST_FPERIOD_OVERRIDE=FQ","FILING_STATUS=MR","SCALING_FORMAT=MLN","Sort=A","Dates=H","DateFormat=P","Fill=—","Direction=H","UseDPDF=Y")</f>
        <v>64613</v>
      </c>
      <c r="U10" s="13">
        <f>_xll.BDH("AMGN US Equity","TOT_DEBT_EX_OPERATING_LEA_LIABS","FQ1 2024","FQ1 2024","Currency=USD","Period=FQ","BEST_FPERIOD_OVERRIDE=FQ","FILING_STATUS=MR","SCALING_FORMAT=MLN","Sort=A","Dates=H","DateFormat=P","Fill=—","Direction=H","UseDPDF=Y")</f>
        <v>64020</v>
      </c>
      <c r="V10" s="13">
        <f>_xll.BDH("AMGN US Equity","TOT_DEBT_EX_OPERATING_LEA_LIABS","FQ2 2024","FQ2 2024","Currency=USD","Period=FQ","BEST_FPERIOD_OVERRIDE=FQ","FILING_STATUS=MR","SCALING_FORMAT=MLN","Sort=A","Dates=H","DateFormat=P","Fill=—","Direction=H","UseDPDF=Y")</f>
        <v>62645</v>
      </c>
      <c r="W10" s="13">
        <f>_xll.BDH("AMGN US Equity","TOT_DEBT_EX_OPERATING_LEA_LIABS","FQ3 2024","FQ3 2024","Currency=USD","Period=FQ","BEST_FPERIOD_OVERRIDE=FQ","FILING_STATUS=MR","SCALING_FORMAT=MLN","Sort=A","Dates=H","DateFormat=P","Fill=—","Direction=H","UseDPDF=Y")</f>
        <v>60398</v>
      </c>
      <c r="X10" s="13">
        <f>_xll.BDH("AMGN US Equity","TOT_DEBT_EX_OPERATING_LEA_LIABS","FQ4 2024","FQ4 2024","Currency=USD","Period=FQ","BEST_FPERIOD_OVERRIDE=FQ","FILING_STATUS=MR","SCALING_FORMAT=MLN","Sort=A","Dates=H","DateFormat=P","Fill=—","Direction=H","UseDPDF=Y")</f>
        <v>60099</v>
      </c>
      <c r="Y10" s="16">
        <v>60099</v>
      </c>
      <c r="Z10" s="13"/>
      <c r="AA10" s="13"/>
    </row>
    <row r="11" spans="1:27" x14ac:dyDescent="0.25">
      <c r="A11" s="10" t="s">
        <v>68</v>
      </c>
      <c r="B11" s="10" t="s">
        <v>292</v>
      </c>
      <c r="C11" s="13">
        <f>_xll.BDH("AMGN US Equity","EV_EX_OPERATING_LEASE_LIABS","FQ3 2019","FQ3 2019","Currency=USD","Period=FQ","BEST_FPERIOD_OVERRIDE=FQ","FILING_STATUS=MR","SCALING_FORMAT=MLN","Sort=A","Dates=H","DateFormat=P","Fill=—","Direction=H","UseDPDF=Y")</f>
        <v>124308.662</v>
      </c>
      <c r="D11" s="13">
        <f>_xll.BDH("AMGN US Equity","EV_EX_OPERATING_LEASE_LIABS","FQ4 2019","FQ4 2019","Currency=USD","Period=FQ","BEST_FPERIOD_OVERRIDE=FQ","FILING_STATUS=MR","SCALING_FORMAT=MLN","Sort=A","Dates=H","DateFormat=P","Fill=—","Direction=H","UseDPDF=Y")</f>
        <v>163560.79800000001</v>
      </c>
      <c r="E11" s="13">
        <f>_xll.BDH("AMGN US Equity","EV_EX_OPERATING_LEASE_LIABS","FQ1 2020","FQ1 2020","Currency=USD","Period=FQ","BEST_FPERIOD_OVERRIDE=FQ","FILING_STATUS=MR","SCALING_FORMAT=MLN","Sort=A","Dates=H","DateFormat=P","Fill=—","Direction=H","UseDPDF=Y")</f>
        <v>143041.24</v>
      </c>
      <c r="F11" s="13">
        <f>_xll.BDH("AMGN US Equity","EV_EX_OPERATING_LEASE_LIABS","FQ2 2020","FQ2 2020","Currency=USD","Period=FQ","BEST_FPERIOD_OVERRIDE=FQ","FILING_STATUS=MR","SCALING_FORMAT=MLN","Sort=A","Dates=H","DateFormat=P","Fill=—","Direction=H","UseDPDF=Y")</f>
        <v>161111.304</v>
      </c>
      <c r="G11" s="13">
        <f>_xll.BDH("AMGN US Equity","EV_EX_OPERATING_LEASE_LIABS","FQ3 2020","FQ3 2020","Currency=USD","Period=FQ","BEST_FPERIOD_OVERRIDE=FQ","FILING_STATUS=MR","SCALING_FORMAT=MLN","Sort=A","Dates=H","DateFormat=P","Fill=—","Direction=H","UseDPDF=Y")</f>
        <v>170229.36</v>
      </c>
      <c r="H11" s="13">
        <f>_xll.BDH("AMGN US Equity","EV_EX_OPERATING_LEASE_LIABS","FQ4 2020","FQ4 2020","Currency=USD","Period=FQ","BEST_FPERIOD_OVERRIDE=FQ","FILING_STATUS=MR","SCALING_FORMAT=MLN","Sort=A","Dates=H","DateFormat=P","Fill=—","Direction=H","UseDPDF=Y")</f>
        <v>155301.736</v>
      </c>
      <c r="I11" s="13">
        <f>_xll.BDH("AMGN US Equity","EV_EX_OPERATING_LEASE_LIABS","FQ1 2021","FQ1 2021","Currency=USD","Period=FQ","BEST_FPERIOD_OVERRIDE=FQ","FILING_STATUS=MR","SCALING_FORMAT=MLN","Sort=A","Dates=H","DateFormat=P","Fill=—","Direction=H","UseDPDF=Y")</f>
        <v>165259.39300000001</v>
      </c>
      <c r="J11" s="13">
        <f>_xll.BDH("AMGN US Equity","EV_EX_OPERATING_LEASE_LIABS","FQ2 2021","FQ2 2021","Currency=USD","Period=FQ","BEST_FPERIOD_OVERRIDE=FQ","FILING_STATUS=MR","SCALING_FORMAT=MLN","Sort=A","Dates=H","DateFormat=P","Fill=—","Direction=H","UseDPDF=Y")</f>
        <v>163540</v>
      </c>
      <c r="K11" s="13">
        <f>_xll.BDH("AMGN US Equity","EV_EX_OPERATING_LEASE_LIABS","FQ3 2021","FQ3 2021","Currency=USD","Period=FQ","BEST_FPERIOD_OVERRIDE=FQ","FILING_STATUS=MR","SCALING_FORMAT=MLN","Sort=A","Dates=H","DateFormat=P","Fill=—","Direction=H","UseDPDF=Y")</f>
        <v>144805.25</v>
      </c>
      <c r="L11" s="13">
        <f>_xll.BDH("AMGN US Equity","EV_EX_OPERATING_LEASE_LIABS","FQ4 2021","FQ4 2021","Currency=USD","Period=FQ","BEST_FPERIOD_OVERRIDE=FQ","FILING_STATUS=MR","SCALING_FORMAT=MLN","Sort=A","Dates=H","DateFormat=P","Fill=—","Direction=H","UseDPDF=Y")</f>
        <v>145405.98000000001</v>
      </c>
      <c r="M11" s="13">
        <f>_xll.BDH("AMGN US Equity","EV_EX_OPERATING_LEASE_LIABS","FQ1 2022","FQ1 2022","Currency=USD","Period=FQ","BEST_FPERIOD_OVERRIDE=FQ","FILING_STATUS=MR","SCALING_FORMAT=MLN","Sort=A","Dates=H","DateFormat=P","Fill=—","Direction=H","UseDPDF=Y")</f>
        <v>159490.24400000001</v>
      </c>
      <c r="N11" s="13">
        <f>_xll.BDH("AMGN US Equity","EV_EX_OPERATING_LEASE_LIABS","FQ2 2022","FQ2 2022","Currency=USD","Period=FQ","BEST_FPERIOD_OVERRIDE=FQ","FILING_STATUS=MR","SCALING_FORMAT=MLN","Sort=A","Dates=H","DateFormat=P","Fill=—","Direction=H","UseDPDF=Y")</f>
        <v>159480.17000000001</v>
      </c>
      <c r="O11" s="13">
        <f>_xll.BDH("AMGN US Equity","EV_EX_OPERATING_LEASE_LIABS","FQ3 2022","FQ3 2022","Currency=USD","Period=FQ","BEST_FPERIOD_OVERRIDE=FQ","FILING_STATUS=MR","SCALING_FORMAT=MLN","Sort=A","Dates=H","DateFormat=P","Fill=—","Direction=H","UseDPDF=Y")</f>
        <v>147476.9</v>
      </c>
      <c r="P11" s="13">
        <f>_xll.BDH("AMGN US Equity","EV_EX_OPERATING_LEASE_LIABS","FQ4 2022","FQ4 2022","Currency=USD","Period=FQ","BEST_FPERIOD_OVERRIDE=FQ","FILING_STATUS=MR","SCALING_FORMAT=MLN","Sort=A","Dates=H","DateFormat=P","Fill=—","Direction=H","UseDPDF=Y")</f>
        <v>169889.76</v>
      </c>
      <c r="Q11" s="13">
        <f>_xll.BDH("AMGN US Equity","EV_EX_OPERATING_LEASE_LIABS","FQ1 2023","FQ1 2023","Currency=USD","Period=FQ","BEST_FPERIOD_OVERRIDE=FQ","FILING_STATUS=MR","SCALING_FORMAT=MLN","Sort=A","Dates=H","DateFormat=P","Fill=—","Direction=H","UseDPDF=Y")</f>
        <v>159201.02499999999</v>
      </c>
      <c r="R11" s="13">
        <f>_xll.BDH("AMGN US Equity","EV_EX_OPERATING_LEASE_LIABS","FQ2 2023","FQ2 2023","Currency=USD","Period=FQ","BEST_FPERIOD_OVERRIDE=FQ","FILING_STATUS=MR","SCALING_FORMAT=MLN","Sort=A","Dates=H","DateFormat=P","Fill=—","Direction=H","UseDPDF=Y")</f>
        <v>146054.49799999999</v>
      </c>
      <c r="S11" s="13">
        <f>_xll.BDH("AMGN US Equity","EV_EX_OPERATING_LEASE_LIABS","FQ3 2023","FQ3 2023","Currency=USD","Period=FQ","BEST_FPERIOD_OVERRIDE=FQ","FILING_STATUS=MR","SCALING_FORMAT=MLN","Sort=A","Dates=H","DateFormat=P","Fill=—","Direction=H","UseDPDF=Y")</f>
        <v>169540.476</v>
      </c>
      <c r="T11" s="13">
        <f>_xll.BDH("AMGN US Equity","EV_EX_OPERATING_LEASE_LIABS","FQ4 2023","FQ4 2023","Currency=USD","Period=FQ","BEST_FPERIOD_OVERRIDE=FQ","FILING_STATUS=MR","SCALING_FORMAT=MLN","Sort=A","Dates=H","DateFormat=P","Fill=—","Direction=H","UseDPDF=Y")</f>
        <v>207874.908</v>
      </c>
      <c r="U11" s="13">
        <f>_xll.BDH("AMGN US Equity","EV_EX_OPERATING_LEASE_LIABS","FQ1 2024","FQ1 2024","Currency=USD","Period=FQ","BEST_FPERIOD_OVERRIDE=FQ","FILING_STATUS=MR","SCALING_FORMAT=MLN","Sort=A","Dates=H","DateFormat=P","Fill=—","Direction=H","UseDPDF=Y")</f>
        <v>206821.24799999999</v>
      </c>
      <c r="V11" s="13">
        <f>_xll.BDH("AMGN US Equity","EV_EX_OPERATING_LEASE_LIABS","FQ2 2024","FQ2 2024","Currency=USD","Period=FQ","BEST_FPERIOD_OVERRIDE=FQ","FILING_STATUS=MR","SCALING_FORMAT=MLN","Sort=A","Dates=H","DateFormat=P","Fill=—","Direction=H","UseDPDF=Y")</f>
        <v>221192.14</v>
      </c>
      <c r="W11" s="13">
        <f>_xll.BDH("AMGN US Equity","EV_EX_OPERATING_LEASE_LIABS","FQ3 2024","FQ3 2024","Currency=USD","Period=FQ","BEST_FPERIOD_OVERRIDE=FQ","FILING_STATUS=MR","SCALING_FORMAT=MLN","Sort=A","Dates=H","DateFormat=P","Fill=—","Direction=H","UseDPDF=Y")</f>
        <v>224574.875</v>
      </c>
      <c r="X11" s="13">
        <f>_xll.BDH("AMGN US Equity","EV_EX_OPERATING_LEASE_LIABS","FQ4 2024","FQ4 2024","Currency=USD","Period=FQ","BEST_FPERIOD_OVERRIDE=FQ","FILING_STATUS=MR","SCALING_FORMAT=MLN","Sort=A","Dates=H","DateFormat=P","Fill=—","Direction=H","UseDPDF=Y")</f>
        <v>188063.61600000001</v>
      </c>
      <c r="Y11" s="16">
        <v>213380.98456566001</v>
      </c>
      <c r="Z11" s="13"/>
      <c r="AA11" s="13"/>
    </row>
    <row r="12" spans="1:27" x14ac:dyDescent="0.25">
      <c r="A12" s="1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5"/>
      <c r="Z12" s="12"/>
      <c r="AA12" s="12"/>
    </row>
    <row r="13" spans="1:27" x14ac:dyDescent="0.25">
      <c r="A13" s="10" t="s">
        <v>172</v>
      </c>
      <c r="B13" s="10" t="s">
        <v>293</v>
      </c>
      <c r="C13" s="13">
        <f>_xll.BDH("AMGN US Equity","TOT_CPTL_EX_OPERATING_LEA_LIABS","FQ3 2019","FQ3 2019","Currency=USD","Period=FQ","BEST_FPERIOD_OVERRIDE=FQ","FILING_STATUS=MR","SCALING_FORMAT=MLN","Sort=A","Dates=H","DateFormat=P","Fill=—","Direction=H","UseDPDF=Y")</f>
        <v>40718</v>
      </c>
      <c r="D13" s="13">
        <f>_xll.BDH("AMGN US Equity","TOT_CPTL_EX_OPERATING_LEA_LIABS","FQ4 2019","FQ4 2019","Currency=USD","Period=FQ","BEST_FPERIOD_OVERRIDE=FQ","FILING_STATUS=MR","SCALING_FORMAT=MLN","Sort=A","Dates=H","DateFormat=P","Fill=—","Direction=H","UseDPDF=Y")</f>
        <v>39576</v>
      </c>
      <c r="E13" s="13">
        <f>_xll.BDH("AMGN US Equity","TOT_CPTL_EX_OPERATING_LEA_LIABS","FQ1 2020","FQ1 2020","Currency=USD","Period=FQ","BEST_FPERIOD_OVERRIDE=FQ","FILING_STATUS=MR","SCALING_FORMAT=MLN","Sort=A","Dates=H","DateFormat=P","Fill=—","Direction=H","UseDPDF=Y")</f>
        <v>41333</v>
      </c>
      <c r="F13" s="13">
        <f>_xll.BDH("AMGN US Equity","TOT_CPTL_EX_OPERATING_LEA_LIABS","FQ2 2020","FQ2 2020","Currency=USD","Period=FQ","BEST_FPERIOD_OVERRIDE=FQ","FILING_STATUS=MR","SCALING_FORMAT=MLN","Sort=A","Dates=H","DateFormat=P","Fill=—","Direction=H","UseDPDF=Y")</f>
        <v>44883</v>
      </c>
      <c r="G13" s="13">
        <f>_xll.BDH("AMGN US Equity","TOT_CPTL_EX_OPERATING_LEA_LIABS","FQ3 2020","FQ3 2020","Currency=USD","Period=FQ","BEST_FPERIOD_OVERRIDE=FQ","FILING_STATUS=MR","SCALING_FORMAT=MLN","Sort=A","Dates=H","DateFormat=P","Fill=—","Direction=H","UseDPDF=Y")</f>
        <v>45246</v>
      </c>
      <c r="H13" s="13">
        <f>_xll.BDH("AMGN US Equity","TOT_CPTL_EX_OPERATING_LEA_LIABS","FQ4 2020","FQ4 2020","Currency=USD","Period=FQ","BEST_FPERIOD_OVERRIDE=FQ","FILING_STATUS=MR","SCALING_FORMAT=MLN","Sort=A","Dates=H","DateFormat=P","Fill=—","Direction=H","UseDPDF=Y")</f>
        <v>42395</v>
      </c>
      <c r="I13" s="13">
        <f>_xll.BDH("AMGN US Equity","TOT_CPTL_EX_OPERATING_LEA_LIABS","FQ1 2021","FQ1 2021","Currency=USD","Period=FQ","BEST_FPERIOD_OVERRIDE=FQ","FILING_STATUS=MR","SCALING_FORMAT=MLN","Sort=A","Dates=H","DateFormat=P","Fill=—","Direction=H","UseDPDF=Y")</f>
        <v>42019</v>
      </c>
      <c r="J13" s="13">
        <f>_xll.BDH("AMGN US Equity","TOT_CPTL_EX_OPERATING_LEA_LIABS","FQ2 2021","FQ2 2021","Currency=USD","Period=FQ","BEST_FPERIOD_OVERRIDE=FQ","FILING_STATUS=MR","SCALING_FORMAT=MLN","Sort=A","Dates=H","DateFormat=P","Fill=—","Direction=H","UseDPDF=Y")</f>
        <v>41029</v>
      </c>
      <c r="K13" s="13">
        <f>_xll.BDH("AMGN US Equity","TOT_CPTL_EX_OPERATING_LEA_LIABS","FQ3 2021","FQ3 2021","Currency=USD","Period=FQ","BEST_FPERIOD_OVERRIDE=FQ","FILING_STATUS=MR","SCALING_FORMAT=MLN","Sort=A","Dates=H","DateFormat=P","Fill=—","Direction=H","UseDPDF=Y")</f>
        <v>45796</v>
      </c>
      <c r="L13" s="13">
        <f>_xll.BDH("AMGN US Equity","TOT_CPTL_EX_OPERATING_LEA_LIABS","FQ4 2021","FQ4 2021","Currency=USD","Period=FQ","BEST_FPERIOD_OVERRIDE=FQ","FILING_STATUS=MR","SCALING_FORMAT=MLN","Sort=A","Dates=H","DateFormat=P","Fill=—","Direction=H","UseDPDF=Y")</f>
        <v>40009</v>
      </c>
      <c r="M13" s="13">
        <f>_xll.BDH("AMGN US Equity","TOT_CPTL_EX_OPERATING_LEA_LIABS","FQ1 2022","FQ1 2022","Currency=USD","Period=FQ","BEST_FPERIOD_OVERRIDE=FQ","FILING_STATUS=MR","SCALING_FORMAT=MLN","Sort=A","Dates=H","DateFormat=P","Fill=—","Direction=H","UseDPDF=Y")</f>
        <v>37770</v>
      </c>
      <c r="N13" s="13">
        <f>_xll.BDH("AMGN US Equity","TOT_CPTL_EX_OPERATING_LEA_LIABS","FQ2 2022","FQ2 2022","Currency=USD","Period=FQ","BEST_FPERIOD_OVERRIDE=FQ","FILING_STATUS=MR","SCALING_FORMAT=MLN","Sort=A","Dates=H","DateFormat=P","Fill=—","Direction=H","UseDPDF=Y")</f>
        <v>38941</v>
      </c>
      <c r="O13" s="13">
        <f>_xll.BDH("AMGN US Equity","TOT_CPTL_EX_OPERATING_LEA_LIABS","FQ3 2022","FQ3 2022","Currency=USD","Period=FQ","BEST_FPERIOD_OVERRIDE=FQ","FILING_STATUS=MR","SCALING_FORMAT=MLN","Sort=A","Dates=H","DateFormat=P","Fill=—","Direction=H","UseDPDF=Y")</f>
        <v>42357</v>
      </c>
      <c r="P13" s="13">
        <f>_xll.BDH("AMGN US Equity","TOT_CPTL_EX_OPERATING_LEA_LIABS","FQ4 2022","FQ4 2022","Currency=USD","Period=FQ","BEST_FPERIOD_OVERRIDE=FQ","FILING_STATUS=MR","SCALING_FORMAT=MLN","Sort=A","Dates=H","DateFormat=P","Fill=—","Direction=H","UseDPDF=Y")</f>
        <v>42606</v>
      </c>
      <c r="Q13" s="13">
        <f>_xll.BDH("AMGN US Equity","TOT_CPTL_EX_OPERATING_LEA_LIABS","FQ1 2023","FQ1 2023","Currency=USD","Period=FQ","BEST_FPERIOD_OVERRIDE=FQ","FILING_STATUS=MR","SCALING_FORMAT=MLN","Sort=A","Dates=H","DateFormat=P","Fill=—","Direction=H","UseDPDF=Y")</f>
        <v>66943</v>
      </c>
      <c r="R13" s="13">
        <f>_xll.BDH("AMGN US Equity","TOT_CPTL_EX_OPERATING_LEA_LIABS","FQ2 2023","FQ2 2023","Currency=USD","Period=FQ","BEST_FPERIOD_OVERRIDE=FQ","FILING_STATUS=MR","SCALING_FORMAT=MLN","Sort=A","Dates=H","DateFormat=P","Fill=—","Direction=H","UseDPDF=Y")</f>
        <v>68325</v>
      </c>
      <c r="S13" s="13">
        <f>_xll.BDH("AMGN US Equity","TOT_CPTL_EX_OPERATING_LEA_LIABS","FQ3 2023","FQ3 2023","Currency=USD","Period=FQ","BEST_FPERIOD_OVERRIDE=FQ","FILING_STATUS=MR","SCALING_FORMAT=MLN","Sort=A","Dates=H","DateFormat=P","Fill=—","Direction=H","UseDPDF=Y")</f>
        <v>68124</v>
      </c>
      <c r="T13" s="13">
        <f>_xll.BDH("AMGN US Equity","TOT_CPTL_EX_OPERATING_LEA_LIABS","FQ4 2023","FQ4 2023","Currency=USD","Period=FQ","BEST_FPERIOD_OVERRIDE=FQ","FILING_STATUS=MR","SCALING_FORMAT=MLN","Sort=A","Dates=H","DateFormat=P","Fill=—","Direction=H","UseDPDF=Y")</f>
        <v>70845</v>
      </c>
      <c r="U13" s="13">
        <f>_xll.BDH("AMGN US Equity","TOT_CPTL_EX_OPERATING_LEA_LIABS","FQ1 2024","FQ1 2024","Currency=USD","Period=FQ","BEST_FPERIOD_OVERRIDE=FQ","FILING_STATUS=MR","SCALING_FORMAT=MLN","Sort=A","Dates=H","DateFormat=P","Fill=—","Direction=H","UseDPDF=Y")</f>
        <v>69042</v>
      </c>
      <c r="V13" s="13">
        <f>_xll.BDH("AMGN US Equity","TOT_CPTL_EX_OPERATING_LEA_LIABS","FQ2 2024","FQ2 2024","Currency=USD","Period=FQ","BEST_FPERIOD_OVERRIDE=FQ","FILING_STATUS=MR","SCALING_FORMAT=MLN","Sort=A","Dates=H","DateFormat=P","Fill=—","Direction=H","UseDPDF=Y")</f>
        <v>68570</v>
      </c>
      <c r="W13" s="13">
        <f>_xll.BDH("AMGN US Equity","TOT_CPTL_EX_OPERATING_LEA_LIABS","FQ3 2024","FQ3 2024","Currency=USD","Period=FQ","BEST_FPERIOD_OVERRIDE=FQ","FILING_STATUS=MR","SCALING_FORMAT=MLN","Sort=A","Dates=H","DateFormat=P","Fill=—","Direction=H","UseDPDF=Y")</f>
        <v>67925</v>
      </c>
      <c r="X13" s="13">
        <f>_xll.BDH("AMGN US Equity","TOT_CPTL_EX_OPERATING_LEA_LIABS","FQ4 2024","FQ4 2024","Currency=USD","Period=FQ","BEST_FPERIOD_OVERRIDE=FQ","FILING_STATUS=MR","SCALING_FORMAT=MLN","Sort=A","Dates=H","DateFormat=P","Fill=—","Direction=H","UseDPDF=Y")</f>
        <v>65976</v>
      </c>
      <c r="Y13" s="16">
        <v>65976</v>
      </c>
      <c r="Z13" s="13"/>
      <c r="AA13" s="13"/>
    </row>
    <row r="14" spans="1:27" x14ac:dyDescent="0.25">
      <c r="A14" s="10" t="s">
        <v>174</v>
      </c>
      <c r="B14" s="10" t="s">
        <v>294</v>
      </c>
      <c r="C14" s="14">
        <f>_xll.BDH("AMGN US Equity","TOT_DBT_TO_CPTL_EX_OP_LEA_LIABS","FQ3 2019","FQ3 2019","Currency=USD","Period=FQ","BEST_FPERIOD_OVERRIDE=FQ","FILING_STATUS=MR","Sort=A","Dates=H","DateFormat=P","Fill=—","Direction=H","UseDPDF=Y")</f>
        <v>73.164199999999994</v>
      </c>
      <c r="D14" s="14">
        <f>_xll.BDH("AMGN US Equity","TOT_DBT_TO_CPTL_EX_OP_LEA_LIABS","FQ4 2019","FQ4 2019","Currency=USD","Period=FQ","BEST_FPERIOD_OVERRIDE=FQ","FILING_STATUS=MR","Sort=A","Dates=H","DateFormat=P","Fill=—","Direction=H","UseDPDF=Y")</f>
        <v>75.558400000000006</v>
      </c>
      <c r="E14" s="14">
        <f>_xll.BDH("AMGN US Equity","TOT_DBT_TO_CPTL_EX_OP_LEA_LIABS","FQ1 2020","FQ1 2020","Currency=USD","Period=FQ","BEST_FPERIOD_OVERRIDE=FQ","FILING_STATUS=MR","Sort=A","Dates=H","DateFormat=P","Fill=—","Direction=H","UseDPDF=Y")</f>
        <v>77.052199999999999</v>
      </c>
      <c r="F14" s="14">
        <f>_xll.BDH("AMGN US Equity","TOT_DBT_TO_CPTL_EX_OP_LEA_LIABS","FQ2 2020","FQ2 2020","Currency=USD","Period=FQ","BEST_FPERIOD_OVERRIDE=FQ","FILING_STATUS=MR","Sort=A","Dates=H","DateFormat=P","Fill=—","Direction=H","UseDPDF=Y")</f>
        <v>76.251599999999996</v>
      </c>
      <c r="G14" s="14">
        <f>_xll.BDH("AMGN US Equity","TOT_DBT_TO_CPTL_EX_OP_LEA_LIABS","FQ3 2020","FQ3 2020","Currency=USD","Period=FQ","BEST_FPERIOD_OVERRIDE=FQ","FILING_STATUS=MR","Sort=A","Dates=H","DateFormat=P","Fill=—","Direction=H","UseDPDF=Y")</f>
        <v>75.7791</v>
      </c>
      <c r="H14" s="14">
        <f>_xll.BDH("AMGN US Equity","TOT_DBT_TO_CPTL_EX_OP_LEA_LIABS","FQ4 2020","FQ4 2020","Currency=USD","Period=FQ","BEST_FPERIOD_OVERRIDE=FQ","FILING_STATUS=MR","Sort=A","Dates=H","DateFormat=P","Fill=—","Direction=H","UseDPDF=Y")</f>
        <v>77.806299999999993</v>
      </c>
      <c r="I14" s="14">
        <f>_xll.BDH("AMGN US Equity","TOT_DBT_TO_CPTL_EX_OP_LEA_LIABS","FQ1 2021","FQ1 2021","Currency=USD","Period=FQ","BEST_FPERIOD_OVERRIDE=FQ","FILING_STATUS=MR","Sort=A","Dates=H","DateFormat=P","Fill=—","Direction=H","UseDPDF=Y")</f>
        <v>77.786199999999994</v>
      </c>
      <c r="J14" s="14">
        <f>_xll.BDH("AMGN US Equity","TOT_DBT_TO_CPTL_EX_OP_LEA_LIABS","FQ2 2021","FQ2 2021","Currency=USD","Period=FQ","BEST_FPERIOD_OVERRIDE=FQ","FILING_STATUS=MR","Sort=A","Dates=H","DateFormat=P","Fill=—","Direction=H","UseDPDF=Y")</f>
        <v>79.899600000000007</v>
      </c>
      <c r="K14" s="14">
        <f>_xll.BDH("AMGN US Equity","TOT_DBT_TO_CPTL_EX_OP_LEA_LIABS","FQ3 2021","FQ3 2021","Currency=USD","Period=FQ","BEST_FPERIOD_OVERRIDE=FQ","FILING_STATUS=MR","Sort=A","Dates=H","DateFormat=P","Fill=—","Direction=H","UseDPDF=Y")</f>
        <v>82.057400000000001</v>
      </c>
      <c r="L14" s="14">
        <f>_xll.BDH("AMGN US Equity","TOT_DBT_TO_CPTL_EX_OP_LEA_LIABS","FQ4 2021","FQ4 2021","Currency=USD","Period=FQ","BEST_FPERIOD_OVERRIDE=FQ","FILING_STATUS=MR","Sort=A","Dates=H","DateFormat=P","Fill=—","Direction=H","UseDPDF=Y")</f>
        <v>83.253799999999998</v>
      </c>
      <c r="M14" s="14">
        <f>_xll.BDH("AMGN US Equity","TOT_DBT_TO_CPTL_EX_OP_LEA_LIABS","FQ1 2022","FQ1 2022","Currency=USD","Period=FQ","BEST_FPERIOD_OVERRIDE=FQ","FILING_STATUS=MR","Sort=A","Dates=H","DateFormat=P","Fill=—","Direction=H","UseDPDF=Y")</f>
        <v>97.574799999999996</v>
      </c>
      <c r="N14" s="14">
        <f>_xll.BDH("AMGN US Equity","TOT_DBT_TO_CPTL_EX_OP_LEA_LIABS","FQ2 2022","FQ2 2022","Currency=USD","Period=FQ","BEST_FPERIOD_OVERRIDE=FQ","FILING_STATUS=MR","Sort=A","Dates=H","DateFormat=P","Fill=—","Direction=H","UseDPDF=Y")</f>
        <v>93.787999999999997</v>
      </c>
      <c r="O14" s="14">
        <f>_xll.BDH("AMGN US Equity","TOT_DBT_TO_CPTL_EX_OP_LEA_LIABS","FQ3 2022","FQ3 2022","Currency=USD","Period=FQ","BEST_FPERIOD_OVERRIDE=FQ","FILING_STATUS=MR","Sort=A","Dates=H","DateFormat=P","Fill=—","Direction=H","UseDPDF=Y")</f>
        <v>91.375699999999995</v>
      </c>
      <c r="P14" s="14">
        <f>_xll.BDH("AMGN US Equity","TOT_DBT_TO_CPTL_EX_OP_LEA_LIABS","FQ4 2022","FQ4 2022","Currency=USD","Period=FQ","BEST_FPERIOD_OVERRIDE=FQ","FILING_STATUS=MR","Sort=A","Dates=H","DateFormat=P","Fill=—","Direction=H","UseDPDF=Y")</f>
        <v>91.407300000000006</v>
      </c>
      <c r="Q14" s="14">
        <f>_xll.BDH("AMGN US Equity","TOT_DBT_TO_CPTL_EX_OP_LEA_LIABS","FQ1 2023","FQ1 2023","Currency=USD","Period=FQ","BEST_FPERIOD_OVERRIDE=FQ","FILING_STATUS=MR","Sort=A","Dates=H","DateFormat=P","Fill=—","Direction=H","UseDPDF=Y")</f>
        <v>92.011099999999999</v>
      </c>
      <c r="R14" s="14">
        <f>_xll.BDH("AMGN US Equity","TOT_DBT_TO_CPTL_EX_OP_LEA_LIABS","FQ2 2023","FQ2 2023","Currency=USD","Period=FQ","BEST_FPERIOD_OVERRIDE=FQ","FILING_STATUS=MR","Sort=A","Dates=H","DateFormat=P","Fill=—","Direction=H","UseDPDF=Y")</f>
        <v>90.075400000000002</v>
      </c>
      <c r="S14" s="14">
        <f>_xll.BDH("AMGN US Equity","TOT_DBT_TO_CPTL_EX_OP_LEA_LIABS","FQ3 2023","FQ3 2023","Currency=USD","Period=FQ","BEST_FPERIOD_OVERRIDE=FQ","FILING_STATUS=MR","Sort=A","Dates=H","DateFormat=P","Fill=—","Direction=H","UseDPDF=Y")</f>
        <v>88.761700000000005</v>
      </c>
      <c r="T14" s="14">
        <f>_xll.BDH("AMGN US Equity","TOT_DBT_TO_CPTL_EX_OP_LEA_LIABS","FQ4 2023","FQ4 2023","Currency=USD","Period=FQ","BEST_FPERIOD_OVERRIDE=FQ","FILING_STATUS=MR","Sort=A","Dates=H","DateFormat=P","Fill=—","Direction=H","UseDPDF=Y")</f>
        <v>91.203299999999999</v>
      </c>
      <c r="U14" s="14">
        <f>_xll.BDH("AMGN US Equity","TOT_DBT_TO_CPTL_EX_OP_LEA_LIABS","FQ1 2024","FQ1 2024","Currency=USD","Period=FQ","BEST_FPERIOD_OVERRIDE=FQ","FILING_STATUS=MR","Sort=A","Dates=H","DateFormat=P","Fill=—","Direction=H","UseDPDF=Y")</f>
        <v>92.726200000000006</v>
      </c>
      <c r="V14" s="14">
        <f>_xll.BDH("AMGN US Equity","TOT_DBT_TO_CPTL_EX_OP_LEA_LIABS","FQ2 2024","FQ2 2024","Currency=USD","Period=FQ","BEST_FPERIOD_OVERRIDE=FQ","FILING_STATUS=MR","Sort=A","Dates=H","DateFormat=P","Fill=—","Direction=H","UseDPDF=Y")</f>
        <v>91.359200000000001</v>
      </c>
      <c r="W14" s="14">
        <f>_xll.BDH("AMGN US Equity","TOT_DBT_TO_CPTL_EX_OP_LEA_LIABS","FQ3 2024","FQ3 2024","Currency=USD","Period=FQ","BEST_FPERIOD_OVERRIDE=FQ","FILING_STATUS=MR","Sort=A","Dates=H","DateFormat=P","Fill=—","Direction=H","UseDPDF=Y")</f>
        <v>88.918700000000001</v>
      </c>
      <c r="X14" s="14">
        <f>_xll.BDH("AMGN US Equity","TOT_DBT_TO_CPTL_EX_OP_LEA_LIABS","FQ4 2024","FQ4 2024","Currency=USD","Period=FQ","BEST_FPERIOD_OVERRIDE=FQ","FILING_STATUS=MR","Sort=A","Dates=H","DateFormat=P","Fill=—","Direction=H","UseDPDF=Y")</f>
        <v>91.092200000000005</v>
      </c>
      <c r="Y14" s="17">
        <v>91.0922153510367</v>
      </c>
      <c r="Z14" s="14"/>
      <c r="AA14" s="14"/>
    </row>
    <row r="15" spans="1:27" x14ac:dyDescent="0.25">
      <c r="A15" s="10" t="s">
        <v>176</v>
      </c>
      <c r="B15" s="10" t="s">
        <v>295</v>
      </c>
      <c r="C15" s="14">
        <f>_xll.BDH("AMGN US Equity","TOT_DEBT_TO_EV_EX_OPER_LEA_LIABS","FQ3 2019","FQ3 2019","Currency=USD","Period=FQ","BEST_FPERIOD_OVERRIDE=FQ","FILING_STATUS=MR","Sort=A","Dates=H","DateFormat=P","Fill=—","Direction=H","UseDPDF=Y")</f>
        <v>0.2397</v>
      </c>
      <c r="D15" s="14">
        <f>_xll.BDH("AMGN US Equity","TOT_DEBT_TO_EV_EX_OPER_LEA_LIABS","FQ4 2019","FQ4 2019","Currency=USD","Period=FQ","BEST_FPERIOD_OVERRIDE=FQ","FILING_STATUS=MR","Sort=A","Dates=H","DateFormat=P","Fill=—","Direction=H","UseDPDF=Y")</f>
        <v>0.18279999999999999</v>
      </c>
      <c r="E15" s="14">
        <f>_xll.BDH("AMGN US Equity","TOT_DEBT_TO_EV_EX_OPER_LEA_LIABS","FQ1 2020","FQ1 2020","Currency=USD","Period=FQ","BEST_FPERIOD_OVERRIDE=FQ","FILING_STATUS=MR","Sort=A","Dates=H","DateFormat=P","Fill=—","Direction=H","UseDPDF=Y")</f>
        <v>0.22259999999999999</v>
      </c>
      <c r="F15" s="14">
        <f>_xll.BDH("AMGN US Equity","TOT_DEBT_TO_EV_EX_OPER_LEA_LIABS","FQ2 2020","FQ2 2020","Currency=USD","Period=FQ","BEST_FPERIOD_OVERRIDE=FQ","FILING_STATUS=MR","Sort=A","Dates=H","DateFormat=P","Fill=—","Direction=H","UseDPDF=Y")</f>
        <v>0.21240000000000001</v>
      </c>
      <c r="G15" s="14">
        <f>_xll.BDH("AMGN US Equity","TOT_DEBT_TO_EV_EX_OPER_LEA_LIABS","FQ3 2020","FQ3 2020","Currency=USD","Period=FQ","BEST_FPERIOD_OVERRIDE=FQ","FILING_STATUS=MR","Sort=A","Dates=H","DateFormat=P","Fill=—","Direction=H","UseDPDF=Y")</f>
        <v>0.2014</v>
      </c>
      <c r="H15" s="14">
        <f>_xll.BDH("AMGN US Equity","TOT_DEBT_TO_EV_EX_OPER_LEA_LIABS","FQ4 2020","FQ4 2020","Currency=USD","Period=FQ","BEST_FPERIOD_OVERRIDE=FQ","FILING_STATUS=MR","Sort=A","Dates=H","DateFormat=P","Fill=—","Direction=H","UseDPDF=Y")</f>
        <v>0.21240000000000001</v>
      </c>
      <c r="I15" s="14">
        <f>_xll.BDH("AMGN US Equity","TOT_DEBT_TO_EV_EX_OPER_LEA_LIABS","FQ1 2021","FQ1 2021","Currency=USD","Period=FQ","BEST_FPERIOD_OVERRIDE=FQ","FILING_STATUS=MR","Sort=A","Dates=H","DateFormat=P","Fill=—","Direction=H","UseDPDF=Y")</f>
        <v>0.1978</v>
      </c>
      <c r="J15" s="14">
        <f>_xll.BDH("AMGN US Equity","TOT_DEBT_TO_EV_EX_OPER_LEA_LIABS","FQ2 2021","FQ2 2021","Currency=USD","Period=FQ","BEST_FPERIOD_OVERRIDE=FQ","FILING_STATUS=MR","Sort=A","Dates=H","DateFormat=P","Fill=—","Direction=H","UseDPDF=Y")</f>
        <v>0.20050000000000001</v>
      </c>
      <c r="K15" s="14">
        <f>_xll.BDH("AMGN US Equity","TOT_DEBT_TO_EV_EX_OPER_LEA_LIABS","FQ3 2021","FQ3 2021","Currency=USD","Period=FQ","BEST_FPERIOD_OVERRIDE=FQ","FILING_STATUS=MR","Sort=A","Dates=H","DateFormat=P","Fill=—","Direction=H","UseDPDF=Y")</f>
        <v>0.25950000000000001</v>
      </c>
      <c r="L15" s="14">
        <f>_xll.BDH("AMGN US Equity","TOT_DEBT_TO_EV_EX_OPER_LEA_LIABS","FQ4 2021","FQ4 2021","Currency=USD","Period=FQ","BEST_FPERIOD_OVERRIDE=FQ","FILING_STATUS=MR","Sort=A","Dates=H","DateFormat=P","Fill=—","Direction=H","UseDPDF=Y")</f>
        <v>0.2291</v>
      </c>
      <c r="M15" s="14">
        <f>_xll.BDH("AMGN US Equity","TOT_DEBT_TO_EV_EX_OPER_LEA_LIABS","FQ1 2022","FQ1 2022","Currency=USD","Period=FQ","BEST_FPERIOD_OVERRIDE=FQ","FILING_STATUS=MR","Sort=A","Dates=H","DateFormat=P","Fill=—","Direction=H","UseDPDF=Y")</f>
        <v>0.2311</v>
      </c>
      <c r="N15" s="14">
        <f>_xll.BDH("AMGN US Equity","TOT_DEBT_TO_EV_EX_OPER_LEA_LIABS","FQ2 2022","FQ2 2022","Currency=USD","Period=FQ","BEST_FPERIOD_OVERRIDE=FQ","FILING_STATUS=MR","Sort=A","Dates=H","DateFormat=P","Fill=—","Direction=H","UseDPDF=Y")</f>
        <v>0.22900000000000001</v>
      </c>
      <c r="O15" s="14">
        <f>_xll.BDH("AMGN US Equity","TOT_DEBT_TO_EV_EX_OPER_LEA_LIABS","FQ3 2022","FQ3 2022","Currency=USD","Period=FQ","BEST_FPERIOD_OVERRIDE=FQ","FILING_STATUS=MR","Sort=A","Dates=H","DateFormat=P","Fill=—","Direction=H","UseDPDF=Y")</f>
        <v>0.26240000000000002</v>
      </c>
      <c r="P15" s="14">
        <f>_xll.BDH("AMGN US Equity","TOT_DEBT_TO_EV_EX_OPER_LEA_LIABS","FQ4 2022","FQ4 2022","Currency=USD","Period=FQ","BEST_FPERIOD_OVERRIDE=FQ","FILING_STATUS=MR","Sort=A","Dates=H","DateFormat=P","Fill=—","Direction=H","UseDPDF=Y")</f>
        <v>0.22919999999999999</v>
      </c>
      <c r="Q15" s="14">
        <f>_xll.BDH("AMGN US Equity","TOT_DEBT_TO_EV_EX_OPER_LEA_LIABS","FQ1 2023","FQ1 2023","Currency=USD","Period=FQ","BEST_FPERIOD_OVERRIDE=FQ","FILING_STATUS=MR","Sort=A","Dates=H","DateFormat=P","Fill=—","Direction=H","UseDPDF=Y")</f>
        <v>0.38690000000000002</v>
      </c>
      <c r="R15" s="14">
        <f>_xll.BDH("AMGN US Equity","TOT_DEBT_TO_EV_EX_OPER_LEA_LIABS","FQ2 2023","FQ2 2023","Currency=USD","Period=FQ","BEST_FPERIOD_OVERRIDE=FQ","FILING_STATUS=MR","Sort=A","Dates=H","DateFormat=P","Fill=—","Direction=H","UseDPDF=Y")</f>
        <v>0.4214</v>
      </c>
      <c r="S15" s="14">
        <f>_xll.BDH("AMGN US Equity","TOT_DEBT_TO_EV_EX_OPER_LEA_LIABS","FQ3 2023","FQ3 2023","Currency=USD","Period=FQ","BEST_FPERIOD_OVERRIDE=FQ","FILING_STATUS=MR","Sort=A","Dates=H","DateFormat=P","Fill=—","Direction=H","UseDPDF=Y")</f>
        <v>0.35670000000000002</v>
      </c>
      <c r="T15" s="14">
        <f>_xll.BDH("AMGN US Equity","TOT_DEBT_TO_EV_EX_OPER_LEA_LIABS","FQ4 2023","FQ4 2023","Currency=USD","Period=FQ","BEST_FPERIOD_OVERRIDE=FQ","FILING_STATUS=MR","Sort=A","Dates=H","DateFormat=P","Fill=—","Direction=H","UseDPDF=Y")</f>
        <v>0.31080000000000002</v>
      </c>
      <c r="U15" s="14">
        <f>_xll.BDH("AMGN US Equity","TOT_DEBT_TO_EV_EX_OPER_LEA_LIABS","FQ1 2024","FQ1 2024","Currency=USD","Period=FQ","BEST_FPERIOD_OVERRIDE=FQ","FILING_STATUS=MR","Sort=A","Dates=H","DateFormat=P","Fill=—","Direction=H","UseDPDF=Y")</f>
        <v>0.3095</v>
      </c>
      <c r="V15" s="14">
        <f>_xll.BDH("AMGN US Equity","TOT_DEBT_TO_EV_EX_OPER_LEA_LIABS","FQ2 2024","FQ2 2024","Currency=USD","Period=FQ","BEST_FPERIOD_OVERRIDE=FQ","FILING_STATUS=MR","Sort=A","Dates=H","DateFormat=P","Fill=—","Direction=H","UseDPDF=Y")</f>
        <v>0.28320000000000001</v>
      </c>
      <c r="W15" s="14">
        <f>_xll.BDH("AMGN US Equity","TOT_DEBT_TO_EV_EX_OPER_LEA_LIABS","FQ3 2024","FQ3 2024","Currency=USD","Period=FQ","BEST_FPERIOD_OVERRIDE=FQ","FILING_STATUS=MR","Sort=A","Dates=H","DateFormat=P","Fill=—","Direction=H","UseDPDF=Y")</f>
        <v>0.26889999999999997</v>
      </c>
      <c r="X15" s="14">
        <f>_xll.BDH("AMGN US Equity","TOT_DEBT_TO_EV_EX_OPER_LEA_LIABS","FQ4 2024","FQ4 2024","Currency=USD","Period=FQ","BEST_FPERIOD_OVERRIDE=FQ","FILING_STATUS=MR","Sort=A","Dates=H","DateFormat=P","Fill=—","Direction=H","UseDPDF=Y")</f>
        <v>0.3196</v>
      </c>
      <c r="Y15" s="17">
        <v>0.281651151447878</v>
      </c>
      <c r="Z15" s="14"/>
      <c r="AA15" s="14"/>
    </row>
    <row r="16" spans="1:27" x14ac:dyDescent="0.25">
      <c r="A16" s="10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5"/>
      <c r="Z16" s="12"/>
      <c r="AA16" s="12"/>
    </row>
    <row r="17" spans="1:27" x14ac:dyDescent="0.25">
      <c r="A17" s="10" t="s">
        <v>178</v>
      </c>
      <c r="B17" s="10" t="s">
        <v>296</v>
      </c>
      <c r="C17" s="14">
        <f>_xll.BDH("AMGN US Equity","EV_EX_OPER_LEA_LIABS_TO_SALES","FQ3 2019","FQ3 2019","Currency=USD","Period=FQ","BEST_FPERIOD_OVERRIDE=FQ","FILING_STATUS=MR","FA_ADJUSTED=GAAP","Sort=A","Dates=H","DateFormat=P","Fill=—","Direction=H","UseDPDF=Y")</f>
        <v>5.3135000000000003</v>
      </c>
      <c r="D17" s="14">
        <f>_xll.BDH("AMGN US Equity","EV_EX_OPER_LEA_LIABS_TO_SALES","FQ4 2019","FQ4 2019","Currency=USD","Period=FQ","BEST_FPERIOD_OVERRIDE=FQ","FILING_STATUS=MR","FA_ADJUSTED=GAAP","Sort=A","Dates=H","DateFormat=P","Fill=—","Direction=H","UseDPDF=Y")</f>
        <v>7.0011000000000001</v>
      </c>
      <c r="E17" s="14">
        <f>_xll.BDH("AMGN US Equity","EV_EX_OPER_LEA_LIABS_TO_SALES","FQ1 2020","FQ1 2020","Currency=USD","Period=FQ","BEST_FPERIOD_OVERRIDE=FQ","FILING_STATUS=MR","FA_ADJUSTED=GAAP","Sort=A","Dates=H","DateFormat=P","Fill=—","Direction=H","UseDPDF=Y")</f>
        <v>5.9684999999999997</v>
      </c>
      <c r="F17" s="14">
        <f>_xll.BDH("AMGN US Equity","EV_EX_OPER_LEA_LIABS_TO_SALES","FQ2 2020","FQ2 2020","Currency=USD","Period=FQ","BEST_FPERIOD_OVERRIDE=FQ","FILING_STATUS=MR","FA_ADJUSTED=GAAP","Sort=A","Dates=H","DateFormat=P","Fill=—","Direction=H","UseDPDF=Y")</f>
        <v>6.6298000000000004</v>
      </c>
      <c r="G17" s="14">
        <f>_xll.BDH("AMGN US Equity","EV_EX_OPER_LEA_LIABS_TO_SALES","FQ3 2020","FQ3 2020","Currency=USD","Period=FQ","BEST_FPERIOD_OVERRIDE=FQ","FILING_STATUS=MR","FA_ADJUSTED=GAAP","Sort=A","Dates=H","DateFormat=P","Fill=—","Direction=H","UseDPDF=Y")</f>
        <v>6.8127000000000004</v>
      </c>
      <c r="H17" s="14">
        <f>_xll.BDH("AMGN US Equity","EV_EX_OPER_LEA_LIABS_TO_SALES","FQ4 2020","FQ4 2020","Currency=USD","Period=FQ","BEST_FPERIOD_OVERRIDE=FQ","FILING_STATUS=MR","FA_ADJUSTED=GAAP","Sort=A","Dates=H","DateFormat=P","Fill=—","Direction=H","UseDPDF=Y")</f>
        <v>6.1085000000000003</v>
      </c>
      <c r="I17" s="14">
        <f>_xll.BDH("AMGN US Equity","EV_EX_OPER_LEA_LIABS_TO_SALES","FQ1 2021","FQ1 2021","Currency=USD","Period=FQ","BEST_FPERIOD_OVERRIDE=FQ","FILING_STATUS=MR","FA_ADJUSTED=GAAP","Sort=A","Dates=H","DateFormat=P","Fill=—","Direction=H","UseDPDF=Y")</f>
        <v>6.5673000000000004</v>
      </c>
      <c r="J17" s="14">
        <f>_xll.BDH("AMGN US Equity","EV_EX_OPER_LEA_LIABS_TO_SALES","FQ2 2021","FQ2 2021","Currency=USD","Period=FQ","BEST_FPERIOD_OVERRIDE=FQ","FILING_STATUS=MR","FA_ADJUSTED=GAAP","Sort=A","Dates=H","DateFormat=P","Fill=—","Direction=H","UseDPDF=Y")</f>
        <v>6.4173999999999998</v>
      </c>
      <c r="K17" s="14">
        <f>_xll.BDH("AMGN US Equity","EV_EX_OPER_LEA_LIABS_TO_SALES","FQ3 2021","FQ3 2021","Currency=USD","Period=FQ","BEST_FPERIOD_OVERRIDE=FQ","FILING_STATUS=MR","FA_ADJUSTED=GAAP","Sort=A","Dates=H","DateFormat=P","Fill=—","Direction=H","UseDPDF=Y")</f>
        <v>5.6197999999999997</v>
      </c>
      <c r="L17" s="14">
        <f>_xll.BDH("AMGN US Equity","EV_EX_OPER_LEA_LIABS_TO_SALES","FQ4 2021","FQ4 2021","Currency=USD","Period=FQ","BEST_FPERIOD_OVERRIDE=FQ","FILING_STATUS=MR","FA_ADJUSTED=GAAP","Sort=A","Dates=H","DateFormat=P","Fill=—","Direction=H","UseDPDF=Y")</f>
        <v>5.5971000000000002</v>
      </c>
      <c r="M17" s="14">
        <f>_xll.BDH("AMGN US Equity","EV_EX_OPER_LEA_LIABS_TO_SALES","FQ1 2022","FQ1 2022","Currency=USD","Period=FQ","BEST_FPERIOD_OVERRIDE=FQ","FILING_STATUS=MR","FA_ADJUSTED=GAAP","Sort=A","Dates=H","DateFormat=P","Fill=—","Direction=H","UseDPDF=Y")</f>
        <v>6.0606</v>
      </c>
      <c r="N17" s="14">
        <f>_xll.BDH("AMGN US Equity","EV_EX_OPER_LEA_LIABS_TO_SALES","FQ2 2022","FQ2 2022","Currency=USD","Period=FQ","BEST_FPERIOD_OVERRIDE=FQ","FILING_STATUS=MR","FA_ADJUSTED=GAAP","Sort=A","Dates=H","DateFormat=P","Fill=—","Direction=H","UseDPDF=Y")</f>
        <v>6.0446</v>
      </c>
      <c r="O17" s="14">
        <f>_xll.BDH("AMGN US Equity","EV_EX_OPER_LEA_LIABS_TO_SALES","FQ3 2022","FQ3 2022","Currency=USD","Period=FQ","BEST_FPERIOD_OVERRIDE=FQ","FILING_STATUS=MR","FA_ADJUSTED=GAAP","Sort=A","Dates=H","DateFormat=P","Fill=—","Direction=H","UseDPDF=Y")</f>
        <v>5.6010999999999997</v>
      </c>
      <c r="P17" s="14">
        <f>_xll.BDH("AMGN US Equity","EV_EX_OPER_LEA_LIABS_TO_SALES","FQ4 2022","FQ4 2022","Currency=USD","Period=FQ","BEST_FPERIOD_OVERRIDE=FQ","FILING_STATUS=MR","FA_ADJUSTED=GAAP","Sort=A","Dates=H","DateFormat=P","Fill=—","Direction=H","UseDPDF=Y")</f>
        <v>6.4539999999999997</v>
      </c>
      <c r="Q17" s="14">
        <f>_xll.BDH("AMGN US Equity","EV_EX_OPER_LEA_LIABS_TO_SALES","FQ1 2023","FQ1 2023","Currency=USD","Period=FQ","BEST_FPERIOD_OVERRIDE=FQ","FILING_STATUS=MR","FA_ADJUSTED=GAAP","Sort=A","Dates=H","DateFormat=P","Fill=—","Direction=H","UseDPDF=Y")</f>
        <v>6.0787000000000004</v>
      </c>
      <c r="R17" s="14">
        <f>_xll.BDH("AMGN US Equity","EV_EX_OPER_LEA_LIABS_TO_SALES","FQ2 2023","FQ2 2023","Currency=USD","Period=FQ","BEST_FPERIOD_OVERRIDE=FQ","FILING_STATUS=MR","FA_ADJUSTED=GAAP","Sort=A","Dates=H","DateFormat=P","Fill=—","Direction=H","UseDPDF=Y")</f>
        <v>5.4945000000000004</v>
      </c>
      <c r="S17" s="14">
        <f>_xll.BDH("AMGN US Equity","EV_EX_OPER_LEA_LIABS_TO_SALES","FQ3 2023","FQ3 2023","Currency=USD","Period=FQ","BEST_FPERIOD_OVERRIDE=FQ","FILING_STATUS=MR","FA_ADJUSTED=GAAP","Sort=A","Dates=H","DateFormat=P","Fill=—","Direction=H","UseDPDF=Y")</f>
        <v>6.3183999999999996</v>
      </c>
      <c r="T17" s="14">
        <f>_xll.BDH("AMGN US Equity","EV_EX_OPER_LEA_LIABS_TO_SALES","FQ4 2023","FQ4 2023","Currency=USD","Period=FQ","BEST_FPERIOD_OVERRIDE=FQ","FILING_STATUS=MR","FA_ADJUSTED=GAAP","Sort=A","Dates=H","DateFormat=P","Fill=—","Direction=H","UseDPDF=Y")</f>
        <v>7.3741000000000003</v>
      </c>
      <c r="U17" s="14">
        <f>_xll.BDH("AMGN US Equity","EV_EX_OPER_LEA_LIABS_TO_SALES","FQ1 2024","FQ1 2024","Currency=USD","Period=FQ","BEST_FPERIOD_OVERRIDE=FQ","FILING_STATUS=MR","FA_ADJUSTED=GAAP","Sort=A","Dates=H","DateFormat=P","Fill=—","Direction=H","UseDPDF=Y")</f>
        <v>7.0033000000000003</v>
      </c>
      <c r="V17" s="14">
        <f>_xll.BDH("AMGN US Equity","EV_EX_OPER_LEA_LIABS_TO_SALES","FQ2 2024","FQ2 2024","Currency=USD","Period=FQ","BEST_FPERIOD_OVERRIDE=FQ","FILING_STATUS=MR","FA_ADJUSTED=GAAP","Sort=A","Dates=H","DateFormat=P","Fill=—","Direction=H","UseDPDF=Y")</f>
        <v>7.1505000000000001</v>
      </c>
      <c r="W17" s="14">
        <f>_xll.BDH("AMGN US Equity","EV_EX_OPER_LEA_LIABS_TO_SALES","FQ3 2024","FQ3 2024","Currency=USD","Period=FQ","BEST_FPERIOD_OVERRIDE=FQ","FILING_STATUS=MR","FA_ADJUSTED=GAAP","Sort=A","Dates=H","DateFormat=P","Fill=—","Direction=H","UseDPDF=Y")</f>
        <v>6.9028</v>
      </c>
      <c r="X17" s="14">
        <f>_xll.BDH("AMGN US Equity","EV_EX_OPER_LEA_LIABS_TO_SALES","FQ4 2024","FQ4 2024","Currency=USD","Period=FQ","BEST_FPERIOD_OVERRIDE=FQ","FILING_STATUS=MR","FA_ADJUSTED=GAAP","Sort=A","Dates=H","DateFormat=P","Fill=—","Direction=H","UseDPDF=Y")</f>
        <v>5.6265999999999998</v>
      </c>
      <c r="Y17" s="17">
        <v>6.3840648804948499</v>
      </c>
      <c r="Z17" s="14">
        <v>6.0682880478215697</v>
      </c>
      <c r="AA17" s="14">
        <v>6.0363553528589602</v>
      </c>
    </row>
    <row r="18" spans="1:27" x14ac:dyDescent="0.25">
      <c r="A18" s="10" t="s">
        <v>180</v>
      </c>
      <c r="B18" s="10" t="s">
        <v>297</v>
      </c>
      <c r="C18" s="14">
        <f>_xll.BDH("AMGN US Equity","EV_TO_EBITDA_EX_OPERATING_LEASE","FQ3 2019","FQ3 2019","Currency=USD","Period=FQ","BEST_FPERIOD_OVERRIDE=FQ","FILING_STATUS=MR","FA_ADJUSTED=GAAP","Sort=A","Dates=H","DateFormat=P","Fill=—","Direction=H","UseDPDF=Y")</f>
        <v>10.3573</v>
      </c>
      <c r="D18" s="14">
        <f>_xll.BDH("AMGN US Equity","EV_TO_EBITDA_EX_OPERATING_LEASE","FQ4 2019","FQ4 2019","Currency=USD","Period=FQ","BEST_FPERIOD_OVERRIDE=FQ","FILING_STATUS=MR","FA_ADJUSTED=GAAP","Sort=A","Dates=H","DateFormat=P","Fill=—","Direction=H","UseDPDF=Y")</f>
        <v>13.7677</v>
      </c>
      <c r="E18" s="14">
        <f>_xll.BDH("AMGN US Equity","EV_TO_EBITDA_EX_OPERATING_LEASE","FQ1 2020","FQ1 2020","Currency=USD","Period=FQ","BEST_FPERIOD_OVERRIDE=FQ","FILING_STATUS=MR","FA_ADJUSTED=GAAP","Sort=A","Dates=H","DateFormat=P","Fill=—","Direction=H","UseDPDF=Y")</f>
        <v>11.7584</v>
      </c>
      <c r="F18" s="14">
        <f>_xll.BDH("AMGN US Equity","EV_TO_EBITDA_EX_OPERATING_LEASE","FQ2 2020","FQ2 2020","Currency=USD","Period=FQ","BEST_FPERIOD_OVERRIDE=FQ","FILING_STATUS=MR","FA_ADJUSTED=GAAP","Sort=A","Dates=H","DateFormat=P","Fill=—","Direction=H","UseDPDF=Y")</f>
        <v>13.1638</v>
      </c>
      <c r="G18" s="14">
        <f>_xll.BDH("AMGN US Equity","EV_TO_EBITDA_EX_OPERATING_LEASE","FQ3 2020","FQ3 2020","Currency=USD","Period=FQ","BEST_FPERIOD_OVERRIDE=FQ","FILING_STATUS=MR","FA_ADJUSTED=GAAP","Sort=A","Dates=H","DateFormat=P","Fill=—","Direction=H","UseDPDF=Y")</f>
        <v>13.5006</v>
      </c>
      <c r="H18" s="14">
        <f>_xll.BDH("AMGN US Equity","EV_TO_EBITDA_EX_OPERATING_LEASE","FQ4 2020","FQ4 2020","Currency=USD","Period=FQ","BEST_FPERIOD_OVERRIDE=FQ","FILING_STATUS=MR","FA_ADJUSTED=GAAP","Sort=A","Dates=H","DateFormat=P","Fill=—","Direction=H","UseDPDF=Y")</f>
        <v>12.190099999999999</v>
      </c>
      <c r="I18" s="14">
        <f>_xll.BDH("AMGN US Equity","EV_TO_EBITDA_EX_OPERATING_LEASE","FQ1 2021","FQ1 2021","Currency=USD","Period=FQ","BEST_FPERIOD_OVERRIDE=FQ","FILING_STATUS=MR","FA_ADJUSTED=GAAP","Sort=A","Dates=H","DateFormat=P","Fill=—","Direction=H","UseDPDF=Y")</f>
        <v>13.2653</v>
      </c>
      <c r="J18" s="14">
        <f>_xll.BDH("AMGN US Equity","EV_TO_EBITDA_EX_OPERATING_LEASE","FQ2 2021","FQ2 2021","Currency=USD","Period=FQ","BEST_FPERIOD_OVERRIDE=FQ","FILING_STATUS=MR","FA_ADJUSTED=GAAP","Sort=A","Dates=H","DateFormat=P","Fill=—","Direction=H","UseDPDF=Y")</f>
        <v>15.020200000000001</v>
      </c>
      <c r="K18" s="14">
        <f>_xll.BDH("AMGN US Equity","EV_TO_EBITDA_EX_OPERATING_LEASE","FQ3 2021","FQ3 2021","Currency=USD","Period=FQ","BEST_FPERIOD_OVERRIDE=FQ","FILING_STATUS=MR","FA_ADJUSTED=GAAP","Sort=A","Dates=H","DateFormat=P","Fill=—","Direction=H","UseDPDF=Y")</f>
        <v>13.4552</v>
      </c>
      <c r="L18" s="14">
        <f>_xll.BDH("AMGN US Equity","EV_TO_EBITDA_EX_OPERATING_LEASE","FQ4 2021","FQ4 2021","Currency=USD","Period=FQ","BEST_FPERIOD_OVERRIDE=FQ","FILING_STATUS=MR","FA_ADJUSTED=GAAP","Sort=A","Dates=H","DateFormat=P","Fill=—","Direction=H","UseDPDF=Y")</f>
        <v>13.1744</v>
      </c>
      <c r="M18" s="14">
        <f>_xll.BDH("AMGN US Equity","EV_TO_EBITDA_EX_OPERATING_LEASE","FQ1 2022","FQ1 2022","Currency=USD","Period=FQ","BEST_FPERIOD_OVERRIDE=FQ","FILING_STATUS=MR","FA_ADJUSTED=GAAP","Sort=A","Dates=H","DateFormat=P","Fill=—","Direction=H","UseDPDF=Y")</f>
        <v>13.980600000000001</v>
      </c>
      <c r="N18" s="14">
        <f>_xll.BDH("AMGN US Equity","EV_TO_EBITDA_EX_OPERATING_LEASE","FQ2 2022","FQ2 2022","Currency=USD","Period=FQ","BEST_FPERIOD_OVERRIDE=FQ","FILING_STATUS=MR","FA_ADJUSTED=GAAP","Sort=A","Dates=H","DateFormat=P","Fill=—","Direction=H","UseDPDF=Y")</f>
        <v>12.5289</v>
      </c>
      <c r="O18" s="14">
        <f>_xll.BDH("AMGN US Equity","EV_TO_EBITDA_EX_OPERATING_LEASE","FQ3 2022","FQ3 2022","Currency=USD","Period=FQ","BEST_FPERIOD_OVERRIDE=FQ","FILING_STATUS=MR","FA_ADJUSTED=GAAP","Sort=A","Dates=H","DateFormat=P","Fill=—","Direction=H","UseDPDF=Y")</f>
        <v>11.3461</v>
      </c>
      <c r="P18" s="14">
        <f>_xll.BDH("AMGN US Equity","EV_TO_EBITDA_EX_OPERATING_LEASE","FQ4 2022","FQ4 2022","Currency=USD","Period=FQ","BEST_FPERIOD_OVERRIDE=FQ","FILING_STATUS=MR","FA_ADJUSTED=GAAP","Sort=A","Dates=H","DateFormat=P","Fill=—","Direction=H","UseDPDF=Y")</f>
        <v>13.085599999999999</v>
      </c>
      <c r="Q18" s="14">
        <f>_xll.BDH("AMGN US Equity","EV_TO_EBITDA_EX_OPERATING_LEASE","FQ1 2023","FQ1 2023","Currency=USD","Period=FQ","BEST_FPERIOD_OVERRIDE=FQ","FILING_STATUS=MR","FA_ADJUSTED=GAAP","Sort=A","Dates=H","DateFormat=P","Fill=—","Direction=H","UseDPDF=Y")</f>
        <v>12.773899999999999</v>
      </c>
      <c r="R18" s="14">
        <f>_xll.BDH("AMGN US Equity","EV_TO_EBITDA_EX_OPERATING_LEASE","FQ2 2023","FQ2 2023","Currency=USD","Period=FQ","BEST_FPERIOD_OVERRIDE=FQ","FILING_STATUS=MR","FA_ADJUSTED=GAAP","Sort=A","Dates=H","DateFormat=P","Fill=—","Direction=H","UseDPDF=Y")</f>
        <v>11.2014</v>
      </c>
      <c r="S18" s="14">
        <f>_xll.BDH("AMGN US Equity","EV_TO_EBITDA_EX_OPERATING_LEASE","FQ3 2023","FQ3 2023","Currency=USD","Period=FQ","BEST_FPERIOD_OVERRIDE=FQ","FILING_STATUS=MR","FA_ADJUSTED=GAAP","Sort=A","Dates=H","DateFormat=P","Fill=—","Direction=H","UseDPDF=Y")</f>
        <v>13.609</v>
      </c>
      <c r="T18" s="14">
        <f>_xll.BDH("AMGN US Equity","EV_TO_EBITDA_EX_OPERATING_LEASE","FQ4 2023","FQ4 2023","Currency=USD","Period=FQ","BEST_FPERIOD_OVERRIDE=FQ","FILING_STATUS=MR","FA_ADJUSTED=GAAP","Sort=A","Dates=H","DateFormat=P","Fill=—","Direction=H","UseDPDF=Y")</f>
        <v>17.369199999999999</v>
      </c>
      <c r="U18" s="14">
        <f>_xll.BDH("AMGN US Equity","EV_TO_EBITDA_EX_OPERATING_LEASE","FQ1 2024","FQ1 2024","Currency=USD","Period=FQ","BEST_FPERIOD_OVERRIDE=FQ","FILING_STATUS=MR","FA_ADJUSTED=GAAP","Sort=A","Dates=H","DateFormat=P","Fill=—","Direction=H","UseDPDF=Y")</f>
        <v>17.9268</v>
      </c>
      <c r="V18" s="14">
        <f>_xll.BDH("AMGN US Equity","EV_TO_EBITDA_EX_OPERATING_LEASE","FQ2 2024","FQ2 2024","Currency=USD","Period=FQ","BEST_FPERIOD_OVERRIDE=FQ","FILING_STATUS=MR","FA_ADJUSTED=GAAP","Sort=A","Dates=H","DateFormat=P","Fill=—","Direction=H","UseDPDF=Y")</f>
        <v>19.633600000000001</v>
      </c>
      <c r="W18" s="14">
        <f>_xll.BDH("AMGN US Equity","EV_TO_EBITDA_EX_OPERATING_LEASE","FQ3 2024","FQ3 2024","Currency=USD","Period=FQ","BEST_FPERIOD_OVERRIDE=FQ","FILING_STATUS=MR","FA_ADJUSTED=GAAP","Sort=A","Dates=H","DateFormat=P","Fill=—","Direction=H","UseDPDF=Y")</f>
        <v>19.043099999999999</v>
      </c>
      <c r="X18" s="14">
        <f>_xll.BDH("AMGN US Equity","EV_TO_EBITDA_EX_OPERATING_LEASE","FQ4 2024","FQ4 2024","Currency=USD","Period=FQ","BEST_FPERIOD_OVERRIDE=FQ","FILING_STATUS=MR","FA_ADJUSTED=GAAP","Sort=A","Dates=H","DateFormat=P","Fill=—","Direction=H","UseDPDF=Y")</f>
        <v>14.635300000000001</v>
      </c>
      <c r="Y18" s="17">
        <v>16.605524090712802</v>
      </c>
      <c r="Z18" s="14">
        <v>11.1423192379134</v>
      </c>
      <c r="AA18" s="14">
        <v>10.8798695485115</v>
      </c>
    </row>
    <row r="19" spans="1:27" x14ac:dyDescent="0.25">
      <c r="A19" s="10" t="s">
        <v>182</v>
      </c>
      <c r="B19" s="10" t="s">
        <v>298</v>
      </c>
      <c r="C19" s="14">
        <f>_xll.BDH("AMGN US Equity","EV_TO_EBIT_EX_OPERATING_LEASE","FQ3 2019","FQ3 2019","Currency=USD","Period=FQ","BEST_FPERIOD_OVERRIDE=FQ","FILING_STATUS=MR","FA_ADJUSTED=GAAP","Sort=A","Dates=H","DateFormat=P","Fill=—","Direction=H","UseDPDF=Y")</f>
        <v>12.4209</v>
      </c>
      <c r="D19" s="14">
        <f>_xll.BDH("AMGN US Equity","EV_TO_EBIT_EX_OPERATING_LEASE","FQ4 2019","FQ4 2019","Currency=USD","Period=FQ","BEST_FPERIOD_OVERRIDE=FQ","FILING_STATUS=MR","FA_ADJUSTED=GAAP","Sort=A","Dates=H","DateFormat=P","Fill=—","Direction=H","UseDPDF=Y")</f>
        <v>16.907299999999999</v>
      </c>
      <c r="E19" s="14">
        <f>_xll.BDH("AMGN US Equity","EV_TO_EBIT_EX_OPERATING_LEASE","FQ1 2020","FQ1 2020","Currency=USD","Period=FQ","BEST_FPERIOD_OVERRIDE=FQ","FILING_STATUS=MR","FA_ADJUSTED=GAAP","Sort=A","Dates=H","DateFormat=P","Fill=—","Direction=H","UseDPDF=Y")</f>
        <v>14.9672</v>
      </c>
      <c r="F19" s="14">
        <f>_xll.BDH("AMGN US Equity","EV_TO_EBIT_EX_OPERATING_LEASE","FQ2 2020","FQ2 2020","Currency=USD","Period=FQ","BEST_FPERIOD_OVERRIDE=FQ","FILING_STATUS=MR","FA_ADJUSTED=GAAP","Sort=A","Dates=H","DateFormat=P","Fill=—","Direction=H","UseDPDF=Y")</f>
        <v>17.508299999999998</v>
      </c>
      <c r="G19" s="14">
        <f>_xll.BDH("AMGN US Equity","EV_TO_EBIT_EX_OPERATING_LEASE","FQ3 2020","FQ3 2020","Currency=USD","Period=FQ","BEST_FPERIOD_OVERRIDE=FQ","FILING_STATUS=MR","FA_ADJUSTED=GAAP","Sort=A","Dates=H","DateFormat=P","Fill=—","Direction=H","UseDPDF=Y")</f>
        <v>18.545500000000001</v>
      </c>
      <c r="H19" s="14">
        <f>_xll.BDH("AMGN US Equity","EV_TO_EBIT_EX_OPERATING_LEASE","FQ4 2020","FQ4 2020","Currency=USD","Period=FQ","BEST_FPERIOD_OVERRIDE=FQ","FILING_STATUS=MR","FA_ADJUSTED=GAAP","Sort=A","Dates=H","DateFormat=P","Fill=—","Direction=H","UseDPDF=Y")</f>
        <v>16.993300000000001</v>
      </c>
      <c r="I19" s="14">
        <f>_xll.BDH("AMGN US Equity","EV_TO_EBIT_EX_OPERATING_LEASE","FQ1 2021","FQ1 2021","Currency=USD","Period=FQ","BEST_FPERIOD_OVERRIDE=FQ","FILING_STATUS=MR","FA_ADJUSTED=GAAP","Sort=A","Dates=H","DateFormat=P","Fill=—","Direction=H","UseDPDF=Y")</f>
        <v>18.541399999999999</v>
      </c>
      <c r="J19" s="14">
        <f>_xll.BDH("AMGN US Equity","EV_TO_EBIT_EX_OPERATING_LEASE","FQ2 2021","FQ2 2021","Currency=USD","Period=FQ","BEST_FPERIOD_OVERRIDE=FQ","FILING_STATUS=MR","FA_ADJUSTED=GAAP","Sort=A","Dates=H","DateFormat=P","Fill=—","Direction=H","UseDPDF=Y")</f>
        <v>22.046399999999998</v>
      </c>
      <c r="K19" s="14">
        <f>_xll.BDH("AMGN US Equity","EV_TO_EBIT_EX_OPERATING_LEASE","FQ3 2021","FQ3 2021","Currency=USD","Period=FQ","BEST_FPERIOD_OVERRIDE=FQ","FILING_STATUS=MR","FA_ADJUSTED=GAAP","Sort=A","Dates=H","DateFormat=P","Fill=—","Direction=H","UseDPDF=Y")</f>
        <v>19.720199999999998</v>
      </c>
      <c r="L19" s="14">
        <f>_xll.BDH("AMGN US Equity","EV_TO_EBIT_EX_OPERATING_LEASE","FQ4 2021","FQ4 2021","Currency=USD","Period=FQ","BEST_FPERIOD_OVERRIDE=FQ","FILING_STATUS=MR","FA_ADJUSTED=GAAP","Sort=A","Dates=H","DateFormat=P","Fill=—","Direction=H","UseDPDF=Y")</f>
        <v>19.034700000000001</v>
      </c>
      <c r="M19" s="14">
        <f>_xll.BDH("AMGN US Equity","EV_TO_EBIT_EX_OPERATING_LEASE","FQ1 2022","FQ1 2022","Currency=USD","Period=FQ","BEST_FPERIOD_OVERRIDE=FQ","FILING_STATUS=MR","FA_ADJUSTED=GAAP","Sort=A","Dates=H","DateFormat=P","Fill=—","Direction=H","UseDPDF=Y")</f>
        <v>19.9114</v>
      </c>
      <c r="N19" s="14">
        <f>_xll.BDH("AMGN US Equity","EV_TO_EBIT_EX_OPERATING_LEASE","FQ2 2022","FQ2 2022","Currency=USD","Period=FQ","BEST_FPERIOD_OVERRIDE=FQ","FILING_STATUS=MR","FA_ADJUSTED=GAAP","Sort=A","Dates=H","DateFormat=P","Fill=—","Direction=H","UseDPDF=Y")</f>
        <v>17.042100000000001</v>
      </c>
      <c r="O19" s="14">
        <f>_xll.BDH("AMGN US Equity","EV_TO_EBIT_EX_OPERATING_LEASE","FQ3 2022","FQ3 2022","Currency=USD","Period=FQ","BEST_FPERIOD_OVERRIDE=FQ","FILING_STATUS=MR","FA_ADJUSTED=GAAP","Sort=A","Dates=H","DateFormat=P","Fill=—","Direction=H","UseDPDF=Y")</f>
        <v>15.298400000000001</v>
      </c>
      <c r="P19" s="14">
        <f>_xll.BDH("AMGN US Equity","EV_TO_EBIT_EX_OPERATING_LEASE","FQ4 2022","FQ4 2022","Currency=USD","Period=FQ","BEST_FPERIOD_OVERRIDE=FQ","FILING_STATUS=MR","FA_ADJUSTED=GAAP","Sort=A","Dates=H","DateFormat=P","Fill=—","Direction=H","UseDPDF=Y")</f>
        <v>17.759699999999999</v>
      </c>
      <c r="Q19" s="14">
        <f>_xll.BDH("AMGN US Equity","EV_TO_EBIT_EX_OPERATING_LEASE","FQ1 2023","FQ1 2023","Currency=USD","Period=FQ","BEST_FPERIOD_OVERRIDE=FQ","FILING_STATUS=MR","FA_ADJUSTED=GAAP","Sort=A","Dates=H","DateFormat=P","Fill=—","Direction=H","UseDPDF=Y")</f>
        <v>17.714600000000001</v>
      </c>
      <c r="R19" s="14">
        <f>_xll.BDH("AMGN US Equity","EV_TO_EBIT_EX_OPERATING_LEASE","FQ2 2023","FQ2 2023","Currency=USD","Period=FQ","BEST_FPERIOD_OVERRIDE=FQ","FILING_STATUS=MR","FA_ADJUSTED=GAAP","Sort=A","Dates=H","DateFormat=P","Fill=—","Direction=H","UseDPDF=Y")</f>
        <v>15.382300000000001</v>
      </c>
      <c r="S19" s="14">
        <f>_xll.BDH("AMGN US Equity","EV_TO_EBIT_EX_OPERATING_LEASE","FQ3 2023","FQ3 2023","Currency=USD","Period=FQ","BEST_FPERIOD_OVERRIDE=FQ","FILING_STATUS=MR","FA_ADJUSTED=GAAP","Sort=A","Dates=H","DateFormat=P","Fill=—","Direction=H","UseDPDF=Y")</f>
        <v>19.144100000000002</v>
      </c>
      <c r="T19" s="14">
        <f>_xll.BDH("AMGN US Equity","EV_TO_EBIT_EX_OPERATING_LEASE","FQ4 2023","FQ4 2023","Currency=USD","Period=FQ","BEST_FPERIOD_OVERRIDE=FQ","FILING_STATUS=MR","FA_ADJUSTED=GAAP","Sort=A","Dates=H","DateFormat=P","Fill=—","Direction=H","UseDPDF=Y")</f>
        <v>26.3233</v>
      </c>
      <c r="U19" s="14">
        <f>_xll.BDH("AMGN US Equity","EV_TO_EBIT_EX_OPERATING_LEASE","FQ1 2024","FQ1 2024","Currency=USD","Period=FQ","BEST_FPERIOD_OVERRIDE=FQ","FILING_STATUS=MR","FA_ADJUSTED=GAAP","Sort=A","Dates=H","DateFormat=P","Fill=—","Direction=H","UseDPDF=Y")</f>
        <v>29.6858</v>
      </c>
      <c r="V19" s="14">
        <f>_xll.BDH("AMGN US Equity","EV_TO_EBIT_EX_OPERATING_LEASE","FQ2 2024","FQ2 2024","Currency=USD","Period=FQ","BEST_FPERIOD_OVERRIDE=FQ","FILING_STATUS=MR","FA_ADJUSTED=GAAP","Sort=A","Dates=H","DateFormat=P","Fill=—","Direction=H","UseDPDF=Y")</f>
        <v>35.722200000000001</v>
      </c>
      <c r="W19" s="14">
        <f>_xll.BDH("AMGN US Equity","EV_TO_EBIT_EX_OPERATING_LEASE","FQ3 2024","FQ3 2024","Currency=USD","Period=FQ","BEST_FPERIOD_OVERRIDE=FQ","FILING_STATUS=MR","FA_ADJUSTED=GAAP","Sort=A","Dates=H","DateFormat=P","Fill=—","Direction=H","UseDPDF=Y")</f>
        <v>36.116900000000001</v>
      </c>
      <c r="X19" s="14">
        <f>_xll.BDH("AMGN US Equity","EV_TO_EBIT_EX_OPERATING_LEASE","FQ4 2024","FQ4 2024","Currency=USD","Period=FQ","BEST_FPERIOD_OVERRIDE=FQ","FILING_STATUS=MR","FA_ADJUSTED=GAAP","Sort=A","Dates=H","DateFormat=P","Fill=—","Direction=H","UseDPDF=Y")</f>
        <v>25.911200000000001</v>
      </c>
      <c r="Y19" s="17">
        <v>29.399419201661601</v>
      </c>
      <c r="Z19" s="14">
        <v>13.7128562842778</v>
      </c>
      <c r="AA19" s="14">
        <v>13.587937202703801</v>
      </c>
    </row>
    <row r="20" spans="1:27" x14ac:dyDescent="0.25">
      <c r="A20" s="10" t="s">
        <v>184</v>
      </c>
      <c r="B20" s="10" t="s">
        <v>299</v>
      </c>
      <c r="C20" s="14">
        <f>_xll.BDH("AMGN US Equity","EV_EX_OP_LEA_LIABS_TO_CF_TO_FIRM","FQ3 2019","FQ3 2019","Currency=USD","Period=FQ","BEST_FPERIOD_OVERRIDE=FQ","FILING_STATUS=MR","FA_ADJUSTED=GAAP","Sort=A","Dates=H","DateFormat=P","Fill=—","Direction=H","UseDPDF=Y")</f>
        <v>11.313800000000001</v>
      </c>
      <c r="D20" s="14">
        <f>_xll.BDH("AMGN US Equity","EV_EX_OP_LEA_LIABS_TO_CF_TO_FIRM","FQ4 2019","FQ4 2019","Currency=USD","Period=FQ","BEST_FPERIOD_OVERRIDE=FQ","FILING_STATUS=MR","FA_ADJUSTED=GAAP","Sort=A","Dates=H","DateFormat=P","Fill=—","Direction=H","UseDPDF=Y")</f>
        <v>15.9475</v>
      </c>
      <c r="E20" s="14">
        <f>_xll.BDH("AMGN US Equity","EV_EX_OP_LEA_LIABS_TO_CF_TO_FIRM","FQ1 2020","FQ1 2020","Currency=USD","Period=FQ","BEST_FPERIOD_OVERRIDE=FQ","FILING_STATUS=MR","FA_ADJUSTED=GAAP","Sort=A","Dates=H","DateFormat=P","Fill=—","Direction=H","UseDPDF=Y")</f>
        <v>13.545299999999999</v>
      </c>
      <c r="F20" s="14">
        <f>_xll.BDH("AMGN US Equity","EV_EX_OP_LEA_LIABS_TO_CF_TO_FIRM","FQ2 2020","FQ2 2020","Currency=USD","Period=FQ","BEST_FPERIOD_OVERRIDE=FQ","FILING_STATUS=MR","FA_ADJUSTED=GAAP","Sort=A","Dates=H","DateFormat=P","Fill=—","Direction=H","UseDPDF=Y")</f>
        <v>13.4594</v>
      </c>
      <c r="G20" s="14">
        <f>_xll.BDH("AMGN US Equity","EV_EX_OP_LEA_LIABS_TO_CF_TO_FIRM","FQ3 2020","FQ3 2020","Currency=USD","Period=FQ","BEST_FPERIOD_OVERRIDE=FQ","FILING_STATUS=MR","FA_ADJUSTED=GAAP","Sort=A","Dates=H","DateFormat=P","Fill=—","Direction=H","UseDPDF=Y")</f>
        <v>14.2226</v>
      </c>
      <c r="H20" s="14">
        <f>_xll.BDH("AMGN US Equity","EV_EX_OP_LEA_LIABS_TO_CF_TO_FIRM","FQ4 2020","FQ4 2020","Currency=USD","Period=FQ","BEST_FPERIOD_OVERRIDE=FQ","FILING_STATUS=MR","FA_ADJUSTED=GAAP","Sort=A","Dates=H","DateFormat=P","Fill=—","Direction=H","UseDPDF=Y")</f>
        <v>13.068</v>
      </c>
      <c r="I20" s="14">
        <f>_xll.BDH("AMGN US Equity","EV_EX_OP_LEA_LIABS_TO_CF_TO_FIRM","FQ1 2021","FQ1 2021","Currency=USD","Period=FQ","BEST_FPERIOD_OVERRIDE=FQ","FILING_STATUS=MR","FA_ADJUSTED=GAAP","Sort=A","Dates=H","DateFormat=P","Fill=—","Direction=H","UseDPDF=Y")</f>
        <v>14.0114</v>
      </c>
      <c r="J20" s="14">
        <f>_xll.BDH("AMGN US Equity","EV_EX_OP_LEA_LIABS_TO_CF_TO_FIRM","FQ2 2021","FQ2 2021","Currency=USD","Period=FQ","BEST_FPERIOD_OVERRIDE=FQ","FILING_STATUS=MR","FA_ADJUSTED=GAAP","Sort=A","Dates=H","DateFormat=P","Fill=—","Direction=H","UseDPDF=Y")</f>
        <v>15.0524</v>
      </c>
      <c r="K20" s="14">
        <f>_xll.BDH("AMGN US Equity","EV_EX_OP_LEA_LIABS_TO_CF_TO_FIRM","FQ3 2021","FQ3 2021","Currency=USD","Period=FQ","BEST_FPERIOD_OVERRIDE=FQ","FILING_STATUS=MR","FA_ADJUSTED=GAAP","Sort=A","Dates=H","DateFormat=P","Fill=—","Direction=H","UseDPDF=Y")</f>
        <v>14.637700000000001</v>
      </c>
      <c r="L20" s="14">
        <f>_xll.BDH("AMGN US Equity","EV_EX_OP_LEA_LIABS_TO_CF_TO_FIRM","FQ4 2021","FQ4 2021","Currency=USD","Period=FQ","BEST_FPERIOD_OVERRIDE=FQ","FILING_STATUS=MR","FA_ADJUSTED=GAAP","Sort=A","Dates=H","DateFormat=P","Fill=—","Direction=H","UseDPDF=Y")</f>
        <v>14.0984</v>
      </c>
      <c r="M20" s="14">
        <f>_xll.BDH("AMGN US Equity","EV_EX_OP_LEA_LIABS_TO_CF_TO_FIRM","FQ1 2022","FQ1 2022","Currency=USD","Period=FQ","BEST_FPERIOD_OVERRIDE=FQ","FILING_STATUS=MR","FA_ADJUSTED=GAAP","Sort=A","Dates=H","DateFormat=P","Fill=—","Direction=H","UseDPDF=Y")</f>
        <v>15.3642</v>
      </c>
      <c r="N20" s="14">
        <f>_xll.BDH("AMGN US Equity","EV_EX_OP_LEA_LIABS_TO_CF_TO_FIRM","FQ2 2022","FQ2 2022","Currency=USD","Period=FQ","BEST_FPERIOD_OVERRIDE=FQ","FILING_STATUS=MR","FA_ADJUSTED=GAAP","Sort=A","Dates=H","DateFormat=P","Fill=—","Direction=H","UseDPDF=Y")</f>
        <v>15.3042</v>
      </c>
      <c r="O20" s="14">
        <f>_xll.BDH("AMGN US Equity","EV_EX_OP_LEA_LIABS_TO_CF_TO_FIRM","FQ3 2022","FQ3 2022","Currency=USD","Period=FQ","BEST_FPERIOD_OVERRIDE=FQ","FILING_STATUS=MR","FA_ADJUSTED=GAAP","Sort=A","Dates=H","DateFormat=P","Fill=—","Direction=H","UseDPDF=Y")</f>
        <v>13.3432</v>
      </c>
      <c r="P20" s="14">
        <f>_xll.BDH("AMGN US Equity","EV_EX_OP_LEA_LIABS_TO_CF_TO_FIRM","FQ4 2022","FQ4 2022","Currency=USD","Period=FQ","BEST_FPERIOD_OVERRIDE=FQ","FILING_STATUS=MR","FA_ADJUSTED=GAAP","Sort=A","Dates=H","DateFormat=P","Fill=—","Direction=H","UseDPDF=Y")</f>
        <v>15.479699999999999</v>
      </c>
      <c r="Q20" s="14">
        <f>_xll.BDH("AMGN US Equity","EV_EX_OP_LEA_LIABS_TO_CF_TO_FIRM","FQ1 2023","FQ1 2023","Currency=USD","Period=FQ","BEST_FPERIOD_OVERRIDE=FQ","FILING_STATUS=MR","FA_ADJUSTED=GAAP","Sort=A","Dates=H","DateFormat=P","Fill=—","Direction=H","UseDPDF=Y")</f>
        <v>15.8284</v>
      </c>
      <c r="R20" s="14">
        <f>_xll.BDH("AMGN US Equity","EV_EX_OP_LEA_LIABS_TO_CF_TO_FIRM","FQ2 2023","FQ2 2023","Currency=USD","Period=FQ","BEST_FPERIOD_OVERRIDE=FQ","FILING_STATUS=MR","FA_ADJUSTED=GAAP","Sort=A","Dates=H","DateFormat=P","Fill=—","Direction=H","UseDPDF=Y")</f>
        <v>11.588900000000001</v>
      </c>
      <c r="S20" s="14">
        <f>_xll.BDH("AMGN US Equity","EV_EX_OP_LEA_LIABS_TO_CF_TO_FIRM","FQ3 2023","FQ3 2023","Currency=USD","Period=FQ","BEST_FPERIOD_OVERRIDE=FQ","FILING_STATUS=MR","FA_ADJUSTED=GAAP","Sort=A","Dates=H","DateFormat=P","Fill=—","Direction=H","UseDPDF=Y")</f>
        <v>13.332100000000001</v>
      </c>
      <c r="T20" s="14">
        <f>_xll.BDH("AMGN US Equity","EV_EX_OP_LEA_LIABS_TO_CF_TO_FIRM","FQ4 2023","FQ4 2023","Currency=USD","Period=FQ","BEST_FPERIOD_OVERRIDE=FQ","FILING_STATUS=MR","FA_ADJUSTED=GAAP","Sort=A","Dates=H","DateFormat=P","Fill=—","Direction=H","UseDPDF=Y")</f>
        <v>19.019600000000001</v>
      </c>
      <c r="U20" s="14">
        <f>_xll.BDH("AMGN US Equity","EV_EX_OP_LEA_LIABS_TO_CF_TO_FIRM","FQ1 2024","FQ1 2024","Currency=USD","Period=FQ","BEST_FPERIOD_OVERRIDE=FQ","FILING_STATUS=MR","FA_ADJUSTED=GAAP","Sort=A","Dates=H","DateFormat=P","Fill=—","Direction=H","UseDPDF=Y")</f>
        <v>19.098400000000002</v>
      </c>
      <c r="V20" s="14">
        <f>_xll.BDH("AMGN US Equity","EV_EX_OP_LEA_LIABS_TO_CF_TO_FIRM","FQ2 2024","FQ2 2024","Currency=USD","Period=FQ","BEST_FPERIOD_OVERRIDE=FQ","FILING_STATUS=MR","FA_ADJUSTED=GAAP","Sort=A","Dates=H","DateFormat=P","Fill=—","Direction=H","UseDPDF=Y")</f>
        <v>23.789000000000001</v>
      </c>
      <c r="W20" s="14">
        <f>_xll.BDH("AMGN US Equity","EV_EX_OP_LEA_LIABS_TO_CF_TO_FIRM","FQ3 2024","FQ3 2024","Currency=USD","Period=FQ","BEST_FPERIOD_OVERRIDE=FQ","FILING_STATUS=MR","FA_ADJUSTED=GAAP","Sort=A","Dates=H","DateFormat=P","Fill=—","Direction=H","UseDPDF=Y")</f>
        <v>22.0688</v>
      </c>
      <c r="X20" s="14">
        <f>_xll.BDH("AMGN US Equity","EV_EX_OP_LEA_LIABS_TO_CF_TO_FIRM","FQ4 2024","FQ4 2024","Currency=USD","Period=FQ","BEST_FPERIOD_OVERRIDE=FQ","FILING_STATUS=MR","FA_ADJUSTED=GAAP","Sort=A","Dates=H","DateFormat=P","Fill=—","Direction=H","UseDPDF=Y")</f>
        <v>13.1608</v>
      </c>
      <c r="Y20" s="17">
        <v>14.932472664748</v>
      </c>
      <c r="Z20" s="14"/>
      <c r="AA20" s="14"/>
    </row>
    <row r="21" spans="1:27" x14ac:dyDescent="0.25">
      <c r="A21" s="10" t="s">
        <v>186</v>
      </c>
      <c r="B21" s="10" t="s">
        <v>300</v>
      </c>
      <c r="C21" s="14">
        <f>_xll.BDH("AMGN US Equity","EV_EX_OP_LEA_LIAB_TO_FCF_TO_FIRM","FQ3 2019","FQ3 2019","Currency=USD","Period=FQ","BEST_FPERIOD_OVERRIDE=FQ","FILING_STATUS=MR","FA_ADJUSTED=GAAP","Sort=A","Dates=H","DateFormat=P","Fill=—","Direction=H","UseDPDF=Y")</f>
        <v>12.031000000000001</v>
      </c>
      <c r="D21" s="14">
        <f>_xll.BDH("AMGN US Equity","EV_EX_OP_LEA_LIAB_TO_FCF_TO_FIRM","FQ4 2019","FQ4 2019","Currency=USD","Period=FQ","BEST_FPERIOD_OVERRIDE=FQ","FILING_STATUS=MR","FA_ADJUSTED=GAAP","Sort=A","Dates=H","DateFormat=P","Fill=—","Direction=H","UseDPDF=Y")</f>
        <v>16.970099999999999</v>
      </c>
      <c r="E21" s="14">
        <f>_xll.BDH("AMGN US Equity","EV_EX_OP_LEA_LIAB_TO_FCF_TO_FIRM","FQ1 2020","FQ1 2020","Currency=USD","Period=FQ","BEST_FPERIOD_OVERRIDE=FQ","FILING_STATUS=MR","FA_ADJUSTED=GAAP","Sort=A","Dates=H","DateFormat=P","Fill=—","Direction=H","UseDPDF=Y")</f>
        <v>14.425000000000001</v>
      </c>
      <c r="F21" s="14">
        <f>_xll.BDH("AMGN US Equity","EV_EX_OP_LEA_LIAB_TO_FCF_TO_FIRM","FQ2 2020","FQ2 2020","Currency=USD","Period=FQ","BEST_FPERIOD_OVERRIDE=FQ","FILING_STATUS=MR","FA_ADJUSTED=GAAP","Sort=A","Dates=H","DateFormat=P","Fill=—","Direction=H","UseDPDF=Y")</f>
        <v>14.2423</v>
      </c>
      <c r="G21" s="14">
        <f>_xll.BDH("AMGN US Equity","EV_EX_OP_LEA_LIAB_TO_FCF_TO_FIRM","FQ3 2020","FQ3 2020","Currency=USD","Period=FQ","BEST_FPERIOD_OVERRIDE=FQ","FILING_STATUS=MR","FA_ADJUSTED=GAAP","Sort=A","Dates=H","DateFormat=P","Fill=—","Direction=H","UseDPDF=Y")</f>
        <v>15.003500000000001</v>
      </c>
      <c r="H21" s="14">
        <f>_xll.BDH("AMGN US Equity","EV_EX_OP_LEA_LIAB_TO_FCF_TO_FIRM","FQ4 2020","FQ4 2020","Currency=USD","Period=FQ","BEST_FPERIOD_OVERRIDE=FQ","FILING_STATUS=MR","FA_ADJUSTED=GAAP","Sort=A","Dates=H","DateFormat=P","Fill=—","Direction=H","UseDPDF=Y")</f>
        <v>13.772600000000001</v>
      </c>
      <c r="I21" s="14">
        <f>_xll.BDH("AMGN US Equity","EV_EX_OP_LEA_LIAB_TO_FCF_TO_FIRM","FQ1 2021","FQ1 2021","Currency=USD","Period=FQ","BEST_FPERIOD_OVERRIDE=FQ","FILING_STATUS=MR","FA_ADJUSTED=GAAP","Sort=A","Dates=H","DateFormat=P","Fill=—","Direction=H","UseDPDF=Y")</f>
        <v>14.8047</v>
      </c>
      <c r="J21" s="14">
        <f>_xll.BDH("AMGN US Equity","EV_EX_OP_LEA_LIAB_TO_FCF_TO_FIRM","FQ2 2021","FQ2 2021","Currency=USD","Period=FQ","BEST_FPERIOD_OVERRIDE=FQ","FILING_STATUS=MR","FA_ADJUSTED=GAAP","Sort=A","Dates=H","DateFormat=P","Fill=—","Direction=H","UseDPDF=Y")</f>
        <v>16.0243</v>
      </c>
      <c r="K21" s="14">
        <f>_xll.BDH("AMGN US Equity","EV_EX_OP_LEA_LIAB_TO_FCF_TO_FIRM","FQ3 2021","FQ3 2021","Currency=USD","Period=FQ","BEST_FPERIOD_OVERRIDE=FQ","FILING_STATUS=MR","FA_ADJUSTED=GAAP","Sort=A","Dates=H","DateFormat=P","Fill=—","Direction=H","UseDPDF=Y")</f>
        <v>15.866300000000001</v>
      </c>
      <c r="L21" s="14">
        <f>_xll.BDH("AMGN US Equity","EV_EX_OP_LEA_LIAB_TO_FCF_TO_FIRM","FQ4 2021","FQ4 2021","Currency=USD","Period=FQ","BEST_FPERIOD_OVERRIDE=FQ","FILING_STATUS=MR","FA_ADJUSTED=GAAP","Sort=A","Dates=H","DateFormat=P","Fill=—","Direction=H","UseDPDF=Y")</f>
        <v>15.413500000000001</v>
      </c>
      <c r="M21" s="14">
        <f>_xll.BDH("AMGN US Equity","EV_EX_OP_LEA_LIAB_TO_FCF_TO_FIRM","FQ1 2022","FQ1 2022","Currency=USD","Period=FQ","BEST_FPERIOD_OVERRIDE=FQ","FILING_STATUS=MR","FA_ADJUSTED=GAAP","Sort=A","Dates=H","DateFormat=P","Fill=—","Direction=H","UseDPDF=Y")</f>
        <v>16.829899999999999</v>
      </c>
      <c r="N21" s="14">
        <f>_xll.BDH("AMGN US Equity","EV_EX_OP_LEA_LIAB_TO_FCF_TO_FIRM","FQ2 2022","FQ2 2022","Currency=USD","Period=FQ","BEST_FPERIOD_OVERRIDE=FQ","FILING_STATUS=MR","FA_ADJUSTED=GAAP","Sort=A","Dates=H","DateFormat=P","Fill=—","Direction=H","UseDPDF=Y")</f>
        <v>16.866099999999999</v>
      </c>
      <c r="O21" s="14">
        <f>_xll.BDH("AMGN US Equity","EV_EX_OP_LEA_LIAB_TO_FCF_TO_FIRM","FQ3 2022","FQ3 2022","Currency=USD","Period=FQ","BEST_FPERIOD_OVERRIDE=FQ","FILING_STATUS=MR","FA_ADJUSTED=GAAP","Sort=A","Dates=H","DateFormat=P","Fill=—","Direction=H","UseDPDF=Y")</f>
        <v>14.5017</v>
      </c>
      <c r="P21" s="14">
        <f>_xll.BDH("AMGN US Equity","EV_EX_OP_LEA_LIAB_TO_FCF_TO_FIRM","FQ4 2022","FQ4 2022","Currency=USD","Period=FQ","BEST_FPERIOD_OVERRIDE=FQ","FILING_STATUS=MR","FA_ADJUSTED=GAAP","Sort=A","Dates=H","DateFormat=P","Fill=—","Direction=H","UseDPDF=Y")</f>
        <v>16.922899999999998</v>
      </c>
      <c r="Q21" s="14">
        <f>_xll.BDH("AMGN US Equity","EV_EX_OP_LEA_LIAB_TO_FCF_TO_FIRM","FQ1 2023","FQ1 2023","Currency=USD","Period=FQ","BEST_FPERIOD_OVERRIDE=FQ","FILING_STATUS=MR","FA_ADJUSTED=GAAP","Sort=A","Dates=H","DateFormat=P","Fill=—","Direction=H","UseDPDF=Y")</f>
        <v>17.752300000000002</v>
      </c>
      <c r="R21" s="14">
        <f>_xll.BDH("AMGN US Equity","EV_EX_OP_LEA_LIAB_TO_FCF_TO_FIRM","FQ2 2023","FQ2 2023","Currency=USD","Period=FQ","BEST_FPERIOD_OVERRIDE=FQ","FILING_STATUS=MR","FA_ADJUSTED=GAAP","Sort=A","Dates=H","DateFormat=P","Fill=—","Direction=H","UseDPDF=Y")</f>
        <v>12.713699999999999</v>
      </c>
      <c r="S21" s="14">
        <f>_xll.BDH("AMGN US Equity","EV_EX_OP_LEA_LIAB_TO_FCF_TO_FIRM","FQ3 2023","FQ3 2023","Currency=USD","Period=FQ","BEST_FPERIOD_OVERRIDE=FQ","FILING_STATUS=MR","FA_ADJUSTED=GAAP","Sort=A","Dates=H","DateFormat=P","Fill=—","Direction=H","UseDPDF=Y")</f>
        <v>14.725199999999999</v>
      </c>
      <c r="T21" s="14">
        <f>_xll.BDH("AMGN US Equity","EV_EX_OP_LEA_LIAB_TO_FCF_TO_FIRM","FQ4 2023","FQ4 2023","Currency=USD","Period=FQ","BEST_FPERIOD_OVERRIDE=FQ","FILING_STATUS=MR","FA_ADJUSTED=GAAP","Sort=A","Dates=H","DateFormat=P","Fill=—","Direction=H","UseDPDF=Y")</f>
        <v>21.173999999999999</v>
      </c>
      <c r="U21" s="14">
        <f>_xll.BDH("AMGN US Equity","EV_EX_OP_LEA_LIAB_TO_FCF_TO_FIRM","FQ1 2024","FQ1 2024","Currency=USD","Period=FQ","BEST_FPERIOD_OVERRIDE=FQ","FILING_STATUS=MR","FA_ADJUSTED=GAAP","Sort=A","Dates=H","DateFormat=P","Fill=—","Direction=H","UseDPDF=Y")</f>
        <v>21.037099999999999</v>
      </c>
      <c r="V21" s="14">
        <f>_xll.BDH("AMGN US Equity","EV_EX_OP_LEA_LIAB_TO_FCF_TO_FIRM","FQ2 2024","FQ2 2024","Currency=USD","Period=FQ","BEST_FPERIOD_OVERRIDE=FQ","FILING_STATUS=MR","FA_ADJUSTED=GAAP","Sort=A","Dates=H","DateFormat=P","Fill=—","Direction=H","UseDPDF=Y")</f>
        <v>26.543900000000001</v>
      </c>
      <c r="W21" s="14">
        <f>_xll.BDH("AMGN US Equity","EV_EX_OP_LEA_LIAB_TO_FCF_TO_FIRM","FQ3 2024","FQ3 2024","Currency=USD","Period=FQ","BEST_FPERIOD_OVERRIDE=FQ","FILING_STATUS=MR","FA_ADJUSTED=GAAP","Sort=A","Dates=H","DateFormat=P","Fill=—","Direction=H","UseDPDF=Y")</f>
        <v>24.404599999999999</v>
      </c>
      <c r="X21" s="14">
        <f>_xll.BDH("AMGN US Equity","EV_EX_OP_LEA_LIAB_TO_FCF_TO_FIRM","FQ4 2024","FQ4 2024","Currency=USD","Period=FQ","BEST_FPERIOD_OVERRIDE=FQ","FILING_STATUS=MR","FA_ADJUSTED=GAAP","Sort=A","Dates=H","DateFormat=P","Fill=—","Direction=H","UseDPDF=Y")</f>
        <v>14.254</v>
      </c>
      <c r="Y21" s="17">
        <v>16.1729097162595</v>
      </c>
      <c r="Z21" s="14"/>
      <c r="AA21" s="14"/>
    </row>
    <row r="22" spans="1:27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5"/>
      <c r="Z22" s="12"/>
      <c r="AA22" s="12"/>
    </row>
    <row r="23" spans="1:27" x14ac:dyDescent="0.25">
      <c r="A23" s="10" t="s">
        <v>188</v>
      </c>
      <c r="B23" s="10" t="s">
        <v>189</v>
      </c>
      <c r="C23" s="13">
        <f>_xll.BDH("AMGN US Equity","DILUTED_MKT_CAP","FQ3 2019","FQ3 2019","Currency=USD","Period=FQ","BEST_FPERIOD_OVERRIDE=FQ","FILING_STATUS=MR","SCALING_FORMAT=MLN","Sort=A","Dates=H","DateFormat=P","Fill=—","Direction=H","UseDPDF=Y")</f>
        <v>116493.02</v>
      </c>
      <c r="D23" s="13">
        <f>_xll.BDH("AMGN US Equity","DILUTED_MKT_CAP","FQ4 2019","FQ4 2019","Currency=USD","Period=FQ","BEST_FPERIOD_OVERRIDE=FQ","FILING_STATUS=MR","SCALING_FORMAT=MLN","Sort=A","Dates=H","DateFormat=P","Fill=—","Direction=H","UseDPDF=Y")</f>
        <v>144159.85999999999</v>
      </c>
      <c r="E23" s="13">
        <f>_xll.BDH("AMGN US Equity","DILUTED_MKT_CAP","FQ1 2020","FQ1 2020","Currency=USD","Period=FQ","BEST_FPERIOD_OVERRIDE=FQ","FILING_STATUS=MR","SCALING_FORMAT=MLN","Sort=A","Dates=H","DateFormat=P","Fill=—","Direction=H","UseDPDF=Y")</f>
        <v>120421.62</v>
      </c>
      <c r="F23" s="13">
        <f>_xll.BDH("AMGN US Equity","DILUTED_MKT_CAP","FQ2 2020","FQ2 2020","Currency=USD","Period=FQ","BEST_FPERIOD_OVERRIDE=FQ","FILING_STATUS=MR","SCALING_FORMAT=MLN","Sort=A","Dates=H","DateFormat=P","Fill=—","Direction=H","UseDPDF=Y")</f>
        <v>139629.12</v>
      </c>
      <c r="G23" s="13">
        <f>_xll.BDH("AMGN US Equity","DILUTED_MKT_CAP","FQ3 2020","FQ3 2020","Currency=USD","Period=FQ","BEST_FPERIOD_OVERRIDE=FQ","FILING_STATUS=MR","SCALING_FORMAT=MLN","Sort=A","Dates=H","DateFormat=P","Fill=—","Direction=H","UseDPDF=Y")</f>
        <v>149700.24</v>
      </c>
      <c r="H23" s="13">
        <f>_xll.BDH("AMGN US Equity","DILUTED_MKT_CAP","FQ4 2020","FQ4 2020","Currency=USD","Period=FQ","BEST_FPERIOD_OVERRIDE=FQ","FILING_STATUS=MR","SCALING_FORMAT=MLN","Sort=A","Dates=H","DateFormat=P","Fill=—","Direction=H","UseDPDF=Y")</f>
        <v>134503.20000000001</v>
      </c>
      <c r="I23" s="13">
        <f>_xll.BDH("AMGN US Equity","DILUTED_MKT_CAP","FQ1 2021","FQ1 2021","Currency=USD","Period=FQ","BEST_FPERIOD_OVERRIDE=FQ","FILING_STATUS=MR","SCALING_FORMAT=MLN","Sort=A","Dates=H","DateFormat=P","Fill=—","Direction=H","UseDPDF=Y")</f>
        <v>144558.60999999999</v>
      </c>
      <c r="J23" s="13">
        <f>_xll.BDH("AMGN US Equity","DILUTED_MKT_CAP","FQ2 2021","FQ2 2021","Currency=USD","Period=FQ","BEST_FPERIOD_OVERRIDE=FQ","FILING_STATUS=MR","SCALING_FORMAT=MLN","Sort=A","Dates=H","DateFormat=P","Fill=—","Direction=H","UseDPDF=Y")</f>
        <v>140400</v>
      </c>
      <c r="K23" s="13">
        <f>_xll.BDH("AMGN US Equity","DILUTED_MKT_CAP","FQ3 2021","FQ3 2021","Currency=USD","Period=FQ","BEST_FPERIOD_OVERRIDE=FQ","FILING_STATUS=MR","SCALING_FORMAT=MLN","Sort=A","Dates=H","DateFormat=P","Fill=—","Direction=H","UseDPDF=Y")</f>
        <v>121210.5</v>
      </c>
      <c r="L23" s="13">
        <f>_xll.BDH("AMGN US Equity","DILUTED_MKT_CAP","FQ4 2021","FQ4 2021","Currency=USD","Period=FQ","BEST_FPERIOD_OVERRIDE=FQ","FILING_STATUS=MR","SCALING_FORMAT=MLN","Sort=A","Dates=H","DateFormat=P","Fill=—","Direction=H","UseDPDF=Y")</f>
        <v>127108.05</v>
      </c>
      <c r="M23" s="13">
        <f>_xll.BDH("AMGN US Equity","DILUTED_MKT_CAP","FQ1 2022","FQ1 2022","Currency=USD","Period=FQ","BEST_FPERIOD_OVERRIDE=FQ","FILING_STATUS=MR","SCALING_FORMAT=MLN","Sort=A","Dates=H","DateFormat=P","Fill=—","Direction=H","UseDPDF=Y")</f>
        <v>133242.82</v>
      </c>
      <c r="N23" s="13">
        <f>_xll.BDH("AMGN US Equity","DILUTED_MKT_CAP","FQ2 2022","FQ2 2022","Currency=USD","Period=FQ","BEST_FPERIOD_OVERRIDE=FQ","FILING_STATUS=MR","SCALING_FORMAT=MLN","Sort=A","Dates=H","DateFormat=P","Fill=—","Direction=H","UseDPDF=Y")</f>
        <v>130652.1</v>
      </c>
      <c r="O23" s="13">
        <f>_xll.BDH("AMGN US Equity","DILUTED_MKT_CAP","FQ3 2022","FQ3 2022","Currency=USD","Period=FQ","BEST_FPERIOD_OVERRIDE=FQ","FILING_STATUS=MR","SCALING_FORMAT=MLN","Sort=A","Dates=H","DateFormat=P","Fill=—","Direction=H","UseDPDF=Y")</f>
        <v>121265.2</v>
      </c>
      <c r="P23" s="13">
        <f>_xll.BDH("AMGN US Equity","DILUTED_MKT_CAP","FQ4 2022","FQ4 2022","Currency=USD","Period=FQ","BEST_FPERIOD_OVERRIDE=FQ","FILING_STATUS=MR","SCALING_FORMAT=MLN","Sort=A","Dates=H","DateFormat=P","Fill=—","Direction=H","UseDPDF=Y")</f>
        <v>141562.96</v>
      </c>
      <c r="Q23" s="13">
        <f>_xll.BDH("AMGN US Equity","DILUTED_MKT_CAP","FQ1 2023","FQ1 2023","Currency=USD","Period=FQ","BEST_FPERIOD_OVERRIDE=FQ","FILING_STATUS=MR","SCALING_FORMAT=MLN","Sort=A","Dates=H","DateFormat=P","Fill=—","Direction=H","UseDPDF=Y")</f>
        <v>130061.5</v>
      </c>
      <c r="R23" s="13">
        <f>_xll.BDH("AMGN US Equity","DILUTED_MKT_CAP","FQ2 2023","FQ2 2023","Currency=USD","Period=FQ","BEST_FPERIOD_OVERRIDE=FQ","FILING_STATUS=MR","SCALING_FORMAT=MLN","Sort=A","Dates=H","DateFormat=P","Fill=—","Direction=H","UseDPDF=Y")</f>
        <v>119224.74</v>
      </c>
      <c r="S23" s="13">
        <f>_xll.BDH("AMGN US Equity","DILUTED_MKT_CAP","FQ3 2023","FQ3 2023","Currency=USD","Period=FQ","BEST_FPERIOD_OVERRIDE=FQ","FILING_STATUS=MR","SCALING_FORMAT=MLN","Sort=A","Dates=H","DateFormat=P","Fill=—","Direction=H","UseDPDF=Y")</f>
        <v>144592.88</v>
      </c>
      <c r="T23" s="13">
        <f>_xll.BDH("AMGN US Equity","DILUTED_MKT_CAP","FQ4 2023","FQ4 2023","Currency=USD","Period=FQ","BEST_FPERIOD_OVERRIDE=FQ","FILING_STATUS=MR","SCALING_FORMAT=MLN","Sort=A","Dates=H","DateFormat=P","Fill=—","Direction=H","UseDPDF=Y")</f>
        <v>155530.79999999999</v>
      </c>
      <c r="U23" s="13">
        <f>_xll.BDH("AMGN US Equity","DILUTED_MKT_CAP","FQ1 2024","FQ1 2024","Currency=USD","Period=FQ","BEST_FPERIOD_OVERRIDE=FQ","FILING_STATUS=MR","SCALING_FORMAT=MLN","Sort=A","Dates=H","DateFormat=P","Fill=—","Direction=H","UseDPDF=Y")</f>
        <v>152395.51999999999</v>
      </c>
      <c r="V23" s="13">
        <f>_xll.BDH("AMGN US Equity","DILUTED_MKT_CAP","FQ2 2024","FQ2 2024","Currency=USD","Period=FQ","BEST_FPERIOD_OVERRIDE=FQ","FILING_STATUS=MR","SCALING_FORMAT=MLN","Sort=A","Dates=H","DateFormat=P","Fill=—","Direction=H","UseDPDF=Y")</f>
        <v>169035.45</v>
      </c>
      <c r="W23" s="13">
        <f>_xll.BDH("AMGN US Equity","DILUTED_MKT_CAP","FQ3 2024","FQ3 2024","Currency=USD","Period=FQ","BEST_FPERIOD_OVERRIDE=FQ","FILING_STATUS=MR","SCALING_FORMAT=MLN","Sort=A","Dates=H","DateFormat=P","Fill=—","Direction=H","UseDPDF=Y")</f>
        <v>174637.82</v>
      </c>
      <c r="X23" s="13">
        <f>_xll.BDH("AMGN US Equity","DILUTED_MKT_CAP","FQ4 2024","FQ4 2024","Currency=USD","Period=FQ","BEST_FPERIOD_OVERRIDE=FQ","FILING_STATUS=MR","SCALING_FORMAT=MLN","Sort=A","Dates=H","DateFormat=P","Fill=—","Direction=H","UseDPDF=Y")</f>
        <v>141266.88</v>
      </c>
      <c r="Y23" s="16">
        <v>166730.037353516</v>
      </c>
      <c r="Z23" s="13"/>
      <c r="AA23" s="13"/>
    </row>
    <row r="24" spans="1:27" x14ac:dyDescent="0.25">
      <c r="A24" s="10" t="s">
        <v>190</v>
      </c>
      <c r="B24" s="10" t="s">
        <v>301</v>
      </c>
      <c r="C24" s="13">
        <f>_xll.BDH("AMGN US Equity","DILUTED_EV_EX_OPERATING_LEASE","FQ3 2019","FQ3 2019","Currency=USD","Period=FQ","BEST_FPERIOD_OVERRIDE=FQ","FILING_STATUS=MR","SCALING_FORMAT=MLN","Sort=A","Dates=H","DateFormat=P","Fill=—","Direction=H","UseDPDF=Y")</f>
        <v>124886.4783</v>
      </c>
      <c r="D24" s="13">
        <f>_xll.BDH("AMGN US Equity","DILUTED_EV_EX_OPERATING_LEASE","FQ4 2019","FQ4 2019","Currency=USD","Period=FQ","BEST_FPERIOD_OVERRIDE=FQ","FILING_STATUS=MR","SCALING_FORMAT=MLN","Sort=A","Dates=H","DateFormat=P","Fill=—","Direction=H","UseDPDF=Y")</f>
        <v>164762.8958</v>
      </c>
      <c r="E24" s="13">
        <f>_xll.BDH("AMGN US Equity","DILUTED_EV_EX_OPERATING_LEASE","FQ1 2020","FQ1 2020","Currency=USD","Period=FQ","BEST_FPERIOD_OVERRIDE=FQ","FILING_STATUS=MR","SCALING_FORMAT=MLN","Sort=A","Dates=H","DateFormat=P","Fill=—","Direction=H","UseDPDF=Y")</f>
        <v>143849.4111</v>
      </c>
      <c r="F24" s="13">
        <f>_xll.BDH("AMGN US Equity","DILUTED_EV_EX_OPERATING_LEASE","FQ2 2020","FQ2 2020","Currency=USD","Period=FQ","BEST_FPERIOD_OVERRIDE=FQ","FILING_STATUS=MR","SCALING_FORMAT=MLN","Sort=A","Dates=H","DateFormat=P","Fill=—","Direction=H","UseDPDF=Y")</f>
        <v>162052.17679999999</v>
      </c>
      <c r="G24" s="13">
        <f>_xll.BDH("AMGN US Equity","DILUTED_EV_EX_OPERATING_LEASE","FQ3 2020","FQ3 2020","Currency=USD","Period=FQ","BEST_FPERIOD_OVERRIDE=FQ","FILING_STATUS=MR","SCALING_FORMAT=MLN","Sort=A","Dates=H","DateFormat=P","Fill=—","Direction=H","UseDPDF=Y")</f>
        <v>171243.39319999999</v>
      </c>
      <c r="H24" s="13">
        <f>_xll.BDH("AMGN US Equity","DILUTED_EV_EX_OPERATING_LEASE","FQ4 2020","FQ4 2020","Currency=USD","Period=FQ","BEST_FPERIOD_OVERRIDE=FQ","FILING_STATUS=MR","SCALING_FORMAT=MLN","Sort=A","Dates=H","DateFormat=P","Fill=—","Direction=H","UseDPDF=Y")</f>
        <v>156217.1421</v>
      </c>
      <c r="I24" s="13">
        <f>_xll.BDH("AMGN US Equity","DILUTED_EV_EX_OPERATING_LEASE","FQ1 2021","FQ1 2021","Currency=USD","Period=FQ","BEST_FPERIOD_OVERRIDE=FQ","FILING_STATUS=MR","SCALING_FORMAT=MLN","Sort=A","Dates=H","DateFormat=P","Fill=—","Direction=H","UseDPDF=Y")</f>
        <v>166251.70079999999</v>
      </c>
      <c r="J24" s="13">
        <f>_xll.BDH("AMGN US Equity","DILUTED_EV_EX_OPERATING_LEASE","FQ2 2021","FQ2 2021","Currency=USD","Period=FQ","BEST_FPERIOD_OVERRIDE=FQ","FILING_STATUS=MR","SCALING_FORMAT=MLN","Sort=A","Dates=H","DateFormat=P","Fill=—","Direction=H","UseDPDF=Y")</f>
        <v>164266.91099999999</v>
      </c>
      <c r="K24" s="13">
        <f>_xll.BDH("AMGN US Equity","DILUTED_EV_EX_OPERATING_LEASE","FQ3 2021","FQ3 2021","Currency=USD","Period=FQ","BEST_FPERIOD_OVERRIDE=FQ","FILING_STATUS=MR","SCALING_FORMAT=MLN","Sort=A","Dates=H","DateFormat=P","Fill=—","Direction=H","UseDPDF=Y")</f>
        <v>145440.9497</v>
      </c>
      <c r="L24" s="13">
        <f>_xll.BDH("AMGN US Equity","DILUTED_EV_EX_OPERATING_LEASE","FQ4 2021","FQ4 2021","Currency=USD","Period=FQ","BEST_FPERIOD_OVERRIDE=FQ","FILING_STATUS=MR","SCALING_FORMAT=MLN","Sort=A","Dates=H","DateFormat=P","Fill=—","Direction=H","UseDPDF=Y")</f>
        <v>146047.26459999999</v>
      </c>
      <c r="M24" s="13">
        <f>_xll.BDH("AMGN US Equity","DILUTED_EV_EX_OPERATING_LEASE","FQ1 2022","FQ1 2022","Currency=USD","Period=FQ","BEST_FPERIOD_OVERRIDE=FQ","FILING_STATUS=MR","SCALING_FORMAT=MLN","Sort=A","Dates=H","DateFormat=P","Fill=—","Direction=H","UseDPDF=Y")</f>
        <v>160197.4351</v>
      </c>
      <c r="N24" s="13">
        <f>_xll.BDH("AMGN US Equity","DILUTED_EV_EX_OPERATING_LEASE","FQ2 2022","FQ2 2022","Currency=USD","Period=FQ","BEST_FPERIOD_OVERRIDE=FQ","FILING_STATUS=MR","SCALING_FORMAT=MLN","Sort=A","Dates=H","DateFormat=P","Fill=—","Direction=H","UseDPDF=Y")</f>
        <v>159966.679</v>
      </c>
      <c r="O24" s="13">
        <f>_xll.BDH("AMGN US Equity","DILUTED_EV_EX_OPERATING_LEASE","FQ3 2022","FQ3 2022","Currency=USD","Period=FQ","BEST_FPERIOD_OVERRIDE=FQ","FILING_STATUS=MR","SCALING_FORMAT=MLN","Sort=A","Dates=H","DateFormat=P","Fill=—","Direction=H","UseDPDF=Y")</f>
        <v>148151.2041</v>
      </c>
      <c r="P24" s="13">
        <f>_xll.BDH("AMGN US Equity","DILUTED_EV_EX_OPERATING_LEASE","FQ4 2022","FQ4 2022","Currency=USD","Period=FQ","BEST_FPERIOD_OVERRIDE=FQ","FILING_STATUS=MR","SCALING_FORMAT=MLN","Sort=A","Dates=H","DateFormat=P","Fill=—","Direction=H","UseDPDF=Y")</f>
        <v>170938.35630000001</v>
      </c>
      <c r="Q24" s="13">
        <f>_xll.BDH("AMGN US Equity","DILUTED_EV_EX_OPERATING_LEASE","FQ1 2023","FQ1 2023","Currency=USD","Period=FQ","BEST_FPERIOD_OVERRIDE=FQ","FILING_STATUS=MR","SCALING_FORMAT=MLN","Sort=A","Dates=H","DateFormat=P","Fill=—","Direction=H","UseDPDF=Y")</f>
        <v>160168.56830000001</v>
      </c>
      <c r="R24" s="13">
        <f>_xll.BDH("AMGN US Equity","DILUTED_EV_EX_OPERATING_LEASE","FQ2 2023","FQ2 2023","Currency=USD","Period=FQ","BEST_FPERIOD_OVERRIDE=FQ","FILING_STATUS=MR","SCALING_FORMAT=MLN","Sort=A","Dates=H","DateFormat=P","Fill=—","Direction=H","UseDPDF=Y")</f>
        <v>146498.45499999999</v>
      </c>
      <c r="S24" s="13">
        <f>_xll.BDH("AMGN US Equity","DILUTED_EV_EX_OPERATING_LEASE","FQ3 2023","FQ3 2023","Currency=USD","Period=FQ","BEST_FPERIOD_OVERRIDE=FQ","FILING_STATUS=MR","SCALING_FORMAT=MLN","Sort=A","Dates=H","DateFormat=P","Fill=—","Direction=H","UseDPDF=Y")</f>
        <v>170346.90669999999</v>
      </c>
      <c r="T24" s="13">
        <f>_xll.BDH("AMGN US Equity","DILUTED_EV_EX_OPERATING_LEASE","FQ4 2023","FQ4 2023","Currency=USD","Period=FQ","BEST_FPERIOD_OVERRIDE=FQ","FILING_STATUS=MR","SCALING_FORMAT=MLN","Sort=A","Dates=H","DateFormat=P","Fill=—","Direction=H","UseDPDF=Y")</f>
        <v>209316.08470000001</v>
      </c>
      <c r="U24" s="13">
        <f>_xll.BDH("AMGN US Equity","DILUTED_EV_EX_OPERATING_LEASE","FQ1 2024","FQ1 2024","Currency=USD","Period=FQ","BEST_FPERIOD_OVERRIDE=FQ","FILING_STATUS=MR","SCALING_FORMAT=MLN","Sort=A","Dates=H","DateFormat=P","Fill=—","Direction=H","UseDPDF=Y")</f>
        <v>206821.24799999999</v>
      </c>
      <c r="V24" s="13">
        <f>_xll.BDH("AMGN US Equity","DILUTED_EV_EX_OPERATING_LEASE","FQ2 2024","FQ2 2024","Currency=USD","Period=FQ","BEST_FPERIOD_OVERRIDE=FQ","FILING_STATUS=MR","SCALING_FORMAT=MLN","Sort=A","Dates=H","DateFormat=P","Fill=—","Direction=H","UseDPDF=Y")</f>
        <v>222442.40549999999</v>
      </c>
      <c r="W24" s="13">
        <f>_xll.BDH("AMGN US Equity","DILUTED_EV_EX_OPERATING_LEASE","FQ3 2024","FQ3 2024","Currency=USD","Period=FQ","BEST_FPERIOD_OVERRIDE=FQ","FILING_STATUS=MR","SCALING_FORMAT=MLN","Sort=A","Dates=H","DateFormat=P","Fill=—","Direction=H","UseDPDF=Y")</f>
        <v>226187.42499999999</v>
      </c>
      <c r="X24" s="13">
        <f>_xll.BDH("AMGN US Equity","DILUTED_EV_EX_OPERATING_LEASE","FQ4 2024","FQ4 2024","Currency=USD","Period=FQ","BEST_FPERIOD_OVERRIDE=FQ","FILING_STATUS=MR","SCALING_FORMAT=MLN","Sort=A","Dates=H","DateFormat=P","Fill=—","Direction=H","UseDPDF=Y")</f>
        <v>189366.57329999999</v>
      </c>
      <c r="Y24" s="16">
        <v>189366.57331843601</v>
      </c>
      <c r="Z24" s="13"/>
      <c r="AA24" s="13"/>
    </row>
    <row r="25" spans="1:27" x14ac:dyDescent="0.25">
      <c r="A25" s="10" t="s">
        <v>192</v>
      </c>
      <c r="B25" s="10" t="s">
        <v>302</v>
      </c>
      <c r="C25" s="14">
        <f>_xll.BDH("AMGN US Equity","EV_EX_OP_LEA_LIAB_TO_SHS_OUTSTDG","FQ3 2019","FQ3 2019","Currency=USD","Period=FQ","BEST_FPERIOD_OVERRIDE=FQ","FILING_STATUS=MR","Sort=A","Dates=H","DateFormat=P","Fill=—","Direction=H","UseDPDF=Y")</f>
        <v>208.5016</v>
      </c>
      <c r="D25" s="14">
        <f>_xll.BDH("AMGN US Equity","EV_EX_OP_LEA_LIAB_TO_SHS_OUTSTDG","FQ4 2019","FQ4 2019","Currency=USD","Period=FQ","BEST_FPERIOD_OVERRIDE=FQ","FILING_STATUS=MR","Sort=A","Dates=H","DateFormat=P","Fill=—","Direction=H","UseDPDF=Y")</f>
        <v>276.56540000000001</v>
      </c>
      <c r="E25" s="14">
        <f>_xll.BDH("AMGN US Equity","EV_EX_OP_LEA_LIAB_TO_SHS_OUTSTDG","FQ1 2020","FQ1 2020","Currency=USD","Period=FQ","BEST_FPERIOD_OVERRIDE=FQ","FILING_STATUS=MR","Sort=A","Dates=H","DateFormat=P","Fill=—","Direction=H","UseDPDF=Y")</f>
        <v>243.26740000000001</v>
      </c>
      <c r="F25" s="14">
        <f>_xll.BDH("AMGN US Equity","EV_EX_OP_LEA_LIAB_TO_SHS_OUTSTDG","FQ2 2020","FQ2 2020","Currency=USD","Period=FQ","BEST_FPERIOD_OVERRIDE=FQ","FILING_STATUS=MR","Sort=A","Dates=H","DateFormat=P","Fill=—","Direction=H","UseDPDF=Y")</f>
        <v>274.74639999999999</v>
      </c>
      <c r="G25" s="14">
        <f>_xll.BDH("AMGN US Equity","EV_EX_OP_LEA_LIAB_TO_SHS_OUTSTDG","FQ3 2020","FQ3 2020","Currency=USD","Period=FQ","BEST_FPERIOD_OVERRIDE=FQ","FILING_STATUS=MR","Sort=A","Dates=H","DateFormat=P","Fill=—","Direction=H","UseDPDF=Y")</f>
        <v>291.73840000000001</v>
      </c>
      <c r="H25" s="14">
        <f>_xll.BDH("AMGN US Equity","EV_EX_OP_LEA_LIAB_TO_SHS_OUTSTDG","FQ4 2020","FQ4 2020","Currency=USD","Period=FQ","BEST_FPERIOD_OVERRIDE=FQ","FILING_STATUS=MR","Sort=A","Dates=H","DateFormat=P","Fill=—","Direction=H","UseDPDF=Y")</f>
        <v>268.5487</v>
      </c>
      <c r="I25" s="14">
        <f>_xll.BDH("AMGN US Equity","EV_EX_OP_LEA_LIAB_TO_SHS_OUTSTDG","FQ1 2021","FQ1 2021","Currency=USD","Period=FQ","BEST_FPERIOD_OVERRIDE=FQ","FILING_STATUS=MR","Sort=A","Dates=H","DateFormat=P","Fill=—","Direction=H","UseDPDF=Y")</f>
        <v>287.25779999999997</v>
      </c>
      <c r="J25" s="14">
        <f>_xll.BDH("AMGN US Equity","EV_EX_OP_LEA_LIAB_TO_SHS_OUTSTDG","FQ2 2021","FQ2 2021","Currency=USD","Period=FQ","BEST_FPERIOD_OVERRIDE=FQ","FILING_STATUS=MR","Sort=A","Dates=H","DateFormat=P","Fill=—","Direction=H","UseDPDF=Y")</f>
        <v>287.11380000000003</v>
      </c>
      <c r="K25" s="14">
        <f>_xll.BDH("AMGN US Equity","EV_EX_OP_LEA_LIAB_TO_SHS_OUTSTDG","FQ3 2021","FQ3 2021","Currency=USD","Period=FQ","BEST_FPERIOD_OVERRIDE=FQ","FILING_STATUS=MR","Sort=A","Dates=H","DateFormat=P","Fill=—","Direction=H","UseDPDF=Y")</f>
        <v>256.29250000000002</v>
      </c>
      <c r="L25" s="14">
        <f>_xll.BDH("AMGN US Equity","EV_EX_OP_LEA_LIAB_TO_SHS_OUTSTDG","FQ4 2021","FQ4 2021","Currency=USD","Period=FQ","BEST_FPERIOD_OVERRIDE=FQ","FILING_STATUS=MR","Sort=A","Dates=H","DateFormat=P","Fill=—","Direction=H","UseDPDF=Y")</f>
        <v>272.29579999999999</v>
      </c>
      <c r="M25" s="14">
        <f>_xll.BDH("AMGN US Equity","EV_EX_OP_LEA_LIAB_TO_SHS_OUTSTDG","FQ1 2022","FQ1 2022","Currency=USD","Period=FQ","BEST_FPERIOD_OVERRIDE=FQ","FILING_STATUS=MR","Sort=A","Dates=H","DateFormat=P","Fill=—","Direction=H","UseDPDF=Y")</f>
        <v>298.55900000000003</v>
      </c>
      <c r="N25" s="14">
        <f>_xll.BDH("AMGN US Equity","EV_EX_OP_LEA_LIAB_TO_SHS_OUTSTDG","FQ2 2022","FQ2 2022","Currency=USD","Period=FQ","BEST_FPERIOD_OVERRIDE=FQ","FILING_STATUS=MR","Sort=A","Dates=H","DateFormat=P","Fill=—","Direction=H","UseDPDF=Y")</f>
        <v>298.14949999999999</v>
      </c>
      <c r="O25" s="14">
        <f>_xll.BDH("AMGN US Equity","EV_EX_OP_LEA_LIAB_TO_SHS_OUTSTDG","FQ3 2022","FQ3 2022","Currency=USD","Period=FQ","BEST_FPERIOD_OVERRIDE=FQ","FILING_STATUS=MR","Sort=A","Dates=H","DateFormat=P","Fill=—","Direction=H","UseDPDF=Y")</f>
        <v>276.43279999999999</v>
      </c>
      <c r="P25" s="14">
        <f>_xll.BDH("AMGN US Equity","EV_EX_OP_LEA_LIAB_TO_SHS_OUTSTDG","FQ4 2022","FQ4 2022","Currency=USD","Period=FQ","BEST_FPERIOD_OVERRIDE=FQ","FILING_STATUS=MR","Sort=A","Dates=H","DateFormat=P","Fill=—","Direction=H","UseDPDF=Y")</f>
        <v>318.1456</v>
      </c>
      <c r="Q25" s="14">
        <f>_xll.BDH("AMGN US Equity","EV_EX_OP_LEA_LIAB_TO_SHS_OUTSTDG","FQ1 2023","FQ1 2023","Currency=USD","Period=FQ","BEST_FPERIOD_OVERRIDE=FQ","FILING_STATUS=MR","Sort=A","Dates=H","DateFormat=P","Fill=—","Direction=H","UseDPDF=Y")</f>
        <v>297.96190000000001</v>
      </c>
      <c r="R25" s="14">
        <f>_xll.BDH("AMGN US Equity","EV_EX_OP_LEA_LIAB_TO_SHS_OUTSTDG","FQ2 2023","FQ2 2023","Currency=USD","Period=FQ","BEST_FPERIOD_OVERRIDE=FQ","FILING_STATUS=MR","Sort=A","Dates=H","DateFormat=P","Fill=—","Direction=H","UseDPDF=Y")</f>
        <v>273.05009999999999</v>
      </c>
      <c r="S25" s="14">
        <f>_xll.BDH("AMGN US Equity","EV_EX_OP_LEA_LIAB_TO_SHS_OUTSTDG","FQ3 2023","FQ3 2023","Currency=USD","Period=FQ","BEST_FPERIOD_OVERRIDE=FQ","FILING_STATUS=MR","Sort=A","Dates=H","DateFormat=P","Fill=—","Direction=H","UseDPDF=Y")</f>
        <v>316.83890000000002</v>
      </c>
      <c r="T25" s="14">
        <f>_xll.BDH("AMGN US Equity","EV_EX_OP_LEA_LIAB_TO_SHS_OUTSTDG","FQ4 2023","FQ4 2023","Currency=USD","Period=FQ","BEST_FPERIOD_OVERRIDE=FQ","FILING_STATUS=MR","Sort=A","Dates=H","DateFormat=P","Fill=—","Direction=H","UseDPDF=Y")</f>
        <v>388.26089999999999</v>
      </c>
      <c r="U25" s="14">
        <f>_xll.BDH("AMGN US Equity","EV_EX_OP_LEA_LIAB_TO_SHS_OUTSTDG","FQ1 2024","FQ1 2024","Currency=USD","Period=FQ","BEST_FPERIOD_OVERRIDE=FQ","FILING_STATUS=MR","Sort=A","Dates=H","DateFormat=P","Fill=—","Direction=H","UseDPDF=Y")</f>
        <v>385.57279999999997</v>
      </c>
      <c r="V25" s="14">
        <f>_xll.BDH("AMGN US Equity","EV_EX_OP_LEA_LIAB_TO_SHS_OUTSTDG","FQ2 2024","FQ2 2024","Currency=USD","Period=FQ","BEST_FPERIOD_OVERRIDE=FQ","FILING_STATUS=MR","Sort=A","Dates=H","DateFormat=P","Fill=—","Direction=H","UseDPDF=Y")</f>
        <v>411.75009999999997</v>
      </c>
      <c r="W25" s="14">
        <f>_xll.BDH("AMGN US Equity","EV_EX_OP_LEA_LIAB_TO_SHS_OUTSTDG","FQ3 2024","FQ3 2024","Currency=USD","Period=FQ","BEST_FPERIOD_OVERRIDE=FQ","FILING_STATUS=MR","Sort=A","Dates=H","DateFormat=P","Fill=—","Direction=H","UseDPDF=Y")</f>
        <v>417.81369999999998</v>
      </c>
      <c r="X25" s="14">
        <f>_xll.BDH("AMGN US Equity","EV_EX_OP_LEA_LIAB_TO_SHS_OUTSTDG","FQ4 2024","FQ4 2024","Currency=USD","Period=FQ","BEST_FPERIOD_OVERRIDE=FQ","FILING_STATUS=MR","Sort=A","Dates=H","DateFormat=P","Fill=—","Direction=H","UseDPDF=Y")</f>
        <v>350.27679999999998</v>
      </c>
      <c r="Y25" s="17">
        <v>397.431522752207</v>
      </c>
      <c r="Z25" s="14"/>
      <c r="AA25" s="14"/>
    </row>
    <row r="26" spans="1:27" x14ac:dyDescent="0.25">
      <c r="A26" s="10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5"/>
      <c r="Z26" s="12"/>
      <c r="AA26" s="12"/>
    </row>
    <row r="27" spans="1:27" x14ac:dyDescent="0.25">
      <c r="A27" s="10" t="s">
        <v>4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5"/>
      <c r="Z27" s="12"/>
      <c r="AA27" s="12"/>
    </row>
    <row r="28" spans="1:27" x14ac:dyDescent="0.25">
      <c r="A28" s="11" t="s">
        <v>194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7"/>
      <c r="Z28" s="24"/>
      <c r="AA28" s="24"/>
    </row>
    <row r="29" spans="1:27" x14ac:dyDescent="0.25">
      <c r="A29" s="10" t="s">
        <v>195</v>
      </c>
      <c r="B29" s="10" t="s">
        <v>196</v>
      </c>
      <c r="C29" s="12" t="s">
        <v>197</v>
      </c>
      <c r="D29" s="12" t="s">
        <v>197</v>
      </c>
      <c r="E29" s="12" t="s">
        <v>197</v>
      </c>
      <c r="F29" s="12" t="s">
        <v>197</v>
      </c>
      <c r="G29" s="12" t="s">
        <v>197</v>
      </c>
      <c r="H29" s="12" t="s">
        <v>197</v>
      </c>
      <c r="I29" s="12" t="s">
        <v>197</v>
      </c>
      <c r="J29" s="12" t="s">
        <v>197</v>
      </c>
      <c r="K29" s="12" t="s">
        <v>197</v>
      </c>
      <c r="L29" s="12" t="s">
        <v>197</v>
      </c>
      <c r="M29" s="12" t="s">
        <v>197</v>
      </c>
      <c r="N29" s="12" t="s">
        <v>197</v>
      </c>
      <c r="O29" s="12" t="s">
        <v>197</v>
      </c>
      <c r="P29" s="12" t="s">
        <v>197</v>
      </c>
      <c r="Q29" s="12" t="s">
        <v>197</v>
      </c>
      <c r="R29" s="12" t="s">
        <v>197</v>
      </c>
      <c r="S29" s="12" t="s">
        <v>197</v>
      </c>
      <c r="T29" s="12" t="s">
        <v>197</v>
      </c>
      <c r="U29" s="12" t="s">
        <v>197</v>
      </c>
      <c r="V29" s="12" t="s">
        <v>197</v>
      </c>
      <c r="W29" s="12" t="s">
        <v>197</v>
      </c>
      <c r="X29" s="12" t="s">
        <v>197</v>
      </c>
      <c r="Y29" s="15" t="s">
        <v>197</v>
      </c>
      <c r="Z29" s="12"/>
      <c r="AA29" s="12"/>
    </row>
    <row r="30" spans="1:27" x14ac:dyDescent="0.25">
      <c r="A30" s="10" t="s">
        <v>198</v>
      </c>
      <c r="B30" s="10" t="s">
        <v>199</v>
      </c>
      <c r="C30" s="13">
        <f>_xll.BDH("AMGN US Equity","TRAIL_12M_NET_SALES","FQ3 2019","FQ3 2019","Currency=USD","Period=FQ","BEST_FPERIOD_OVERRIDE=FQ","FILING_STATUS=MR","SCALING_FORMAT=MLN","FA_ADJUSTED=GAAP","Sort=A","Dates=H","DateFormat=P","Fill=—","Direction=H","UseDPDF=Y")</f>
        <v>23395</v>
      </c>
      <c r="D30" s="13">
        <f>_xll.BDH("AMGN US Equity","TRAIL_12M_NET_SALES","FQ4 2019","FQ4 2019","Currency=USD","Period=FQ","BEST_FPERIOD_OVERRIDE=FQ","FILING_STATUS=MR","SCALING_FORMAT=MLN","FA_ADJUSTED=GAAP","Sort=A","Dates=H","DateFormat=P","Fill=—","Direction=H","UseDPDF=Y")</f>
        <v>23362</v>
      </c>
      <c r="E30" s="13">
        <f>_xll.BDH("AMGN US Equity","TRAIL_12M_NET_SALES","FQ1 2020","FQ1 2020","Currency=USD","Period=FQ","BEST_FPERIOD_OVERRIDE=FQ","FILING_STATUS=MR","SCALING_FORMAT=MLN","FA_ADJUSTED=GAAP","Sort=A","Dates=H","DateFormat=P","Fill=—","Direction=H","UseDPDF=Y")</f>
        <v>23966</v>
      </c>
      <c r="F30" s="13">
        <f>_xll.BDH("AMGN US Equity","TRAIL_12M_NET_SALES","FQ2 2020","FQ2 2020","Currency=USD","Period=FQ","BEST_FPERIOD_OVERRIDE=FQ","FILING_STATUS=MR","SCALING_FORMAT=MLN","FA_ADJUSTED=GAAP","Sort=A","Dates=H","DateFormat=P","Fill=—","Direction=H","UseDPDF=Y")</f>
        <v>24301</v>
      </c>
      <c r="G30" s="13">
        <f>_xll.BDH("AMGN US Equity","TRAIL_12M_NET_SALES","FQ3 2020","FQ3 2020","Currency=USD","Period=FQ","BEST_FPERIOD_OVERRIDE=FQ","FILING_STATUS=MR","SCALING_FORMAT=MLN","FA_ADJUSTED=GAAP","Sort=A","Dates=H","DateFormat=P","Fill=—","Direction=H","UseDPDF=Y")</f>
        <v>24987</v>
      </c>
      <c r="H30" s="13">
        <f>_xll.BDH("AMGN US Equity","TRAIL_12M_NET_SALES","FQ4 2020","FQ4 2020","Currency=USD","Period=FQ","BEST_FPERIOD_OVERRIDE=FQ","FILING_STATUS=MR","SCALING_FORMAT=MLN","FA_ADJUSTED=GAAP","Sort=A","Dates=H","DateFormat=P","Fill=—","Direction=H","UseDPDF=Y")</f>
        <v>25424</v>
      </c>
      <c r="I30" s="13">
        <f>_xll.BDH("AMGN US Equity","TRAIL_12M_NET_SALES","FQ1 2021","FQ1 2021","Currency=USD","Period=FQ","BEST_FPERIOD_OVERRIDE=FQ","FILING_STATUS=MR","SCALING_FORMAT=MLN","FA_ADJUSTED=GAAP","Sort=A","Dates=H","DateFormat=P","Fill=—","Direction=H","UseDPDF=Y")</f>
        <v>25164</v>
      </c>
      <c r="J30" s="13">
        <f>_xll.BDH("AMGN US Equity","TRAIL_12M_NET_SALES","FQ2 2021","FQ2 2021","Currency=USD","Period=FQ","BEST_FPERIOD_OVERRIDE=FQ","FILING_STATUS=MR","SCALING_FORMAT=MLN","FA_ADJUSTED=GAAP","Sort=A","Dates=H","DateFormat=P","Fill=—","Direction=H","UseDPDF=Y")</f>
        <v>25484</v>
      </c>
      <c r="K30" s="13">
        <f>_xll.BDH("AMGN US Equity","TRAIL_12M_NET_SALES","FQ3 2021","FQ3 2021","Currency=USD","Period=FQ","BEST_FPERIOD_OVERRIDE=FQ","FILING_STATUS=MR","SCALING_FORMAT=MLN","FA_ADJUSTED=GAAP","Sort=A","Dates=H","DateFormat=P","Fill=—","Direction=H","UseDPDF=Y")</f>
        <v>25767</v>
      </c>
      <c r="L30" s="13">
        <f>_xll.BDH("AMGN US Equity","TRAIL_12M_NET_SALES","FQ4 2021","FQ4 2021","Currency=USD","Period=FQ","BEST_FPERIOD_OVERRIDE=FQ","FILING_STATUS=MR","SCALING_FORMAT=MLN","FA_ADJUSTED=GAAP","Sort=A","Dates=H","DateFormat=P","Fill=—","Direction=H","UseDPDF=Y")</f>
        <v>25979</v>
      </c>
      <c r="M30" s="13">
        <f>_xll.BDH("AMGN US Equity","TRAIL_12M_NET_SALES","FQ1 2022","FQ1 2022","Currency=USD","Period=FQ","BEST_FPERIOD_OVERRIDE=FQ","FILING_STATUS=MR","SCALING_FORMAT=MLN","FA_ADJUSTED=GAAP","Sort=A","Dates=H","DateFormat=P","Fill=—","Direction=H","UseDPDF=Y")</f>
        <v>26316</v>
      </c>
      <c r="N30" s="13">
        <f>_xll.BDH("AMGN US Equity","TRAIL_12M_NET_SALES","FQ2 2022","FQ2 2022","Currency=USD","Period=FQ","BEST_FPERIOD_OVERRIDE=FQ","FILING_STATUS=MR","SCALING_FORMAT=MLN","FA_ADJUSTED=GAAP","Sort=A","Dates=H","DateFormat=P","Fill=—","Direction=H","UseDPDF=Y")</f>
        <v>26384</v>
      </c>
      <c r="O30" s="13">
        <f>_xll.BDH("AMGN US Equity","TRAIL_12M_NET_SALES","FQ3 2022","FQ3 2022","Currency=USD","Period=FQ","BEST_FPERIOD_OVERRIDE=FQ","FILING_STATUS=MR","SCALING_FORMAT=MLN","FA_ADJUSTED=GAAP","Sort=A","Dates=H","DateFormat=P","Fill=—","Direction=H","UseDPDF=Y")</f>
        <v>26330</v>
      </c>
      <c r="P30" s="13">
        <f>_xll.BDH("AMGN US Equity","TRAIL_12M_NET_SALES","FQ4 2022","FQ4 2022","Currency=USD","Period=FQ","BEST_FPERIOD_OVERRIDE=FQ","FILING_STATUS=MR","SCALING_FORMAT=MLN","FA_ADJUSTED=GAAP","Sort=A","Dates=H","DateFormat=P","Fill=—","Direction=H","UseDPDF=Y")</f>
        <v>26323</v>
      </c>
      <c r="Q30" s="13">
        <f>_xll.BDH("AMGN US Equity","TRAIL_12M_NET_SALES","FQ1 2023","FQ1 2023","Currency=USD","Period=FQ","BEST_FPERIOD_OVERRIDE=FQ","FILING_STATUS=MR","SCALING_FORMAT=MLN","FA_ADJUSTED=GAAP","Sort=A","Dates=H","DateFormat=P","Fill=—","Direction=H","UseDPDF=Y")</f>
        <v>26190</v>
      </c>
      <c r="R30" s="13">
        <f>_xll.BDH("AMGN US Equity","TRAIL_12M_NET_SALES","FQ2 2023","FQ2 2023","Currency=USD","Period=FQ","BEST_FPERIOD_OVERRIDE=FQ","FILING_STATUS=MR","SCALING_FORMAT=MLN","FA_ADJUSTED=GAAP","Sort=A","Dates=H","DateFormat=P","Fill=—","Direction=H","UseDPDF=Y")</f>
        <v>26582</v>
      </c>
      <c r="S30" s="13">
        <f>_xll.BDH("AMGN US Equity","TRAIL_12M_NET_SALES","FQ3 2023","FQ3 2023","Currency=USD","Period=FQ","BEST_FPERIOD_OVERRIDE=FQ","FILING_STATUS=MR","SCALING_FORMAT=MLN","FA_ADJUSTED=GAAP","Sort=A","Dates=H","DateFormat=P","Fill=—","Direction=H","UseDPDF=Y")</f>
        <v>26833</v>
      </c>
      <c r="T30" s="13">
        <f>_xll.BDH("AMGN US Equity","TRAIL_12M_NET_SALES","FQ4 2023","FQ4 2023","Currency=USD","Period=FQ","BEST_FPERIOD_OVERRIDE=FQ","FILING_STATUS=MR","SCALING_FORMAT=MLN","FA_ADJUSTED=GAAP","Sort=A","Dates=H","DateFormat=P","Fill=—","Direction=H","UseDPDF=Y")</f>
        <v>28190</v>
      </c>
      <c r="U30" s="13">
        <f>_xll.BDH("AMGN US Equity","TRAIL_12M_NET_SALES","FQ1 2024","FQ1 2024","Currency=USD","Period=FQ","BEST_FPERIOD_OVERRIDE=FQ","FILING_STATUS=MR","SCALING_FORMAT=MLN","FA_ADJUSTED=GAAP","Sort=A","Dates=H","DateFormat=P","Fill=—","Direction=H","UseDPDF=Y")</f>
        <v>29532</v>
      </c>
      <c r="V30" s="13">
        <f>_xll.BDH("AMGN US Equity","TRAIL_12M_NET_SALES","FQ2 2024","FQ2 2024","Currency=USD","Period=FQ","BEST_FPERIOD_OVERRIDE=FQ","FILING_STATUS=MR","SCALING_FORMAT=MLN","FA_ADJUSTED=GAAP","Sort=A","Dates=H","DateFormat=P","Fill=—","Direction=H","UseDPDF=Y")</f>
        <v>30934</v>
      </c>
      <c r="W30" s="13">
        <f>_xll.BDH("AMGN US Equity","TRAIL_12M_NET_SALES","FQ3 2024","FQ3 2024","Currency=USD","Period=FQ","BEST_FPERIOD_OVERRIDE=FQ","FILING_STATUS=MR","SCALING_FORMAT=MLN","FA_ADJUSTED=GAAP","Sort=A","Dates=H","DateFormat=P","Fill=—","Direction=H","UseDPDF=Y")</f>
        <v>32534</v>
      </c>
      <c r="X30" s="13">
        <f>_xll.BDH("AMGN US Equity","TRAIL_12M_NET_SALES","FQ4 2024","FQ4 2024","Currency=USD","Period=FQ","BEST_FPERIOD_OVERRIDE=FQ","FILING_STATUS=MR","SCALING_FORMAT=MLN","FA_ADJUSTED=GAAP","Sort=A","Dates=H","DateFormat=P","Fill=—","Direction=H","UseDPDF=Y")</f>
        <v>33424</v>
      </c>
      <c r="Y30" s="16">
        <v>33424</v>
      </c>
      <c r="Z30" s="13">
        <v>35163.292000000001</v>
      </c>
      <c r="AA30" s="13">
        <v>35349.307999999997</v>
      </c>
    </row>
    <row r="31" spans="1:27" x14ac:dyDescent="0.25">
      <c r="A31" s="10" t="s">
        <v>78</v>
      </c>
      <c r="B31" s="10" t="s">
        <v>303</v>
      </c>
      <c r="C31" s="13">
        <f>_xll.BDH("AMGN US Equity","T12M_EBITDA_AFTER_OPER_LEA_EXPN","FQ3 2019","FQ3 2019","Currency=USD","Period=FQ","BEST_FPERIOD_OVERRIDE=FQ","FILING_STATUS=MR","SCALING_FORMAT=MLN","FA_ADJUSTED=GAAP","Sort=A","Dates=H","DateFormat=P","Fill=—","Direction=H","UseDPDF=Y")</f>
        <v>12002</v>
      </c>
      <c r="D31" s="13">
        <f>_xll.BDH("AMGN US Equity","T12M_EBITDA_AFTER_OPER_LEA_EXPN","FQ4 2019","FQ4 2019","Currency=USD","Period=FQ","BEST_FPERIOD_OVERRIDE=FQ","FILING_STATUS=MR","SCALING_FORMAT=MLN","FA_ADJUSTED=GAAP","Sort=A","Dates=H","DateFormat=P","Fill=—","Direction=H","UseDPDF=Y")</f>
        <v>11880</v>
      </c>
      <c r="E31" s="13">
        <f>_xll.BDH("AMGN US Equity","T12M_EBITDA_AFTER_OPER_LEA_EXPN","FQ1 2020","FQ1 2020","Currency=USD","Period=FQ","BEST_FPERIOD_OVERRIDE=FQ","FILING_STATUS=MR","SCALING_FORMAT=MLN","FA_ADJUSTED=GAAP","Sort=A","Dates=H","DateFormat=P","Fill=—","Direction=H","UseDPDF=Y")</f>
        <v>12165</v>
      </c>
      <c r="F31" s="13">
        <f>_xll.BDH("AMGN US Equity","T12M_EBITDA_AFTER_OPER_LEA_EXPN","FQ2 2020","FQ2 2020","Currency=USD","Period=FQ","BEST_FPERIOD_OVERRIDE=FQ","FILING_STATUS=MR","SCALING_FORMAT=MLN","FA_ADJUSTED=GAAP","Sort=A","Dates=H","DateFormat=P","Fill=—","Direction=H","UseDPDF=Y")</f>
        <v>12239</v>
      </c>
      <c r="G31" s="13">
        <f>_xll.BDH("AMGN US Equity","T12M_EBITDA_AFTER_OPER_LEA_EXPN","FQ3 2020","FQ3 2020","Currency=USD","Period=FQ","BEST_FPERIOD_OVERRIDE=FQ","FILING_STATUS=MR","SCALING_FORMAT=MLN","FA_ADJUSTED=GAAP","Sort=A","Dates=H","DateFormat=P","Fill=—","Direction=H","UseDPDF=Y")</f>
        <v>12609</v>
      </c>
      <c r="H31" s="13">
        <f>_xll.BDH("AMGN US Equity","T12M_EBITDA_AFTER_OPER_LEA_EXPN","FQ4 2020","FQ4 2020","Currency=USD","Period=FQ","BEST_FPERIOD_OVERRIDE=FQ","FILING_STATUS=MR","SCALING_FORMAT=MLN","FA_ADJUSTED=GAAP","Sort=A","Dates=H","DateFormat=P","Fill=—","Direction=H","UseDPDF=Y")</f>
        <v>12740</v>
      </c>
      <c r="I31" s="13">
        <f>_xll.BDH("AMGN US Equity","T12M_EBITDA_AFTER_OPER_LEA_EXPN","FQ1 2021","FQ1 2021","Currency=USD","Period=FQ","BEST_FPERIOD_OVERRIDE=FQ","FILING_STATUS=MR","SCALING_FORMAT=MLN","FA_ADJUSTED=GAAP","Sort=A","Dates=H","DateFormat=P","Fill=—","Direction=H","UseDPDF=Y")</f>
        <v>12458</v>
      </c>
      <c r="J31" s="13">
        <f>_xll.BDH("AMGN US Equity","T12M_EBITDA_AFTER_OPER_LEA_EXPN","FQ2 2021","FQ2 2021","Currency=USD","Period=FQ","BEST_FPERIOD_OVERRIDE=FQ","FILING_STATUS=MR","SCALING_FORMAT=MLN","FA_ADJUSTED=GAAP","Sort=A","Dates=H","DateFormat=P","Fill=—","Direction=H","UseDPDF=Y")</f>
        <v>10888</v>
      </c>
      <c r="K31" s="13">
        <f>_xll.BDH("AMGN US Equity","T12M_EBITDA_AFTER_OPER_LEA_EXPN","FQ3 2021","FQ3 2021","Currency=USD","Period=FQ","BEST_FPERIOD_OVERRIDE=FQ","FILING_STATUS=MR","SCALING_FORMAT=MLN","FA_ADJUSTED=GAAP","Sort=A","Dates=H","DateFormat=P","Fill=—","Direction=H","UseDPDF=Y")</f>
        <v>10762</v>
      </c>
      <c r="L31" s="13">
        <f>_xll.BDH("AMGN US Equity","T12M_EBITDA_AFTER_OPER_LEA_EXPN","FQ4 2021","FQ4 2021","Currency=USD","Period=FQ","BEST_FPERIOD_OVERRIDE=FQ","FILING_STATUS=MR","SCALING_FORMAT=MLN","FA_ADJUSTED=GAAP","Sort=A","Dates=H","DateFormat=P","Fill=—","Direction=H","UseDPDF=Y")</f>
        <v>11037</v>
      </c>
      <c r="M31" s="13">
        <f>_xll.BDH("AMGN US Equity","T12M_EBITDA_AFTER_OPER_LEA_EXPN","FQ1 2022","FQ1 2022","Currency=USD","Period=FQ","BEST_FPERIOD_OVERRIDE=FQ","FILING_STATUS=MR","SCALING_FORMAT=MLN","FA_ADJUSTED=GAAP","Sort=A","Dates=H","DateFormat=P","Fill=—","Direction=H","UseDPDF=Y")</f>
        <v>11408</v>
      </c>
      <c r="N31" s="13">
        <f>_xll.BDH("AMGN US Equity","T12M_EBITDA_AFTER_OPER_LEA_EXPN","FQ2 2022","FQ2 2022","Currency=USD","Period=FQ","BEST_FPERIOD_OVERRIDE=FQ","FILING_STATUS=MR","SCALING_FORMAT=MLN","FA_ADJUSTED=GAAP","Sort=A","Dates=H","DateFormat=P","Fill=—","Direction=H","UseDPDF=Y")</f>
        <v>12729</v>
      </c>
      <c r="O31" s="13">
        <f>_xll.BDH("AMGN US Equity","T12M_EBITDA_AFTER_OPER_LEA_EXPN","FQ3 2022","FQ3 2022","Currency=USD","Period=FQ","BEST_FPERIOD_OVERRIDE=FQ","FILING_STATUS=MR","SCALING_FORMAT=MLN","FA_ADJUSTED=GAAP","Sort=A","Dates=H","DateFormat=P","Fill=—","Direction=H","UseDPDF=Y")</f>
        <v>12998</v>
      </c>
      <c r="P31" s="13">
        <f>_xll.BDH("AMGN US Equity","T12M_EBITDA_AFTER_OPER_LEA_EXPN","FQ4 2022","FQ4 2022","Currency=USD","Period=FQ","BEST_FPERIOD_OVERRIDE=FQ","FILING_STATUS=MR","SCALING_FORMAT=MLN","FA_ADJUSTED=GAAP","Sort=A","Dates=H","DateFormat=P","Fill=—","Direction=H","UseDPDF=Y")</f>
        <v>12983</v>
      </c>
      <c r="Q31" s="13">
        <f>_xll.BDH("AMGN US Equity","T12M_EBITDA_AFTER_OPER_LEA_EXPN","FQ1 2023","FQ1 2023","Currency=USD","Period=FQ","BEST_FPERIOD_OVERRIDE=FQ","FILING_STATUS=MR","SCALING_FORMAT=MLN","FA_ADJUSTED=GAAP","Sort=A","Dates=H","DateFormat=P","Fill=—","Direction=H","UseDPDF=Y")</f>
        <v>12463</v>
      </c>
      <c r="R31" s="13">
        <f>_xll.BDH("AMGN US Equity","T12M_EBITDA_AFTER_OPER_LEA_EXPN","FQ2 2023","FQ2 2023","Currency=USD","Period=FQ","BEST_FPERIOD_OVERRIDE=FQ","FILING_STATUS=MR","SCALING_FORMAT=MLN","FA_ADJUSTED=GAAP","Sort=A","Dates=H","DateFormat=P","Fill=—","Direction=H","UseDPDF=Y")</f>
        <v>13039</v>
      </c>
      <c r="S31" s="13">
        <f>_xll.BDH("AMGN US Equity","T12M_EBITDA_AFTER_OPER_LEA_EXPN","FQ3 2023","FQ3 2023","Currency=USD","Period=FQ","BEST_FPERIOD_OVERRIDE=FQ","FILING_STATUS=MR","SCALING_FORMAT=MLN","FA_ADJUSTED=GAAP","Sort=A","Dates=H","DateFormat=P","Fill=—","Direction=H","UseDPDF=Y")</f>
        <v>12458</v>
      </c>
      <c r="T31" s="13">
        <f>_xll.BDH("AMGN US Equity","T12M_EBITDA_AFTER_OPER_LEA_EXPN","FQ4 2023","FQ4 2023","Currency=USD","Period=FQ","BEST_FPERIOD_OVERRIDE=FQ","FILING_STATUS=MR","SCALING_FORMAT=MLN","FA_ADJUSTED=GAAP","Sort=A","Dates=H","DateFormat=P","Fill=—","Direction=H","UseDPDF=Y")</f>
        <v>11968</v>
      </c>
      <c r="U31" s="13">
        <f>_xll.BDH("AMGN US Equity","T12M_EBITDA_AFTER_OPER_LEA_EXPN","FQ1 2024","FQ1 2024","Currency=USD","Period=FQ","BEST_FPERIOD_OVERRIDE=FQ","FILING_STATUS=MR","SCALING_FORMAT=MLN","FA_ADJUSTED=GAAP","Sort=A","Dates=H","DateFormat=P","Fill=—","Direction=H","UseDPDF=Y")</f>
        <v>11537</v>
      </c>
      <c r="V31" s="13">
        <f>_xll.BDH("AMGN US Equity","T12M_EBITDA_AFTER_OPER_LEA_EXPN","FQ2 2024","FQ2 2024","Currency=USD","Period=FQ","BEST_FPERIOD_OVERRIDE=FQ","FILING_STATUS=MR","SCALING_FORMAT=MLN","FA_ADJUSTED=GAAP","Sort=A","Dates=H","DateFormat=P","Fill=—","Direction=H","UseDPDF=Y")</f>
        <v>11266</v>
      </c>
      <c r="W31" s="13">
        <f>_xll.BDH("AMGN US Equity","T12M_EBITDA_AFTER_OPER_LEA_EXPN","FQ3 2024","FQ3 2024","Currency=USD","Period=FQ","BEST_FPERIOD_OVERRIDE=FQ","FILING_STATUS=MR","SCALING_FORMAT=MLN","FA_ADJUSTED=GAAP","Sort=A","Dates=H","DateFormat=P","Fill=—","Direction=H","UseDPDF=Y")</f>
        <v>11793</v>
      </c>
      <c r="X31" s="13">
        <f>_xll.BDH("AMGN US Equity","T12M_EBITDA_AFTER_OPER_LEA_EXPN","FQ4 2024","FQ4 2024","Currency=USD","Period=FQ","BEST_FPERIOD_OVERRIDE=FQ","FILING_STATUS=MR","SCALING_FORMAT=MLN","FA_ADJUSTED=GAAP","Sort=A","Dates=H","DateFormat=P","Fill=—","Direction=H","UseDPDF=Y")</f>
        <v>12850</v>
      </c>
      <c r="Y31" s="16">
        <v>12850</v>
      </c>
      <c r="Z31" s="13">
        <v>19150.5</v>
      </c>
      <c r="AA31" s="13">
        <v>19612.457999999999</v>
      </c>
    </row>
    <row r="32" spans="1:27" x14ac:dyDescent="0.25">
      <c r="A32" s="10" t="s">
        <v>141</v>
      </c>
      <c r="B32" s="10" t="s">
        <v>304</v>
      </c>
      <c r="C32" s="13">
        <f>_xll.BDH("AMGN US Equity","T12_EBIT_AFT_OPER_LEASE_EXPN","FQ3 2019","FQ3 2019","Currency=USD","Period=FQ","BEST_FPERIOD_OVERRIDE=FQ","FILING_STATUS=MR","SCALING_FORMAT=MLN","FA_ADJUSTED=GAAP","Sort=A","Dates=H","DateFormat=P","Fill=—","Direction=H","UseDPDF=Y")</f>
        <v>10008</v>
      </c>
      <c r="D32" s="13">
        <f>_xll.BDH("AMGN US Equity","T12_EBIT_AFT_OPER_LEASE_EXPN","FQ4 2019","FQ4 2019","Currency=USD","Period=FQ","BEST_FPERIOD_OVERRIDE=FQ","FILING_STATUS=MR","SCALING_FORMAT=MLN","FA_ADJUSTED=GAAP","Sort=A","Dates=H","DateFormat=P","Fill=—","Direction=H","UseDPDF=Y")</f>
        <v>9674</v>
      </c>
      <c r="E32" s="13">
        <f>_xll.BDH("AMGN US Equity","T12_EBIT_AFT_OPER_LEASE_EXPN","FQ1 2020","FQ1 2020","Currency=USD","Period=FQ","BEST_FPERIOD_OVERRIDE=FQ","FILING_STATUS=MR","SCALING_FORMAT=MLN","FA_ADJUSTED=GAAP","Sort=A","Dates=H","DateFormat=P","Fill=—","Direction=H","UseDPDF=Y")</f>
        <v>9557</v>
      </c>
      <c r="F32" s="13">
        <f>_xll.BDH("AMGN US Equity","T12_EBIT_AFT_OPER_LEASE_EXPN","FQ2 2020","FQ2 2020","Currency=USD","Period=FQ","BEST_FPERIOD_OVERRIDE=FQ","FILING_STATUS=MR","SCALING_FORMAT=MLN","FA_ADJUSTED=GAAP","Sort=A","Dates=H","DateFormat=P","Fill=—","Direction=H","UseDPDF=Y")</f>
        <v>9202</v>
      </c>
      <c r="G32" s="13">
        <f>_xll.BDH("AMGN US Equity","T12_EBIT_AFT_OPER_LEASE_EXPN","FQ3 2020","FQ3 2020","Currency=USD","Period=FQ","BEST_FPERIOD_OVERRIDE=FQ","FILING_STATUS=MR","SCALING_FORMAT=MLN","FA_ADJUSTED=GAAP","Sort=A","Dates=H","DateFormat=P","Fill=—","Direction=H","UseDPDF=Y")</f>
        <v>9179</v>
      </c>
      <c r="H32" s="13">
        <f>_xll.BDH("AMGN US Equity","T12_EBIT_AFT_OPER_LEASE_EXPN","FQ4 2020","FQ4 2020","Currency=USD","Period=FQ","BEST_FPERIOD_OVERRIDE=FQ","FILING_STATUS=MR","SCALING_FORMAT=MLN","FA_ADJUSTED=GAAP","Sort=A","Dates=H","DateFormat=P","Fill=—","Direction=H","UseDPDF=Y")</f>
        <v>9139</v>
      </c>
      <c r="I32" s="13">
        <f>_xll.BDH("AMGN US Equity","T12_EBIT_AFT_OPER_LEASE_EXPN","FQ1 2021","FQ1 2021","Currency=USD","Period=FQ","BEST_FPERIOD_OVERRIDE=FQ","FILING_STATUS=MR","SCALING_FORMAT=MLN","FA_ADJUSTED=GAAP","Sort=A","Dates=H","DateFormat=P","Fill=—","Direction=H","UseDPDF=Y")</f>
        <v>8913</v>
      </c>
      <c r="J32" s="13">
        <f>_xll.BDH("AMGN US Equity","T12_EBIT_AFT_OPER_LEASE_EXPN","FQ2 2021","FQ2 2021","Currency=USD","Period=FQ","BEST_FPERIOD_OVERRIDE=FQ","FILING_STATUS=MR","SCALING_FORMAT=MLN","FA_ADJUSTED=GAAP","Sort=A","Dates=H","DateFormat=P","Fill=—","Direction=H","UseDPDF=Y")</f>
        <v>7418</v>
      </c>
      <c r="K32" s="13">
        <f>_xll.BDH("AMGN US Equity","T12_EBIT_AFT_OPER_LEASE_EXPN","FQ3 2021","FQ3 2021","Currency=USD","Period=FQ","BEST_FPERIOD_OVERRIDE=FQ","FILING_STATUS=MR","SCALING_FORMAT=MLN","FA_ADJUSTED=GAAP","Sort=A","Dates=H","DateFormat=P","Fill=—","Direction=H","UseDPDF=Y")</f>
        <v>7343</v>
      </c>
      <c r="L32" s="13">
        <f>_xll.BDH("AMGN US Equity","T12_EBIT_AFT_OPER_LEASE_EXPN","FQ4 2021","FQ4 2021","Currency=USD","Period=FQ","BEST_FPERIOD_OVERRIDE=FQ","FILING_STATUS=MR","SCALING_FORMAT=MLN","FA_ADJUSTED=GAAP","Sort=A","Dates=H","DateFormat=P","Fill=—","Direction=H","UseDPDF=Y")</f>
        <v>7639</v>
      </c>
      <c r="M32" s="13">
        <f>_xll.BDH("AMGN US Equity","T12_EBIT_AFT_OPER_LEASE_EXPN","FQ1 2022","FQ1 2022","Currency=USD","Period=FQ","BEST_FPERIOD_OVERRIDE=FQ","FILING_STATUS=MR","SCALING_FORMAT=MLN","FA_ADJUSTED=GAAP","Sort=A","Dates=H","DateFormat=P","Fill=—","Direction=H","UseDPDF=Y")</f>
        <v>8010</v>
      </c>
      <c r="N32" s="13">
        <f>_xll.BDH("AMGN US Equity","T12_EBIT_AFT_OPER_LEASE_EXPN","FQ2 2022","FQ2 2022","Currency=USD","Period=FQ","BEST_FPERIOD_OVERRIDE=FQ","FILING_STATUS=MR","SCALING_FORMAT=MLN","FA_ADJUSTED=GAAP","Sort=A","Dates=H","DateFormat=P","Fill=—","Direction=H","UseDPDF=Y")</f>
        <v>9358</v>
      </c>
      <c r="O32" s="13">
        <f>_xll.BDH("AMGN US Equity","T12_EBIT_AFT_OPER_LEASE_EXPN","FQ3 2022","FQ3 2022","Currency=USD","Period=FQ","BEST_FPERIOD_OVERRIDE=FQ","FILING_STATUS=MR","SCALING_FORMAT=MLN","FA_ADJUSTED=GAAP","Sort=A","Dates=H","DateFormat=P","Fill=—","Direction=H","UseDPDF=Y")</f>
        <v>9640</v>
      </c>
      <c r="P32" s="13">
        <f>_xll.BDH("AMGN US Equity","T12_EBIT_AFT_OPER_LEASE_EXPN","FQ4 2022","FQ4 2022","Currency=USD","Period=FQ","BEST_FPERIOD_OVERRIDE=FQ","FILING_STATUS=MR","SCALING_FORMAT=MLN","FA_ADJUSTED=GAAP","Sort=A","Dates=H","DateFormat=P","Fill=—","Direction=H","UseDPDF=Y")</f>
        <v>9566</v>
      </c>
      <c r="Q32" s="13">
        <f>_xll.BDH("AMGN US Equity","T12_EBIT_AFT_OPER_LEASE_EXPN","FQ1 2023","FQ1 2023","Currency=USD","Period=FQ","BEST_FPERIOD_OVERRIDE=FQ","FILING_STATUS=MR","SCALING_FORMAT=MLN","FA_ADJUSTED=GAAP","Sort=A","Dates=H","DateFormat=P","Fill=—","Direction=H","UseDPDF=Y")</f>
        <v>8987</v>
      </c>
      <c r="R32" s="13">
        <f>_xll.BDH("AMGN US Equity","T12_EBIT_AFT_OPER_LEASE_EXPN","FQ2 2023","FQ2 2023","Currency=USD","Period=FQ","BEST_FPERIOD_OVERRIDE=FQ","FILING_STATUS=MR","SCALING_FORMAT=MLN","FA_ADJUSTED=GAAP","Sort=A","Dates=H","DateFormat=P","Fill=—","Direction=H","UseDPDF=Y")</f>
        <v>9495</v>
      </c>
      <c r="S32" s="13">
        <f>_xll.BDH("AMGN US Equity","T12_EBIT_AFT_OPER_LEASE_EXPN","FQ3 2023","FQ3 2023","Currency=USD","Period=FQ","BEST_FPERIOD_OVERRIDE=FQ","FILING_STATUS=MR","SCALING_FORMAT=MLN","FA_ADJUSTED=GAAP","Sort=A","Dates=H","DateFormat=P","Fill=—","Direction=H","UseDPDF=Y")</f>
        <v>8856</v>
      </c>
      <c r="T32" s="13">
        <f>_xll.BDH("AMGN US Equity","T12_EBIT_AFT_OPER_LEASE_EXPN","FQ4 2023","FQ4 2023","Currency=USD","Period=FQ","BEST_FPERIOD_OVERRIDE=FQ","FILING_STATUS=MR","SCALING_FORMAT=MLN","FA_ADJUSTED=GAAP","Sort=A","Dates=H","DateFormat=P","Fill=—","Direction=H","UseDPDF=Y")</f>
        <v>7897</v>
      </c>
      <c r="U32" s="13">
        <f>_xll.BDH("AMGN US Equity","T12_EBIT_AFT_OPER_LEASE_EXPN","FQ1 2024","FQ1 2024","Currency=USD","Period=FQ","BEST_FPERIOD_OVERRIDE=FQ","FILING_STATUS=MR","SCALING_FORMAT=MLN","FA_ADJUSTED=GAAP","Sort=A","Dates=H","DateFormat=P","Fill=—","Direction=H","UseDPDF=Y")</f>
        <v>6967</v>
      </c>
      <c r="V32" s="13">
        <f>_xll.BDH("AMGN US Equity","T12_EBIT_AFT_OPER_LEASE_EXPN","FQ2 2024","FQ2 2024","Currency=USD","Period=FQ","BEST_FPERIOD_OVERRIDE=FQ","FILING_STATUS=MR","SCALING_FORMAT=MLN","FA_ADJUSTED=GAAP","Sort=A","Dates=H","DateFormat=P","Fill=—","Direction=H","UseDPDF=Y")</f>
        <v>6192</v>
      </c>
      <c r="W32" s="13">
        <f>_xll.BDH("AMGN US Equity","T12_EBIT_AFT_OPER_LEASE_EXPN","FQ3 2024","FQ3 2024","Currency=USD","Period=FQ","BEST_FPERIOD_OVERRIDE=FQ","FILING_STATUS=MR","SCALING_FORMAT=MLN","FA_ADJUSTED=GAAP","Sort=A","Dates=H","DateFormat=P","Fill=—","Direction=H","UseDPDF=Y")</f>
        <v>6218</v>
      </c>
      <c r="X32" s="13">
        <f>_xll.BDH("AMGN US Equity","T12_EBIT_AFT_OPER_LEASE_EXPN","FQ4 2024","FQ4 2024","Currency=USD","Period=FQ","BEST_FPERIOD_OVERRIDE=FQ","FILING_STATUS=MR","SCALING_FORMAT=MLN","FA_ADJUSTED=GAAP","Sort=A","Dates=H","DateFormat=P","Fill=—","Direction=H","UseDPDF=Y")</f>
        <v>7258</v>
      </c>
      <c r="Y32" s="16">
        <v>7258</v>
      </c>
      <c r="Z32" s="13">
        <v>15560.652</v>
      </c>
      <c r="AA32" s="13">
        <v>15703.707</v>
      </c>
    </row>
    <row r="33" spans="1:27" x14ac:dyDescent="0.25">
      <c r="A33" s="10" t="s">
        <v>202</v>
      </c>
      <c r="B33" s="10" t="s">
        <v>305</v>
      </c>
      <c r="C33" s="13">
        <f>_xll.BDH("AMGN US Equity","T12_CF_TO_FIRM_AFT_OP_LEA_PYMTS","FQ3 2019","FQ3 2019","Currency=USD","Period=FQ","BEST_FPERIOD_OVERRIDE=FQ","FILING_STATUS=MR","SCALING_FORMAT=MLN","FA_ADJUSTED=GAAP","Sort=A","Dates=H","DateFormat=P","Fill=—","Direction=H","UseDPDF=Y")</f>
        <v>10987.364</v>
      </c>
      <c r="D33" s="13">
        <f>_xll.BDH("AMGN US Equity","T12_CF_TO_FIRM_AFT_OP_LEA_PYMTS","FQ4 2019","FQ4 2019","Currency=USD","Period=FQ","BEST_FPERIOD_OVERRIDE=FQ","FILING_STATUS=MR","SCALING_FORMAT=MLN","FA_ADJUSTED=GAAP","Sort=A","Dates=H","DateFormat=P","Fill=—","Direction=H","UseDPDF=Y")</f>
        <v>10256.187099999999</v>
      </c>
      <c r="E33" s="13">
        <f>_xll.BDH("AMGN US Equity","T12_CF_TO_FIRM_AFT_OP_LEA_PYMTS","FQ1 2020","FQ1 2020","Currency=USD","Period=FQ","BEST_FPERIOD_OVERRIDE=FQ","FILING_STATUS=MR","SCALING_FORMAT=MLN","FA_ADJUSTED=GAAP","Sort=A","Dates=H","DateFormat=P","Fill=—","Direction=H","UseDPDF=Y")</f>
        <v>10560.223400000001</v>
      </c>
      <c r="F33" s="13">
        <f>_xll.BDH("AMGN US Equity","T12_CF_TO_FIRM_AFT_OP_LEA_PYMTS","FQ2 2020","FQ2 2020","Currency=USD","Period=FQ","BEST_FPERIOD_OVERRIDE=FQ","FILING_STATUS=MR","SCALING_FORMAT=MLN","FA_ADJUSTED=GAAP","Sort=A","Dates=H","DateFormat=P","Fill=—","Direction=H","UseDPDF=Y")</f>
        <v>11970.1942</v>
      </c>
      <c r="G33" s="13">
        <f>_xll.BDH("AMGN US Equity","T12_CF_TO_FIRM_AFT_OP_LEA_PYMTS","FQ3 2020","FQ3 2020","Currency=USD","Period=FQ","BEST_FPERIOD_OVERRIDE=FQ","FILING_STATUS=MR","SCALING_FORMAT=MLN","FA_ADJUSTED=GAAP","Sort=A","Dates=H","DateFormat=P","Fill=—","Direction=H","UseDPDF=Y")</f>
        <v>11968.964900000001</v>
      </c>
      <c r="H33" s="13">
        <f>_xll.BDH("AMGN US Equity","T12_CF_TO_FIRM_AFT_OP_LEA_PYMTS","FQ4 2020","FQ4 2020","Currency=USD","Period=FQ","BEST_FPERIOD_OVERRIDE=FQ","FILING_STATUS=MR","SCALING_FORMAT=MLN","FA_ADJUSTED=GAAP","Sort=A","Dates=H","DateFormat=P","Fill=—","Direction=H","UseDPDF=Y")</f>
        <v>11884.156999999999</v>
      </c>
      <c r="I33" s="13">
        <f>_xll.BDH("AMGN US Equity","T12_CF_TO_FIRM_AFT_OP_LEA_PYMTS","FQ1 2021","FQ1 2021","Currency=USD","Period=FQ","BEST_FPERIOD_OVERRIDE=FQ","FILING_STATUS=MR","SCALING_FORMAT=MLN","FA_ADJUSTED=GAAP","Sort=A","Dates=H","DateFormat=P","Fill=—","Direction=H","UseDPDF=Y")</f>
        <v>11794.639300000001</v>
      </c>
      <c r="J33" s="13">
        <f>_xll.BDH("AMGN US Equity","T12_CF_TO_FIRM_AFT_OP_LEA_PYMTS","FQ2 2021","FQ2 2021","Currency=USD","Period=FQ","BEST_FPERIOD_OVERRIDE=FQ","FILING_STATUS=MR","SCALING_FORMAT=MLN","FA_ADJUSTED=GAAP","Sort=A","Dates=H","DateFormat=P","Fill=—","Direction=H","UseDPDF=Y")</f>
        <v>10864.7467</v>
      </c>
      <c r="K33" s="13">
        <f>_xll.BDH("AMGN US Equity","T12_CF_TO_FIRM_AFT_OP_LEA_PYMTS","FQ3 2021","FQ3 2021","Currency=USD","Period=FQ","BEST_FPERIOD_OVERRIDE=FQ","FILING_STATUS=MR","SCALING_FORMAT=MLN","FA_ADJUSTED=GAAP","Sort=A","Dates=H","DateFormat=P","Fill=—","Direction=H","UseDPDF=Y")</f>
        <v>9892.6201000000001</v>
      </c>
      <c r="L33" s="13">
        <f>_xll.BDH("AMGN US Equity","T12_CF_TO_FIRM_AFT_OP_LEA_PYMTS","FQ4 2021","FQ4 2021","Currency=USD","Period=FQ","BEST_FPERIOD_OVERRIDE=FQ","FILING_STATUS=MR","SCALING_FORMAT=MLN","FA_ADJUSTED=GAAP","Sort=A","Dates=H","DateFormat=P","Fill=—","Direction=H","UseDPDF=Y")</f>
        <v>10313.6669</v>
      </c>
      <c r="M33" s="13">
        <f>_xll.BDH("AMGN US Equity","T12_CF_TO_FIRM_AFT_OP_LEA_PYMTS","FQ1 2022","FQ1 2022","Currency=USD","Period=FQ","BEST_FPERIOD_OVERRIDE=FQ","FILING_STATUS=MR","SCALING_FORMAT=MLN","FA_ADJUSTED=GAAP","Sort=A","Dates=H","DateFormat=P","Fill=—","Direction=H","UseDPDF=Y")</f>
        <v>10380.619699999999</v>
      </c>
      <c r="N33" s="13">
        <f>_xll.BDH("AMGN US Equity","T12_CF_TO_FIRM_AFT_OP_LEA_PYMTS","FQ2 2022","FQ2 2022","Currency=USD","Period=FQ","BEST_FPERIOD_OVERRIDE=FQ","FILING_STATUS=MR","SCALING_FORMAT=MLN","FA_ADJUSTED=GAAP","Sort=A","Dates=H","DateFormat=P","Fill=—","Direction=H","UseDPDF=Y")</f>
        <v>10420.6813</v>
      </c>
      <c r="O33" s="13">
        <f>_xll.BDH("AMGN US Equity","T12_CF_TO_FIRM_AFT_OP_LEA_PYMTS","FQ3 2022","FQ3 2022","Currency=USD","Period=FQ","BEST_FPERIOD_OVERRIDE=FQ","FILING_STATUS=MR","SCALING_FORMAT=MLN","FA_ADJUSTED=GAAP","Sort=A","Dates=H","DateFormat=P","Fill=—","Direction=H","UseDPDF=Y")</f>
        <v>11052.623900000001</v>
      </c>
      <c r="P33" s="13">
        <f>_xll.BDH("AMGN US Equity","T12_CF_TO_FIRM_AFT_OP_LEA_PYMTS","FQ4 2022","FQ4 2022","Currency=USD","Period=FQ","BEST_FPERIOD_OVERRIDE=FQ","FILING_STATUS=MR","SCALING_FORMAT=MLN","FA_ADJUSTED=GAAP","Sort=A","Dates=H","DateFormat=P","Fill=—","Direction=H","UseDPDF=Y")</f>
        <v>10975.031000000001</v>
      </c>
      <c r="Q33" s="13">
        <f>_xll.BDH("AMGN US Equity","T12_CF_TO_FIRM_AFT_OP_LEA_PYMTS","FQ1 2023","FQ1 2023","Currency=USD","Period=FQ","BEST_FPERIOD_OVERRIDE=FQ","FILING_STATUS=MR","SCALING_FORMAT=MLN","FA_ADJUSTED=GAAP","Sort=A","Dates=H","DateFormat=P","Fill=—","Direction=H","UseDPDF=Y")</f>
        <v>10057.9272</v>
      </c>
      <c r="R33" s="13">
        <f>_xll.BDH("AMGN US Equity","T12_CF_TO_FIRM_AFT_OP_LEA_PYMTS","FQ2 2023","FQ2 2023","Currency=USD","Period=FQ","BEST_FPERIOD_OVERRIDE=FQ","FILING_STATUS=MR","SCALING_FORMAT=MLN","FA_ADJUSTED=GAAP","Sort=A","Dates=H","DateFormat=P","Fill=—","Direction=H","UseDPDF=Y")</f>
        <v>12602.9972</v>
      </c>
      <c r="S33" s="13">
        <f>_xll.BDH("AMGN US Equity","T12_CF_TO_FIRM_AFT_OP_LEA_PYMTS","FQ3 2023","FQ3 2023","Currency=USD","Period=FQ","BEST_FPERIOD_OVERRIDE=FQ","FILING_STATUS=MR","SCALING_FORMAT=MLN","FA_ADJUSTED=GAAP","Sort=A","Dates=H","DateFormat=P","Fill=—","Direction=H","UseDPDF=Y")</f>
        <v>12716.6651</v>
      </c>
      <c r="T33" s="13">
        <f>_xll.BDH("AMGN US Equity","T12_CF_TO_FIRM_AFT_OP_LEA_PYMTS","FQ4 2023","FQ4 2023","Currency=USD","Period=FQ","BEST_FPERIOD_OVERRIDE=FQ","FILING_STATUS=MR","SCALING_FORMAT=MLN","FA_ADJUSTED=GAAP","Sort=A","Dates=H","DateFormat=P","Fill=—","Direction=H","UseDPDF=Y")</f>
        <v>10929.481900000001</v>
      </c>
      <c r="U33" s="13">
        <f>_xll.BDH("AMGN US Equity","T12_CF_TO_FIRM_AFT_OP_LEA_PYMTS","FQ1 2024","FQ1 2024","Currency=USD","Period=FQ","BEST_FPERIOD_OVERRIDE=FQ","FILING_STATUS=MR","SCALING_FORMAT=MLN","FA_ADJUSTED=GAAP","Sort=A","Dates=H","DateFormat=P","Fill=—","Direction=H","UseDPDF=Y")</f>
        <v>10829.2631</v>
      </c>
      <c r="V33" s="13">
        <f>_xll.BDH("AMGN US Equity","T12_CF_TO_FIRM_AFT_OP_LEA_PYMTS","FQ2 2024","FQ2 2024","Currency=USD","Period=FQ","BEST_FPERIOD_OVERRIDE=FQ","FILING_STATUS=MR","SCALING_FORMAT=MLN","FA_ADJUSTED=GAAP","Sort=A","Dates=H","DateFormat=P","Fill=—","Direction=H","UseDPDF=Y")</f>
        <v>9298.0738000000001</v>
      </c>
      <c r="W33" s="13">
        <f>_xll.BDH("AMGN US Equity","T12_CF_TO_FIRM_AFT_OP_LEA_PYMTS","FQ3 2024","FQ3 2024","Currency=USD","Period=FQ","BEST_FPERIOD_OVERRIDE=FQ","FILING_STATUS=MR","SCALING_FORMAT=MLN","FA_ADJUSTED=GAAP","Sort=A","Dates=H","DateFormat=P","Fill=—","Direction=H","UseDPDF=Y")</f>
        <v>10176.143</v>
      </c>
      <c r="X33" s="13">
        <f>_xll.BDH("AMGN US Equity","T12_CF_TO_FIRM_AFT_OP_LEA_PYMTS","FQ4 2024","FQ4 2024","Currency=USD","Period=FQ","BEST_FPERIOD_OVERRIDE=FQ","FILING_STATUS=MR","SCALING_FORMAT=MLN","FA_ADJUSTED=GAAP","Sort=A","Dates=H","DateFormat=P","Fill=—","Direction=H","UseDPDF=Y")</f>
        <v>14289.728800000001</v>
      </c>
      <c r="Y33" s="16">
        <v>14289.728791494899</v>
      </c>
      <c r="Z33" s="13"/>
      <c r="AA33" s="13"/>
    </row>
    <row r="34" spans="1:27" x14ac:dyDescent="0.25">
      <c r="A34" s="10" t="s">
        <v>204</v>
      </c>
      <c r="B34" s="10" t="s">
        <v>306</v>
      </c>
      <c r="C34" s="13">
        <f>_xll.BDH("AMGN US Equity","T12_FCF_TO_FIRM_AFT_OP_LEA_PYMTS","FQ3 2019","FQ3 2019","Currency=USD","Period=FQ","BEST_FPERIOD_OVERRIDE=FQ","FILING_STATUS=MR","SCALING_FORMAT=MLN","FA_ADJUSTED=GAAP","Sort=A","Dates=H","DateFormat=P","Fill=—","Direction=H","UseDPDF=Y")</f>
        <v>10332.364</v>
      </c>
      <c r="D34" s="13">
        <f>_xll.BDH("AMGN US Equity","T12_FCF_TO_FIRM_AFT_OP_LEA_PYMTS","FQ4 2019","FQ4 2019","Currency=USD","Period=FQ","BEST_FPERIOD_OVERRIDE=FQ","FILING_STATUS=MR","SCALING_FORMAT=MLN","FA_ADJUSTED=GAAP","Sort=A","Dates=H","DateFormat=P","Fill=—","Direction=H","UseDPDF=Y")</f>
        <v>9638.1870999999992</v>
      </c>
      <c r="E34" s="13">
        <f>_xll.BDH("AMGN US Equity","T12_FCF_TO_FIRM_AFT_OP_LEA_PYMTS","FQ1 2020","FQ1 2020","Currency=USD","Period=FQ","BEST_FPERIOD_OVERRIDE=FQ","FILING_STATUS=MR","SCALING_FORMAT=MLN","FA_ADJUSTED=GAAP","Sort=A","Dates=H","DateFormat=P","Fill=—","Direction=H","UseDPDF=Y")</f>
        <v>9916.2234000000008</v>
      </c>
      <c r="F34" s="13">
        <f>_xll.BDH("AMGN US Equity","T12_FCF_TO_FIRM_AFT_OP_LEA_PYMTS","FQ2 2020","FQ2 2020","Currency=USD","Period=FQ","BEST_FPERIOD_OVERRIDE=FQ","FILING_STATUS=MR","SCALING_FORMAT=MLN","FA_ADJUSTED=GAAP","Sort=A","Dates=H","DateFormat=P","Fill=—","Direction=H","UseDPDF=Y")</f>
        <v>11312.1942</v>
      </c>
      <c r="G34" s="13">
        <f>_xll.BDH("AMGN US Equity","T12_FCF_TO_FIRM_AFT_OP_LEA_PYMTS","FQ3 2020","FQ3 2020","Currency=USD","Period=FQ","BEST_FPERIOD_OVERRIDE=FQ","FILING_STATUS=MR","SCALING_FORMAT=MLN","FA_ADJUSTED=GAAP","Sort=A","Dates=H","DateFormat=P","Fill=—","Direction=H","UseDPDF=Y")</f>
        <v>11345.964900000001</v>
      </c>
      <c r="H34" s="13">
        <f>_xll.BDH("AMGN US Equity","T12_FCF_TO_FIRM_AFT_OP_LEA_PYMTS","FQ4 2020","FQ4 2020","Currency=USD","Period=FQ","BEST_FPERIOD_OVERRIDE=FQ","FILING_STATUS=MR","SCALING_FORMAT=MLN","FA_ADJUSTED=GAAP","Sort=A","Dates=H","DateFormat=P","Fill=—","Direction=H","UseDPDF=Y")</f>
        <v>11276.156999999999</v>
      </c>
      <c r="I34" s="13">
        <f>_xll.BDH("AMGN US Equity","T12_FCF_TO_FIRM_AFT_OP_LEA_PYMTS","FQ1 2021","FQ1 2021","Currency=USD","Period=FQ","BEST_FPERIOD_OVERRIDE=FQ","FILING_STATUS=MR","SCALING_FORMAT=MLN","FA_ADJUSTED=GAAP","Sort=A","Dates=H","DateFormat=P","Fill=—","Direction=H","UseDPDF=Y")</f>
        <v>11162.639300000001</v>
      </c>
      <c r="J34" s="13">
        <f>_xll.BDH("AMGN US Equity","T12_FCF_TO_FIRM_AFT_OP_LEA_PYMTS","FQ2 2021","FQ2 2021","Currency=USD","Period=FQ","BEST_FPERIOD_OVERRIDE=FQ","FILING_STATUS=MR","SCALING_FORMAT=MLN","FA_ADJUSTED=GAAP","Sort=A","Dates=H","DateFormat=P","Fill=—","Direction=H","UseDPDF=Y")</f>
        <v>10205.7467</v>
      </c>
      <c r="K34" s="13">
        <f>_xll.BDH("AMGN US Equity","T12_FCF_TO_FIRM_AFT_OP_LEA_PYMTS","FQ3 2021","FQ3 2021","Currency=USD","Period=FQ","BEST_FPERIOD_OVERRIDE=FQ","FILING_STATUS=MR","SCALING_FORMAT=MLN","FA_ADJUSTED=GAAP","Sort=A","Dates=H","DateFormat=P","Fill=—","Direction=H","UseDPDF=Y")</f>
        <v>9126.6201000000001</v>
      </c>
      <c r="L34" s="13">
        <f>_xll.BDH("AMGN US Equity","T12_FCF_TO_FIRM_AFT_OP_LEA_PYMTS","FQ4 2021","FQ4 2021","Currency=USD","Period=FQ","BEST_FPERIOD_OVERRIDE=FQ","FILING_STATUS=MR","SCALING_FORMAT=MLN","FA_ADJUSTED=GAAP","Sort=A","Dates=H","DateFormat=P","Fill=—","Direction=H","UseDPDF=Y")</f>
        <v>9433.6669000000002</v>
      </c>
      <c r="M34" s="13">
        <f>_xll.BDH("AMGN US Equity","T12_FCF_TO_FIRM_AFT_OP_LEA_PYMTS","FQ1 2022","FQ1 2022","Currency=USD","Period=FQ","BEST_FPERIOD_OVERRIDE=FQ","FILING_STATUS=MR","SCALING_FORMAT=MLN","FA_ADJUSTED=GAAP","Sort=A","Dates=H","DateFormat=P","Fill=—","Direction=H","UseDPDF=Y")</f>
        <v>9476.6196999999993</v>
      </c>
      <c r="N34" s="13">
        <f>_xll.BDH("AMGN US Equity","T12_FCF_TO_FIRM_AFT_OP_LEA_PYMTS","FQ2 2022","FQ2 2022","Currency=USD","Period=FQ","BEST_FPERIOD_OVERRIDE=FQ","FILING_STATUS=MR","SCALING_FORMAT=MLN","FA_ADJUSTED=GAAP","Sort=A","Dates=H","DateFormat=P","Fill=—","Direction=H","UseDPDF=Y")</f>
        <v>9455.6813000000002</v>
      </c>
      <c r="O34" s="13">
        <f>_xll.BDH("AMGN US Equity","T12_FCF_TO_FIRM_AFT_OP_LEA_PYMTS","FQ3 2022","FQ3 2022","Currency=USD","Period=FQ","BEST_FPERIOD_OVERRIDE=FQ","FILING_STATUS=MR","SCALING_FORMAT=MLN","FA_ADJUSTED=GAAP","Sort=A","Dates=H","DateFormat=P","Fill=—","Direction=H","UseDPDF=Y")</f>
        <v>10169.623900000001</v>
      </c>
      <c r="P34" s="13">
        <f>_xll.BDH("AMGN US Equity","T12_FCF_TO_FIRM_AFT_OP_LEA_PYMTS","FQ4 2022","FQ4 2022","Currency=USD","Period=FQ","BEST_FPERIOD_OVERRIDE=FQ","FILING_STATUS=MR","SCALING_FORMAT=MLN","FA_ADJUSTED=GAAP","Sort=A","Dates=H","DateFormat=P","Fill=—","Direction=H","UseDPDF=Y")</f>
        <v>10039.031000000001</v>
      </c>
      <c r="Q34" s="13">
        <f>_xll.BDH("AMGN US Equity","T12_FCF_TO_FIRM_AFT_OP_LEA_PYMTS","FQ1 2023","FQ1 2023","Currency=USD","Period=FQ","BEST_FPERIOD_OVERRIDE=FQ","FILING_STATUS=MR","SCALING_FORMAT=MLN","FA_ADJUSTED=GAAP","Sort=A","Dates=H","DateFormat=P","Fill=—","Direction=H","UseDPDF=Y")</f>
        <v>8967.9272000000001</v>
      </c>
      <c r="R34" s="13">
        <f>_xll.BDH("AMGN US Equity","T12_FCF_TO_FIRM_AFT_OP_LEA_PYMTS","FQ2 2023","FQ2 2023","Currency=USD","Period=FQ","BEST_FPERIOD_OVERRIDE=FQ","FILING_STATUS=MR","SCALING_FORMAT=MLN","FA_ADJUSTED=GAAP","Sort=A","Dates=H","DateFormat=P","Fill=—","Direction=H","UseDPDF=Y")</f>
        <v>11487.9972</v>
      </c>
      <c r="S34" s="13">
        <f>_xll.BDH("AMGN US Equity","T12_FCF_TO_FIRM_AFT_OP_LEA_PYMTS","FQ3 2023","FQ3 2023","Currency=USD","Period=FQ","BEST_FPERIOD_OVERRIDE=FQ","FILING_STATUS=MR","SCALING_FORMAT=MLN","FA_ADJUSTED=GAAP","Sort=A","Dates=H","DateFormat=P","Fill=—","Direction=H","UseDPDF=Y")</f>
        <v>11513.6651</v>
      </c>
      <c r="T34" s="13">
        <f>_xll.BDH("AMGN US Equity","T12_FCF_TO_FIRM_AFT_OP_LEA_PYMTS","FQ4 2023","FQ4 2023","Currency=USD","Period=FQ","BEST_FPERIOD_OVERRIDE=FQ","FILING_STATUS=MR","SCALING_FORMAT=MLN","FA_ADJUSTED=GAAP","Sort=A","Dates=H","DateFormat=P","Fill=—","Direction=H","UseDPDF=Y")</f>
        <v>9817.4819000000007</v>
      </c>
      <c r="U34" s="13">
        <f>_xll.BDH("AMGN US Equity","T12_FCF_TO_FIRM_AFT_OP_LEA_PYMTS","FQ1 2024","FQ1 2024","Currency=USD","Period=FQ","BEST_FPERIOD_OVERRIDE=FQ","FILING_STATUS=MR","SCALING_FORMAT=MLN","FA_ADJUSTED=GAAP","Sort=A","Dates=H","DateFormat=P","Fill=—","Direction=H","UseDPDF=Y")</f>
        <v>9831.2631000000001</v>
      </c>
      <c r="V34" s="13">
        <f>_xll.BDH("AMGN US Equity","T12_FCF_TO_FIRM_AFT_OP_LEA_PYMTS","FQ2 2024","FQ2 2024","Currency=USD","Period=FQ","BEST_FPERIOD_OVERRIDE=FQ","FILING_STATUS=MR","SCALING_FORMAT=MLN","FA_ADJUSTED=GAAP","Sort=A","Dates=H","DateFormat=P","Fill=—","Direction=H","UseDPDF=Y")</f>
        <v>8333.0738000000001</v>
      </c>
      <c r="W34" s="13">
        <f>_xll.BDH("AMGN US Equity","T12_FCF_TO_FIRM_AFT_OP_LEA_PYMTS","FQ3 2024","FQ3 2024","Currency=USD","Period=FQ","BEST_FPERIOD_OVERRIDE=FQ","FILING_STATUS=MR","SCALING_FORMAT=MLN","FA_ADJUSTED=GAAP","Sort=A","Dates=H","DateFormat=P","Fill=—","Direction=H","UseDPDF=Y")</f>
        <v>9202.143</v>
      </c>
      <c r="X34" s="13">
        <f>_xll.BDH("AMGN US Equity","T12_FCF_TO_FIRM_AFT_OP_LEA_PYMTS","FQ4 2024","FQ4 2024","Currency=USD","Period=FQ","BEST_FPERIOD_OVERRIDE=FQ","FILING_STATUS=MR","SCALING_FORMAT=MLN","FA_ADJUSTED=GAAP","Sort=A","Dates=H","DateFormat=P","Fill=—","Direction=H","UseDPDF=Y")</f>
        <v>13193.728800000001</v>
      </c>
      <c r="Y34" s="16">
        <v>13193.728791494899</v>
      </c>
      <c r="Z34" s="13"/>
      <c r="AA34" s="13"/>
    </row>
    <row r="35" spans="1:27" x14ac:dyDescent="0.25">
      <c r="A35" s="7" t="s">
        <v>90</v>
      </c>
      <c r="B35" s="7"/>
      <c r="C35" s="7" t="s">
        <v>5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4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307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31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</row>
    <row r="6" spans="1:27" x14ac:dyDescent="0.25">
      <c r="A6" s="6" t="s">
        <v>0</v>
      </c>
      <c r="B6" s="6" t="s">
        <v>71</v>
      </c>
      <c r="C6" s="19">
        <f>_xll.BDH("AMGN US Equity","SALES_REV_TURN","FQ2 2019","FQ2 2019","Currency=USD","Period=FQ","BEST_FPERIOD_OVERRIDE=FQ","FILING_STATUS=MR","SCALING_FORMAT=MLN","FA_ADJUSTED=Adjusted","Sort=A","Dates=H","DateFormat=P","Fill=—","Direction=H","UseDPDF=Y")</f>
        <v>5871</v>
      </c>
      <c r="D6" s="19">
        <f>_xll.BDH("AMGN US Equity","SALES_REV_TURN","FQ3 2019","FQ3 2019","Currency=USD","Period=FQ","BEST_FPERIOD_OVERRIDE=FQ","FILING_STATUS=MR","SCALING_FORMAT=MLN","FA_ADJUSTED=Adjusted","Sort=A","Dates=H","DateFormat=P","Fill=—","Direction=H","UseDPDF=Y")</f>
        <v>5737</v>
      </c>
      <c r="E6" s="19">
        <f>_xll.BDH("AMGN US Equity","SALES_REV_TURN","FQ4 2019","FQ4 2019","Currency=USD","Period=FQ","BEST_FPERIOD_OVERRIDE=FQ","FILING_STATUS=MR","SCALING_FORMAT=MLN","FA_ADJUSTED=Adjusted","Sort=A","Dates=H","DateFormat=P","Fill=—","Direction=H","UseDPDF=Y")</f>
        <v>6197</v>
      </c>
      <c r="F6" s="19">
        <f>_xll.BDH("AMGN US Equity","SALES_REV_TURN","FQ1 2020","FQ1 2020","Currency=USD","Period=FQ","BEST_FPERIOD_OVERRIDE=FQ","FILING_STATUS=MR","SCALING_FORMAT=MLN","FA_ADJUSTED=Adjusted","Sort=A","Dates=H","DateFormat=P","Fill=—","Direction=H","UseDPDF=Y")</f>
        <v>6161</v>
      </c>
      <c r="G6" s="19">
        <f>_xll.BDH("AMGN US Equity","SALES_REV_TURN","FQ2 2020","FQ2 2020","Currency=USD","Period=FQ","BEST_FPERIOD_OVERRIDE=FQ","FILING_STATUS=MR","SCALING_FORMAT=MLN","FA_ADJUSTED=Adjusted","Sort=A","Dates=H","DateFormat=P","Fill=—","Direction=H","UseDPDF=Y")</f>
        <v>6206</v>
      </c>
      <c r="H6" s="19">
        <f>_xll.BDH("AMGN US Equity","SALES_REV_TURN","FQ3 2020","FQ3 2020","Currency=USD","Period=FQ","BEST_FPERIOD_OVERRIDE=FQ","FILING_STATUS=MR","SCALING_FORMAT=MLN","FA_ADJUSTED=Adjusted","Sort=A","Dates=H","DateFormat=P","Fill=—","Direction=H","UseDPDF=Y")</f>
        <v>6423</v>
      </c>
      <c r="I6" s="19">
        <f>_xll.BDH("AMGN US Equity","SALES_REV_TURN","FQ4 2020","FQ4 2020","Currency=USD","Period=FQ","BEST_FPERIOD_OVERRIDE=FQ","FILING_STATUS=MR","SCALING_FORMAT=MLN","FA_ADJUSTED=Adjusted","Sort=A","Dates=H","DateFormat=P","Fill=—","Direction=H","UseDPDF=Y")</f>
        <v>6634</v>
      </c>
      <c r="J6" s="19">
        <f>_xll.BDH("AMGN US Equity","SALES_REV_TURN","FQ1 2021","FQ1 2021","Currency=USD","Period=FQ","BEST_FPERIOD_OVERRIDE=FQ","FILING_STATUS=MR","SCALING_FORMAT=MLN","FA_ADJUSTED=Adjusted","Sort=A","Dates=H","DateFormat=P","Fill=—","Direction=H","UseDPDF=Y")</f>
        <v>5901</v>
      </c>
      <c r="K6" s="19">
        <f>_xll.BDH("AMGN US Equity","SALES_REV_TURN","FQ2 2021","FQ2 2021","Currency=USD","Period=FQ","BEST_FPERIOD_OVERRIDE=FQ","FILING_STATUS=MR","SCALING_FORMAT=MLN","FA_ADJUSTED=Adjusted","Sort=A","Dates=H","DateFormat=P","Fill=—","Direction=H","UseDPDF=Y")</f>
        <v>6526</v>
      </c>
      <c r="L6" s="19">
        <f>_xll.BDH("AMGN US Equity","SALES_REV_TURN","FQ3 2021","FQ3 2021","Currency=USD","Period=FQ","BEST_FPERIOD_OVERRIDE=FQ","FILING_STATUS=MR","SCALING_FORMAT=MLN","FA_ADJUSTED=Adjusted","Sort=A","Dates=H","DateFormat=P","Fill=—","Direction=H","UseDPDF=Y")</f>
        <v>6706</v>
      </c>
      <c r="M6" s="19">
        <f>_xll.BDH("AMGN US Equity","SALES_REV_TURN","FQ4 2021","FQ4 2021","Currency=USD","Period=FQ","BEST_FPERIOD_OVERRIDE=FQ","FILING_STATUS=MR","SCALING_FORMAT=MLN","FA_ADJUSTED=Adjusted","Sort=A","Dates=H","DateFormat=P","Fill=—","Direction=H","UseDPDF=Y")</f>
        <v>6846</v>
      </c>
      <c r="N6" s="19">
        <f>_xll.BDH("AMGN US Equity","SALES_REV_TURN","FQ1 2022","FQ1 2022","Currency=USD","Period=FQ","BEST_FPERIOD_OVERRIDE=FQ","FILING_STATUS=MR","SCALING_FORMAT=MLN","FA_ADJUSTED=Adjusted","Sort=A","Dates=H","DateFormat=P","Fill=—","Direction=H","UseDPDF=Y")</f>
        <v>6238</v>
      </c>
      <c r="O6" s="19">
        <f>_xll.BDH("AMGN US Equity","SALES_REV_TURN","FQ2 2022","FQ2 2022","Currency=USD","Period=FQ","BEST_FPERIOD_OVERRIDE=FQ","FILING_STATUS=MR","SCALING_FORMAT=MLN","FA_ADJUSTED=Adjusted","Sort=A","Dates=H","DateFormat=P","Fill=—","Direction=H","UseDPDF=Y")</f>
        <v>6594</v>
      </c>
      <c r="P6" s="19">
        <f>_xll.BDH("AMGN US Equity","SALES_REV_TURN","FQ3 2022","FQ3 2022","Currency=USD","Period=FQ","BEST_FPERIOD_OVERRIDE=FQ","FILING_STATUS=MR","SCALING_FORMAT=MLN","FA_ADJUSTED=Adjusted","Sort=A","Dates=H","DateFormat=P","Fill=—","Direction=H","UseDPDF=Y")</f>
        <v>6652</v>
      </c>
      <c r="Q6" s="19">
        <f>_xll.BDH("AMGN US Equity","SALES_REV_TURN","FQ4 2022","FQ4 2022","Currency=USD","Period=FQ","BEST_FPERIOD_OVERRIDE=FQ","FILING_STATUS=MR","SCALING_FORMAT=MLN","FA_ADJUSTED=Adjusted","Sort=A","Dates=H","DateFormat=P","Fill=—","Direction=H","UseDPDF=Y")</f>
        <v>6839</v>
      </c>
      <c r="R6" s="19">
        <f>_xll.BDH("AMGN US Equity","SALES_REV_TURN","FQ1 2023","FQ1 2023","Currency=USD","Period=FQ","BEST_FPERIOD_OVERRIDE=FQ","FILING_STATUS=MR","SCALING_FORMAT=MLN","FA_ADJUSTED=Adjusted","Sort=A","Dates=H","DateFormat=P","Fill=—","Direction=H","UseDPDF=Y")</f>
        <v>6105</v>
      </c>
      <c r="S6" s="19">
        <f>_xll.BDH("AMGN US Equity","SALES_REV_TURN","FQ2 2023","FQ2 2023","Currency=USD","Period=FQ","BEST_FPERIOD_OVERRIDE=FQ","FILING_STATUS=MR","SCALING_FORMAT=MLN","FA_ADJUSTED=Adjusted","Sort=A","Dates=H","DateFormat=P","Fill=—","Direction=H","UseDPDF=Y")</f>
        <v>6986</v>
      </c>
      <c r="T6" s="19">
        <f>_xll.BDH("AMGN US Equity","SALES_REV_TURN","FQ3 2023","FQ3 2023","Currency=USD","Period=FQ","BEST_FPERIOD_OVERRIDE=FQ","FILING_STATUS=MR","SCALING_FORMAT=MLN","FA_ADJUSTED=Adjusted","Sort=A","Dates=H","DateFormat=P","Fill=—","Direction=H","UseDPDF=Y")</f>
        <v>6903</v>
      </c>
      <c r="U6" s="19">
        <f>_xll.BDH("AMGN US Equity","SALES_REV_TURN","FQ4 2023","FQ4 2023","Currency=USD","Period=FQ","BEST_FPERIOD_OVERRIDE=FQ","FILING_STATUS=MR","SCALING_FORMAT=MLN","FA_ADJUSTED=Adjusted","Sort=A","Dates=H","DateFormat=P","Fill=—","Direction=H","UseDPDF=Y")</f>
        <v>8196</v>
      </c>
      <c r="V6" s="19">
        <f>_xll.BDH("AMGN US Equity","SALES_REV_TURN","FQ1 2024","FQ1 2024","Currency=USD","Period=FQ","BEST_FPERIOD_OVERRIDE=FQ","FILING_STATUS=MR","SCALING_FORMAT=MLN","FA_ADJUSTED=Adjusted","Sort=A","Dates=H","DateFormat=P","Fill=—","Direction=H","UseDPDF=Y")</f>
        <v>7447</v>
      </c>
      <c r="W6" s="19">
        <f>_xll.BDH("AMGN US Equity","SALES_REV_TURN","FQ2 2024","FQ2 2024","Currency=USD","Period=FQ","BEST_FPERIOD_OVERRIDE=FQ","FILING_STATUS=MR","SCALING_FORMAT=MLN","FA_ADJUSTED=Adjusted","Sort=A","Dates=H","DateFormat=P","Fill=—","Direction=H","UseDPDF=Y")</f>
        <v>8388</v>
      </c>
      <c r="X6" s="19">
        <f>_xll.BDH("AMGN US Equity","SALES_REV_TURN","FQ3 2024","FQ3 2024","Currency=USD","Period=FQ","BEST_FPERIOD_OVERRIDE=FQ","FILING_STATUS=MR","SCALING_FORMAT=MLN","FA_ADJUSTED=Adjusted","Sort=A","Dates=H","DateFormat=P","Fill=—","Direction=H","UseDPDF=Y")</f>
        <v>8503</v>
      </c>
      <c r="Y6" s="19">
        <f>_xll.BDH("AMGN US Equity","SALES_REV_TURN","FQ4 2024","FQ4 2024","Currency=USD","Period=FQ","BEST_FPERIOD_OVERRIDE=FQ","FILING_STATUS=MR","SCALING_FORMAT=MLN","FA_ADJUSTED=Adjusted","Sort=A","Dates=H","DateFormat=P","Fill=—","Direction=H","UseDPDF=Y")</f>
        <v>9086</v>
      </c>
      <c r="Z6" s="19">
        <v>8068.5829999999996</v>
      </c>
      <c r="AA6" s="19">
        <v>8866</v>
      </c>
    </row>
    <row r="7" spans="1:27" x14ac:dyDescent="0.25">
      <c r="A7" s="10" t="s">
        <v>308</v>
      </c>
      <c r="B7" s="10" t="s">
        <v>309</v>
      </c>
      <c r="C7" s="13">
        <f>_xll.BDH("AMGN US Equity","IS_SALES_AND_SERVICES_REVENUES","FQ2 2019","FQ2 2019","Currency=USD","Period=FQ","BEST_FPERIOD_OVERRIDE=FQ","FILING_STATUS=MR","SCALING_FORMAT=MLN","FA_ADJUSTED=Adjusted","Sort=A","Dates=H","DateFormat=P","Fill=—","Direction=H","UseDPDF=Y")</f>
        <v>5574</v>
      </c>
      <c r="D7" s="13">
        <f>_xll.BDH("AMGN US Equity","IS_SALES_AND_SERVICES_REVENUES","FQ3 2019","FQ3 2019","Currency=USD","Period=FQ","BEST_FPERIOD_OVERRIDE=FQ","FILING_STATUS=MR","SCALING_FORMAT=MLN","FA_ADJUSTED=Adjusted","Sort=A","Dates=H","DateFormat=P","Fill=—","Direction=H","UseDPDF=Y")</f>
        <v>5463</v>
      </c>
      <c r="E7" s="13">
        <f>_xll.BDH("AMGN US Equity","IS_SALES_AND_SERVICES_REVENUES","FQ4 2019","FQ4 2019","Currency=USD","Period=FQ","BEST_FPERIOD_OVERRIDE=FQ","FILING_STATUS=MR","SCALING_FORMAT=MLN","FA_ADJUSTED=Adjusted","Sort=A","Dates=H","DateFormat=P","Fill=—","Direction=H","UseDPDF=Y")</f>
        <v>5881</v>
      </c>
      <c r="F7" s="13">
        <f>_xll.BDH("AMGN US Equity","IS_SALES_AND_SERVICES_REVENUES","FQ1 2020","FQ1 2020","Currency=USD","Period=FQ","BEST_FPERIOD_OVERRIDE=FQ","FILING_STATUS=MR","SCALING_FORMAT=MLN","FA_ADJUSTED=Adjusted","Sort=A","Dates=H","DateFormat=P","Fill=—","Direction=H","UseDPDF=Y")</f>
        <v>5894</v>
      </c>
      <c r="G7" s="13">
        <f>_xll.BDH("AMGN US Equity","IS_SALES_AND_SERVICES_REVENUES","FQ2 2020","FQ2 2020","Currency=USD","Period=FQ","BEST_FPERIOD_OVERRIDE=FQ","FILING_STATUS=MR","SCALING_FORMAT=MLN","FA_ADJUSTED=Adjusted","Sort=A","Dates=H","DateFormat=P","Fill=—","Direction=H","UseDPDF=Y")</f>
        <v>5908</v>
      </c>
      <c r="H7" s="13">
        <f>_xll.BDH("AMGN US Equity","IS_SALES_AND_SERVICES_REVENUES","FQ3 2020","FQ3 2020","Currency=USD","Period=FQ","BEST_FPERIOD_OVERRIDE=FQ","FILING_STATUS=MR","SCALING_FORMAT=MLN","FA_ADJUSTED=Adjusted","Sort=A","Dates=H","DateFormat=P","Fill=—","Direction=H","UseDPDF=Y")</f>
        <v>6104</v>
      </c>
      <c r="I7" s="13">
        <f>_xll.BDH("AMGN US Equity","IS_SALES_AND_SERVICES_REVENUES","FQ4 2020","FQ4 2020","Currency=USD","Period=FQ","BEST_FPERIOD_OVERRIDE=FQ","FILING_STATUS=MR","SCALING_FORMAT=MLN","FA_ADJUSTED=Adjusted","Sort=A","Dates=H","DateFormat=P","Fill=—","Direction=H","UseDPDF=Y")</f>
        <v>6334</v>
      </c>
      <c r="J7" s="13">
        <f>_xll.BDH("AMGN US Equity","IS_SALES_AND_SERVICES_REVENUES","FQ1 2021","FQ1 2021","Currency=USD","Period=FQ","BEST_FPERIOD_OVERRIDE=FQ","FILING_STATUS=MR","SCALING_FORMAT=MLN","FA_ADJUSTED=Adjusted","Sort=A","Dates=H","DateFormat=P","Fill=—","Direction=H","UseDPDF=Y")</f>
        <v>5592</v>
      </c>
      <c r="K7" s="13">
        <f>_xll.BDH("AMGN US Equity","IS_SALES_AND_SERVICES_REVENUES","FQ2 2021","FQ2 2021","Currency=USD","Period=FQ","BEST_FPERIOD_OVERRIDE=FQ","FILING_STATUS=MR","SCALING_FORMAT=MLN","FA_ADJUSTED=Adjusted","Sort=A","Dates=H","DateFormat=P","Fill=—","Direction=H","UseDPDF=Y")</f>
        <v>6114</v>
      </c>
      <c r="L7" s="13">
        <f>_xll.BDH("AMGN US Equity","IS_SALES_AND_SERVICES_REVENUES","FQ3 2021","FQ3 2021","Currency=USD","Period=FQ","BEST_FPERIOD_OVERRIDE=FQ","FILING_STATUS=MR","SCALING_FORMAT=MLN","FA_ADJUSTED=Adjusted","Sort=A","Dates=H","DateFormat=P","Fill=—","Direction=H","UseDPDF=Y")</f>
        <v>6320</v>
      </c>
      <c r="M7" s="13">
        <f>_xll.BDH("AMGN US Equity","IS_SALES_AND_SERVICES_REVENUES","FQ4 2021","FQ4 2021","Currency=USD","Period=FQ","BEST_FPERIOD_OVERRIDE=FQ","FILING_STATUS=MR","SCALING_FORMAT=MLN","FA_ADJUSTED=Adjusted","Sort=A","Dates=H","DateFormat=P","Fill=—","Direction=H","UseDPDF=Y")</f>
        <v>6271</v>
      </c>
      <c r="N7" s="13">
        <f>_xll.BDH("AMGN US Equity","IS_SALES_AND_SERVICES_REVENUES","FQ1 2022","FQ1 2022","Currency=USD","Period=FQ","BEST_FPERIOD_OVERRIDE=FQ","FILING_STATUS=MR","SCALING_FORMAT=MLN","FA_ADJUSTED=Adjusted","Sort=A","Dates=H","DateFormat=P","Fill=—","Direction=H","UseDPDF=Y")</f>
        <v>5731</v>
      </c>
      <c r="O7" s="13">
        <f>_xll.BDH("AMGN US Equity","IS_SALES_AND_SERVICES_REVENUES","FQ2 2022","FQ2 2022","Currency=USD","Period=FQ","BEST_FPERIOD_OVERRIDE=FQ","FILING_STATUS=MR","SCALING_FORMAT=MLN","FA_ADJUSTED=Adjusted","Sort=A","Dates=H","DateFormat=P","Fill=—","Direction=H","UseDPDF=Y")</f>
        <v>6281</v>
      </c>
      <c r="P7" s="13">
        <f>_xll.BDH("AMGN US Equity","IS_SALES_AND_SERVICES_REVENUES","FQ3 2022","FQ3 2022","Currency=USD","Period=FQ","BEST_FPERIOD_OVERRIDE=FQ","FILING_STATUS=MR","SCALING_FORMAT=MLN","FA_ADJUSTED=Adjusted","Sort=A","Dates=H","DateFormat=P","Fill=—","Direction=H","UseDPDF=Y")</f>
        <v>6237</v>
      </c>
      <c r="Q7" s="13">
        <f>_xll.BDH("AMGN US Equity","IS_SALES_AND_SERVICES_REVENUES","FQ4 2022","FQ4 2022","Currency=USD","Period=FQ","BEST_FPERIOD_OVERRIDE=FQ","FILING_STATUS=MR","SCALING_FORMAT=MLN","FA_ADJUSTED=Adjusted","Sort=A","Dates=H","DateFormat=P","Fill=—","Direction=H","UseDPDF=Y")</f>
        <v>6552</v>
      </c>
      <c r="R7" s="13">
        <f>_xll.BDH("AMGN US Equity","IS_SALES_AND_SERVICES_REVENUES","FQ1 2023","FQ1 2023","Currency=USD","Period=FQ","BEST_FPERIOD_OVERRIDE=FQ","FILING_STATUS=MR","SCALING_FORMAT=MLN","FA_ADJUSTED=Adjusted","Sort=A","Dates=H","DateFormat=P","Fill=—","Direction=H","UseDPDF=Y")</f>
        <v>5846</v>
      </c>
      <c r="S7" s="13">
        <f>_xll.BDH("AMGN US Equity","IS_SALES_AND_SERVICES_REVENUES","FQ2 2023","FQ2 2023","Currency=USD","Period=FQ","BEST_FPERIOD_OVERRIDE=FQ","FILING_STATUS=MR","SCALING_FORMAT=MLN","FA_ADJUSTED=Adjusted","Sort=A","Dates=H","DateFormat=P","Fill=—","Direction=H","UseDPDF=Y")</f>
        <v>6683</v>
      </c>
      <c r="T7" s="13">
        <f>_xll.BDH("AMGN US Equity","IS_SALES_AND_SERVICES_REVENUES","FQ3 2023","FQ3 2023","Currency=USD","Period=FQ","BEST_FPERIOD_OVERRIDE=FQ","FILING_STATUS=MR","SCALING_FORMAT=MLN","FA_ADJUSTED=Adjusted","Sort=A","Dates=H","DateFormat=P","Fill=—","Direction=H","UseDPDF=Y")</f>
        <v>6548</v>
      </c>
      <c r="U7" s="13">
        <f>_xll.BDH("AMGN US Equity","IS_SALES_AND_SERVICES_REVENUES","FQ4 2023","FQ4 2023","Currency=USD","Period=FQ","BEST_FPERIOD_OVERRIDE=FQ","FILING_STATUS=MR","SCALING_FORMAT=MLN","FA_ADJUSTED=Adjusted","Sort=A","Dates=H","DateFormat=P","Fill=—","Direction=H","UseDPDF=Y")</f>
        <v>7833</v>
      </c>
      <c r="V7" s="13">
        <f>_xll.BDH("AMGN US Equity","IS_SALES_AND_SERVICES_REVENUES","FQ1 2024","FQ1 2024","Currency=USD","Period=FQ","BEST_FPERIOD_OVERRIDE=FQ","FILING_STATUS=MR","SCALING_FORMAT=MLN","FA_ADJUSTED=Adjusted","Sort=A","Dates=H","DateFormat=P","Fill=—","Direction=H","UseDPDF=Y")</f>
        <v>7118</v>
      </c>
      <c r="W7" s="13">
        <f>_xll.BDH("AMGN US Equity","IS_SALES_AND_SERVICES_REVENUES","FQ2 2024","FQ2 2024","Currency=USD","Period=FQ","BEST_FPERIOD_OVERRIDE=FQ","FILING_STATUS=MR","SCALING_FORMAT=MLN","FA_ADJUSTED=Adjusted","Sort=A","Dates=H","DateFormat=P","Fill=—","Direction=H","UseDPDF=Y")</f>
        <v>8041</v>
      </c>
      <c r="X7" s="13">
        <f>_xll.BDH("AMGN US Equity","IS_SALES_AND_SERVICES_REVENUES","FQ3 2024","FQ3 2024","Currency=USD","Period=FQ","BEST_FPERIOD_OVERRIDE=FQ","FILING_STATUS=MR","SCALING_FORMAT=MLN","FA_ADJUSTED=Adjusted","Sort=A","Dates=H","DateFormat=P","Fill=—","Direction=H","UseDPDF=Y")</f>
        <v>8151</v>
      </c>
      <c r="Y7" s="13">
        <f>_xll.BDH("AMGN US Equity","IS_SALES_AND_SERVICES_REVENUES","FQ4 2024","FQ4 2024","Currency=USD","Period=FQ","BEST_FPERIOD_OVERRIDE=FQ","FILING_STATUS=MR","SCALING_FORMAT=MLN","FA_ADJUSTED=Adjusted","Sort=A","Dates=H","DateFormat=P","Fill=—","Direction=H","UseDPDF=Y")</f>
        <v>8716</v>
      </c>
      <c r="Z7" s="13"/>
      <c r="AA7" s="13"/>
    </row>
    <row r="8" spans="1:27" x14ac:dyDescent="0.25">
      <c r="A8" s="10" t="s">
        <v>310</v>
      </c>
      <c r="B8" s="10" t="s">
        <v>311</v>
      </c>
      <c r="C8" s="13">
        <f>_xll.BDH("AMGN US Equity","IS_OTHER_REVENUE","FQ2 2019","FQ2 2019","Currency=USD","Period=FQ","BEST_FPERIOD_OVERRIDE=FQ","FILING_STATUS=MR","SCALING_FORMAT=MLN","FA_ADJUSTED=Adjusted","Sort=A","Dates=H","DateFormat=P","Fill=—","Direction=H","UseDPDF=Y")</f>
        <v>297</v>
      </c>
      <c r="D8" s="13">
        <f>_xll.BDH("AMGN US Equity","IS_OTHER_REVENUE","FQ3 2019","FQ3 2019","Currency=USD","Period=FQ","BEST_FPERIOD_OVERRIDE=FQ","FILING_STATUS=MR","SCALING_FORMAT=MLN","FA_ADJUSTED=Adjusted","Sort=A","Dates=H","DateFormat=P","Fill=—","Direction=H","UseDPDF=Y")</f>
        <v>274</v>
      </c>
      <c r="E8" s="13">
        <f>_xll.BDH("AMGN US Equity","IS_OTHER_REVENUE","FQ4 2019","FQ4 2019","Currency=USD","Period=FQ","BEST_FPERIOD_OVERRIDE=FQ","FILING_STATUS=MR","SCALING_FORMAT=MLN","FA_ADJUSTED=Adjusted","Sort=A","Dates=H","DateFormat=P","Fill=—","Direction=H","UseDPDF=Y")</f>
        <v>316</v>
      </c>
      <c r="F8" s="13">
        <f>_xll.BDH("AMGN US Equity","IS_OTHER_REVENUE","FQ1 2020","FQ1 2020","Currency=USD","Period=FQ","BEST_FPERIOD_OVERRIDE=FQ","FILING_STATUS=MR","SCALING_FORMAT=MLN","FA_ADJUSTED=Adjusted","Sort=A","Dates=H","DateFormat=P","Fill=—","Direction=H","UseDPDF=Y")</f>
        <v>267</v>
      </c>
      <c r="G8" s="13">
        <f>_xll.BDH("AMGN US Equity","IS_OTHER_REVENUE","FQ2 2020","FQ2 2020","Currency=USD","Period=FQ","BEST_FPERIOD_OVERRIDE=FQ","FILING_STATUS=MR","SCALING_FORMAT=MLN","FA_ADJUSTED=Adjusted","Sort=A","Dates=H","DateFormat=P","Fill=—","Direction=H","UseDPDF=Y")</f>
        <v>298</v>
      </c>
      <c r="H8" s="13">
        <f>_xll.BDH("AMGN US Equity","IS_OTHER_REVENUE","FQ3 2020","FQ3 2020","Currency=USD","Period=FQ","BEST_FPERIOD_OVERRIDE=FQ","FILING_STATUS=MR","SCALING_FORMAT=MLN","FA_ADJUSTED=Adjusted","Sort=A","Dates=H","DateFormat=P","Fill=—","Direction=H","UseDPDF=Y")</f>
        <v>319</v>
      </c>
      <c r="I8" s="13">
        <f>_xll.BDH("AMGN US Equity","IS_OTHER_REVENUE","FQ4 2020","FQ4 2020","Currency=USD","Period=FQ","BEST_FPERIOD_OVERRIDE=FQ","FILING_STATUS=MR","SCALING_FORMAT=MLN","FA_ADJUSTED=Adjusted","Sort=A","Dates=H","DateFormat=P","Fill=—","Direction=H","UseDPDF=Y")</f>
        <v>300</v>
      </c>
      <c r="J8" s="13">
        <f>_xll.BDH("AMGN US Equity","IS_OTHER_REVENUE","FQ1 2021","FQ1 2021","Currency=USD","Period=FQ","BEST_FPERIOD_OVERRIDE=FQ","FILING_STATUS=MR","SCALING_FORMAT=MLN","FA_ADJUSTED=Adjusted","Sort=A","Dates=H","DateFormat=P","Fill=—","Direction=H","UseDPDF=Y")</f>
        <v>309</v>
      </c>
      <c r="K8" s="13">
        <f>_xll.BDH("AMGN US Equity","IS_OTHER_REVENUE","FQ2 2021","FQ2 2021","Currency=USD","Period=FQ","BEST_FPERIOD_OVERRIDE=FQ","FILING_STATUS=MR","SCALING_FORMAT=MLN","FA_ADJUSTED=Adjusted","Sort=A","Dates=H","DateFormat=P","Fill=—","Direction=H","UseDPDF=Y")</f>
        <v>412</v>
      </c>
      <c r="L8" s="13">
        <f>_xll.BDH("AMGN US Equity","IS_OTHER_REVENUE","FQ3 2021","FQ3 2021","Currency=USD","Period=FQ","BEST_FPERIOD_OVERRIDE=FQ","FILING_STATUS=MR","SCALING_FORMAT=MLN","FA_ADJUSTED=Adjusted","Sort=A","Dates=H","DateFormat=P","Fill=—","Direction=H","UseDPDF=Y")</f>
        <v>386</v>
      </c>
      <c r="M8" s="13">
        <f>_xll.BDH("AMGN US Equity","IS_OTHER_REVENUE","FQ4 2021","FQ4 2021","Currency=USD","Period=FQ","BEST_FPERIOD_OVERRIDE=FQ","FILING_STATUS=MR","SCALING_FORMAT=MLN","FA_ADJUSTED=Adjusted","Sort=A","Dates=H","DateFormat=P","Fill=—","Direction=H","UseDPDF=Y")</f>
        <v>575</v>
      </c>
      <c r="N8" s="13">
        <f>_xll.BDH("AMGN US Equity","IS_OTHER_REVENUE","FQ1 2022","FQ1 2022","Currency=USD","Period=FQ","BEST_FPERIOD_OVERRIDE=FQ","FILING_STATUS=MR","SCALING_FORMAT=MLN","FA_ADJUSTED=Adjusted","Sort=A","Dates=H","DateFormat=P","Fill=—","Direction=H","UseDPDF=Y")</f>
        <v>507</v>
      </c>
      <c r="O8" s="13">
        <f>_xll.BDH("AMGN US Equity","IS_OTHER_REVENUE","FQ2 2022","FQ2 2022","Currency=USD","Period=FQ","BEST_FPERIOD_OVERRIDE=FQ","FILING_STATUS=MR","SCALING_FORMAT=MLN","FA_ADJUSTED=Adjusted","Sort=A","Dates=H","DateFormat=P","Fill=—","Direction=H","UseDPDF=Y")</f>
        <v>313</v>
      </c>
      <c r="P8" s="13">
        <f>_xll.BDH("AMGN US Equity","IS_OTHER_REVENUE","FQ3 2022","FQ3 2022","Currency=USD","Period=FQ","BEST_FPERIOD_OVERRIDE=FQ","FILING_STATUS=MR","SCALING_FORMAT=MLN","FA_ADJUSTED=Adjusted","Sort=A","Dates=H","DateFormat=P","Fill=—","Direction=H","UseDPDF=Y")</f>
        <v>415</v>
      </c>
      <c r="Q8" s="13">
        <f>_xll.BDH("AMGN US Equity","IS_OTHER_REVENUE","FQ4 2022","FQ4 2022","Currency=USD","Period=FQ","BEST_FPERIOD_OVERRIDE=FQ","FILING_STATUS=MR","SCALING_FORMAT=MLN","FA_ADJUSTED=Adjusted","Sort=A","Dates=H","DateFormat=P","Fill=—","Direction=H","UseDPDF=Y")</f>
        <v>287</v>
      </c>
      <c r="R8" s="13">
        <f>_xll.BDH("AMGN US Equity","IS_OTHER_REVENUE","FQ1 2023","FQ1 2023","Currency=USD","Period=FQ","BEST_FPERIOD_OVERRIDE=FQ","FILING_STATUS=MR","SCALING_FORMAT=MLN","FA_ADJUSTED=Adjusted","Sort=A","Dates=H","DateFormat=P","Fill=—","Direction=H","UseDPDF=Y")</f>
        <v>259</v>
      </c>
      <c r="S8" s="13">
        <f>_xll.BDH("AMGN US Equity","IS_OTHER_REVENUE","FQ2 2023","FQ2 2023","Currency=USD","Period=FQ","BEST_FPERIOD_OVERRIDE=FQ","FILING_STATUS=MR","SCALING_FORMAT=MLN","FA_ADJUSTED=Adjusted","Sort=A","Dates=H","DateFormat=P","Fill=—","Direction=H","UseDPDF=Y")</f>
        <v>303</v>
      </c>
      <c r="T8" s="13">
        <f>_xll.BDH("AMGN US Equity","IS_OTHER_REVENUE","FQ3 2023","FQ3 2023","Currency=USD","Period=FQ","BEST_FPERIOD_OVERRIDE=FQ","FILING_STATUS=MR","SCALING_FORMAT=MLN","FA_ADJUSTED=Adjusted","Sort=A","Dates=H","DateFormat=P","Fill=—","Direction=H","UseDPDF=Y")</f>
        <v>355</v>
      </c>
      <c r="U8" s="13">
        <f>_xll.BDH("AMGN US Equity","IS_OTHER_REVENUE","FQ4 2023","FQ4 2023","Currency=USD","Period=FQ","BEST_FPERIOD_OVERRIDE=FQ","FILING_STATUS=MR","SCALING_FORMAT=MLN","FA_ADJUSTED=Adjusted","Sort=A","Dates=H","DateFormat=P","Fill=—","Direction=H","UseDPDF=Y")</f>
        <v>363</v>
      </c>
      <c r="V8" s="13">
        <f>_xll.BDH("AMGN US Equity","IS_OTHER_REVENUE","FQ1 2024","FQ1 2024","Currency=USD","Period=FQ","BEST_FPERIOD_OVERRIDE=FQ","FILING_STATUS=MR","SCALING_FORMAT=MLN","FA_ADJUSTED=Adjusted","Sort=A","Dates=H","DateFormat=P","Fill=—","Direction=H","UseDPDF=Y")</f>
        <v>329</v>
      </c>
      <c r="W8" s="13">
        <f>_xll.BDH("AMGN US Equity","IS_OTHER_REVENUE","FQ2 2024","FQ2 2024","Currency=USD","Period=FQ","BEST_FPERIOD_OVERRIDE=FQ","FILING_STATUS=MR","SCALING_FORMAT=MLN","FA_ADJUSTED=Adjusted","Sort=A","Dates=H","DateFormat=P","Fill=—","Direction=H","UseDPDF=Y")</f>
        <v>347</v>
      </c>
      <c r="X8" s="13">
        <f>_xll.BDH("AMGN US Equity","IS_OTHER_REVENUE","FQ3 2024","FQ3 2024","Currency=USD","Period=FQ","BEST_FPERIOD_OVERRIDE=FQ","FILING_STATUS=MR","SCALING_FORMAT=MLN","FA_ADJUSTED=Adjusted","Sort=A","Dates=H","DateFormat=P","Fill=—","Direction=H","UseDPDF=Y")</f>
        <v>352</v>
      </c>
      <c r="Y8" s="13">
        <f>_xll.BDH("AMGN US Equity","IS_OTHER_REVENUE","FQ4 2024","FQ4 2024","Currency=USD","Period=FQ","BEST_FPERIOD_OVERRIDE=FQ","FILING_STATUS=MR","SCALING_FORMAT=MLN","FA_ADJUSTED=Adjusted","Sort=A","Dates=H","DateFormat=P","Fill=—","Direction=H","UseDPDF=Y")</f>
        <v>370</v>
      </c>
      <c r="Z8" s="13"/>
      <c r="AA8" s="13"/>
    </row>
    <row r="9" spans="1:27" x14ac:dyDescent="0.25">
      <c r="A9" s="10" t="s">
        <v>312</v>
      </c>
      <c r="B9" s="10" t="s">
        <v>313</v>
      </c>
      <c r="C9" s="13">
        <f>_xll.BDH("AMGN US Equity","IS_COGS_TO_FE_AND_PP_AND_G","FQ2 2019","FQ2 2019","Currency=USD","Period=FQ","BEST_FPERIOD_OVERRIDE=FQ","FILING_STATUS=MR","SCALING_FORMAT=MLN","FA_ADJUSTED=Adjusted","Sort=A","Dates=H","DateFormat=P","Fill=—","Direction=H","UseDPDF=Y")</f>
        <v>1012</v>
      </c>
      <c r="D9" s="13">
        <f>_xll.BDH("AMGN US Equity","IS_COGS_TO_FE_AND_PP_AND_G","FQ3 2019","FQ3 2019","Currency=USD","Period=FQ","BEST_FPERIOD_OVERRIDE=FQ","FILING_STATUS=MR","SCALING_FORMAT=MLN","FA_ADJUSTED=Adjusted","Sort=A","Dates=H","DateFormat=P","Fill=—","Direction=H","UseDPDF=Y")</f>
        <v>1036</v>
      </c>
      <c r="E9" s="13">
        <f>_xll.BDH("AMGN US Equity","IS_COGS_TO_FE_AND_PP_AND_G","FQ4 2019","FQ4 2019","Currency=USD","Period=FQ","BEST_FPERIOD_OVERRIDE=FQ","FILING_STATUS=MR","SCALING_FORMAT=MLN","FA_ADJUSTED=Adjusted","Sort=A","Dates=H","DateFormat=P","Fill=—","Direction=H","UseDPDF=Y")</f>
        <v>1253</v>
      </c>
      <c r="F9" s="13">
        <f>_xll.BDH("AMGN US Equity","IS_COGS_TO_FE_AND_PP_AND_G","FQ1 2020","FQ1 2020","Currency=USD","Period=FQ","BEST_FPERIOD_OVERRIDE=FQ","FILING_STATUS=MR","SCALING_FORMAT=MLN","FA_ADJUSTED=Adjusted","Sort=A","Dates=H","DateFormat=P","Fill=—","Direction=H","UseDPDF=Y")</f>
        <v>1513</v>
      </c>
      <c r="G9" s="13">
        <f>_xll.BDH("AMGN US Equity","IS_COGS_TO_FE_AND_PP_AND_G","FQ2 2020","FQ2 2020","Currency=USD","Period=FQ","BEST_FPERIOD_OVERRIDE=FQ","FILING_STATUS=MR","SCALING_FORMAT=MLN","FA_ADJUSTED=Adjusted","Sort=A","Dates=H","DateFormat=P","Fill=—","Direction=H","UseDPDF=Y")</f>
        <v>1488</v>
      </c>
      <c r="H9" s="13">
        <f>_xll.BDH("AMGN US Equity","IS_COGS_TO_FE_AND_PP_AND_G","FQ3 2020","FQ3 2020","Currency=USD","Period=FQ","BEST_FPERIOD_OVERRIDE=FQ","FILING_STATUS=MR","SCALING_FORMAT=MLN","FA_ADJUSTED=Adjusted","Sort=A","Dates=H","DateFormat=P","Fill=—","Direction=H","UseDPDF=Y")</f>
        <v>874</v>
      </c>
      <c r="I9" s="13">
        <f>_xll.BDH("AMGN US Equity","IS_COGS_TO_FE_AND_PP_AND_G","FQ4 2020","FQ4 2020","Currency=USD","Period=FQ","BEST_FPERIOD_OVERRIDE=FQ","FILING_STATUS=MR","SCALING_FORMAT=MLN","FA_ADJUSTED=Adjusted","Sort=A","Dates=H","DateFormat=P","Fill=—","Direction=H","UseDPDF=Y")</f>
        <v>1597</v>
      </c>
      <c r="J9" s="13">
        <f>_xll.BDH("AMGN US Equity","IS_COGS_TO_FE_AND_PP_AND_G","FQ1 2021","FQ1 2021","Currency=USD","Period=FQ","BEST_FPERIOD_OVERRIDE=FQ","FILING_STATUS=MR","SCALING_FORMAT=MLN","FA_ADJUSTED=Adjusted","Sort=A","Dates=H","DateFormat=P","Fill=—","Direction=H","UseDPDF=Y")</f>
        <v>1490</v>
      </c>
      <c r="K9" s="13">
        <f>_xll.BDH("AMGN US Equity","IS_COGS_TO_FE_AND_PP_AND_G","FQ2 2021","FQ2 2021","Currency=USD","Period=FQ","BEST_FPERIOD_OVERRIDE=FQ","FILING_STATUS=MR","SCALING_FORMAT=MLN","FA_ADJUSTED=Adjusted","Sort=A","Dates=H","DateFormat=P","Fill=—","Direction=H","UseDPDF=Y")</f>
        <v>1034</v>
      </c>
      <c r="L9" s="13">
        <f>_xll.BDH("AMGN US Equity","IS_COGS_TO_FE_AND_PP_AND_G","FQ3 2021","FQ3 2021","Currency=USD","Period=FQ","BEST_FPERIOD_OVERRIDE=FQ","FILING_STATUS=MR","SCALING_FORMAT=MLN","FA_ADJUSTED=Adjusted","Sort=A","Dates=H","DateFormat=P","Fill=—","Direction=H","UseDPDF=Y")</f>
        <v>1609</v>
      </c>
      <c r="M9" s="13">
        <f>_xll.BDH("AMGN US Equity","IS_COGS_TO_FE_AND_PP_AND_G","FQ4 2021","FQ4 2021","Currency=USD","Period=FQ","BEST_FPERIOD_OVERRIDE=FQ","FILING_STATUS=MR","SCALING_FORMAT=MLN","FA_ADJUSTED=Adjusted","Sort=A","Dates=H","DateFormat=P","Fill=—","Direction=H","UseDPDF=Y")</f>
        <v>1712</v>
      </c>
      <c r="N9" s="13">
        <f>_xll.BDH("AMGN US Equity","IS_COGS_TO_FE_AND_PP_AND_G","FQ1 2022","FQ1 2022","Currency=USD","Period=FQ","BEST_FPERIOD_OVERRIDE=FQ","FILING_STATUS=MR","SCALING_FORMAT=MLN","FA_ADJUSTED=Adjusted","Sort=A","Dates=H","DateFormat=P","Fill=—","Direction=H","UseDPDF=Y")</f>
        <v>1561</v>
      </c>
      <c r="O9" s="13">
        <f>_xll.BDH("AMGN US Equity","IS_COGS_TO_FE_AND_PP_AND_G","FQ2 2022","FQ2 2022","Currency=USD","Period=FQ","BEST_FPERIOD_OVERRIDE=FQ","FILING_STATUS=MR","SCALING_FORMAT=MLN","FA_ADJUSTED=Adjusted","Sort=A","Dates=H","DateFormat=P","Fill=—","Direction=H","UseDPDF=Y")</f>
        <v>926</v>
      </c>
      <c r="P9" s="13">
        <f>_xll.BDH("AMGN US Equity","IS_COGS_TO_FE_AND_PP_AND_G","FQ3 2022","FQ3 2022","Currency=USD","Period=FQ","BEST_FPERIOD_OVERRIDE=FQ","FILING_STATUS=MR","SCALING_FORMAT=MLN","FA_ADJUSTED=Adjusted","Sort=A","Dates=H","DateFormat=P","Fill=—","Direction=H","UseDPDF=Y")</f>
        <v>1588</v>
      </c>
      <c r="Q9" s="13">
        <f>_xll.BDH("AMGN US Equity","IS_COGS_TO_FE_AND_PP_AND_G","FQ4 2022","FQ4 2022","Currency=USD","Period=FQ","BEST_FPERIOD_OVERRIDE=FQ","FILING_STATUS=MR","SCALING_FORMAT=MLN","FA_ADJUSTED=Adjusted","Sort=A","Dates=H","DateFormat=P","Fill=—","Direction=H","UseDPDF=Y")</f>
        <v>1747</v>
      </c>
      <c r="R9" s="13">
        <f>_xll.BDH("AMGN US Equity","IS_COGS_TO_FE_AND_PP_AND_G","FQ1 2023","FQ1 2023","Currency=USD","Period=FQ","BEST_FPERIOD_OVERRIDE=FQ","FILING_STATUS=MR","SCALING_FORMAT=MLN","FA_ADJUSTED=Adjusted","Sort=A","Dates=H","DateFormat=P","Fill=—","Direction=H","UseDPDF=Y")</f>
        <v>1051</v>
      </c>
      <c r="S9" s="13">
        <f>_xll.BDH("AMGN US Equity","IS_COGS_TO_FE_AND_PP_AND_G","FQ2 2023","FQ2 2023","Currency=USD","Period=FQ","BEST_FPERIOD_OVERRIDE=FQ","FILING_STATUS=MR","SCALING_FORMAT=MLN","FA_ADJUSTED=Adjusted","Sort=A","Dates=H","DateFormat=P","Fill=—","Direction=H","UseDPDF=Y")</f>
        <v>1813</v>
      </c>
      <c r="T9" s="13">
        <f>_xll.BDH("AMGN US Equity","IS_COGS_TO_FE_AND_PP_AND_G","FQ3 2023","FQ3 2023","Currency=USD","Period=FQ","BEST_FPERIOD_OVERRIDE=FQ","FILING_STATUS=MR","SCALING_FORMAT=MLN","FA_ADJUSTED=Adjusted","Sort=A","Dates=H","DateFormat=P","Fill=—","Direction=H","UseDPDF=Y")</f>
        <v>1806</v>
      </c>
      <c r="U9" s="13">
        <f>_xll.BDH("AMGN US Equity","IS_COGS_TO_FE_AND_PP_AND_G","FQ4 2023","FQ4 2023","Currency=USD","Period=FQ","BEST_FPERIOD_OVERRIDE=FQ","FILING_STATUS=MR","SCALING_FORMAT=MLN","FA_ADJUSTED=Adjusted","Sort=A","Dates=H","DateFormat=P","Fill=—","Direction=H","UseDPDF=Y")</f>
        <v>1278</v>
      </c>
      <c r="V9" s="13">
        <f>_xll.BDH("AMGN US Equity","IS_COGS_TO_FE_AND_PP_AND_G","FQ1 2024","FQ1 2024","Currency=USD","Period=FQ","BEST_FPERIOD_OVERRIDE=FQ","FILING_STATUS=MR","SCALING_FORMAT=MLN","FA_ADJUSTED=Adjusted","Sort=A","Dates=H","DateFormat=P","Fill=—","Direction=H","UseDPDF=Y")</f>
        <v>3200</v>
      </c>
      <c r="W9" s="13">
        <f>_xll.BDH("AMGN US Equity","IS_COGS_TO_FE_AND_PP_AND_G","FQ2 2024","FQ2 2024","Currency=USD","Period=FQ","BEST_FPERIOD_OVERRIDE=FQ","FILING_STATUS=MR","SCALING_FORMAT=MLN","FA_ADJUSTED=Adjusted","Sort=A","Dates=H","DateFormat=P","Fill=—","Direction=H","UseDPDF=Y")</f>
        <v>3236</v>
      </c>
      <c r="X9" s="13">
        <f>_xll.BDH("AMGN US Equity","IS_COGS_TO_FE_AND_PP_AND_G","FQ3 2024","FQ3 2024","Currency=USD","Period=FQ","BEST_FPERIOD_OVERRIDE=FQ","FILING_STATUS=MR","SCALING_FORMAT=MLN","FA_ADJUSTED=Adjusted","Sort=A","Dates=H","DateFormat=P","Fill=—","Direction=H","UseDPDF=Y")</f>
        <v>3310</v>
      </c>
      <c r="Y9" s="13">
        <f>_xll.BDH("AMGN US Equity","IS_COGS_TO_FE_AND_PP_AND_G","FQ4 2024","FQ4 2024","Currency=USD","Period=FQ","BEST_FPERIOD_OVERRIDE=FQ","FILING_STATUS=MR","SCALING_FORMAT=MLN","FA_ADJUSTED=Adjusted","Sort=A","Dates=H","DateFormat=P","Fill=—","Direction=H","UseDPDF=Y")</f>
        <v>3112</v>
      </c>
      <c r="Z9" s="13"/>
      <c r="AA9" s="13"/>
    </row>
    <row r="10" spans="1:27" x14ac:dyDescent="0.25">
      <c r="A10" s="10" t="s">
        <v>314</v>
      </c>
      <c r="B10" s="10" t="s">
        <v>315</v>
      </c>
      <c r="C10" s="13">
        <f>_xll.BDH("AMGN US Equity","IS_COG_AND_SERVICES_SOLD","FQ2 2019","FQ2 2019","Currency=USD","Period=FQ","BEST_FPERIOD_OVERRIDE=FQ","FILING_STATUS=MR","SCALING_FORMAT=MLN","FA_ADJUSTED=Adjusted","Sort=A","Dates=H","DateFormat=P","Fill=—","Direction=H","UseDPDF=Y")</f>
        <v>1012</v>
      </c>
      <c r="D10" s="13">
        <f>_xll.BDH("AMGN US Equity","IS_COG_AND_SERVICES_SOLD","FQ3 2019","FQ3 2019","Currency=USD","Period=FQ","BEST_FPERIOD_OVERRIDE=FQ","FILING_STATUS=MR","SCALING_FORMAT=MLN","FA_ADJUSTED=Adjusted","Sort=A","Dates=H","DateFormat=P","Fill=—","Direction=H","UseDPDF=Y")</f>
        <v>1036</v>
      </c>
      <c r="E10" s="13">
        <f>_xll.BDH("AMGN US Equity","IS_COG_AND_SERVICES_SOLD","FQ4 2019","FQ4 2019","Currency=USD","Period=FQ","BEST_FPERIOD_OVERRIDE=FQ","FILING_STATUS=MR","SCALING_FORMAT=MLN","FA_ADJUSTED=Adjusted","Sort=A","Dates=H","DateFormat=P","Fill=—","Direction=H","UseDPDF=Y")</f>
        <v>1253</v>
      </c>
      <c r="F10" s="13">
        <f>_xll.BDH("AMGN US Equity","IS_COG_AND_SERVICES_SOLD","FQ1 2020","FQ1 2020","Currency=USD","Period=FQ","BEST_FPERIOD_OVERRIDE=FQ","FILING_STATUS=MR","SCALING_FORMAT=MLN","FA_ADJUSTED=Adjusted","Sort=A","Dates=H","DateFormat=P","Fill=—","Direction=H","UseDPDF=Y")</f>
        <v>1513</v>
      </c>
      <c r="G10" s="13">
        <f>_xll.BDH("AMGN US Equity","IS_COG_AND_SERVICES_SOLD","FQ2 2020","FQ2 2020","Currency=USD","Period=FQ","BEST_FPERIOD_OVERRIDE=FQ","FILING_STATUS=MR","SCALING_FORMAT=MLN","FA_ADJUSTED=Adjusted","Sort=A","Dates=H","DateFormat=P","Fill=—","Direction=H","UseDPDF=Y")</f>
        <v>1488</v>
      </c>
      <c r="H10" s="13">
        <f>_xll.BDH("AMGN US Equity","IS_COG_AND_SERVICES_SOLD","FQ3 2020","FQ3 2020","Currency=USD","Period=FQ","BEST_FPERIOD_OVERRIDE=FQ","FILING_STATUS=MR","SCALING_FORMAT=MLN","FA_ADJUSTED=Adjusted","Sort=A","Dates=H","DateFormat=P","Fill=—","Direction=H","UseDPDF=Y")</f>
        <v>874</v>
      </c>
      <c r="I10" s="13">
        <f>_xll.BDH("AMGN US Equity","IS_COG_AND_SERVICES_SOLD","FQ4 2020","FQ4 2020","Currency=USD","Period=FQ","BEST_FPERIOD_OVERRIDE=FQ","FILING_STATUS=MR","SCALING_FORMAT=MLN","FA_ADJUSTED=Adjusted","Sort=A","Dates=H","DateFormat=P","Fill=—","Direction=H","UseDPDF=Y")</f>
        <v>1597</v>
      </c>
      <c r="J10" s="13">
        <f>_xll.BDH("AMGN US Equity","IS_COG_AND_SERVICES_SOLD","FQ1 2021","FQ1 2021","Currency=USD","Period=FQ","BEST_FPERIOD_OVERRIDE=FQ","FILING_STATUS=MR","SCALING_FORMAT=MLN","FA_ADJUSTED=Adjusted","Sort=A","Dates=H","DateFormat=P","Fill=—","Direction=H","UseDPDF=Y")</f>
        <v>1490</v>
      </c>
      <c r="K10" s="13">
        <f>_xll.BDH("AMGN US Equity","IS_COG_AND_SERVICES_SOLD","FQ2 2021","FQ2 2021","Currency=USD","Period=FQ","BEST_FPERIOD_OVERRIDE=FQ","FILING_STATUS=MR","SCALING_FORMAT=MLN","FA_ADJUSTED=Adjusted","Sort=A","Dates=H","DateFormat=P","Fill=—","Direction=H","UseDPDF=Y")</f>
        <v>1034</v>
      </c>
      <c r="L10" s="13">
        <f>_xll.BDH("AMGN US Equity","IS_COG_AND_SERVICES_SOLD","FQ3 2021","FQ3 2021","Currency=USD","Period=FQ","BEST_FPERIOD_OVERRIDE=FQ","FILING_STATUS=MR","SCALING_FORMAT=MLN","FA_ADJUSTED=Adjusted","Sort=A","Dates=H","DateFormat=P","Fill=—","Direction=H","UseDPDF=Y")</f>
        <v>1609</v>
      </c>
      <c r="M10" s="13">
        <f>_xll.BDH("AMGN US Equity","IS_COG_AND_SERVICES_SOLD","FQ4 2021","FQ4 2021","Currency=USD","Period=FQ","BEST_FPERIOD_OVERRIDE=FQ","FILING_STATUS=MR","SCALING_FORMAT=MLN","FA_ADJUSTED=Adjusted","Sort=A","Dates=H","DateFormat=P","Fill=—","Direction=H","UseDPDF=Y")</f>
        <v>1712</v>
      </c>
      <c r="N10" s="13">
        <f>_xll.BDH("AMGN US Equity","IS_COG_AND_SERVICES_SOLD","FQ1 2022","FQ1 2022","Currency=USD","Period=FQ","BEST_FPERIOD_OVERRIDE=FQ","FILING_STATUS=MR","SCALING_FORMAT=MLN","FA_ADJUSTED=Adjusted","Sort=A","Dates=H","DateFormat=P","Fill=—","Direction=H","UseDPDF=Y")</f>
        <v>1561</v>
      </c>
      <c r="O10" s="13">
        <f>_xll.BDH("AMGN US Equity","IS_COG_AND_SERVICES_SOLD","FQ2 2022","FQ2 2022","Currency=USD","Period=FQ","BEST_FPERIOD_OVERRIDE=FQ","FILING_STATUS=MR","SCALING_FORMAT=MLN","FA_ADJUSTED=Adjusted","Sort=A","Dates=H","DateFormat=P","Fill=—","Direction=H","UseDPDF=Y")</f>
        <v>926</v>
      </c>
      <c r="P10" s="13">
        <f>_xll.BDH("AMGN US Equity","IS_COG_AND_SERVICES_SOLD","FQ3 2022","FQ3 2022","Currency=USD","Period=FQ","BEST_FPERIOD_OVERRIDE=FQ","FILING_STATUS=MR","SCALING_FORMAT=MLN","FA_ADJUSTED=Adjusted","Sort=A","Dates=H","DateFormat=P","Fill=—","Direction=H","UseDPDF=Y")</f>
        <v>1588</v>
      </c>
      <c r="Q10" s="13">
        <f>_xll.BDH("AMGN US Equity","IS_COG_AND_SERVICES_SOLD","FQ4 2022","FQ4 2022","Currency=USD","Period=FQ","BEST_FPERIOD_OVERRIDE=FQ","FILING_STATUS=MR","SCALING_FORMAT=MLN","FA_ADJUSTED=Adjusted","Sort=A","Dates=H","DateFormat=P","Fill=—","Direction=H","UseDPDF=Y")</f>
        <v>1747</v>
      </c>
      <c r="R10" s="13">
        <f>_xll.BDH("AMGN US Equity","IS_COG_AND_SERVICES_SOLD","FQ1 2023","FQ1 2023","Currency=USD","Period=FQ","BEST_FPERIOD_OVERRIDE=FQ","FILING_STATUS=MR","SCALING_FORMAT=MLN","FA_ADJUSTED=Adjusted","Sort=A","Dates=H","DateFormat=P","Fill=—","Direction=H","UseDPDF=Y")</f>
        <v>1051</v>
      </c>
      <c r="S10" s="13">
        <f>_xll.BDH("AMGN US Equity","IS_COG_AND_SERVICES_SOLD","FQ2 2023","FQ2 2023","Currency=USD","Period=FQ","BEST_FPERIOD_OVERRIDE=FQ","FILING_STATUS=MR","SCALING_FORMAT=MLN","FA_ADJUSTED=Adjusted","Sort=A","Dates=H","DateFormat=P","Fill=—","Direction=H","UseDPDF=Y")</f>
        <v>1813</v>
      </c>
      <c r="T10" s="13">
        <f>_xll.BDH("AMGN US Equity","IS_COG_AND_SERVICES_SOLD","FQ3 2023","FQ3 2023","Currency=USD","Period=FQ","BEST_FPERIOD_OVERRIDE=FQ","FILING_STATUS=MR","SCALING_FORMAT=MLN","FA_ADJUSTED=Adjusted","Sort=A","Dates=H","DateFormat=P","Fill=—","Direction=H","UseDPDF=Y")</f>
        <v>1806</v>
      </c>
      <c r="U10" s="13">
        <f>_xll.BDH("AMGN US Equity","IS_COG_AND_SERVICES_SOLD","FQ4 2023","FQ4 2023","Currency=USD","Period=FQ","BEST_FPERIOD_OVERRIDE=FQ","FILING_STATUS=MR","SCALING_FORMAT=MLN","FA_ADJUSTED=Adjusted","Sort=A","Dates=H","DateFormat=P","Fill=—","Direction=H","UseDPDF=Y")</f>
        <v>1278</v>
      </c>
      <c r="V10" s="13">
        <f>_xll.BDH("AMGN US Equity","IS_COG_AND_SERVICES_SOLD","FQ1 2024","FQ1 2024","Currency=USD","Period=FQ","BEST_FPERIOD_OVERRIDE=FQ","FILING_STATUS=MR","SCALING_FORMAT=MLN","FA_ADJUSTED=Adjusted","Sort=A","Dates=H","DateFormat=P","Fill=—","Direction=H","UseDPDF=Y")</f>
        <v>3200</v>
      </c>
      <c r="W10" s="13">
        <f>_xll.BDH("AMGN US Equity","IS_COG_AND_SERVICES_SOLD","FQ2 2024","FQ2 2024","Currency=USD","Period=FQ","BEST_FPERIOD_OVERRIDE=FQ","FILING_STATUS=MR","SCALING_FORMAT=MLN","FA_ADJUSTED=Adjusted","Sort=A","Dates=H","DateFormat=P","Fill=—","Direction=H","UseDPDF=Y")</f>
        <v>3236</v>
      </c>
      <c r="X10" s="13">
        <f>_xll.BDH("AMGN US Equity","IS_COG_AND_SERVICES_SOLD","FQ3 2024","FQ3 2024","Currency=USD","Period=FQ","BEST_FPERIOD_OVERRIDE=FQ","FILING_STATUS=MR","SCALING_FORMAT=MLN","FA_ADJUSTED=Adjusted","Sort=A","Dates=H","DateFormat=P","Fill=—","Direction=H","UseDPDF=Y")</f>
        <v>3310</v>
      </c>
      <c r="Y10" s="13">
        <f>_xll.BDH("AMGN US Equity","IS_COG_AND_SERVICES_SOLD","FQ4 2024","FQ4 2024","Currency=USD","Period=FQ","BEST_FPERIOD_OVERRIDE=FQ","FILING_STATUS=MR","SCALING_FORMAT=MLN","FA_ADJUSTED=Adjusted","Sort=A","Dates=H","DateFormat=P","Fill=—","Direction=H","UseDPDF=Y")</f>
        <v>3112</v>
      </c>
      <c r="Z10" s="13"/>
      <c r="AA10" s="13"/>
    </row>
    <row r="11" spans="1:27" x14ac:dyDescent="0.25">
      <c r="A11" s="6" t="s">
        <v>2</v>
      </c>
      <c r="B11" s="6" t="s">
        <v>75</v>
      </c>
      <c r="C11" s="19">
        <f>_xll.BDH("AMGN US Equity","GROSS_PROFIT","FQ2 2019","FQ2 2019","Currency=USD","Period=FQ","BEST_FPERIOD_OVERRIDE=FQ","FILING_STATUS=MR","SCALING_FORMAT=MLN","FA_ADJUSTED=Adjusted","Sort=A","Dates=H","DateFormat=P","Fill=—","Direction=H","UseDPDF=Y")</f>
        <v>4859</v>
      </c>
      <c r="D11" s="19">
        <f>_xll.BDH("AMGN US Equity","GROSS_PROFIT","FQ3 2019","FQ3 2019","Currency=USD","Period=FQ","BEST_FPERIOD_OVERRIDE=FQ","FILING_STATUS=MR","SCALING_FORMAT=MLN","FA_ADJUSTED=Adjusted","Sort=A","Dates=H","DateFormat=P","Fill=—","Direction=H","UseDPDF=Y")</f>
        <v>4701</v>
      </c>
      <c r="E11" s="19">
        <f>_xll.BDH("AMGN US Equity","GROSS_PROFIT","FQ4 2019","FQ4 2019","Currency=USD","Period=FQ","BEST_FPERIOD_OVERRIDE=FQ","FILING_STATUS=MR","SCALING_FORMAT=MLN","FA_ADJUSTED=Adjusted","Sort=A","Dates=H","DateFormat=P","Fill=—","Direction=H","UseDPDF=Y")</f>
        <v>4944</v>
      </c>
      <c r="F11" s="19">
        <f>_xll.BDH("AMGN US Equity","GROSS_PROFIT","FQ1 2020","FQ1 2020","Currency=USD","Period=FQ","BEST_FPERIOD_OVERRIDE=FQ","FILING_STATUS=MR","SCALING_FORMAT=MLN","FA_ADJUSTED=Adjusted","Sort=A","Dates=H","DateFormat=P","Fill=—","Direction=H","UseDPDF=Y")</f>
        <v>4648</v>
      </c>
      <c r="G11" s="19">
        <f>_xll.BDH("AMGN US Equity","GROSS_PROFIT","FQ2 2020","FQ2 2020","Currency=USD","Period=FQ","BEST_FPERIOD_OVERRIDE=FQ","FILING_STATUS=MR","SCALING_FORMAT=MLN","FA_ADJUSTED=Adjusted","Sort=A","Dates=H","DateFormat=P","Fill=—","Direction=H","UseDPDF=Y")</f>
        <v>4718</v>
      </c>
      <c r="H11" s="19">
        <f>_xll.BDH("AMGN US Equity","GROSS_PROFIT","FQ3 2020","FQ3 2020","Currency=USD","Period=FQ","BEST_FPERIOD_OVERRIDE=FQ","FILING_STATUS=MR","SCALING_FORMAT=MLN","FA_ADJUSTED=Adjusted","Sort=A","Dates=H","DateFormat=P","Fill=—","Direction=H","UseDPDF=Y")</f>
        <v>5549</v>
      </c>
      <c r="I11" s="19">
        <f>_xll.BDH("AMGN US Equity","GROSS_PROFIT","FQ4 2020","FQ4 2020","Currency=USD","Period=FQ","BEST_FPERIOD_OVERRIDE=FQ","FILING_STATUS=MR","SCALING_FORMAT=MLN","FA_ADJUSTED=Adjusted","Sort=A","Dates=H","DateFormat=P","Fill=—","Direction=H","UseDPDF=Y")</f>
        <v>5037</v>
      </c>
      <c r="J11" s="19">
        <f>_xll.BDH("AMGN US Equity","GROSS_PROFIT","FQ1 2021","FQ1 2021","Currency=USD","Period=FQ","BEST_FPERIOD_OVERRIDE=FQ","FILING_STATUS=MR","SCALING_FORMAT=MLN","FA_ADJUSTED=Adjusted","Sort=A","Dates=H","DateFormat=P","Fill=—","Direction=H","UseDPDF=Y")</f>
        <v>4411</v>
      </c>
      <c r="K11" s="19">
        <f>_xll.BDH("AMGN US Equity","GROSS_PROFIT","FQ2 2021","FQ2 2021","Currency=USD","Period=FQ","BEST_FPERIOD_OVERRIDE=FQ","FILING_STATUS=MR","SCALING_FORMAT=MLN","FA_ADJUSTED=Adjusted","Sort=A","Dates=H","DateFormat=P","Fill=—","Direction=H","UseDPDF=Y")</f>
        <v>5492</v>
      </c>
      <c r="L11" s="19">
        <f>_xll.BDH("AMGN US Equity","GROSS_PROFIT","FQ3 2021","FQ3 2021","Currency=USD","Period=FQ","BEST_FPERIOD_OVERRIDE=FQ","FILING_STATUS=MR","SCALING_FORMAT=MLN","FA_ADJUSTED=Adjusted","Sort=A","Dates=H","DateFormat=P","Fill=—","Direction=H","UseDPDF=Y")</f>
        <v>5097</v>
      </c>
      <c r="M11" s="19">
        <f>_xll.BDH("AMGN US Equity","GROSS_PROFIT","FQ4 2021","FQ4 2021","Currency=USD","Period=FQ","BEST_FPERIOD_OVERRIDE=FQ","FILING_STATUS=MR","SCALING_FORMAT=MLN","FA_ADJUSTED=Adjusted","Sort=A","Dates=H","DateFormat=P","Fill=—","Direction=H","UseDPDF=Y")</f>
        <v>5134</v>
      </c>
      <c r="N11" s="19">
        <f>_xll.BDH("AMGN US Equity","GROSS_PROFIT","FQ1 2022","FQ1 2022","Currency=USD","Period=FQ","BEST_FPERIOD_OVERRIDE=FQ","FILING_STATUS=MR","SCALING_FORMAT=MLN","FA_ADJUSTED=Adjusted","Sort=A","Dates=H","DateFormat=P","Fill=—","Direction=H","UseDPDF=Y")</f>
        <v>4677</v>
      </c>
      <c r="O11" s="19">
        <f>_xll.BDH("AMGN US Equity","GROSS_PROFIT","FQ2 2022","FQ2 2022","Currency=USD","Period=FQ","BEST_FPERIOD_OVERRIDE=FQ","FILING_STATUS=MR","SCALING_FORMAT=MLN","FA_ADJUSTED=Adjusted","Sort=A","Dates=H","DateFormat=P","Fill=—","Direction=H","UseDPDF=Y")</f>
        <v>5668</v>
      </c>
      <c r="P11" s="19">
        <f>_xll.BDH("AMGN US Equity","GROSS_PROFIT","FQ3 2022","FQ3 2022","Currency=USD","Period=FQ","BEST_FPERIOD_OVERRIDE=FQ","FILING_STATUS=MR","SCALING_FORMAT=MLN","FA_ADJUSTED=Adjusted","Sort=A","Dates=H","DateFormat=P","Fill=—","Direction=H","UseDPDF=Y")</f>
        <v>5064</v>
      </c>
      <c r="Q11" s="19">
        <f>_xll.BDH("AMGN US Equity","GROSS_PROFIT","FQ4 2022","FQ4 2022","Currency=USD","Period=FQ","BEST_FPERIOD_OVERRIDE=FQ","FILING_STATUS=MR","SCALING_FORMAT=MLN","FA_ADJUSTED=Adjusted","Sort=A","Dates=H","DateFormat=P","Fill=—","Direction=H","UseDPDF=Y")</f>
        <v>5092</v>
      </c>
      <c r="R11" s="19">
        <f>_xll.BDH("AMGN US Equity","GROSS_PROFIT","FQ1 2023","FQ1 2023","Currency=USD","Period=FQ","BEST_FPERIOD_OVERRIDE=FQ","FILING_STATUS=MR","SCALING_FORMAT=MLN","FA_ADJUSTED=Adjusted","Sort=A","Dates=H","DateFormat=P","Fill=—","Direction=H","UseDPDF=Y")</f>
        <v>5054</v>
      </c>
      <c r="S11" s="19">
        <f>_xll.BDH("AMGN US Equity","GROSS_PROFIT","FQ2 2023","FQ2 2023","Currency=USD","Period=FQ","BEST_FPERIOD_OVERRIDE=FQ","FILING_STATUS=MR","SCALING_FORMAT=MLN","FA_ADJUSTED=Adjusted","Sort=A","Dates=H","DateFormat=P","Fill=—","Direction=H","UseDPDF=Y")</f>
        <v>5173</v>
      </c>
      <c r="T11" s="19">
        <f>_xll.BDH("AMGN US Equity","GROSS_PROFIT","FQ3 2023","FQ3 2023","Currency=USD","Period=FQ","BEST_FPERIOD_OVERRIDE=FQ","FILING_STATUS=MR","SCALING_FORMAT=MLN","FA_ADJUSTED=Adjusted","Sort=A","Dates=H","DateFormat=P","Fill=—","Direction=H","UseDPDF=Y")</f>
        <v>5097</v>
      </c>
      <c r="U11" s="19">
        <f>_xll.BDH("AMGN US Equity","GROSS_PROFIT","FQ4 2023","FQ4 2023","Currency=USD","Period=FQ","BEST_FPERIOD_OVERRIDE=FQ","FILING_STATUS=MR","SCALING_FORMAT=MLN","FA_ADJUSTED=Adjusted","Sort=A","Dates=H","DateFormat=P","Fill=—","Direction=H","UseDPDF=Y")</f>
        <v>6918</v>
      </c>
      <c r="V11" s="19">
        <f>_xll.BDH("AMGN US Equity","GROSS_PROFIT","FQ1 2024","FQ1 2024","Currency=USD","Period=FQ","BEST_FPERIOD_OVERRIDE=FQ","FILING_STATUS=MR","SCALING_FORMAT=MLN","FA_ADJUSTED=Adjusted","Sort=A","Dates=H","DateFormat=P","Fill=—","Direction=H","UseDPDF=Y")</f>
        <v>4247</v>
      </c>
      <c r="W11" s="19">
        <f>_xll.BDH("AMGN US Equity","GROSS_PROFIT","FQ2 2024","FQ2 2024","Currency=USD","Period=FQ","BEST_FPERIOD_OVERRIDE=FQ","FILING_STATUS=MR","SCALING_FORMAT=MLN","FA_ADJUSTED=Adjusted","Sort=A","Dates=H","DateFormat=P","Fill=—","Direction=H","UseDPDF=Y")</f>
        <v>5152</v>
      </c>
      <c r="X11" s="19">
        <f>_xll.BDH("AMGN US Equity","GROSS_PROFIT","FQ3 2024","FQ3 2024","Currency=USD","Period=FQ","BEST_FPERIOD_OVERRIDE=FQ","FILING_STATUS=MR","SCALING_FORMAT=MLN","FA_ADJUSTED=Adjusted","Sort=A","Dates=H","DateFormat=P","Fill=—","Direction=H","UseDPDF=Y")</f>
        <v>5193</v>
      </c>
      <c r="Y11" s="19">
        <f>_xll.BDH("AMGN US Equity","GROSS_PROFIT","FQ4 2024","FQ4 2024","Currency=USD","Period=FQ","BEST_FPERIOD_OVERRIDE=FQ","FILING_STATUS=MR","SCALING_FORMAT=MLN","FA_ADJUSTED=Adjusted","Sort=A","Dates=H","DateFormat=P","Fill=—","Direction=H","UseDPDF=Y")</f>
        <v>5974</v>
      </c>
      <c r="Z11" s="19">
        <v>6598.72923489</v>
      </c>
      <c r="AA11" s="19">
        <v>7326.8624</v>
      </c>
    </row>
    <row r="12" spans="1:27" x14ac:dyDescent="0.25">
      <c r="A12" s="10" t="s">
        <v>316</v>
      </c>
      <c r="B12" s="10" t="s">
        <v>317</v>
      </c>
      <c r="C12" s="13">
        <f>_xll.BDH("AMGN US Equity","IS_OTHER_OPER_INC","FQ2 2019","FQ2 2019","Currency=USD","Period=FQ","BEST_FPERIOD_OVERRIDE=FQ","FILING_STATUS=MR","SCALING_FORMAT=MLN","FA_ADJUSTED=Adjusted","Sort=A","Dates=H","DateFormat=P","Fill=—","Direction=H","UseDPDF=Y")</f>
        <v>3</v>
      </c>
      <c r="D12" s="13">
        <f>_xll.BDH("AMGN US Equity","IS_OTHER_OPER_INC","FQ3 2019","FQ3 2019","Currency=USD","Period=FQ","BEST_FPERIOD_OVERRIDE=FQ","FILING_STATUS=MR","SCALING_FORMAT=MLN","FA_ADJUSTED=Adjusted","Sort=A","Dates=H","DateFormat=P","Fill=—","Direction=H","UseDPDF=Y")</f>
        <v>0</v>
      </c>
      <c r="E12" s="13">
        <f>_xll.BDH("AMGN US Equity","IS_OTHER_OPER_INC","FQ4 2019","FQ4 2019","Currency=USD","Period=FQ","BEST_FPERIOD_OVERRIDE=FQ","FILING_STATUS=MR","SCALING_FORMAT=MLN","FA_ADJUSTED=Adjusted","Sort=A","Dates=H","DateFormat=P","Fill=—","Direction=H","UseDPDF=Y")</f>
        <v>0</v>
      </c>
      <c r="F12" s="13">
        <f>_xll.BDH("AMGN US Equity","IS_OTHER_OPER_INC","FQ1 2020","FQ1 2020","Currency=USD","Period=FQ","BEST_FPERIOD_OVERRIDE=FQ","FILING_STATUS=MR","SCALING_FORMAT=MLN","FA_ADJUSTED=Adjusted","Sort=A","Dates=H","DateFormat=P","Fill=—","Direction=H","UseDPDF=Y")</f>
        <v>0</v>
      </c>
      <c r="G12" s="13">
        <f>_xll.BDH("AMGN US Equity","IS_OTHER_OPER_INC","FQ2 2020","FQ2 2020","Currency=USD","Period=FQ","BEST_FPERIOD_OVERRIDE=FQ","FILING_STATUS=MR","SCALING_FORMAT=MLN","FA_ADJUSTED=Adjusted","Sort=A","Dates=H","DateFormat=P","Fill=—","Direction=H","UseDPDF=Y")</f>
        <v>0</v>
      </c>
      <c r="H12" s="13">
        <f>_xll.BDH("AMGN US Equity","IS_OTHER_OPER_INC","FQ3 2020","FQ3 2020","Currency=USD","Period=FQ","BEST_FPERIOD_OVERRIDE=FQ","FILING_STATUS=MR","SCALING_FORMAT=MLN","FA_ADJUSTED=Adjusted","Sort=A","Dates=H","DateFormat=P","Fill=—","Direction=H","UseDPDF=Y")</f>
        <v>0</v>
      </c>
      <c r="I12" s="13">
        <f>_xll.BDH("AMGN US Equity","IS_OTHER_OPER_INC","FQ4 2020","FQ4 2020","Currency=USD","Period=FQ","BEST_FPERIOD_OVERRIDE=FQ","FILING_STATUS=MR","SCALING_FORMAT=MLN","FA_ADJUSTED=Adjusted","Sort=A","Dates=H","DateFormat=P","Fill=—","Direction=H","UseDPDF=Y")</f>
        <v>0</v>
      </c>
      <c r="J12" s="13">
        <f>_xll.BDH("AMGN US Equity","IS_OTHER_OPER_INC","FQ1 2021","FQ1 2021","Currency=USD","Period=FQ","BEST_FPERIOD_OVERRIDE=FQ","FILING_STATUS=MR","SCALING_FORMAT=MLN","FA_ADJUSTED=Adjusted","Sort=A","Dates=H","DateFormat=P","Fill=—","Direction=H","UseDPDF=Y")</f>
        <v>0</v>
      </c>
      <c r="K12" s="13">
        <f>_xll.BDH("AMGN US Equity","IS_OTHER_OPER_INC","FQ2 2021","FQ2 2021","Currency=USD","Period=FQ","BEST_FPERIOD_OVERRIDE=FQ","FILING_STATUS=MR","SCALING_FORMAT=MLN","FA_ADJUSTED=Adjusted","Sort=A","Dates=H","DateFormat=P","Fill=—","Direction=H","UseDPDF=Y")</f>
        <v>0</v>
      </c>
      <c r="L12" s="13">
        <f>_xll.BDH("AMGN US Equity","IS_OTHER_OPER_INC","FQ3 2021","FQ3 2021","Currency=USD","Period=FQ","BEST_FPERIOD_OVERRIDE=FQ","FILING_STATUS=MR","SCALING_FORMAT=MLN","FA_ADJUSTED=Adjusted","Sort=A","Dates=H","DateFormat=P","Fill=—","Direction=H","UseDPDF=Y")</f>
        <v>0</v>
      </c>
      <c r="M12" s="13">
        <f>_xll.BDH("AMGN US Equity","IS_OTHER_OPER_INC","FQ4 2021","FQ4 2021","Currency=USD","Period=FQ","BEST_FPERIOD_OVERRIDE=FQ","FILING_STATUS=MR","SCALING_FORMAT=MLN","FA_ADJUSTED=Adjusted","Sort=A","Dates=H","DateFormat=P","Fill=—","Direction=H","UseDPDF=Y")</f>
        <v>0</v>
      </c>
      <c r="N12" s="13">
        <f>_xll.BDH("AMGN US Equity","IS_OTHER_OPER_INC","FQ1 2022","FQ1 2022","Currency=USD","Period=FQ","BEST_FPERIOD_OVERRIDE=FQ","FILING_STATUS=MR","SCALING_FORMAT=MLN","FA_ADJUSTED=Adjusted","Sort=A","Dates=H","DateFormat=P","Fill=—","Direction=H","UseDPDF=Y")</f>
        <v>0</v>
      </c>
      <c r="O12" s="13">
        <f>_xll.BDH("AMGN US Equity","IS_OTHER_OPER_INC","FQ2 2022","FQ2 2022","Currency=USD","Period=FQ","BEST_FPERIOD_OVERRIDE=FQ","FILING_STATUS=MR","SCALING_FORMAT=MLN","FA_ADJUSTED=Adjusted","Sort=A","Dates=H","DateFormat=P","Fill=—","Direction=H","UseDPDF=Y")</f>
        <v>0</v>
      </c>
      <c r="P12" s="13">
        <f>_xll.BDH("AMGN US Equity","IS_OTHER_OPER_INC","FQ3 2022","FQ3 2022","Currency=USD","Period=FQ","BEST_FPERIOD_OVERRIDE=FQ","FILING_STATUS=MR","SCALING_FORMAT=MLN","FA_ADJUSTED=Adjusted","Sort=A","Dates=H","DateFormat=P","Fill=—","Direction=H","UseDPDF=Y")</f>
        <v>0</v>
      </c>
      <c r="Q12" s="13">
        <f>_xll.BDH("AMGN US Equity","IS_OTHER_OPER_INC","FQ4 2022","FQ4 2022","Currency=USD","Period=FQ","BEST_FPERIOD_OVERRIDE=FQ","FILING_STATUS=MR","SCALING_FORMAT=MLN","FA_ADJUSTED=Adjusted","Sort=A","Dates=H","DateFormat=P","Fill=—","Direction=H","UseDPDF=Y")</f>
        <v>0</v>
      </c>
      <c r="R12" s="13">
        <f>_xll.BDH("AMGN US Equity","IS_OTHER_OPER_INC","FQ1 2023","FQ1 2023","Currency=USD","Period=FQ","BEST_FPERIOD_OVERRIDE=FQ","FILING_STATUS=MR","SCALING_FORMAT=MLN","FA_ADJUSTED=Adjusted","Sort=A","Dates=H","DateFormat=P","Fill=—","Direction=H","UseDPDF=Y")</f>
        <v>0</v>
      </c>
      <c r="S12" s="13">
        <f>_xll.BDH("AMGN US Equity","IS_OTHER_OPER_INC","FQ2 2023","FQ2 2023","Currency=USD","Period=FQ","BEST_FPERIOD_OVERRIDE=FQ","FILING_STATUS=MR","SCALING_FORMAT=MLN","FA_ADJUSTED=Adjusted","Sort=A","Dates=H","DateFormat=P","Fill=—","Direction=H","UseDPDF=Y")</f>
        <v>0</v>
      </c>
      <c r="T12" s="13">
        <f>_xll.BDH("AMGN US Equity","IS_OTHER_OPER_INC","FQ3 2023","FQ3 2023","Currency=USD","Period=FQ","BEST_FPERIOD_OVERRIDE=FQ","FILING_STATUS=MR","SCALING_FORMAT=MLN","FA_ADJUSTED=Adjusted","Sort=A","Dates=H","DateFormat=P","Fill=—","Direction=H","UseDPDF=Y")</f>
        <v>0</v>
      </c>
      <c r="U12" s="13">
        <f>_xll.BDH("AMGN US Equity","IS_OTHER_OPER_INC","FQ4 2023","FQ4 2023","Currency=USD","Period=FQ","BEST_FPERIOD_OVERRIDE=FQ","FILING_STATUS=MR","SCALING_FORMAT=MLN","FA_ADJUSTED=Adjusted","Sort=A","Dates=H","DateFormat=P","Fill=—","Direction=H","UseDPDF=Y")</f>
        <v>0</v>
      </c>
      <c r="V12" s="13">
        <f>_xll.BDH("AMGN US Equity","IS_OTHER_OPER_INC","FQ1 2024","FQ1 2024","Currency=USD","Period=FQ","BEST_FPERIOD_OVERRIDE=FQ","FILING_STATUS=MR","SCALING_FORMAT=MLN","FA_ADJUSTED=Adjusted","Sort=A","Dates=H","DateFormat=P","Fill=—","Direction=H","UseDPDF=Y")</f>
        <v>0</v>
      </c>
      <c r="W12" s="13">
        <f>_xll.BDH("AMGN US Equity","IS_OTHER_OPER_INC","FQ2 2024","FQ2 2024","Currency=USD","Period=FQ","BEST_FPERIOD_OVERRIDE=FQ","FILING_STATUS=MR","SCALING_FORMAT=MLN","FA_ADJUSTED=Adjusted","Sort=A","Dates=H","DateFormat=P","Fill=—","Direction=H","UseDPDF=Y")</f>
        <v>0</v>
      </c>
      <c r="X12" s="13">
        <f>_xll.BDH("AMGN US Equity","IS_OTHER_OPER_INC","FQ3 2024","FQ3 2024","Currency=USD","Period=FQ","BEST_FPERIOD_OVERRIDE=FQ","FILING_STATUS=MR","SCALING_FORMAT=MLN","FA_ADJUSTED=Adjusted","Sort=A","Dates=H","DateFormat=P","Fill=—","Direction=H","UseDPDF=Y")</f>
        <v>0</v>
      </c>
      <c r="Y12" s="13">
        <f>_xll.BDH("AMGN US Equity","IS_OTHER_OPER_INC","FQ4 2024","FQ4 2024","Currency=USD","Period=FQ","BEST_FPERIOD_OVERRIDE=FQ","FILING_STATUS=MR","SCALING_FORMAT=MLN","FA_ADJUSTED=Adjusted","Sort=A","Dates=H","DateFormat=P","Fill=—","Direction=H","UseDPDF=Y")</f>
        <v>0</v>
      </c>
      <c r="Z12" s="13"/>
      <c r="AA12" s="13"/>
    </row>
    <row r="13" spans="1:27" x14ac:dyDescent="0.25">
      <c r="A13" s="10" t="s">
        <v>318</v>
      </c>
      <c r="B13" s="10" t="s">
        <v>319</v>
      </c>
      <c r="C13" s="13">
        <f>_xll.BDH("AMGN US Equity","IS_OPERATING_EXPN","FQ2 2019","FQ2 2019","Currency=USD","Period=FQ","BEST_FPERIOD_OVERRIDE=FQ","FILING_STATUS=MR","SCALING_FORMAT=MLN","FA_ADJUSTED=Adjusted","Sort=A","Dates=H","DateFormat=P","Fill=—","Direction=H","UseDPDF=Y")</f>
        <v>2187</v>
      </c>
      <c r="D13" s="13">
        <f>_xll.BDH("AMGN US Equity","IS_OPERATING_EXPN","FQ3 2019","FQ3 2019","Currency=USD","Period=FQ","BEST_FPERIOD_OVERRIDE=FQ","FILING_STATUS=MR","SCALING_FORMAT=MLN","FA_ADJUSTED=Adjusted","Sort=A","Dates=H","DateFormat=P","Fill=—","Direction=H","UseDPDF=Y")</f>
        <v>2225</v>
      </c>
      <c r="E13" s="13">
        <f>_xll.BDH("AMGN US Equity","IS_OPERATING_EXPN","FQ4 2019","FQ4 2019","Currency=USD","Period=FQ","BEST_FPERIOD_OVERRIDE=FQ","FILING_STATUS=MR","SCALING_FORMAT=MLN","FA_ADJUSTED=Adjusted","Sort=A","Dates=H","DateFormat=P","Fill=—","Direction=H","UseDPDF=Y")</f>
        <v>2823</v>
      </c>
      <c r="F13" s="13">
        <f>_xll.BDH("AMGN US Equity","IS_OPERATING_EXPN","FQ1 2020","FQ1 2020","Currency=USD","Period=FQ","BEST_FPERIOD_OVERRIDE=FQ","FILING_STATUS=MR","SCALING_FORMAT=MLN","FA_ADJUSTED=Adjusted","Sort=A","Dates=H","DateFormat=P","Fill=—","Direction=H","UseDPDF=Y")</f>
        <v>2268</v>
      </c>
      <c r="G13" s="13">
        <f>_xll.BDH("AMGN US Equity","IS_OPERATING_EXPN","FQ2 2020","FQ2 2020","Currency=USD","Period=FQ","BEST_FPERIOD_OVERRIDE=FQ","FILING_STATUS=MR","SCALING_FORMAT=MLN","FA_ADJUSTED=Adjusted","Sort=A","Dates=H","DateFormat=P","Fill=—","Direction=H","UseDPDF=Y")</f>
        <v>2295</v>
      </c>
      <c r="H13" s="13">
        <f>_xll.BDH("AMGN US Equity","IS_OPERATING_EXPN","FQ3 2020","FQ3 2020","Currency=USD","Period=FQ","BEST_FPERIOD_OVERRIDE=FQ","FILING_STATUS=MR","SCALING_FORMAT=MLN","FA_ADJUSTED=Adjusted","Sort=A","Dates=H","DateFormat=P","Fill=—","Direction=H","UseDPDF=Y")</f>
        <v>2367</v>
      </c>
      <c r="I13" s="13">
        <f>_xll.BDH("AMGN US Equity","IS_OPERATING_EXPN","FQ4 2020","FQ4 2020","Currency=USD","Period=FQ","BEST_FPERIOD_OVERRIDE=FQ","FILING_STATUS=MR","SCALING_FORMAT=MLN","FA_ADJUSTED=Adjusted","Sort=A","Dates=H","DateFormat=P","Fill=—","Direction=H","UseDPDF=Y")</f>
        <v>2964</v>
      </c>
      <c r="J13" s="13">
        <f>_xll.BDH("AMGN US Equity","IS_OPERATING_EXPN","FQ1 2021","FQ1 2021","Currency=USD","Period=FQ","BEST_FPERIOD_OVERRIDE=FQ","FILING_STATUS=MR","SCALING_FORMAT=MLN","FA_ADJUSTED=Adjusted","Sort=A","Dates=H","DateFormat=P","Fill=—","Direction=H","UseDPDF=Y")</f>
        <v>1547</v>
      </c>
      <c r="K13" s="13">
        <f>_xll.BDH("AMGN US Equity","IS_OPERATING_EXPN","FQ2 2021","FQ2 2021","Currency=USD","Period=FQ","BEST_FPERIOD_OVERRIDE=FQ","FILING_STATUS=MR","SCALING_FORMAT=MLN","FA_ADJUSTED=Adjusted","Sort=A","Dates=H","DateFormat=P","Fill=—","Direction=H","UseDPDF=Y")</f>
        <v>2381</v>
      </c>
      <c r="L13" s="13">
        <f>_xll.BDH("AMGN US Equity","IS_OPERATING_EXPN","FQ3 2021","FQ3 2021","Currency=USD","Period=FQ","BEST_FPERIOD_OVERRIDE=FQ","FILING_STATUS=MR","SCALING_FORMAT=MLN","FA_ADJUSTED=Adjusted","Sort=A","Dates=H","DateFormat=P","Fill=—","Direction=H","UseDPDF=Y")</f>
        <v>2692</v>
      </c>
      <c r="M13" s="13">
        <f>_xll.BDH("AMGN US Equity","IS_OPERATING_EXPN","FQ4 2021","FQ4 2021","Currency=USD","Period=FQ","BEST_FPERIOD_OVERRIDE=FQ","FILING_STATUS=MR","SCALING_FORMAT=MLN","FA_ADJUSTED=Adjusted","Sort=A","Dates=H","DateFormat=P","Fill=—","Direction=H","UseDPDF=Y")</f>
        <v>2888</v>
      </c>
      <c r="N13" s="13">
        <f>_xll.BDH("AMGN US Equity","IS_OPERATING_EXPN","FQ1 2022","FQ1 2022","Currency=USD","Period=FQ","BEST_FPERIOD_OVERRIDE=FQ","FILING_STATUS=MR","SCALING_FORMAT=MLN","FA_ADJUSTED=Adjusted","Sort=A","Dates=H","DateFormat=P","Fill=—","Direction=H","UseDPDF=Y")</f>
        <v>1537</v>
      </c>
      <c r="O13" s="13">
        <f>_xll.BDH("AMGN US Equity","IS_OPERATING_EXPN","FQ2 2022","FQ2 2022","Currency=USD","Period=FQ","BEST_FPERIOD_OVERRIDE=FQ","FILING_STATUS=MR","SCALING_FORMAT=MLN","FA_ADJUSTED=Adjusted","Sort=A","Dates=H","DateFormat=P","Fill=—","Direction=H","UseDPDF=Y")</f>
        <v>2333</v>
      </c>
      <c r="P13" s="13">
        <f>_xll.BDH("AMGN US Equity","IS_OPERATING_EXPN","FQ3 2022","FQ3 2022","Currency=USD","Period=FQ","BEST_FPERIOD_OVERRIDE=FQ","FILING_STATUS=MR","SCALING_FORMAT=MLN","FA_ADJUSTED=Adjusted","Sort=A","Dates=H","DateFormat=P","Fill=—","Direction=H","UseDPDF=Y")</f>
        <v>2399</v>
      </c>
      <c r="Q13" s="13">
        <f>_xll.BDH("AMGN US Equity","IS_OPERATING_EXPN","FQ4 2022","FQ4 2022","Currency=USD","Period=FQ","BEST_FPERIOD_OVERRIDE=FQ","FILING_STATUS=MR","SCALING_FORMAT=MLN","FA_ADJUSTED=Adjusted","Sort=A","Dates=H","DateFormat=P","Fill=—","Direction=H","UseDPDF=Y")</f>
        <v>2896</v>
      </c>
      <c r="R13" s="13">
        <f>_xll.BDH("AMGN US Equity","IS_OPERATING_EXPN","FQ1 2023","FQ1 2023","Currency=USD","Period=FQ","BEST_FPERIOD_OVERRIDE=FQ","FILING_STATUS=MR","SCALING_FORMAT=MLN","FA_ADJUSTED=Adjusted","Sort=A","Dates=H","DateFormat=P","Fill=—","Direction=H","UseDPDF=Y")</f>
        <v>2233</v>
      </c>
      <c r="S13" s="13">
        <f>_xll.BDH("AMGN US Equity","IS_OPERATING_EXPN","FQ2 2023","FQ2 2023","Currency=USD","Period=FQ","BEST_FPERIOD_OVERRIDE=FQ","FILING_STATUS=MR","SCALING_FORMAT=MLN","FA_ADJUSTED=Adjusted","Sort=A","Dates=H","DateFormat=P","Fill=—","Direction=H","UseDPDF=Y")</f>
        <v>2447</v>
      </c>
      <c r="T13" s="13">
        <f>_xll.BDH("AMGN US Equity","IS_OPERATING_EXPN","FQ3 2023","FQ3 2023","Currency=USD","Period=FQ","BEST_FPERIOD_OVERRIDE=FQ","FILING_STATUS=MR","SCALING_FORMAT=MLN","FA_ADJUSTED=Adjusted","Sort=A","Dates=H","DateFormat=P","Fill=—","Direction=H","UseDPDF=Y")</f>
        <v>2413</v>
      </c>
      <c r="U13" s="13">
        <f>_xll.BDH("AMGN US Equity","IS_OPERATING_EXPN","FQ4 2023","FQ4 2023","Currency=USD","Period=FQ","BEST_FPERIOD_OVERRIDE=FQ","FILING_STATUS=MR","SCALING_FORMAT=MLN","FA_ADJUSTED=Adjusted","Sort=A","Dates=H","DateFormat=P","Fill=—","Direction=H","UseDPDF=Y")</f>
        <v>5120</v>
      </c>
      <c r="V13" s="13">
        <f>_xll.BDH("AMGN US Equity","IS_OPERATING_EXPN","FQ1 2024","FQ1 2024","Currency=USD","Period=FQ","BEST_FPERIOD_OVERRIDE=FQ","FILING_STATUS=MR","SCALING_FORMAT=MLN","FA_ADJUSTED=Adjusted","Sort=A","Dates=H","DateFormat=P","Fill=—","Direction=H","UseDPDF=Y")</f>
        <v>3151</v>
      </c>
      <c r="W13" s="13">
        <f>_xll.BDH("AMGN US Equity","IS_OPERATING_EXPN","FQ2 2024","FQ2 2024","Currency=USD","Period=FQ","BEST_FPERIOD_OVERRIDE=FQ","FILING_STATUS=MR","SCALING_FORMAT=MLN","FA_ADJUSTED=Adjusted","Sort=A","Dates=H","DateFormat=P","Fill=—","Direction=H","UseDPDF=Y")</f>
        <v>3109</v>
      </c>
      <c r="X13" s="13">
        <f>_xll.BDH("AMGN US Equity","IS_OPERATING_EXPN","FQ3 2024","FQ3 2024","Currency=USD","Period=FQ","BEST_FPERIOD_OVERRIDE=FQ","FILING_STATUS=MR","SCALING_FORMAT=MLN","FA_ADJUSTED=Adjusted","Sort=A","Dates=H","DateFormat=P","Fill=—","Direction=H","UseDPDF=Y")</f>
        <v>3005</v>
      </c>
      <c r="Y13" s="13">
        <f>_xll.BDH("AMGN US Equity","IS_OPERATING_EXPN","FQ4 2024","FQ4 2024","Currency=USD","Period=FQ","BEST_FPERIOD_OVERRIDE=FQ","FILING_STATUS=MR","SCALING_FORMAT=MLN","FA_ADJUSTED=Adjusted","Sort=A","Dates=H","DateFormat=P","Fill=—","Direction=H","UseDPDF=Y")</f>
        <v>3517</v>
      </c>
      <c r="Z13" s="13"/>
      <c r="AA13" s="13"/>
    </row>
    <row r="14" spans="1:27" x14ac:dyDescent="0.25">
      <c r="A14" s="10" t="s">
        <v>320</v>
      </c>
      <c r="B14" s="10" t="s">
        <v>321</v>
      </c>
      <c r="C14" s="13">
        <f>_xll.BDH("AMGN US Equity","IS_SGA_EXPENSE","FQ2 2019","FQ2 2019","Currency=USD","Period=FQ","BEST_FPERIOD_OVERRIDE=FQ","FILING_STATUS=MR","SCALING_FORMAT=MLN","FA_ADJUSTED=Adjusted","Sort=A","Dates=H","DateFormat=P","Fill=—","Direction=H","UseDPDF=Y")</f>
        <v>1260</v>
      </c>
      <c r="D14" s="13">
        <f>_xll.BDH("AMGN US Equity","IS_SGA_EXPENSE","FQ3 2019","FQ3 2019","Currency=USD","Period=FQ","BEST_FPERIOD_OVERRIDE=FQ","FILING_STATUS=MR","SCALING_FORMAT=MLN","FA_ADJUSTED=Adjusted","Sort=A","Dates=H","DateFormat=P","Fill=—","Direction=H","UseDPDF=Y")</f>
        <v>1224</v>
      </c>
      <c r="E14" s="13">
        <f>_xll.BDH("AMGN US Equity","IS_SGA_EXPENSE","FQ4 2019","FQ4 2019","Currency=USD","Period=FQ","BEST_FPERIOD_OVERRIDE=FQ","FILING_STATUS=MR","SCALING_FORMAT=MLN","FA_ADJUSTED=Adjusted","Sort=A","Dates=H","DateFormat=P","Fill=—","Direction=H","UseDPDF=Y")</f>
        <v>1513</v>
      </c>
      <c r="F14" s="13">
        <f>_xll.BDH("AMGN US Equity","IS_SGA_EXPENSE","FQ1 2020","FQ1 2020","Currency=USD","Period=FQ","BEST_FPERIOD_OVERRIDE=FQ","FILING_STATUS=MR","SCALING_FORMAT=MLN","FA_ADJUSTED=Adjusted","Sort=A","Dates=H","DateFormat=P","Fill=—","Direction=H","UseDPDF=Y")</f>
        <v>1316</v>
      </c>
      <c r="G14" s="13">
        <f>_xll.BDH("AMGN US Equity","IS_SGA_EXPENSE","FQ2 2020","FQ2 2020","Currency=USD","Period=FQ","BEST_FPERIOD_OVERRIDE=FQ","FILING_STATUS=MR","SCALING_FORMAT=MLN","FA_ADJUSTED=Adjusted","Sort=A","Dates=H","DateFormat=P","Fill=—","Direction=H","UseDPDF=Y")</f>
        <v>1295</v>
      </c>
      <c r="H14" s="13">
        <f>_xll.BDH("AMGN US Equity","IS_SGA_EXPENSE","FQ3 2020","FQ3 2020","Currency=USD","Period=FQ","BEST_FPERIOD_OVERRIDE=FQ","FILING_STATUS=MR","SCALING_FORMAT=MLN","FA_ADJUSTED=Adjusted","Sort=A","Dates=H","DateFormat=P","Fill=—","Direction=H","UseDPDF=Y")</f>
        <v>1329</v>
      </c>
      <c r="I14" s="13">
        <f>_xll.BDH("AMGN US Equity","IS_SGA_EXPENSE","FQ4 2020","FQ4 2020","Currency=USD","Period=FQ","BEST_FPERIOD_OVERRIDE=FQ","FILING_STATUS=MR","SCALING_FORMAT=MLN","FA_ADJUSTED=Adjusted","Sort=A","Dates=H","DateFormat=P","Fill=—","Direction=H","UseDPDF=Y")</f>
        <v>1773</v>
      </c>
      <c r="J14" s="13">
        <f>_xll.BDH("AMGN US Equity","IS_SGA_EXPENSE","FQ1 2021","FQ1 2021","Currency=USD","Period=FQ","BEST_FPERIOD_OVERRIDE=FQ","FILING_STATUS=MR","SCALING_FORMAT=MLN","FA_ADJUSTED=Adjusted","Sort=A","Dates=H","DateFormat=P","Fill=—","Direction=H","UseDPDF=Y")</f>
        <v>1254</v>
      </c>
      <c r="K14" s="13">
        <f>_xll.BDH("AMGN US Equity","IS_SGA_EXPENSE","FQ2 2021","FQ2 2021","Currency=USD","Period=FQ","BEST_FPERIOD_OVERRIDE=FQ","FILING_STATUS=MR","SCALING_FORMAT=MLN","FA_ADJUSTED=Adjusted","Sort=A","Dates=H","DateFormat=P","Fill=—","Direction=H","UseDPDF=Y")</f>
        <v>1345</v>
      </c>
      <c r="L14" s="13">
        <f>_xll.BDH("AMGN US Equity","IS_SGA_EXPENSE","FQ3 2021","FQ3 2021","Currency=USD","Period=FQ","BEST_FPERIOD_OVERRIDE=FQ","FILING_STATUS=MR","SCALING_FORMAT=MLN","FA_ADJUSTED=Adjusted","Sort=A","Dates=H","DateFormat=P","Fill=—","Direction=H","UseDPDF=Y")</f>
        <v>1305</v>
      </c>
      <c r="M14" s="13">
        <f>_xll.BDH("AMGN US Equity","IS_SGA_EXPENSE","FQ4 2021","FQ4 2021","Currency=USD","Period=FQ","BEST_FPERIOD_OVERRIDE=FQ","FILING_STATUS=MR","SCALING_FORMAT=MLN","FA_ADJUSTED=Adjusted","Sort=A","Dates=H","DateFormat=P","Fill=—","Direction=H","UseDPDF=Y")</f>
        <v>1454</v>
      </c>
      <c r="N14" s="13">
        <f>_xll.BDH("AMGN US Equity","IS_SGA_EXPENSE","FQ1 2022","FQ1 2022","Currency=USD","Period=FQ","BEST_FPERIOD_OVERRIDE=FQ","FILING_STATUS=MR","SCALING_FORMAT=MLN","FA_ADJUSTED=Adjusted","Sort=A","Dates=H","DateFormat=P","Fill=—","Direction=H","UseDPDF=Y")</f>
        <v>1228</v>
      </c>
      <c r="O14" s="13">
        <f>_xll.BDH("AMGN US Equity","IS_SGA_EXPENSE","FQ2 2022","FQ2 2022","Currency=USD","Period=FQ","BEST_FPERIOD_OVERRIDE=FQ","FILING_STATUS=MR","SCALING_FORMAT=MLN","FA_ADJUSTED=Adjusted","Sort=A","Dates=H","DateFormat=P","Fill=—","Direction=H","UseDPDF=Y")</f>
        <v>1308</v>
      </c>
      <c r="P14" s="13">
        <f>_xll.BDH("AMGN US Equity","IS_SGA_EXPENSE","FQ3 2022","FQ3 2022","Currency=USD","Period=FQ","BEST_FPERIOD_OVERRIDE=FQ","FILING_STATUS=MR","SCALING_FORMAT=MLN","FA_ADJUSTED=Adjusted","Sort=A","Dates=H","DateFormat=P","Fill=—","Direction=H","UseDPDF=Y")</f>
        <v>1287</v>
      </c>
      <c r="Q14" s="13">
        <f>_xll.BDH("AMGN US Equity","IS_SGA_EXPENSE","FQ4 2022","FQ4 2022","Currency=USD","Period=FQ","BEST_FPERIOD_OVERRIDE=FQ","FILING_STATUS=MR","SCALING_FORMAT=MLN","FA_ADJUSTED=Adjusted","Sort=A","Dates=H","DateFormat=P","Fill=—","Direction=H","UseDPDF=Y")</f>
        <v>1572</v>
      </c>
      <c r="R14" s="13">
        <f>_xll.BDH("AMGN US Equity","IS_SGA_EXPENSE","FQ1 2023","FQ1 2023","Currency=USD","Period=FQ","BEST_FPERIOD_OVERRIDE=FQ","FILING_STATUS=MR","SCALING_FORMAT=MLN","FA_ADJUSTED=Adjusted","Sort=A","Dates=H","DateFormat=P","Fill=—","Direction=H","UseDPDF=Y")</f>
        <v>1244</v>
      </c>
      <c r="S14" s="13">
        <f>_xll.BDH("AMGN US Equity","IS_SGA_EXPENSE","FQ2 2023","FQ2 2023","Currency=USD","Period=FQ","BEST_FPERIOD_OVERRIDE=FQ","FILING_STATUS=MR","SCALING_FORMAT=MLN","FA_ADJUSTED=Adjusted","Sort=A","Dates=H","DateFormat=P","Fill=—","Direction=H","UseDPDF=Y")</f>
        <v>1294</v>
      </c>
      <c r="T14" s="13">
        <f>_xll.BDH("AMGN US Equity","IS_SGA_EXPENSE","FQ3 2023","FQ3 2023","Currency=USD","Period=FQ","BEST_FPERIOD_OVERRIDE=FQ","FILING_STATUS=MR","SCALING_FORMAT=MLN","FA_ADJUSTED=Adjusted","Sort=A","Dates=H","DateFormat=P","Fill=—","Direction=H","UseDPDF=Y")</f>
        <v>1353</v>
      </c>
      <c r="U14" s="13">
        <f>_xll.BDH("AMGN US Equity","IS_SGA_EXPENSE","FQ4 2023","FQ4 2023","Currency=USD","Period=FQ","BEST_FPERIOD_OVERRIDE=FQ","FILING_STATUS=MR","SCALING_FORMAT=MLN","FA_ADJUSTED=Adjusted","Sort=A","Dates=H","DateFormat=P","Fill=—","Direction=H","UseDPDF=Y")</f>
        <v>1764</v>
      </c>
      <c r="V14" s="13">
        <f>_xll.BDH("AMGN US Equity","IS_SGA_EXPENSE","FQ1 2024","FQ1 2024","Currency=USD","Period=FQ","BEST_FPERIOD_OVERRIDE=FQ","FILING_STATUS=MR","SCALING_FORMAT=MLN","FA_ADJUSTED=Adjusted","Sort=A","Dates=H","DateFormat=P","Fill=—","Direction=H","UseDPDF=Y")</f>
        <v>1808</v>
      </c>
      <c r="W14" s="13">
        <f>_xll.BDH("AMGN US Equity","IS_SGA_EXPENSE","FQ2 2024","FQ2 2024","Currency=USD","Period=FQ","BEST_FPERIOD_OVERRIDE=FQ","FILING_STATUS=MR","SCALING_FORMAT=MLN","FA_ADJUSTED=Adjusted","Sort=A","Dates=H","DateFormat=P","Fill=—","Direction=H","UseDPDF=Y")</f>
        <v>1785</v>
      </c>
      <c r="X14" s="13">
        <f>_xll.BDH("AMGN US Equity","IS_SGA_EXPENSE","FQ3 2024","FQ3 2024","Currency=USD","Period=FQ","BEST_FPERIOD_OVERRIDE=FQ","FILING_STATUS=MR","SCALING_FORMAT=MLN","FA_ADJUSTED=Adjusted","Sort=A","Dates=H","DateFormat=P","Fill=—","Direction=H","UseDPDF=Y")</f>
        <v>1625</v>
      </c>
      <c r="Y14" s="13">
        <f>_xll.BDH("AMGN US Equity","IS_SGA_EXPENSE","FQ4 2024","FQ4 2024","Currency=USD","Period=FQ","BEST_FPERIOD_OVERRIDE=FQ","FILING_STATUS=MR","SCALING_FORMAT=MLN","FA_ADJUSTED=Adjusted","Sort=A","Dates=H","DateFormat=P","Fill=—","Direction=H","UseDPDF=Y")</f>
        <v>1878</v>
      </c>
      <c r="Z14" s="13"/>
      <c r="AA14" s="13"/>
    </row>
    <row r="15" spans="1:27" x14ac:dyDescent="0.25">
      <c r="A15" s="10" t="s">
        <v>322</v>
      </c>
      <c r="B15" s="10" t="s">
        <v>323</v>
      </c>
      <c r="C15" s="13">
        <f>_xll.BDH("AMGN US Equity","IS_OPERATING_EXPENSES_RD","FQ2 2019","FQ2 2019","Currency=USD","Period=FQ","BEST_FPERIOD_OVERRIDE=FQ","FILING_STATUS=MR","SCALING_FORMAT=MLN","Sort=A","Dates=H","DateFormat=P","Fill=—","Direction=H","UseDPDF=Y")</f>
        <v>924</v>
      </c>
      <c r="D15" s="13">
        <f>_xll.BDH("AMGN US Equity","IS_OPERATING_EXPENSES_RD","FQ3 2019","FQ3 2019","Currency=USD","Period=FQ","BEST_FPERIOD_OVERRIDE=FQ","FILING_STATUS=MR","SCALING_FORMAT=MLN","Sort=A","Dates=H","DateFormat=P","Fill=—","Direction=H","UseDPDF=Y")</f>
        <v>1001</v>
      </c>
      <c r="E15" s="13">
        <f>_xll.BDH("AMGN US Equity","IS_OPERATING_EXPENSES_RD","FQ4 2019","FQ4 2019","Currency=USD","Period=FQ","BEST_FPERIOD_OVERRIDE=FQ","FILING_STATUS=MR","SCALING_FORMAT=MLN","Sort=A","Dates=H","DateFormat=P","Fill=—","Direction=H","UseDPDF=Y")</f>
        <v>1310</v>
      </c>
      <c r="F15" s="13">
        <f>_xll.BDH("AMGN US Equity","IS_OPERATING_EXPENSES_RD","FQ1 2020","FQ1 2020","Currency=USD","Period=FQ","BEST_FPERIOD_OVERRIDE=FQ","FILING_STATUS=MR","SCALING_FORMAT=MLN","Sort=A","Dates=H","DateFormat=P","Fill=—","Direction=H","UseDPDF=Y")</f>
        <v>952</v>
      </c>
      <c r="G15" s="13">
        <f>_xll.BDH("AMGN US Equity","IS_OPERATING_EXPENSES_RD","FQ2 2020","FQ2 2020","Currency=USD","Period=FQ","BEST_FPERIOD_OVERRIDE=FQ","FILING_STATUS=MR","SCALING_FORMAT=MLN","Sort=A","Dates=H","DateFormat=P","Fill=—","Direction=H","UseDPDF=Y")</f>
        <v>964</v>
      </c>
      <c r="H15" s="13">
        <f>_xll.BDH("AMGN US Equity","IS_OPERATING_EXPENSES_RD","FQ3 2020","FQ3 2020","Currency=USD","Period=FQ","BEST_FPERIOD_OVERRIDE=FQ","FILING_STATUS=MR","SCALING_FORMAT=MLN","Sort=A","Dates=H","DateFormat=P","Fill=—","Direction=H","UseDPDF=Y")</f>
        <v>1061</v>
      </c>
      <c r="I15" s="13">
        <f>_xll.BDH("AMGN US Equity","IS_OPERATING_EXPENSES_RD","FQ4 2020","FQ4 2020","Currency=USD","Period=FQ","BEST_FPERIOD_OVERRIDE=FQ","FILING_STATUS=MR","SCALING_FORMAT=MLN","Sort=A","Dates=H","DateFormat=P","Fill=—","Direction=H","UseDPDF=Y")</f>
        <v>1229</v>
      </c>
      <c r="J15" s="13">
        <f>_xll.BDH("AMGN US Equity","IS_OPERATING_EXPENSES_RD","FQ1 2021","FQ1 2021","Currency=USD","Period=FQ","BEST_FPERIOD_OVERRIDE=FQ","FILING_STATUS=MR","SCALING_FORMAT=MLN","Sort=A","Dates=H","DateFormat=P","Fill=—","Direction=H","UseDPDF=Y")</f>
        <v>967</v>
      </c>
      <c r="K15" s="13">
        <f>_xll.BDH("AMGN US Equity","IS_OPERATING_EXPENSES_RD","FQ2 2021","FQ2 2021","Currency=USD","Period=FQ","BEST_FPERIOD_OVERRIDE=FQ","FILING_STATUS=MR","SCALING_FORMAT=MLN","Sort=A","Dates=H","DateFormat=P","Fill=—","Direction=H","UseDPDF=Y")</f>
        <v>1036</v>
      </c>
      <c r="L15" s="13">
        <f>_xll.BDH("AMGN US Equity","IS_OPERATING_EXPENSES_RD","FQ3 2021","FQ3 2021","Currency=USD","Period=FQ","BEST_FPERIOD_OVERRIDE=FQ","FILING_STATUS=MR","SCALING_FORMAT=MLN","Sort=A","Dates=H","DateFormat=P","Fill=—","Direction=H","UseDPDF=Y")</f>
        <v>1422</v>
      </c>
      <c r="M15" s="13">
        <f>_xll.BDH("AMGN US Equity","IS_OPERATING_EXPENSES_RD","FQ4 2021","FQ4 2021","Currency=USD","Period=FQ","BEST_FPERIOD_OVERRIDE=FQ","FILING_STATUS=MR","SCALING_FORMAT=MLN","Sort=A","Dates=H","DateFormat=P","Fill=—","Direction=H","UseDPDF=Y")</f>
        <v>1348</v>
      </c>
      <c r="N15" s="13">
        <f>_xll.BDH("AMGN US Equity","IS_OPERATING_EXPENSES_RD","FQ1 2022","FQ1 2022","Currency=USD","Period=FQ","BEST_FPERIOD_OVERRIDE=FQ","FILING_STATUS=MR","SCALING_FORMAT=MLN","Sort=A","Dates=H","DateFormat=P","Fill=—","Direction=H","UseDPDF=Y")</f>
        <v>959</v>
      </c>
      <c r="O15" s="13">
        <f>_xll.BDH("AMGN US Equity","IS_OPERATING_EXPENSES_RD","FQ2 2022","FQ2 2022","Currency=USD","Period=FQ","BEST_FPERIOD_OVERRIDE=FQ","FILING_STATUS=MR","SCALING_FORMAT=MLN","Sort=A","Dates=H","DateFormat=P","Fill=—","Direction=H","UseDPDF=Y")</f>
        <v>1025</v>
      </c>
      <c r="P15" s="13">
        <f>_xll.BDH("AMGN US Equity","IS_OPERATING_EXPENSES_RD","FQ3 2022","FQ3 2022","Currency=USD","Period=FQ","BEST_FPERIOD_OVERRIDE=FQ","FILING_STATUS=MR","SCALING_FORMAT=MLN","Sort=A","Dates=H","DateFormat=P","Fill=—","Direction=H","UseDPDF=Y")</f>
        <v>1112</v>
      </c>
      <c r="Q15" s="13">
        <f>_xll.BDH("AMGN US Equity","IS_OPERATING_EXPENSES_RD","FQ4 2022","FQ4 2022","Currency=USD","Period=FQ","BEST_FPERIOD_OVERRIDE=FQ","FILING_STATUS=MR","SCALING_FORMAT=MLN","Sort=A","Dates=H","DateFormat=P","Fill=—","Direction=H","UseDPDF=Y")</f>
        <v>1324</v>
      </c>
      <c r="R15" s="13">
        <f>_xll.BDH("AMGN US Equity","IS_OPERATING_EXPENSES_RD","FQ1 2023","FQ1 2023","Currency=USD","Period=FQ","BEST_FPERIOD_OVERRIDE=FQ","FILING_STATUS=MR","SCALING_FORMAT=MLN","Sort=A","Dates=H","DateFormat=P","Fill=—","Direction=H","UseDPDF=Y")</f>
        <v>1024</v>
      </c>
      <c r="S15" s="13">
        <f>_xll.BDH("AMGN US Equity","IS_OPERATING_EXPENSES_RD","FQ2 2023","FQ2 2023","Currency=USD","Period=FQ","BEST_FPERIOD_OVERRIDE=FQ","FILING_STATUS=MR","SCALING_FORMAT=MLN","Sort=A","Dates=H","DateFormat=P","Fill=—","Direction=H","UseDPDF=Y")</f>
        <v>1096</v>
      </c>
      <c r="T15" s="13">
        <f>_xll.BDH("AMGN US Equity","IS_OPERATING_EXPENSES_RD","FQ3 2023","FQ3 2023","Currency=USD","Period=FQ","BEST_FPERIOD_OVERRIDE=FQ","FILING_STATUS=MR","SCALING_FORMAT=MLN","Sort=A","Dates=H","DateFormat=P","Fill=—","Direction=H","UseDPDF=Y")</f>
        <v>1079</v>
      </c>
      <c r="U15" s="13">
        <f>_xll.BDH("AMGN US Equity","IS_OPERATING_EXPENSES_RD","FQ4 2023","FQ4 2023","Currency=USD","Period=FQ","BEST_FPERIOD_OVERRIDE=FQ","FILING_STATUS=MR","SCALING_FORMAT=MLN","Sort=A","Dates=H","DateFormat=P","Fill=—","Direction=H","UseDPDF=Y")</f>
        <v>1494</v>
      </c>
      <c r="V15" s="13">
        <f>_xll.BDH("AMGN US Equity","IS_OPERATING_EXPENSES_RD","FQ1 2024","FQ1 2024","Currency=USD","Period=FQ","BEST_FPERIOD_OVERRIDE=FQ","FILING_STATUS=MR","SCALING_FORMAT=MLN","Sort=A","Dates=H","DateFormat=P","Fill=—","Direction=H","UseDPDF=Y")</f>
        <v>1343</v>
      </c>
      <c r="W15" s="13">
        <f>_xll.BDH("AMGN US Equity","IS_OPERATING_EXPENSES_RD","FQ2 2024","FQ2 2024","Currency=USD","Period=FQ","BEST_FPERIOD_OVERRIDE=FQ","FILING_STATUS=MR","SCALING_FORMAT=MLN","Sort=A","Dates=H","DateFormat=P","Fill=—","Direction=H","UseDPDF=Y")</f>
        <v>1447</v>
      </c>
      <c r="X15" s="13">
        <f>_xll.BDH("AMGN US Equity","IS_OPERATING_EXPENSES_RD","FQ3 2024","FQ3 2024","Currency=USD","Period=FQ","BEST_FPERIOD_OVERRIDE=FQ","FILING_STATUS=MR","SCALING_FORMAT=MLN","Sort=A","Dates=H","DateFormat=P","Fill=—","Direction=H","UseDPDF=Y")</f>
        <v>1450</v>
      </c>
      <c r="Y15" s="13">
        <f>_xll.BDH("AMGN US Equity","IS_OPERATING_EXPENSES_RD","FQ4 2024","FQ4 2024","Currency=USD","Period=FQ","BEST_FPERIOD_OVERRIDE=FQ","FILING_STATUS=MR","SCALING_FORMAT=MLN","Sort=A","Dates=H","DateFormat=P","Fill=—","Direction=H","UseDPDF=Y")</f>
        <v>1724</v>
      </c>
      <c r="Z15" s="13"/>
      <c r="AA15" s="13"/>
    </row>
    <row r="16" spans="1:27" x14ac:dyDescent="0.25">
      <c r="A16" s="10" t="s">
        <v>324</v>
      </c>
      <c r="B16" s="10" t="s">
        <v>325</v>
      </c>
      <c r="C16" s="13">
        <f>_xll.BDH("AMGN US Equity","IS_OTHER_OPERATING_EXPENSES","FQ2 2019","FQ2 2019","Currency=USD","Period=FQ","BEST_FPERIOD_OVERRIDE=FQ","FILING_STATUS=MR","SCALING_FORMAT=MLN","FA_ADJUSTED=Adjusted","Sort=A","Dates=H","DateFormat=P","Fill=—","Direction=H","UseDPDF=Y")</f>
        <v>3</v>
      </c>
      <c r="D16" s="13">
        <f>_xll.BDH("AMGN US Equity","IS_OTHER_OPERATING_EXPENSES","FQ3 2019","FQ3 2019","Currency=USD","Period=FQ","BEST_FPERIOD_OVERRIDE=FQ","FILING_STATUS=MR","SCALING_FORMAT=MLN","FA_ADJUSTED=Adjusted","Sort=A","Dates=H","DateFormat=P","Fill=—","Direction=H","UseDPDF=Y")</f>
        <v>0</v>
      </c>
      <c r="E16" s="13">
        <f>_xll.BDH("AMGN US Equity","IS_OTHER_OPERATING_EXPENSES","FQ4 2019","FQ4 2019","Currency=USD","Period=FQ","BEST_FPERIOD_OVERRIDE=FQ","FILING_STATUS=MR","SCALING_FORMAT=MLN","FA_ADJUSTED=Adjusted","Sort=A","Dates=H","DateFormat=P","Fill=—","Direction=H","UseDPDF=Y")</f>
        <v>0</v>
      </c>
      <c r="F16" s="13">
        <f>_xll.BDH("AMGN US Equity","IS_OTHER_OPERATING_EXPENSES","FQ1 2020","FQ1 2020","Currency=USD","Period=FQ","BEST_FPERIOD_OVERRIDE=FQ","FILING_STATUS=MR","SCALING_FORMAT=MLN","FA_ADJUSTED=Adjusted","Sort=A","Dates=H","DateFormat=P","Fill=—","Direction=H","UseDPDF=Y")</f>
        <v>0</v>
      </c>
      <c r="G16" s="13">
        <f>_xll.BDH("AMGN US Equity","IS_OTHER_OPERATING_EXPENSES","FQ2 2020","FQ2 2020","Currency=USD","Period=FQ","BEST_FPERIOD_OVERRIDE=FQ","FILING_STATUS=MR","SCALING_FORMAT=MLN","FA_ADJUSTED=Adjusted","Sort=A","Dates=H","DateFormat=P","Fill=—","Direction=H","UseDPDF=Y")</f>
        <v>36</v>
      </c>
      <c r="H16" s="13">
        <f>_xll.BDH("AMGN US Equity","IS_OTHER_OPERATING_EXPENSES","FQ3 2020","FQ3 2020","Currency=USD","Period=FQ","BEST_FPERIOD_OVERRIDE=FQ","FILING_STATUS=MR","SCALING_FORMAT=MLN","FA_ADJUSTED=Adjusted","Sort=A","Dates=H","DateFormat=P","Fill=—","Direction=H","UseDPDF=Y")</f>
        <v>-23</v>
      </c>
      <c r="I16" s="13">
        <f>_xll.BDH("AMGN US Equity","IS_OTHER_OPERATING_EXPENSES","FQ4 2020","FQ4 2020","Currency=USD","Period=FQ","BEST_FPERIOD_OVERRIDE=FQ","FILING_STATUS=MR","SCALING_FORMAT=MLN","FA_ADJUSTED=Adjusted","Sort=A","Dates=H","DateFormat=P","Fill=—","Direction=H","UseDPDF=Y")</f>
        <v>-38</v>
      </c>
      <c r="J16" s="13">
        <f>_xll.BDH("AMGN US Equity","IS_OTHER_OPERATING_EXPENSES","FQ1 2021","FQ1 2021","Currency=USD","Period=FQ","BEST_FPERIOD_OVERRIDE=FQ","FILING_STATUS=MR","SCALING_FORMAT=MLN","FA_ADJUSTED=Adjusted","Sort=A","Dates=H","DateFormat=P","Fill=—","Direction=H","UseDPDF=Y")</f>
        <v>-674</v>
      </c>
      <c r="K16" s="13">
        <f>_xll.BDH("AMGN US Equity","IS_OTHER_OPERATING_EXPENSES","FQ2 2021","FQ2 2021","Currency=USD","Period=FQ","BEST_FPERIOD_OVERRIDE=FQ","FILING_STATUS=MR","SCALING_FORMAT=MLN","FA_ADJUSTED=Adjusted","Sort=A","Dates=H","DateFormat=P","Fill=—","Direction=H","UseDPDF=Y")</f>
        <v>0</v>
      </c>
      <c r="L16" s="13">
        <f>_xll.BDH("AMGN US Equity","IS_OTHER_OPERATING_EXPENSES","FQ3 2021","FQ3 2021","Currency=USD","Period=FQ","BEST_FPERIOD_OVERRIDE=FQ","FILING_STATUS=MR","SCALING_FORMAT=MLN","FA_ADJUSTED=Adjusted","Sort=A","Dates=H","DateFormat=P","Fill=—","Direction=H","UseDPDF=Y")</f>
        <v>-35</v>
      </c>
      <c r="M16" s="13">
        <f>_xll.BDH("AMGN US Equity","IS_OTHER_OPERATING_EXPENSES","FQ4 2021","FQ4 2021","Currency=USD","Period=FQ","BEST_FPERIOD_OVERRIDE=FQ","FILING_STATUS=MR","SCALING_FORMAT=MLN","FA_ADJUSTED=Adjusted","Sort=A","Dates=H","DateFormat=P","Fill=—","Direction=H","UseDPDF=Y")</f>
        <v>86</v>
      </c>
      <c r="N16" s="13">
        <f>_xll.BDH("AMGN US Equity","IS_OTHER_OPERATING_EXPENSES","FQ1 2022","FQ1 2022","Currency=USD","Period=FQ","BEST_FPERIOD_OVERRIDE=FQ","FILING_STATUS=MR","SCALING_FORMAT=MLN","FA_ADJUSTED=Adjusted","Sort=A","Dates=H","DateFormat=P","Fill=—","Direction=H","UseDPDF=Y")</f>
        <v>-650</v>
      </c>
      <c r="O16" s="13">
        <f>_xll.BDH("AMGN US Equity","IS_OTHER_OPERATING_EXPENSES","FQ2 2022","FQ2 2022","Currency=USD","Period=FQ","BEST_FPERIOD_OVERRIDE=FQ","FILING_STATUS=MR","SCALING_FORMAT=MLN","FA_ADJUSTED=Adjusted","Sort=A","Dates=H","DateFormat=P","Fill=—","Direction=H","UseDPDF=Y")</f>
        <v>0</v>
      </c>
      <c r="P16" s="13">
        <f>_xll.BDH("AMGN US Equity","IS_OTHER_OPERATING_EXPENSES","FQ3 2022","FQ3 2022","Currency=USD","Period=FQ","BEST_FPERIOD_OVERRIDE=FQ","FILING_STATUS=MR","SCALING_FORMAT=MLN","FA_ADJUSTED=Adjusted","Sort=A","Dates=H","DateFormat=P","Fill=—","Direction=H","UseDPDF=Y")</f>
        <v>0</v>
      </c>
      <c r="Q16" s="13">
        <f>_xll.BDH("AMGN US Equity","IS_OTHER_OPERATING_EXPENSES","FQ4 2022","FQ4 2022","Currency=USD","Period=FQ","BEST_FPERIOD_OVERRIDE=FQ","FILING_STATUS=MR","SCALING_FORMAT=MLN","FA_ADJUSTED=Adjusted","Sort=A","Dates=H","DateFormat=P","Fill=—","Direction=H","UseDPDF=Y")</f>
        <v>0</v>
      </c>
      <c r="R16" s="13">
        <f>_xll.BDH("AMGN US Equity","IS_OTHER_OPERATING_EXPENSES","FQ1 2023","FQ1 2023","Currency=USD","Period=FQ","BEST_FPERIOD_OVERRIDE=FQ","FILING_STATUS=MR","SCALING_FORMAT=MLN","FA_ADJUSTED=Adjusted","Sort=A","Dates=H","DateFormat=P","Fill=—","Direction=H","UseDPDF=Y")</f>
        <v>-35</v>
      </c>
      <c r="S16" s="13">
        <f>_xll.BDH("AMGN US Equity","IS_OTHER_OPERATING_EXPENSES","FQ2 2023","FQ2 2023","Currency=USD","Period=FQ","BEST_FPERIOD_OVERRIDE=FQ","FILING_STATUS=MR","SCALING_FORMAT=MLN","FA_ADJUSTED=Adjusted","Sort=A","Dates=H","DateFormat=P","Fill=—","Direction=H","UseDPDF=Y")</f>
        <v>57</v>
      </c>
      <c r="T16" s="13">
        <f>_xll.BDH("AMGN US Equity","IS_OTHER_OPERATING_EXPENSES","FQ3 2023","FQ3 2023","Currency=USD","Period=FQ","BEST_FPERIOD_OVERRIDE=FQ","FILING_STATUS=MR","SCALING_FORMAT=MLN","FA_ADJUSTED=Adjusted","Sort=A","Dates=H","DateFormat=P","Fill=—","Direction=H","UseDPDF=Y")</f>
        <v>-19</v>
      </c>
      <c r="U16" s="13">
        <f>_xll.BDH("AMGN US Equity","IS_OTHER_OPERATING_EXPENSES","FQ4 2023","FQ4 2023","Currency=USD","Period=FQ","BEST_FPERIOD_OVERRIDE=FQ","FILING_STATUS=MR","SCALING_FORMAT=MLN","FA_ADJUSTED=Adjusted","Sort=A","Dates=H","DateFormat=P","Fill=—","Direction=H","UseDPDF=Y")</f>
        <v>1862</v>
      </c>
      <c r="V16" s="13">
        <f>_xll.BDH("AMGN US Equity","IS_OTHER_OPERATING_EXPENSES","FQ1 2024","FQ1 2024","Currency=USD","Period=FQ","BEST_FPERIOD_OVERRIDE=FQ","FILING_STATUS=MR","SCALING_FORMAT=MLN","FA_ADJUSTED=Adjusted","Sort=A","Dates=H","DateFormat=P","Fill=—","Direction=H","UseDPDF=Y")</f>
        <v>0</v>
      </c>
      <c r="W16" s="13">
        <f>_xll.BDH("AMGN US Equity","IS_OTHER_OPERATING_EXPENSES","FQ2 2024","FQ2 2024","Currency=USD","Period=FQ","BEST_FPERIOD_OVERRIDE=FQ","FILING_STATUS=MR","SCALING_FORMAT=MLN","FA_ADJUSTED=Adjusted","Sort=A","Dates=H","DateFormat=P","Fill=—","Direction=H","UseDPDF=Y")</f>
        <v>-123</v>
      </c>
      <c r="X16" s="13">
        <f>_xll.BDH("AMGN US Equity","IS_OTHER_OPERATING_EXPENSES","FQ3 2024","FQ3 2024","Currency=USD","Period=FQ","BEST_FPERIOD_OVERRIDE=FQ","FILING_STATUS=MR","SCALING_FORMAT=MLN","FA_ADJUSTED=Adjusted","Sort=A","Dates=H","DateFormat=P","Fill=—","Direction=H","UseDPDF=Y")</f>
        <v>-70</v>
      </c>
      <c r="Y16" s="13">
        <f>_xll.BDH("AMGN US Equity","IS_OTHER_OPERATING_EXPENSES","FQ4 2024","FQ4 2024","Currency=USD","Period=FQ","BEST_FPERIOD_OVERRIDE=FQ","FILING_STATUS=MR","SCALING_FORMAT=MLN","FA_ADJUSTED=Adjusted","Sort=A","Dates=H","DateFormat=P","Fill=—","Direction=H","UseDPDF=Y")</f>
        <v>-85</v>
      </c>
      <c r="Z16" s="13"/>
      <c r="AA16" s="13"/>
    </row>
    <row r="17" spans="1:27" x14ac:dyDescent="0.25">
      <c r="A17" s="6" t="s">
        <v>326</v>
      </c>
      <c r="B17" s="6" t="s">
        <v>99</v>
      </c>
      <c r="C17" s="19">
        <f>_xll.BDH("AMGN US Equity","IS_OPER_INC","FQ2 2019","FQ2 2019","Currency=USD","Period=FQ","BEST_FPERIOD_OVERRIDE=FQ","FILING_STATUS=MR","SCALING_FORMAT=MLN","FA_ADJUSTED=Adjusted","Sort=A","Dates=H","DateFormat=P","Fill=—","Direction=H","UseDPDF=Y")</f>
        <v>2675</v>
      </c>
      <c r="D17" s="19">
        <f>_xll.BDH("AMGN US Equity","IS_OPER_INC","FQ3 2019","FQ3 2019","Currency=USD","Period=FQ","BEST_FPERIOD_OVERRIDE=FQ","FILING_STATUS=MR","SCALING_FORMAT=MLN","FA_ADJUSTED=Adjusted","Sort=A","Dates=H","DateFormat=P","Fill=—","Direction=H","UseDPDF=Y")</f>
        <v>2476</v>
      </c>
      <c r="E17" s="19">
        <f>_xll.BDH("AMGN US Equity","IS_OPER_INC","FQ4 2019","FQ4 2019","Currency=USD","Period=FQ","BEST_FPERIOD_OVERRIDE=FQ","FILING_STATUS=MR","SCALING_FORMAT=MLN","FA_ADJUSTED=Adjusted","Sort=A","Dates=H","DateFormat=P","Fill=—","Direction=H","UseDPDF=Y")</f>
        <v>2121</v>
      </c>
      <c r="F17" s="19">
        <f>_xll.BDH("AMGN US Equity","IS_OPER_INC","FQ1 2020","FQ1 2020","Currency=USD","Period=FQ","BEST_FPERIOD_OVERRIDE=FQ","FILING_STATUS=MR","SCALING_FORMAT=MLN","FA_ADJUSTED=Adjusted","Sort=A","Dates=H","DateFormat=P","Fill=—","Direction=H","UseDPDF=Y")</f>
        <v>2380</v>
      </c>
      <c r="G17" s="19">
        <f>_xll.BDH("AMGN US Equity","IS_OPER_INC","FQ2 2020","FQ2 2020","Currency=USD","Period=FQ","BEST_FPERIOD_OVERRIDE=FQ","FILING_STATUS=MR","SCALING_FORMAT=MLN","FA_ADJUSTED=Adjusted","Sort=A","Dates=H","DateFormat=P","Fill=—","Direction=H","UseDPDF=Y")</f>
        <v>2423</v>
      </c>
      <c r="H17" s="19">
        <f>_xll.BDH("AMGN US Equity","IS_OPER_INC","FQ3 2020","FQ3 2020","Currency=USD","Period=FQ","BEST_FPERIOD_OVERRIDE=FQ","FILING_STATUS=MR","SCALING_FORMAT=MLN","FA_ADJUSTED=Adjusted","Sort=A","Dates=H","DateFormat=P","Fill=—","Direction=H","UseDPDF=Y")</f>
        <v>3182</v>
      </c>
      <c r="I17" s="19">
        <f>_xll.BDH("AMGN US Equity","IS_OPER_INC","FQ4 2020","FQ4 2020","Currency=USD","Period=FQ","BEST_FPERIOD_OVERRIDE=FQ","FILING_STATUS=MR","SCALING_FORMAT=MLN","FA_ADJUSTED=Adjusted","Sort=A","Dates=H","DateFormat=P","Fill=—","Direction=H","UseDPDF=Y")</f>
        <v>2073</v>
      </c>
      <c r="J17" s="19">
        <f>_xll.BDH("AMGN US Equity","IS_OPER_INC","FQ1 2021","FQ1 2021","Currency=USD","Period=FQ","BEST_FPERIOD_OVERRIDE=FQ","FILING_STATUS=MR","SCALING_FORMAT=MLN","FA_ADJUSTED=Adjusted","Sort=A","Dates=H","DateFormat=P","Fill=—","Direction=H","UseDPDF=Y")</f>
        <v>2864</v>
      </c>
      <c r="K17" s="19">
        <f>_xll.BDH("AMGN US Equity","IS_OPER_INC","FQ2 2021","FQ2 2021","Currency=USD","Period=FQ","BEST_FPERIOD_OVERRIDE=FQ","FILING_STATUS=MR","SCALING_FORMAT=MLN","FA_ADJUSTED=Adjusted","Sort=A","Dates=H","DateFormat=P","Fill=—","Direction=H","UseDPDF=Y")</f>
        <v>3111</v>
      </c>
      <c r="L17" s="19">
        <f>_xll.BDH("AMGN US Equity","IS_OPER_INC","FQ3 2021","FQ3 2021","Currency=USD","Period=FQ","BEST_FPERIOD_OVERRIDE=FQ","FILING_STATUS=MR","SCALING_FORMAT=MLN","FA_ADJUSTED=Adjusted","Sort=A","Dates=H","DateFormat=P","Fill=—","Direction=H","UseDPDF=Y")</f>
        <v>2405</v>
      </c>
      <c r="M17" s="19">
        <f>_xll.BDH("AMGN US Equity","IS_OPER_INC","FQ4 2021","FQ4 2021","Currency=USD","Period=FQ","BEST_FPERIOD_OVERRIDE=FQ","FILING_STATUS=MR","SCALING_FORMAT=MLN","FA_ADJUSTED=Adjusted","Sort=A","Dates=H","DateFormat=P","Fill=—","Direction=H","UseDPDF=Y")</f>
        <v>2246</v>
      </c>
      <c r="N17" s="19">
        <f>_xll.BDH("AMGN US Equity","IS_OPER_INC","FQ1 2022","FQ1 2022","Currency=USD","Period=FQ","BEST_FPERIOD_OVERRIDE=FQ","FILING_STATUS=MR","SCALING_FORMAT=MLN","FA_ADJUSTED=Adjusted","Sort=A","Dates=H","DateFormat=P","Fill=—","Direction=H","UseDPDF=Y")</f>
        <v>3140</v>
      </c>
      <c r="O17" s="19">
        <f>_xll.BDH("AMGN US Equity","IS_OPER_INC","FQ2 2022","FQ2 2022","Currency=USD","Period=FQ","BEST_FPERIOD_OVERRIDE=FQ","FILING_STATUS=MR","SCALING_FORMAT=MLN","FA_ADJUSTED=Adjusted","Sort=A","Dates=H","DateFormat=P","Fill=—","Direction=H","UseDPDF=Y")</f>
        <v>3335</v>
      </c>
      <c r="P17" s="19">
        <f>_xll.BDH("AMGN US Equity","IS_OPER_INC","FQ3 2022","FQ3 2022","Currency=USD","Period=FQ","BEST_FPERIOD_OVERRIDE=FQ","FILING_STATUS=MR","SCALING_FORMAT=MLN","FA_ADJUSTED=Adjusted","Sort=A","Dates=H","DateFormat=P","Fill=—","Direction=H","UseDPDF=Y")</f>
        <v>2665</v>
      </c>
      <c r="Q17" s="19">
        <f>_xll.BDH("AMGN US Equity","IS_OPER_INC","FQ4 2022","FQ4 2022","Currency=USD","Period=FQ","BEST_FPERIOD_OVERRIDE=FQ","FILING_STATUS=MR","SCALING_FORMAT=MLN","FA_ADJUSTED=Adjusted","Sort=A","Dates=H","DateFormat=P","Fill=—","Direction=H","UseDPDF=Y")</f>
        <v>2196</v>
      </c>
      <c r="R17" s="19">
        <f>_xll.BDH("AMGN US Equity","IS_OPER_INC","FQ1 2023","FQ1 2023","Currency=USD","Period=FQ","BEST_FPERIOD_OVERRIDE=FQ","FILING_STATUS=MR","SCALING_FORMAT=MLN","FA_ADJUSTED=Adjusted","Sort=A","Dates=H","DateFormat=P","Fill=—","Direction=H","UseDPDF=Y")</f>
        <v>2821</v>
      </c>
      <c r="S17" s="19">
        <f>_xll.BDH("AMGN US Equity","IS_OPER_INC","FQ2 2023","FQ2 2023","Currency=USD","Period=FQ","BEST_FPERIOD_OVERRIDE=FQ","FILING_STATUS=MR","SCALING_FORMAT=MLN","FA_ADJUSTED=Adjusted","Sort=A","Dates=H","DateFormat=P","Fill=—","Direction=H","UseDPDF=Y")</f>
        <v>2726</v>
      </c>
      <c r="T17" s="19">
        <f>_xll.BDH("AMGN US Equity","IS_OPER_INC","FQ3 2023","FQ3 2023","Currency=USD","Period=FQ","BEST_FPERIOD_OVERRIDE=FQ","FILING_STATUS=MR","SCALING_FORMAT=MLN","FA_ADJUSTED=Adjusted","Sort=A","Dates=H","DateFormat=P","Fill=—","Direction=H","UseDPDF=Y")</f>
        <v>2684</v>
      </c>
      <c r="U17" s="19">
        <f>_xll.BDH("AMGN US Equity","IS_OPER_INC","FQ4 2023","FQ4 2023","Currency=USD","Period=FQ","BEST_FPERIOD_OVERRIDE=FQ","FILING_STATUS=MR","SCALING_FORMAT=MLN","FA_ADJUSTED=Adjusted","Sort=A","Dates=H","DateFormat=P","Fill=—","Direction=H","UseDPDF=Y")</f>
        <v>1798</v>
      </c>
      <c r="V17" s="19">
        <f>_xll.BDH("AMGN US Equity","IS_OPER_INC","FQ1 2024","FQ1 2024","Currency=USD","Period=FQ","BEST_FPERIOD_OVERRIDE=FQ","FILING_STATUS=MR","SCALING_FORMAT=MLN","FA_ADJUSTED=Adjusted","Sort=A","Dates=H","DateFormat=P","Fill=—","Direction=H","UseDPDF=Y")</f>
        <v>1096</v>
      </c>
      <c r="W17" s="19">
        <f>_xll.BDH("AMGN US Equity","IS_OPER_INC","FQ2 2024","FQ2 2024","Currency=USD","Period=FQ","BEST_FPERIOD_OVERRIDE=FQ","FILING_STATUS=MR","SCALING_FORMAT=MLN","FA_ADJUSTED=Adjusted","Sort=A","Dates=H","DateFormat=P","Fill=—","Direction=H","UseDPDF=Y")</f>
        <v>2043</v>
      </c>
      <c r="X17" s="19">
        <f>_xll.BDH("AMGN US Equity","IS_OPER_INC","FQ3 2024","FQ3 2024","Currency=USD","Period=FQ","BEST_FPERIOD_OVERRIDE=FQ","FILING_STATUS=MR","SCALING_FORMAT=MLN","FA_ADJUSTED=Adjusted","Sort=A","Dates=H","DateFormat=P","Fill=—","Direction=H","UseDPDF=Y")</f>
        <v>2188</v>
      </c>
      <c r="Y17" s="19">
        <f>_xll.BDH("AMGN US Equity","IS_OPER_INC","FQ4 2024","FQ4 2024","Currency=USD","Period=FQ","BEST_FPERIOD_OVERRIDE=FQ","FILING_STATUS=MR","SCALING_FORMAT=MLN","FA_ADJUSTED=Adjusted","Sort=A","Dates=H","DateFormat=P","Fill=—","Direction=H","UseDPDF=Y")</f>
        <v>2457</v>
      </c>
      <c r="Z17" s="19">
        <v>3326.6959999999999</v>
      </c>
      <c r="AA17" s="19">
        <v>3984.3910000000001</v>
      </c>
    </row>
    <row r="18" spans="1:27" x14ac:dyDescent="0.25">
      <c r="A18" s="10" t="s">
        <v>327</v>
      </c>
      <c r="B18" s="10" t="s">
        <v>328</v>
      </c>
      <c r="C18" s="13">
        <f>_xll.BDH("AMGN US Equity","IS_NONOP_INCOME_LOSS","FQ2 2019","FQ2 2019","Currency=USD","Period=FQ","BEST_FPERIOD_OVERRIDE=FQ","FILING_STATUS=MR","SCALING_FORMAT=MLN","FA_ADJUSTED=Adjusted","Sort=A","Dates=H","DateFormat=P","Fill=—","Direction=H","UseDPDF=Y")</f>
        <v>114</v>
      </c>
      <c r="D18" s="13">
        <f>_xll.BDH("AMGN US Equity","IS_NONOP_INCOME_LOSS","FQ3 2019","FQ3 2019","Currency=USD","Period=FQ","BEST_FPERIOD_OVERRIDE=FQ","FILING_STATUS=MR","SCALING_FORMAT=MLN","FA_ADJUSTED=Adjusted","Sort=A","Dates=H","DateFormat=P","Fill=—","Direction=H","UseDPDF=Y")</f>
        <v>199</v>
      </c>
      <c r="E18" s="13">
        <f>_xll.BDH("AMGN US Equity","IS_NONOP_INCOME_LOSS","FQ4 2019","FQ4 2019","Currency=USD","Period=FQ","BEST_FPERIOD_OVERRIDE=FQ","FILING_STATUS=MR","SCALING_FORMAT=MLN","FA_ADJUSTED=Adjusted","Sort=A","Dates=H","DateFormat=P","Fill=—","Direction=H","UseDPDF=Y")</f>
        <v>65</v>
      </c>
      <c r="F18" s="13">
        <f>_xll.BDH("AMGN US Equity","IS_NONOP_INCOME_LOSS","FQ1 2020","FQ1 2020","Currency=USD","Period=FQ","BEST_FPERIOD_OVERRIDE=FQ","FILING_STATUS=MR","SCALING_FORMAT=MLN","FA_ADJUSTED=Adjusted","Sort=A","Dates=H","DateFormat=P","Fill=—","Direction=H","UseDPDF=Y")</f>
        <v>335</v>
      </c>
      <c r="G18" s="13">
        <f>_xll.BDH("AMGN US Equity","IS_NONOP_INCOME_LOSS","FQ2 2020","FQ2 2020","Currency=USD","Period=FQ","BEST_FPERIOD_OVERRIDE=FQ","FILING_STATUS=MR","SCALING_FORMAT=MLN","FA_ADJUSTED=Adjusted","Sort=A","Dates=H","DateFormat=P","Fill=—","Direction=H","UseDPDF=Y")</f>
        <v>293</v>
      </c>
      <c r="H18" s="13">
        <f>_xll.BDH("AMGN US Equity","IS_NONOP_INCOME_LOSS","FQ3 2020","FQ3 2020","Currency=USD","Period=FQ","BEST_FPERIOD_OVERRIDE=FQ","FILING_STATUS=MR","SCALING_FORMAT=MLN","FA_ADJUSTED=Adjusted","Sort=A","Dates=H","DateFormat=P","Fill=—","Direction=H","UseDPDF=Y")</f>
        <v>247</v>
      </c>
      <c r="I18" s="13">
        <f>_xll.BDH("AMGN US Equity","IS_NONOP_INCOME_LOSS","FQ4 2020","FQ4 2020","Currency=USD","Period=FQ","BEST_FPERIOD_OVERRIDE=FQ","FILING_STATUS=MR","SCALING_FORMAT=MLN","FA_ADJUSTED=Adjusted","Sort=A","Dates=H","DateFormat=P","Fill=—","Direction=H","UseDPDF=Y")</f>
        <v>131</v>
      </c>
      <c r="J18" s="13">
        <f>_xll.BDH("AMGN US Equity","IS_NONOP_INCOME_LOSS","FQ1 2021","FQ1 2021","Currency=USD","Period=FQ","BEST_FPERIOD_OVERRIDE=FQ","FILING_STATUS=MR","SCALING_FORMAT=MLN","FA_ADJUSTED=Adjusted","Sort=A","Dates=H","DateFormat=P","Fill=—","Direction=H","UseDPDF=Y")</f>
        <v>417</v>
      </c>
      <c r="K18" s="13">
        <f>_xll.BDH("AMGN US Equity","IS_NONOP_INCOME_LOSS","FQ2 2021","FQ2 2021","Currency=USD","Period=FQ","BEST_FPERIOD_OVERRIDE=FQ","FILING_STATUS=MR","SCALING_FORMAT=MLN","FA_ADJUSTED=Adjusted","Sort=A","Dates=H","DateFormat=P","Fill=—","Direction=H","UseDPDF=Y")</f>
        <v>269</v>
      </c>
      <c r="L18" s="13">
        <f>_xll.BDH("AMGN US Equity","IS_NONOP_INCOME_LOSS","FQ3 2021","FQ3 2021","Currency=USD","Period=FQ","BEST_FPERIOD_OVERRIDE=FQ","FILING_STATUS=MR","SCALING_FORMAT=MLN","FA_ADJUSTED=Adjusted","Sort=A","Dates=H","DateFormat=P","Fill=—","Direction=H","UseDPDF=Y")</f>
        <v>414</v>
      </c>
      <c r="M18" s="13">
        <f>_xll.BDH("AMGN US Equity","IS_NONOP_INCOME_LOSS","FQ4 2021","FQ4 2021","Currency=USD","Period=FQ","BEST_FPERIOD_OVERRIDE=FQ","FILING_STATUS=MR","SCALING_FORMAT=MLN","FA_ADJUSTED=Adjusted","Sort=A","Dates=H","DateFormat=P","Fill=—","Direction=H","UseDPDF=Y")</f>
        <v>173</v>
      </c>
      <c r="N18" s="13">
        <f>_xll.BDH("AMGN US Equity","IS_NONOP_INCOME_LOSS","FQ1 2022","FQ1 2022","Currency=USD","Period=FQ","BEST_FPERIOD_OVERRIDE=FQ","FILING_STATUS=MR","SCALING_FORMAT=MLN","FA_ADJUSTED=Adjusted","Sort=A","Dates=H","DateFormat=P","Fill=—","Direction=H","UseDPDF=Y")</f>
        <v>460</v>
      </c>
      <c r="O18" s="13">
        <f>_xll.BDH("AMGN US Equity","IS_NONOP_INCOME_LOSS","FQ2 2022","FQ2 2022","Currency=USD","Period=FQ","BEST_FPERIOD_OVERRIDE=FQ","FILING_STATUS=MR","SCALING_FORMAT=MLN","FA_ADJUSTED=Adjusted","Sort=A","Dates=H","DateFormat=P","Fill=—","Direction=H","UseDPDF=Y")</f>
        <v>459</v>
      </c>
      <c r="P18" s="13">
        <f>_xll.BDH("AMGN US Equity","IS_NONOP_INCOME_LOSS","FQ3 2022","FQ3 2022","Currency=USD","Period=FQ","BEST_FPERIOD_OVERRIDE=FQ","FILING_STATUS=MR","SCALING_FORMAT=MLN","FA_ADJUSTED=Adjusted","Sort=A","Dates=H","DateFormat=P","Fill=—","Direction=H","UseDPDF=Y")</f>
        <v>418</v>
      </c>
      <c r="Q18" s="13">
        <f>_xll.BDH("AMGN US Equity","IS_NONOP_INCOME_LOSS","FQ4 2022","FQ4 2022","Currency=USD","Period=FQ","BEST_FPERIOD_OVERRIDE=FQ","FILING_STATUS=MR","SCALING_FORMAT=MLN","FA_ADJUSTED=Adjusted","Sort=A","Dates=H","DateFormat=P","Fill=—","Direction=H","UseDPDF=Y")</f>
        <v>521</v>
      </c>
      <c r="R18" s="13">
        <f>_xll.BDH("AMGN US Equity","IS_NONOP_INCOME_LOSS","FQ1 2023","FQ1 2023","Currency=USD","Period=FQ","BEST_FPERIOD_OVERRIDE=FQ","FILING_STATUS=MR","SCALING_FORMAT=MLN","FA_ADJUSTED=Adjusted","Sort=A","Dates=H","DateFormat=P","Fill=—","Direction=H","UseDPDF=Y")</f>
        <v>332</v>
      </c>
      <c r="S18" s="13">
        <f>_xll.BDH("AMGN US Equity","IS_NONOP_INCOME_LOSS","FQ2 2023","FQ2 2023","Currency=USD","Period=FQ","BEST_FPERIOD_OVERRIDE=FQ","FILING_STATUS=MR","SCALING_FORMAT=MLN","FA_ADJUSTED=Adjusted","Sort=A","Dates=H","DateFormat=P","Fill=—","Direction=H","UseDPDF=Y")</f>
        <v>352</v>
      </c>
      <c r="T18" s="13">
        <f>_xll.BDH("AMGN US Equity","IS_NONOP_INCOME_LOSS","FQ3 2023","FQ3 2023","Currency=USD","Period=FQ","BEST_FPERIOD_OVERRIDE=FQ","FILING_STATUS=MR","SCALING_FORMAT=MLN","FA_ADJUSTED=Adjusted","Sort=A","Dates=H","DateFormat=P","Fill=—","Direction=H","UseDPDF=Y")</f>
        <v>244</v>
      </c>
      <c r="U18" s="13">
        <f>_xll.BDH("AMGN US Equity","IS_NONOP_INCOME_LOSS","FQ4 2023","FQ4 2023","Currency=USD","Period=FQ","BEST_FPERIOD_OVERRIDE=FQ","FILING_STATUS=MR","SCALING_FORMAT=MLN","FA_ADJUSTED=Adjusted","Sort=A","Dates=H","DateFormat=P","Fill=—","Direction=H","UseDPDF=Y")</f>
        <v>636</v>
      </c>
      <c r="V18" s="13">
        <f>_xll.BDH("AMGN US Equity","IS_NONOP_INCOME_LOSS","FQ1 2024","FQ1 2024","Currency=USD","Period=FQ","BEST_FPERIOD_OVERRIDE=FQ","FILING_STATUS=MR","SCALING_FORMAT=MLN","FA_ADJUSTED=Adjusted","Sort=A","Dates=H","DateFormat=P","Fill=—","Direction=H","UseDPDF=Y")</f>
        <v>549</v>
      </c>
      <c r="W18" s="13">
        <f>_xll.BDH("AMGN US Equity","IS_NONOP_INCOME_LOSS","FQ2 2024","FQ2 2024","Currency=USD","Period=FQ","BEST_FPERIOD_OVERRIDE=FQ","FILING_STATUS=MR","SCALING_FORMAT=MLN","FA_ADJUSTED=Adjusted","Sort=A","Dates=H","DateFormat=P","Fill=—","Direction=H","UseDPDF=Y")</f>
        <v>710</v>
      </c>
      <c r="X18" s="13">
        <f>_xll.BDH("AMGN US Equity","IS_NONOP_INCOME_LOSS","FQ3 2024","FQ3 2024","Currency=USD","Period=FQ","BEST_FPERIOD_OVERRIDE=FQ","FILING_STATUS=MR","SCALING_FORMAT=MLN","FA_ADJUSTED=Adjusted","Sort=A","Dates=H","DateFormat=P","Fill=—","Direction=H","UseDPDF=Y")</f>
        <v>554</v>
      </c>
      <c r="Y18" s="13">
        <f>_xll.BDH("AMGN US Equity","IS_NONOP_INCOME_LOSS","FQ4 2024","FQ4 2024","Currency=USD","Period=FQ","BEST_FPERIOD_OVERRIDE=FQ","FILING_STATUS=MR","SCALING_FORMAT=MLN","FA_ADJUSTED=Adjusted","Sort=A","Dates=H","DateFormat=P","Fill=—","Direction=H","UseDPDF=Y")</f>
        <v>654</v>
      </c>
      <c r="Z18" s="13"/>
      <c r="AA18" s="13"/>
    </row>
    <row r="19" spans="1:27" x14ac:dyDescent="0.25">
      <c r="A19" s="10" t="s">
        <v>329</v>
      </c>
      <c r="B19" s="10" t="s">
        <v>330</v>
      </c>
      <c r="C19" s="13">
        <f>_xll.BDH("AMGN US Equity","IS_NET_INTEREST_EXPENSE","FQ2 2019","FQ2 2019","Currency=USD","Period=FQ","BEST_FPERIOD_OVERRIDE=FQ","FILING_STATUS=MR","SCALING_FORMAT=MLN","FA_ADJUSTED=Adjusted","Sort=A","Dates=H","DateFormat=P","Fill=—","Direction=H","UseDPDF=Y")</f>
        <v>332</v>
      </c>
      <c r="D19" s="13">
        <f>_xll.BDH("AMGN US Equity","IS_NET_INTEREST_EXPENSE","FQ3 2019","FQ3 2019","Currency=USD","Period=FQ","BEST_FPERIOD_OVERRIDE=FQ","FILING_STATUS=MR","SCALING_FORMAT=MLN","FA_ADJUSTED=Adjusted","Sort=A","Dates=H","DateFormat=P","Fill=—","Direction=H","UseDPDF=Y")</f>
        <v>313</v>
      </c>
      <c r="E19" s="13">
        <f>_xll.BDH("AMGN US Equity","IS_NET_INTEREST_EXPENSE","FQ4 2019","FQ4 2019","Currency=USD","Period=FQ","BEST_FPERIOD_OVERRIDE=FQ","FILING_STATUS=MR","SCALING_FORMAT=MLN","FA_ADJUSTED=Adjusted","Sort=A","Dates=H","DateFormat=P","Fill=—","Direction=H","UseDPDF=Y")</f>
        <v>301</v>
      </c>
      <c r="F19" s="13">
        <f>_xll.BDH("AMGN US Equity","IS_NET_INTEREST_EXPENSE","FQ1 2020","FQ1 2020","Currency=USD","Period=FQ","BEST_FPERIOD_OVERRIDE=FQ","FILING_STATUS=MR","SCALING_FORMAT=MLN","FA_ADJUSTED=Adjusted","Sort=A","Dates=H","DateFormat=P","Fill=—","Direction=H","UseDPDF=Y")</f>
        <v>346</v>
      </c>
      <c r="G19" s="13">
        <f>_xll.BDH("AMGN US Equity","IS_NET_INTEREST_EXPENSE","FQ2 2020","FQ2 2020","Currency=USD","Period=FQ","BEST_FPERIOD_OVERRIDE=FQ","FILING_STATUS=MR","SCALING_FORMAT=MLN","FA_ADJUSTED=Adjusted","Sort=A","Dates=H","DateFormat=P","Fill=—","Direction=H","UseDPDF=Y")</f>
        <v>296</v>
      </c>
      <c r="H19" s="13">
        <f>_xll.BDH("AMGN US Equity","IS_NET_INTEREST_EXPENSE","FQ3 2020","FQ3 2020","Currency=USD","Period=FQ","BEST_FPERIOD_OVERRIDE=FQ","FILING_STATUS=MR","SCALING_FORMAT=MLN","FA_ADJUSTED=Adjusted","Sort=A","Dates=H","DateFormat=P","Fill=—","Direction=H","UseDPDF=Y")</f>
        <v>302</v>
      </c>
      <c r="I19" s="13">
        <f>_xll.BDH("AMGN US Equity","IS_NET_INTEREST_EXPENSE","FQ4 2020","FQ4 2020","Currency=USD","Period=FQ","BEST_FPERIOD_OVERRIDE=FQ","FILING_STATUS=MR","SCALING_FORMAT=MLN","FA_ADJUSTED=Adjusted","Sort=A","Dates=H","DateFormat=P","Fill=—","Direction=H","UseDPDF=Y")</f>
        <v>318</v>
      </c>
      <c r="J19" s="13">
        <f>_xll.BDH("AMGN US Equity","IS_NET_INTEREST_EXPENSE","FQ1 2021","FQ1 2021","Currency=USD","Period=FQ","BEST_FPERIOD_OVERRIDE=FQ","FILING_STATUS=MR","SCALING_FORMAT=MLN","FA_ADJUSTED=Adjusted","Sort=A","Dates=H","DateFormat=P","Fill=—","Direction=H","UseDPDF=Y")</f>
        <v>285</v>
      </c>
      <c r="K19" s="13">
        <f>_xll.BDH("AMGN US Equity","IS_NET_INTEREST_EXPENSE","FQ2 2021","FQ2 2021","Currency=USD","Period=FQ","BEST_FPERIOD_OVERRIDE=FQ","FILING_STATUS=MR","SCALING_FORMAT=MLN","FA_ADJUSTED=Adjusted","Sort=A","Dates=H","DateFormat=P","Fill=—","Direction=H","UseDPDF=Y")</f>
        <v>281</v>
      </c>
      <c r="L19" s="13">
        <f>_xll.BDH("AMGN US Equity","IS_NET_INTEREST_EXPENSE","FQ3 2021","FQ3 2021","Currency=USD","Period=FQ","BEST_FPERIOD_OVERRIDE=FQ","FILING_STATUS=MR","SCALING_FORMAT=MLN","FA_ADJUSTED=Adjusted","Sort=A","Dates=H","DateFormat=P","Fill=—","Direction=H","UseDPDF=Y")</f>
        <v>296</v>
      </c>
      <c r="M19" s="13">
        <f>_xll.BDH("AMGN US Equity","IS_NET_INTEREST_EXPENSE","FQ4 2021","FQ4 2021","Currency=USD","Period=FQ","BEST_FPERIOD_OVERRIDE=FQ","FILING_STATUS=MR","SCALING_FORMAT=MLN","FA_ADJUSTED=Adjusted","Sort=A","Dates=H","DateFormat=P","Fill=—","Direction=H","UseDPDF=Y")</f>
        <v>335</v>
      </c>
      <c r="N19" s="13">
        <f>_xll.BDH("AMGN US Equity","IS_NET_INTEREST_EXPENSE","FQ1 2022","FQ1 2022","Currency=USD","Period=FQ","BEST_FPERIOD_OVERRIDE=FQ","FILING_STATUS=MR","SCALING_FORMAT=MLN","FA_ADJUSTED=Adjusted","Sort=A","Dates=H","DateFormat=P","Fill=—","Direction=H","UseDPDF=Y")</f>
        <v>295</v>
      </c>
      <c r="O19" s="13">
        <f>_xll.BDH("AMGN US Equity","IS_NET_INTEREST_EXPENSE","FQ2 2022","FQ2 2022","Currency=USD","Period=FQ","BEST_FPERIOD_OVERRIDE=FQ","FILING_STATUS=MR","SCALING_FORMAT=MLN","FA_ADJUSTED=Adjusted","Sort=A","Dates=H","DateFormat=P","Fill=—","Direction=H","UseDPDF=Y")</f>
        <v>328</v>
      </c>
      <c r="P19" s="13">
        <f>_xll.BDH("AMGN US Equity","IS_NET_INTEREST_EXPENSE","FQ3 2022","FQ3 2022","Currency=USD","Period=FQ","BEST_FPERIOD_OVERRIDE=FQ","FILING_STATUS=MR","SCALING_FORMAT=MLN","FA_ADJUSTED=Adjusted","Sort=A","Dates=H","DateFormat=P","Fill=—","Direction=H","UseDPDF=Y")</f>
        <v>368</v>
      </c>
      <c r="Q19" s="13">
        <f>_xll.BDH("AMGN US Equity","IS_NET_INTEREST_EXPENSE","FQ4 2022","FQ4 2022","Currency=USD","Period=FQ","BEST_FPERIOD_OVERRIDE=FQ","FILING_STATUS=MR","SCALING_FORMAT=MLN","FA_ADJUSTED=Adjusted","Sort=A","Dates=H","DateFormat=P","Fill=—","Direction=H","UseDPDF=Y")</f>
        <v>415</v>
      </c>
      <c r="R19" s="13">
        <f>_xll.BDH("AMGN US Equity","IS_NET_INTEREST_EXPENSE","FQ1 2023","FQ1 2023","Currency=USD","Period=FQ","BEST_FPERIOD_OVERRIDE=FQ","FILING_STATUS=MR","SCALING_FORMAT=MLN","FA_ADJUSTED=Adjusted","Sort=A","Dates=H","DateFormat=P","Fill=—","Direction=H","UseDPDF=Y")</f>
        <v>543</v>
      </c>
      <c r="S19" s="13">
        <f>_xll.BDH("AMGN US Equity","IS_NET_INTEREST_EXPENSE","FQ2 2023","FQ2 2023","Currency=USD","Period=FQ","BEST_FPERIOD_OVERRIDE=FQ","FILING_STATUS=MR","SCALING_FORMAT=MLN","FA_ADJUSTED=Adjusted","Sort=A","Dates=H","DateFormat=P","Fill=—","Direction=H","UseDPDF=Y")</f>
        <v>752</v>
      </c>
      <c r="T19" s="13">
        <f>_xll.BDH("AMGN US Equity","IS_NET_INTEREST_EXPENSE","FQ3 2023","FQ3 2023","Currency=USD","Period=FQ","BEST_FPERIOD_OVERRIDE=FQ","FILING_STATUS=MR","SCALING_FORMAT=MLN","FA_ADJUSTED=Adjusted","Sort=A","Dates=H","DateFormat=P","Fill=—","Direction=H","UseDPDF=Y")</f>
        <v>759</v>
      </c>
      <c r="U19" s="13">
        <f>_xll.BDH("AMGN US Equity","IS_NET_INTEREST_EXPENSE","FQ4 2023","FQ4 2023","Currency=USD","Period=FQ","BEST_FPERIOD_OVERRIDE=FQ","FILING_STATUS=MR","SCALING_FORMAT=MLN","FA_ADJUSTED=Adjusted","Sort=A","Dates=H","DateFormat=P","Fill=—","Direction=H","UseDPDF=Y")</f>
        <v>821</v>
      </c>
      <c r="V19" s="13">
        <f>_xll.BDH("AMGN US Equity","IS_NET_INTEREST_EXPENSE","FQ1 2024","FQ1 2024","Currency=USD","Period=FQ","BEST_FPERIOD_OVERRIDE=FQ","FILING_STATUS=MR","SCALING_FORMAT=MLN","FA_ADJUSTED=Adjusted","Sort=A","Dates=H","DateFormat=P","Fill=—","Direction=H","UseDPDF=Y")</f>
        <v>824</v>
      </c>
      <c r="W19" s="13">
        <f>_xll.BDH("AMGN US Equity","IS_NET_INTEREST_EXPENSE","FQ2 2024","FQ2 2024","Currency=USD","Period=FQ","BEST_FPERIOD_OVERRIDE=FQ","FILING_STATUS=MR","SCALING_FORMAT=MLN","FA_ADJUSTED=Adjusted","Sort=A","Dates=H","DateFormat=P","Fill=—","Direction=H","UseDPDF=Y")</f>
        <v>808</v>
      </c>
      <c r="X19" s="13">
        <f>_xll.BDH("AMGN US Equity","IS_NET_INTEREST_EXPENSE","FQ3 2024","FQ3 2024","Currency=USD","Period=FQ","BEST_FPERIOD_OVERRIDE=FQ","FILING_STATUS=MR","SCALING_FORMAT=MLN","FA_ADJUSTED=Adjusted","Sort=A","Dates=H","DateFormat=P","Fill=—","Direction=H","UseDPDF=Y")</f>
        <v>776</v>
      </c>
      <c r="Y19" s="13">
        <f>_xll.BDH("AMGN US Equity","IS_NET_INTEREST_EXPENSE","FQ4 2024","FQ4 2024","Currency=USD","Period=FQ","BEST_FPERIOD_OVERRIDE=FQ","FILING_STATUS=MR","SCALING_FORMAT=MLN","FA_ADJUSTED=Adjusted","Sort=A","Dates=H","DateFormat=P","Fill=—","Direction=H","UseDPDF=Y")</f>
        <v>747</v>
      </c>
      <c r="Z19" s="13"/>
      <c r="AA19" s="13"/>
    </row>
    <row r="20" spans="1:27" x14ac:dyDescent="0.25">
      <c r="A20" s="11" t="s">
        <v>331</v>
      </c>
      <c r="B20" s="11" t="s">
        <v>332</v>
      </c>
      <c r="C20" s="25">
        <f>_xll.BDH("AMGN US Equity","IS_INT_EXPENSE","FQ2 2019","FQ2 2019","Currency=USD","Period=FQ","BEST_FPERIOD_OVERRIDE=FQ","FILING_STATUS=MR","SCALING_FORMAT=MLN","FA_ADJUSTED=Adjusted","Sort=A","Dates=H","DateFormat=P","Fill=—","Direction=H","UseDPDF=Y")</f>
        <v>332</v>
      </c>
      <c r="D20" s="25">
        <f>_xll.BDH("AMGN US Equity","IS_INT_EXPENSE","FQ3 2019","FQ3 2019","Currency=USD","Period=FQ","BEST_FPERIOD_OVERRIDE=FQ","FILING_STATUS=MR","SCALING_FORMAT=MLN","FA_ADJUSTED=Adjusted","Sort=A","Dates=H","DateFormat=P","Fill=—","Direction=H","UseDPDF=Y")</f>
        <v>313</v>
      </c>
      <c r="E20" s="25">
        <f>_xll.BDH("AMGN US Equity","IS_INT_EXPENSE","FQ4 2019","FQ4 2019","Currency=USD","Period=FQ","BEST_FPERIOD_OVERRIDE=FQ","FILING_STATUS=MR","SCALING_FORMAT=MLN","FA_ADJUSTED=Adjusted","Sort=A","Dates=H","DateFormat=P","Fill=—","Direction=H","UseDPDF=Y")</f>
        <v>301</v>
      </c>
      <c r="F20" s="25">
        <f>_xll.BDH("AMGN US Equity","IS_INT_EXPENSE","FQ1 2020","FQ1 2020","Currency=USD","Period=FQ","BEST_FPERIOD_OVERRIDE=FQ","FILING_STATUS=MR","SCALING_FORMAT=MLN","FA_ADJUSTED=Adjusted","Sort=A","Dates=H","DateFormat=P","Fill=—","Direction=H","UseDPDF=Y")</f>
        <v>346</v>
      </c>
      <c r="G20" s="25">
        <f>_xll.BDH("AMGN US Equity","IS_INT_EXPENSE","FQ2 2020","FQ2 2020","Currency=USD","Period=FQ","BEST_FPERIOD_OVERRIDE=FQ","FILING_STATUS=MR","SCALING_FORMAT=MLN","FA_ADJUSTED=Adjusted","Sort=A","Dates=H","DateFormat=P","Fill=—","Direction=H","UseDPDF=Y")</f>
        <v>296</v>
      </c>
      <c r="H20" s="25">
        <f>_xll.BDH("AMGN US Equity","IS_INT_EXPENSE","FQ3 2020","FQ3 2020","Currency=USD","Period=FQ","BEST_FPERIOD_OVERRIDE=FQ","FILING_STATUS=MR","SCALING_FORMAT=MLN","FA_ADJUSTED=Adjusted","Sort=A","Dates=H","DateFormat=P","Fill=—","Direction=H","UseDPDF=Y")</f>
        <v>302</v>
      </c>
      <c r="I20" s="25">
        <f>_xll.BDH("AMGN US Equity","IS_INT_EXPENSE","FQ4 2020","FQ4 2020","Currency=USD","Period=FQ","BEST_FPERIOD_OVERRIDE=FQ","FILING_STATUS=MR","SCALING_FORMAT=MLN","FA_ADJUSTED=Adjusted","Sort=A","Dates=H","DateFormat=P","Fill=—","Direction=H","UseDPDF=Y")</f>
        <v>318</v>
      </c>
      <c r="J20" s="25">
        <f>_xll.BDH("AMGN US Equity","IS_INT_EXPENSE","FQ1 2021","FQ1 2021","Currency=USD","Period=FQ","BEST_FPERIOD_OVERRIDE=FQ","FILING_STATUS=MR","SCALING_FORMAT=MLN","FA_ADJUSTED=Adjusted","Sort=A","Dates=H","DateFormat=P","Fill=—","Direction=H","UseDPDF=Y")</f>
        <v>285</v>
      </c>
      <c r="K20" s="25">
        <f>_xll.BDH("AMGN US Equity","IS_INT_EXPENSE","FQ2 2021","FQ2 2021","Currency=USD","Period=FQ","BEST_FPERIOD_OVERRIDE=FQ","FILING_STATUS=MR","SCALING_FORMAT=MLN","FA_ADJUSTED=Adjusted","Sort=A","Dates=H","DateFormat=P","Fill=—","Direction=H","UseDPDF=Y")</f>
        <v>281</v>
      </c>
      <c r="L20" s="25">
        <f>_xll.BDH("AMGN US Equity","IS_INT_EXPENSE","FQ3 2021","FQ3 2021","Currency=USD","Period=FQ","BEST_FPERIOD_OVERRIDE=FQ","FILING_STATUS=MR","SCALING_FORMAT=MLN","FA_ADJUSTED=Adjusted","Sort=A","Dates=H","DateFormat=P","Fill=—","Direction=H","UseDPDF=Y")</f>
        <v>296</v>
      </c>
      <c r="M20" s="25">
        <f>_xll.BDH("AMGN US Equity","IS_INT_EXPENSE","FQ4 2021","FQ4 2021","Currency=USD","Period=FQ","BEST_FPERIOD_OVERRIDE=FQ","FILING_STATUS=MR","SCALING_FORMAT=MLN","FA_ADJUSTED=Adjusted","Sort=A","Dates=H","DateFormat=P","Fill=—","Direction=H","UseDPDF=Y")</f>
        <v>335</v>
      </c>
      <c r="N20" s="25">
        <f>_xll.BDH("AMGN US Equity","IS_INT_EXPENSE","FQ1 2022","FQ1 2022","Currency=USD","Period=FQ","BEST_FPERIOD_OVERRIDE=FQ","FILING_STATUS=MR","SCALING_FORMAT=MLN","FA_ADJUSTED=Adjusted","Sort=A","Dates=H","DateFormat=P","Fill=—","Direction=H","UseDPDF=Y")</f>
        <v>295</v>
      </c>
      <c r="O20" s="25">
        <f>_xll.BDH("AMGN US Equity","IS_INT_EXPENSE","FQ2 2022","FQ2 2022","Currency=USD","Period=FQ","BEST_FPERIOD_OVERRIDE=FQ","FILING_STATUS=MR","SCALING_FORMAT=MLN","FA_ADJUSTED=Adjusted","Sort=A","Dates=H","DateFormat=P","Fill=—","Direction=H","UseDPDF=Y")</f>
        <v>328</v>
      </c>
      <c r="P20" s="25">
        <f>_xll.BDH("AMGN US Equity","IS_INT_EXPENSE","FQ3 2022","FQ3 2022","Currency=USD","Period=FQ","BEST_FPERIOD_OVERRIDE=FQ","FILING_STATUS=MR","SCALING_FORMAT=MLN","FA_ADJUSTED=Adjusted","Sort=A","Dates=H","DateFormat=P","Fill=—","Direction=H","UseDPDF=Y")</f>
        <v>368</v>
      </c>
      <c r="Q20" s="25">
        <f>_xll.BDH("AMGN US Equity","IS_INT_EXPENSE","FQ4 2022","FQ4 2022","Currency=USD","Period=FQ","BEST_FPERIOD_OVERRIDE=FQ","FILING_STATUS=MR","SCALING_FORMAT=MLN","FA_ADJUSTED=Adjusted","Sort=A","Dates=H","DateFormat=P","Fill=—","Direction=H","UseDPDF=Y")</f>
        <v>415</v>
      </c>
      <c r="R20" s="25">
        <f>_xll.BDH("AMGN US Equity","IS_INT_EXPENSE","FQ1 2023","FQ1 2023","Currency=USD","Period=FQ","BEST_FPERIOD_OVERRIDE=FQ","FILING_STATUS=MR","SCALING_FORMAT=MLN","FA_ADJUSTED=Adjusted","Sort=A","Dates=H","DateFormat=P","Fill=—","Direction=H","UseDPDF=Y")</f>
        <v>543</v>
      </c>
      <c r="S20" s="25">
        <f>_xll.BDH("AMGN US Equity","IS_INT_EXPENSE","FQ2 2023","FQ2 2023","Currency=USD","Period=FQ","BEST_FPERIOD_OVERRIDE=FQ","FILING_STATUS=MR","SCALING_FORMAT=MLN","FA_ADJUSTED=Adjusted","Sort=A","Dates=H","DateFormat=P","Fill=—","Direction=H","UseDPDF=Y")</f>
        <v>752</v>
      </c>
      <c r="T20" s="25">
        <f>_xll.BDH("AMGN US Equity","IS_INT_EXPENSE","FQ3 2023","FQ3 2023","Currency=USD","Period=FQ","BEST_FPERIOD_OVERRIDE=FQ","FILING_STATUS=MR","SCALING_FORMAT=MLN","FA_ADJUSTED=Adjusted","Sort=A","Dates=H","DateFormat=P","Fill=—","Direction=H","UseDPDF=Y")</f>
        <v>759</v>
      </c>
      <c r="U20" s="25">
        <f>_xll.BDH("AMGN US Equity","IS_INT_EXPENSE","FQ4 2023","FQ4 2023","Currency=USD","Period=FQ","BEST_FPERIOD_OVERRIDE=FQ","FILING_STATUS=MR","SCALING_FORMAT=MLN","FA_ADJUSTED=Adjusted","Sort=A","Dates=H","DateFormat=P","Fill=—","Direction=H","UseDPDF=Y")</f>
        <v>821</v>
      </c>
      <c r="V20" s="25">
        <f>_xll.BDH("AMGN US Equity","IS_INT_EXPENSE","FQ1 2024","FQ1 2024","Currency=USD","Period=FQ","BEST_FPERIOD_OVERRIDE=FQ","FILING_STATUS=MR","SCALING_FORMAT=MLN","FA_ADJUSTED=Adjusted","Sort=A","Dates=H","DateFormat=P","Fill=—","Direction=H","UseDPDF=Y")</f>
        <v>824</v>
      </c>
      <c r="W20" s="25">
        <f>_xll.BDH("AMGN US Equity","IS_INT_EXPENSE","FQ2 2024","FQ2 2024","Currency=USD","Period=FQ","BEST_FPERIOD_OVERRIDE=FQ","FILING_STATUS=MR","SCALING_FORMAT=MLN","FA_ADJUSTED=Adjusted","Sort=A","Dates=H","DateFormat=P","Fill=—","Direction=H","UseDPDF=Y")</f>
        <v>808</v>
      </c>
      <c r="X20" s="25">
        <f>_xll.BDH("AMGN US Equity","IS_INT_EXPENSE","FQ3 2024","FQ3 2024","Currency=USD","Period=FQ","BEST_FPERIOD_OVERRIDE=FQ","FILING_STATUS=MR","SCALING_FORMAT=MLN","FA_ADJUSTED=Adjusted","Sort=A","Dates=H","DateFormat=P","Fill=—","Direction=H","UseDPDF=Y")</f>
        <v>776</v>
      </c>
      <c r="Y20" s="25">
        <f>_xll.BDH("AMGN US Equity","IS_INT_EXPENSE","FQ4 2024","FQ4 2024","Currency=USD","Period=FQ","BEST_FPERIOD_OVERRIDE=FQ","FILING_STATUS=MR","SCALING_FORMAT=MLN","FA_ADJUSTED=Adjusted","Sort=A","Dates=H","DateFormat=P","Fill=—","Direction=H","UseDPDF=Y")</f>
        <v>747</v>
      </c>
      <c r="Z20" s="25"/>
      <c r="AA20" s="25"/>
    </row>
    <row r="21" spans="1:27" x14ac:dyDescent="0.25">
      <c r="A21" s="11" t="s">
        <v>333</v>
      </c>
      <c r="B21" s="11" t="s">
        <v>334</v>
      </c>
      <c r="C21" s="25">
        <f>_xll.BDH("AMGN US Equity","IS_INT_INC","FQ2 2019","FQ2 2019","Currency=USD","Period=FQ","BEST_FPERIOD_OVERRIDE=FQ","FILING_STATUS=MR","SCALING_FORMAT=MLN","FA_ADJUSTED=Adjusted","Sort=A","Dates=H","DateFormat=P","Fill=—","Direction=H","UseDPDF=Y")</f>
        <v>0</v>
      </c>
      <c r="D21" s="25">
        <f>_xll.BDH("AMGN US Equity","IS_INT_INC","FQ3 2019","FQ3 2019","Currency=USD","Period=FQ","BEST_FPERIOD_OVERRIDE=FQ","FILING_STATUS=MR","SCALING_FORMAT=MLN","FA_ADJUSTED=Adjusted","Sort=A","Dates=H","DateFormat=P","Fill=—","Direction=H","UseDPDF=Y")</f>
        <v>0</v>
      </c>
      <c r="E21" s="25">
        <f>_xll.BDH("AMGN US Equity","IS_INT_INC","FQ4 2019","FQ4 2019","Currency=USD","Period=FQ","BEST_FPERIOD_OVERRIDE=FQ","FILING_STATUS=MR","SCALING_FORMAT=MLN","FA_ADJUSTED=Adjusted","Sort=A","Dates=H","DateFormat=P","Fill=—","Direction=H","UseDPDF=Y")</f>
        <v>0</v>
      </c>
      <c r="F21" s="25">
        <f>_xll.BDH("AMGN US Equity","IS_INT_INC","FQ1 2020","FQ1 2020","Currency=USD","Period=FQ","BEST_FPERIOD_OVERRIDE=FQ","FILING_STATUS=MR","SCALING_FORMAT=MLN","FA_ADJUSTED=Adjusted","Sort=A","Dates=H","DateFormat=P","Fill=—","Direction=H","UseDPDF=Y")</f>
        <v>0</v>
      </c>
      <c r="G21" s="25">
        <f>_xll.BDH("AMGN US Equity","IS_INT_INC","FQ2 2020","FQ2 2020","Currency=USD","Period=FQ","BEST_FPERIOD_OVERRIDE=FQ","FILING_STATUS=MR","SCALING_FORMAT=MLN","FA_ADJUSTED=Adjusted","Sort=A","Dates=H","DateFormat=P","Fill=—","Direction=H","UseDPDF=Y")</f>
        <v>0</v>
      </c>
      <c r="H21" s="25">
        <f>_xll.BDH("AMGN US Equity","IS_INT_INC","FQ3 2020","FQ3 2020","Currency=USD","Period=FQ","BEST_FPERIOD_OVERRIDE=FQ","FILING_STATUS=MR","SCALING_FORMAT=MLN","FA_ADJUSTED=Adjusted","Sort=A","Dates=H","DateFormat=P","Fill=—","Direction=H","UseDPDF=Y")</f>
        <v>0</v>
      </c>
      <c r="I21" s="25">
        <f>_xll.BDH("AMGN US Equity","IS_INT_INC","FQ4 2020","FQ4 2020","Currency=USD","Period=FQ","BEST_FPERIOD_OVERRIDE=FQ","FILING_STATUS=MR","SCALING_FORMAT=MLN","FA_ADJUSTED=Adjusted","Sort=A","Dates=H","DateFormat=P","Fill=—","Direction=H","UseDPDF=Y")</f>
        <v>0</v>
      </c>
      <c r="J21" s="25">
        <f>_xll.BDH("AMGN US Equity","IS_INT_INC","FQ1 2021","FQ1 2021","Currency=USD","Period=FQ","BEST_FPERIOD_OVERRIDE=FQ","FILING_STATUS=MR","SCALING_FORMAT=MLN","FA_ADJUSTED=Adjusted","Sort=A","Dates=H","DateFormat=P","Fill=—","Direction=H","UseDPDF=Y")</f>
        <v>0</v>
      </c>
      <c r="K21" s="25">
        <f>_xll.BDH("AMGN US Equity","IS_INT_INC","FQ2 2021","FQ2 2021","Currency=USD","Period=FQ","BEST_FPERIOD_OVERRIDE=FQ","FILING_STATUS=MR","SCALING_FORMAT=MLN","FA_ADJUSTED=Adjusted","Sort=A","Dates=H","DateFormat=P","Fill=—","Direction=H","UseDPDF=Y")</f>
        <v>0</v>
      </c>
      <c r="L21" s="25">
        <f>_xll.BDH("AMGN US Equity","IS_INT_INC","FQ3 2021","FQ3 2021","Currency=USD","Period=FQ","BEST_FPERIOD_OVERRIDE=FQ","FILING_STATUS=MR","SCALING_FORMAT=MLN","FA_ADJUSTED=Adjusted","Sort=A","Dates=H","DateFormat=P","Fill=—","Direction=H","UseDPDF=Y")</f>
        <v>0</v>
      </c>
      <c r="M21" s="25">
        <f>_xll.BDH("AMGN US Equity","IS_INT_INC","FQ4 2021","FQ4 2021","Currency=USD","Period=FQ","BEST_FPERIOD_OVERRIDE=FQ","FILING_STATUS=MR","SCALING_FORMAT=MLN","FA_ADJUSTED=Adjusted","Sort=A","Dates=H","DateFormat=P","Fill=—","Direction=H","UseDPDF=Y")</f>
        <v>0</v>
      </c>
      <c r="N21" s="25">
        <f>_xll.BDH("AMGN US Equity","IS_INT_INC","FQ1 2022","FQ1 2022","Currency=USD","Period=FQ","BEST_FPERIOD_OVERRIDE=FQ","FILING_STATUS=MR","SCALING_FORMAT=MLN","FA_ADJUSTED=Adjusted","Sort=A","Dates=H","DateFormat=P","Fill=—","Direction=H","UseDPDF=Y")</f>
        <v>0</v>
      </c>
      <c r="O21" s="25">
        <f>_xll.BDH("AMGN US Equity","IS_INT_INC","FQ2 2022","FQ2 2022","Currency=USD","Period=FQ","BEST_FPERIOD_OVERRIDE=FQ","FILING_STATUS=MR","SCALING_FORMAT=MLN","FA_ADJUSTED=Adjusted","Sort=A","Dates=H","DateFormat=P","Fill=—","Direction=H","UseDPDF=Y")</f>
        <v>0</v>
      </c>
      <c r="P21" s="25">
        <f>_xll.BDH("AMGN US Equity","IS_INT_INC","FQ3 2022","FQ3 2022","Currency=USD","Period=FQ","BEST_FPERIOD_OVERRIDE=FQ","FILING_STATUS=MR","SCALING_FORMAT=MLN","FA_ADJUSTED=Adjusted","Sort=A","Dates=H","DateFormat=P","Fill=—","Direction=H","UseDPDF=Y")</f>
        <v>0</v>
      </c>
      <c r="Q21" s="25">
        <f>_xll.BDH("AMGN US Equity","IS_INT_INC","FQ4 2022","FQ4 2022","Currency=USD","Period=FQ","BEST_FPERIOD_OVERRIDE=FQ","FILING_STATUS=MR","SCALING_FORMAT=MLN","FA_ADJUSTED=Adjusted","Sort=A","Dates=H","DateFormat=P","Fill=—","Direction=H","UseDPDF=Y")</f>
        <v>0</v>
      </c>
      <c r="R21" s="25">
        <f>_xll.BDH("AMGN US Equity","IS_INT_INC","FQ1 2023","FQ1 2023","Currency=USD","Period=FQ","BEST_FPERIOD_OVERRIDE=FQ","FILING_STATUS=MR","SCALING_FORMAT=MLN","FA_ADJUSTED=Adjusted","Sort=A","Dates=H","DateFormat=P","Fill=—","Direction=H","UseDPDF=Y")</f>
        <v>0</v>
      </c>
      <c r="S21" s="25">
        <f>_xll.BDH("AMGN US Equity","IS_INT_INC","FQ2 2023","FQ2 2023","Currency=USD","Period=FQ","BEST_FPERIOD_OVERRIDE=FQ","FILING_STATUS=MR","SCALING_FORMAT=MLN","FA_ADJUSTED=Adjusted","Sort=A","Dates=H","DateFormat=P","Fill=—","Direction=H","UseDPDF=Y")</f>
        <v>0</v>
      </c>
      <c r="T21" s="25">
        <f>_xll.BDH("AMGN US Equity","IS_INT_INC","FQ3 2023","FQ3 2023","Currency=USD","Period=FQ","BEST_FPERIOD_OVERRIDE=FQ","FILING_STATUS=MR","SCALING_FORMAT=MLN","FA_ADJUSTED=Adjusted","Sort=A","Dates=H","DateFormat=P","Fill=—","Direction=H","UseDPDF=Y")</f>
        <v>0</v>
      </c>
      <c r="U21" s="25">
        <f>_xll.BDH("AMGN US Equity","IS_INT_INC","FQ4 2023","FQ4 2023","Currency=USD","Period=FQ","BEST_FPERIOD_OVERRIDE=FQ","FILING_STATUS=MR","SCALING_FORMAT=MLN","FA_ADJUSTED=Adjusted","Sort=A","Dates=H","DateFormat=P","Fill=—","Direction=H","UseDPDF=Y")</f>
        <v>0</v>
      </c>
      <c r="V21" s="25">
        <f>_xll.BDH("AMGN US Equity","IS_INT_INC","FQ1 2024","FQ1 2024","Currency=USD","Period=FQ","BEST_FPERIOD_OVERRIDE=FQ","FILING_STATUS=MR","SCALING_FORMAT=MLN","FA_ADJUSTED=Adjusted","Sort=A","Dates=H","DateFormat=P","Fill=—","Direction=H","UseDPDF=Y")</f>
        <v>0</v>
      </c>
      <c r="W21" s="25">
        <f>_xll.BDH("AMGN US Equity","IS_INT_INC","FQ2 2024","FQ2 2024","Currency=USD","Period=FQ","BEST_FPERIOD_OVERRIDE=FQ","FILING_STATUS=MR","SCALING_FORMAT=MLN","FA_ADJUSTED=Adjusted","Sort=A","Dates=H","DateFormat=P","Fill=—","Direction=H","UseDPDF=Y")</f>
        <v>0</v>
      </c>
      <c r="X21" s="25">
        <f>_xll.BDH("AMGN US Equity","IS_INT_INC","FQ3 2024","FQ3 2024","Currency=USD","Period=FQ","BEST_FPERIOD_OVERRIDE=FQ","FILING_STATUS=MR","SCALING_FORMAT=MLN","FA_ADJUSTED=Adjusted","Sort=A","Dates=H","DateFormat=P","Fill=—","Direction=H","UseDPDF=Y")</f>
        <v>0</v>
      </c>
      <c r="Y21" s="25">
        <f>_xll.BDH("AMGN US Equity","IS_INT_INC","FQ4 2024","FQ4 2024","Currency=USD","Period=FQ","BEST_FPERIOD_OVERRIDE=FQ","FILING_STATUS=MR","SCALING_FORMAT=MLN","FA_ADJUSTED=Adjusted","Sort=A","Dates=H","DateFormat=P","Fill=—","Direction=H","UseDPDF=Y")</f>
        <v>0</v>
      </c>
      <c r="Z21" s="25"/>
      <c r="AA21" s="25"/>
    </row>
    <row r="22" spans="1:27" x14ac:dyDescent="0.25">
      <c r="A22" s="10" t="s">
        <v>335</v>
      </c>
      <c r="B22" s="10" t="s">
        <v>336</v>
      </c>
      <c r="C22" s="13">
        <f>_xll.BDH("AMGN US Equity","IS_OTHER_NON_OPERATING_INC_LOSS","FQ2 2019","FQ2 2019","Currency=USD","Period=FQ","BEST_FPERIOD_OVERRIDE=FQ","FILING_STATUS=MR","SCALING_FORMAT=MLN","FA_ADJUSTED=Adjusted","Sort=A","Dates=H","DateFormat=P","Fill=—","Direction=H","UseDPDF=Y")</f>
        <v>-218</v>
      </c>
      <c r="D22" s="13">
        <f>_xll.BDH("AMGN US Equity","IS_OTHER_NON_OPERATING_INC_LOSS","FQ3 2019","FQ3 2019","Currency=USD","Period=FQ","BEST_FPERIOD_OVERRIDE=FQ","FILING_STATUS=MR","SCALING_FORMAT=MLN","FA_ADJUSTED=Adjusted","Sort=A","Dates=H","DateFormat=P","Fill=—","Direction=H","UseDPDF=Y")</f>
        <v>-114</v>
      </c>
      <c r="E22" s="13">
        <f>_xll.BDH("AMGN US Equity","IS_OTHER_NON_OPERATING_INC_LOSS","FQ4 2019","FQ4 2019","Currency=USD","Period=FQ","BEST_FPERIOD_OVERRIDE=FQ","FILING_STATUS=MR","SCALING_FORMAT=MLN","FA_ADJUSTED=Adjusted","Sort=A","Dates=H","DateFormat=P","Fill=—","Direction=H","UseDPDF=Y")</f>
        <v>-236</v>
      </c>
      <c r="F22" s="13">
        <f>_xll.BDH("AMGN US Equity","IS_OTHER_NON_OPERATING_INC_LOSS","FQ1 2020","FQ1 2020","Currency=USD","Period=FQ","BEST_FPERIOD_OVERRIDE=FQ","FILING_STATUS=MR","SCALING_FORMAT=MLN","FA_ADJUSTED=Adjusted","Sort=A","Dates=H","DateFormat=P","Fill=—","Direction=H","UseDPDF=Y")</f>
        <v>-11</v>
      </c>
      <c r="G22" s="13">
        <f>_xll.BDH("AMGN US Equity","IS_OTHER_NON_OPERATING_INC_LOSS","FQ2 2020","FQ2 2020","Currency=USD","Period=FQ","BEST_FPERIOD_OVERRIDE=FQ","FILING_STATUS=MR","SCALING_FORMAT=MLN","FA_ADJUSTED=Adjusted","Sort=A","Dates=H","DateFormat=P","Fill=—","Direction=H","UseDPDF=Y")</f>
        <v>-3</v>
      </c>
      <c r="H22" s="13">
        <f>_xll.BDH("AMGN US Equity","IS_OTHER_NON_OPERATING_INC_LOSS","FQ3 2020","FQ3 2020","Currency=USD","Period=FQ","BEST_FPERIOD_OVERRIDE=FQ","FILING_STATUS=MR","SCALING_FORMAT=MLN","FA_ADJUSTED=Adjusted","Sort=A","Dates=H","DateFormat=P","Fill=—","Direction=H","UseDPDF=Y")</f>
        <v>-55</v>
      </c>
      <c r="I22" s="13">
        <f>_xll.BDH("AMGN US Equity","IS_OTHER_NON_OPERATING_INC_LOSS","FQ4 2020","FQ4 2020","Currency=USD","Period=FQ","BEST_FPERIOD_OVERRIDE=FQ","FILING_STATUS=MR","SCALING_FORMAT=MLN","FA_ADJUSTED=Adjusted","Sort=A","Dates=H","DateFormat=P","Fill=—","Direction=H","UseDPDF=Y")</f>
        <v>-187</v>
      </c>
      <c r="J22" s="13">
        <f>_xll.BDH("AMGN US Equity","IS_OTHER_NON_OPERATING_INC_LOSS","FQ1 2021","FQ1 2021","Currency=USD","Period=FQ","BEST_FPERIOD_OVERRIDE=FQ","FILING_STATUS=MR","SCALING_FORMAT=MLN","FA_ADJUSTED=Adjusted","Sort=A","Dates=H","DateFormat=P","Fill=—","Direction=H","UseDPDF=Y")</f>
        <v>132</v>
      </c>
      <c r="K22" s="13">
        <f>_xll.BDH("AMGN US Equity","IS_OTHER_NON_OPERATING_INC_LOSS","FQ2 2021","FQ2 2021","Currency=USD","Period=FQ","BEST_FPERIOD_OVERRIDE=FQ","FILING_STATUS=MR","SCALING_FORMAT=MLN","FA_ADJUSTED=Adjusted","Sort=A","Dates=H","DateFormat=P","Fill=—","Direction=H","UseDPDF=Y")</f>
        <v>-12</v>
      </c>
      <c r="L22" s="13">
        <f>_xll.BDH("AMGN US Equity","IS_OTHER_NON_OPERATING_INC_LOSS","FQ3 2021","FQ3 2021","Currency=USD","Period=FQ","BEST_FPERIOD_OVERRIDE=FQ","FILING_STATUS=MR","SCALING_FORMAT=MLN","FA_ADJUSTED=Adjusted","Sort=A","Dates=H","DateFormat=P","Fill=—","Direction=H","UseDPDF=Y")</f>
        <v>118</v>
      </c>
      <c r="M22" s="13">
        <f>_xll.BDH("AMGN US Equity","IS_OTHER_NON_OPERATING_INC_LOSS","FQ4 2021","FQ4 2021","Currency=USD","Period=FQ","BEST_FPERIOD_OVERRIDE=FQ","FILING_STATUS=MR","SCALING_FORMAT=MLN","FA_ADJUSTED=Adjusted","Sort=A","Dates=H","DateFormat=P","Fill=—","Direction=H","UseDPDF=Y")</f>
        <v>-162</v>
      </c>
      <c r="N22" s="13">
        <f>_xll.BDH("AMGN US Equity","IS_OTHER_NON_OPERATING_INC_LOSS","FQ1 2022","FQ1 2022","Currency=USD","Period=FQ","BEST_FPERIOD_OVERRIDE=FQ","FILING_STATUS=MR","SCALING_FORMAT=MLN","FA_ADJUSTED=Adjusted","Sort=A","Dates=H","DateFormat=P","Fill=—","Direction=H","UseDPDF=Y")</f>
        <v>165</v>
      </c>
      <c r="O22" s="13">
        <f>_xll.BDH("AMGN US Equity","IS_OTHER_NON_OPERATING_INC_LOSS","FQ2 2022","FQ2 2022","Currency=USD","Period=FQ","BEST_FPERIOD_OVERRIDE=FQ","FILING_STATUS=MR","SCALING_FORMAT=MLN","FA_ADJUSTED=Adjusted","Sort=A","Dates=H","DateFormat=P","Fill=—","Direction=H","UseDPDF=Y")</f>
        <v>131</v>
      </c>
      <c r="P22" s="13">
        <f>_xll.BDH("AMGN US Equity","IS_OTHER_NON_OPERATING_INC_LOSS","FQ3 2022","FQ3 2022","Currency=USD","Period=FQ","BEST_FPERIOD_OVERRIDE=FQ","FILING_STATUS=MR","SCALING_FORMAT=MLN","FA_ADJUSTED=Adjusted","Sort=A","Dates=H","DateFormat=P","Fill=—","Direction=H","UseDPDF=Y")</f>
        <v>50</v>
      </c>
      <c r="Q22" s="13">
        <f>_xll.BDH("AMGN US Equity","IS_OTHER_NON_OPERATING_INC_LOSS","FQ4 2022","FQ4 2022","Currency=USD","Period=FQ","BEST_FPERIOD_OVERRIDE=FQ","FILING_STATUS=MR","SCALING_FORMAT=MLN","FA_ADJUSTED=Adjusted","Sort=A","Dates=H","DateFormat=P","Fill=—","Direction=H","UseDPDF=Y")</f>
        <v>106</v>
      </c>
      <c r="R22" s="13">
        <f>_xll.BDH("AMGN US Equity","IS_OTHER_NON_OPERATING_INC_LOSS","FQ1 2023","FQ1 2023","Currency=USD","Period=FQ","BEST_FPERIOD_OVERRIDE=FQ","FILING_STATUS=MR","SCALING_FORMAT=MLN","FA_ADJUSTED=Adjusted","Sort=A","Dates=H","DateFormat=P","Fill=—","Direction=H","UseDPDF=Y")</f>
        <v>-211</v>
      </c>
      <c r="S22" s="13">
        <f>_xll.BDH("AMGN US Equity","IS_OTHER_NON_OPERATING_INC_LOSS","FQ2 2023","FQ2 2023","Currency=USD","Period=FQ","BEST_FPERIOD_OVERRIDE=FQ","FILING_STATUS=MR","SCALING_FORMAT=MLN","FA_ADJUSTED=Adjusted","Sort=A","Dates=H","DateFormat=P","Fill=—","Direction=H","UseDPDF=Y")</f>
        <v>-400</v>
      </c>
      <c r="T22" s="13">
        <f>_xll.BDH("AMGN US Equity","IS_OTHER_NON_OPERATING_INC_LOSS","FQ3 2023","FQ3 2023","Currency=USD","Period=FQ","BEST_FPERIOD_OVERRIDE=FQ","FILING_STATUS=MR","SCALING_FORMAT=MLN","FA_ADJUSTED=Adjusted","Sort=A","Dates=H","DateFormat=P","Fill=—","Direction=H","UseDPDF=Y")</f>
        <v>-515</v>
      </c>
      <c r="U22" s="13">
        <f>_xll.BDH("AMGN US Equity","IS_OTHER_NON_OPERATING_INC_LOSS","FQ4 2023","FQ4 2023","Currency=USD","Period=FQ","BEST_FPERIOD_OVERRIDE=FQ","FILING_STATUS=MR","SCALING_FORMAT=MLN","FA_ADJUSTED=Adjusted","Sort=A","Dates=H","DateFormat=P","Fill=—","Direction=H","UseDPDF=Y")</f>
        <v>-185</v>
      </c>
      <c r="V22" s="13">
        <f>_xll.BDH("AMGN US Equity","IS_OTHER_NON_OPERATING_INC_LOSS","FQ1 2024","FQ1 2024","Currency=USD","Period=FQ","BEST_FPERIOD_OVERRIDE=FQ","FILING_STATUS=MR","SCALING_FORMAT=MLN","FA_ADJUSTED=Adjusted","Sort=A","Dates=H","DateFormat=P","Fill=—","Direction=H","UseDPDF=Y")</f>
        <v>-275</v>
      </c>
      <c r="W22" s="13">
        <f>_xll.BDH("AMGN US Equity","IS_OTHER_NON_OPERATING_INC_LOSS","FQ2 2024","FQ2 2024","Currency=USD","Period=FQ","BEST_FPERIOD_OVERRIDE=FQ","FILING_STATUS=MR","SCALING_FORMAT=MLN","FA_ADJUSTED=Adjusted","Sort=A","Dates=H","DateFormat=P","Fill=—","Direction=H","UseDPDF=Y")</f>
        <v>-98</v>
      </c>
      <c r="X22" s="13">
        <f>_xll.BDH("AMGN US Equity","IS_OTHER_NON_OPERATING_INC_LOSS","FQ3 2024","FQ3 2024","Currency=USD","Period=FQ","BEST_FPERIOD_OVERRIDE=FQ","FILING_STATUS=MR","SCALING_FORMAT=MLN","FA_ADJUSTED=Adjusted","Sort=A","Dates=H","DateFormat=P","Fill=—","Direction=H","UseDPDF=Y")</f>
        <v>-222</v>
      </c>
      <c r="Y22" s="13">
        <f>_xll.BDH("AMGN US Equity","IS_OTHER_NON_OPERATING_INC_LOSS","FQ4 2024","FQ4 2024","Currency=USD","Period=FQ","BEST_FPERIOD_OVERRIDE=FQ","FILING_STATUS=MR","SCALING_FORMAT=MLN","FA_ADJUSTED=Adjusted","Sort=A","Dates=H","DateFormat=P","Fill=—","Direction=H","UseDPDF=Y")</f>
        <v>-93</v>
      </c>
      <c r="Z22" s="13"/>
      <c r="AA22" s="13"/>
    </row>
    <row r="23" spans="1:27" x14ac:dyDescent="0.25">
      <c r="A23" s="6" t="s">
        <v>337</v>
      </c>
      <c r="B23" s="6" t="s">
        <v>158</v>
      </c>
      <c r="C23" s="19">
        <f>_xll.BDH("AMGN US Equity","PRETAX_INC","FQ2 2019","FQ2 2019","Currency=USD","Period=FQ","BEST_FPERIOD_OVERRIDE=FQ","FILING_STATUS=MR","SCALING_FORMAT=MLN","FA_ADJUSTED=Adjusted","Sort=A","Dates=H","DateFormat=P","Fill=—","Direction=H","UseDPDF=Y")</f>
        <v>2561</v>
      </c>
      <c r="D23" s="19">
        <f>_xll.BDH("AMGN US Equity","PRETAX_INC","FQ3 2019","FQ3 2019","Currency=USD","Period=FQ","BEST_FPERIOD_OVERRIDE=FQ","FILING_STATUS=MR","SCALING_FORMAT=MLN","FA_ADJUSTED=Adjusted","Sort=A","Dates=H","DateFormat=P","Fill=—","Direction=H","UseDPDF=Y")</f>
        <v>2277</v>
      </c>
      <c r="E23" s="19">
        <f>_xll.BDH("AMGN US Equity","PRETAX_INC","FQ4 2019","FQ4 2019","Currency=USD","Period=FQ","BEST_FPERIOD_OVERRIDE=FQ","FILING_STATUS=MR","SCALING_FORMAT=MLN","FA_ADJUSTED=Adjusted","Sort=A","Dates=H","DateFormat=P","Fill=—","Direction=H","UseDPDF=Y")</f>
        <v>2056</v>
      </c>
      <c r="F23" s="19">
        <f>_xll.BDH("AMGN US Equity","PRETAX_INC","FQ1 2020","FQ1 2020","Currency=USD","Period=FQ","BEST_FPERIOD_OVERRIDE=FQ","FILING_STATUS=MR","SCALING_FORMAT=MLN","FA_ADJUSTED=Adjusted","Sort=A","Dates=H","DateFormat=P","Fill=—","Direction=H","UseDPDF=Y")</f>
        <v>2045</v>
      </c>
      <c r="G23" s="19">
        <f>_xll.BDH("AMGN US Equity","PRETAX_INC","FQ2 2020","FQ2 2020","Currency=USD","Period=FQ","BEST_FPERIOD_OVERRIDE=FQ","FILING_STATUS=MR","SCALING_FORMAT=MLN","FA_ADJUSTED=Adjusted","Sort=A","Dates=H","DateFormat=P","Fill=—","Direction=H","UseDPDF=Y")</f>
        <v>2130</v>
      </c>
      <c r="H23" s="19">
        <f>_xll.BDH("AMGN US Equity","PRETAX_INC","FQ3 2020","FQ3 2020","Currency=USD","Period=FQ","BEST_FPERIOD_OVERRIDE=FQ","FILING_STATUS=MR","SCALING_FORMAT=MLN","FA_ADJUSTED=Adjusted","Sort=A","Dates=H","DateFormat=P","Fill=—","Direction=H","UseDPDF=Y")</f>
        <v>2935</v>
      </c>
      <c r="I23" s="19">
        <f>_xll.BDH("AMGN US Equity","PRETAX_INC","FQ4 2020","FQ4 2020","Currency=USD","Period=FQ","BEST_FPERIOD_OVERRIDE=FQ","FILING_STATUS=MR","SCALING_FORMAT=MLN","FA_ADJUSTED=Adjusted","Sort=A","Dates=H","DateFormat=P","Fill=—","Direction=H","UseDPDF=Y")</f>
        <v>1942</v>
      </c>
      <c r="J23" s="19">
        <f>_xll.BDH("AMGN US Equity","PRETAX_INC","FQ1 2021","FQ1 2021","Currency=USD","Period=FQ","BEST_FPERIOD_OVERRIDE=FQ","FILING_STATUS=MR","SCALING_FORMAT=MLN","FA_ADJUSTED=Adjusted","Sort=A","Dates=H","DateFormat=P","Fill=—","Direction=H","UseDPDF=Y")</f>
        <v>2447</v>
      </c>
      <c r="K23" s="19">
        <f>_xll.BDH("AMGN US Equity","PRETAX_INC","FQ2 2021","FQ2 2021","Currency=USD","Period=FQ","BEST_FPERIOD_OVERRIDE=FQ","FILING_STATUS=MR","SCALING_FORMAT=MLN","FA_ADJUSTED=Adjusted","Sort=A","Dates=H","DateFormat=P","Fill=—","Direction=H","UseDPDF=Y")</f>
        <v>2842</v>
      </c>
      <c r="L23" s="19">
        <f>_xll.BDH("AMGN US Equity","PRETAX_INC","FQ3 2021","FQ3 2021","Currency=USD","Period=FQ","BEST_FPERIOD_OVERRIDE=FQ","FILING_STATUS=MR","SCALING_FORMAT=MLN","FA_ADJUSTED=Adjusted","Sort=A","Dates=H","DateFormat=P","Fill=—","Direction=H","UseDPDF=Y")</f>
        <v>1991</v>
      </c>
      <c r="M23" s="19">
        <f>_xll.BDH("AMGN US Equity","PRETAX_INC","FQ4 2021","FQ4 2021","Currency=USD","Period=FQ","BEST_FPERIOD_OVERRIDE=FQ","FILING_STATUS=MR","SCALING_FORMAT=MLN","FA_ADJUSTED=Adjusted","Sort=A","Dates=H","DateFormat=P","Fill=—","Direction=H","UseDPDF=Y")</f>
        <v>2073</v>
      </c>
      <c r="N23" s="19">
        <f>_xll.BDH("AMGN US Equity","PRETAX_INC","FQ1 2022","FQ1 2022","Currency=USD","Period=FQ","BEST_FPERIOD_OVERRIDE=FQ","FILING_STATUS=MR","SCALING_FORMAT=MLN","FA_ADJUSTED=Adjusted","Sort=A","Dates=H","DateFormat=P","Fill=—","Direction=H","UseDPDF=Y")</f>
        <v>2680</v>
      </c>
      <c r="O23" s="19">
        <f>_xll.BDH("AMGN US Equity","PRETAX_INC","FQ2 2022","FQ2 2022","Currency=USD","Period=FQ","BEST_FPERIOD_OVERRIDE=FQ","FILING_STATUS=MR","SCALING_FORMAT=MLN","FA_ADJUSTED=Adjusted","Sort=A","Dates=H","DateFormat=P","Fill=—","Direction=H","UseDPDF=Y")</f>
        <v>2876</v>
      </c>
      <c r="P23" s="19">
        <f>_xll.BDH("AMGN US Equity","PRETAX_INC","FQ3 2022","FQ3 2022","Currency=USD","Period=FQ","BEST_FPERIOD_OVERRIDE=FQ","FILING_STATUS=MR","SCALING_FORMAT=MLN","FA_ADJUSTED=Adjusted","Sort=A","Dates=H","DateFormat=P","Fill=—","Direction=H","UseDPDF=Y")</f>
        <v>2247</v>
      </c>
      <c r="Q23" s="19">
        <f>_xll.BDH("AMGN US Equity","PRETAX_INC","FQ4 2022","FQ4 2022","Currency=USD","Period=FQ","BEST_FPERIOD_OVERRIDE=FQ","FILING_STATUS=MR","SCALING_FORMAT=MLN","FA_ADJUSTED=Adjusted","Sort=A","Dates=H","DateFormat=P","Fill=—","Direction=H","UseDPDF=Y")</f>
        <v>1675</v>
      </c>
      <c r="R23" s="19">
        <f>_xll.BDH("AMGN US Equity","PRETAX_INC","FQ1 2023","FQ1 2023","Currency=USD","Period=FQ","BEST_FPERIOD_OVERRIDE=FQ","FILING_STATUS=MR","SCALING_FORMAT=MLN","FA_ADJUSTED=Adjusted","Sort=A","Dates=H","DateFormat=P","Fill=—","Direction=H","UseDPDF=Y")</f>
        <v>2489</v>
      </c>
      <c r="S23" s="19">
        <f>_xll.BDH("AMGN US Equity","PRETAX_INC","FQ2 2023","FQ2 2023","Currency=USD","Period=FQ","BEST_FPERIOD_OVERRIDE=FQ","FILING_STATUS=MR","SCALING_FORMAT=MLN","FA_ADJUSTED=Adjusted","Sort=A","Dates=H","DateFormat=P","Fill=—","Direction=H","UseDPDF=Y")</f>
        <v>2374</v>
      </c>
      <c r="T23" s="19">
        <f>_xll.BDH("AMGN US Equity","PRETAX_INC","FQ3 2023","FQ3 2023","Currency=USD","Period=FQ","BEST_FPERIOD_OVERRIDE=FQ","FILING_STATUS=MR","SCALING_FORMAT=MLN","FA_ADJUSTED=Adjusted","Sort=A","Dates=H","DateFormat=P","Fill=—","Direction=H","UseDPDF=Y")</f>
        <v>2440</v>
      </c>
      <c r="U23" s="19">
        <f>_xll.BDH("AMGN US Equity","PRETAX_INC","FQ4 2023","FQ4 2023","Currency=USD","Period=FQ","BEST_FPERIOD_OVERRIDE=FQ","FILING_STATUS=MR","SCALING_FORMAT=MLN","FA_ADJUSTED=Adjusted","Sort=A","Dates=H","DateFormat=P","Fill=—","Direction=H","UseDPDF=Y")</f>
        <v>1162</v>
      </c>
      <c r="V23" s="19">
        <f>_xll.BDH("AMGN US Equity","PRETAX_INC","FQ1 2024","FQ1 2024","Currency=USD","Period=FQ","BEST_FPERIOD_OVERRIDE=FQ","FILING_STATUS=MR","SCALING_FORMAT=MLN","FA_ADJUSTED=Adjusted","Sort=A","Dates=H","DateFormat=P","Fill=—","Direction=H","UseDPDF=Y")</f>
        <v>547</v>
      </c>
      <c r="W23" s="19">
        <f>_xll.BDH("AMGN US Equity","PRETAX_INC","FQ2 2024","FQ2 2024","Currency=USD","Period=FQ","BEST_FPERIOD_OVERRIDE=FQ","FILING_STATUS=MR","SCALING_FORMAT=MLN","FA_ADJUSTED=Adjusted","Sort=A","Dates=H","DateFormat=P","Fill=—","Direction=H","UseDPDF=Y")</f>
        <v>1333</v>
      </c>
      <c r="X23" s="19">
        <f>_xll.BDH("AMGN US Equity","PRETAX_INC","FQ3 2024","FQ3 2024","Currency=USD","Period=FQ","BEST_FPERIOD_OVERRIDE=FQ","FILING_STATUS=MR","SCALING_FORMAT=MLN","FA_ADJUSTED=Adjusted","Sort=A","Dates=H","DateFormat=P","Fill=—","Direction=H","UseDPDF=Y")</f>
        <v>1634</v>
      </c>
      <c r="Y23" s="19">
        <f>_xll.BDH("AMGN US Equity","PRETAX_INC","FQ4 2024","FQ4 2024","Currency=USD","Period=FQ","BEST_FPERIOD_OVERRIDE=FQ","FILING_STATUS=MR","SCALING_FORMAT=MLN","FA_ADJUSTED=Adjusted","Sort=A","Dates=H","DateFormat=P","Fill=—","Direction=H","UseDPDF=Y")</f>
        <v>1803</v>
      </c>
      <c r="Z23" s="19">
        <v>2724.857</v>
      </c>
      <c r="AA23" s="19">
        <v>3384.0479999999998</v>
      </c>
    </row>
    <row r="24" spans="1:27" x14ac:dyDescent="0.25">
      <c r="A24" s="10" t="s">
        <v>338</v>
      </c>
      <c r="B24" s="10" t="s">
        <v>339</v>
      </c>
      <c r="C24" s="13">
        <f>_xll.BDH("AMGN US Equity","IS_ABNORMAL_ITEM","FQ2 2019","FQ2 2019","Currency=USD","Period=FQ","BEST_FPERIOD_OVERRIDE=FQ","FILING_STATUS=MR","SCALING_FORMAT=MLN","Sort=A","Dates=H","DateFormat=P","Fill=—","Direction=H","UseDPDF=Y")</f>
        <v>-3</v>
      </c>
      <c r="D24" s="13">
        <f>_xll.BDH("AMGN US Equity","IS_ABNORMAL_ITEM","FQ3 2019","FQ3 2019","Currency=USD","Period=FQ","BEST_FPERIOD_OVERRIDE=FQ","FILING_STATUS=MR","SCALING_FORMAT=MLN","Sort=A","Dates=H","DateFormat=P","Fill=—","Direction=H","UseDPDF=Y")</f>
        <v>0</v>
      </c>
      <c r="E24" s="13">
        <f>_xll.BDH("AMGN US Equity","IS_ABNORMAL_ITEM","FQ4 2019","FQ4 2019","Currency=USD","Period=FQ","BEST_FPERIOD_OVERRIDE=FQ","FILING_STATUS=MR","SCALING_FORMAT=MLN","Sort=A","Dates=H","DateFormat=P","Fill=—","Direction=H","UseDPDF=Y")</f>
        <v>73</v>
      </c>
      <c r="F24" s="13">
        <f>_xll.BDH("AMGN US Equity","IS_ABNORMAL_ITEM","FQ1 2020","FQ1 2020","Currency=USD","Period=FQ","BEST_FPERIOD_OVERRIDE=FQ","FILING_STATUS=MR","SCALING_FORMAT=MLN","Sort=A","Dates=H","DateFormat=P","Fill=—","Direction=H","UseDPDF=Y")</f>
        <v>25</v>
      </c>
      <c r="G24" s="13">
        <f>_xll.BDH("AMGN US Equity","IS_ABNORMAL_ITEM","FQ2 2020","FQ2 2020","Currency=USD","Period=FQ","BEST_FPERIOD_OVERRIDE=FQ","FILING_STATUS=MR","SCALING_FORMAT=MLN","Sort=A","Dates=H","DateFormat=P","Fill=—","Direction=H","UseDPDF=Y")</f>
        <v>100</v>
      </c>
      <c r="H24" s="13">
        <f>_xll.BDH("AMGN US Equity","IS_ABNORMAL_ITEM","FQ3 2020","FQ3 2020","Currency=USD","Period=FQ","BEST_FPERIOD_OVERRIDE=FQ","FILING_STATUS=MR","SCALING_FORMAT=MLN","Sort=A","Dates=H","DateFormat=P","Fill=—","Direction=H","UseDPDF=Y")</f>
        <v>729</v>
      </c>
      <c r="I24" s="13">
        <f>_xll.BDH("AMGN US Equity","IS_ABNORMAL_ITEM","FQ4 2020","FQ4 2020","Currency=USD","Period=FQ","BEST_FPERIOD_OVERRIDE=FQ","FILING_STATUS=MR","SCALING_FORMAT=MLN","Sort=A","Dates=H","DateFormat=P","Fill=—","Direction=H","UseDPDF=Y")</f>
        <v>65</v>
      </c>
      <c r="J24" s="13">
        <f>_xll.BDH("AMGN US Equity","IS_ABNORMAL_ITEM","FQ1 2021","FQ1 2021","Currency=USD","Period=FQ","BEST_FPERIOD_OVERRIDE=FQ","FILING_STATUS=MR","SCALING_FORMAT=MLN","Sort=A","Dates=H","DateFormat=P","Fill=—","Direction=H","UseDPDF=Y")</f>
        <v>590</v>
      </c>
      <c r="K24" s="13">
        <f>_xll.BDH("AMGN US Equity","IS_ABNORMAL_ITEM","FQ2 2021","FQ2 2021","Currency=USD","Period=FQ","BEST_FPERIOD_OVERRIDE=FQ","FILING_STATUS=MR","SCALING_FORMAT=MLN","Sort=A","Dates=H","DateFormat=P","Fill=—","Direction=H","UseDPDF=Y")</f>
        <v>2284</v>
      </c>
      <c r="L24" s="13">
        <f>_xll.BDH("AMGN US Equity","IS_ABNORMAL_ITEM","FQ3 2021","FQ3 2021","Currency=USD","Period=FQ","BEST_FPERIOD_OVERRIDE=FQ","FILING_STATUS=MR","SCALING_FORMAT=MLN","Sort=A","Dates=H","DateFormat=P","Fill=—","Direction=H","UseDPDF=Y")</f>
        <v>-164</v>
      </c>
      <c r="M24" s="13">
        <f>_xll.BDH("AMGN US Equity","IS_ABNORMAL_ITEM","FQ4 2021","FQ4 2021","Currency=USD","Period=FQ","BEST_FPERIOD_OVERRIDE=FQ","FILING_STATUS=MR","SCALING_FORMAT=MLN","Sort=A","Dates=H","DateFormat=P","Fill=—","Direction=H","UseDPDF=Y")</f>
        <v>-58</v>
      </c>
      <c r="N24" s="13">
        <f>_xll.BDH("AMGN US Equity","IS_ABNORMAL_ITEM","FQ1 2022","FQ1 2022","Currency=USD","Period=FQ","BEST_FPERIOD_OVERRIDE=FQ","FILING_STATUS=MR","SCALING_FORMAT=MLN","Sort=A","Dates=H","DateFormat=P","Fill=—","Direction=H","UseDPDF=Y")</f>
        <v>1005</v>
      </c>
      <c r="O24" s="13">
        <f>_xll.BDH("AMGN US Equity","IS_ABNORMAL_ITEM","FQ2 2022","FQ2 2022","Currency=USD","Period=FQ","BEST_FPERIOD_OVERRIDE=FQ","FILING_STATUS=MR","SCALING_FORMAT=MLN","Sort=A","Dates=H","DateFormat=P","Fill=—","Direction=H","UseDPDF=Y")</f>
        <v>1345</v>
      </c>
      <c r="P24" s="13">
        <f>_xll.BDH("AMGN US Equity","IS_ABNORMAL_ITEM","FQ3 2022","FQ3 2022","Currency=USD","Period=FQ","BEST_FPERIOD_OVERRIDE=FQ","FILING_STATUS=MR","SCALING_FORMAT=MLN","Sort=A","Dates=H","DateFormat=P","Fill=—","Direction=H","UseDPDF=Y")</f>
        <v>-145</v>
      </c>
      <c r="Q24" s="13">
        <f>_xll.BDH("AMGN US Equity","IS_ABNORMAL_ITEM","FQ4 2022","FQ4 2022","Currency=USD","Period=FQ","BEST_FPERIOD_OVERRIDE=FQ","FILING_STATUS=MR","SCALING_FORMAT=MLN","Sort=A","Dates=H","DateFormat=P","Fill=—","Direction=H","UseDPDF=Y")</f>
        <v>-73</v>
      </c>
      <c r="R24" s="13">
        <f>_xll.BDH("AMGN US Equity","IS_ABNORMAL_ITEM","FQ1 2023","FQ1 2023","Currency=USD","Period=FQ","BEST_FPERIOD_OVERRIDE=FQ","FILING_STATUS=MR","SCALING_FORMAT=MLN","Sort=A","Dates=H","DateFormat=P","Fill=—","Direction=H","UseDPDF=Y")</f>
        <v>-953</v>
      </c>
      <c r="S24" s="13">
        <f>_xll.BDH("AMGN US Equity","IS_ABNORMAL_ITEM","FQ2 2023","FQ2 2023","Currency=USD","Period=FQ","BEST_FPERIOD_OVERRIDE=FQ","FILING_STATUS=MR","SCALING_FORMAT=MLN","Sort=A","Dates=H","DateFormat=P","Fill=—","Direction=H","UseDPDF=Y")</f>
        <v>760</v>
      </c>
      <c r="T24" s="13">
        <f>_xll.BDH("AMGN US Equity","IS_ABNORMAL_ITEM","FQ3 2023","FQ3 2023","Currency=USD","Period=FQ","BEST_FPERIOD_OVERRIDE=FQ","FILING_STATUS=MR","SCALING_FORMAT=MLN","Sort=A","Dates=H","DateFormat=P","Fill=—","Direction=H","UseDPDF=Y")</f>
        <v>493</v>
      </c>
      <c r="U24" s="13">
        <f>_xll.BDH("AMGN US Equity","IS_ABNORMAL_ITEM","FQ4 2023","FQ4 2023","Currency=USD","Period=FQ","BEST_FPERIOD_OVERRIDE=FQ","FILING_STATUS=MR","SCALING_FORMAT=MLN","Sort=A","Dates=H","DateFormat=P","Fill=—","Direction=H","UseDPDF=Y")</f>
        <v>310</v>
      </c>
      <c r="V24" s="13">
        <f>_xll.BDH("AMGN US Equity","IS_ABNORMAL_ITEM","FQ1 2024","FQ1 2024","Currency=USD","Period=FQ","BEST_FPERIOD_OVERRIDE=FQ","FILING_STATUS=MR","SCALING_FORMAT=MLN","Sort=A","Dates=H","DateFormat=P","Fill=—","Direction=H","UseDPDF=Y")</f>
        <v>615</v>
      </c>
      <c r="W24" s="13">
        <f>_xll.BDH("AMGN US Equity","IS_ABNORMAL_ITEM","FQ2 2024","FQ2 2024","Currency=USD","Period=FQ","BEST_FPERIOD_OVERRIDE=FQ","FILING_STATUS=MR","SCALING_FORMAT=MLN","Sort=A","Dates=H","DateFormat=P","Fill=—","Direction=H","UseDPDF=Y")</f>
        <v>539</v>
      </c>
      <c r="X24" s="13">
        <f>_xll.BDH("AMGN US Equity","IS_ABNORMAL_ITEM","FQ3 2024","FQ3 2024","Currency=USD","Period=FQ","BEST_FPERIOD_OVERRIDE=FQ","FILING_STATUS=MR","SCALING_FORMAT=MLN","Sort=A","Dates=H","DateFormat=P","Fill=—","Direction=H","UseDPDF=Y")</f>
        <v>-1467</v>
      </c>
      <c r="Y24" s="13">
        <f>_xll.BDH("AMGN US Equity","IS_ABNORMAL_ITEM","FQ4 2024","FQ4 2024","Currency=USD","Period=FQ","BEST_FPERIOD_OVERRIDE=FQ","FILING_STATUS=MR","SCALING_FORMAT=MLN","Sort=A","Dates=H","DateFormat=P","Fill=—","Direction=H","UseDPDF=Y")</f>
        <v>1021</v>
      </c>
      <c r="Z24" s="13"/>
      <c r="AA24" s="13"/>
    </row>
    <row r="25" spans="1:27" x14ac:dyDescent="0.25">
      <c r="A25" s="10" t="s">
        <v>340</v>
      </c>
      <c r="B25" s="10" t="s">
        <v>341</v>
      </c>
      <c r="C25" s="13" t="str">
        <f>_xll.BDH("AMGN US Equity","IS_ACQUIRED_PROCESS_RD","FQ2 2019","FQ2 2019","Currency=USD","Period=FQ","BEST_FPERIOD_OVERRIDE=FQ","FILING_STATUS=MR","SCALING_FORMAT=MLN","Sort=A","Dates=H","DateFormat=P","Fill=—","Direction=H","UseDPDF=Y")</f>
        <v>—</v>
      </c>
      <c r="D25" s="13" t="str">
        <f>_xll.BDH("AMGN US Equity","IS_ACQUIRED_PROCESS_RD","FQ3 2019","FQ3 2019","Currency=USD","Period=FQ","BEST_FPERIOD_OVERRIDE=FQ","FILING_STATUS=MR","SCALING_FORMAT=MLN","Sort=A","Dates=H","DateFormat=P","Fill=—","Direction=H","UseDPDF=Y")</f>
        <v>—</v>
      </c>
      <c r="E25" s="13" t="str">
        <f>_xll.BDH("AMGN US Equity","IS_ACQUIRED_PROCESS_RD","FQ4 2019","FQ4 2019","Currency=USD","Period=FQ","BEST_FPERIOD_OVERRIDE=FQ","FILING_STATUS=MR","SCALING_FORMAT=MLN","Sort=A","Dates=H","DateFormat=P","Fill=—","Direction=H","UseDPDF=Y")</f>
        <v>—</v>
      </c>
      <c r="F25" s="13" t="str">
        <f>_xll.BDH("AMGN US Equity","IS_ACQUIRED_PROCESS_RD","FQ1 2020","FQ1 2020","Currency=USD","Period=FQ","BEST_FPERIOD_OVERRIDE=FQ","FILING_STATUS=MR","SCALING_FORMAT=MLN","Sort=A","Dates=H","DateFormat=P","Fill=—","Direction=H","UseDPDF=Y")</f>
        <v>—</v>
      </c>
      <c r="G25" s="13" t="str">
        <f>_xll.BDH("AMGN US Equity","IS_ACQUIRED_PROCESS_RD","FQ2 2020","FQ2 2020","Currency=USD","Period=FQ","BEST_FPERIOD_OVERRIDE=FQ","FILING_STATUS=MR","SCALING_FORMAT=MLN","Sort=A","Dates=H","DateFormat=P","Fill=—","Direction=H","UseDPDF=Y")</f>
        <v>—</v>
      </c>
      <c r="H25" s="13" t="str">
        <f>_xll.BDH("AMGN US Equity","IS_ACQUIRED_PROCESS_RD","FQ3 2020","FQ3 2020","Currency=USD","Period=FQ","BEST_FPERIOD_OVERRIDE=FQ","FILING_STATUS=MR","SCALING_FORMAT=MLN","Sort=A","Dates=H","DateFormat=P","Fill=—","Direction=H","UseDPDF=Y")</f>
        <v>—</v>
      </c>
      <c r="I25" s="13" t="str">
        <f>_xll.BDH("AMGN US Equity","IS_ACQUIRED_PROCESS_RD","FQ4 2020","FQ4 2020","Currency=USD","Period=FQ","BEST_FPERIOD_OVERRIDE=FQ","FILING_STATUS=MR","SCALING_FORMAT=MLN","Sort=A","Dates=H","DateFormat=P","Fill=—","Direction=H","UseDPDF=Y")</f>
        <v>—</v>
      </c>
      <c r="J25" s="13" t="str">
        <f>_xll.BDH("AMGN US Equity","IS_ACQUIRED_PROCESS_RD","FQ1 2021","FQ1 2021","Currency=USD","Period=FQ","BEST_FPERIOD_OVERRIDE=FQ","FILING_STATUS=MR","SCALING_FORMAT=MLN","Sort=A","Dates=H","DateFormat=P","Fill=—","Direction=H","UseDPDF=Y")</f>
        <v>—</v>
      </c>
      <c r="K25" s="13">
        <f>_xll.BDH("AMGN US Equity","IS_ACQUIRED_PROCESS_RD","FQ2 2021","FQ2 2021","Currency=USD","Period=FQ","BEST_FPERIOD_OVERRIDE=FQ","FILING_STATUS=MR","SCALING_FORMAT=MLN","Sort=A","Dates=H","DateFormat=P","Fill=—","Direction=H","UseDPDF=Y")</f>
        <v>1505</v>
      </c>
      <c r="L25" s="13" t="str">
        <f>_xll.BDH("AMGN US Equity","IS_ACQUIRED_PROCESS_RD","FQ3 2021","FQ3 2021","Currency=USD","Period=FQ","BEST_FPERIOD_OVERRIDE=FQ","FILING_STATUS=MR","SCALING_FORMAT=MLN","Sort=A","Dates=H","DateFormat=P","Fill=—","Direction=H","UseDPDF=Y")</f>
        <v>—</v>
      </c>
      <c r="M25" s="13" t="str">
        <f>_xll.BDH("AMGN US Equity","IS_ACQUIRED_PROCESS_RD","FQ4 2021","FQ4 2021","Currency=USD","Period=FQ","BEST_FPERIOD_OVERRIDE=FQ","FILING_STATUS=MR","SCALING_FORMAT=MLN","Sort=A","Dates=H","DateFormat=P","Fill=—","Direction=H","UseDPDF=Y")</f>
        <v>—</v>
      </c>
      <c r="N25" s="13" t="str">
        <f>_xll.BDH("AMGN US Equity","IS_ACQUIRED_PROCESS_RD","FQ1 2022","FQ1 2022","Currency=USD","Period=FQ","BEST_FPERIOD_OVERRIDE=FQ","FILING_STATUS=MR","SCALING_FORMAT=MLN","Sort=A","Dates=H","DateFormat=P","Fill=—","Direction=H","UseDPDF=Y")</f>
        <v>—</v>
      </c>
      <c r="O25" s="13" t="str">
        <f>_xll.BDH("AMGN US Equity","IS_ACQUIRED_PROCESS_RD","FQ2 2022","FQ2 2022","Currency=USD","Period=FQ","BEST_FPERIOD_OVERRIDE=FQ","FILING_STATUS=MR","SCALING_FORMAT=MLN","Sort=A","Dates=H","DateFormat=P","Fill=—","Direction=H","UseDPDF=Y")</f>
        <v>—</v>
      </c>
      <c r="P25" s="13" t="str">
        <f>_xll.BDH("AMGN US Equity","IS_ACQUIRED_PROCESS_RD","FQ3 2022","FQ3 2022","Currency=USD","Period=FQ","BEST_FPERIOD_OVERRIDE=FQ","FILING_STATUS=MR","SCALING_FORMAT=MLN","Sort=A","Dates=H","DateFormat=P","Fill=—","Direction=H","UseDPDF=Y")</f>
        <v>—</v>
      </c>
      <c r="Q25" s="13" t="str">
        <f>_xll.BDH("AMGN US Equity","IS_ACQUIRED_PROCESS_RD","FQ4 2022","FQ4 2022","Currency=USD","Period=FQ","BEST_FPERIOD_OVERRIDE=FQ","FILING_STATUS=MR","SCALING_FORMAT=MLN","Sort=A","Dates=H","DateFormat=P","Fill=—","Direction=H","UseDPDF=Y")</f>
        <v>—</v>
      </c>
      <c r="R25" s="13" t="str">
        <f>_xll.BDH("AMGN US Equity","IS_ACQUIRED_PROCESS_RD","FQ1 2023","FQ1 2023","Currency=USD","Period=FQ","BEST_FPERIOD_OVERRIDE=FQ","FILING_STATUS=MR","SCALING_FORMAT=MLN","Sort=A","Dates=H","DateFormat=P","Fill=—","Direction=H","UseDPDF=Y")</f>
        <v>—</v>
      </c>
      <c r="S25" s="13" t="str">
        <f>_xll.BDH("AMGN US Equity","IS_ACQUIRED_PROCESS_RD","FQ2 2023","FQ2 2023","Currency=USD","Period=FQ","BEST_FPERIOD_OVERRIDE=FQ","FILING_STATUS=MR","SCALING_FORMAT=MLN","Sort=A","Dates=H","DateFormat=P","Fill=—","Direction=H","UseDPDF=Y")</f>
        <v>—</v>
      </c>
      <c r="T25" s="13" t="str">
        <f>_xll.BDH("AMGN US Equity","IS_ACQUIRED_PROCESS_RD","FQ3 2023","FQ3 2023","Currency=USD","Period=FQ","BEST_FPERIOD_OVERRIDE=FQ","FILING_STATUS=MR","SCALING_FORMAT=MLN","Sort=A","Dates=H","DateFormat=P","Fill=—","Direction=H","UseDPDF=Y")</f>
        <v>—</v>
      </c>
      <c r="U25" s="13" t="str">
        <f>_xll.BDH("AMGN US Equity","IS_ACQUIRED_PROCESS_RD","FQ4 2023","FQ4 2023","Currency=USD","Period=FQ","BEST_FPERIOD_OVERRIDE=FQ","FILING_STATUS=MR","SCALING_FORMAT=MLN","Sort=A","Dates=H","DateFormat=P","Fill=—","Direction=H","UseDPDF=Y")</f>
        <v>—</v>
      </c>
      <c r="V25" s="13" t="str">
        <f>_xll.BDH("AMGN US Equity","IS_ACQUIRED_PROCESS_RD","FQ1 2024","FQ1 2024","Currency=USD","Period=FQ","BEST_FPERIOD_OVERRIDE=FQ","FILING_STATUS=MR","SCALING_FORMAT=MLN","Sort=A","Dates=H","DateFormat=P","Fill=—","Direction=H","UseDPDF=Y")</f>
        <v>—</v>
      </c>
      <c r="W25" s="13" t="str">
        <f>_xll.BDH("AMGN US Equity","IS_ACQUIRED_PROCESS_RD","FQ2 2024","FQ2 2024","Currency=USD","Period=FQ","BEST_FPERIOD_OVERRIDE=FQ","FILING_STATUS=MR","SCALING_FORMAT=MLN","Sort=A","Dates=H","DateFormat=P","Fill=—","Direction=H","UseDPDF=Y")</f>
        <v>—</v>
      </c>
      <c r="X25" s="13" t="str">
        <f>_xll.BDH("AMGN US Equity","IS_ACQUIRED_PROCESS_RD","FQ3 2024","FQ3 2024","Currency=USD","Period=FQ","BEST_FPERIOD_OVERRIDE=FQ","FILING_STATUS=MR","SCALING_FORMAT=MLN","Sort=A","Dates=H","DateFormat=P","Fill=—","Direction=H","UseDPDF=Y")</f>
        <v>—</v>
      </c>
      <c r="Y25" s="13" t="str">
        <f>_xll.BDH("AMGN US Equity","IS_ACQUIRED_PROCESS_RD","FQ4 2024","FQ4 2024","Currency=USD","Period=FQ","BEST_FPERIOD_OVERRIDE=FQ","FILING_STATUS=MR","SCALING_FORMAT=MLN","Sort=A","Dates=H","DateFormat=P","Fill=—","Direction=H","UseDPDF=Y")</f>
        <v>—</v>
      </c>
      <c r="Z25" s="13"/>
      <c r="AA25" s="13"/>
    </row>
    <row r="26" spans="1:27" x14ac:dyDescent="0.25">
      <c r="A26" s="10" t="s">
        <v>342</v>
      </c>
      <c r="B26" s="10" t="s">
        <v>343</v>
      </c>
      <c r="C26" s="13">
        <f>_xll.BDH("AMGN US Equity","IS_MERGER_ACQUISITION_EXPENSE","FQ2 2019","FQ2 2019","Currency=USD","Period=FQ","BEST_FPERIOD_OVERRIDE=FQ","FILING_STATUS=MR","SCALING_FORMAT=MLN","Sort=A","Dates=H","DateFormat=P","Fill=—","Direction=H","UseDPDF=Y")</f>
        <v>-2</v>
      </c>
      <c r="D26" s="13">
        <f>_xll.BDH("AMGN US Equity","IS_MERGER_ACQUISITION_EXPENSE","FQ3 2019","FQ3 2019","Currency=USD","Period=FQ","BEST_FPERIOD_OVERRIDE=FQ","FILING_STATUS=MR","SCALING_FORMAT=MLN","Sort=A","Dates=H","DateFormat=P","Fill=—","Direction=H","UseDPDF=Y")</f>
        <v>1</v>
      </c>
      <c r="E26" s="13">
        <f>_xll.BDH("AMGN US Equity","IS_MERGER_ACQUISITION_EXPENSE","FQ4 2019","FQ4 2019","Currency=USD","Period=FQ","BEST_FPERIOD_OVERRIDE=FQ","FILING_STATUS=MR","SCALING_FORMAT=MLN","Sort=A","Dates=H","DateFormat=P","Fill=—","Direction=H","UseDPDF=Y")</f>
        <v>25</v>
      </c>
      <c r="F26" s="13">
        <f>_xll.BDH("AMGN US Equity","IS_MERGER_ACQUISITION_EXPENSE","FQ1 2020","FQ1 2020","Currency=USD","Period=FQ","BEST_FPERIOD_OVERRIDE=FQ","FILING_STATUS=MR","SCALING_FORMAT=MLN","Sort=A","Dates=H","DateFormat=P","Fill=—","Direction=H","UseDPDF=Y")</f>
        <v>27</v>
      </c>
      <c r="G26" s="13" t="str">
        <f>_xll.BDH("AMGN US Equity","IS_MERGER_ACQUISITION_EXPENSE","FQ2 2020","FQ2 2020","Currency=USD","Period=FQ","BEST_FPERIOD_OVERRIDE=FQ","FILING_STATUS=MR","SCALING_FORMAT=MLN","Sort=A","Dates=H","DateFormat=P","Fill=—","Direction=H","UseDPDF=Y")</f>
        <v>—</v>
      </c>
      <c r="H26" s="13">
        <f>_xll.BDH("AMGN US Equity","IS_MERGER_ACQUISITION_EXPENSE","FQ3 2020","FQ3 2020","Currency=USD","Period=FQ","BEST_FPERIOD_OVERRIDE=FQ","FILING_STATUS=MR","SCALING_FORMAT=MLN","Sort=A","Dates=H","DateFormat=P","Fill=—","Direction=H","UseDPDF=Y")</f>
        <v>727</v>
      </c>
      <c r="I26" s="13" t="str">
        <f>_xll.BDH("AMGN US Equity","IS_MERGER_ACQUISITION_EXPENSE","FQ4 2020","FQ4 2020","Currency=USD","Period=FQ","BEST_FPERIOD_OVERRIDE=FQ","FILING_STATUS=MR","SCALING_FORMAT=MLN","Sort=A","Dates=H","DateFormat=P","Fill=—","Direction=H","UseDPDF=Y")</f>
        <v>—</v>
      </c>
      <c r="J26" s="13">
        <f>_xll.BDH("AMGN US Equity","IS_MERGER_ACQUISITION_EXPENSE","FQ1 2021","FQ1 2021","Currency=USD","Period=FQ","BEST_FPERIOD_OVERRIDE=FQ","FILING_STATUS=MR","SCALING_FORMAT=MLN","Sort=A","Dates=H","DateFormat=P","Fill=—","Direction=H","UseDPDF=Y")</f>
        <v>658</v>
      </c>
      <c r="K26" s="13">
        <f>_xll.BDH("AMGN US Equity","IS_MERGER_ACQUISITION_EXPENSE","FQ2 2021","FQ2 2021","Currency=USD","Period=FQ","BEST_FPERIOD_OVERRIDE=FQ","FILING_STATUS=MR","SCALING_FORMAT=MLN","Sort=A","Dates=H","DateFormat=P","Fill=—","Direction=H","UseDPDF=Y")</f>
        <v>697</v>
      </c>
      <c r="L26" s="13" t="str">
        <f>_xll.BDH("AMGN US Equity","IS_MERGER_ACQUISITION_EXPENSE","FQ3 2021","FQ3 2021","Currency=USD","Period=FQ","BEST_FPERIOD_OVERRIDE=FQ","FILING_STATUS=MR","SCALING_FORMAT=MLN","Sort=A","Dates=H","DateFormat=P","Fill=—","Direction=H","UseDPDF=Y")</f>
        <v>—</v>
      </c>
      <c r="M26" s="13" t="str">
        <f>_xll.BDH("AMGN US Equity","IS_MERGER_ACQUISITION_EXPENSE","FQ4 2021","FQ4 2021","Currency=USD","Period=FQ","BEST_FPERIOD_OVERRIDE=FQ","FILING_STATUS=MR","SCALING_FORMAT=MLN","Sort=A","Dates=H","DateFormat=P","Fill=—","Direction=H","UseDPDF=Y")</f>
        <v>—</v>
      </c>
      <c r="N26" s="13">
        <f>_xll.BDH("AMGN US Equity","IS_MERGER_ACQUISITION_EXPENSE","FQ1 2022","FQ1 2022","Currency=USD","Period=FQ","BEST_FPERIOD_OVERRIDE=FQ","FILING_STATUS=MR","SCALING_FORMAT=MLN","Sort=A","Dates=H","DateFormat=P","Fill=—","Direction=H","UseDPDF=Y")</f>
        <v>650</v>
      </c>
      <c r="O26" s="13">
        <f>_xll.BDH("AMGN US Equity","IS_MERGER_ACQUISITION_EXPENSE","FQ2 2022","FQ2 2022","Currency=USD","Period=FQ","BEST_FPERIOD_OVERRIDE=FQ","FILING_STATUS=MR","SCALING_FORMAT=MLN","Sort=A","Dates=H","DateFormat=P","Fill=—","Direction=H","UseDPDF=Y")</f>
        <v>1160</v>
      </c>
      <c r="P26" s="13" t="str">
        <f>_xll.BDH("AMGN US Equity","IS_MERGER_ACQUISITION_EXPENSE","FQ3 2022","FQ3 2022","Currency=USD","Period=FQ","BEST_FPERIOD_OVERRIDE=FQ","FILING_STATUS=MR","SCALING_FORMAT=MLN","Sort=A","Dates=H","DateFormat=P","Fill=—","Direction=H","UseDPDF=Y")</f>
        <v>—</v>
      </c>
      <c r="Q26" s="13">
        <f>_xll.BDH("AMGN US Equity","IS_MERGER_ACQUISITION_EXPENSE","FQ4 2022","FQ4 2022","Currency=USD","Period=FQ","BEST_FPERIOD_OVERRIDE=FQ","FILING_STATUS=MR","SCALING_FORMAT=MLN","Sort=A","Dates=H","DateFormat=P","Fill=—","Direction=H","UseDPDF=Y")</f>
        <v>-33</v>
      </c>
      <c r="R26" s="13">
        <f>_xll.BDH("AMGN US Equity","IS_MERGER_ACQUISITION_EXPENSE","FQ1 2023","FQ1 2023","Currency=USD","Period=FQ","BEST_FPERIOD_OVERRIDE=FQ","FILING_STATUS=MR","SCALING_FORMAT=MLN","Sort=A","Dates=H","DateFormat=P","Fill=—","Direction=H","UseDPDF=Y")</f>
        <v>752</v>
      </c>
      <c r="S26" s="13" t="str">
        <f>_xll.BDH("AMGN US Equity","IS_MERGER_ACQUISITION_EXPENSE","FQ2 2023","FQ2 2023","Currency=USD","Period=FQ","BEST_FPERIOD_OVERRIDE=FQ","FILING_STATUS=MR","SCALING_FORMAT=MLN","Sort=A","Dates=H","DateFormat=P","Fill=—","Direction=H","UseDPDF=Y")</f>
        <v>—</v>
      </c>
      <c r="T26" s="13">
        <f>_xll.BDH("AMGN US Equity","IS_MERGER_ACQUISITION_EXPENSE","FQ3 2023","FQ3 2023","Currency=USD","Period=FQ","BEST_FPERIOD_OVERRIDE=FQ","FILING_STATUS=MR","SCALING_FORMAT=MLN","Sort=A","Dates=H","DateFormat=P","Fill=—","Direction=H","UseDPDF=Y")</f>
        <v>19</v>
      </c>
      <c r="U26" s="13">
        <f>_xll.BDH("AMGN US Equity","IS_MERGER_ACQUISITION_EXPENSE","FQ4 2023","FQ4 2023","Currency=USD","Period=FQ","BEST_FPERIOD_OVERRIDE=FQ","FILING_STATUS=MR","SCALING_FORMAT=MLN","Sort=A","Dates=H","DateFormat=P","Fill=—","Direction=H","UseDPDF=Y")</f>
        <v>510</v>
      </c>
      <c r="V26" s="13" t="str">
        <f>_xll.BDH("AMGN US Equity","IS_MERGER_ACQUISITION_EXPENSE","FQ1 2024","FQ1 2024","Currency=USD","Period=FQ","BEST_FPERIOD_OVERRIDE=FQ","FILING_STATUS=MR","SCALING_FORMAT=MLN","Sort=A","Dates=H","DateFormat=P","Fill=—","Direction=H","UseDPDF=Y")</f>
        <v>—</v>
      </c>
      <c r="W26" s="13">
        <f>_xll.BDH("AMGN US Equity","IS_MERGER_ACQUISITION_EXPENSE","FQ2 2024","FQ2 2024","Currency=USD","Period=FQ","BEST_FPERIOD_OVERRIDE=FQ","FILING_STATUS=MR","SCALING_FORMAT=MLN","Sort=A","Dates=H","DateFormat=P","Fill=—","Direction=H","UseDPDF=Y")</f>
        <v>137</v>
      </c>
      <c r="X26" s="13">
        <f>_xll.BDH("AMGN US Equity","IS_MERGER_ACQUISITION_EXPENSE","FQ3 2024","FQ3 2024","Currency=USD","Period=FQ","BEST_FPERIOD_OVERRIDE=FQ","FILING_STATUS=MR","SCALING_FORMAT=MLN","Sort=A","Dates=H","DateFormat=P","Fill=—","Direction=H","UseDPDF=Y")</f>
        <v>141</v>
      </c>
      <c r="Y26" s="13">
        <f>_xll.BDH("AMGN US Equity","IS_MERGER_ACQUISITION_EXPENSE","FQ4 2024","FQ4 2024","Currency=USD","Period=FQ","BEST_FPERIOD_OVERRIDE=FQ","FILING_STATUS=MR","SCALING_FORMAT=MLN","Sort=A","Dates=H","DateFormat=P","Fill=—","Direction=H","UseDPDF=Y")</f>
        <v>85</v>
      </c>
      <c r="Z26" s="13"/>
      <c r="AA26" s="13"/>
    </row>
    <row r="27" spans="1:27" x14ac:dyDescent="0.25">
      <c r="A27" s="10" t="s">
        <v>344</v>
      </c>
      <c r="B27" s="10" t="s">
        <v>345</v>
      </c>
      <c r="C27" s="13" t="str">
        <f>_xll.BDH("AMGN US Equity","IS_IMPAIRMENT_ASSETS","FQ2 2019","FQ2 2019","Currency=USD","Period=FQ","BEST_FPERIOD_OVERRIDE=FQ","FILING_STATUS=MR","SCALING_FORMAT=MLN","Sort=A","Dates=H","DateFormat=P","Fill=—","Direction=H","UseDPDF=Y")</f>
        <v>—</v>
      </c>
      <c r="D27" s="13" t="str">
        <f>_xll.BDH("AMGN US Equity","IS_IMPAIRMENT_ASSETS","FQ3 2019","FQ3 2019","Currency=USD","Period=FQ","BEST_FPERIOD_OVERRIDE=FQ","FILING_STATUS=MR","SCALING_FORMAT=MLN","Sort=A","Dates=H","DateFormat=P","Fill=—","Direction=H","UseDPDF=Y")</f>
        <v>—</v>
      </c>
      <c r="E27" s="13" t="str">
        <f>_xll.BDH("AMGN US Equity","IS_IMPAIRMENT_ASSETS","FQ4 2019","FQ4 2019","Currency=USD","Period=FQ","BEST_FPERIOD_OVERRIDE=FQ","FILING_STATUS=MR","SCALING_FORMAT=MLN","Sort=A","Dates=H","DateFormat=P","Fill=—","Direction=H","UseDPDF=Y")</f>
        <v>—</v>
      </c>
      <c r="F27" s="13" t="str">
        <f>_xll.BDH("AMGN US Equity","IS_IMPAIRMENT_ASSETS","FQ1 2020","FQ1 2020","Currency=USD","Period=FQ","BEST_FPERIOD_OVERRIDE=FQ","FILING_STATUS=MR","SCALING_FORMAT=MLN","Sort=A","Dates=H","DateFormat=P","Fill=—","Direction=H","UseDPDF=Y")</f>
        <v>—</v>
      </c>
      <c r="G27" s="13" t="str">
        <f>_xll.BDH("AMGN US Equity","IS_IMPAIRMENT_ASSETS","FQ2 2020","FQ2 2020","Currency=USD","Period=FQ","BEST_FPERIOD_OVERRIDE=FQ","FILING_STATUS=MR","SCALING_FORMAT=MLN","Sort=A","Dates=H","DateFormat=P","Fill=—","Direction=H","UseDPDF=Y")</f>
        <v>—</v>
      </c>
      <c r="H27" s="13" t="str">
        <f>_xll.BDH("AMGN US Equity","IS_IMPAIRMENT_ASSETS","FQ3 2020","FQ3 2020","Currency=USD","Period=FQ","BEST_FPERIOD_OVERRIDE=FQ","FILING_STATUS=MR","SCALING_FORMAT=MLN","Sort=A","Dates=H","DateFormat=P","Fill=—","Direction=H","UseDPDF=Y")</f>
        <v>—</v>
      </c>
      <c r="I27" s="13" t="str">
        <f>_xll.BDH("AMGN US Equity","IS_IMPAIRMENT_ASSETS","FQ4 2020","FQ4 2020","Currency=USD","Period=FQ","BEST_FPERIOD_OVERRIDE=FQ","FILING_STATUS=MR","SCALING_FORMAT=MLN","Sort=A","Dates=H","DateFormat=P","Fill=—","Direction=H","UseDPDF=Y")</f>
        <v>—</v>
      </c>
      <c r="J27" s="13">
        <f>_xll.BDH("AMGN US Equity","IS_IMPAIRMENT_ASSETS","FQ1 2021","FQ1 2021","Currency=USD","Period=FQ","BEST_FPERIOD_OVERRIDE=FQ","FILING_STATUS=MR","SCALING_FORMAT=MLN","Sort=A","Dates=H","DateFormat=P","Fill=—","Direction=H","UseDPDF=Y")</f>
        <v>9</v>
      </c>
      <c r="K27" s="13" t="str">
        <f>_xll.BDH("AMGN US Equity","IS_IMPAIRMENT_ASSETS","FQ2 2021","FQ2 2021","Currency=USD","Period=FQ","BEST_FPERIOD_OVERRIDE=FQ","FILING_STATUS=MR","SCALING_FORMAT=MLN","Sort=A","Dates=H","DateFormat=P","Fill=—","Direction=H","UseDPDF=Y")</f>
        <v>—</v>
      </c>
      <c r="L27" s="13" t="str">
        <f>_xll.BDH("AMGN US Equity","IS_IMPAIRMENT_ASSETS","FQ3 2021","FQ3 2021","Currency=USD","Period=FQ","BEST_FPERIOD_OVERRIDE=FQ","FILING_STATUS=MR","SCALING_FORMAT=MLN","Sort=A","Dates=H","DateFormat=P","Fill=—","Direction=H","UseDPDF=Y")</f>
        <v>—</v>
      </c>
      <c r="M27" s="13" t="str">
        <f>_xll.BDH("AMGN US Equity","IS_IMPAIRMENT_ASSETS","FQ4 2021","FQ4 2021","Currency=USD","Period=FQ","BEST_FPERIOD_OVERRIDE=FQ","FILING_STATUS=MR","SCALING_FORMAT=MLN","Sort=A","Dates=H","DateFormat=P","Fill=—","Direction=H","UseDPDF=Y")</f>
        <v>—</v>
      </c>
      <c r="N27" s="13">
        <f>_xll.BDH("AMGN US Equity","IS_IMPAIRMENT_ASSETS","FQ1 2022","FQ1 2022","Currency=USD","Period=FQ","BEST_FPERIOD_OVERRIDE=FQ","FILING_STATUS=MR","SCALING_FORMAT=MLN","Sort=A","Dates=H","DateFormat=P","Fill=—","Direction=H","UseDPDF=Y")</f>
        <v>-12</v>
      </c>
      <c r="O27" s="13" t="str">
        <f>_xll.BDH("AMGN US Equity","IS_IMPAIRMENT_ASSETS","FQ2 2022","FQ2 2022","Currency=USD","Period=FQ","BEST_FPERIOD_OVERRIDE=FQ","FILING_STATUS=MR","SCALING_FORMAT=MLN","Sort=A","Dates=H","DateFormat=P","Fill=—","Direction=H","UseDPDF=Y")</f>
        <v>—</v>
      </c>
      <c r="P27" s="13" t="str">
        <f>_xll.BDH("AMGN US Equity","IS_IMPAIRMENT_ASSETS","FQ3 2022","FQ3 2022","Currency=USD","Period=FQ","BEST_FPERIOD_OVERRIDE=FQ","FILING_STATUS=MR","SCALING_FORMAT=MLN","Sort=A","Dates=H","DateFormat=P","Fill=—","Direction=H","UseDPDF=Y")</f>
        <v>—</v>
      </c>
      <c r="Q27" s="13" t="str">
        <f>_xll.BDH("AMGN US Equity","IS_IMPAIRMENT_ASSETS","FQ4 2022","FQ4 2022","Currency=USD","Period=FQ","BEST_FPERIOD_OVERRIDE=FQ","FILING_STATUS=MR","SCALING_FORMAT=MLN","Sort=A","Dates=H","DateFormat=P","Fill=—","Direction=H","UseDPDF=Y")</f>
        <v>—</v>
      </c>
      <c r="R27" s="13">
        <f>_xll.BDH("AMGN US Equity","IS_IMPAIRMENT_ASSETS","FQ1 2023","FQ1 2023","Currency=USD","Period=FQ","BEST_FPERIOD_OVERRIDE=FQ","FILING_STATUS=MR","SCALING_FORMAT=MLN","Sort=A","Dates=H","DateFormat=P","Fill=—","Direction=H","UseDPDF=Y")</f>
        <v>7</v>
      </c>
      <c r="S27" s="13" t="str">
        <f>_xll.BDH("AMGN US Equity","IS_IMPAIRMENT_ASSETS","FQ2 2023","FQ2 2023","Currency=USD","Period=FQ","BEST_FPERIOD_OVERRIDE=FQ","FILING_STATUS=MR","SCALING_FORMAT=MLN","Sort=A","Dates=H","DateFormat=P","Fill=—","Direction=H","UseDPDF=Y")</f>
        <v>—</v>
      </c>
      <c r="T27" s="13" t="str">
        <f>_xll.BDH("AMGN US Equity","IS_IMPAIRMENT_ASSETS","FQ3 2023","FQ3 2023","Currency=USD","Period=FQ","BEST_FPERIOD_OVERRIDE=FQ","FILING_STATUS=MR","SCALING_FORMAT=MLN","Sort=A","Dates=H","DateFormat=P","Fill=—","Direction=H","UseDPDF=Y")</f>
        <v>—</v>
      </c>
      <c r="U27" s="13">
        <f>_xll.BDH("AMGN US Equity","IS_IMPAIRMENT_ASSETS","FQ4 2023","FQ4 2023","Currency=USD","Period=FQ","BEST_FPERIOD_OVERRIDE=FQ","FILING_STATUS=MR","SCALING_FORMAT=MLN","Sort=A","Dates=H","DateFormat=P","Fill=—","Direction=H","UseDPDF=Y")</f>
        <v>3</v>
      </c>
      <c r="V27" s="13">
        <f>_xll.BDH("AMGN US Equity","IS_IMPAIRMENT_ASSETS","FQ1 2024","FQ1 2024","Currency=USD","Period=FQ","BEST_FPERIOD_OVERRIDE=FQ","FILING_STATUS=MR","SCALING_FORMAT=MLN","Sort=A","Dates=H","DateFormat=P","Fill=—","Direction=H","UseDPDF=Y")</f>
        <v>106</v>
      </c>
      <c r="W27" s="13" t="str">
        <f>_xll.BDH("AMGN US Equity","IS_IMPAIRMENT_ASSETS","FQ2 2024","FQ2 2024","Currency=USD","Period=FQ","BEST_FPERIOD_OVERRIDE=FQ","FILING_STATUS=MR","SCALING_FORMAT=MLN","Sort=A","Dates=H","DateFormat=P","Fill=—","Direction=H","UseDPDF=Y")</f>
        <v>—</v>
      </c>
      <c r="X27" s="13" t="str">
        <f>_xll.BDH("AMGN US Equity","IS_IMPAIRMENT_ASSETS","FQ3 2024","FQ3 2024","Currency=USD","Period=FQ","BEST_FPERIOD_OVERRIDE=FQ","FILING_STATUS=MR","SCALING_FORMAT=MLN","Sort=A","Dates=H","DateFormat=P","Fill=—","Direction=H","UseDPDF=Y")</f>
        <v>—</v>
      </c>
      <c r="Y27" s="13">
        <f>_xll.BDH("AMGN US Equity","IS_IMPAIRMENT_ASSETS","FQ4 2024","FQ4 2024","Currency=USD","Period=FQ","BEST_FPERIOD_OVERRIDE=FQ","FILING_STATUS=MR","SCALING_FORMAT=MLN","Sort=A","Dates=H","DateFormat=P","Fill=—","Direction=H","UseDPDF=Y")</f>
        <v>21</v>
      </c>
      <c r="Z27" s="13"/>
      <c r="AA27" s="13"/>
    </row>
    <row r="28" spans="1:27" x14ac:dyDescent="0.25">
      <c r="A28" s="10" t="s">
        <v>346</v>
      </c>
      <c r="B28" s="10" t="s">
        <v>347</v>
      </c>
      <c r="C28" s="13" t="str">
        <f>_xll.BDH("AMGN US Equity","IS_LEGAL_LITIGATION_SETTLEMENT","FQ2 2019","FQ2 2019","Currency=USD","Period=FQ","BEST_FPERIOD_OVERRIDE=FQ","FILING_STATUS=MR","SCALING_FORMAT=MLN","Sort=A","Dates=H","DateFormat=P","Fill=—","Direction=H","UseDPDF=Y")</f>
        <v>—</v>
      </c>
      <c r="D28" s="13">
        <f>_xll.BDH("AMGN US Equity","IS_LEGAL_LITIGATION_SETTLEMENT","FQ3 2019","FQ3 2019","Currency=USD","Period=FQ","BEST_FPERIOD_OVERRIDE=FQ","FILING_STATUS=MR","SCALING_FORMAT=MLN","Sort=A","Dates=H","DateFormat=P","Fill=—","Direction=H","UseDPDF=Y")</f>
        <v>1</v>
      </c>
      <c r="E28" s="13" t="str">
        <f>_xll.BDH("AMGN US Equity","IS_LEGAL_LITIGATION_SETTLEMENT","FQ4 2019","FQ4 2019","Currency=USD","Period=FQ","BEST_FPERIOD_OVERRIDE=FQ","FILING_STATUS=MR","SCALING_FORMAT=MLN","Sort=A","Dates=H","DateFormat=P","Fill=—","Direction=H","UseDPDF=Y")</f>
        <v>—</v>
      </c>
      <c r="F28" s="13" t="str">
        <f>_xll.BDH("AMGN US Equity","IS_LEGAL_LITIGATION_SETTLEMENT","FQ1 2020","FQ1 2020","Currency=USD","Period=FQ","BEST_FPERIOD_OVERRIDE=FQ","FILING_STATUS=MR","SCALING_FORMAT=MLN","Sort=A","Dates=H","DateFormat=P","Fill=—","Direction=H","UseDPDF=Y")</f>
        <v>—</v>
      </c>
      <c r="G28" s="13">
        <f>_xll.BDH("AMGN US Equity","IS_LEGAL_LITIGATION_SETTLEMENT","FQ2 2020","FQ2 2020","Currency=USD","Period=FQ","BEST_FPERIOD_OVERRIDE=FQ","FILING_STATUS=MR","SCALING_FORMAT=MLN","Sort=A","Dates=H","DateFormat=P","Fill=—","Direction=H","UseDPDF=Y")</f>
        <v>102</v>
      </c>
      <c r="H28" s="13" t="str">
        <f>_xll.BDH("AMGN US Equity","IS_LEGAL_LITIGATION_SETTLEMENT","FQ3 2020","FQ3 2020","Currency=USD","Period=FQ","BEST_FPERIOD_OVERRIDE=FQ","FILING_STATUS=MR","SCALING_FORMAT=MLN","Sort=A","Dates=H","DateFormat=P","Fill=—","Direction=H","UseDPDF=Y")</f>
        <v>—</v>
      </c>
      <c r="I28" s="13">
        <f>_xll.BDH("AMGN US Equity","IS_LEGAL_LITIGATION_SETTLEMENT","FQ4 2020","FQ4 2020","Currency=USD","Period=FQ","BEST_FPERIOD_OVERRIDE=FQ","FILING_STATUS=MR","SCALING_FORMAT=MLN","Sort=A","Dates=H","DateFormat=P","Fill=—","Direction=H","UseDPDF=Y")</f>
        <v>65</v>
      </c>
      <c r="J28" s="13" t="str">
        <f>_xll.BDH("AMGN US Equity","IS_LEGAL_LITIGATION_SETTLEMENT","FQ1 2021","FQ1 2021","Currency=USD","Period=FQ","BEST_FPERIOD_OVERRIDE=FQ","FILING_STATUS=MR","SCALING_FORMAT=MLN","Sort=A","Dates=H","DateFormat=P","Fill=—","Direction=H","UseDPDF=Y")</f>
        <v>—</v>
      </c>
      <c r="K28" s="13" t="str">
        <f>_xll.BDH("AMGN US Equity","IS_LEGAL_LITIGATION_SETTLEMENT","FQ2 2021","FQ2 2021","Currency=USD","Period=FQ","BEST_FPERIOD_OVERRIDE=FQ","FILING_STATUS=MR","SCALING_FORMAT=MLN","Sort=A","Dates=H","DateFormat=P","Fill=—","Direction=H","UseDPDF=Y")</f>
        <v>—</v>
      </c>
      <c r="L28" s="13" t="str">
        <f>_xll.BDH("AMGN US Equity","IS_LEGAL_LITIGATION_SETTLEMENT","FQ3 2021","FQ3 2021","Currency=USD","Period=FQ","BEST_FPERIOD_OVERRIDE=FQ","FILING_STATUS=MR","SCALING_FORMAT=MLN","Sort=A","Dates=H","DateFormat=P","Fill=—","Direction=H","UseDPDF=Y")</f>
        <v>—</v>
      </c>
      <c r="M28" s="13">
        <f>_xll.BDH("AMGN US Equity","IS_LEGAL_LITIGATION_SETTLEMENT","FQ4 2021","FQ4 2021","Currency=USD","Period=FQ","BEST_FPERIOD_OVERRIDE=FQ","FILING_STATUS=MR","SCALING_FORMAT=MLN","Sort=A","Dates=H","DateFormat=P","Fill=—","Direction=H","UseDPDF=Y")</f>
        <v>50</v>
      </c>
      <c r="N28" s="13" t="str">
        <f>_xll.BDH("AMGN US Equity","IS_LEGAL_LITIGATION_SETTLEMENT","FQ1 2022","FQ1 2022","Currency=USD","Period=FQ","BEST_FPERIOD_OVERRIDE=FQ","FILING_STATUS=MR","SCALING_FORMAT=MLN","Sort=A","Dates=H","DateFormat=P","Fill=—","Direction=H","UseDPDF=Y")</f>
        <v>—</v>
      </c>
      <c r="O28" s="13" t="str">
        <f>_xll.BDH("AMGN US Equity","IS_LEGAL_LITIGATION_SETTLEMENT","FQ2 2022","FQ2 2022","Currency=USD","Period=FQ","BEST_FPERIOD_OVERRIDE=FQ","FILING_STATUS=MR","SCALING_FORMAT=MLN","Sort=A","Dates=H","DateFormat=P","Fill=—","Direction=H","UseDPDF=Y")</f>
        <v>—</v>
      </c>
      <c r="P28" s="13" t="str">
        <f>_xll.BDH("AMGN US Equity","IS_LEGAL_LITIGATION_SETTLEMENT","FQ3 2022","FQ3 2022","Currency=USD","Period=FQ","BEST_FPERIOD_OVERRIDE=FQ","FILING_STATUS=MR","SCALING_FORMAT=MLN","Sort=A","Dates=H","DateFormat=P","Fill=—","Direction=H","UseDPDF=Y")</f>
        <v>—</v>
      </c>
      <c r="Q28" s="13" t="str">
        <f>_xll.BDH("AMGN US Equity","IS_LEGAL_LITIGATION_SETTLEMENT","FQ4 2022","FQ4 2022","Currency=USD","Period=FQ","BEST_FPERIOD_OVERRIDE=FQ","FILING_STATUS=MR","SCALING_FORMAT=MLN","Sort=A","Dates=H","DateFormat=P","Fill=—","Direction=H","UseDPDF=Y")</f>
        <v>—</v>
      </c>
      <c r="R28" s="13" t="str">
        <f>_xll.BDH("AMGN US Equity","IS_LEGAL_LITIGATION_SETTLEMENT","FQ1 2023","FQ1 2023","Currency=USD","Period=FQ","BEST_FPERIOD_OVERRIDE=FQ","FILING_STATUS=MR","SCALING_FORMAT=MLN","Sort=A","Dates=H","DateFormat=P","Fill=—","Direction=H","UseDPDF=Y")</f>
        <v>—</v>
      </c>
      <c r="S28" s="13" t="str">
        <f>_xll.BDH("AMGN US Equity","IS_LEGAL_LITIGATION_SETTLEMENT","FQ2 2023","FQ2 2023","Currency=USD","Period=FQ","BEST_FPERIOD_OVERRIDE=FQ","FILING_STATUS=MR","SCALING_FORMAT=MLN","Sort=A","Dates=H","DateFormat=P","Fill=—","Direction=H","UseDPDF=Y")</f>
        <v>—</v>
      </c>
      <c r="T28" s="13" t="str">
        <f>_xll.BDH("AMGN US Equity","IS_LEGAL_LITIGATION_SETTLEMENT","FQ3 2023","FQ3 2023","Currency=USD","Period=FQ","BEST_FPERIOD_OVERRIDE=FQ","FILING_STATUS=MR","SCALING_FORMAT=MLN","Sort=A","Dates=H","DateFormat=P","Fill=—","Direction=H","UseDPDF=Y")</f>
        <v>—</v>
      </c>
      <c r="U28" s="13" t="str">
        <f>_xll.BDH("AMGN US Equity","IS_LEGAL_LITIGATION_SETTLEMENT","FQ4 2023","FQ4 2023","Currency=USD","Period=FQ","BEST_FPERIOD_OVERRIDE=FQ","FILING_STATUS=MR","SCALING_FORMAT=MLN","Sort=A","Dates=H","DateFormat=P","Fill=—","Direction=H","UseDPDF=Y")</f>
        <v>—</v>
      </c>
      <c r="V28" s="13" t="str">
        <f>_xll.BDH("AMGN US Equity","IS_LEGAL_LITIGATION_SETTLEMENT","FQ1 2024","FQ1 2024","Currency=USD","Period=FQ","BEST_FPERIOD_OVERRIDE=FQ","FILING_STATUS=MR","SCALING_FORMAT=MLN","Sort=A","Dates=H","DateFormat=P","Fill=—","Direction=H","UseDPDF=Y")</f>
        <v>—</v>
      </c>
      <c r="W28" s="13" t="str">
        <f>_xll.BDH("AMGN US Equity","IS_LEGAL_LITIGATION_SETTLEMENT","FQ2 2024","FQ2 2024","Currency=USD","Period=FQ","BEST_FPERIOD_OVERRIDE=FQ","FILING_STATUS=MR","SCALING_FORMAT=MLN","Sort=A","Dates=H","DateFormat=P","Fill=—","Direction=H","UseDPDF=Y")</f>
        <v>—</v>
      </c>
      <c r="X28" s="13" t="str">
        <f>_xll.BDH("AMGN US Equity","IS_LEGAL_LITIGATION_SETTLEMENT","FQ3 2024","FQ3 2024","Currency=USD","Period=FQ","BEST_FPERIOD_OVERRIDE=FQ","FILING_STATUS=MR","SCALING_FORMAT=MLN","Sort=A","Dates=H","DateFormat=P","Fill=—","Direction=H","UseDPDF=Y")</f>
        <v>—</v>
      </c>
      <c r="Y28" s="13" t="str">
        <f>_xll.BDH("AMGN US Equity","IS_LEGAL_LITIGATION_SETTLEMENT","FQ4 2024","FQ4 2024","Currency=USD","Period=FQ","BEST_FPERIOD_OVERRIDE=FQ","FILING_STATUS=MR","SCALING_FORMAT=MLN","Sort=A","Dates=H","DateFormat=P","Fill=—","Direction=H","UseDPDF=Y")</f>
        <v>—</v>
      </c>
      <c r="Z28" s="13"/>
      <c r="AA28" s="13"/>
    </row>
    <row r="29" spans="1:27" x14ac:dyDescent="0.25">
      <c r="A29" s="10" t="s">
        <v>348</v>
      </c>
      <c r="B29" s="10" t="s">
        <v>349</v>
      </c>
      <c r="C29" s="13">
        <f>_xll.BDH("AMGN US Equity","IS_RESTRUCTURING_EXPENSES","FQ2 2019","FQ2 2019","Currency=USD","Period=FQ","BEST_FPERIOD_OVERRIDE=FQ","FILING_STATUS=MR","SCALING_FORMAT=MLN","Sort=A","Dates=H","DateFormat=P","Fill=—","Direction=H","UseDPDF=Y")</f>
        <v>-1</v>
      </c>
      <c r="D29" s="13">
        <f>_xll.BDH("AMGN US Equity","IS_RESTRUCTURING_EXPENSES","FQ3 2019","FQ3 2019","Currency=USD","Period=FQ","BEST_FPERIOD_OVERRIDE=FQ","FILING_STATUS=MR","SCALING_FORMAT=MLN","Sort=A","Dates=H","DateFormat=P","Fill=—","Direction=H","UseDPDF=Y")</f>
        <v>-1</v>
      </c>
      <c r="E29" s="13">
        <f>_xll.BDH("AMGN US Equity","IS_RESTRUCTURING_EXPENSES","FQ4 2019","FQ4 2019","Currency=USD","Period=FQ","BEST_FPERIOD_OVERRIDE=FQ","FILING_STATUS=MR","SCALING_FORMAT=MLN","Sort=A","Dates=H","DateFormat=P","Fill=—","Direction=H","UseDPDF=Y")</f>
        <v>48</v>
      </c>
      <c r="F29" s="13">
        <f>_xll.BDH("AMGN US Equity","IS_RESTRUCTURING_EXPENSES","FQ1 2020","FQ1 2020","Currency=USD","Period=FQ","BEST_FPERIOD_OVERRIDE=FQ","FILING_STATUS=MR","SCALING_FORMAT=MLN","Sort=A","Dates=H","DateFormat=P","Fill=—","Direction=H","UseDPDF=Y")</f>
        <v>-2</v>
      </c>
      <c r="G29" s="13">
        <f>_xll.BDH("AMGN US Equity","IS_RESTRUCTURING_EXPENSES","FQ2 2020","FQ2 2020","Currency=USD","Period=FQ","BEST_FPERIOD_OVERRIDE=FQ","FILING_STATUS=MR","SCALING_FORMAT=MLN","Sort=A","Dates=H","DateFormat=P","Fill=—","Direction=H","UseDPDF=Y")</f>
        <v>-2</v>
      </c>
      <c r="H29" s="13">
        <f>_xll.BDH("AMGN US Equity","IS_RESTRUCTURING_EXPENSES","FQ3 2020","FQ3 2020","Currency=USD","Period=FQ","BEST_FPERIOD_OVERRIDE=FQ","FILING_STATUS=MR","SCALING_FORMAT=MLN","Sort=A","Dates=H","DateFormat=P","Fill=—","Direction=H","UseDPDF=Y")</f>
        <v>1</v>
      </c>
      <c r="I29" s="13" t="str">
        <f>_xll.BDH("AMGN US Equity","IS_RESTRUCTURING_EXPENSES","FQ4 2020","FQ4 2020","Currency=USD","Period=FQ","BEST_FPERIOD_OVERRIDE=FQ","FILING_STATUS=MR","SCALING_FORMAT=MLN","Sort=A","Dates=H","DateFormat=P","Fill=—","Direction=H","UseDPDF=Y")</f>
        <v>—</v>
      </c>
      <c r="J29" s="13" t="str">
        <f>_xll.BDH("AMGN US Equity","IS_RESTRUCTURING_EXPENSES","FQ1 2021","FQ1 2021","Currency=USD","Period=FQ","BEST_FPERIOD_OVERRIDE=FQ","FILING_STATUS=MR","SCALING_FORMAT=MLN","Sort=A","Dates=H","DateFormat=P","Fill=—","Direction=H","UseDPDF=Y")</f>
        <v>—</v>
      </c>
      <c r="K29" s="13">
        <f>_xll.BDH("AMGN US Equity","IS_RESTRUCTURING_EXPENSES","FQ2 2021","FQ2 2021","Currency=USD","Period=FQ","BEST_FPERIOD_OVERRIDE=FQ","FILING_STATUS=MR","SCALING_FORMAT=MLN","Sort=A","Dates=H","DateFormat=P","Fill=—","Direction=H","UseDPDF=Y")</f>
        <v>76</v>
      </c>
      <c r="L29" s="13" t="str">
        <f>_xll.BDH("AMGN US Equity","IS_RESTRUCTURING_EXPENSES","FQ3 2021","FQ3 2021","Currency=USD","Period=FQ","BEST_FPERIOD_OVERRIDE=FQ","FILING_STATUS=MR","SCALING_FORMAT=MLN","Sort=A","Dates=H","DateFormat=P","Fill=—","Direction=H","UseDPDF=Y")</f>
        <v>—</v>
      </c>
      <c r="M29" s="13">
        <f>_xll.BDH("AMGN US Equity","IS_RESTRUCTURING_EXPENSES","FQ4 2021","FQ4 2021","Currency=USD","Period=FQ","BEST_FPERIOD_OVERRIDE=FQ","FILING_STATUS=MR","SCALING_FORMAT=MLN","Sort=A","Dates=H","DateFormat=P","Fill=—","Direction=H","UseDPDF=Y")</f>
        <v>1</v>
      </c>
      <c r="N29" s="13" t="str">
        <f>_xll.BDH("AMGN US Equity","IS_RESTRUCTURING_EXPENSES","FQ1 2022","FQ1 2022","Currency=USD","Period=FQ","BEST_FPERIOD_OVERRIDE=FQ","FILING_STATUS=MR","SCALING_FORMAT=MLN","Sort=A","Dates=H","DateFormat=P","Fill=—","Direction=H","UseDPDF=Y")</f>
        <v>—</v>
      </c>
      <c r="O29" s="13">
        <f>_xll.BDH("AMGN US Equity","IS_RESTRUCTURING_EXPENSES","FQ2 2022","FQ2 2022","Currency=USD","Period=FQ","BEST_FPERIOD_OVERRIDE=FQ","FILING_STATUS=MR","SCALING_FORMAT=MLN","Sort=A","Dates=H","DateFormat=P","Fill=—","Direction=H","UseDPDF=Y")</f>
        <v>-1</v>
      </c>
      <c r="P29" s="13" t="str">
        <f>_xll.BDH("AMGN US Equity","IS_RESTRUCTURING_EXPENSES","FQ3 2022","FQ3 2022","Currency=USD","Period=FQ","BEST_FPERIOD_OVERRIDE=FQ","FILING_STATUS=MR","SCALING_FORMAT=MLN","Sort=A","Dates=H","DateFormat=P","Fill=—","Direction=H","UseDPDF=Y")</f>
        <v>—</v>
      </c>
      <c r="Q29" s="13" t="str">
        <f>_xll.BDH("AMGN US Equity","IS_RESTRUCTURING_EXPENSES","FQ4 2022","FQ4 2022","Currency=USD","Period=FQ","BEST_FPERIOD_OVERRIDE=FQ","FILING_STATUS=MR","SCALING_FORMAT=MLN","Sort=A","Dates=H","DateFormat=P","Fill=—","Direction=H","UseDPDF=Y")</f>
        <v>—</v>
      </c>
      <c r="R29" s="13" t="str">
        <f>_xll.BDH("AMGN US Equity","IS_RESTRUCTURING_EXPENSES","FQ1 2023","FQ1 2023","Currency=USD","Period=FQ","BEST_FPERIOD_OVERRIDE=FQ","FILING_STATUS=MR","SCALING_FORMAT=MLN","Sort=A","Dates=H","DateFormat=P","Fill=—","Direction=H","UseDPDF=Y")</f>
        <v>—</v>
      </c>
      <c r="S29" s="13">
        <f>_xll.BDH("AMGN US Equity","IS_RESTRUCTURING_EXPENSES","FQ2 2023","FQ2 2023","Currency=USD","Period=FQ","BEST_FPERIOD_OVERRIDE=FQ","FILING_STATUS=MR","SCALING_FORMAT=MLN","Sort=A","Dates=H","DateFormat=P","Fill=—","Direction=H","UseDPDF=Y")</f>
        <v>25</v>
      </c>
      <c r="T29" s="13">
        <f>_xll.BDH("AMGN US Equity","IS_RESTRUCTURING_EXPENSES","FQ3 2023","FQ3 2023","Currency=USD","Period=FQ","BEST_FPERIOD_OVERRIDE=FQ","FILING_STATUS=MR","SCALING_FORMAT=MLN","Sort=A","Dates=H","DateFormat=P","Fill=—","Direction=H","UseDPDF=Y")</f>
        <v>16</v>
      </c>
      <c r="U29" s="13">
        <f>_xll.BDH("AMGN US Equity","IS_RESTRUCTURING_EXPENSES","FQ4 2023","FQ4 2023","Currency=USD","Period=FQ","BEST_FPERIOD_OVERRIDE=FQ","FILING_STATUS=MR","SCALING_FORMAT=MLN","Sort=A","Dates=H","DateFormat=P","Fill=—","Direction=H","UseDPDF=Y")</f>
        <v>14</v>
      </c>
      <c r="V29" s="13" t="str">
        <f>_xll.BDH("AMGN US Equity","IS_RESTRUCTURING_EXPENSES","FQ1 2024","FQ1 2024","Currency=USD","Period=FQ","BEST_FPERIOD_OVERRIDE=FQ","FILING_STATUS=MR","SCALING_FORMAT=MLN","Sort=A","Dates=H","DateFormat=P","Fill=—","Direction=H","UseDPDF=Y")</f>
        <v>—</v>
      </c>
      <c r="W29" s="13">
        <f>_xll.BDH("AMGN US Equity","IS_RESTRUCTURING_EXPENSES","FQ2 2024","FQ2 2024","Currency=USD","Period=FQ","BEST_FPERIOD_OVERRIDE=FQ","FILING_STATUS=MR","SCALING_FORMAT=MLN","Sort=A","Dates=H","DateFormat=P","Fill=—","Direction=H","UseDPDF=Y")</f>
        <v>-3</v>
      </c>
      <c r="X29" s="13" t="str">
        <f>_xll.BDH("AMGN US Equity","IS_RESTRUCTURING_EXPENSES","FQ3 2024","FQ3 2024","Currency=USD","Period=FQ","BEST_FPERIOD_OVERRIDE=FQ","FILING_STATUS=MR","SCALING_FORMAT=MLN","Sort=A","Dates=H","DateFormat=P","Fill=—","Direction=H","UseDPDF=Y")</f>
        <v>—</v>
      </c>
      <c r="Y29" s="13" t="str">
        <f>_xll.BDH("AMGN US Equity","IS_RESTRUCTURING_EXPENSES","FQ4 2024","FQ4 2024","Currency=USD","Period=FQ","BEST_FPERIOD_OVERRIDE=FQ","FILING_STATUS=MR","SCALING_FORMAT=MLN","Sort=A","Dates=H","DateFormat=P","Fill=—","Direction=H","UseDPDF=Y")</f>
        <v>—</v>
      </c>
      <c r="Z29" s="13"/>
      <c r="AA29" s="13"/>
    </row>
    <row r="30" spans="1:27" x14ac:dyDescent="0.25">
      <c r="A30" s="10" t="s">
        <v>350</v>
      </c>
      <c r="B30" s="10" t="s">
        <v>351</v>
      </c>
      <c r="C30" s="13" t="str">
        <f>_xll.BDH("AMGN US Equity","IS_GAIN_LOSS_ON_INVESTMENTS","FQ2 2019","FQ2 2019","Currency=USD","Period=FQ","BEST_FPERIOD_OVERRIDE=FQ","FILING_STATUS=MR","SCALING_FORMAT=MLN","Sort=A","Dates=H","DateFormat=P","Fill=—","Direction=H","UseDPDF=Y")</f>
        <v>—</v>
      </c>
      <c r="D30" s="13" t="str">
        <f>_xll.BDH("AMGN US Equity","IS_GAIN_LOSS_ON_INVESTMENTS","FQ3 2019","FQ3 2019","Currency=USD","Period=FQ","BEST_FPERIOD_OVERRIDE=FQ","FILING_STATUS=MR","SCALING_FORMAT=MLN","Sort=A","Dates=H","DateFormat=P","Fill=—","Direction=H","UseDPDF=Y")</f>
        <v>—</v>
      </c>
      <c r="E30" s="13" t="str">
        <f>_xll.BDH("AMGN US Equity","IS_GAIN_LOSS_ON_INVESTMENTS","FQ4 2019","FQ4 2019","Currency=USD","Period=FQ","BEST_FPERIOD_OVERRIDE=FQ","FILING_STATUS=MR","SCALING_FORMAT=MLN","Sort=A","Dates=H","DateFormat=P","Fill=—","Direction=H","UseDPDF=Y")</f>
        <v>—</v>
      </c>
      <c r="F30" s="13" t="str">
        <f>_xll.BDH("AMGN US Equity","IS_GAIN_LOSS_ON_INVESTMENTS","FQ1 2020","FQ1 2020","Currency=USD","Period=FQ","BEST_FPERIOD_OVERRIDE=FQ","FILING_STATUS=MR","SCALING_FORMAT=MLN","Sort=A","Dates=H","DateFormat=P","Fill=—","Direction=H","UseDPDF=Y")</f>
        <v>—</v>
      </c>
      <c r="G30" s="13" t="str">
        <f>_xll.BDH("AMGN US Equity","IS_GAIN_LOSS_ON_INVESTMENTS","FQ2 2020","FQ2 2020","Currency=USD","Period=FQ","BEST_FPERIOD_OVERRIDE=FQ","FILING_STATUS=MR","SCALING_FORMAT=MLN","Sort=A","Dates=H","DateFormat=P","Fill=—","Direction=H","UseDPDF=Y")</f>
        <v>—</v>
      </c>
      <c r="H30" s="13" t="str">
        <f>_xll.BDH("AMGN US Equity","IS_GAIN_LOSS_ON_INVESTMENTS","FQ3 2020","FQ3 2020","Currency=USD","Period=FQ","BEST_FPERIOD_OVERRIDE=FQ","FILING_STATUS=MR","SCALING_FORMAT=MLN","Sort=A","Dates=H","DateFormat=P","Fill=—","Direction=H","UseDPDF=Y")</f>
        <v>—</v>
      </c>
      <c r="I30" s="13" t="str">
        <f>_xll.BDH("AMGN US Equity","IS_GAIN_LOSS_ON_INVESTMENTS","FQ4 2020","FQ4 2020","Currency=USD","Period=FQ","BEST_FPERIOD_OVERRIDE=FQ","FILING_STATUS=MR","SCALING_FORMAT=MLN","Sort=A","Dates=H","DateFormat=P","Fill=—","Direction=H","UseDPDF=Y")</f>
        <v>—</v>
      </c>
      <c r="J30" s="13">
        <f>_xll.BDH("AMGN US Equity","IS_GAIN_LOSS_ON_INVESTMENTS","FQ1 2021","FQ1 2021","Currency=USD","Period=FQ","BEST_FPERIOD_OVERRIDE=FQ","FILING_STATUS=MR","SCALING_FORMAT=MLN","Sort=A","Dates=H","DateFormat=P","Fill=—","Direction=H","UseDPDF=Y")</f>
        <v>-145</v>
      </c>
      <c r="K30" s="13">
        <f>_xll.BDH("AMGN US Equity","IS_GAIN_LOSS_ON_INVESTMENTS","FQ2 2021","FQ2 2021","Currency=USD","Period=FQ","BEST_FPERIOD_OVERRIDE=FQ","FILING_STATUS=MR","SCALING_FORMAT=MLN","Sort=A","Dates=H","DateFormat=P","Fill=—","Direction=H","UseDPDF=Y")</f>
        <v>1</v>
      </c>
      <c r="L30" s="13">
        <f>_xll.BDH("AMGN US Equity","IS_GAIN_LOSS_ON_INVESTMENTS","FQ3 2021","FQ3 2021","Currency=USD","Period=FQ","BEST_FPERIOD_OVERRIDE=FQ","FILING_STATUS=MR","SCALING_FORMAT=MLN","Sort=A","Dates=H","DateFormat=P","Fill=—","Direction=H","UseDPDF=Y")</f>
        <v>-191</v>
      </c>
      <c r="M30" s="13">
        <f>_xll.BDH("AMGN US Equity","IS_GAIN_LOSS_ON_INVESTMENTS","FQ4 2021","FQ4 2021","Currency=USD","Period=FQ","BEST_FPERIOD_OVERRIDE=FQ","FILING_STATUS=MR","SCALING_FORMAT=MLN","Sort=A","Dates=H","DateFormat=P","Fill=—","Direction=H","UseDPDF=Y")</f>
        <v>-86</v>
      </c>
      <c r="N30" s="13">
        <f>_xll.BDH("AMGN US Equity","IS_GAIN_LOSS_ON_INVESTMENTS","FQ1 2022","FQ1 2022","Currency=USD","Period=FQ","BEST_FPERIOD_OVERRIDE=FQ","FILING_STATUS=MR","SCALING_FORMAT=MLN","Sort=A","Dates=H","DateFormat=P","Fill=—","Direction=H","UseDPDF=Y")</f>
        <v>365</v>
      </c>
      <c r="O30" s="13">
        <f>_xll.BDH("AMGN US Equity","IS_GAIN_LOSS_ON_INVESTMENTS","FQ2 2022","FQ2 2022","Currency=USD","Period=FQ","BEST_FPERIOD_OVERRIDE=FQ","FILING_STATUS=MR","SCALING_FORMAT=MLN","Sort=A","Dates=H","DateFormat=P","Fill=—","Direction=H","UseDPDF=Y")</f>
        <v>186</v>
      </c>
      <c r="P30" s="13">
        <f>_xll.BDH("AMGN US Equity","IS_GAIN_LOSS_ON_INVESTMENTS","FQ3 2022","FQ3 2022","Currency=USD","Period=FQ","BEST_FPERIOD_OVERRIDE=FQ","FILING_STATUS=MR","SCALING_FORMAT=MLN","Sort=A","Dates=H","DateFormat=P","Fill=—","Direction=H","UseDPDF=Y")</f>
        <v>-150</v>
      </c>
      <c r="Q30" s="13">
        <f>_xll.BDH("AMGN US Equity","IS_GAIN_LOSS_ON_INVESTMENTS","FQ4 2022","FQ4 2022","Currency=USD","Period=FQ","BEST_FPERIOD_OVERRIDE=FQ","FILING_STATUS=MR","SCALING_FORMAT=MLN","Sort=A","Dates=H","DateFormat=P","Fill=—","Direction=H","UseDPDF=Y")</f>
        <v>-39</v>
      </c>
      <c r="R30" s="13">
        <f>_xll.BDH("AMGN US Equity","IS_GAIN_LOSS_ON_INVESTMENTS","FQ1 2023","FQ1 2023","Currency=USD","Period=FQ","BEST_FPERIOD_OVERRIDE=FQ","FILING_STATUS=MR","SCALING_FORMAT=MLN","Sort=A","Dates=H","DateFormat=P","Fill=—","Direction=H","UseDPDF=Y")</f>
        <v>-1853</v>
      </c>
      <c r="S30" s="13" t="str">
        <f>_xll.BDH("AMGN US Equity","IS_GAIN_LOSS_ON_INVESTMENTS","FQ2 2023","FQ2 2023","Currency=USD","Period=FQ","BEST_FPERIOD_OVERRIDE=FQ","FILING_STATUS=MR","SCALING_FORMAT=MLN","Sort=A","Dates=H","DateFormat=P","Fill=—","Direction=H","UseDPDF=Y")</f>
        <v>—</v>
      </c>
      <c r="T30" s="13">
        <f>_xll.BDH("AMGN US Equity","IS_GAIN_LOSS_ON_INVESTMENTS","FQ3 2023","FQ3 2023","Currency=USD","Period=FQ","BEST_FPERIOD_OVERRIDE=FQ","FILING_STATUS=MR","SCALING_FORMAT=MLN","Sort=A","Dates=H","DateFormat=P","Fill=—","Direction=H","UseDPDF=Y")</f>
        <v>-170</v>
      </c>
      <c r="U30" s="13">
        <f>_xll.BDH("AMGN US Equity","IS_GAIN_LOSS_ON_INVESTMENTS","FQ4 2023","FQ4 2023","Currency=USD","Period=FQ","BEST_FPERIOD_OVERRIDE=FQ","FILING_STATUS=MR","SCALING_FORMAT=MLN","Sort=A","Dates=H","DateFormat=P","Fill=—","Direction=H","UseDPDF=Y")</f>
        <v>-217</v>
      </c>
      <c r="V30" s="13">
        <f>_xll.BDH("AMGN US Equity","IS_GAIN_LOSS_ON_INVESTMENTS","FQ1 2024","FQ1 2024","Currency=USD","Period=FQ","BEST_FPERIOD_OVERRIDE=FQ","FILING_STATUS=MR","SCALING_FORMAT=MLN","Sort=A","Dates=H","DateFormat=P","Fill=—","Direction=H","UseDPDF=Y")</f>
        <v>510</v>
      </c>
      <c r="W30" s="13" t="str">
        <f>_xll.BDH("AMGN US Equity","IS_GAIN_LOSS_ON_INVESTMENTS","FQ2 2024","FQ2 2024","Currency=USD","Period=FQ","BEST_FPERIOD_OVERRIDE=FQ","FILING_STATUS=MR","SCALING_FORMAT=MLN","Sort=A","Dates=H","DateFormat=P","Fill=—","Direction=H","UseDPDF=Y")</f>
        <v>—</v>
      </c>
      <c r="X30" s="13" t="str">
        <f>_xll.BDH("AMGN US Equity","IS_GAIN_LOSS_ON_INVESTMENTS","FQ3 2024","FQ3 2024","Currency=USD","Period=FQ","BEST_FPERIOD_OVERRIDE=FQ","FILING_STATUS=MR","SCALING_FORMAT=MLN","Sort=A","Dates=H","DateFormat=P","Fill=—","Direction=H","UseDPDF=Y")</f>
        <v>—</v>
      </c>
      <c r="Y30" s="13">
        <f>_xll.BDH("AMGN US Equity","IS_GAIN_LOSS_ON_INVESTMENTS","FQ4 2024","FQ4 2024","Currency=USD","Period=FQ","BEST_FPERIOD_OVERRIDE=FQ","FILING_STATUS=MR","SCALING_FORMAT=MLN","Sort=A","Dates=H","DateFormat=P","Fill=—","Direction=H","UseDPDF=Y")</f>
        <v>875</v>
      </c>
      <c r="Z30" s="13"/>
      <c r="AA30" s="13"/>
    </row>
    <row r="31" spans="1:27" x14ac:dyDescent="0.25">
      <c r="A31" s="10" t="s">
        <v>352</v>
      </c>
      <c r="B31" s="10" t="s">
        <v>353</v>
      </c>
      <c r="C31" s="13" t="str">
        <f>_xll.BDH("AMGN US Equity","IS_UNREALIZED_INVESTMENTS","FQ2 2019","FQ2 2019","Currency=USD","Period=FQ","BEST_FPERIOD_OVERRIDE=FQ","FILING_STATUS=MR","SCALING_FORMAT=MLN","Sort=A","Dates=H","DateFormat=P","Fill=—","Direction=H","UseDPDF=Y")</f>
        <v>—</v>
      </c>
      <c r="D31" s="13" t="str">
        <f>_xll.BDH("AMGN US Equity","IS_UNREALIZED_INVESTMENTS","FQ3 2019","FQ3 2019","Currency=USD","Period=FQ","BEST_FPERIOD_OVERRIDE=FQ","FILING_STATUS=MR","SCALING_FORMAT=MLN","Sort=A","Dates=H","DateFormat=P","Fill=—","Direction=H","UseDPDF=Y")</f>
        <v>—</v>
      </c>
      <c r="E31" s="13" t="str">
        <f>_xll.BDH("AMGN US Equity","IS_UNREALIZED_INVESTMENTS","FQ4 2019","FQ4 2019","Currency=USD","Period=FQ","BEST_FPERIOD_OVERRIDE=FQ","FILING_STATUS=MR","SCALING_FORMAT=MLN","Sort=A","Dates=H","DateFormat=P","Fill=—","Direction=H","UseDPDF=Y")</f>
        <v>—</v>
      </c>
      <c r="F31" s="13" t="str">
        <f>_xll.BDH("AMGN US Equity","IS_UNREALIZED_INVESTMENTS","FQ1 2020","FQ1 2020","Currency=USD","Period=FQ","BEST_FPERIOD_OVERRIDE=FQ","FILING_STATUS=MR","SCALING_FORMAT=MLN","Sort=A","Dates=H","DateFormat=P","Fill=—","Direction=H","UseDPDF=Y")</f>
        <v>—</v>
      </c>
      <c r="G31" s="13" t="str">
        <f>_xll.BDH("AMGN US Equity","IS_UNREALIZED_INVESTMENTS","FQ2 2020","FQ2 2020","Currency=USD","Period=FQ","BEST_FPERIOD_OVERRIDE=FQ","FILING_STATUS=MR","SCALING_FORMAT=MLN","Sort=A","Dates=H","DateFormat=P","Fill=—","Direction=H","UseDPDF=Y")</f>
        <v>—</v>
      </c>
      <c r="H31" s="13" t="str">
        <f>_xll.BDH("AMGN US Equity","IS_UNREALIZED_INVESTMENTS","FQ3 2020","FQ3 2020","Currency=USD","Period=FQ","BEST_FPERIOD_OVERRIDE=FQ","FILING_STATUS=MR","SCALING_FORMAT=MLN","Sort=A","Dates=H","DateFormat=P","Fill=—","Direction=H","UseDPDF=Y")</f>
        <v>—</v>
      </c>
      <c r="I31" s="13" t="str">
        <f>_xll.BDH("AMGN US Equity","IS_UNREALIZED_INVESTMENTS","FQ4 2020","FQ4 2020","Currency=USD","Period=FQ","BEST_FPERIOD_OVERRIDE=FQ","FILING_STATUS=MR","SCALING_FORMAT=MLN","Sort=A","Dates=H","DateFormat=P","Fill=—","Direction=H","UseDPDF=Y")</f>
        <v>—</v>
      </c>
      <c r="J31" s="13" t="str">
        <f>_xll.BDH("AMGN US Equity","IS_UNREALIZED_INVESTMENTS","FQ1 2021","FQ1 2021","Currency=USD","Period=FQ","BEST_FPERIOD_OVERRIDE=FQ","FILING_STATUS=MR","SCALING_FORMAT=MLN","Sort=A","Dates=H","DateFormat=P","Fill=—","Direction=H","UseDPDF=Y")</f>
        <v>—</v>
      </c>
      <c r="K31" s="13" t="str">
        <f>_xll.BDH("AMGN US Equity","IS_UNREALIZED_INVESTMENTS","FQ2 2021","FQ2 2021","Currency=USD","Period=FQ","BEST_FPERIOD_OVERRIDE=FQ","FILING_STATUS=MR","SCALING_FORMAT=MLN","Sort=A","Dates=H","DateFormat=P","Fill=—","Direction=H","UseDPDF=Y")</f>
        <v>—</v>
      </c>
      <c r="L31" s="13" t="str">
        <f>_xll.BDH("AMGN US Equity","IS_UNREALIZED_INVESTMENTS","FQ3 2021","FQ3 2021","Currency=USD","Period=FQ","BEST_FPERIOD_OVERRIDE=FQ","FILING_STATUS=MR","SCALING_FORMAT=MLN","Sort=A","Dates=H","DateFormat=P","Fill=—","Direction=H","UseDPDF=Y")</f>
        <v>—</v>
      </c>
      <c r="M31" s="13" t="str">
        <f>_xll.BDH("AMGN US Equity","IS_UNREALIZED_INVESTMENTS","FQ4 2021","FQ4 2021","Currency=USD","Period=FQ","BEST_FPERIOD_OVERRIDE=FQ","FILING_STATUS=MR","SCALING_FORMAT=MLN","Sort=A","Dates=H","DateFormat=P","Fill=—","Direction=H","UseDPDF=Y")</f>
        <v>—</v>
      </c>
      <c r="N31" s="13" t="str">
        <f>_xll.BDH("AMGN US Equity","IS_UNREALIZED_INVESTMENTS","FQ1 2022","FQ1 2022","Currency=USD","Period=FQ","BEST_FPERIOD_OVERRIDE=FQ","FILING_STATUS=MR","SCALING_FORMAT=MLN","Sort=A","Dates=H","DateFormat=P","Fill=—","Direction=H","UseDPDF=Y")</f>
        <v>—</v>
      </c>
      <c r="O31" s="13" t="str">
        <f>_xll.BDH("AMGN US Equity","IS_UNREALIZED_INVESTMENTS","FQ2 2022","FQ2 2022","Currency=USD","Period=FQ","BEST_FPERIOD_OVERRIDE=FQ","FILING_STATUS=MR","SCALING_FORMAT=MLN","Sort=A","Dates=H","DateFormat=P","Fill=—","Direction=H","UseDPDF=Y")</f>
        <v>—</v>
      </c>
      <c r="P31" s="13" t="str">
        <f>_xll.BDH("AMGN US Equity","IS_UNREALIZED_INVESTMENTS","FQ3 2022","FQ3 2022","Currency=USD","Period=FQ","BEST_FPERIOD_OVERRIDE=FQ","FILING_STATUS=MR","SCALING_FORMAT=MLN","Sort=A","Dates=H","DateFormat=P","Fill=—","Direction=H","UseDPDF=Y")</f>
        <v>—</v>
      </c>
      <c r="Q31" s="13" t="str">
        <f>_xll.BDH("AMGN US Equity","IS_UNREALIZED_INVESTMENTS","FQ4 2022","FQ4 2022","Currency=USD","Period=FQ","BEST_FPERIOD_OVERRIDE=FQ","FILING_STATUS=MR","SCALING_FORMAT=MLN","Sort=A","Dates=H","DateFormat=P","Fill=—","Direction=H","UseDPDF=Y")</f>
        <v>—</v>
      </c>
      <c r="R31" s="13" t="str">
        <f>_xll.BDH("AMGN US Equity","IS_UNREALIZED_INVESTMENTS","FQ1 2023","FQ1 2023","Currency=USD","Period=FQ","BEST_FPERIOD_OVERRIDE=FQ","FILING_STATUS=MR","SCALING_FORMAT=MLN","Sort=A","Dates=H","DateFormat=P","Fill=—","Direction=H","UseDPDF=Y")</f>
        <v>—</v>
      </c>
      <c r="S31" s="13">
        <f>_xll.BDH("AMGN US Equity","IS_UNREALIZED_INVESTMENTS","FQ2 2023","FQ2 2023","Currency=USD","Period=FQ","BEST_FPERIOD_OVERRIDE=FQ","FILING_STATUS=MR","SCALING_FORMAT=MLN","Sort=A","Dates=H","DateFormat=P","Fill=—","Direction=H","UseDPDF=Y")</f>
        <v>718</v>
      </c>
      <c r="T31" s="13" t="str">
        <f>_xll.BDH("AMGN US Equity","IS_UNREALIZED_INVESTMENTS","FQ3 2023","FQ3 2023","Currency=USD","Period=FQ","BEST_FPERIOD_OVERRIDE=FQ","FILING_STATUS=MR","SCALING_FORMAT=MLN","Sort=A","Dates=H","DateFormat=P","Fill=—","Direction=H","UseDPDF=Y")</f>
        <v>—</v>
      </c>
      <c r="U31" s="13" t="str">
        <f>_xll.BDH("AMGN US Equity","IS_UNREALIZED_INVESTMENTS","FQ4 2023","FQ4 2023","Currency=USD","Period=FQ","BEST_FPERIOD_OVERRIDE=FQ","FILING_STATUS=MR","SCALING_FORMAT=MLN","Sort=A","Dates=H","DateFormat=P","Fill=—","Direction=H","UseDPDF=Y")</f>
        <v>—</v>
      </c>
      <c r="V31" s="13" t="str">
        <f>_xll.BDH("AMGN US Equity","IS_UNREALIZED_INVESTMENTS","FQ1 2024","FQ1 2024","Currency=USD","Period=FQ","BEST_FPERIOD_OVERRIDE=FQ","FILING_STATUS=MR","SCALING_FORMAT=MLN","Sort=A","Dates=H","DateFormat=P","Fill=—","Direction=H","UseDPDF=Y")</f>
        <v>—</v>
      </c>
      <c r="W31" s="13">
        <f>_xll.BDH("AMGN US Equity","IS_UNREALIZED_INVESTMENTS","FQ2 2024","FQ2 2024","Currency=USD","Period=FQ","BEST_FPERIOD_OVERRIDE=FQ","FILING_STATUS=MR","SCALING_FORMAT=MLN","Sort=A","Dates=H","DateFormat=P","Fill=—","Direction=H","UseDPDF=Y")</f>
        <v>405</v>
      </c>
      <c r="X31" s="13">
        <f>_xll.BDH("AMGN US Equity","IS_UNREALIZED_INVESTMENTS","FQ3 2024","FQ3 2024","Currency=USD","Period=FQ","BEST_FPERIOD_OVERRIDE=FQ","FILING_STATUS=MR","SCALING_FORMAT=MLN","Sort=A","Dates=H","DateFormat=P","Fill=—","Direction=H","UseDPDF=Y")</f>
        <v>-1608</v>
      </c>
      <c r="Y31" s="13" t="str">
        <f>_xll.BDH("AMGN US Equity","IS_UNREALIZED_INVESTMENTS","FQ4 2024","FQ4 2024","Currency=USD","Period=FQ","BEST_FPERIOD_OVERRIDE=FQ","FILING_STATUS=MR","SCALING_FORMAT=MLN","Sort=A","Dates=H","DateFormat=P","Fill=—","Direction=H","UseDPDF=Y")</f>
        <v>—</v>
      </c>
      <c r="Z31" s="13"/>
      <c r="AA31" s="13"/>
    </row>
    <row r="32" spans="1:27" x14ac:dyDescent="0.25">
      <c r="A32" s="10" t="s">
        <v>354</v>
      </c>
      <c r="B32" s="10" t="s">
        <v>355</v>
      </c>
      <c r="C32" s="13" t="str">
        <f>_xll.BDH("AMGN US Equity","IS_OTHER_ONE_TIME_ITEMS","FQ2 2019","FQ2 2019","Currency=USD","Period=FQ","BEST_FPERIOD_OVERRIDE=FQ","FILING_STATUS=MR","SCALING_FORMAT=MLN","Sort=A","Dates=H","DateFormat=P","Fill=—","Direction=H","UseDPDF=Y")</f>
        <v>—</v>
      </c>
      <c r="D32" s="13" t="str">
        <f>_xll.BDH("AMGN US Equity","IS_OTHER_ONE_TIME_ITEMS","FQ3 2019","FQ3 2019","Currency=USD","Period=FQ","BEST_FPERIOD_OVERRIDE=FQ","FILING_STATUS=MR","SCALING_FORMAT=MLN","Sort=A","Dates=H","DateFormat=P","Fill=—","Direction=H","UseDPDF=Y")</f>
        <v>—</v>
      </c>
      <c r="E32" s="13" t="str">
        <f>_xll.BDH("AMGN US Equity","IS_OTHER_ONE_TIME_ITEMS","FQ4 2019","FQ4 2019","Currency=USD","Period=FQ","BEST_FPERIOD_OVERRIDE=FQ","FILING_STATUS=MR","SCALING_FORMAT=MLN","Sort=A","Dates=H","DateFormat=P","Fill=—","Direction=H","UseDPDF=Y")</f>
        <v>—</v>
      </c>
      <c r="F32" s="13" t="str">
        <f>_xll.BDH("AMGN US Equity","IS_OTHER_ONE_TIME_ITEMS","FQ1 2020","FQ1 2020","Currency=USD","Period=FQ","BEST_FPERIOD_OVERRIDE=FQ","FILING_STATUS=MR","SCALING_FORMAT=MLN","Sort=A","Dates=H","DateFormat=P","Fill=—","Direction=H","UseDPDF=Y")</f>
        <v>—</v>
      </c>
      <c r="G32" s="13" t="str">
        <f>_xll.BDH("AMGN US Equity","IS_OTHER_ONE_TIME_ITEMS","FQ2 2020","FQ2 2020","Currency=USD","Period=FQ","BEST_FPERIOD_OVERRIDE=FQ","FILING_STATUS=MR","SCALING_FORMAT=MLN","Sort=A","Dates=H","DateFormat=P","Fill=—","Direction=H","UseDPDF=Y")</f>
        <v>—</v>
      </c>
      <c r="H32" s="13">
        <f>_xll.BDH("AMGN US Equity","IS_OTHER_ONE_TIME_ITEMS","FQ3 2020","FQ3 2020","Currency=USD","Period=FQ","BEST_FPERIOD_OVERRIDE=FQ","FILING_STATUS=MR","SCALING_FORMAT=MLN","Sort=A","Dates=H","DateFormat=P","Fill=—","Direction=H","UseDPDF=Y")</f>
        <v>1</v>
      </c>
      <c r="I32" s="13" t="str">
        <f>_xll.BDH("AMGN US Equity","IS_OTHER_ONE_TIME_ITEMS","FQ4 2020","FQ4 2020","Currency=USD","Period=FQ","BEST_FPERIOD_OVERRIDE=FQ","FILING_STATUS=MR","SCALING_FORMAT=MLN","Sort=A","Dates=H","DateFormat=P","Fill=—","Direction=H","UseDPDF=Y")</f>
        <v>—</v>
      </c>
      <c r="J32" s="13">
        <f>_xll.BDH("AMGN US Equity","IS_OTHER_ONE_TIME_ITEMS","FQ1 2021","FQ1 2021","Currency=USD","Period=FQ","BEST_FPERIOD_OVERRIDE=FQ","FILING_STATUS=MR","SCALING_FORMAT=MLN","Sort=A","Dates=H","DateFormat=P","Fill=—","Direction=H","UseDPDF=Y")</f>
        <v>68</v>
      </c>
      <c r="K32" s="13">
        <f>_xll.BDH("AMGN US Equity","IS_OTHER_ONE_TIME_ITEMS","FQ2 2021","FQ2 2021","Currency=USD","Period=FQ","BEST_FPERIOD_OVERRIDE=FQ","FILING_STATUS=MR","SCALING_FORMAT=MLN","Sort=A","Dates=H","DateFormat=P","Fill=—","Direction=H","UseDPDF=Y")</f>
        <v>5</v>
      </c>
      <c r="L32" s="13">
        <f>_xll.BDH("AMGN US Equity","IS_OTHER_ONE_TIME_ITEMS","FQ3 2021","FQ3 2021","Currency=USD","Period=FQ","BEST_FPERIOD_OVERRIDE=FQ","FILING_STATUS=MR","SCALING_FORMAT=MLN","Sort=A","Dates=H","DateFormat=P","Fill=—","Direction=H","UseDPDF=Y")</f>
        <v>27</v>
      </c>
      <c r="M32" s="13">
        <f>_xll.BDH("AMGN US Equity","IS_OTHER_ONE_TIME_ITEMS","FQ4 2021","FQ4 2021","Currency=USD","Period=FQ","BEST_FPERIOD_OVERRIDE=FQ","FILING_STATUS=MR","SCALING_FORMAT=MLN","Sort=A","Dates=H","DateFormat=P","Fill=—","Direction=H","UseDPDF=Y")</f>
        <v>-23</v>
      </c>
      <c r="N32" s="13">
        <f>_xll.BDH("AMGN US Equity","IS_OTHER_ONE_TIME_ITEMS","FQ1 2022","FQ1 2022","Currency=USD","Period=FQ","BEST_FPERIOD_OVERRIDE=FQ","FILING_STATUS=MR","SCALING_FORMAT=MLN","Sort=A","Dates=H","DateFormat=P","Fill=—","Direction=H","UseDPDF=Y")</f>
        <v>2</v>
      </c>
      <c r="O32" s="13" t="str">
        <f>_xll.BDH("AMGN US Equity","IS_OTHER_ONE_TIME_ITEMS","FQ2 2022","FQ2 2022","Currency=USD","Period=FQ","BEST_FPERIOD_OVERRIDE=FQ","FILING_STATUS=MR","SCALING_FORMAT=MLN","Sort=A","Dates=H","DateFormat=P","Fill=—","Direction=H","UseDPDF=Y")</f>
        <v>—</v>
      </c>
      <c r="P32" s="13">
        <f>_xll.BDH("AMGN US Equity","IS_OTHER_ONE_TIME_ITEMS","FQ3 2022","FQ3 2022","Currency=USD","Period=FQ","BEST_FPERIOD_OVERRIDE=FQ","FILING_STATUS=MR","SCALING_FORMAT=MLN","Sort=A","Dates=H","DateFormat=P","Fill=—","Direction=H","UseDPDF=Y")</f>
        <v>5</v>
      </c>
      <c r="Q32" s="13">
        <f>_xll.BDH("AMGN US Equity","IS_OTHER_ONE_TIME_ITEMS","FQ4 2022","FQ4 2022","Currency=USD","Period=FQ","BEST_FPERIOD_OVERRIDE=FQ","FILING_STATUS=MR","SCALING_FORMAT=MLN","Sort=A","Dates=H","DateFormat=P","Fill=—","Direction=H","UseDPDF=Y")</f>
        <v>-1</v>
      </c>
      <c r="R32" s="13">
        <f>_xll.BDH("AMGN US Equity","IS_OTHER_ONE_TIME_ITEMS","FQ1 2023","FQ1 2023","Currency=USD","Period=FQ","BEST_FPERIOD_OVERRIDE=FQ","FILING_STATUS=MR","SCALING_FORMAT=MLN","Sort=A","Dates=H","DateFormat=P","Fill=—","Direction=H","UseDPDF=Y")</f>
        <v>141</v>
      </c>
      <c r="S32" s="13">
        <f>_xll.BDH("AMGN US Equity","IS_OTHER_ONE_TIME_ITEMS","FQ2 2023","FQ2 2023","Currency=USD","Period=FQ","BEST_FPERIOD_OVERRIDE=FQ","FILING_STATUS=MR","SCALING_FORMAT=MLN","Sort=A","Dates=H","DateFormat=P","Fill=—","Direction=H","UseDPDF=Y")</f>
        <v>17</v>
      </c>
      <c r="T32" s="13">
        <f>_xll.BDH("AMGN US Equity","IS_OTHER_ONE_TIME_ITEMS","FQ3 2023","FQ3 2023","Currency=USD","Period=FQ","BEST_FPERIOD_OVERRIDE=FQ","FILING_STATUS=MR","SCALING_FORMAT=MLN","Sort=A","Dates=H","DateFormat=P","Fill=—","Direction=H","UseDPDF=Y")</f>
        <v>628</v>
      </c>
      <c r="U32" s="13" t="str">
        <f>_xll.BDH("AMGN US Equity","IS_OTHER_ONE_TIME_ITEMS","FQ4 2023","FQ4 2023","Currency=USD","Period=FQ","BEST_FPERIOD_OVERRIDE=FQ","FILING_STATUS=MR","SCALING_FORMAT=MLN","Sort=A","Dates=H","DateFormat=P","Fill=—","Direction=H","UseDPDF=Y")</f>
        <v>—</v>
      </c>
      <c r="V32" s="13">
        <f>_xll.BDH("AMGN US Equity","IS_OTHER_ONE_TIME_ITEMS","FQ1 2024","FQ1 2024","Currency=USD","Period=FQ","BEST_FPERIOD_OVERRIDE=FQ","FILING_STATUS=MR","SCALING_FORMAT=MLN","Sort=A","Dates=H","DateFormat=P","Fill=—","Direction=H","UseDPDF=Y")</f>
        <v>-1</v>
      </c>
      <c r="W32" s="13" t="str">
        <f>_xll.BDH("AMGN US Equity","IS_OTHER_ONE_TIME_ITEMS","FQ2 2024","FQ2 2024","Currency=USD","Period=FQ","BEST_FPERIOD_OVERRIDE=FQ","FILING_STATUS=MR","SCALING_FORMAT=MLN","Sort=A","Dates=H","DateFormat=P","Fill=—","Direction=H","UseDPDF=Y")</f>
        <v>—</v>
      </c>
      <c r="X32" s="13" t="str">
        <f>_xll.BDH("AMGN US Equity","IS_OTHER_ONE_TIME_ITEMS","FQ3 2024","FQ3 2024","Currency=USD","Period=FQ","BEST_FPERIOD_OVERRIDE=FQ","FILING_STATUS=MR","SCALING_FORMAT=MLN","Sort=A","Dates=H","DateFormat=P","Fill=—","Direction=H","UseDPDF=Y")</f>
        <v>—</v>
      </c>
      <c r="Y32" s="13">
        <f>_xll.BDH("AMGN US Equity","IS_OTHER_ONE_TIME_ITEMS","FQ4 2024","FQ4 2024","Currency=USD","Period=FQ","BEST_FPERIOD_OVERRIDE=FQ","FILING_STATUS=MR","SCALING_FORMAT=MLN","Sort=A","Dates=H","DateFormat=P","Fill=—","Direction=H","UseDPDF=Y")</f>
        <v>40</v>
      </c>
      <c r="Z32" s="13"/>
      <c r="AA32" s="13"/>
    </row>
    <row r="33" spans="1:27" x14ac:dyDescent="0.25">
      <c r="A33" s="6" t="s">
        <v>356</v>
      </c>
      <c r="B33" s="6" t="s">
        <v>158</v>
      </c>
      <c r="C33" s="19">
        <f>_xll.BDH("AMGN US Equity","PRETAX_INC","FQ2 2019","FQ2 2019","Currency=USD","Period=FQ","BEST_FPERIOD_OVERRIDE=FQ","FILING_STATUS=MR","SCALING_FORMAT=MLN","FA_ADJUSTED=GAAP","Sort=A","Dates=H","DateFormat=P","Fill=—","Direction=H","UseDPDF=Y")</f>
        <v>2564</v>
      </c>
      <c r="D33" s="19">
        <f>_xll.BDH("AMGN US Equity","PRETAX_INC","FQ3 2019","FQ3 2019","Currency=USD","Period=FQ","BEST_FPERIOD_OVERRIDE=FQ","FILING_STATUS=MR","SCALING_FORMAT=MLN","FA_ADJUSTED=GAAP","Sort=A","Dates=H","DateFormat=P","Fill=—","Direction=H","UseDPDF=Y")</f>
        <v>2277</v>
      </c>
      <c r="E33" s="19">
        <f>_xll.BDH("AMGN US Equity","PRETAX_INC","FQ4 2019","FQ4 2019","Currency=USD","Period=FQ","BEST_FPERIOD_OVERRIDE=FQ","FILING_STATUS=MR","SCALING_FORMAT=MLN","FA_ADJUSTED=GAAP","Sort=A","Dates=H","DateFormat=P","Fill=—","Direction=H","UseDPDF=Y")</f>
        <v>1983</v>
      </c>
      <c r="F33" s="19">
        <f>_xll.BDH("AMGN US Equity","PRETAX_INC","FQ1 2020","FQ1 2020","Currency=USD","Period=FQ","BEST_FPERIOD_OVERRIDE=FQ","FILING_STATUS=MR","SCALING_FORMAT=MLN","FA_ADJUSTED=GAAP","Sort=A","Dates=H","DateFormat=P","Fill=—","Direction=H","UseDPDF=Y")</f>
        <v>2020</v>
      </c>
      <c r="G33" s="19">
        <f>_xll.BDH("AMGN US Equity","PRETAX_INC","FQ2 2020","FQ2 2020","Currency=USD","Period=FQ","BEST_FPERIOD_OVERRIDE=FQ","FILING_STATUS=MR","SCALING_FORMAT=MLN","FA_ADJUSTED=GAAP","Sort=A","Dates=H","DateFormat=P","Fill=—","Direction=H","UseDPDF=Y")</f>
        <v>2030</v>
      </c>
      <c r="H33" s="19">
        <f>_xll.BDH("AMGN US Equity","PRETAX_INC","FQ3 2020","FQ3 2020","Currency=USD","Period=FQ","BEST_FPERIOD_OVERRIDE=FQ","FILING_STATUS=MR","SCALING_FORMAT=MLN","FA_ADJUSTED=GAAP","Sort=A","Dates=H","DateFormat=P","Fill=—","Direction=H","UseDPDF=Y")</f>
        <v>2206</v>
      </c>
      <c r="I33" s="19">
        <f>_xll.BDH("AMGN US Equity","PRETAX_INC","FQ4 2020","FQ4 2020","Currency=USD","Period=FQ","BEST_FPERIOD_OVERRIDE=FQ","FILING_STATUS=MR","SCALING_FORMAT=MLN","FA_ADJUSTED=GAAP","Sort=A","Dates=H","DateFormat=P","Fill=—","Direction=H","UseDPDF=Y")</f>
        <v>1877</v>
      </c>
      <c r="J33" s="19">
        <f>_xll.BDH("AMGN US Equity","PRETAX_INC","FQ1 2021","FQ1 2021","Currency=USD","Period=FQ","BEST_FPERIOD_OVERRIDE=FQ","FILING_STATUS=MR","SCALING_FORMAT=MLN","FA_ADJUSTED=GAAP","Sort=A","Dates=H","DateFormat=P","Fill=—","Direction=H","UseDPDF=Y")</f>
        <v>1857</v>
      </c>
      <c r="K33" s="19">
        <f>_xll.BDH("AMGN US Equity","PRETAX_INC","FQ2 2021","FQ2 2021","Currency=USD","Period=FQ","BEST_FPERIOD_OVERRIDE=FQ","FILING_STATUS=MR","SCALING_FORMAT=MLN","FA_ADJUSTED=GAAP","Sort=A","Dates=H","DateFormat=P","Fill=—","Direction=H","UseDPDF=Y")</f>
        <v>558</v>
      </c>
      <c r="L33" s="19">
        <f>_xll.BDH("AMGN US Equity","PRETAX_INC","FQ3 2021","FQ3 2021","Currency=USD","Period=FQ","BEST_FPERIOD_OVERRIDE=FQ","FILING_STATUS=MR","SCALING_FORMAT=MLN","FA_ADJUSTED=GAAP","Sort=A","Dates=H","DateFormat=P","Fill=—","Direction=H","UseDPDF=Y")</f>
        <v>2155</v>
      </c>
      <c r="M33" s="19">
        <f>_xll.BDH("AMGN US Equity","PRETAX_INC","FQ4 2021","FQ4 2021","Currency=USD","Period=FQ","BEST_FPERIOD_OVERRIDE=FQ","FILING_STATUS=MR","SCALING_FORMAT=MLN","FA_ADJUSTED=GAAP","Sort=A","Dates=H","DateFormat=P","Fill=—","Direction=H","UseDPDF=Y")</f>
        <v>2131</v>
      </c>
      <c r="N33" s="19">
        <f>_xll.BDH("AMGN US Equity","PRETAX_INC","FQ1 2022","FQ1 2022","Currency=USD","Period=FQ","BEST_FPERIOD_OVERRIDE=FQ","FILING_STATUS=MR","SCALING_FORMAT=MLN","FA_ADJUSTED=GAAP","Sort=A","Dates=H","DateFormat=P","Fill=—","Direction=H","UseDPDF=Y")</f>
        <v>1675</v>
      </c>
      <c r="O33" s="19">
        <f>_xll.BDH("AMGN US Equity","PRETAX_INC","FQ2 2022","FQ2 2022","Currency=USD","Period=FQ","BEST_FPERIOD_OVERRIDE=FQ","FILING_STATUS=MR","SCALING_FORMAT=MLN","FA_ADJUSTED=GAAP","Sort=A","Dates=H","DateFormat=P","Fill=—","Direction=H","UseDPDF=Y")</f>
        <v>1531</v>
      </c>
      <c r="P33" s="19">
        <f>_xll.BDH("AMGN US Equity","PRETAX_INC","FQ3 2022","FQ3 2022","Currency=USD","Period=FQ","BEST_FPERIOD_OVERRIDE=FQ","FILING_STATUS=MR","SCALING_FORMAT=MLN","FA_ADJUSTED=GAAP","Sort=A","Dates=H","DateFormat=P","Fill=—","Direction=H","UseDPDF=Y")</f>
        <v>2392</v>
      </c>
      <c r="Q33" s="19">
        <f>_xll.BDH("AMGN US Equity","PRETAX_INC","FQ4 2022","FQ4 2022","Currency=USD","Period=FQ","BEST_FPERIOD_OVERRIDE=FQ","FILING_STATUS=MR","SCALING_FORMAT=MLN","FA_ADJUSTED=GAAP","Sort=A","Dates=H","DateFormat=P","Fill=—","Direction=H","UseDPDF=Y")</f>
        <v>1748</v>
      </c>
      <c r="R33" s="19">
        <f>_xll.BDH("AMGN US Equity","PRETAX_INC","FQ1 2023","FQ1 2023","Currency=USD","Period=FQ","BEST_FPERIOD_OVERRIDE=FQ","FILING_STATUS=MR","SCALING_FORMAT=MLN","FA_ADJUSTED=GAAP","Sort=A","Dates=H","DateFormat=P","Fill=—","Direction=H","UseDPDF=Y")</f>
        <v>3442</v>
      </c>
      <c r="S33" s="19">
        <f>_xll.BDH("AMGN US Equity","PRETAX_INC","FQ2 2023","FQ2 2023","Currency=USD","Period=FQ","BEST_FPERIOD_OVERRIDE=FQ","FILING_STATUS=MR","SCALING_FORMAT=MLN","FA_ADJUSTED=GAAP","Sort=A","Dates=H","DateFormat=P","Fill=—","Direction=H","UseDPDF=Y")</f>
        <v>1614</v>
      </c>
      <c r="T33" s="19">
        <f>_xll.BDH("AMGN US Equity","PRETAX_INC","FQ3 2023","FQ3 2023","Currency=USD","Period=FQ","BEST_FPERIOD_OVERRIDE=FQ","FILING_STATUS=MR","SCALING_FORMAT=MLN","FA_ADJUSTED=GAAP","Sort=A","Dates=H","DateFormat=P","Fill=—","Direction=H","UseDPDF=Y")</f>
        <v>1947</v>
      </c>
      <c r="U33" s="19">
        <f>_xll.BDH("AMGN US Equity","PRETAX_INC","FQ4 2023","FQ4 2023","Currency=USD","Period=FQ","BEST_FPERIOD_OVERRIDE=FQ","FILING_STATUS=MR","SCALING_FORMAT=MLN","FA_ADJUSTED=GAAP","Sort=A","Dates=H","DateFormat=P","Fill=—","Direction=H","UseDPDF=Y")</f>
        <v>852</v>
      </c>
      <c r="V33" s="19">
        <f>_xll.BDH("AMGN US Equity","PRETAX_INC","FQ1 2024","FQ1 2024","Currency=USD","Period=FQ","BEST_FPERIOD_OVERRIDE=FQ","FILING_STATUS=MR","SCALING_FORMAT=MLN","FA_ADJUSTED=GAAP","Sort=A","Dates=H","DateFormat=P","Fill=—","Direction=H","UseDPDF=Y")</f>
        <v>-68</v>
      </c>
      <c r="W33" s="19">
        <f>_xll.BDH("AMGN US Equity","PRETAX_INC","FQ2 2024","FQ2 2024","Currency=USD","Period=FQ","BEST_FPERIOD_OVERRIDE=FQ","FILING_STATUS=MR","SCALING_FORMAT=MLN","FA_ADJUSTED=GAAP","Sort=A","Dates=H","DateFormat=P","Fill=—","Direction=H","UseDPDF=Y")</f>
        <v>794</v>
      </c>
      <c r="X33" s="19">
        <f>_xll.BDH("AMGN US Equity","PRETAX_INC","FQ3 2024","FQ3 2024","Currency=USD","Period=FQ","BEST_FPERIOD_OVERRIDE=FQ","FILING_STATUS=MR","SCALING_FORMAT=MLN","FA_ADJUSTED=GAAP","Sort=A","Dates=H","DateFormat=P","Fill=—","Direction=H","UseDPDF=Y")</f>
        <v>3101</v>
      </c>
      <c r="Y33" s="19">
        <f>_xll.BDH("AMGN US Equity","PRETAX_INC","FQ4 2024","FQ4 2024","Currency=USD","Period=FQ","BEST_FPERIOD_OVERRIDE=FQ","FILING_STATUS=MR","SCALING_FORMAT=MLN","FA_ADJUSTED=GAAP","Sort=A","Dates=H","DateFormat=P","Fill=—","Direction=H","UseDPDF=Y")</f>
        <v>782</v>
      </c>
      <c r="Z33" s="19">
        <v>2724.857</v>
      </c>
      <c r="AA33" s="19">
        <v>3384.0479999999998</v>
      </c>
    </row>
    <row r="34" spans="1:27" x14ac:dyDescent="0.25">
      <c r="A34" s="10" t="s">
        <v>357</v>
      </c>
      <c r="B34" s="10" t="s">
        <v>358</v>
      </c>
      <c r="C34" s="13">
        <f>_xll.BDH("AMGN US Equity","IS_INC_TAX_EXP","FQ2 2019","FQ2 2019","Currency=USD","Period=FQ","BEST_FPERIOD_OVERRIDE=FQ","FILING_STATUS=MR","SCALING_FORMAT=MLN","FA_ADJUSTED=GAAP","Sort=A","Dates=H","DateFormat=P","Fill=—","Direction=H","UseDPDF=Y")</f>
        <v>385</v>
      </c>
      <c r="D34" s="13">
        <f>_xll.BDH("AMGN US Equity","IS_INC_TAX_EXP","FQ3 2019","FQ3 2019","Currency=USD","Period=FQ","BEST_FPERIOD_OVERRIDE=FQ","FILING_STATUS=MR","SCALING_FORMAT=MLN","FA_ADJUSTED=GAAP","Sort=A","Dates=H","DateFormat=P","Fill=—","Direction=H","UseDPDF=Y")</f>
        <v>309</v>
      </c>
      <c r="E34" s="13">
        <f>_xll.BDH("AMGN US Equity","IS_INC_TAX_EXP","FQ4 2019","FQ4 2019","Currency=USD","Period=FQ","BEST_FPERIOD_OVERRIDE=FQ","FILING_STATUS=MR","SCALING_FORMAT=MLN","FA_ADJUSTED=GAAP","Sort=A","Dates=H","DateFormat=P","Fill=—","Direction=H","UseDPDF=Y")</f>
        <v>280</v>
      </c>
      <c r="F34" s="13">
        <f>_xll.BDH("AMGN US Equity","IS_INC_TAX_EXP","FQ1 2020","FQ1 2020","Currency=USD","Period=FQ","BEST_FPERIOD_OVERRIDE=FQ","FILING_STATUS=MR","SCALING_FORMAT=MLN","FA_ADJUSTED=GAAP","Sort=A","Dates=H","DateFormat=P","Fill=—","Direction=H","UseDPDF=Y")</f>
        <v>195</v>
      </c>
      <c r="G34" s="13">
        <f>_xll.BDH("AMGN US Equity","IS_INC_TAX_EXP","FQ2 2020","FQ2 2020","Currency=USD","Period=FQ","BEST_FPERIOD_OVERRIDE=FQ","FILING_STATUS=MR","SCALING_FORMAT=MLN","FA_ADJUSTED=GAAP","Sort=A","Dates=H","DateFormat=P","Fill=—","Direction=H","UseDPDF=Y")</f>
        <v>227</v>
      </c>
      <c r="H34" s="13">
        <f>_xll.BDH("AMGN US Equity","IS_INC_TAX_EXP","FQ3 2020","FQ3 2020","Currency=USD","Period=FQ","BEST_FPERIOD_OVERRIDE=FQ","FILING_STATUS=MR","SCALING_FORMAT=MLN","FA_ADJUSTED=GAAP","Sort=A","Dates=H","DateFormat=P","Fill=—","Direction=H","UseDPDF=Y")</f>
        <v>185</v>
      </c>
      <c r="I34" s="13">
        <f>_xll.BDH("AMGN US Equity","IS_INC_TAX_EXP","FQ4 2020","FQ4 2020","Currency=USD","Period=FQ","BEST_FPERIOD_OVERRIDE=FQ","FILING_STATUS=MR","SCALING_FORMAT=MLN","FA_ADJUSTED=GAAP","Sort=A","Dates=H","DateFormat=P","Fill=—","Direction=H","UseDPDF=Y")</f>
        <v>262</v>
      </c>
      <c r="J34" s="13">
        <f>_xll.BDH("AMGN US Equity","IS_INC_TAX_EXP","FQ1 2021","FQ1 2021","Currency=USD","Period=FQ","BEST_FPERIOD_OVERRIDE=FQ","FILING_STATUS=MR","SCALING_FORMAT=MLN","FA_ADJUSTED=GAAP","Sort=A","Dates=H","DateFormat=P","Fill=—","Direction=H","UseDPDF=Y")</f>
        <v>211</v>
      </c>
      <c r="K34" s="13">
        <f>_xll.BDH("AMGN US Equity","IS_INC_TAX_EXP","FQ2 2021","FQ2 2021","Currency=USD","Period=FQ","BEST_FPERIOD_OVERRIDE=FQ","FILING_STATUS=MR","SCALING_FORMAT=MLN","FA_ADJUSTED=GAAP","Sort=A","Dates=H","DateFormat=P","Fill=—","Direction=H","UseDPDF=Y")</f>
        <v>94</v>
      </c>
      <c r="L34" s="13">
        <f>_xll.BDH("AMGN US Equity","IS_INC_TAX_EXP","FQ3 2021","FQ3 2021","Currency=USD","Period=FQ","BEST_FPERIOD_OVERRIDE=FQ","FILING_STATUS=MR","SCALING_FORMAT=MLN","FA_ADJUSTED=GAAP","Sort=A","Dates=H","DateFormat=P","Fill=—","Direction=H","UseDPDF=Y")</f>
        <v>271</v>
      </c>
      <c r="M34" s="13">
        <f>_xll.BDH("AMGN US Equity","IS_INC_TAX_EXP","FQ4 2021","FQ4 2021","Currency=USD","Period=FQ","BEST_FPERIOD_OVERRIDE=FQ","FILING_STATUS=MR","SCALING_FORMAT=MLN","FA_ADJUSTED=GAAP","Sort=A","Dates=H","DateFormat=P","Fill=—","Direction=H","UseDPDF=Y")</f>
        <v>232</v>
      </c>
      <c r="N34" s="13">
        <f>_xll.BDH("AMGN US Equity","IS_INC_TAX_EXP","FQ1 2022","FQ1 2022","Currency=USD","Period=FQ","BEST_FPERIOD_OVERRIDE=FQ","FILING_STATUS=MR","SCALING_FORMAT=MLN","FA_ADJUSTED=GAAP","Sort=A","Dates=H","DateFormat=P","Fill=—","Direction=H","UseDPDF=Y")</f>
        <v>199</v>
      </c>
      <c r="O34" s="13">
        <f>_xll.BDH("AMGN US Equity","IS_INC_TAX_EXP","FQ2 2022","FQ2 2022","Currency=USD","Period=FQ","BEST_FPERIOD_OVERRIDE=FQ","FILING_STATUS=MR","SCALING_FORMAT=MLN","FA_ADJUSTED=GAAP","Sort=A","Dates=H","DateFormat=P","Fill=—","Direction=H","UseDPDF=Y")</f>
        <v>214</v>
      </c>
      <c r="P34" s="13">
        <f>_xll.BDH("AMGN US Equity","IS_INC_TAX_EXP","FQ3 2022","FQ3 2022","Currency=USD","Period=FQ","BEST_FPERIOD_OVERRIDE=FQ","FILING_STATUS=MR","SCALING_FORMAT=MLN","FA_ADJUSTED=GAAP","Sort=A","Dates=H","DateFormat=P","Fill=—","Direction=H","UseDPDF=Y")</f>
        <v>249</v>
      </c>
      <c r="Q34" s="13">
        <f>_xll.BDH("AMGN US Equity","IS_INC_TAX_EXP","FQ4 2022","FQ4 2022","Currency=USD","Period=FQ","BEST_FPERIOD_OVERRIDE=FQ","FILING_STATUS=MR","SCALING_FORMAT=MLN","FA_ADJUSTED=GAAP","Sort=A","Dates=H","DateFormat=P","Fill=—","Direction=H","UseDPDF=Y")</f>
        <v>132</v>
      </c>
      <c r="R34" s="13">
        <f>_xll.BDH("AMGN US Equity","IS_INC_TAX_EXP","FQ1 2023","FQ1 2023","Currency=USD","Period=FQ","BEST_FPERIOD_OVERRIDE=FQ","FILING_STATUS=MR","SCALING_FORMAT=MLN","FA_ADJUSTED=GAAP","Sort=A","Dates=H","DateFormat=P","Fill=—","Direction=H","UseDPDF=Y")</f>
        <v>601</v>
      </c>
      <c r="S34" s="13">
        <f>_xll.BDH("AMGN US Equity","IS_INC_TAX_EXP","FQ2 2023","FQ2 2023","Currency=USD","Period=FQ","BEST_FPERIOD_OVERRIDE=FQ","FILING_STATUS=MR","SCALING_FORMAT=MLN","FA_ADJUSTED=GAAP","Sort=A","Dates=H","DateFormat=P","Fill=—","Direction=H","UseDPDF=Y")</f>
        <v>235</v>
      </c>
      <c r="T34" s="13">
        <f>_xll.BDH("AMGN US Equity","IS_INC_TAX_EXP","FQ3 2023","FQ3 2023","Currency=USD","Period=FQ","BEST_FPERIOD_OVERRIDE=FQ","FILING_STATUS=MR","SCALING_FORMAT=MLN","FA_ADJUSTED=GAAP","Sort=A","Dates=H","DateFormat=P","Fill=—","Direction=H","UseDPDF=Y")</f>
        <v>217</v>
      </c>
      <c r="U34" s="13">
        <f>_xll.BDH("AMGN US Equity","IS_INC_TAX_EXP","FQ4 2023","FQ4 2023","Currency=USD","Period=FQ","BEST_FPERIOD_OVERRIDE=FQ","FILING_STATUS=MR","SCALING_FORMAT=MLN","FA_ADJUSTED=GAAP","Sort=A","Dates=H","DateFormat=P","Fill=—","Direction=H","UseDPDF=Y")</f>
        <v>85</v>
      </c>
      <c r="V34" s="13">
        <f>_xll.BDH("AMGN US Equity","IS_INC_TAX_EXP","FQ1 2024","FQ1 2024","Currency=USD","Period=FQ","BEST_FPERIOD_OVERRIDE=FQ","FILING_STATUS=MR","SCALING_FORMAT=MLN","FA_ADJUSTED=GAAP","Sort=A","Dates=H","DateFormat=P","Fill=—","Direction=H","UseDPDF=Y")</f>
        <v>45</v>
      </c>
      <c r="W34" s="13">
        <f>_xll.BDH("AMGN US Equity","IS_INC_TAX_EXP","FQ2 2024","FQ2 2024","Currency=USD","Period=FQ","BEST_FPERIOD_OVERRIDE=FQ","FILING_STATUS=MR","SCALING_FORMAT=MLN","FA_ADJUSTED=GAAP","Sort=A","Dates=H","DateFormat=P","Fill=—","Direction=H","UseDPDF=Y")</f>
        <v>48</v>
      </c>
      <c r="X34" s="13">
        <f>_xll.BDH("AMGN US Equity","IS_INC_TAX_EXP","FQ3 2024","FQ3 2024","Currency=USD","Period=FQ","BEST_FPERIOD_OVERRIDE=FQ","FILING_STATUS=MR","SCALING_FORMAT=MLN","FA_ADJUSTED=GAAP","Sort=A","Dates=H","DateFormat=P","Fill=—","Direction=H","UseDPDF=Y")</f>
        <v>271</v>
      </c>
      <c r="Y34" s="13">
        <f>_xll.BDH("AMGN US Equity","IS_INC_TAX_EXP","FQ4 2024","FQ4 2024","Currency=USD","Period=FQ","BEST_FPERIOD_OVERRIDE=FQ","FILING_STATUS=MR","SCALING_FORMAT=MLN","FA_ADJUSTED=GAAP","Sort=A","Dates=H","DateFormat=P","Fill=—","Direction=H","UseDPDF=Y")</f>
        <v>155</v>
      </c>
      <c r="Z34" s="13"/>
      <c r="AA34" s="13"/>
    </row>
    <row r="35" spans="1:27" x14ac:dyDescent="0.25">
      <c r="A35" s="6" t="s">
        <v>359</v>
      </c>
      <c r="B35" s="6" t="s">
        <v>360</v>
      </c>
      <c r="C35" s="19">
        <f>_xll.BDH("AMGN US Equity","IS_INC_BEF_XO_ITEM","FQ2 2019","FQ2 2019","Currency=USD","Period=FQ","BEST_FPERIOD_OVERRIDE=FQ","FILING_STATUS=MR","SCALING_FORMAT=MLN","Sort=A","Dates=H","DateFormat=P","Fill=—","Direction=H","UseDPDF=Y")</f>
        <v>2179</v>
      </c>
      <c r="D35" s="19">
        <f>_xll.BDH("AMGN US Equity","IS_INC_BEF_XO_ITEM","FQ3 2019","FQ3 2019","Currency=USD","Period=FQ","BEST_FPERIOD_OVERRIDE=FQ","FILING_STATUS=MR","SCALING_FORMAT=MLN","Sort=A","Dates=H","DateFormat=P","Fill=—","Direction=H","UseDPDF=Y")</f>
        <v>1968</v>
      </c>
      <c r="E35" s="19">
        <f>_xll.BDH("AMGN US Equity","IS_INC_BEF_XO_ITEM","FQ4 2019","FQ4 2019","Currency=USD","Period=FQ","BEST_FPERIOD_OVERRIDE=FQ","FILING_STATUS=MR","SCALING_FORMAT=MLN","Sort=A","Dates=H","DateFormat=P","Fill=—","Direction=H","UseDPDF=Y")</f>
        <v>1703</v>
      </c>
      <c r="F35" s="19">
        <f>_xll.BDH("AMGN US Equity","IS_INC_BEF_XO_ITEM","FQ1 2020","FQ1 2020","Currency=USD","Period=FQ","BEST_FPERIOD_OVERRIDE=FQ","FILING_STATUS=MR","SCALING_FORMAT=MLN","Sort=A","Dates=H","DateFormat=P","Fill=—","Direction=H","UseDPDF=Y")</f>
        <v>1825</v>
      </c>
      <c r="G35" s="19">
        <f>_xll.BDH("AMGN US Equity","IS_INC_BEF_XO_ITEM","FQ2 2020","FQ2 2020","Currency=USD","Period=FQ","BEST_FPERIOD_OVERRIDE=FQ","FILING_STATUS=MR","SCALING_FORMAT=MLN","Sort=A","Dates=H","DateFormat=P","Fill=—","Direction=H","UseDPDF=Y")</f>
        <v>1803</v>
      </c>
      <c r="H35" s="19">
        <f>_xll.BDH("AMGN US Equity","IS_INC_BEF_XO_ITEM","FQ3 2020","FQ3 2020","Currency=USD","Period=FQ","BEST_FPERIOD_OVERRIDE=FQ","FILING_STATUS=MR","SCALING_FORMAT=MLN","Sort=A","Dates=H","DateFormat=P","Fill=—","Direction=H","UseDPDF=Y")</f>
        <v>2021</v>
      </c>
      <c r="I35" s="19">
        <f>_xll.BDH("AMGN US Equity","IS_INC_BEF_XO_ITEM","FQ4 2020","FQ4 2020","Currency=USD","Period=FQ","BEST_FPERIOD_OVERRIDE=FQ","FILING_STATUS=MR","SCALING_FORMAT=MLN","Sort=A","Dates=H","DateFormat=P","Fill=—","Direction=H","UseDPDF=Y")</f>
        <v>1615</v>
      </c>
      <c r="J35" s="19">
        <f>_xll.BDH("AMGN US Equity","IS_INC_BEF_XO_ITEM","FQ1 2021","FQ1 2021","Currency=USD","Period=FQ","BEST_FPERIOD_OVERRIDE=FQ","FILING_STATUS=MR","SCALING_FORMAT=MLN","Sort=A","Dates=H","DateFormat=P","Fill=—","Direction=H","UseDPDF=Y")</f>
        <v>1646</v>
      </c>
      <c r="K35" s="19">
        <f>_xll.BDH("AMGN US Equity","IS_INC_BEF_XO_ITEM","FQ2 2021","FQ2 2021","Currency=USD","Period=FQ","BEST_FPERIOD_OVERRIDE=FQ","FILING_STATUS=MR","SCALING_FORMAT=MLN","Sort=A","Dates=H","DateFormat=P","Fill=—","Direction=H","UseDPDF=Y")</f>
        <v>464</v>
      </c>
      <c r="L35" s="19">
        <f>_xll.BDH("AMGN US Equity","IS_INC_BEF_XO_ITEM","FQ3 2021","FQ3 2021","Currency=USD","Period=FQ","BEST_FPERIOD_OVERRIDE=FQ","FILING_STATUS=MR","SCALING_FORMAT=MLN","Sort=A","Dates=H","DateFormat=P","Fill=—","Direction=H","UseDPDF=Y")</f>
        <v>1884</v>
      </c>
      <c r="M35" s="19">
        <f>_xll.BDH("AMGN US Equity","IS_INC_BEF_XO_ITEM","FQ4 2021","FQ4 2021","Currency=USD","Period=FQ","BEST_FPERIOD_OVERRIDE=FQ","FILING_STATUS=MR","SCALING_FORMAT=MLN","Sort=A","Dates=H","DateFormat=P","Fill=—","Direction=H","UseDPDF=Y")</f>
        <v>1899</v>
      </c>
      <c r="N35" s="19">
        <f>_xll.BDH("AMGN US Equity","IS_INC_BEF_XO_ITEM","FQ1 2022","FQ1 2022","Currency=USD","Period=FQ","BEST_FPERIOD_OVERRIDE=FQ","FILING_STATUS=MR","SCALING_FORMAT=MLN","Sort=A","Dates=H","DateFormat=P","Fill=—","Direction=H","UseDPDF=Y")</f>
        <v>1476</v>
      </c>
      <c r="O35" s="19">
        <f>_xll.BDH("AMGN US Equity","IS_INC_BEF_XO_ITEM","FQ2 2022","FQ2 2022","Currency=USD","Period=FQ","BEST_FPERIOD_OVERRIDE=FQ","FILING_STATUS=MR","SCALING_FORMAT=MLN","Sort=A","Dates=H","DateFormat=P","Fill=—","Direction=H","UseDPDF=Y")</f>
        <v>1317</v>
      </c>
      <c r="P35" s="19">
        <f>_xll.BDH("AMGN US Equity","IS_INC_BEF_XO_ITEM","FQ3 2022","FQ3 2022","Currency=USD","Period=FQ","BEST_FPERIOD_OVERRIDE=FQ","FILING_STATUS=MR","SCALING_FORMAT=MLN","Sort=A","Dates=H","DateFormat=P","Fill=—","Direction=H","UseDPDF=Y")</f>
        <v>2143</v>
      </c>
      <c r="Q35" s="19">
        <f>_xll.BDH("AMGN US Equity","IS_INC_BEF_XO_ITEM","FQ4 2022","FQ4 2022","Currency=USD","Period=FQ","BEST_FPERIOD_OVERRIDE=FQ","FILING_STATUS=MR","SCALING_FORMAT=MLN","Sort=A","Dates=H","DateFormat=P","Fill=—","Direction=H","UseDPDF=Y")</f>
        <v>1616</v>
      </c>
      <c r="R35" s="19">
        <f>_xll.BDH("AMGN US Equity","IS_INC_BEF_XO_ITEM","FQ1 2023","FQ1 2023","Currency=USD","Period=FQ","BEST_FPERIOD_OVERRIDE=FQ","FILING_STATUS=MR","SCALING_FORMAT=MLN","Sort=A","Dates=H","DateFormat=P","Fill=—","Direction=H","UseDPDF=Y")</f>
        <v>2841</v>
      </c>
      <c r="S35" s="19">
        <f>_xll.BDH("AMGN US Equity","IS_INC_BEF_XO_ITEM","FQ2 2023","FQ2 2023","Currency=USD","Period=FQ","BEST_FPERIOD_OVERRIDE=FQ","FILING_STATUS=MR","SCALING_FORMAT=MLN","Sort=A","Dates=H","DateFormat=P","Fill=—","Direction=H","UseDPDF=Y")</f>
        <v>1379</v>
      </c>
      <c r="T35" s="19">
        <f>_xll.BDH("AMGN US Equity","IS_INC_BEF_XO_ITEM","FQ3 2023","FQ3 2023","Currency=USD","Period=FQ","BEST_FPERIOD_OVERRIDE=FQ","FILING_STATUS=MR","SCALING_FORMAT=MLN","Sort=A","Dates=H","DateFormat=P","Fill=—","Direction=H","UseDPDF=Y")</f>
        <v>1730</v>
      </c>
      <c r="U35" s="19">
        <f>_xll.BDH("AMGN US Equity","IS_INC_BEF_XO_ITEM","FQ4 2023","FQ4 2023","Currency=USD","Period=FQ","BEST_FPERIOD_OVERRIDE=FQ","FILING_STATUS=MR","SCALING_FORMAT=MLN","Sort=A","Dates=H","DateFormat=P","Fill=—","Direction=H","UseDPDF=Y")</f>
        <v>767</v>
      </c>
      <c r="V35" s="19">
        <f>_xll.BDH("AMGN US Equity","IS_INC_BEF_XO_ITEM","FQ1 2024","FQ1 2024","Currency=USD","Period=FQ","BEST_FPERIOD_OVERRIDE=FQ","FILING_STATUS=MR","SCALING_FORMAT=MLN","Sort=A","Dates=H","DateFormat=P","Fill=—","Direction=H","UseDPDF=Y")</f>
        <v>-113</v>
      </c>
      <c r="W35" s="19">
        <f>_xll.BDH("AMGN US Equity","IS_INC_BEF_XO_ITEM","FQ2 2024","FQ2 2024","Currency=USD","Period=FQ","BEST_FPERIOD_OVERRIDE=FQ","FILING_STATUS=MR","SCALING_FORMAT=MLN","Sort=A","Dates=H","DateFormat=P","Fill=—","Direction=H","UseDPDF=Y")</f>
        <v>746</v>
      </c>
      <c r="X35" s="19">
        <f>_xll.BDH("AMGN US Equity","IS_INC_BEF_XO_ITEM","FQ3 2024","FQ3 2024","Currency=USD","Period=FQ","BEST_FPERIOD_OVERRIDE=FQ","FILING_STATUS=MR","SCALING_FORMAT=MLN","Sort=A","Dates=H","DateFormat=P","Fill=—","Direction=H","UseDPDF=Y")</f>
        <v>2830</v>
      </c>
      <c r="Y35" s="19">
        <f>_xll.BDH("AMGN US Equity","IS_INC_BEF_XO_ITEM","FQ4 2024","FQ4 2024","Currency=USD","Period=FQ","BEST_FPERIOD_OVERRIDE=FQ","FILING_STATUS=MR","SCALING_FORMAT=MLN","Sort=A","Dates=H","DateFormat=P","Fill=—","Direction=H","UseDPDF=Y")</f>
        <v>627</v>
      </c>
      <c r="Z35" s="19">
        <v>1233.143</v>
      </c>
      <c r="AA35" s="19">
        <v>1814.143</v>
      </c>
    </row>
    <row r="36" spans="1:27" x14ac:dyDescent="0.25">
      <c r="A36" s="10" t="s">
        <v>361</v>
      </c>
      <c r="B36" s="10" t="s">
        <v>362</v>
      </c>
      <c r="C36" s="13">
        <f>_xll.BDH("AMGN US Equity","XO_GL_NET_OF_TAX","FQ2 2019","FQ2 2019","Currency=USD","Period=FQ","BEST_FPERIOD_OVERRIDE=FQ","FILING_STATUS=MR","SCALING_FORMAT=MLN","Sort=A","Dates=H","DateFormat=P","Fill=—","Direction=H","UseDPDF=Y")</f>
        <v>0</v>
      </c>
      <c r="D36" s="13">
        <f>_xll.BDH("AMGN US Equity","XO_GL_NET_OF_TAX","FQ3 2019","FQ3 2019","Currency=USD","Period=FQ","BEST_FPERIOD_OVERRIDE=FQ","FILING_STATUS=MR","SCALING_FORMAT=MLN","Sort=A","Dates=H","DateFormat=P","Fill=—","Direction=H","UseDPDF=Y")</f>
        <v>0</v>
      </c>
      <c r="E36" s="13">
        <f>_xll.BDH("AMGN US Equity","XO_GL_NET_OF_TAX","FQ4 2019","FQ4 2019","Currency=USD","Period=FQ","BEST_FPERIOD_OVERRIDE=FQ","FILING_STATUS=MR","SCALING_FORMAT=MLN","Sort=A","Dates=H","DateFormat=P","Fill=—","Direction=H","UseDPDF=Y")</f>
        <v>0</v>
      </c>
      <c r="F36" s="13">
        <f>_xll.BDH("AMGN US Equity","XO_GL_NET_OF_TAX","FQ1 2020","FQ1 2020","Currency=USD","Period=FQ","BEST_FPERIOD_OVERRIDE=FQ","FILING_STATUS=MR","SCALING_FORMAT=MLN","Sort=A","Dates=H","DateFormat=P","Fill=—","Direction=H","UseDPDF=Y")</f>
        <v>0</v>
      </c>
      <c r="G36" s="13">
        <f>_xll.BDH("AMGN US Equity","XO_GL_NET_OF_TAX","FQ2 2020","FQ2 2020","Currency=USD","Period=FQ","BEST_FPERIOD_OVERRIDE=FQ","FILING_STATUS=MR","SCALING_FORMAT=MLN","Sort=A","Dates=H","DateFormat=P","Fill=—","Direction=H","UseDPDF=Y")</f>
        <v>0</v>
      </c>
      <c r="H36" s="13">
        <f>_xll.BDH("AMGN US Equity","XO_GL_NET_OF_TAX","FQ3 2020","FQ3 2020","Currency=USD","Period=FQ","BEST_FPERIOD_OVERRIDE=FQ","FILING_STATUS=MR","SCALING_FORMAT=MLN","Sort=A","Dates=H","DateFormat=P","Fill=—","Direction=H","UseDPDF=Y")</f>
        <v>0</v>
      </c>
      <c r="I36" s="13">
        <f>_xll.BDH("AMGN US Equity","XO_GL_NET_OF_TAX","FQ4 2020","FQ4 2020","Currency=USD","Period=FQ","BEST_FPERIOD_OVERRIDE=FQ","FILING_STATUS=MR","SCALING_FORMAT=MLN","Sort=A","Dates=H","DateFormat=P","Fill=—","Direction=H","UseDPDF=Y")</f>
        <v>0</v>
      </c>
      <c r="J36" s="13">
        <f>_xll.BDH("AMGN US Equity","XO_GL_NET_OF_TAX","FQ1 2021","FQ1 2021","Currency=USD","Period=FQ","BEST_FPERIOD_OVERRIDE=FQ","FILING_STATUS=MR","SCALING_FORMAT=MLN","Sort=A","Dates=H","DateFormat=P","Fill=—","Direction=H","UseDPDF=Y")</f>
        <v>0</v>
      </c>
      <c r="K36" s="13">
        <f>_xll.BDH("AMGN US Equity","XO_GL_NET_OF_TAX","FQ2 2021","FQ2 2021","Currency=USD","Period=FQ","BEST_FPERIOD_OVERRIDE=FQ","FILING_STATUS=MR","SCALING_FORMAT=MLN","Sort=A","Dates=H","DateFormat=P","Fill=—","Direction=H","UseDPDF=Y")</f>
        <v>0</v>
      </c>
      <c r="L36" s="13">
        <f>_xll.BDH("AMGN US Equity","XO_GL_NET_OF_TAX","FQ3 2021","FQ3 2021","Currency=USD","Period=FQ","BEST_FPERIOD_OVERRIDE=FQ","FILING_STATUS=MR","SCALING_FORMAT=MLN","Sort=A","Dates=H","DateFormat=P","Fill=—","Direction=H","UseDPDF=Y")</f>
        <v>0</v>
      </c>
      <c r="M36" s="13">
        <f>_xll.BDH("AMGN US Equity","XO_GL_NET_OF_TAX","FQ4 2021","FQ4 2021","Currency=USD","Period=FQ","BEST_FPERIOD_OVERRIDE=FQ","FILING_STATUS=MR","SCALING_FORMAT=MLN","Sort=A","Dates=H","DateFormat=P","Fill=—","Direction=H","UseDPDF=Y")</f>
        <v>0</v>
      </c>
      <c r="N36" s="13">
        <f>_xll.BDH("AMGN US Equity","XO_GL_NET_OF_TAX","FQ1 2022","FQ1 2022","Currency=USD","Period=FQ","BEST_FPERIOD_OVERRIDE=FQ","FILING_STATUS=MR","SCALING_FORMAT=MLN","Sort=A","Dates=H","DateFormat=P","Fill=—","Direction=H","UseDPDF=Y")</f>
        <v>0</v>
      </c>
      <c r="O36" s="13">
        <f>_xll.BDH("AMGN US Equity","XO_GL_NET_OF_TAX","FQ2 2022","FQ2 2022","Currency=USD","Period=FQ","BEST_FPERIOD_OVERRIDE=FQ","FILING_STATUS=MR","SCALING_FORMAT=MLN","Sort=A","Dates=H","DateFormat=P","Fill=—","Direction=H","UseDPDF=Y")</f>
        <v>0</v>
      </c>
      <c r="P36" s="13">
        <f>_xll.BDH("AMGN US Equity","XO_GL_NET_OF_TAX","FQ3 2022","FQ3 2022","Currency=USD","Period=FQ","BEST_FPERIOD_OVERRIDE=FQ","FILING_STATUS=MR","SCALING_FORMAT=MLN","Sort=A","Dates=H","DateFormat=P","Fill=—","Direction=H","UseDPDF=Y")</f>
        <v>0</v>
      </c>
      <c r="Q36" s="13">
        <f>_xll.BDH("AMGN US Equity","XO_GL_NET_OF_TAX","FQ4 2022","FQ4 2022","Currency=USD","Period=FQ","BEST_FPERIOD_OVERRIDE=FQ","FILING_STATUS=MR","SCALING_FORMAT=MLN","Sort=A","Dates=H","DateFormat=P","Fill=—","Direction=H","UseDPDF=Y")</f>
        <v>0</v>
      </c>
      <c r="R36" s="13">
        <f>_xll.BDH("AMGN US Equity","XO_GL_NET_OF_TAX","FQ1 2023","FQ1 2023","Currency=USD","Period=FQ","BEST_FPERIOD_OVERRIDE=FQ","FILING_STATUS=MR","SCALING_FORMAT=MLN","Sort=A","Dates=H","DateFormat=P","Fill=—","Direction=H","UseDPDF=Y")</f>
        <v>0</v>
      </c>
      <c r="S36" s="13">
        <f>_xll.BDH("AMGN US Equity","XO_GL_NET_OF_TAX","FQ2 2023","FQ2 2023","Currency=USD","Period=FQ","BEST_FPERIOD_OVERRIDE=FQ","FILING_STATUS=MR","SCALING_FORMAT=MLN","Sort=A","Dates=H","DateFormat=P","Fill=—","Direction=H","UseDPDF=Y")</f>
        <v>0</v>
      </c>
      <c r="T36" s="13">
        <f>_xll.BDH("AMGN US Equity","XO_GL_NET_OF_TAX","FQ3 2023","FQ3 2023","Currency=USD","Period=FQ","BEST_FPERIOD_OVERRIDE=FQ","FILING_STATUS=MR","SCALING_FORMAT=MLN","Sort=A","Dates=H","DateFormat=P","Fill=—","Direction=H","UseDPDF=Y")</f>
        <v>0</v>
      </c>
      <c r="U36" s="13">
        <f>_xll.BDH("AMGN US Equity","XO_GL_NET_OF_TAX","FQ4 2023","FQ4 2023","Currency=USD","Period=FQ","BEST_FPERIOD_OVERRIDE=FQ","FILING_STATUS=MR","SCALING_FORMAT=MLN","Sort=A","Dates=H","DateFormat=P","Fill=—","Direction=H","UseDPDF=Y")</f>
        <v>0</v>
      </c>
      <c r="V36" s="13">
        <f>_xll.BDH("AMGN US Equity","XO_GL_NET_OF_TAX","FQ1 2024","FQ1 2024","Currency=USD","Period=FQ","BEST_FPERIOD_OVERRIDE=FQ","FILING_STATUS=MR","SCALING_FORMAT=MLN","Sort=A","Dates=H","DateFormat=P","Fill=—","Direction=H","UseDPDF=Y")</f>
        <v>0</v>
      </c>
      <c r="W36" s="13">
        <f>_xll.BDH("AMGN US Equity","XO_GL_NET_OF_TAX","FQ2 2024","FQ2 2024","Currency=USD","Period=FQ","BEST_FPERIOD_OVERRIDE=FQ","FILING_STATUS=MR","SCALING_FORMAT=MLN","Sort=A","Dates=H","DateFormat=P","Fill=—","Direction=H","UseDPDF=Y")</f>
        <v>0</v>
      </c>
      <c r="X36" s="13">
        <f>_xll.BDH("AMGN US Equity","XO_GL_NET_OF_TAX","FQ3 2024","FQ3 2024","Currency=USD","Period=FQ","BEST_FPERIOD_OVERRIDE=FQ","FILING_STATUS=MR","SCALING_FORMAT=MLN","Sort=A","Dates=H","DateFormat=P","Fill=—","Direction=H","UseDPDF=Y")</f>
        <v>0</v>
      </c>
      <c r="Y36" s="13">
        <f>_xll.BDH("AMGN US Equity","XO_GL_NET_OF_TAX","FQ4 2024","FQ4 2024","Currency=USD","Period=FQ","BEST_FPERIOD_OVERRIDE=FQ","FILING_STATUS=MR","SCALING_FORMAT=MLN","Sort=A","Dates=H","DateFormat=P","Fill=—","Direction=H","UseDPDF=Y")</f>
        <v>0</v>
      </c>
      <c r="Z36" s="13"/>
      <c r="AA36" s="13"/>
    </row>
    <row r="37" spans="1:27" x14ac:dyDescent="0.25">
      <c r="A37" s="10" t="s">
        <v>363</v>
      </c>
      <c r="B37" s="10" t="s">
        <v>364</v>
      </c>
      <c r="C37" s="13">
        <f>_xll.BDH("AMGN US Equity","IS_DISCONTINUED_OPERATIONS","FQ2 2019","FQ2 2019","Currency=USD","Period=FQ","BEST_FPERIOD_OVERRIDE=FQ","FILING_STATUS=MR","SCALING_FORMAT=MLN","Sort=A","Dates=H","DateFormat=P","Fill=—","Direction=H","UseDPDF=Y")</f>
        <v>0</v>
      </c>
      <c r="D37" s="13">
        <f>_xll.BDH("AMGN US Equity","IS_DISCONTINUED_OPERATIONS","FQ3 2019","FQ3 2019","Currency=USD","Period=FQ","BEST_FPERIOD_OVERRIDE=FQ","FILING_STATUS=MR","SCALING_FORMAT=MLN","Sort=A","Dates=H","DateFormat=P","Fill=—","Direction=H","UseDPDF=Y")</f>
        <v>0</v>
      </c>
      <c r="E37" s="13">
        <f>_xll.BDH("AMGN US Equity","IS_DISCONTINUED_OPERATIONS","FQ4 2019","FQ4 2019","Currency=USD","Period=FQ","BEST_FPERIOD_OVERRIDE=FQ","FILING_STATUS=MR","SCALING_FORMAT=MLN","Sort=A","Dates=H","DateFormat=P","Fill=—","Direction=H","UseDPDF=Y")</f>
        <v>0</v>
      </c>
      <c r="F37" s="13">
        <f>_xll.BDH("AMGN US Equity","IS_DISCONTINUED_OPERATIONS","FQ1 2020","FQ1 2020","Currency=USD","Period=FQ","BEST_FPERIOD_OVERRIDE=FQ","FILING_STATUS=MR","SCALING_FORMAT=MLN","Sort=A","Dates=H","DateFormat=P","Fill=—","Direction=H","UseDPDF=Y")</f>
        <v>0</v>
      </c>
      <c r="G37" s="13">
        <f>_xll.BDH("AMGN US Equity","IS_DISCONTINUED_OPERATIONS","FQ2 2020","FQ2 2020","Currency=USD","Period=FQ","BEST_FPERIOD_OVERRIDE=FQ","FILING_STATUS=MR","SCALING_FORMAT=MLN","Sort=A","Dates=H","DateFormat=P","Fill=—","Direction=H","UseDPDF=Y")</f>
        <v>0</v>
      </c>
      <c r="H37" s="13">
        <f>_xll.BDH("AMGN US Equity","IS_DISCONTINUED_OPERATIONS","FQ3 2020","FQ3 2020","Currency=USD","Period=FQ","BEST_FPERIOD_OVERRIDE=FQ","FILING_STATUS=MR","SCALING_FORMAT=MLN","Sort=A","Dates=H","DateFormat=P","Fill=—","Direction=H","UseDPDF=Y")</f>
        <v>0</v>
      </c>
      <c r="I37" s="13">
        <f>_xll.BDH("AMGN US Equity","IS_DISCONTINUED_OPERATIONS","FQ4 2020","FQ4 2020","Currency=USD","Period=FQ","BEST_FPERIOD_OVERRIDE=FQ","FILING_STATUS=MR","SCALING_FORMAT=MLN","Sort=A","Dates=H","DateFormat=P","Fill=—","Direction=H","UseDPDF=Y")</f>
        <v>0</v>
      </c>
      <c r="J37" s="13">
        <f>_xll.BDH("AMGN US Equity","IS_DISCONTINUED_OPERATIONS","FQ1 2021","FQ1 2021","Currency=USD","Period=FQ","BEST_FPERIOD_OVERRIDE=FQ","FILING_STATUS=MR","SCALING_FORMAT=MLN","Sort=A","Dates=H","DateFormat=P","Fill=—","Direction=H","UseDPDF=Y")</f>
        <v>0</v>
      </c>
      <c r="K37" s="13">
        <f>_xll.BDH("AMGN US Equity","IS_DISCONTINUED_OPERATIONS","FQ2 2021","FQ2 2021","Currency=USD","Period=FQ","BEST_FPERIOD_OVERRIDE=FQ","FILING_STATUS=MR","SCALING_FORMAT=MLN","Sort=A","Dates=H","DateFormat=P","Fill=—","Direction=H","UseDPDF=Y")</f>
        <v>0</v>
      </c>
      <c r="L37" s="13">
        <f>_xll.BDH("AMGN US Equity","IS_DISCONTINUED_OPERATIONS","FQ3 2021","FQ3 2021","Currency=USD","Period=FQ","BEST_FPERIOD_OVERRIDE=FQ","FILING_STATUS=MR","SCALING_FORMAT=MLN","Sort=A","Dates=H","DateFormat=P","Fill=—","Direction=H","UseDPDF=Y")</f>
        <v>0</v>
      </c>
      <c r="M37" s="13">
        <f>_xll.BDH("AMGN US Equity","IS_DISCONTINUED_OPERATIONS","FQ4 2021","FQ4 2021","Currency=USD","Period=FQ","BEST_FPERIOD_OVERRIDE=FQ","FILING_STATUS=MR","SCALING_FORMAT=MLN","Sort=A","Dates=H","DateFormat=P","Fill=—","Direction=H","UseDPDF=Y")</f>
        <v>0</v>
      </c>
      <c r="N37" s="13">
        <f>_xll.BDH("AMGN US Equity","IS_DISCONTINUED_OPERATIONS","FQ1 2022","FQ1 2022","Currency=USD","Period=FQ","BEST_FPERIOD_OVERRIDE=FQ","FILING_STATUS=MR","SCALING_FORMAT=MLN","Sort=A","Dates=H","DateFormat=P","Fill=—","Direction=H","UseDPDF=Y")</f>
        <v>0</v>
      </c>
      <c r="O37" s="13">
        <f>_xll.BDH("AMGN US Equity","IS_DISCONTINUED_OPERATIONS","FQ2 2022","FQ2 2022","Currency=USD","Period=FQ","BEST_FPERIOD_OVERRIDE=FQ","FILING_STATUS=MR","SCALING_FORMAT=MLN","Sort=A","Dates=H","DateFormat=P","Fill=—","Direction=H","UseDPDF=Y")</f>
        <v>0</v>
      </c>
      <c r="P37" s="13">
        <f>_xll.BDH("AMGN US Equity","IS_DISCONTINUED_OPERATIONS","FQ3 2022","FQ3 2022","Currency=USD","Period=FQ","BEST_FPERIOD_OVERRIDE=FQ","FILING_STATUS=MR","SCALING_FORMAT=MLN","Sort=A","Dates=H","DateFormat=P","Fill=—","Direction=H","UseDPDF=Y")</f>
        <v>0</v>
      </c>
      <c r="Q37" s="13">
        <f>_xll.BDH("AMGN US Equity","IS_DISCONTINUED_OPERATIONS","FQ4 2022","FQ4 2022","Currency=USD","Period=FQ","BEST_FPERIOD_OVERRIDE=FQ","FILING_STATUS=MR","SCALING_FORMAT=MLN","Sort=A","Dates=H","DateFormat=P","Fill=—","Direction=H","UseDPDF=Y")</f>
        <v>0</v>
      </c>
      <c r="R37" s="13">
        <f>_xll.BDH("AMGN US Equity","IS_DISCONTINUED_OPERATIONS","FQ1 2023","FQ1 2023","Currency=USD","Period=FQ","BEST_FPERIOD_OVERRIDE=FQ","FILING_STATUS=MR","SCALING_FORMAT=MLN","Sort=A","Dates=H","DateFormat=P","Fill=—","Direction=H","UseDPDF=Y")</f>
        <v>0</v>
      </c>
      <c r="S37" s="13">
        <f>_xll.BDH("AMGN US Equity","IS_DISCONTINUED_OPERATIONS","FQ2 2023","FQ2 2023","Currency=USD","Period=FQ","BEST_FPERIOD_OVERRIDE=FQ","FILING_STATUS=MR","SCALING_FORMAT=MLN","Sort=A","Dates=H","DateFormat=P","Fill=—","Direction=H","UseDPDF=Y")</f>
        <v>0</v>
      </c>
      <c r="T37" s="13">
        <f>_xll.BDH("AMGN US Equity","IS_DISCONTINUED_OPERATIONS","FQ3 2023","FQ3 2023","Currency=USD","Period=FQ","BEST_FPERIOD_OVERRIDE=FQ","FILING_STATUS=MR","SCALING_FORMAT=MLN","Sort=A","Dates=H","DateFormat=P","Fill=—","Direction=H","UseDPDF=Y")</f>
        <v>0</v>
      </c>
      <c r="U37" s="13">
        <f>_xll.BDH("AMGN US Equity","IS_DISCONTINUED_OPERATIONS","FQ4 2023","FQ4 2023","Currency=USD","Period=FQ","BEST_FPERIOD_OVERRIDE=FQ","FILING_STATUS=MR","SCALING_FORMAT=MLN","Sort=A","Dates=H","DateFormat=P","Fill=—","Direction=H","UseDPDF=Y")</f>
        <v>0</v>
      </c>
      <c r="V37" s="13">
        <f>_xll.BDH("AMGN US Equity","IS_DISCONTINUED_OPERATIONS","FQ1 2024","FQ1 2024","Currency=USD","Period=FQ","BEST_FPERIOD_OVERRIDE=FQ","FILING_STATUS=MR","SCALING_FORMAT=MLN","Sort=A","Dates=H","DateFormat=P","Fill=—","Direction=H","UseDPDF=Y")</f>
        <v>0</v>
      </c>
      <c r="W37" s="13">
        <f>_xll.BDH("AMGN US Equity","IS_DISCONTINUED_OPERATIONS","FQ2 2024","FQ2 2024","Currency=USD","Period=FQ","BEST_FPERIOD_OVERRIDE=FQ","FILING_STATUS=MR","SCALING_FORMAT=MLN","Sort=A","Dates=H","DateFormat=P","Fill=—","Direction=H","UseDPDF=Y")</f>
        <v>0</v>
      </c>
      <c r="X37" s="13">
        <f>_xll.BDH("AMGN US Equity","IS_DISCONTINUED_OPERATIONS","FQ3 2024","FQ3 2024","Currency=USD","Period=FQ","BEST_FPERIOD_OVERRIDE=FQ","FILING_STATUS=MR","SCALING_FORMAT=MLN","Sort=A","Dates=H","DateFormat=P","Fill=—","Direction=H","UseDPDF=Y")</f>
        <v>0</v>
      </c>
      <c r="Y37" s="13">
        <f>_xll.BDH("AMGN US Equity","IS_DISCONTINUED_OPERATIONS","FQ4 2024","FQ4 2024","Currency=USD","Period=FQ","BEST_FPERIOD_OVERRIDE=FQ","FILING_STATUS=MR","SCALING_FORMAT=MLN","Sort=A","Dates=H","DateFormat=P","Fill=—","Direction=H","UseDPDF=Y")</f>
        <v>0</v>
      </c>
      <c r="Z37" s="13"/>
      <c r="AA37" s="13"/>
    </row>
    <row r="38" spans="1:27" x14ac:dyDescent="0.25">
      <c r="A38" s="10" t="s">
        <v>365</v>
      </c>
      <c r="B38" s="10" t="s">
        <v>366</v>
      </c>
      <c r="C38" s="13">
        <f>_xll.BDH("AMGN US Equity","EXTRAORD_ITEMS_ACCOUNTING_CHANGS","FQ2 2019","FQ2 2019","Currency=USD","Period=FQ","BEST_FPERIOD_OVERRIDE=FQ","FILING_STATUS=MR","SCALING_FORMAT=MLN","Sort=A","Dates=H","DateFormat=P","Fill=—","Direction=H","UseDPDF=Y")</f>
        <v>0</v>
      </c>
      <c r="D38" s="13">
        <f>_xll.BDH("AMGN US Equity","EXTRAORD_ITEMS_ACCOUNTING_CHANGS","FQ3 2019","FQ3 2019","Currency=USD","Period=FQ","BEST_FPERIOD_OVERRIDE=FQ","FILING_STATUS=MR","SCALING_FORMAT=MLN","Sort=A","Dates=H","DateFormat=P","Fill=—","Direction=H","UseDPDF=Y")</f>
        <v>0</v>
      </c>
      <c r="E38" s="13">
        <f>_xll.BDH("AMGN US Equity","EXTRAORD_ITEMS_ACCOUNTING_CHANGS","FQ4 2019","FQ4 2019","Currency=USD","Period=FQ","BEST_FPERIOD_OVERRIDE=FQ","FILING_STATUS=MR","SCALING_FORMAT=MLN","Sort=A","Dates=H","DateFormat=P","Fill=—","Direction=H","UseDPDF=Y")</f>
        <v>0</v>
      </c>
      <c r="F38" s="13">
        <f>_xll.BDH("AMGN US Equity","EXTRAORD_ITEMS_ACCOUNTING_CHANGS","FQ1 2020","FQ1 2020","Currency=USD","Period=FQ","BEST_FPERIOD_OVERRIDE=FQ","FILING_STATUS=MR","SCALING_FORMAT=MLN","Sort=A","Dates=H","DateFormat=P","Fill=—","Direction=H","UseDPDF=Y")</f>
        <v>0</v>
      </c>
      <c r="G38" s="13">
        <f>_xll.BDH("AMGN US Equity","EXTRAORD_ITEMS_ACCOUNTING_CHANGS","FQ2 2020","FQ2 2020","Currency=USD","Period=FQ","BEST_FPERIOD_OVERRIDE=FQ","FILING_STATUS=MR","SCALING_FORMAT=MLN","Sort=A","Dates=H","DateFormat=P","Fill=—","Direction=H","UseDPDF=Y")</f>
        <v>0</v>
      </c>
      <c r="H38" s="13">
        <f>_xll.BDH("AMGN US Equity","EXTRAORD_ITEMS_ACCOUNTING_CHANGS","FQ3 2020","FQ3 2020","Currency=USD","Period=FQ","BEST_FPERIOD_OVERRIDE=FQ","FILING_STATUS=MR","SCALING_FORMAT=MLN","Sort=A","Dates=H","DateFormat=P","Fill=—","Direction=H","UseDPDF=Y")</f>
        <v>0</v>
      </c>
      <c r="I38" s="13">
        <f>_xll.BDH("AMGN US Equity","EXTRAORD_ITEMS_ACCOUNTING_CHANGS","FQ4 2020","FQ4 2020","Currency=USD","Period=FQ","BEST_FPERIOD_OVERRIDE=FQ","FILING_STATUS=MR","SCALING_FORMAT=MLN","Sort=A","Dates=H","DateFormat=P","Fill=—","Direction=H","UseDPDF=Y")</f>
        <v>0</v>
      </c>
      <c r="J38" s="13">
        <f>_xll.BDH("AMGN US Equity","EXTRAORD_ITEMS_ACCOUNTING_CHANGS","FQ1 2021","FQ1 2021","Currency=USD","Period=FQ","BEST_FPERIOD_OVERRIDE=FQ","FILING_STATUS=MR","SCALING_FORMAT=MLN","Sort=A","Dates=H","DateFormat=P","Fill=—","Direction=H","UseDPDF=Y")</f>
        <v>0</v>
      </c>
      <c r="K38" s="13">
        <f>_xll.BDH("AMGN US Equity","EXTRAORD_ITEMS_ACCOUNTING_CHANGS","FQ2 2021","FQ2 2021","Currency=USD","Period=FQ","BEST_FPERIOD_OVERRIDE=FQ","FILING_STATUS=MR","SCALING_FORMAT=MLN","Sort=A","Dates=H","DateFormat=P","Fill=—","Direction=H","UseDPDF=Y")</f>
        <v>0</v>
      </c>
      <c r="L38" s="13">
        <f>_xll.BDH("AMGN US Equity","EXTRAORD_ITEMS_ACCOUNTING_CHANGS","FQ3 2021","FQ3 2021","Currency=USD","Period=FQ","BEST_FPERIOD_OVERRIDE=FQ","FILING_STATUS=MR","SCALING_FORMAT=MLN","Sort=A","Dates=H","DateFormat=P","Fill=—","Direction=H","UseDPDF=Y")</f>
        <v>0</v>
      </c>
      <c r="M38" s="13">
        <f>_xll.BDH("AMGN US Equity","EXTRAORD_ITEMS_ACCOUNTING_CHANGS","FQ4 2021","FQ4 2021","Currency=USD","Period=FQ","BEST_FPERIOD_OVERRIDE=FQ","FILING_STATUS=MR","SCALING_FORMAT=MLN","Sort=A","Dates=H","DateFormat=P","Fill=—","Direction=H","UseDPDF=Y")</f>
        <v>0</v>
      </c>
      <c r="N38" s="13">
        <f>_xll.BDH("AMGN US Equity","EXTRAORD_ITEMS_ACCOUNTING_CHANGS","FQ1 2022","FQ1 2022","Currency=USD","Period=FQ","BEST_FPERIOD_OVERRIDE=FQ","FILING_STATUS=MR","SCALING_FORMAT=MLN","Sort=A","Dates=H","DateFormat=P","Fill=—","Direction=H","UseDPDF=Y")</f>
        <v>0</v>
      </c>
      <c r="O38" s="13">
        <f>_xll.BDH("AMGN US Equity","EXTRAORD_ITEMS_ACCOUNTING_CHANGS","FQ2 2022","FQ2 2022","Currency=USD","Period=FQ","BEST_FPERIOD_OVERRIDE=FQ","FILING_STATUS=MR","SCALING_FORMAT=MLN","Sort=A","Dates=H","DateFormat=P","Fill=—","Direction=H","UseDPDF=Y")</f>
        <v>0</v>
      </c>
      <c r="P38" s="13">
        <f>_xll.BDH("AMGN US Equity","EXTRAORD_ITEMS_ACCOUNTING_CHANGS","FQ3 2022","FQ3 2022","Currency=USD","Period=FQ","BEST_FPERIOD_OVERRIDE=FQ","FILING_STATUS=MR","SCALING_FORMAT=MLN","Sort=A","Dates=H","DateFormat=P","Fill=—","Direction=H","UseDPDF=Y")</f>
        <v>0</v>
      </c>
      <c r="Q38" s="13">
        <f>_xll.BDH("AMGN US Equity","EXTRAORD_ITEMS_ACCOUNTING_CHANGS","FQ4 2022","FQ4 2022","Currency=USD","Period=FQ","BEST_FPERIOD_OVERRIDE=FQ","FILING_STATUS=MR","SCALING_FORMAT=MLN","Sort=A","Dates=H","DateFormat=P","Fill=—","Direction=H","UseDPDF=Y")</f>
        <v>0</v>
      </c>
      <c r="R38" s="13">
        <f>_xll.BDH("AMGN US Equity","EXTRAORD_ITEMS_ACCOUNTING_CHANGS","FQ1 2023","FQ1 2023","Currency=USD","Period=FQ","BEST_FPERIOD_OVERRIDE=FQ","FILING_STATUS=MR","SCALING_FORMAT=MLN","Sort=A","Dates=H","DateFormat=P","Fill=—","Direction=H","UseDPDF=Y")</f>
        <v>0</v>
      </c>
      <c r="S38" s="13">
        <f>_xll.BDH("AMGN US Equity","EXTRAORD_ITEMS_ACCOUNTING_CHANGS","FQ2 2023","FQ2 2023","Currency=USD","Period=FQ","BEST_FPERIOD_OVERRIDE=FQ","FILING_STATUS=MR","SCALING_FORMAT=MLN","Sort=A","Dates=H","DateFormat=P","Fill=—","Direction=H","UseDPDF=Y")</f>
        <v>0</v>
      </c>
      <c r="T38" s="13">
        <f>_xll.BDH("AMGN US Equity","EXTRAORD_ITEMS_ACCOUNTING_CHANGS","FQ3 2023","FQ3 2023","Currency=USD","Period=FQ","BEST_FPERIOD_OVERRIDE=FQ","FILING_STATUS=MR","SCALING_FORMAT=MLN","Sort=A","Dates=H","DateFormat=P","Fill=—","Direction=H","UseDPDF=Y")</f>
        <v>0</v>
      </c>
      <c r="U38" s="13">
        <f>_xll.BDH("AMGN US Equity","EXTRAORD_ITEMS_ACCOUNTING_CHANGS","FQ4 2023","FQ4 2023","Currency=USD","Period=FQ","BEST_FPERIOD_OVERRIDE=FQ","FILING_STATUS=MR","SCALING_FORMAT=MLN","Sort=A","Dates=H","DateFormat=P","Fill=—","Direction=H","UseDPDF=Y")</f>
        <v>0</v>
      </c>
      <c r="V38" s="13">
        <f>_xll.BDH("AMGN US Equity","EXTRAORD_ITEMS_ACCOUNTING_CHANGS","FQ1 2024","FQ1 2024","Currency=USD","Period=FQ","BEST_FPERIOD_OVERRIDE=FQ","FILING_STATUS=MR","SCALING_FORMAT=MLN","Sort=A","Dates=H","DateFormat=P","Fill=—","Direction=H","UseDPDF=Y")</f>
        <v>0</v>
      </c>
      <c r="W38" s="13">
        <f>_xll.BDH("AMGN US Equity","EXTRAORD_ITEMS_ACCOUNTING_CHANGS","FQ2 2024","FQ2 2024","Currency=USD","Period=FQ","BEST_FPERIOD_OVERRIDE=FQ","FILING_STATUS=MR","SCALING_FORMAT=MLN","Sort=A","Dates=H","DateFormat=P","Fill=—","Direction=H","UseDPDF=Y")</f>
        <v>0</v>
      </c>
      <c r="X38" s="13">
        <f>_xll.BDH("AMGN US Equity","EXTRAORD_ITEMS_ACCOUNTING_CHANGS","FQ3 2024","FQ3 2024","Currency=USD","Period=FQ","BEST_FPERIOD_OVERRIDE=FQ","FILING_STATUS=MR","SCALING_FORMAT=MLN","Sort=A","Dates=H","DateFormat=P","Fill=—","Direction=H","UseDPDF=Y")</f>
        <v>0</v>
      </c>
      <c r="Y38" s="13">
        <f>_xll.BDH("AMGN US Equity","EXTRAORD_ITEMS_ACCOUNTING_CHANGS","FQ4 2024","FQ4 2024","Currency=USD","Period=FQ","BEST_FPERIOD_OVERRIDE=FQ","FILING_STATUS=MR","SCALING_FORMAT=MLN","Sort=A","Dates=H","DateFormat=P","Fill=—","Direction=H","UseDPDF=Y")</f>
        <v>0</v>
      </c>
      <c r="Z38" s="13"/>
      <c r="AA38" s="13"/>
    </row>
    <row r="39" spans="1:27" x14ac:dyDescent="0.25">
      <c r="A39" s="6" t="s">
        <v>367</v>
      </c>
      <c r="B39" s="6" t="s">
        <v>368</v>
      </c>
      <c r="C39" s="19">
        <f>_xll.BDH("AMGN US Equity","NI_INCLUDING_MINORITY_INT_RATIO","FQ2 2019","FQ2 2019","Currency=USD","Period=FQ","BEST_FPERIOD_OVERRIDE=FQ","FILING_STATUS=MR","SCALING_FORMAT=MLN","FA_ADJUSTED=GAAP","Sort=A","Dates=H","DateFormat=P","Fill=—","Direction=H","UseDPDF=Y")</f>
        <v>2179</v>
      </c>
      <c r="D39" s="19">
        <f>_xll.BDH("AMGN US Equity","NI_INCLUDING_MINORITY_INT_RATIO","FQ3 2019","FQ3 2019","Currency=USD","Period=FQ","BEST_FPERIOD_OVERRIDE=FQ","FILING_STATUS=MR","SCALING_FORMAT=MLN","FA_ADJUSTED=GAAP","Sort=A","Dates=H","DateFormat=P","Fill=—","Direction=H","UseDPDF=Y")</f>
        <v>1968</v>
      </c>
      <c r="E39" s="19">
        <f>_xll.BDH("AMGN US Equity","NI_INCLUDING_MINORITY_INT_RATIO","FQ4 2019","FQ4 2019","Currency=USD","Period=FQ","BEST_FPERIOD_OVERRIDE=FQ","FILING_STATUS=MR","SCALING_FORMAT=MLN","FA_ADJUSTED=GAAP","Sort=A","Dates=H","DateFormat=P","Fill=—","Direction=H","UseDPDF=Y")</f>
        <v>1703</v>
      </c>
      <c r="F39" s="19">
        <f>_xll.BDH("AMGN US Equity","NI_INCLUDING_MINORITY_INT_RATIO","FQ1 2020","FQ1 2020","Currency=USD","Period=FQ","BEST_FPERIOD_OVERRIDE=FQ","FILING_STATUS=MR","SCALING_FORMAT=MLN","FA_ADJUSTED=GAAP","Sort=A","Dates=H","DateFormat=P","Fill=—","Direction=H","UseDPDF=Y")</f>
        <v>1825</v>
      </c>
      <c r="G39" s="19">
        <f>_xll.BDH("AMGN US Equity","NI_INCLUDING_MINORITY_INT_RATIO","FQ2 2020","FQ2 2020","Currency=USD","Period=FQ","BEST_FPERIOD_OVERRIDE=FQ","FILING_STATUS=MR","SCALING_FORMAT=MLN","FA_ADJUSTED=GAAP","Sort=A","Dates=H","DateFormat=P","Fill=—","Direction=H","UseDPDF=Y")</f>
        <v>1803</v>
      </c>
      <c r="H39" s="19">
        <f>_xll.BDH("AMGN US Equity","NI_INCLUDING_MINORITY_INT_RATIO","FQ3 2020","FQ3 2020","Currency=USD","Period=FQ","BEST_FPERIOD_OVERRIDE=FQ","FILING_STATUS=MR","SCALING_FORMAT=MLN","FA_ADJUSTED=GAAP","Sort=A","Dates=H","DateFormat=P","Fill=—","Direction=H","UseDPDF=Y")</f>
        <v>2021</v>
      </c>
      <c r="I39" s="19">
        <f>_xll.BDH("AMGN US Equity","NI_INCLUDING_MINORITY_INT_RATIO","FQ4 2020","FQ4 2020","Currency=USD","Period=FQ","BEST_FPERIOD_OVERRIDE=FQ","FILING_STATUS=MR","SCALING_FORMAT=MLN","FA_ADJUSTED=GAAP","Sort=A","Dates=H","DateFormat=P","Fill=—","Direction=H","UseDPDF=Y")</f>
        <v>1615</v>
      </c>
      <c r="J39" s="19">
        <f>_xll.BDH("AMGN US Equity","NI_INCLUDING_MINORITY_INT_RATIO","FQ1 2021","FQ1 2021","Currency=USD","Period=FQ","BEST_FPERIOD_OVERRIDE=FQ","FILING_STATUS=MR","SCALING_FORMAT=MLN","FA_ADJUSTED=GAAP","Sort=A","Dates=H","DateFormat=P","Fill=—","Direction=H","UseDPDF=Y")</f>
        <v>1646</v>
      </c>
      <c r="K39" s="19">
        <f>_xll.BDH("AMGN US Equity","NI_INCLUDING_MINORITY_INT_RATIO","FQ2 2021","FQ2 2021","Currency=USD","Period=FQ","BEST_FPERIOD_OVERRIDE=FQ","FILING_STATUS=MR","SCALING_FORMAT=MLN","FA_ADJUSTED=GAAP","Sort=A","Dates=H","DateFormat=P","Fill=—","Direction=H","UseDPDF=Y")</f>
        <v>464</v>
      </c>
      <c r="L39" s="19">
        <f>_xll.BDH("AMGN US Equity","NI_INCLUDING_MINORITY_INT_RATIO","FQ3 2021","FQ3 2021","Currency=USD","Period=FQ","BEST_FPERIOD_OVERRIDE=FQ","FILING_STATUS=MR","SCALING_FORMAT=MLN","FA_ADJUSTED=GAAP","Sort=A","Dates=H","DateFormat=P","Fill=—","Direction=H","UseDPDF=Y")</f>
        <v>1884</v>
      </c>
      <c r="M39" s="19">
        <f>_xll.BDH("AMGN US Equity","NI_INCLUDING_MINORITY_INT_RATIO","FQ4 2021","FQ4 2021","Currency=USD","Period=FQ","BEST_FPERIOD_OVERRIDE=FQ","FILING_STATUS=MR","SCALING_FORMAT=MLN","FA_ADJUSTED=GAAP","Sort=A","Dates=H","DateFormat=P","Fill=—","Direction=H","UseDPDF=Y")</f>
        <v>1899</v>
      </c>
      <c r="N39" s="19">
        <f>_xll.BDH("AMGN US Equity","NI_INCLUDING_MINORITY_INT_RATIO","FQ1 2022","FQ1 2022","Currency=USD","Period=FQ","BEST_FPERIOD_OVERRIDE=FQ","FILING_STATUS=MR","SCALING_FORMAT=MLN","FA_ADJUSTED=GAAP","Sort=A","Dates=H","DateFormat=P","Fill=—","Direction=H","UseDPDF=Y")</f>
        <v>1476</v>
      </c>
      <c r="O39" s="19">
        <f>_xll.BDH("AMGN US Equity","NI_INCLUDING_MINORITY_INT_RATIO","FQ2 2022","FQ2 2022","Currency=USD","Period=FQ","BEST_FPERIOD_OVERRIDE=FQ","FILING_STATUS=MR","SCALING_FORMAT=MLN","FA_ADJUSTED=GAAP","Sort=A","Dates=H","DateFormat=P","Fill=—","Direction=H","UseDPDF=Y")</f>
        <v>1317</v>
      </c>
      <c r="P39" s="19">
        <f>_xll.BDH("AMGN US Equity","NI_INCLUDING_MINORITY_INT_RATIO","FQ3 2022","FQ3 2022","Currency=USD","Period=FQ","BEST_FPERIOD_OVERRIDE=FQ","FILING_STATUS=MR","SCALING_FORMAT=MLN","FA_ADJUSTED=GAAP","Sort=A","Dates=H","DateFormat=P","Fill=—","Direction=H","UseDPDF=Y")</f>
        <v>2143</v>
      </c>
      <c r="Q39" s="19">
        <f>_xll.BDH("AMGN US Equity","NI_INCLUDING_MINORITY_INT_RATIO","FQ4 2022","FQ4 2022","Currency=USD","Period=FQ","BEST_FPERIOD_OVERRIDE=FQ","FILING_STATUS=MR","SCALING_FORMAT=MLN","FA_ADJUSTED=GAAP","Sort=A","Dates=H","DateFormat=P","Fill=—","Direction=H","UseDPDF=Y")</f>
        <v>1616</v>
      </c>
      <c r="R39" s="19">
        <f>_xll.BDH("AMGN US Equity","NI_INCLUDING_MINORITY_INT_RATIO","FQ1 2023","FQ1 2023","Currency=USD","Period=FQ","BEST_FPERIOD_OVERRIDE=FQ","FILING_STATUS=MR","SCALING_FORMAT=MLN","FA_ADJUSTED=GAAP","Sort=A","Dates=H","DateFormat=P","Fill=—","Direction=H","UseDPDF=Y")</f>
        <v>2841</v>
      </c>
      <c r="S39" s="19">
        <f>_xll.BDH("AMGN US Equity","NI_INCLUDING_MINORITY_INT_RATIO","FQ2 2023","FQ2 2023","Currency=USD","Period=FQ","BEST_FPERIOD_OVERRIDE=FQ","FILING_STATUS=MR","SCALING_FORMAT=MLN","FA_ADJUSTED=GAAP","Sort=A","Dates=H","DateFormat=P","Fill=—","Direction=H","UseDPDF=Y")</f>
        <v>1379</v>
      </c>
      <c r="T39" s="19">
        <f>_xll.BDH("AMGN US Equity","NI_INCLUDING_MINORITY_INT_RATIO","FQ3 2023","FQ3 2023","Currency=USD","Period=FQ","BEST_FPERIOD_OVERRIDE=FQ","FILING_STATUS=MR","SCALING_FORMAT=MLN","FA_ADJUSTED=GAAP","Sort=A","Dates=H","DateFormat=P","Fill=—","Direction=H","UseDPDF=Y")</f>
        <v>1730</v>
      </c>
      <c r="U39" s="19">
        <f>_xll.BDH("AMGN US Equity","NI_INCLUDING_MINORITY_INT_RATIO","FQ4 2023","FQ4 2023","Currency=USD","Period=FQ","BEST_FPERIOD_OVERRIDE=FQ","FILING_STATUS=MR","SCALING_FORMAT=MLN","FA_ADJUSTED=GAAP","Sort=A","Dates=H","DateFormat=P","Fill=—","Direction=H","UseDPDF=Y")</f>
        <v>767</v>
      </c>
      <c r="V39" s="19">
        <f>_xll.BDH("AMGN US Equity","NI_INCLUDING_MINORITY_INT_RATIO","FQ1 2024","FQ1 2024","Currency=USD","Period=FQ","BEST_FPERIOD_OVERRIDE=FQ","FILING_STATUS=MR","SCALING_FORMAT=MLN","FA_ADJUSTED=GAAP","Sort=A","Dates=H","DateFormat=P","Fill=—","Direction=H","UseDPDF=Y")</f>
        <v>-113</v>
      </c>
      <c r="W39" s="19">
        <f>_xll.BDH("AMGN US Equity","NI_INCLUDING_MINORITY_INT_RATIO","FQ2 2024","FQ2 2024","Currency=USD","Period=FQ","BEST_FPERIOD_OVERRIDE=FQ","FILING_STATUS=MR","SCALING_FORMAT=MLN","FA_ADJUSTED=GAAP","Sort=A","Dates=H","DateFormat=P","Fill=—","Direction=H","UseDPDF=Y")</f>
        <v>746</v>
      </c>
      <c r="X39" s="19">
        <f>_xll.BDH("AMGN US Equity","NI_INCLUDING_MINORITY_INT_RATIO","FQ3 2024","FQ3 2024","Currency=USD","Period=FQ","BEST_FPERIOD_OVERRIDE=FQ","FILING_STATUS=MR","SCALING_FORMAT=MLN","FA_ADJUSTED=GAAP","Sort=A","Dates=H","DateFormat=P","Fill=—","Direction=H","UseDPDF=Y")</f>
        <v>2830</v>
      </c>
      <c r="Y39" s="19">
        <f>_xll.BDH("AMGN US Equity","NI_INCLUDING_MINORITY_INT_RATIO","FQ4 2024","FQ4 2024","Currency=USD","Period=FQ","BEST_FPERIOD_OVERRIDE=FQ","FILING_STATUS=MR","SCALING_FORMAT=MLN","FA_ADJUSTED=GAAP","Sort=A","Dates=H","DateFormat=P","Fill=—","Direction=H","UseDPDF=Y")</f>
        <v>627</v>
      </c>
      <c r="Z39" s="19"/>
      <c r="AA39" s="19"/>
    </row>
    <row r="40" spans="1:27" x14ac:dyDescent="0.25">
      <c r="A40" s="10" t="s">
        <v>369</v>
      </c>
      <c r="B40" s="10" t="s">
        <v>370</v>
      </c>
      <c r="C40" s="13">
        <f>_xll.BDH("AMGN US Equity","MIN_NONCONTROL_INTEREST_CREDITS","FQ2 2019","FQ2 2019","Currency=USD","Period=FQ","BEST_FPERIOD_OVERRIDE=FQ","FILING_STATUS=MR","SCALING_FORMAT=MLN","FA_ADJUSTED=GAAP","Sort=A","Dates=H","DateFormat=P","Fill=—","Direction=H","UseDPDF=Y")</f>
        <v>0</v>
      </c>
      <c r="D40" s="13">
        <f>_xll.BDH("AMGN US Equity","MIN_NONCONTROL_INTEREST_CREDITS","FQ3 2019","FQ3 2019","Currency=USD","Period=FQ","BEST_FPERIOD_OVERRIDE=FQ","FILING_STATUS=MR","SCALING_FORMAT=MLN","FA_ADJUSTED=GAAP","Sort=A","Dates=H","DateFormat=P","Fill=—","Direction=H","UseDPDF=Y")</f>
        <v>0</v>
      </c>
      <c r="E40" s="13">
        <f>_xll.BDH("AMGN US Equity","MIN_NONCONTROL_INTEREST_CREDITS","FQ4 2019","FQ4 2019","Currency=USD","Period=FQ","BEST_FPERIOD_OVERRIDE=FQ","FILING_STATUS=MR","SCALING_FORMAT=MLN","FA_ADJUSTED=GAAP","Sort=A","Dates=H","DateFormat=P","Fill=—","Direction=H","UseDPDF=Y")</f>
        <v>0</v>
      </c>
      <c r="F40" s="13">
        <f>_xll.BDH("AMGN US Equity","MIN_NONCONTROL_INTEREST_CREDITS","FQ1 2020","FQ1 2020","Currency=USD","Period=FQ","BEST_FPERIOD_OVERRIDE=FQ","FILING_STATUS=MR","SCALING_FORMAT=MLN","FA_ADJUSTED=GAAP","Sort=A","Dates=H","DateFormat=P","Fill=—","Direction=H","UseDPDF=Y")</f>
        <v>0</v>
      </c>
      <c r="G40" s="13">
        <f>_xll.BDH("AMGN US Equity","MIN_NONCONTROL_INTEREST_CREDITS","FQ2 2020","FQ2 2020","Currency=USD","Period=FQ","BEST_FPERIOD_OVERRIDE=FQ","FILING_STATUS=MR","SCALING_FORMAT=MLN","FA_ADJUSTED=GAAP","Sort=A","Dates=H","DateFormat=P","Fill=—","Direction=H","UseDPDF=Y")</f>
        <v>0</v>
      </c>
      <c r="H40" s="13">
        <f>_xll.BDH("AMGN US Equity","MIN_NONCONTROL_INTEREST_CREDITS","FQ3 2020","FQ3 2020","Currency=USD","Period=FQ","BEST_FPERIOD_OVERRIDE=FQ","FILING_STATUS=MR","SCALING_FORMAT=MLN","FA_ADJUSTED=GAAP","Sort=A","Dates=H","DateFormat=P","Fill=—","Direction=H","UseDPDF=Y")</f>
        <v>0</v>
      </c>
      <c r="I40" s="13">
        <f>_xll.BDH("AMGN US Equity","MIN_NONCONTROL_INTEREST_CREDITS","FQ4 2020","FQ4 2020","Currency=USD","Period=FQ","BEST_FPERIOD_OVERRIDE=FQ","FILING_STATUS=MR","SCALING_FORMAT=MLN","FA_ADJUSTED=GAAP","Sort=A","Dates=H","DateFormat=P","Fill=—","Direction=H","UseDPDF=Y")</f>
        <v>0</v>
      </c>
      <c r="J40" s="13">
        <f>_xll.BDH("AMGN US Equity","MIN_NONCONTROL_INTEREST_CREDITS","FQ1 2021","FQ1 2021","Currency=USD","Period=FQ","BEST_FPERIOD_OVERRIDE=FQ","FILING_STATUS=MR","SCALING_FORMAT=MLN","FA_ADJUSTED=GAAP","Sort=A","Dates=H","DateFormat=P","Fill=—","Direction=H","UseDPDF=Y")</f>
        <v>0</v>
      </c>
      <c r="K40" s="13">
        <f>_xll.BDH("AMGN US Equity","MIN_NONCONTROL_INTEREST_CREDITS","FQ2 2021","FQ2 2021","Currency=USD","Period=FQ","BEST_FPERIOD_OVERRIDE=FQ","FILING_STATUS=MR","SCALING_FORMAT=MLN","FA_ADJUSTED=GAAP","Sort=A","Dates=H","DateFormat=P","Fill=—","Direction=H","UseDPDF=Y")</f>
        <v>0</v>
      </c>
      <c r="L40" s="13">
        <f>_xll.BDH("AMGN US Equity","MIN_NONCONTROL_INTEREST_CREDITS","FQ3 2021","FQ3 2021","Currency=USD","Period=FQ","BEST_FPERIOD_OVERRIDE=FQ","FILING_STATUS=MR","SCALING_FORMAT=MLN","FA_ADJUSTED=GAAP","Sort=A","Dates=H","DateFormat=P","Fill=—","Direction=H","UseDPDF=Y")</f>
        <v>0</v>
      </c>
      <c r="M40" s="13">
        <f>_xll.BDH("AMGN US Equity","MIN_NONCONTROL_INTEREST_CREDITS","FQ4 2021","FQ4 2021","Currency=USD","Period=FQ","BEST_FPERIOD_OVERRIDE=FQ","FILING_STATUS=MR","SCALING_FORMAT=MLN","FA_ADJUSTED=GAAP","Sort=A","Dates=H","DateFormat=P","Fill=—","Direction=H","UseDPDF=Y")</f>
        <v>0</v>
      </c>
      <c r="N40" s="13">
        <f>_xll.BDH("AMGN US Equity","MIN_NONCONTROL_INTEREST_CREDITS","FQ1 2022","FQ1 2022","Currency=USD","Period=FQ","BEST_FPERIOD_OVERRIDE=FQ","FILING_STATUS=MR","SCALING_FORMAT=MLN","FA_ADJUSTED=GAAP","Sort=A","Dates=H","DateFormat=P","Fill=—","Direction=H","UseDPDF=Y")</f>
        <v>0</v>
      </c>
      <c r="O40" s="13">
        <f>_xll.BDH("AMGN US Equity","MIN_NONCONTROL_INTEREST_CREDITS","FQ2 2022","FQ2 2022","Currency=USD","Period=FQ","BEST_FPERIOD_OVERRIDE=FQ","FILING_STATUS=MR","SCALING_FORMAT=MLN","FA_ADJUSTED=GAAP","Sort=A","Dates=H","DateFormat=P","Fill=—","Direction=H","UseDPDF=Y")</f>
        <v>0</v>
      </c>
      <c r="P40" s="13">
        <f>_xll.BDH("AMGN US Equity","MIN_NONCONTROL_INTEREST_CREDITS","FQ3 2022","FQ3 2022","Currency=USD","Period=FQ","BEST_FPERIOD_OVERRIDE=FQ","FILING_STATUS=MR","SCALING_FORMAT=MLN","FA_ADJUSTED=GAAP","Sort=A","Dates=H","DateFormat=P","Fill=—","Direction=H","UseDPDF=Y")</f>
        <v>0</v>
      </c>
      <c r="Q40" s="13">
        <f>_xll.BDH("AMGN US Equity","MIN_NONCONTROL_INTEREST_CREDITS","FQ4 2022","FQ4 2022","Currency=USD","Period=FQ","BEST_FPERIOD_OVERRIDE=FQ","FILING_STATUS=MR","SCALING_FORMAT=MLN","FA_ADJUSTED=GAAP","Sort=A","Dates=H","DateFormat=P","Fill=—","Direction=H","UseDPDF=Y")</f>
        <v>0</v>
      </c>
      <c r="R40" s="13">
        <f>_xll.BDH("AMGN US Equity","MIN_NONCONTROL_INTEREST_CREDITS","FQ1 2023","FQ1 2023","Currency=USD","Period=FQ","BEST_FPERIOD_OVERRIDE=FQ","FILING_STATUS=MR","SCALING_FORMAT=MLN","FA_ADJUSTED=GAAP","Sort=A","Dates=H","DateFormat=P","Fill=—","Direction=H","UseDPDF=Y")</f>
        <v>0</v>
      </c>
      <c r="S40" s="13">
        <f>_xll.BDH("AMGN US Equity","MIN_NONCONTROL_INTEREST_CREDITS","FQ2 2023","FQ2 2023","Currency=USD","Period=FQ","BEST_FPERIOD_OVERRIDE=FQ","FILING_STATUS=MR","SCALING_FORMAT=MLN","FA_ADJUSTED=GAAP","Sort=A","Dates=H","DateFormat=P","Fill=—","Direction=H","UseDPDF=Y")</f>
        <v>0</v>
      </c>
      <c r="T40" s="13">
        <f>_xll.BDH("AMGN US Equity","MIN_NONCONTROL_INTEREST_CREDITS","FQ3 2023","FQ3 2023","Currency=USD","Period=FQ","BEST_FPERIOD_OVERRIDE=FQ","FILING_STATUS=MR","SCALING_FORMAT=MLN","FA_ADJUSTED=GAAP","Sort=A","Dates=H","DateFormat=P","Fill=—","Direction=H","UseDPDF=Y")</f>
        <v>0</v>
      </c>
      <c r="U40" s="13">
        <f>_xll.BDH("AMGN US Equity","MIN_NONCONTROL_INTEREST_CREDITS","FQ4 2023","FQ4 2023","Currency=USD","Period=FQ","BEST_FPERIOD_OVERRIDE=FQ","FILING_STATUS=MR","SCALING_FORMAT=MLN","FA_ADJUSTED=GAAP","Sort=A","Dates=H","DateFormat=P","Fill=—","Direction=H","UseDPDF=Y")</f>
        <v>0</v>
      </c>
      <c r="V40" s="13">
        <f>_xll.BDH("AMGN US Equity","MIN_NONCONTROL_INTEREST_CREDITS","FQ1 2024","FQ1 2024","Currency=USD","Period=FQ","BEST_FPERIOD_OVERRIDE=FQ","FILING_STATUS=MR","SCALING_FORMAT=MLN","FA_ADJUSTED=GAAP","Sort=A","Dates=H","DateFormat=P","Fill=—","Direction=H","UseDPDF=Y")</f>
        <v>0</v>
      </c>
      <c r="W40" s="13">
        <f>_xll.BDH("AMGN US Equity","MIN_NONCONTROL_INTEREST_CREDITS","FQ2 2024","FQ2 2024","Currency=USD","Period=FQ","BEST_FPERIOD_OVERRIDE=FQ","FILING_STATUS=MR","SCALING_FORMAT=MLN","FA_ADJUSTED=GAAP","Sort=A","Dates=H","DateFormat=P","Fill=—","Direction=H","UseDPDF=Y")</f>
        <v>0</v>
      </c>
      <c r="X40" s="13">
        <f>_xll.BDH("AMGN US Equity","MIN_NONCONTROL_INTEREST_CREDITS","FQ3 2024","FQ3 2024","Currency=USD","Period=FQ","BEST_FPERIOD_OVERRIDE=FQ","FILING_STATUS=MR","SCALING_FORMAT=MLN","FA_ADJUSTED=GAAP","Sort=A","Dates=H","DateFormat=P","Fill=—","Direction=H","UseDPDF=Y")</f>
        <v>0</v>
      </c>
      <c r="Y40" s="13">
        <f>_xll.BDH("AMGN US Equity","MIN_NONCONTROL_INTEREST_CREDITS","FQ4 2024","FQ4 2024","Currency=USD","Period=FQ","BEST_FPERIOD_OVERRIDE=FQ","FILING_STATUS=MR","SCALING_FORMAT=MLN","FA_ADJUSTED=GAAP","Sort=A","Dates=H","DateFormat=P","Fill=—","Direction=H","UseDPDF=Y")</f>
        <v>0</v>
      </c>
      <c r="Z40" s="13"/>
      <c r="AA40" s="13"/>
    </row>
    <row r="41" spans="1:27" x14ac:dyDescent="0.25">
      <c r="A41" s="6" t="s">
        <v>371</v>
      </c>
      <c r="B41" s="6" t="s">
        <v>372</v>
      </c>
      <c r="C41" s="19">
        <f>_xll.BDH("AMGN US Equity","NET_INCOME","FQ2 2019","FQ2 2019","Currency=USD","Period=FQ","BEST_FPERIOD_OVERRIDE=FQ","FILING_STATUS=MR","SCALING_FORMAT=MLN","FA_ADJUSTED=GAAP","Sort=A","Dates=H","DateFormat=P","Fill=—","Direction=H","UseDPDF=Y")</f>
        <v>2179</v>
      </c>
      <c r="D41" s="19">
        <f>_xll.BDH("AMGN US Equity","NET_INCOME","FQ3 2019","FQ3 2019","Currency=USD","Period=FQ","BEST_FPERIOD_OVERRIDE=FQ","FILING_STATUS=MR","SCALING_FORMAT=MLN","FA_ADJUSTED=GAAP","Sort=A","Dates=H","DateFormat=P","Fill=—","Direction=H","UseDPDF=Y")</f>
        <v>1968</v>
      </c>
      <c r="E41" s="19">
        <f>_xll.BDH("AMGN US Equity","NET_INCOME","FQ4 2019","FQ4 2019","Currency=USD","Period=FQ","BEST_FPERIOD_OVERRIDE=FQ","FILING_STATUS=MR","SCALING_FORMAT=MLN","FA_ADJUSTED=GAAP","Sort=A","Dates=H","DateFormat=P","Fill=—","Direction=H","UseDPDF=Y")</f>
        <v>1703</v>
      </c>
      <c r="F41" s="19">
        <f>_xll.BDH("AMGN US Equity","NET_INCOME","FQ1 2020","FQ1 2020","Currency=USD","Period=FQ","BEST_FPERIOD_OVERRIDE=FQ","FILING_STATUS=MR","SCALING_FORMAT=MLN","FA_ADJUSTED=GAAP","Sort=A","Dates=H","DateFormat=P","Fill=—","Direction=H","UseDPDF=Y")</f>
        <v>1825</v>
      </c>
      <c r="G41" s="19">
        <f>_xll.BDH("AMGN US Equity","NET_INCOME","FQ2 2020","FQ2 2020","Currency=USD","Period=FQ","BEST_FPERIOD_OVERRIDE=FQ","FILING_STATUS=MR","SCALING_FORMAT=MLN","FA_ADJUSTED=GAAP","Sort=A","Dates=H","DateFormat=P","Fill=—","Direction=H","UseDPDF=Y")</f>
        <v>1803</v>
      </c>
      <c r="H41" s="19">
        <f>_xll.BDH("AMGN US Equity","NET_INCOME","FQ3 2020","FQ3 2020","Currency=USD","Period=FQ","BEST_FPERIOD_OVERRIDE=FQ","FILING_STATUS=MR","SCALING_FORMAT=MLN","FA_ADJUSTED=GAAP","Sort=A","Dates=H","DateFormat=P","Fill=—","Direction=H","UseDPDF=Y")</f>
        <v>2021</v>
      </c>
      <c r="I41" s="19">
        <f>_xll.BDH("AMGN US Equity","NET_INCOME","FQ4 2020","FQ4 2020","Currency=USD","Period=FQ","BEST_FPERIOD_OVERRIDE=FQ","FILING_STATUS=MR","SCALING_FORMAT=MLN","FA_ADJUSTED=GAAP","Sort=A","Dates=H","DateFormat=P","Fill=—","Direction=H","UseDPDF=Y")</f>
        <v>1615</v>
      </c>
      <c r="J41" s="19">
        <f>_xll.BDH("AMGN US Equity","NET_INCOME","FQ1 2021","FQ1 2021","Currency=USD","Period=FQ","BEST_FPERIOD_OVERRIDE=FQ","FILING_STATUS=MR","SCALING_FORMAT=MLN","FA_ADJUSTED=GAAP","Sort=A","Dates=H","DateFormat=P","Fill=—","Direction=H","UseDPDF=Y")</f>
        <v>1646</v>
      </c>
      <c r="K41" s="19">
        <f>_xll.BDH("AMGN US Equity","NET_INCOME","FQ2 2021","FQ2 2021","Currency=USD","Period=FQ","BEST_FPERIOD_OVERRIDE=FQ","FILING_STATUS=MR","SCALING_FORMAT=MLN","FA_ADJUSTED=GAAP","Sort=A","Dates=H","DateFormat=P","Fill=—","Direction=H","UseDPDF=Y")</f>
        <v>464</v>
      </c>
      <c r="L41" s="19">
        <f>_xll.BDH("AMGN US Equity","NET_INCOME","FQ3 2021","FQ3 2021","Currency=USD","Period=FQ","BEST_FPERIOD_OVERRIDE=FQ","FILING_STATUS=MR","SCALING_FORMAT=MLN","FA_ADJUSTED=GAAP","Sort=A","Dates=H","DateFormat=P","Fill=—","Direction=H","UseDPDF=Y")</f>
        <v>1884</v>
      </c>
      <c r="M41" s="19">
        <f>_xll.BDH("AMGN US Equity","NET_INCOME","FQ4 2021","FQ4 2021","Currency=USD","Period=FQ","BEST_FPERIOD_OVERRIDE=FQ","FILING_STATUS=MR","SCALING_FORMAT=MLN","FA_ADJUSTED=GAAP","Sort=A","Dates=H","DateFormat=P","Fill=—","Direction=H","UseDPDF=Y")</f>
        <v>1899</v>
      </c>
      <c r="N41" s="19">
        <f>_xll.BDH("AMGN US Equity","NET_INCOME","FQ1 2022","FQ1 2022","Currency=USD","Period=FQ","BEST_FPERIOD_OVERRIDE=FQ","FILING_STATUS=MR","SCALING_FORMAT=MLN","FA_ADJUSTED=GAAP","Sort=A","Dates=H","DateFormat=P","Fill=—","Direction=H","UseDPDF=Y")</f>
        <v>1476</v>
      </c>
      <c r="O41" s="19">
        <f>_xll.BDH("AMGN US Equity","NET_INCOME","FQ2 2022","FQ2 2022","Currency=USD","Period=FQ","BEST_FPERIOD_OVERRIDE=FQ","FILING_STATUS=MR","SCALING_FORMAT=MLN","FA_ADJUSTED=GAAP","Sort=A","Dates=H","DateFormat=P","Fill=—","Direction=H","UseDPDF=Y")</f>
        <v>1317</v>
      </c>
      <c r="P41" s="19">
        <f>_xll.BDH("AMGN US Equity","NET_INCOME","FQ3 2022","FQ3 2022","Currency=USD","Period=FQ","BEST_FPERIOD_OVERRIDE=FQ","FILING_STATUS=MR","SCALING_FORMAT=MLN","FA_ADJUSTED=GAAP","Sort=A","Dates=H","DateFormat=P","Fill=—","Direction=H","UseDPDF=Y")</f>
        <v>2143</v>
      </c>
      <c r="Q41" s="19">
        <f>_xll.BDH("AMGN US Equity","NET_INCOME","FQ4 2022","FQ4 2022","Currency=USD","Period=FQ","BEST_FPERIOD_OVERRIDE=FQ","FILING_STATUS=MR","SCALING_FORMAT=MLN","FA_ADJUSTED=GAAP","Sort=A","Dates=H","DateFormat=P","Fill=—","Direction=H","UseDPDF=Y")</f>
        <v>1616</v>
      </c>
      <c r="R41" s="19">
        <f>_xll.BDH("AMGN US Equity","NET_INCOME","FQ1 2023","FQ1 2023","Currency=USD","Period=FQ","BEST_FPERIOD_OVERRIDE=FQ","FILING_STATUS=MR","SCALING_FORMAT=MLN","FA_ADJUSTED=GAAP","Sort=A","Dates=H","DateFormat=P","Fill=—","Direction=H","UseDPDF=Y")</f>
        <v>2841</v>
      </c>
      <c r="S41" s="19">
        <f>_xll.BDH("AMGN US Equity","NET_INCOME","FQ2 2023","FQ2 2023","Currency=USD","Period=FQ","BEST_FPERIOD_OVERRIDE=FQ","FILING_STATUS=MR","SCALING_FORMAT=MLN","FA_ADJUSTED=GAAP","Sort=A","Dates=H","DateFormat=P","Fill=—","Direction=H","UseDPDF=Y")</f>
        <v>1379</v>
      </c>
      <c r="T41" s="19">
        <f>_xll.BDH("AMGN US Equity","NET_INCOME","FQ3 2023","FQ3 2023","Currency=USD","Period=FQ","BEST_FPERIOD_OVERRIDE=FQ","FILING_STATUS=MR","SCALING_FORMAT=MLN","FA_ADJUSTED=GAAP","Sort=A","Dates=H","DateFormat=P","Fill=—","Direction=H","UseDPDF=Y")</f>
        <v>1730</v>
      </c>
      <c r="U41" s="19">
        <f>_xll.BDH("AMGN US Equity","NET_INCOME","FQ4 2023","FQ4 2023","Currency=USD","Period=FQ","BEST_FPERIOD_OVERRIDE=FQ","FILING_STATUS=MR","SCALING_FORMAT=MLN","FA_ADJUSTED=GAAP","Sort=A","Dates=H","DateFormat=P","Fill=—","Direction=H","UseDPDF=Y")</f>
        <v>767</v>
      </c>
      <c r="V41" s="19">
        <f>_xll.BDH("AMGN US Equity","NET_INCOME","FQ1 2024","FQ1 2024","Currency=USD","Period=FQ","BEST_FPERIOD_OVERRIDE=FQ","FILING_STATUS=MR","SCALING_FORMAT=MLN","FA_ADJUSTED=GAAP","Sort=A","Dates=H","DateFormat=P","Fill=—","Direction=H","UseDPDF=Y")</f>
        <v>-113</v>
      </c>
      <c r="W41" s="19">
        <f>_xll.BDH("AMGN US Equity","NET_INCOME","FQ2 2024","FQ2 2024","Currency=USD","Period=FQ","BEST_FPERIOD_OVERRIDE=FQ","FILING_STATUS=MR","SCALING_FORMAT=MLN","FA_ADJUSTED=GAAP","Sort=A","Dates=H","DateFormat=P","Fill=—","Direction=H","UseDPDF=Y")</f>
        <v>746</v>
      </c>
      <c r="X41" s="19">
        <f>_xll.BDH("AMGN US Equity","NET_INCOME","FQ3 2024","FQ3 2024","Currency=USD","Period=FQ","BEST_FPERIOD_OVERRIDE=FQ","FILING_STATUS=MR","SCALING_FORMAT=MLN","FA_ADJUSTED=GAAP","Sort=A","Dates=H","DateFormat=P","Fill=—","Direction=H","UseDPDF=Y")</f>
        <v>2830</v>
      </c>
      <c r="Y41" s="19">
        <f>_xll.BDH("AMGN US Equity","NET_INCOME","FQ4 2024","FQ4 2024","Currency=USD","Period=FQ","BEST_FPERIOD_OVERRIDE=FQ","FILING_STATUS=MR","SCALING_FORMAT=MLN","FA_ADJUSTED=GAAP","Sort=A","Dates=H","DateFormat=P","Fill=—","Direction=H","UseDPDF=Y")</f>
        <v>627</v>
      </c>
      <c r="Z41" s="19">
        <v>1233.143</v>
      </c>
      <c r="AA41" s="19">
        <v>1814.143</v>
      </c>
    </row>
    <row r="42" spans="1:27" x14ac:dyDescent="0.25">
      <c r="A42" s="10" t="s">
        <v>373</v>
      </c>
      <c r="B42" s="10" t="s">
        <v>374</v>
      </c>
      <c r="C42" s="13">
        <f>_xll.BDH("AMGN US Equity","IS_TOT_CASH_PFD_DVD","FQ2 2019","FQ2 2019","Currency=USD","Period=FQ","BEST_FPERIOD_OVERRIDE=FQ","FILING_STATUS=MR","SCALING_FORMAT=MLN","Sort=A","Dates=H","DateFormat=P","Fill=—","Direction=H","UseDPDF=Y")</f>
        <v>0</v>
      </c>
      <c r="D42" s="13">
        <f>_xll.BDH("AMGN US Equity","IS_TOT_CASH_PFD_DVD","FQ3 2019","FQ3 2019","Currency=USD","Period=FQ","BEST_FPERIOD_OVERRIDE=FQ","FILING_STATUS=MR","SCALING_FORMAT=MLN","Sort=A","Dates=H","DateFormat=P","Fill=—","Direction=H","UseDPDF=Y")</f>
        <v>0</v>
      </c>
      <c r="E42" s="13">
        <f>_xll.BDH("AMGN US Equity","IS_TOT_CASH_PFD_DVD","FQ4 2019","FQ4 2019","Currency=USD","Period=FQ","BEST_FPERIOD_OVERRIDE=FQ","FILING_STATUS=MR","SCALING_FORMAT=MLN","Sort=A","Dates=H","DateFormat=P","Fill=—","Direction=H","UseDPDF=Y")</f>
        <v>0</v>
      </c>
      <c r="F42" s="13">
        <f>_xll.BDH("AMGN US Equity","IS_TOT_CASH_PFD_DVD","FQ1 2020","FQ1 2020","Currency=USD","Period=FQ","BEST_FPERIOD_OVERRIDE=FQ","FILING_STATUS=MR","SCALING_FORMAT=MLN","Sort=A","Dates=H","DateFormat=P","Fill=—","Direction=H","UseDPDF=Y")</f>
        <v>0</v>
      </c>
      <c r="G42" s="13">
        <f>_xll.BDH("AMGN US Equity","IS_TOT_CASH_PFD_DVD","FQ2 2020","FQ2 2020","Currency=USD","Period=FQ","BEST_FPERIOD_OVERRIDE=FQ","FILING_STATUS=MR","SCALING_FORMAT=MLN","Sort=A","Dates=H","DateFormat=P","Fill=—","Direction=H","UseDPDF=Y")</f>
        <v>0</v>
      </c>
      <c r="H42" s="13">
        <f>_xll.BDH("AMGN US Equity","IS_TOT_CASH_PFD_DVD","FQ3 2020","FQ3 2020","Currency=USD","Period=FQ","BEST_FPERIOD_OVERRIDE=FQ","FILING_STATUS=MR","SCALING_FORMAT=MLN","Sort=A","Dates=H","DateFormat=P","Fill=—","Direction=H","UseDPDF=Y")</f>
        <v>0</v>
      </c>
      <c r="I42" s="13">
        <f>_xll.BDH("AMGN US Equity","IS_TOT_CASH_PFD_DVD","FQ4 2020","FQ4 2020","Currency=USD","Period=FQ","BEST_FPERIOD_OVERRIDE=FQ","FILING_STATUS=MR","SCALING_FORMAT=MLN","Sort=A","Dates=H","DateFormat=P","Fill=—","Direction=H","UseDPDF=Y")</f>
        <v>0</v>
      </c>
      <c r="J42" s="13">
        <f>_xll.BDH("AMGN US Equity","IS_TOT_CASH_PFD_DVD","FQ1 2021","FQ1 2021","Currency=USD","Period=FQ","BEST_FPERIOD_OVERRIDE=FQ","FILING_STATUS=MR","SCALING_FORMAT=MLN","Sort=A","Dates=H","DateFormat=P","Fill=—","Direction=H","UseDPDF=Y")</f>
        <v>0</v>
      </c>
      <c r="K42" s="13">
        <f>_xll.BDH("AMGN US Equity","IS_TOT_CASH_PFD_DVD","FQ2 2021","FQ2 2021","Currency=USD","Period=FQ","BEST_FPERIOD_OVERRIDE=FQ","FILING_STATUS=MR","SCALING_FORMAT=MLN","Sort=A","Dates=H","DateFormat=P","Fill=—","Direction=H","UseDPDF=Y")</f>
        <v>0</v>
      </c>
      <c r="L42" s="13">
        <f>_xll.BDH("AMGN US Equity","IS_TOT_CASH_PFD_DVD","FQ3 2021","FQ3 2021","Currency=USD","Period=FQ","BEST_FPERIOD_OVERRIDE=FQ","FILING_STATUS=MR","SCALING_FORMAT=MLN","Sort=A","Dates=H","DateFormat=P","Fill=—","Direction=H","UseDPDF=Y")</f>
        <v>0</v>
      </c>
      <c r="M42" s="13">
        <f>_xll.BDH("AMGN US Equity","IS_TOT_CASH_PFD_DVD","FQ4 2021","FQ4 2021","Currency=USD","Period=FQ","BEST_FPERIOD_OVERRIDE=FQ","FILING_STATUS=MR","SCALING_FORMAT=MLN","Sort=A","Dates=H","DateFormat=P","Fill=—","Direction=H","UseDPDF=Y")</f>
        <v>0</v>
      </c>
      <c r="N42" s="13">
        <f>_xll.BDH("AMGN US Equity","IS_TOT_CASH_PFD_DVD","FQ1 2022","FQ1 2022","Currency=USD","Period=FQ","BEST_FPERIOD_OVERRIDE=FQ","FILING_STATUS=MR","SCALING_FORMAT=MLN","Sort=A","Dates=H","DateFormat=P","Fill=—","Direction=H","UseDPDF=Y")</f>
        <v>0</v>
      </c>
      <c r="O42" s="13">
        <f>_xll.BDH("AMGN US Equity","IS_TOT_CASH_PFD_DVD","FQ2 2022","FQ2 2022","Currency=USD","Period=FQ","BEST_FPERIOD_OVERRIDE=FQ","FILING_STATUS=MR","SCALING_FORMAT=MLN","Sort=A","Dates=H","DateFormat=P","Fill=—","Direction=H","UseDPDF=Y")</f>
        <v>0</v>
      </c>
      <c r="P42" s="13">
        <f>_xll.BDH("AMGN US Equity","IS_TOT_CASH_PFD_DVD","FQ3 2022","FQ3 2022","Currency=USD","Period=FQ","BEST_FPERIOD_OVERRIDE=FQ","FILING_STATUS=MR","SCALING_FORMAT=MLN","Sort=A","Dates=H","DateFormat=P","Fill=—","Direction=H","UseDPDF=Y")</f>
        <v>0</v>
      </c>
      <c r="Q42" s="13">
        <f>_xll.BDH("AMGN US Equity","IS_TOT_CASH_PFD_DVD","FQ4 2022","FQ4 2022","Currency=USD","Period=FQ","BEST_FPERIOD_OVERRIDE=FQ","FILING_STATUS=MR","SCALING_FORMAT=MLN","Sort=A","Dates=H","DateFormat=P","Fill=—","Direction=H","UseDPDF=Y")</f>
        <v>0</v>
      </c>
      <c r="R42" s="13">
        <f>_xll.BDH("AMGN US Equity","IS_TOT_CASH_PFD_DVD","FQ1 2023","FQ1 2023","Currency=USD","Period=FQ","BEST_FPERIOD_OVERRIDE=FQ","FILING_STATUS=MR","SCALING_FORMAT=MLN","Sort=A","Dates=H","DateFormat=P","Fill=—","Direction=H","UseDPDF=Y")</f>
        <v>0</v>
      </c>
      <c r="S42" s="13">
        <f>_xll.BDH("AMGN US Equity","IS_TOT_CASH_PFD_DVD","FQ2 2023","FQ2 2023","Currency=USD","Period=FQ","BEST_FPERIOD_OVERRIDE=FQ","FILING_STATUS=MR","SCALING_FORMAT=MLN","Sort=A","Dates=H","DateFormat=P","Fill=—","Direction=H","UseDPDF=Y")</f>
        <v>0</v>
      </c>
      <c r="T42" s="13">
        <f>_xll.BDH("AMGN US Equity","IS_TOT_CASH_PFD_DVD","FQ3 2023","FQ3 2023","Currency=USD","Period=FQ","BEST_FPERIOD_OVERRIDE=FQ","FILING_STATUS=MR","SCALING_FORMAT=MLN","Sort=A","Dates=H","DateFormat=P","Fill=—","Direction=H","UseDPDF=Y")</f>
        <v>0</v>
      </c>
      <c r="U42" s="13">
        <f>_xll.BDH("AMGN US Equity","IS_TOT_CASH_PFD_DVD","FQ4 2023","FQ4 2023","Currency=USD","Period=FQ","BEST_FPERIOD_OVERRIDE=FQ","FILING_STATUS=MR","SCALING_FORMAT=MLN","Sort=A","Dates=H","DateFormat=P","Fill=—","Direction=H","UseDPDF=Y")</f>
        <v>0</v>
      </c>
      <c r="V42" s="13">
        <f>_xll.BDH("AMGN US Equity","IS_TOT_CASH_PFD_DVD","FQ1 2024","FQ1 2024","Currency=USD","Period=FQ","BEST_FPERIOD_OVERRIDE=FQ","FILING_STATUS=MR","SCALING_FORMAT=MLN","Sort=A","Dates=H","DateFormat=P","Fill=—","Direction=H","UseDPDF=Y")</f>
        <v>0</v>
      </c>
      <c r="W42" s="13">
        <f>_xll.BDH("AMGN US Equity","IS_TOT_CASH_PFD_DVD","FQ2 2024","FQ2 2024","Currency=USD","Period=FQ","BEST_FPERIOD_OVERRIDE=FQ","FILING_STATUS=MR","SCALING_FORMAT=MLN","Sort=A","Dates=H","DateFormat=P","Fill=—","Direction=H","UseDPDF=Y")</f>
        <v>0</v>
      </c>
      <c r="X42" s="13">
        <f>_xll.BDH("AMGN US Equity","IS_TOT_CASH_PFD_DVD","FQ3 2024","FQ3 2024","Currency=USD","Period=FQ","BEST_FPERIOD_OVERRIDE=FQ","FILING_STATUS=MR","SCALING_FORMAT=MLN","Sort=A","Dates=H","DateFormat=P","Fill=—","Direction=H","UseDPDF=Y")</f>
        <v>0</v>
      </c>
      <c r="Y42" s="13">
        <f>_xll.BDH("AMGN US Equity","IS_TOT_CASH_PFD_DVD","FQ4 2024","FQ4 2024","Currency=USD","Period=FQ","BEST_FPERIOD_OVERRIDE=FQ","FILING_STATUS=MR","SCALING_FORMAT=MLN","Sort=A","Dates=H","DateFormat=P","Fill=—","Direction=H","UseDPDF=Y")</f>
        <v>0</v>
      </c>
      <c r="Z42" s="13"/>
      <c r="AA42" s="13"/>
    </row>
    <row r="43" spans="1:27" x14ac:dyDescent="0.25">
      <c r="A43" s="10" t="s">
        <v>375</v>
      </c>
      <c r="B43" s="10" t="s">
        <v>376</v>
      </c>
      <c r="C43" s="13">
        <f>_xll.BDH("AMGN US Equity","OTHER_ADJUSTMENTS","FQ2 2019","FQ2 2019","Currency=USD","Period=FQ","BEST_FPERIOD_OVERRIDE=FQ","FILING_STATUS=MR","SCALING_FORMAT=MLN","Sort=A","Dates=H","DateFormat=P","Fill=—","Direction=H","UseDPDF=Y")</f>
        <v>0</v>
      </c>
      <c r="D43" s="13">
        <f>_xll.BDH("AMGN US Equity","OTHER_ADJUSTMENTS","FQ3 2019","FQ3 2019","Currency=USD","Period=FQ","BEST_FPERIOD_OVERRIDE=FQ","FILING_STATUS=MR","SCALING_FORMAT=MLN","Sort=A","Dates=H","DateFormat=P","Fill=—","Direction=H","UseDPDF=Y")</f>
        <v>0</v>
      </c>
      <c r="E43" s="13">
        <f>_xll.BDH("AMGN US Equity","OTHER_ADJUSTMENTS","FQ4 2019","FQ4 2019","Currency=USD","Period=FQ","BEST_FPERIOD_OVERRIDE=FQ","FILING_STATUS=MR","SCALING_FORMAT=MLN","Sort=A","Dates=H","DateFormat=P","Fill=—","Direction=H","UseDPDF=Y")</f>
        <v>0</v>
      </c>
      <c r="F43" s="13">
        <f>_xll.BDH("AMGN US Equity","OTHER_ADJUSTMENTS","FQ1 2020","FQ1 2020","Currency=USD","Period=FQ","BEST_FPERIOD_OVERRIDE=FQ","FILING_STATUS=MR","SCALING_FORMAT=MLN","Sort=A","Dates=H","DateFormat=P","Fill=—","Direction=H","UseDPDF=Y")</f>
        <v>0</v>
      </c>
      <c r="G43" s="13">
        <f>_xll.BDH("AMGN US Equity","OTHER_ADJUSTMENTS","FQ2 2020","FQ2 2020","Currency=USD","Period=FQ","BEST_FPERIOD_OVERRIDE=FQ","FILING_STATUS=MR","SCALING_FORMAT=MLN","Sort=A","Dates=H","DateFormat=P","Fill=—","Direction=H","UseDPDF=Y")</f>
        <v>0</v>
      </c>
      <c r="H43" s="13">
        <f>_xll.BDH("AMGN US Equity","OTHER_ADJUSTMENTS","FQ3 2020","FQ3 2020","Currency=USD","Period=FQ","BEST_FPERIOD_OVERRIDE=FQ","FILING_STATUS=MR","SCALING_FORMAT=MLN","Sort=A","Dates=H","DateFormat=P","Fill=—","Direction=H","UseDPDF=Y")</f>
        <v>0</v>
      </c>
      <c r="I43" s="13">
        <f>_xll.BDH("AMGN US Equity","OTHER_ADJUSTMENTS","FQ4 2020","FQ4 2020","Currency=USD","Period=FQ","BEST_FPERIOD_OVERRIDE=FQ","FILING_STATUS=MR","SCALING_FORMAT=MLN","Sort=A","Dates=H","DateFormat=P","Fill=—","Direction=H","UseDPDF=Y")</f>
        <v>0</v>
      </c>
      <c r="J43" s="13">
        <f>_xll.BDH("AMGN US Equity","OTHER_ADJUSTMENTS","FQ1 2021","FQ1 2021","Currency=USD","Period=FQ","BEST_FPERIOD_OVERRIDE=FQ","FILING_STATUS=MR","SCALING_FORMAT=MLN","Sort=A","Dates=H","DateFormat=P","Fill=—","Direction=H","UseDPDF=Y")</f>
        <v>0</v>
      </c>
      <c r="K43" s="13">
        <f>_xll.BDH("AMGN US Equity","OTHER_ADJUSTMENTS","FQ2 2021","FQ2 2021","Currency=USD","Period=FQ","BEST_FPERIOD_OVERRIDE=FQ","FILING_STATUS=MR","SCALING_FORMAT=MLN","Sort=A","Dates=H","DateFormat=P","Fill=—","Direction=H","UseDPDF=Y")</f>
        <v>0</v>
      </c>
      <c r="L43" s="13">
        <f>_xll.BDH("AMGN US Equity","OTHER_ADJUSTMENTS","FQ3 2021","FQ3 2021","Currency=USD","Period=FQ","BEST_FPERIOD_OVERRIDE=FQ","FILING_STATUS=MR","SCALING_FORMAT=MLN","Sort=A","Dates=H","DateFormat=P","Fill=—","Direction=H","UseDPDF=Y")</f>
        <v>0</v>
      </c>
      <c r="M43" s="13">
        <f>_xll.BDH("AMGN US Equity","OTHER_ADJUSTMENTS","FQ4 2021","FQ4 2021","Currency=USD","Period=FQ","BEST_FPERIOD_OVERRIDE=FQ","FILING_STATUS=MR","SCALING_FORMAT=MLN","Sort=A","Dates=H","DateFormat=P","Fill=—","Direction=H","UseDPDF=Y")</f>
        <v>0</v>
      </c>
      <c r="N43" s="13">
        <f>_xll.BDH("AMGN US Equity","OTHER_ADJUSTMENTS","FQ1 2022","FQ1 2022","Currency=USD","Period=FQ","BEST_FPERIOD_OVERRIDE=FQ","FILING_STATUS=MR","SCALING_FORMAT=MLN","Sort=A","Dates=H","DateFormat=P","Fill=—","Direction=H","UseDPDF=Y")</f>
        <v>0</v>
      </c>
      <c r="O43" s="13">
        <f>_xll.BDH("AMGN US Equity","OTHER_ADJUSTMENTS","FQ2 2022","FQ2 2022","Currency=USD","Period=FQ","BEST_FPERIOD_OVERRIDE=FQ","FILING_STATUS=MR","SCALING_FORMAT=MLN","Sort=A","Dates=H","DateFormat=P","Fill=—","Direction=H","UseDPDF=Y")</f>
        <v>0</v>
      </c>
      <c r="P43" s="13">
        <f>_xll.BDH("AMGN US Equity","OTHER_ADJUSTMENTS","FQ3 2022","FQ3 2022","Currency=USD","Period=FQ","BEST_FPERIOD_OVERRIDE=FQ","FILING_STATUS=MR","SCALING_FORMAT=MLN","Sort=A","Dates=H","DateFormat=P","Fill=—","Direction=H","UseDPDF=Y")</f>
        <v>0</v>
      </c>
      <c r="Q43" s="13">
        <f>_xll.BDH("AMGN US Equity","OTHER_ADJUSTMENTS","FQ4 2022","FQ4 2022","Currency=USD","Period=FQ","BEST_FPERIOD_OVERRIDE=FQ","FILING_STATUS=MR","SCALING_FORMAT=MLN","Sort=A","Dates=H","DateFormat=P","Fill=—","Direction=H","UseDPDF=Y")</f>
        <v>0</v>
      </c>
      <c r="R43" s="13">
        <f>_xll.BDH("AMGN US Equity","OTHER_ADJUSTMENTS","FQ1 2023","FQ1 2023","Currency=USD","Period=FQ","BEST_FPERIOD_OVERRIDE=FQ","FILING_STATUS=MR","SCALING_FORMAT=MLN","Sort=A","Dates=H","DateFormat=P","Fill=—","Direction=H","UseDPDF=Y")</f>
        <v>0</v>
      </c>
      <c r="S43" s="13">
        <f>_xll.BDH("AMGN US Equity","OTHER_ADJUSTMENTS","FQ2 2023","FQ2 2023","Currency=USD","Period=FQ","BEST_FPERIOD_OVERRIDE=FQ","FILING_STATUS=MR","SCALING_FORMAT=MLN","Sort=A","Dates=H","DateFormat=P","Fill=—","Direction=H","UseDPDF=Y")</f>
        <v>0</v>
      </c>
      <c r="T43" s="13">
        <f>_xll.BDH("AMGN US Equity","OTHER_ADJUSTMENTS","FQ3 2023","FQ3 2023","Currency=USD","Period=FQ","BEST_FPERIOD_OVERRIDE=FQ","FILING_STATUS=MR","SCALING_FORMAT=MLN","Sort=A","Dates=H","DateFormat=P","Fill=—","Direction=H","UseDPDF=Y")</f>
        <v>0</v>
      </c>
      <c r="U43" s="13">
        <f>_xll.BDH("AMGN US Equity","OTHER_ADJUSTMENTS","FQ4 2023","FQ4 2023","Currency=USD","Period=FQ","BEST_FPERIOD_OVERRIDE=FQ","FILING_STATUS=MR","SCALING_FORMAT=MLN","Sort=A","Dates=H","DateFormat=P","Fill=—","Direction=H","UseDPDF=Y")</f>
        <v>0</v>
      </c>
      <c r="V43" s="13">
        <f>_xll.BDH("AMGN US Equity","OTHER_ADJUSTMENTS","FQ1 2024","FQ1 2024","Currency=USD","Period=FQ","BEST_FPERIOD_OVERRIDE=FQ","FILING_STATUS=MR","SCALING_FORMAT=MLN","Sort=A","Dates=H","DateFormat=P","Fill=—","Direction=H","UseDPDF=Y")</f>
        <v>0</v>
      </c>
      <c r="W43" s="13">
        <f>_xll.BDH("AMGN US Equity","OTHER_ADJUSTMENTS","FQ2 2024","FQ2 2024","Currency=USD","Period=FQ","BEST_FPERIOD_OVERRIDE=FQ","FILING_STATUS=MR","SCALING_FORMAT=MLN","Sort=A","Dates=H","DateFormat=P","Fill=—","Direction=H","UseDPDF=Y")</f>
        <v>0</v>
      </c>
      <c r="X43" s="13">
        <f>_xll.BDH("AMGN US Equity","OTHER_ADJUSTMENTS","FQ3 2024","FQ3 2024","Currency=USD","Period=FQ","BEST_FPERIOD_OVERRIDE=FQ","FILING_STATUS=MR","SCALING_FORMAT=MLN","Sort=A","Dates=H","DateFormat=P","Fill=—","Direction=H","UseDPDF=Y")</f>
        <v>0</v>
      </c>
      <c r="Y43" s="13">
        <f>_xll.BDH("AMGN US Equity","OTHER_ADJUSTMENTS","FQ4 2024","FQ4 2024","Currency=USD","Period=FQ","BEST_FPERIOD_OVERRIDE=FQ","FILING_STATUS=MR","SCALING_FORMAT=MLN","Sort=A","Dates=H","DateFormat=P","Fill=—","Direction=H","UseDPDF=Y")</f>
        <v>0</v>
      </c>
      <c r="Z43" s="13"/>
      <c r="AA43" s="13"/>
    </row>
    <row r="44" spans="1:27" x14ac:dyDescent="0.25">
      <c r="A44" s="6" t="s">
        <v>377</v>
      </c>
      <c r="B44" s="6" t="s">
        <v>80</v>
      </c>
      <c r="C44" s="19">
        <f>_xll.BDH("AMGN US Equity","EARN_FOR_COMMON","FQ2 2019","FQ2 2019","Currency=USD","Period=FQ","BEST_FPERIOD_OVERRIDE=FQ","FILING_STATUS=MR","SCALING_FORMAT=MLN","FA_ADJUSTED=GAAP","Sort=A","Dates=H","DateFormat=P","Fill=—","Direction=H","UseDPDF=Y")</f>
        <v>2179</v>
      </c>
      <c r="D44" s="19">
        <f>_xll.BDH("AMGN US Equity","EARN_FOR_COMMON","FQ3 2019","FQ3 2019","Currency=USD","Period=FQ","BEST_FPERIOD_OVERRIDE=FQ","FILING_STATUS=MR","SCALING_FORMAT=MLN","FA_ADJUSTED=GAAP","Sort=A","Dates=H","DateFormat=P","Fill=—","Direction=H","UseDPDF=Y")</f>
        <v>1968</v>
      </c>
      <c r="E44" s="19">
        <f>_xll.BDH("AMGN US Equity","EARN_FOR_COMMON","FQ4 2019","FQ4 2019","Currency=USD","Period=FQ","BEST_FPERIOD_OVERRIDE=FQ","FILING_STATUS=MR","SCALING_FORMAT=MLN","FA_ADJUSTED=GAAP","Sort=A","Dates=H","DateFormat=P","Fill=—","Direction=H","UseDPDF=Y")</f>
        <v>1703</v>
      </c>
      <c r="F44" s="19">
        <f>_xll.BDH("AMGN US Equity","EARN_FOR_COMMON","FQ1 2020","FQ1 2020","Currency=USD","Period=FQ","BEST_FPERIOD_OVERRIDE=FQ","FILING_STATUS=MR","SCALING_FORMAT=MLN","FA_ADJUSTED=GAAP","Sort=A","Dates=H","DateFormat=P","Fill=—","Direction=H","UseDPDF=Y")</f>
        <v>1825</v>
      </c>
      <c r="G44" s="19">
        <f>_xll.BDH("AMGN US Equity","EARN_FOR_COMMON","FQ2 2020","FQ2 2020","Currency=USD","Period=FQ","BEST_FPERIOD_OVERRIDE=FQ","FILING_STATUS=MR","SCALING_FORMAT=MLN","FA_ADJUSTED=GAAP","Sort=A","Dates=H","DateFormat=P","Fill=—","Direction=H","UseDPDF=Y")</f>
        <v>1803</v>
      </c>
      <c r="H44" s="19">
        <f>_xll.BDH("AMGN US Equity","EARN_FOR_COMMON","FQ3 2020","FQ3 2020","Currency=USD","Period=FQ","BEST_FPERIOD_OVERRIDE=FQ","FILING_STATUS=MR","SCALING_FORMAT=MLN","FA_ADJUSTED=GAAP","Sort=A","Dates=H","DateFormat=P","Fill=—","Direction=H","UseDPDF=Y")</f>
        <v>2021</v>
      </c>
      <c r="I44" s="19">
        <f>_xll.BDH("AMGN US Equity","EARN_FOR_COMMON","FQ4 2020","FQ4 2020","Currency=USD","Period=FQ","BEST_FPERIOD_OVERRIDE=FQ","FILING_STATUS=MR","SCALING_FORMAT=MLN","FA_ADJUSTED=GAAP","Sort=A","Dates=H","DateFormat=P","Fill=—","Direction=H","UseDPDF=Y")</f>
        <v>1615</v>
      </c>
      <c r="J44" s="19">
        <f>_xll.BDH("AMGN US Equity","EARN_FOR_COMMON","FQ1 2021","FQ1 2021","Currency=USD","Period=FQ","BEST_FPERIOD_OVERRIDE=FQ","FILING_STATUS=MR","SCALING_FORMAT=MLN","FA_ADJUSTED=GAAP","Sort=A","Dates=H","DateFormat=P","Fill=—","Direction=H","UseDPDF=Y")</f>
        <v>1646</v>
      </c>
      <c r="K44" s="19">
        <f>_xll.BDH("AMGN US Equity","EARN_FOR_COMMON","FQ2 2021","FQ2 2021","Currency=USD","Period=FQ","BEST_FPERIOD_OVERRIDE=FQ","FILING_STATUS=MR","SCALING_FORMAT=MLN","FA_ADJUSTED=GAAP","Sort=A","Dates=H","DateFormat=P","Fill=—","Direction=H","UseDPDF=Y")</f>
        <v>464</v>
      </c>
      <c r="L44" s="19">
        <f>_xll.BDH("AMGN US Equity","EARN_FOR_COMMON","FQ3 2021","FQ3 2021","Currency=USD","Period=FQ","BEST_FPERIOD_OVERRIDE=FQ","FILING_STATUS=MR","SCALING_FORMAT=MLN","FA_ADJUSTED=GAAP","Sort=A","Dates=H","DateFormat=P","Fill=—","Direction=H","UseDPDF=Y")</f>
        <v>1884</v>
      </c>
      <c r="M44" s="19">
        <f>_xll.BDH("AMGN US Equity","EARN_FOR_COMMON","FQ4 2021","FQ4 2021","Currency=USD","Period=FQ","BEST_FPERIOD_OVERRIDE=FQ","FILING_STATUS=MR","SCALING_FORMAT=MLN","FA_ADJUSTED=GAAP","Sort=A","Dates=H","DateFormat=P","Fill=—","Direction=H","UseDPDF=Y")</f>
        <v>1899</v>
      </c>
      <c r="N44" s="19">
        <f>_xll.BDH("AMGN US Equity","EARN_FOR_COMMON","FQ1 2022","FQ1 2022","Currency=USD","Period=FQ","BEST_FPERIOD_OVERRIDE=FQ","FILING_STATUS=MR","SCALING_FORMAT=MLN","FA_ADJUSTED=GAAP","Sort=A","Dates=H","DateFormat=P","Fill=—","Direction=H","UseDPDF=Y")</f>
        <v>1476</v>
      </c>
      <c r="O44" s="19">
        <f>_xll.BDH("AMGN US Equity","EARN_FOR_COMMON","FQ2 2022","FQ2 2022","Currency=USD","Period=FQ","BEST_FPERIOD_OVERRIDE=FQ","FILING_STATUS=MR","SCALING_FORMAT=MLN","FA_ADJUSTED=GAAP","Sort=A","Dates=H","DateFormat=P","Fill=—","Direction=H","UseDPDF=Y")</f>
        <v>1317</v>
      </c>
      <c r="P44" s="19">
        <f>_xll.BDH("AMGN US Equity","EARN_FOR_COMMON","FQ3 2022","FQ3 2022","Currency=USD","Period=FQ","BEST_FPERIOD_OVERRIDE=FQ","FILING_STATUS=MR","SCALING_FORMAT=MLN","FA_ADJUSTED=GAAP","Sort=A","Dates=H","DateFormat=P","Fill=—","Direction=H","UseDPDF=Y")</f>
        <v>2143</v>
      </c>
      <c r="Q44" s="19">
        <f>_xll.BDH("AMGN US Equity","EARN_FOR_COMMON","FQ4 2022","FQ4 2022","Currency=USD","Period=FQ","BEST_FPERIOD_OVERRIDE=FQ","FILING_STATUS=MR","SCALING_FORMAT=MLN","FA_ADJUSTED=GAAP","Sort=A","Dates=H","DateFormat=P","Fill=—","Direction=H","UseDPDF=Y")</f>
        <v>1616</v>
      </c>
      <c r="R44" s="19">
        <f>_xll.BDH("AMGN US Equity","EARN_FOR_COMMON","FQ1 2023","FQ1 2023","Currency=USD","Period=FQ","BEST_FPERIOD_OVERRIDE=FQ","FILING_STATUS=MR","SCALING_FORMAT=MLN","FA_ADJUSTED=GAAP","Sort=A","Dates=H","DateFormat=P","Fill=—","Direction=H","UseDPDF=Y")</f>
        <v>2841</v>
      </c>
      <c r="S44" s="19">
        <f>_xll.BDH("AMGN US Equity","EARN_FOR_COMMON","FQ2 2023","FQ2 2023","Currency=USD","Period=FQ","BEST_FPERIOD_OVERRIDE=FQ","FILING_STATUS=MR","SCALING_FORMAT=MLN","FA_ADJUSTED=GAAP","Sort=A","Dates=H","DateFormat=P","Fill=—","Direction=H","UseDPDF=Y")</f>
        <v>1379</v>
      </c>
      <c r="T44" s="19">
        <f>_xll.BDH("AMGN US Equity","EARN_FOR_COMMON","FQ3 2023","FQ3 2023","Currency=USD","Period=FQ","BEST_FPERIOD_OVERRIDE=FQ","FILING_STATUS=MR","SCALING_FORMAT=MLN","FA_ADJUSTED=GAAP","Sort=A","Dates=H","DateFormat=P","Fill=—","Direction=H","UseDPDF=Y")</f>
        <v>1730</v>
      </c>
      <c r="U44" s="19">
        <f>_xll.BDH("AMGN US Equity","EARN_FOR_COMMON","FQ4 2023","FQ4 2023","Currency=USD","Period=FQ","BEST_FPERIOD_OVERRIDE=FQ","FILING_STATUS=MR","SCALING_FORMAT=MLN","FA_ADJUSTED=GAAP","Sort=A","Dates=H","DateFormat=P","Fill=—","Direction=H","UseDPDF=Y")</f>
        <v>767</v>
      </c>
      <c r="V44" s="19">
        <f>_xll.BDH("AMGN US Equity","EARN_FOR_COMMON","FQ1 2024","FQ1 2024","Currency=USD","Period=FQ","BEST_FPERIOD_OVERRIDE=FQ","FILING_STATUS=MR","SCALING_FORMAT=MLN","FA_ADJUSTED=GAAP","Sort=A","Dates=H","DateFormat=P","Fill=—","Direction=H","UseDPDF=Y")</f>
        <v>-113</v>
      </c>
      <c r="W44" s="19">
        <f>_xll.BDH("AMGN US Equity","EARN_FOR_COMMON","FQ2 2024","FQ2 2024","Currency=USD","Period=FQ","BEST_FPERIOD_OVERRIDE=FQ","FILING_STATUS=MR","SCALING_FORMAT=MLN","FA_ADJUSTED=GAAP","Sort=A","Dates=H","DateFormat=P","Fill=—","Direction=H","UseDPDF=Y")</f>
        <v>746</v>
      </c>
      <c r="X44" s="19">
        <f>_xll.BDH("AMGN US Equity","EARN_FOR_COMMON","FQ3 2024","FQ3 2024","Currency=USD","Period=FQ","BEST_FPERIOD_OVERRIDE=FQ","FILING_STATUS=MR","SCALING_FORMAT=MLN","FA_ADJUSTED=GAAP","Sort=A","Dates=H","DateFormat=P","Fill=—","Direction=H","UseDPDF=Y")</f>
        <v>2830</v>
      </c>
      <c r="Y44" s="19">
        <f>_xll.BDH("AMGN US Equity","EARN_FOR_COMMON","FQ4 2024","FQ4 2024","Currency=USD","Period=FQ","BEST_FPERIOD_OVERRIDE=FQ","FILING_STATUS=MR","SCALING_FORMAT=MLN","FA_ADJUSTED=GAAP","Sort=A","Dates=H","DateFormat=P","Fill=—","Direction=H","UseDPDF=Y")</f>
        <v>627</v>
      </c>
      <c r="Z44" s="19">
        <v>1233.143</v>
      </c>
      <c r="AA44" s="19">
        <v>1814.143</v>
      </c>
    </row>
    <row r="45" spans="1:27" x14ac:dyDescent="0.25">
      <c r="A45" s="6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 x14ac:dyDescent="0.25">
      <c r="A46" s="6" t="s">
        <v>378</v>
      </c>
      <c r="B46" s="6" t="s">
        <v>80</v>
      </c>
      <c r="C46" s="19">
        <f>_xll.BDH("AMGN US Equity","EARN_FOR_COMMON","FQ2 2019","FQ2 2019","Currency=USD","Period=FQ","BEST_FPERIOD_OVERRIDE=FQ","FILING_STATUS=MR","SCALING_FORMAT=MLN","FA_ADJUSTED=Adjusted","Sort=A","Dates=H","DateFormat=P","Fill=—","Direction=H","UseDPDF=Y")</f>
        <v>2195.7094999999999</v>
      </c>
      <c r="D46" s="19">
        <f>_xll.BDH("AMGN US Equity","EARN_FOR_COMMON","FQ3 2019","FQ3 2019","Currency=USD","Period=FQ","BEST_FPERIOD_OVERRIDE=FQ","FILING_STATUS=MR","SCALING_FORMAT=MLN","FA_ADJUSTED=Adjusted","Sort=A","Dates=H","DateFormat=P","Fill=—","Direction=H","UseDPDF=Y")</f>
        <v>1976</v>
      </c>
      <c r="E46" s="19">
        <f>_xll.BDH("AMGN US Equity","EARN_FOR_COMMON","FQ4 2019","FQ4 2019","Currency=USD","Period=FQ","BEST_FPERIOD_OVERRIDE=FQ","FILING_STATUS=MR","SCALING_FORMAT=MLN","FA_ADJUSTED=Adjusted","Sort=A","Dates=H","DateFormat=P","Fill=—","Direction=H","UseDPDF=Y")</f>
        <v>1760.3874000000001</v>
      </c>
      <c r="F46" s="19">
        <f>_xll.BDH("AMGN US Equity","EARN_FOR_COMMON","FQ1 2020","FQ1 2020","Currency=USD","Period=FQ","BEST_FPERIOD_OVERRIDE=FQ","FILING_STATUS=MR","SCALING_FORMAT=MLN","FA_ADJUSTED=Adjusted","Sort=A","Dates=H","DateFormat=P","Fill=—","Direction=H","UseDPDF=Y")</f>
        <v>1845.7964999999999</v>
      </c>
      <c r="G46" s="19">
        <f>_xll.BDH("AMGN US Equity","EARN_FOR_COMMON","FQ2 2020","FQ2 2020","Currency=USD","Period=FQ","BEST_FPERIOD_OVERRIDE=FQ","FILING_STATUS=MR","SCALING_FORMAT=MLN","FA_ADJUSTED=Adjusted","Sort=A","Dates=H","DateFormat=P","Fill=—","Direction=H","UseDPDF=Y")</f>
        <v>1875.5315000000001</v>
      </c>
      <c r="H46" s="19">
        <f>_xll.BDH("AMGN US Equity","EARN_FOR_COMMON","FQ3 2020","FQ3 2020","Currency=USD","Period=FQ","BEST_FPERIOD_OVERRIDE=FQ","FILING_STATUS=MR","SCALING_FORMAT=MLN","FA_ADJUSTED=Adjusted","Sort=A","Dates=H","DateFormat=P","Fill=—","Direction=H","UseDPDF=Y")</f>
        <v>2569.9627999999998</v>
      </c>
      <c r="I46" s="19">
        <f>_xll.BDH("AMGN US Equity","EARN_FOR_COMMON","FQ4 2020","FQ4 2020","Currency=USD","Period=FQ","BEST_FPERIOD_OVERRIDE=FQ","FILING_STATUS=MR","SCALING_FORMAT=MLN","FA_ADJUSTED=Adjusted","Sort=A","Dates=H","DateFormat=P","Fill=—","Direction=H","UseDPDF=Y")</f>
        <v>1664.0646999999999</v>
      </c>
      <c r="J46" s="19">
        <f>_xll.BDH("AMGN US Equity","EARN_FOR_COMMON","FQ1 2021","FQ1 2021","Currency=USD","Period=FQ","BEST_FPERIOD_OVERRIDE=FQ","FILING_STATUS=MR","SCALING_FORMAT=MLN","FA_ADJUSTED=Adjusted","Sort=A","Dates=H","DateFormat=P","Fill=—","Direction=H","UseDPDF=Y")</f>
        <v>2110.7057</v>
      </c>
      <c r="K46" s="19">
        <f>_xll.BDH("AMGN US Equity","EARN_FOR_COMMON","FQ2 2021","FQ2 2021","Currency=USD","Period=FQ","BEST_FPERIOD_OVERRIDE=FQ","FILING_STATUS=MR","SCALING_FORMAT=MLN","FA_ADJUSTED=Adjusted","Sort=A","Dates=H","DateFormat=P","Fill=—","Direction=H","UseDPDF=Y")</f>
        <v>2485.0016999999998</v>
      </c>
      <c r="L46" s="19">
        <f>_xll.BDH("AMGN US Equity","EARN_FOR_COMMON","FQ3 2021","FQ3 2021","Currency=USD","Period=FQ","BEST_FPERIOD_OVERRIDE=FQ","FILING_STATUS=MR","SCALING_FORMAT=MLN","FA_ADJUSTED=Adjusted","Sort=A","Dates=H","DateFormat=P","Fill=—","Direction=H","UseDPDF=Y")</f>
        <v>1709.0492999999999</v>
      </c>
      <c r="M46" s="19">
        <f>_xll.BDH("AMGN US Equity","EARN_FOR_COMMON","FQ4 2021","FQ4 2021","Currency=USD","Period=FQ","BEST_FPERIOD_OVERRIDE=FQ","FILING_STATUS=MR","SCALING_FORMAT=MLN","FA_ADJUSTED=Adjusted","Sort=A","Dates=H","DateFormat=P","Fill=—","Direction=H","UseDPDF=Y")</f>
        <v>1864.2515000000001</v>
      </c>
      <c r="N46" s="19">
        <f>_xll.BDH("AMGN US Equity","EARN_FOR_COMMON","FQ1 2022","FQ1 2022","Currency=USD","Period=FQ","BEST_FPERIOD_OVERRIDE=FQ","FILING_STATUS=MR","SCALING_FORMAT=MLN","FA_ADJUSTED=Adjusted","Sort=A","Dates=H","DateFormat=P","Fill=—","Direction=H","UseDPDF=Y")</f>
        <v>2304.4439000000002</v>
      </c>
      <c r="O46" s="19">
        <f>_xll.BDH("AMGN US Equity","EARN_FOR_COMMON","FQ2 2022","FQ2 2022","Currency=USD","Period=FQ","BEST_FPERIOD_OVERRIDE=FQ","FILING_STATUS=MR","SCALING_FORMAT=MLN","FA_ADJUSTED=Adjusted","Sort=A","Dates=H","DateFormat=P","Fill=—","Direction=H","UseDPDF=Y")</f>
        <v>2453.5925000000002</v>
      </c>
      <c r="P46" s="19">
        <f>_xll.BDH("AMGN US Equity","EARN_FOR_COMMON","FQ3 2022","FQ3 2022","Currency=USD","Period=FQ","BEST_FPERIOD_OVERRIDE=FQ","FILING_STATUS=MR","SCALING_FORMAT=MLN","FA_ADJUSTED=Adjusted","Sort=A","Dates=H","DateFormat=P","Fill=—","Direction=H","UseDPDF=Y")</f>
        <v>2027.4163000000001</v>
      </c>
      <c r="Q46" s="19">
        <f>_xll.BDH("AMGN US Equity","EARN_FOR_COMMON","FQ4 2022","FQ4 2022","Currency=USD","Period=FQ","BEST_FPERIOD_OVERRIDE=FQ","FILING_STATUS=MR","SCALING_FORMAT=MLN","FA_ADJUSTED=Adjusted","Sort=A","Dates=H","DateFormat=P","Fill=—","Direction=H","UseDPDF=Y")</f>
        <v>1513.0811000000001</v>
      </c>
      <c r="R46" s="19">
        <f>_xll.BDH("AMGN US Equity","EARN_FOR_COMMON","FQ1 2023","FQ1 2023","Currency=USD","Period=FQ","BEST_FPERIOD_OVERRIDE=FQ","FILING_STATUS=MR","SCALING_FORMAT=MLN","FA_ADJUSTED=Adjusted","Sort=A","Dates=H","DateFormat=P","Fill=—","Direction=H","UseDPDF=Y")</f>
        <v>2024</v>
      </c>
      <c r="S46" s="19">
        <f>_xll.BDH("AMGN US Equity","EARN_FOR_COMMON","FQ2 2023","FQ2 2023","Currency=USD","Period=FQ","BEST_FPERIOD_OVERRIDE=FQ","FILING_STATUS=MR","SCALING_FORMAT=MLN","FA_ADJUSTED=Adjusted","Sort=A","Dates=H","DateFormat=P","Fill=—","Direction=H","UseDPDF=Y")</f>
        <v>1851.94</v>
      </c>
      <c r="T46" s="19">
        <f>_xll.BDH("AMGN US Equity","EARN_FOR_COMMON","FQ3 2023","FQ3 2023","Currency=USD","Period=FQ","BEST_FPERIOD_OVERRIDE=FQ","FILING_STATUS=MR","SCALING_FORMAT=MLN","FA_ADJUSTED=Adjusted","Sort=A","Dates=H","DateFormat=P","Fill=—","Direction=H","UseDPDF=Y")</f>
        <v>2078.9131000000002</v>
      </c>
      <c r="U46" s="19">
        <f>_xll.BDH("AMGN US Equity","EARN_FOR_COMMON","FQ4 2023","FQ4 2023","Currency=USD","Period=FQ","BEST_FPERIOD_OVERRIDE=FQ","FILING_STATUS=MR","SCALING_FORMAT=MLN","FA_ADJUSTED=Adjusted","Sort=A","Dates=H","DateFormat=P","Fill=—","Direction=H","UseDPDF=Y")</f>
        <v>1011.3668</v>
      </c>
      <c r="V46" s="19">
        <f>_xll.BDH("AMGN US Equity","EARN_FOR_COMMON","FQ1 2024","FQ1 2024","Currency=USD","Period=FQ","BEST_FPERIOD_OVERRIDE=FQ","FILING_STATUS=MR","SCALING_FORMAT=MLN","FA_ADJUSTED=Adjusted","Sort=A","Dates=H","DateFormat=P","Fill=—","Direction=H","UseDPDF=Y")</f>
        <v>431.9846</v>
      </c>
      <c r="W46" s="19">
        <f>_xll.BDH("AMGN US Equity","EARN_FOR_COMMON","FQ2 2024","FQ2 2024","Currency=USD","Period=FQ","BEST_FPERIOD_OVERRIDE=FQ","FILING_STATUS=MR","SCALING_FORMAT=MLN","FA_ADJUSTED=Adjusted","Sort=A","Dates=H","DateFormat=P","Fill=—","Direction=H","UseDPDF=Y")</f>
        <v>1207.5881999999999</v>
      </c>
      <c r="X46" s="19">
        <f>_xll.BDH("AMGN US Equity","EARN_FOR_COMMON","FQ3 2024","FQ3 2024","Currency=USD","Period=FQ","BEST_FPERIOD_OVERRIDE=FQ","FILING_STATUS=MR","SCALING_FORMAT=MLN","FA_ADJUSTED=Adjusted","Sort=A","Dates=H","DateFormat=P","Fill=—","Direction=H","UseDPDF=Y")</f>
        <v>2043.6077</v>
      </c>
      <c r="Y46" s="19">
        <f>_xll.BDH("AMGN US Equity","EARN_FOR_COMMON","FQ4 2024","FQ4 2024","Currency=USD","Period=FQ","BEST_FPERIOD_OVERRIDE=FQ","FILING_STATUS=MR","SCALING_FORMAT=MLN","FA_ADJUSTED=Adjusted","Sort=A","Dates=H","DateFormat=P","Fill=—","Direction=H","UseDPDF=Y")</f>
        <v>1307.2090000000001</v>
      </c>
      <c r="Z46" s="19">
        <v>2215.5219999999999</v>
      </c>
      <c r="AA46" s="19">
        <v>2773.174</v>
      </c>
    </row>
    <row r="47" spans="1:27" x14ac:dyDescent="0.25">
      <c r="A47" s="10" t="s">
        <v>379</v>
      </c>
      <c r="B47" s="10" t="s">
        <v>380</v>
      </c>
      <c r="C47" s="13">
        <f>_xll.BDH("AMGN US Equity","IS_NET_ABNORMAL_ITEMS","FQ2 2019","FQ2 2019","Currency=USD","Period=FQ","BEST_FPERIOD_OVERRIDE=FQ","FILING_STATUS=MR","SCALING_FORMAT=MLN","Sort=A","Dates=H","DateFormat=P","Fill=—","Direction=H","UseDPDF=Y")</f>
        <v>16.709499999999998</v>
      </c>
      <c r="D47" s="13">
        <f>_xll.BDH("AMGN US Equity","IS_NET_ABNORMAL_ITEMS","FQ3 2019","FQ3 2019","Currency=USD","Period=FQ","BEST_FPERIOD_OVERRIDE=FQ","FILING_STATUS=MR","SCALING_FORMAT=MLN","Sort=A","Dates=H","DateFormat=P","Fill=—","Direction=H","UseDPDF=Y")</f>
        <v>8</v>
      </c>
      <c r="E47" s="13">
        <f>_xll.BDH("AMGN US Equity","IS_NET_ABNORMAL_ITEMS","FQ4 2019","FQ4 2019","Currency=USD","Period=FQ","BEST_FPERIOD_OVERRIDE=FQ","FILING_STATUS=MR","SCALING_FORMAT=MLN","Sort=A","Dates=H","DateFormat=P","Fill=—","Direction=H","UseDPDF=Y")</f>
        <v>57.3874</v>
      </c>
      <c r="F47" s="13">
        <f>_xll.BDH("AMGN US Equity","IS_NET_ABNORMAL_ITEMS","FQ1 2020","FQ1 2020","Currency=USD","Period=FQ","BEST_FPERIOD_OVERRIDE=FQ","FILING_STATUS=MR","SCALING_FORMAT=MLN","Sort=A","Dates=H","DateFormat=P","Fill=—","Direction=H","UseDPDF=Y")</f>
        <v>20.796500000000002</v>
      </c>
      <c r="G47" s="13">
        <f>_xll.BDH("AMGN US Equity","IS_NET_ABNORMAL_ITEMS","FQ2 2020","FQ2 2020","Currency=USD","Period=FQ","BEST_FPERIOD_OVERRIDE=FQ","FILING_STATUS=MR","SCALING_FORMAT=MLN","Sort=A","Dates=H","DateFormat=P","Fill=—","Direction=H","UseDPDF=Y")</f>
        <v>72.531499999999994</v>
      </c>
      <c r="H47" s="13">
        <f>_xll.BDH("AMGN US Equity","IS_NET_ABNORMAL_ITEMS","FQ3 2020","FQ3 2020","Currency=USD","Period=FQ","BEST_FPERIOD_OVERRIDE=FQ","FILING_STATUS=MR","SCALING_FORMAT=MLN","Sort=A","Dates=H","DateFormat=P","Fill=—","Direction=H","UseDPDF=Y")</f>
        <v>548.96280000000002</v>
      </c>
      <c r="I47" s="13">
        <f>_xll.BDH("AMGN US Equity","IS_NET_ABNORMAL_ITEMS","FQ4 2020","FQ4 2020","Currency=USD","Period=FQ","BEST_FPERIOD_OVERRIDE=FQ","FILING_STATUS=MR","SCALING_FORMAT=MLN","Sort=A","Dates=H","DateFormat=P","Fill=—","Direction=H","UseDPDF=Y")</f>
        <v>49.064700000000002</v>
      </c>
      <c r="J47" s="13">
        <f>_xll.BDH("AMGN US Equity","IS_NET_ABNORMAL_ITEMS","FQ1 2021","FQ1 2021","Currency=USD","Period=FQ","BEST_FPERIOD_OVERRIDE=FQ","FILING_STATUS=MR","SCALING_FORMAT=MLN","Sort=A","Dates=H","DateFormat=P","Fill=—","Direction=H","UseDPDF=Y")</f>
        <v>464.70569999999998</v>
      </c>
      <c r="K47" s="13">
        <f>_xll.BDH("AMGN US Equity","IS_NET_ABNORMAL_ITEMS","FQ2 2021","FQ2 2021","Currency=USD","Period=FQ","BEST_FPERIOD_OVERRIDE=FQ","FILING_STATUS=MR","SCALING_FORMAT=MLN","Sort=A","Dates=H","DateFormat=P","Fill=—","Direction=H","UseDPDF=Y")</f>
        <v>2021.0017</v>
      </c>
      <c r="L47" s="13">
        <f>_xll.BDH("AMGN US Equity","IS_NET_ABNORMAL_ITEMS","FQ3 2021","FQ3 2021","Currency=USD","Period=FQ","BEST_FPERIOD_OVERRIDE=FQ","FILING_STATUS=MR","SCALING_FORMAT=MLN","Sort=A","Dates=H","DateFormat=P","Fill=—","Direction=H","UseDPDF=Y")</f>
        <v>-174.95070000000001</v>
      </c>
      <c r="M47" s="13">
        <f>_xll.BDH("AMGN US Equity","IS_NET_ABNORMAL_ITEMS","FQ4 2021","FQ4 2021","Currency=USD","Period=FQ","BEST_FPERIOD_OVERRIDE=FQ","FILING_STATUS=MR","SCALING_FORMAT=MLN","Sort=A","Dates=H","DateFormat=P","Fill=—","Direction=H","UseDPDF=Y")</f>
        <v>-34.7485</v>
      </c>
      <c r="N47" s="13">
        <f>_xll.BDH("AMGN US Equity","IS_NET_ABNORMAL_ITEMS","FQ1 2022","FQ1 2022","Currency=USD","Period=FQ","BEST_FPERIOD_OVERRIDE=FQ","FILING_STATUS=MR","SCALING_FORMAT=MLN","Sort=A","Dates=H","DateFormat=P","Fill=—","Direction=H","UseDPDF=Y")</f>
        <v>828.44389999999999</v>
      </c>
      <c r="O47" s="13">
        <f>_xll.BDH("AMGN US Equity","IS_NET_ABNORMAL_ITEMS","FQ2 2022","FQ2 2022","Currency=USD","Period=FQ","BEST_FPERIOD_OVERRIDE=FQ","FILING_STATUS=MR","SCALING_FORMAT=MLN","Sort=A","Dates=H","DateFormat=P","Fill=—","Direction=H","UseDPDF=Y")</f>
        <v>1136.5925</v>
      </c>
      <c r="P47" s="13">
        <f>_xll.BDH("AMGN US Equity","IS_NET_ABNORMAL_ITEMS","FQ3 2022","FQ3 2022","Currency=USD","Period=FQ","BEST_FPERIOD_OVERRIDE=FQ","FILING_STATUS=MR","SCALING_FORMAT=MLN","Sort=A","Dates=H","DateFormat=P","Fill=—","Direction=H","UseDPDF=Y")</f>
        <v>-115.58369999999999</v>
      </c>
      <c r="Q47" s="13">
        <f>_xll.BDH("AMGN US Equity","IS_NET_ABNORMAL_ITEMS","FQ4 2022","FQ4 2022","Currency=USD","Period=FQ","BEST_FPERIOD_OVERRIDE=FQ","FILING_STATUS=MR","SCALING_FORMAT=MLN","Sort=A","Dates=H","DateFormat=P","Fill=—","Direction=H","UseDPDF=Y")</f>
        <v>-102.91889999999999</v>
      </c>
      <c r="R47" s="13">
        <f>_xll.BDH("AMGN US Equity","IS_NET_ABNORMAL_ITEMS","FQ1 2023","FQ1 2023","Currency=USD","Period=FQ","BEST_FPERIOD_OVERRIDE=FQ","FILING_STATUS=MR","SCALING_FORMAT=MLN","Sort=A","Dates=H","DateFormat=P","Fill=—","Direction=H","UseDPDF=Y")</f>
        <v>-817</v>
      </c>
      <c r="S47" s="13">
        <f>_xll.BDH("AMGN US Equity","IS_NET_ABNORMAL_ITEMS","FQ2 2023","FQ2 2023","Currency=USD","Period=FQ","BEST_FPERIOD_OVERRIDE=FQ","FILING_STATUS=MR","SCALING_FORMAT=MLN","Sort=A","Dates=H","DateFormat=P","Fill=—","Direction=H","UseDPDF=Y")</f>
        <v>472.94</v>
      </c>
      <c r="T47" s="13">
        <f>_xll.BDH("AMGN US Equity","IS_NET_ABNORMAL_ITEMS","FQ3 2023","FQ3 2023","Currency=USD","Period=FQ","BEST_FPERIOD_OVERRIDE=FQ","FILING_STATUS=MR","SCALING_FORMAT=MLN","Sort=A","Dates=H","DateFormat=P","Fill=—","Direction=H","UseDPDF=Y")</f>
        <v>348.91309999999999</v>
      </c>
      <c r="U47" s="13">
        <f>_xll.BDH("AMGN US Equity","IS_NET_ABNORMAL_ITEMS","FQ4 2023","FQ4 2023","Currency=USD","Period=FQ","BEST_FPERIOD_OVERRIDE=FQ","FILING_STATUS=MR","SCALING_FORMAT=MLN","Sort=A","Dates=H","DateFormat=P","Fill=—","Direction=H","UseDPDF=Y")</f>
        <v>244.36680000000001</v>
      </c>
      <c r="V47" s="13">
        <f>_xll.BDH("AMGN US Equity","IS_NET_ABNORMAL_ITEMS","FQ1 2024","FQ1 2024","Currency=USD","Period=FQ","BEST_FPERIOD_OVERRIDE=FQ","FILING_STATUS=MR","SCALING_FORMAT=MLN","Sort=A","Dates=H","DateFormat=P","Fill=—","Direction=H","UseDPDF=Y")</f>
        <v>544.9846</v>
      </c>
      <c r="W47" s="13">
        <f>_xll.BDH("AMGN US Equity","IS_NET_ABNORMAL_ITEMS","FQ2 2024","FQ2 2024","Currency=USD","Period=FQ","BEST_FPERIOD_OVERRIDE=FQ","FILING_STATUS=MR","SCALING_FORMAT=MLN","Sort=A","Dates=H","DateFormat=P","Fill=—","Direction=H","UseDPDF=Y")</f>
        <v>461.58819999999997</v>
      </c>
      <c r="X47" s="13">
        <f>_xll.BDH("AMGN US Equity","IS_NET_ABNORMAL_ITEMS","FQ3 2024","FQ3 2024","Currency=USD","Period=FQ","BEST_FPERIOD_OVERRIDE=FQ","FILING_STATUS=MR","SCALING_FORMAT=MLN","Sort=A","Dates=H","DateFormat=P","Fill=—","Direction=H","UseDPDF=Y")</f>
        <v>-786.39229999999998</v>
      </c>
      <c r="Y47" s="13">
        <f>_xll.BDH("AMGN US Equity","IS_NET_ABNORMAL_ITEMS","FQ4 2024","FQ4 2024","Currency=USD","Period=FQ","BEST_FPERIOD_OVERRIDE=FQ","FILING_STATUS=MR","SCALING_FORMAT=MLN","Sort=A","Dates=H","DateFormat=P","Fill=—","Direction=H","UseDPDF=Y")</f>
        <v>680.20899999999995</v>
      </c>
      <c r="Z47" s="13"/>
      <c r="AA47" s="13"/>
    </row>
    <row r="48" spans="1:27" x14ac:dyDescent="0.25">
      <c r="A48" s="10" t="s">
        <v>381</v>
      </c>
      <c r="B48" s="10" t="s">
        <v>362</v>
      </c>
      <c r="C48" s="13">
        <f>_xll.BDH("AMGN US Equity","XO_GL_NET_OF_TAX","FQ2 2019","FQ2 2019","Currency=USD","Period=FQ","BEST_FPERIOD_OVERRIDE=FQ","FILING_STATUS=MR","SCALING_FORMAT=MLN","Sort=A","Dates=H","DateFormat=P","Fill=—","Direction=H","UseDPDF=Y")</f>
        <v>0</v>
      </c>
      <c r="D48" s="13">
        <f>_xll.BDH("AMGN US Equity","XO_GL_NET_OF_TAX","FQ3 2019","FQ3 2019","Currency=USD","Period=FQ","BEST_FPERIOD_OVERRIDE=FQ","FILING_STATUS=MR","SCALING_FORMAT=MLN","Sort=A","Dates=H","DateFormat=P","Fill=—","Direction=H","UseDPDF=Y")</f>
        <v>0</v>
      </c>
      <c r="E48" s="13">
        <f>_xll.BDH("AMGN US Equity","XO_GL_NET_OF_TAX","FQ4 2019","FQ4 2019","Currency=USD","Period=FQ","BEST_FPERIOD_OVERRIDE=FQ","FILING_STATUS=MR","SCALING_FORMAT=MLN","Sort=A","Dates=H","DateFormat=P","Fill=—","Direction=H","UseDPDF=Y")</f>
        <v>0</v>
      </c>
      <c r="F48" s="13">
        <f>_xll.BDH("AMGN US Equity","XO_GL_NET_OF_TAX","FQ1 2020","FQ1 2020","Currency=USD","Period=FQ","BEST_FPERIOD_OVERRIDE=FQ","FILING_STATUS=MR","SCALING_FORMAT=MLN","Sort=A","Dates=H","DateFormat=P","Fill=—","Direction=H","UseDPDF=Y")</f>
        <v>0</v>
      </c>
      <c r="G48" s="13">
        <f>_xll.BDH("AMGN US Equity","XO_GL_NET_OF_TAX","FQ2 2020","FQ2 2020","Currency=USD","Period=FQ","BEST_FPERIOD_OVERRIDE=FQ","FILING_STATUS=MR","SCALING_FORMAT=MLN","Sort=A","Dates=H","DateFormat=P","Fill=—","Direction=H","UseDPDF=Y")</f>
        <v>0</v>
      </c>
      <c r="H48" s="13">
        <f>_xll.BDH("AMGN US Equity","XO_GL_NET_OF_TAX","FQ3 2020","FQ3 2020","Currency=USD","Period=FQ","BEST_FPERIOD_OVERRIDE=FQ","FILING_STATUS=MR","SCALING_FORMAT=MLN","Sort=A","Dates=H","DateFormat=P","Fill=—","Direction=H","UseDPDF=Y")</f>
        <v>0</v>
      </c>
      <c r="I48" s="13">
        <f>_xll.BDH("AMGN US Equity","XO_GL_NET_OF_TAX","FQ4 2020","FQ4 2020","Currency=USD","Period=FQ","BEST_FPERIOD_OVERRIDE=FQ","FILING_STATUS=MR","SCALING_FORMAT=MLN","Sort=A","Dates=H","DateFormat=P","Fill=—","Direction=H","UseDPDF=Y")</f>
        <v>0</v>
      </c>
      <c r="J48" s="13">
        <f>_xll.BDH("AMGN US Equity","XO_GL_NET_OF_TAX","FQ1 2021","FQ1 2021","Currency=USD","Period=FQ","BEST_FPERIOD_OVERRIDE=FQ","FILING_STATUS=MR","SCALING_FORMAT=MLN","Sort=A","Dates=H","DateFormat=P","Fill=—","Direction=H","UseDPDF=Y")</f>
        <v>0</v>
      </c>
      <c r="K48" s="13">
        <f>_xll.BDH("AMGN US Equity","XO_GL_NET_OF_TAX","FQ2 2021","FQ2 2021","Currency=USD","Period=FQ","BEST_FPERIOD_OVERRIDE=FQ","FILING_STATUS=MR","SCALING_FORMAT=MLN","Sort=A","Dates=H","DateFormat=P","Fill=—","Direction=H","UseDPDF=Y")</f>
        <v>0</v>
      </c>
      <c r="L48" s="13">
        <f>_xll.BDH("AMGN US Equity","XO_GL_NET_OF_TAX","FQ3 2021","FQ3 2021","Currency=USD","Period=FQ","BEST_FPERIOD_OVERRIDE=FQ","FILING_STATUS=MR","SCALING_FORMAT=MLN","Sort=A","Dates=H","DateFormat=P","Fill=—","Direction=H","UseDPDF=Y")</f>
        <v>0</v>
      </c>
      <c r="M48" s="13">
        <f>_xll.BDH("AMGN US Equity","XO_GL_NET_OF_TAX","FQ4 2021","FQ4 2021","Currency=USD","Period=FQ","BEST_FPERIOD_OVERRIDE=FQ","FILING_STATUS=MR","SCALING_FORMAT=MLN","Sort=A","Dates=H","DateFormat=P","Fill=—","Direction=H","UseDPDF=Y")</f>
        <v>0</v>
      </c>
      <c r="N48" s="13">
        <f>_xll.BDH("AMGN US Equity","XO_GL_NET_OF_TAX","FQ1 2022","FQ1 2022","Currency=USD","Period=FQ","BEST_FPERIOD_OVERRIDE=FQ","FILING_STATUS=MR","SCALING_FORMAT=MLN","Sort=A","Dates=H","DateFormat=P","Fill=—","Direction=H","UseDPDF=Y")</f>
        <v>0</v>
      </c>
      <c r="O48" s="13">
        <f>_xll.BDH("AMGN US Equity","XO_GL_NET_OF_TAX","FQ2 2022","FQ2 2022","Currency=USD","Period=FQ","BEST_FPERIOD_OVERRIDE=FQ","FILING_STATUS=MR","SCALING_FORMAT=MLN","Sort=A","Dates=H","DateFormat=P","Fill=—","Direction=H","UseDPDF=Y")</f>
        <v>0</v>
      </c>
      <c r="P48" s="13">
        <f>_xll.BDH("AMGN US Equity","XO_GL_NET_OF_TAX","FQ3 2022","FQ3 2022","Currency=USD","Period=FQ","BEST_FPERIOD_OVERRIDE=FQ","FILING_STATUS=MR","SCALING_FORMAT=MLN","Sort=A","Dates=H","DateFormat=P","Fill=—","Direction=H","UseDPDF=Y")</f>
        <v>0</v>
      </c>
      <c r="Q48" s="13">
        <f>_xll.BDH("AMGN US Equity","XO_GL_NET_OF_TAX","FQ4 2022","FQ4 2022","Currency=USD","Period=FQ","BEST_FPERIOD_OVERRIDE=FQ","FILING_STATUS=MR","SCALING_FORMAT=MLN","Sort=A","Dates=H","DateFormat=P","Fill=—","Direction=H","UseDPDF=Y")</f>
        <v>0</v>
      </c>
      <c r="R48" s="13">
        <f>_xll.BDH("AMGN US Equity","XO_GL_NET_OF_TAX","FQ1 2023","FQ1 2023","Currency=USD","Period=FQ","BEST_FPERIOD_OVERRIDE=FQ","FILING_STATUS=MR","SCALING_FORMAT=MLN","Sort=A","Dates=H","DateFormat=P","Fill=—","Direction=H","UseDPDF=Y")</f>
        <v>0</v>
      </c>
      <c r="S48" s="13">
        <f>_xll.BDH("AMGN US Equity","XO_GL_NET_OF_TAX","FQ2 2023","FQ2 2023","Currency=USD","Period=FQ","BEST_FPERIOD_OVERRIDE=FQ","FILING_STATUS=MR","SCALING_FORMAT=MLN","Sort=A","Dates=H","DateFormat=P","Fill=—","Direction=H","UseDPDF=Y")</f>
        <v>0</v>
      </c>
      <c r="T48" s="13">
        <f>_xll.BDH("AMGN US Equity","XO_GL_NET_OF_TAX","FQ3 2023","FQ3 2023","Currency=USD","Period=FQ","BEST_FPERIOD_OVERRIDE=FQ","FILING_STATUS=MR","SCALING_FORMAT=MLN","Sort=A","Dates=H","DateFormat=P","Fill=—","Direction=H","UseDPDF=Y")</f>
        <v>0</v>
      </c>
      <c r="U48" s="13">
        <f>_xll.BDH("AMGN US Equity","XO_GL_NET_OF_TAX","FQ4 2023","FQ4 2023","Currency=USD","Period=FQ","BEST_FPERIOD_OVERRIDE=FQ","FILING_STATUS=MR","SCALING_FORMAT=MLN","Sort=A","Dates=H","DateFormat=P","Fill=—","Direction=H","UseDPDF=Y")</f>
        <v>0</v>
      </c>
      <c r="V48" s="13">
        <f>_xll.BDH("AMGN US Equity","XO_GL_NET_OF_TAX","FQ1 2024","FQ1 2024","Currency=USD","Period=FQ","BEST_FPERIOD_OVERRIDE=FQ","FILING_STATUS=MR","SCALING_FORMAT=MLN","Sort=A","Dates=H","DateFormat=P","Fill=—","Direction=H","UseDPDF=Y")</f>
        <v>0</v>
      </c>
      <c r="W48" s="13">
        <f>_xll.BDH("AMGN US Equity","XO_GL_NET_OF_TAX","FQ2 2024","FQ2 2024","Currency=USD","Period=FQ","BEST_FPERIOD_OVERRIDE=FQ","FILING_STATUS=MR","SCALING_FORMAT=MLN","Sort=A","Dates=H","DateFormat=P","Fill=—","Direction=H","UseDPDF=Y")</f>
        <v>0</v>
      </c>
      <c r="X48" s="13">
        <f>_xll.BDH("AMGN US Equity","XO_GL_NET_OF_TAX","FQ3 2024","FQ3 2024","Currency=USD","Period=FQ","BEST_FPERIOD_OVERRIDE=FQ","FILING_STATUS=MR","SCALING_FORMAT=MLN","Sort=A","Dates=H","DateFormat=P","Fill=—","Direction=H","UseDPDF=Y")</f>
        <v>0</v>
      </c>
      <c r="Y48" s="13">
        <f>_xll.BDH("AMGN US Equity","XO_GL_NET_OF_TAX","FQ4 2024","FQ4 2024","Currency=USD","Period=FQ","BEST_FPERIOD_OVERRIDE=FQ","FILING_STATUS=MR","SCALING_FORMAT=MLN","Sort=A","Dates=H","DateFormat=P","Fill=—","Direction=H","UseDPDF=Y")</f>
        <v>0</v>
      </c>
      <c r="Z48" s="13"/>
      <c r="AA48" s="13"/>
    </row>
    <row r="49" spans="1:27" x14ac:dyDescent="0.25">
      <c r="A49" s="6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 x14ac:dyDescent="0.25">
      <c r="A50" s="10" t="s">
        <v>254</v>
      </c>
      <c r="B50" s="10" t="s">
        <v>106</v>
      </c>
      <c r="C50" s="13">
        <f>_xll.BDH("AMGN US Equity","IS_AVG_NUM_SH_FOR_EPS","FQ2 2019","FQ2 2019","Currency=USD","Period=FQ","BEST_FPERIOD_OVERRIDE=FQ","FILING_STATUS=MR","Sort=A","Dates=H","DateFormat=P","Fill=—","Direction=H","UseDPDF=Y")</f>
        <v>607</v>
      </c>
      <c r="D50" s="13">
        <f>_xll.BDH("AMGN US Equity","IS_AVG_NUM_SH_FOR_EPS","FQ3 2019","FQ3 2019","Currency=USD","Period=FQ","BEST_FPERIOD_OVERRIDE=FQ","FILING_STATUS=MR","Sort=A","Dates=H","DateFormat=P","Fill=—","Direction=H","UseDPDF=Y")</f>
        <v>599</v>
      </c>
      <c r="E50" s="13">
        <f>_xll.BDH("AMGN US Equity","IS_AVG_NUM_SH_FOR_EPS","FQ4 2019","FQ4 2019","Currency=USD","Period=FQ","BEST_FPERIOD_OVERRIDE=FQ","FILING_STATUS=MR","Sort=A","Dates=H","DateFormat=P","Fill=—","Direction=H","UseDPDF=Y")</f>
        <v>593</v>
      </c>
      <c r="F50" s="13">
        <f>_xll.BDH("AMGN US Equity","IS_AVG_NUM_SH_FOR_EPS","FQ1 2020","FQ1 2020","Currency=USD","Period=FQ","BEST_FPERIOD_OVERRIDE=FQ","FILING_STATUS=MR","Sort=A","Dates=H","DateFormat=P","Fill=—","Direction=H","UseDPDF=Y")</f>
        <v>590</v>
      </c>
      <c r="G50" s="13">
        <f>_xll.BDH("AMGN US Equity","IS_AVG_NUM_SH_FOR_EPS","FQ2 2020","FQ2 2020","Currency=USD","Period=FQ","BEST_FPERIOD_OVERRIDE=FQ","FILING_STATUS=MR","Sort=A","Dates=H","DateFormat=P","Fill=—","Direction=H","UseDPDF=Y")</f>
        <v>588</v>
      </c>
      <c r="H50" s="13">
        <f>_xll.BDH("AMGN US Equity","IS_AVG_NUM_SH_FOR_EPS","FQ3 2020","FQ3 2020","Currency=USD","Period=FQ","BEST_FPERIOD_OVERRIDE=FQ","FILING_STATUS=MR","Sort=A","Dates=H","DateFormat=P","Fill=—","Direction=H","UseDPDF=Y")</f>
        <v>585</v>
      </c>
      <c r="I50" s="13">
        <f>_xll.BDH("AMGN US Equity","IS_AVG_NUM_SH_FOR_EPS","FQ4 2020","FQ4 2020","Currency=USD","Period=FQ","BEST_FPERIOD_OVERRIDE=FQ","FILING_STATUS=MR","Sort=A","Dates=H","DateFormat=P","Fill=—","Direction=H","UseDPDF=Y")</f>
        <v>581</v>
      </c>
      <c r="J50" s="13">
        <f>_xll.BDH("AMGN US Equity","IS_AVG_NUM_SH_FOR_EPS","FQ1 2021","FQ1 2021","Currency=USD","Period=FQ","BEST_FPERIOD_OVERRIDE=FQ","FILING_STATUS=MR","Sort=A","Dates=H","DateFormat=P","Fill=—","Direction=H","UseDPDF=Y")</f>
        <v>577</v>
      </c>
      <c r="K50" s="13">
        <f>_xll.BDH("AMGN US Equity","IS_AVG_NUM_SH_FOR_EPS","FQ2 2021","FQ2 2021","Currency=USD","Period=FQ","BEST_FPERIOD_OVERRIDE=FQ","FILING_STATUS=MR","Sort=A","Dates=H","DateFormat=P","Fill=—","Direction=H","UseDPDF=Y")</f>
        <v>573</v>
      </c>
      <c r="L50" s="13">
        <f>_xll.BDH("AMGN US Equity","IS_AVG_NUM_SH_FOR_EPS","FQ3 2021","FQ3 2021","Currency=USD","Period=FQ","BEST_FPERIOD_OVERRIDE=FQ","FILING_STATUS=MR","Sort=A","Dates=H","DateFormat=P","Fill=—","Direction=H","UseDPDF=Y")</f>
        <v>567</v>
      </c>
      <c r="M50" s="13">
        <f>_xll.BDH("AMGN US Equity","IS_AVG_NUM_SH_FOR_EPS","FQ4 2021","FQ4 2021","Currency=USD","Period=FQ","BEST_FPERIOD_OVERRIDE=FQ","FILING_STATUS=MR","Sort=A","Dates=H","DateFormat=P","Fill=—","Direction=H","UseDPDF=Y")</f>
        <v>562</v>
      </c>
      <c r="N50" s="13">
        <f>_xll.BDH("AMGN US Equity","IS_AVG_NUM_SH_FOR_EPS","FQ1 2022","FQ1 2022","Currency=USD","Period=FQ","BEST_FPERIOD_OVERRIDE=FQ","FILING_STATUS=MR","Sort=A","Dates=H","DateFormat=P","Fill=—","Direction=H","UseDPDF=Y")</f>
        <v>548</v>
      </c>
      <c r="O50" s="13">
        <f>_xll.BDH("AMGN US Equity","IS_AVG_NUM_SH_FOR_EPS","FQ2 2022","FQ2 2022","Currency=USD","Period=FQ","BEST_FPERIOD_OVERRIDE=FQ","FILING_STATUS=MR","Sort=A","Dates=H","DateFormat=P","Fill=—","Direction=H","UseDPDF=Y")</f>
        <v>535</v>
      </c>
      <c r="P50" s="13">
        <f>_xll.BDH("AMGN US Equity","IS_AVG_NUM_SH_FOR_EPS","FQ3 2022","FQ3 2022","Currency=USD","Period=FQ","BEST_FPERIOD_OVERRIDE=FQ","FILING_STATUS=MR","Sort=A","Dates=H","DateFormat=P","Fill=—","Direction=H","UseDPDF=Y")</f>
        <v>535</v>
      </c>
      <c r="Q50" s="13">
        <f>_xll.BDH("AMGN US Equity","IS_AVG_NUM_SH_FOR_EPS","FQ4 2022","FQ4 2022","Currency=USD","Period=FQ","BEST_FPERIOD_OVERRIDE=FQ","FILING_STATUS=MR","Sort=A","Dates=H","DateFormat=P","Fill=—","Direction=H","UseDPDF=Y")</f>
        <v>535</v>
      </c>
      <c r="R50" s="13">
        <f>_xll.BDH("AMGN US Equity","IS_AVG_NUM_SH_FOR_EPS","FQ1 2023","FQ1 2023","Currency=USD","Period=FQ","BEST_FPERIOD_OVERRIDE=FQ","FILING_STATUS=MR","Sort=A","Dates=H","DateFormat=P","Fill=—","Direction=H","UseDPDF=Y")</f>
        <v>534</v>
      </c>
      <c r="S50" s="13">
        <f>_xll.BDH("AMGN US Equity","IS_AVG_NUM_SH_FOR_EPS","FQ2 2023","FQ2 2023","Currency=USD","Period=FQ","BEST_FPERIOD_OVERRIDE=FQ","FILING_STATUS=MR","Sort=A","Dates=H","DateFormat=P","Fill=—","Direction=H","UseDPDF=Y")</f>
        <v>535</v>
      </c>
      <c r="T50" s="13">
        <f>_xll.BDH("AMGN US Equity","IS_AVG_NUM_SH_FOR_EPS","FQ3 2023","FQ3 2023","Currency=USD","Period=FQ","BEST_FPERIOD_OVERRIDE=FQ","FILING_STATUS=MR","Sort=A","Dates=H","DateFormat=P","Fill=—","Direction=H","UseDPDF=Y")</f>
        <v>535</v>
      </c>
      <c r="U50" s="13">
        <f>_xll.BDH("AMGN US Equity","IS_AVG_NUM_SH_FOR_EPS","FQ4 2023","FQ4 2023","Currency=USD","Period=FQ","BEST_FPERIOD_OVERRIDE=FQ","FILING_STATUS=MR","Sort=A","Dates=H","DateFormat=P","Fill=—","Direction=H","UseDPDF=Y")</f>
        <v>535</v>
      </c>
      <c r="V50" s="13">
        <f>_xll.BDH("AMGN US Equity","IS_AVG_NUM_SH_FOR_EPS","FQ1 2024","FQ1 2024","Currency=USD","Period=FQ","BEST_FPERIOD_OVERRIDE=FQ","FILING_STATUS=MR","Sort=A","Dates=H","DateFormat=P","Fill=—","Direction=H","UseDPDF=Y")</f>
        <v>536</v>
      </c>
      <c r="W50" s="13">
        <f>_xll.BDH("AMGN US Equity","IS_AVG_NUM_SH_FOR_EPS","FQ2 2024","FQ2 2024","Currency=USD","Period=FQ","BEST_FPERIOD_OVERRIDE=FQ","FILING_STATUS=MR","Sort=A","Dates=H","DateFormat=P","Fill=—","Direction=H","UseDPDF=Y")</f>
        <v>537</v>
      </c>
      <c r="X50" s="13">
        <f>_xll.BDH("AMGN US Equity","IS_AVG_NUM_SH_FOR_EPS","FQ3 2024","FQ3 2024","Currency=USD","Period=FQ","BEST_FPERIOD_OVERRIDE=FQ","FILING_STATUS=MR","Sort=A","Dates=H","DateFormat=P","Fill=—","Direction=H","UseDPDF=Y")</f>
        <v>537</v>
      </c>
      <c r="Y50" s="13">
        <f>_xll.BDH("AMGN US Equity","IS_AVG_NUM_SH_FOR_EPS","FQ4 2024","FQ4 2024","Currency=USD","Period=FQ","BEST_FPERIOD_OVERRIDE=FQ","FILING_STATUS=MR","Sort=A","Dates=H","DateFormat=P","Fill=—","Direction=H","UseDPDF=Y")</f>
        <v>537</v>
      </c>
      <c r="Z50" s="13"/>
      <c r="AA50" s="13"/>
    </row>
    <row r="51" spans="1:27" x14ac:dyDescent="0.25">
      <c r="A51" s="6" t="s">
        <v>101</v>
      </c>
      <c r="B51" s="6" t="s">
        <v>102</v>
      </c>
      <c r="C51" s="20">
        <f>_xll.BDH("AMGN US Equity","IS_EPS","FQ2 2019","FQ2 2019","Currency=USD","Period=FQ","BEST_FPERIOD_OVERRIDE=FQ","FILING_STATUS=MR","FA_ADJUSTED=GAAP","Sort=A","Dates=H","DateFormat=P","Fill=—","Direction=H","UseDPDF=Y")</f>
        <v>3.59</v>
      </c>
      <c r="D51" s="20">
        <f>_xll.BDH("AMGN US Equity","IS_EPS","FQ3 2019","FQ3 2019","Currency=USD","Period=FQ","BEST_FPERIOD_OVERRIDE=FQ","FILING_STATUS=MR","FA_ADJUSTED=GAAP","Sort=A","Dates=H","DateFormat=P","Fill=—","Direction=H","UseDPDF=Y")</f>
        <v>3.29</v>
      </c>
      <c r="E51" s="20">
        <f>_xll.BDH("AMGN US Equity","IS_EPS","FQ4 2019","FQ4 2019","Currency=USD","Period=FQ","BEST_FPERIOD_OVERRIDE=FQ","FILING_STATUS=MR","FA_ADJUSTED=GAAP","Sort=A","Dates=H","DateFormat=P","Fill=—","Direction=H","UseDPDF=Y")</f>
        <v>2.87</v>
      </c>
      <c r="F51" s="20">
        <f>_xll.BDH("AMGN US Equity","IS_EPS","FQ1 2020","FQ1 2020","Currency=USD","Period=FQ","BEST_FPERIOD_OVERRIDE=FQ","FILING_STATUS=MR","FA_ADJUSTED=GAAP","Sort=A","Dates=H","DateFormat=P","Fill=—","Direction=H","UseDPDF=Y")</f>
        <v>3.09</v>
      </c>
      <c r="G51" s="20">
        <f>_xll.BDH("AMGN US Equity","IS_EPS","FQ2 2020","FQ2 2020","Currency=USD","Period=FQ","BEST_FPERIOD_OVERRIDE=FQ","FILING_STATUS=MR","FA_ADJUSTED=GAAP","Sort=A","Dates=H","DateFormat=P","Fill=—","Direction=H","UseDPDF=Y")</f>
        <v>3.07</v>
      </c>
      <c r="H51" s="20">
        <f>_xll.BDH("AMGN US Equity","IS_EPS","FQ3 2020","FQ3 2020","Currency=USD","Period=FQ","BEST_FPERIOD_OVERRIDE=FQ","FILING_STATUS=MR","FA_ADJUSTED=GAAP","Sort=A","Dates=H","DateFormat=P","Fill=—","Direction=H","UseDPDF=Y")</f>
        <v>3.45</v>
      </c>
      <c r="I51" s="20">
        <f>_xll.BDH("AMGN US Equity","IS_EPS","FQ4 2020","FQ4 2020","Currency=USD","Period=FQ","BEST_FPERIOD_OVERRIDE=FQ","FILING_STATUS=MR","FA_ADJUSTED=GAAP","Sort=A","Dates=H","DateFormat=P","Fill=—","Direction=H","UseDPDF=Y")</f>
        <v>2.78</v>
      </c>
      <c r="J51" s="20">
        <f>_xll.BDH("AMGN US Equity","IS_EPS","FQ1 2021","FQ1 2021","Currency=USD","Period=FQ","BEST_FPERIOD_OVERRIDE=FQ","FILING_STATUS=MR","FA_ADJUSTED=GAAP","Sort=A","Dates=H","DateFormat=P","Fill=—","Direction=H","UseDPDF=Y")</f>
        <v>2.85</v>
      </c>
      <c r="K51" s="20">
        <f>_xll.BDH("AMGN US Equity","IS_EPS","FQ2 2021","FQ2 2021","Currency=USD","Period=FQ","BEST_FPERIOD_OVERRIDE=FQ","FILING_STATUS=MR","FA_ADJUSTED=GAAP","Sort=A","Dates=H","DateFormat=P","Fill=—","Direction=H","UseDPDF=Y")</f>
        <v>0.81</v>
      </c>
      <c r="L51" s="20">
        <f>_xll.BDH("AMGN US Equity","IS_EPS","FQ3 2021","FQ3 2021","Currency=USD","Period=FQ","BEST_FPERIOD_OVERRIDE=FQ","FILING_STATUS=MR","FA_ADJUSTED=GAAP","Sort=A","Dates=H","DateFormat=P","Fill=—","Direction=H","UseDPDF=Y")</f>
        <v>3.32</v>
      </c>
      <c r="M51" s="20">
        <f>_xll.BDH("AMGN US Equity","IS_EPS","FQ4 2021","FQ4 2021","Currency=USD","Period=FQ","BEST_FPERIOD_OVERRIDE=FQ","FILING_STATUS=MR","FA_ADJUSTED=GAAP","Sort=A","Dates=H","DateFormat=P","Fill=—","Direction=H","UseDPDF=Y")</f>
        <v>3.38</v>
      </c>
      <c r="N51" s="20">
        <f>_xll.BDH("AMGN US Equity","IS_EPS","FQ1 2022","FQ1 2022","Currency=USD","Period=FQ","BEST_FPERIOD_OVERRIDE=FQ","FILING_STATUS=MR","FA_ADJUSTED=GAAP","Sort=A","Dates=H","DateFormat=P","Fill=—","Direction=H","UseDPDF=Y")</f>
        <v>2.69</v>
      </c>
      <c r="O51" s="20">
        <f>_xll.BDH("AMGN US Equity","IS_EPS","FQ2 2022","FQ2 2022","Currency=USD","Period=FQ","BEST_FPERIOD_OVERRIDE=FQ","FILING_STATUS=MR","FA_ADJUSTED=GAAP","Sort=A","Dates=H","DateFormat=P","Fill=—","Direction=H","UseDPDF=Y")</f>
        <v>2.46</v>
      </c>
      <c r="P51" s="20">
        <f>_xll.BDH("AMGN US Equity","IS_EPS","FQ3 2022","FQ3 2022","Currency=USD","Period=FQ","BEST_FPERIOD_OVERRIDE=FQ","FILING_STATUS=MR","FA_ADJUSTED=GAAP","Sort=A","Dates=H","DateFormat=P","Fill=—","Direction=H","UseDPDF=Y")</f>
        <v>4.01</v>
      </c>
      <c r="Q51" s="20">
        <f>_xll.BDH("AMGN US Equity","IS_EPS","FQ4 2022","FQ4 2022","Currency=USD","Period=FQ","BEST_FPERIOD_OVERRIDE=FQ","FILING_STATUS=MR","FA_ADJUSTED=GAAP","Sort=A","Dates=H","DateFormat=P","Fill=—","Direction=H","UseDPDF=Y")</f>
        <v>3.02</v>
      </c>
      <c r="R51" s="20">
        <f>_xll.BDH("AMGN US Equity","IS_EPS","FQ1 2023","FQ1 2023","Currency=USD","Period=FQ","BEST_FPERIOD_OVERRIDE=FQ","FILING_STATUS=MR","FA_ADJUSTED=GAAP","Sort=A","Dates=H","DateFormat=P","Fill=—","Direction=H","UseDPDF=Y")</f>
        <v>5.32</v>
      </c>
      <c r="S51" s="20">
        <f>_xll.BDH("AMGN US Equity","IS_EPS","FQ2 2023","FQ2 2023","Currency=USD","Period=FQ","BEST_FPERIOD_OVERRIDE=FQ","FILING_STATUS=MR","FA_ADJUSTED=GAAP","Sort=A","Dates=H","DateFormat=P","Fill=—","Direction=H","UseDPDF=Y")</f>
        <v>2.58</v>
      </c>
      <c r="T51" s="20">
        <f>_xll.BDH("AMGN US Equity","IS_EPS","FQ3 2023","FQ3 2023","Currency=USD","Period=FQ","BEST_FPERIOD_OVERRIDE=FQ","FILING_STATUS=MR","FA_ADJUSTED=GAAP","Sort=A","Dates=H","DateFormat=P","Fill=—","Direction=H","UseDPDF=Y")</f>
        <v>3.23</v>
      </c>
      <c r="U51" s="20">
        <f>_xll.BDH("AMGN US Equity","IS_EPS","FQ4 2023","FQ4 2023","Currency=USD","Period=FQ","BEST_FPERIOD_OVERRIDE=FQ","FILING_STATUS=MR","FA_ADJUSTED=GAAP","Sort=A","Dates=H","DateFormat=P","Fill=—","Direction=H","UseDPDF=Y")</f>
        <v>1.43</v>
      </c>
      <c r="V51" s="20">
        <f>_xll.BDH("AMGN US Equity","IS_EPS","FQ1 2024","FQ1 2024","Currency=USD","Period=FQ","BEST_FPERIOD_OVERRIDE=FQ","FILING_STATUS=MR","FA_ADJUSTED=GAAP","Sort=A","Dates=H","DateFormat=P","Fill=—","Direction=H","UseDPDF=Y")</f>
        <v>-0.21</v>
      </c>
      <c r="W51" s="20">
        <f>_xll.BDH("AMGN US Equity","IS_EPS","FQ2 2024","FQ2 2024","Currency=USD","Period=FQ","BEST_FPERIOD_OVERRIDE=FQ","FILING_STATUS=MR","FA_ADJUSTED=GAAP","Sort=A","Dates=H","DateFormat=P","Fill=—","Direction=H","UseDPDF=Y")</f>
        <v>1.39</v>
      </c>
      <c r="X51" s="20">
        <f>_xll.BDH("AMGN US Equity","IS_EPS","FQ3 2024","FQ3 2024","Currency=USD","Period=FQ","BEST_FPERIOD_OVERRIDE=FQ","FILING_STATUS=MR","FA_ADJUSTED=GAAP","Sort=A","Dates=H","DateFormat=P","Fill=—","Direction=H","UseDPDF=Y")</f>
        <v>5.27</v>
      </c>
      <c r="Y51" s="20">
        <f>_xll.BDH("AMGN US Equity","IS_EPS","FQ4 2024","FQ4 2024","Currency=USD","Period=FQ","BEST_FPERIOD_OVERRIDE=FQ","FILING_STATUS=MR","FA_ADJUSTED=GAAP","Sort=A","Dates=H","DateFormat=P","Fill=—","Direction=H","UseDPDF=Y")</f>
        <v>1.17</v>
      </c>
      <c r="Z51" s="20">
        <v>1.9430000000000001</v>
      </c>
      <c r="AA51" s="20">
        <v>3.23</v>
      </c>
    </row>
    <row r="52" spans="1:27" x14ac:dyDescent="0.25">
      <c r="A52" s="6" t="s">
        <v>382</v>
      </c>
      <c r="B52" s="6" t="s">
        <v>261</v>
      </c>
      <c r="C52" s="20">
        <f>_xll.BDH("AMGN US Equity","IS_EARN_BEF_XO_ITEMS_PER_SH","FQ2 2019","FQ2 2019","Currency=USD","Period=FQ","BEST_FPERIOD_OVERRIDE=FQ","FILING_STATUS=MR","Sort=A","Dates=H","DateFormat=P","Fill=—","Direction=H","UseDPDF=Y")</f>
        <v>3.59</v>
      </c>
      <c r="D52" s="20">
        <f>_xll.BDH("AMGN US Equity","IS_EARN_BEF_XO_ITEMS_PER_SH","FQ3 2019","FQ3 2019","Currency=USD","Period=FQ","BEST_FPERIOD_OVERRIDE=FQ","FILING_STATUS=MR","Sort=A","Dates=H","DateFormat=P","Fill=—","Direction=H","UseDPDF=Y")</f>
        <v>3.29</v>
      </c>
      <c r="E52" s="20">
        <f>_xll.BDH("AMGN US Equity","IS_EARN_BEF_XO_ITEMS_PER_SH","FQ4 2019","FQ4 2019","Currency=USD","Period=FQ","BEST_FPERIOD_OVERRIDE=FQ","FILING_STATUS=MR","Sort=A","Dates=H","DateFormat=P","Fill=—","Direction=H","UseDPDF=Y")</f>
        <v>2.87</v>
      </c>
      <c r="F52" s="20">
        <f>_xll.BDH("AMGN US Equity","IS_EARN_BEF_XO_ITEMS_PER_SH","FQ1 2020","FQ1 2020","Currency=USD","Period=FQ","BEST_FPERIOD_OVERRIDE=FQ","FILING_STATUS=MR","Sort=A","Dates=H","DateFormat=P","Fill=—","Direction=H","UseDPDF=Y")</f>
        <v>3.09</v>
      </c>
      <c r="G52" s="20">
        <f>_xll.BDH("AMGN US Equity","IS_EARN_BEF_XO_ITEMS_PER_SH","FQ2 2020","FQ2 2020","Currency=USD","Period=FQ","BEST_FPERIOD_OVERRIDE=FQ","FILING_STATUS=MR","Sort=A","Dates=H","DateFormat=P","Fill=—","Direction=H","UseDPDF=Y")</f>
        <v>3.07</v>
      </c>
      <c r="H52" s="20">
        <f>_xll.BDH("AMGN US Equity","IS_EARN_BEF_XO_ITEMS_PER_SH","FQ3 2020","FQ3 2020","Currency=USD","Period=FQ","BEST_FPERIOD_OVERRIDE=FQ","FILING_STATUS=MR","Sort=A","Dates=H","DateFormat=P","Fill=—","Direction=H","UseDPDF=Y")</f>
        <v>3.45</v>
      </c>
      <c r="I52" s="20">
        <f>_xll.BDH("AMGN US Equity","IS_EARN_BEF_XO_ITEMS_PER_SH","FQ4 2020","FQ4 2020","Currency=USD","Period=FQ","BEST_FPERIOD_OVERRIDE=FQ","FILING_STATUS=MR","Sort=A","Dates=H","DateFormat=P","Fill=—","Direction=H","UseDPDF=Y")</f>
        <v>2.78</v>
      </c>
      <c r="J52" s="20">
        <f>_xll.BDH("AMGN US Equity","IS_EARN_BEF_XO_ITEMS_PER_SH","FQ1 2021","FQ1 2021","Currency=USD","Period=FQ","BEST_FPERIOD_OVERRIDE=FQ","FILING_STATUS=MR","Sort=A","Dates=H","DateFormat=P","Fill=—","Direction=H","UseDPDF=Y")</f>
        <v>2.85</v>
      </c>
      <c r="K52" s="20">
        <f>_xll.BDH("AMGN US Equity","IS_EARN_BEF_XO_ITEMS_PER_SH","FQ2 2021","FQ2 2021","Currency=USD","Period=FQ","BEST_FPERIOD_OVERRIDE=FQ","FILING_STATUS=MR","Sort=A","Dates=H","DateFormat=P","Fill=—","Direction=H","UseDPDF=Y")</f>
        <v>0.81</v>
      </c>
      <c r="L52" s="20">
        <f>_xll.BDH("AMGN US Equity","IS_EARN_BEF_XO_ITEMS_PER_SH","FQ3 2021","FQ3 2021","Currency=USD","Period=FQ","BEST_FPERIOD_OVERRIDE=FQ","FILING_STATUS=MR","Sort=A","Dates=H","DateFormat=P","Fill=—","Direction=H","UseDPDF=Y")</f>
        <v>3.32</v>
      </c>
      <c r="M52" s="20">
        <f>_xll.BDH("AMGN US Equity","IS_EARN_BEF_XO_ITEMS_PER_SH","FQ4 2021","FQ4 2021","Currency=USD","Period=FQ","BEST_FPERIOD_OVERRIDE=FQ","FILING_STATUS=MR","Sort=A","Dates=H","DateFormat=P","Fill=—","Direction=H","UseDPDF=Y")</f>
        <v>3.38</v>
      </c>
      <c r="N52" s="20">
        <f>_xll.BDH("AMGN US Equity","IS_EARN_BEF_XO_ITEMS_PER_SH","FQ1 2022","FQ1 2022","Currency=USD","Period=FQ","BEST_FPERIOD_OVERRIDE=FQ","FILING_STATUS=MR","Sort=A","Dates=H","DateFormat=P","Fill=—","Direction=H","UseDPDF=Y")</f>
        <v>2.69</v>
      </c>
      <c r="O52" s="20">
        <f>_xll.BDH("AMGN US Equity","IS_EARN_BEF_XO_ITEMS_PER_SH","FQ2 2022","FQ2 2022","Currency=USD","Period=FQ","BEST_FPERIOD_OVERRIDE=FQ","FILING_STATUS=MR","Sort=A","Dates=H","DateFormat=P","Fill=—","Direction=H","UseDPDF=Y")</f>
        <v>2.46</v>
      </c>
      <c r="P52" s="20">
        <f>_xll.BDH("AMGN US Equity","IS_EARN_BEF_XO_ITEMS_PER_SH","FQ3 2022","FQ3 2022","Currency=USD","Period=FQ","BEST_FPERIOD_OVERRIDE=FQ","FILING_STATUS=MR","Sort=A","Dates=H","DateFormat=P","Fill=—","Direction=H","UseDPDF=Y")</f>
        <v>4.01</v>
      </c>
      <c r="Q52" s="20">
        <f>_xll.BDH("AMGN US Equity","IS_EARN_BEF_XO_ITEMS_PER_SH","FQ4 2022","FQ4 2022","Currency=USD","Period=FQ","BEST_FPERIOD_OVERRIDE=FQ","FILING_STATUS=MR","Sort=A","Dates=H","DateFormat=P","Fill=—","Direction=H","UseDPDF=Y")</f>
        <v>3.02</v>
      </c>
      <c r="R52" s="20">
        <f>_xll.BDH("AMGN US Equity","IS_EARN_BEF_XO_ITEMS_PER_SH","FQ1 2023","FQ1 2023","Currency=USD","Period=FQ","BEST_FPERIOD_OVERRIDE=FQ","FILING_STATUS=MR","Sort=A","Dates=H","DateFormat=P","Fill=—","Direction=H","UseDPDF=Y")</f>
        <v>5.32</v>
      </c>
      <c r="S52" s="20">
        <f>_xll.BDH("AMGN US Equity","IS_EARN_BEF_XO_ITEMS_PER_SH","FQ2 2023","FQ2 2023","Currency=USD","Period=FQ","BEST_FPERIOD_OVERRIDE=FQ","FILING_STATUS=MR","Sort=A","Dates=H","DateFormat=P","Fill=—","Direction=H","UseDPDF=Y")</f>
        <v>2.58</v>
      </c>
      <c r="T52" s="20">
        <f>_xll.BDH("AMGN US Equity","IS_EARN_BEF_XO_ITEMS_PER_SH","FQ3 2023","FQ3 2023","Currency=USD","Period=FQ","BEST_FPERIOD_OVERRIDE=FQ","FILING_STATUS=MR","Sort=A","Dates=H","DateFormat=P","Fill=—","Direction=H","UseDPDF=Y")</f>
        <v>3.23</v>
      </c>
      <c r="U52" s="20">
        <f>_xll.BDH("AMGN US Equity","IS_EARN_BEF_XO_ITEMS_PER_SH","FQ4 2023","FQ4 2023","Currency=USD","Period=FQ","BEST_FPERIOD_OVERRIDE=FQ","FILING_STATUS=MR","Sort=A","Dates=H","DateFormat=P","Fill=—","Direction=H","UseDPDF=Y")</f>
        <v>1.43</v>
      </c>
      <c r="V52" s="20">
        <f>_xll.BDH("AMGN US Equity","IS_EARN_BEF_XO_ITEMS_PER_SH","FQ1 2024","FQ1 2024","Currency=USD","Period=FQ","BEST_FPERIOD_OVERRIDE=FQ","FILING_STATUS=MR","Sort=A","Dates=H","DateFormat=P","Fill=—","Direction=H","UseDPDF=Y")</f>
        <v>-0.21</v>
      </c>
      <c r="W52" s="20">
        <f>_xll.BDH("AMGN US Equity","IS_EARN_BEF_XO_ITEMS_PER_SH","FQ2 2024","FQ2 2024","Currency=USD","Period=FQ","BEST_FPERIOD_OVERRIDE=FQ","FILING_STATUS=MR","Sort=A","Dates=H","DateFormat=P","Fill=—","Direction=H","UseDPDF=Y")</f>
        <v>1.39</v>
      </c>
      <c r="X52" s="20">
        <f>_xll.BDH("AMGN US Equity","IS_EARN_BEF_XO_ITEMS_PER_SH","FQ3 2024","FQ3 2024","Currency=USD","Period=FQ","BEST_FPERIOD_OVERRIDE=FQ","FILING_STATUS=MR","Sort=A","Dates=H","DateFormat=P","Fill=—","Direction=H","UseDPDF=Y")</f>
        <v>5.27</v>
      </c>
      <c r="Y52" s="20">
        <f>_xll.BDH("AMGN US Equity","IS_EARN_BEF_XO_ITEMS_PER_SH","FQ4 2024","FQ4 2024","Currency=USD","Period=FQ","BEST_FPERIOD_OVERRIDE=FQ","FILING_STATUS=MR","Sort=A","Dates=H","DateFormat=P","Fill=—","Direction=H","UseDPDF=Y")</f>
        <v>1.17</v>
      </c>
      <c r="Z52" s="20">
        <v>1.9430000000000001</v>
      </c>
      <c r="AA52" s="20">
        <v>3.23</v>
      </c>
    </row>
    <row r="53" spans="1:27" x14ac:dyDescent="0.25">
      <c r="A53" s="6" t="s">
        <v>383</v>
      </c>
      <c r="B53" s="6" t="s">
        <v>263</v>
      </c>
      <c r="C53" s="20">
        <f>_xll.BDH("AMGN US Equity","IS_BASIC_EPS_CONT_OPS","FQ2 2019","FQ2 2019","Currency=USD","Period=FQ","BEST_FPERIOD_OVERRIDE=FQ","FILING_STATUS=MR","Sort=A","Dates=H","DateFormat=P","Fill=—","Direction=H","UseDPDF=Y")</f>
        <v>3.6173000000000002</v>
      </c>
      <c r="D53" s="20">
        <f>_xll.BDH("AMGN US Equity","IS_BASIC_EPS_CONT_OPS","FQ3 2019","FQ3 2019","Currency=USD","Period=FQ","BEST_FPERIOD_OVERRIDE=FQ","FILING_STATUS=MR","Sort=A","Dates=H","DateFormat=P","Fill=—","Direction=H","UseDPDF=Y")</f>
        <v>3.2988</v>
      </c>
      <c r="E53" s="20">
        <f>_xll.BDH("AMGN US Equity","IS_BASIC_EPS_CONT_OPS","FQ4 2019","FQ4 2019","Currency=USD","Period=FQ","BEST_FPERIOD_OVERRIDE=FQ","FILING_STATUS=MR","Sort=A","Dates=H","DateFormat=P","Fill=—","Direction=H","UseDPDF=Y")</f>
        <v>2.9685999999999999</v>
      </c>
      <c r="F53" s="20">
        <f>_xll.BDH("AMGN US Equity","IS_BASIC_EPS_CONT_OPS","FQ1 2020","FQ1 2020","Currency=USD","Period=FQ","BEST_FPERIOD_OVERRIDE=FQ","FILING_STATUS=MR","Sort=A","Dates=H","DateFormat=P","Fill=—","Direction=H","UseDPDF=Y")</f>
        <v>3.1284999999999998</v>
      </c>
      <c r="G53" s="20">
        <f>_xll.BDH("AMGN US Equity","IS_BASIC_EPS_CONT_OPS","FQ2 2020","FQ2 2020","Currency=USD","Period=FQ","BEST_FPERIOD_OVERRIDE=FQ","FILING_STATUS=MR","Sort=A","Dates=H","DateFormat=P","Fill=—","Direction=H","UseDPDF=Y")</f>
        <v>3.1897000000000002</v>
      </c>
      <c r="H53" s="20">
        <f>_xll.BDH("AMGN US Equity","IS_BASIC_EPS_CONT_OPS","FQ3 2020","FQ3 2020","Currency=USD","Period=FQ","BEST_FPERIOD_OVERRIDE=FQ","FILING_STATUS=MR","Sort=A","Dates=H","DateFormat=P","Fill=—","Direction=H","UseDPDF=Y")</f>
        <v>4.3930999999999996</v>
      </c>
      <c r="I53" s="20">
        <f>_xll.BDH("AMGN US Equity","IS_BASIC_EPS_CONT_OPS","FQ4 2020","FQ4 2020","Currency=USD","Period=FQ","BEST_FPERIOD_OVERRIDE=FQ","FILING_STATUS=MR","Sort=A","Dates=H","DateFormat=P","Fill=—","Direction=H","UseDPDF=Y")</f>
        <v>2.8641000000000001</v>
      </c>
      <c r="J53" s="20">
        <f>_xll.BDH("AMGN US Equity","IS_BASIC_EPS_CONT_OPS","FQ1 2021","FQ1 2021","Currency=USD","Period=FQ","BEST_FPERIOD_OVERRIDE=FQ","FILING_STATUS=MR","Sort=A","Dates=H","DateFormat=P","Fill=—","Direction=H","UseDPDF=Y")</f>
        <v>3.6581000000000001</v>
      </c>
      <c r="K53" s="20">
        <f>_xll.BDH("AMGN US Equity","IS_BASIC_EPS_CONT_OPS","FQ2 2021","FQ2 2021","Currency=USD","Period=FQ","BEST_FPERIOD_OVERRIDE=FQ","FILING_STATUS=MR","Sort=A","Dates=H","DateFormat=P","Fill=—","Direction=H","UseDPDF=Y")</f>
        <v>4.3368000000000002</v>
      </c>
      <c r="L53" s="20">
        <f>_xll.BDH("AMGN US Equity","IS_BASIC_EPS_CONT_OPS","FQ3 2021","FQ3 2021","Currency=USD","Period=FQ","BEST_FPERIOD_OVERRIDE=FQ","FILING_STATUS=MR","Sort=A","Dates=H","DateFormat=P","Fill=—","Direction=H","UseDPDF=Y")</f>
        <v>3.0142000000000002</v>
      </c>
      <c r="M53" s="20">
        <f>_xll.BDH("AMGN US Equity","IS_BASIC_EPS_CONT_OPS","FQ4 2021","FQ4 2021","Currency=USD","Period=FQ","BEST_FPERIOD_OVERRIDE=FQ","FILING_STATUS=MR","Sort=A","Dates=H","DateFormat=P","Fill=—","Direction=H","UseDPDF=Y")</f>
        <v>3.3172000000000001</v>
      </c>
      <c r="N53" s="20">
        <f>_xll.BDH("AMGN US Equity","IS_BASIC_EPS_CONT_OPS","FQ1 2022","FQ1 2022","Currency=USD","Period=FQ","BEST_FPERIOD_OVERRIDE=FQ","FILING_STATUS=MR","Sort=A","Dates=H","DateFormat=P","Fill=—","Direction=H","UseDPDF=Y")</f>
        <v>4.2051999999999996</v>
      </c>
      <c r="O53" s="20">
        <f>_xll.BDH("AMGN US Equity","IS_BASIC_EPS_CONT_OPS","FQ2 2022","FQ2 2022","Currency=USD","Period=FQ","BEST_FPERIOD_OVERRIDE=FQ","FILING_STATUS=MR","Sort=A","Dates=H","DateFormat=P","Fill=—","Direction=H","UseDPDF=Y")</f>
        <v>4.5861999999999998</v>
      </c>
      <c r="P53" s="20">
        <f>_xll.BDH("AMGN US Equity","IS_BASIC_EPS_CONT_OPS","FQ3 2022","FQ3 2022","Currency=USD","Period=FQ","BEST_FPERIOD_OVERRIDE=FQ","FILING_STATUS=MR","Sort=A","Dates=H","DateFormat=P","Fill=—","Direction=H","UseDPDF=Y")</f>
        <v>3.7896000000000001</v>
      </c>
      <c r="Q53" s="20">
        <f>_xll.BDH("AMGN US Equity","IS_BASIC_EPS_CONT_OPS","FQ4 2022","FQ4 2022","Currency=USD","Period=FQ","BEST_FPERIOD_OVERRIDE=FQ","FILING_STATUS=MR","Sort=A","Dates=H","DateFormat=P","Fill=—","Direction=H","UseDPDF=Y")</f>
        <v>2.8281999999999998</v>
      </c>
      <c r="R53" s="20">
        <f>_xll.BDH("AMGN US Equity","IS_BASIC_EPS_CONT_OPS","FQ1 2023","FQ1 2023","Currency=USD","Period=FQ","BEST_FPERIOD_OVERRIDE=FQ","FILING_STATUS=MR","Sort=A","Dates=H","DateFormat=P","Fill=—","Direction=H","UseDPDF=Y")</f>
        <v>3.7902999999999998</v>
      </c>
      <c r="S53" s="20">
        <f>_xll.BDH("AMGN US Equity","IS_BASIC_EPS_CONT_OPS","FQ2 2023","FQ2 2023","Currency=USD","Period=FQ","BEST_FPERIOD_OVERRIDE=FQ","FILING_STATUS=MR","Sort=A","Dates=H","DateFormat=P","Fill=—","Direction=H","UseDPDF=Y")</f>
        <v>3.4615999999999998</v>
      </c>
      <c r="T53" s="20">
        <f>_xll.BDH("AMGN US Equity","IS_BASIC_EPS_CONT_OPS","FQ3 2023","FQ3 2023","Currency=USD","Period=FQ","BEST_FPERIOD_OVERRIDE=FQ","FILING_STATUS=MR","Sort=A","Dates=H","DateFormat=P","Fill=—","Direction=H","UseDPDF=Y")</f>
        <v>3.8858000000000001</v>
      </c>
      <c r="U53" s="20">
        <f>_xll.BDH("AMGN US Equity","IS_BASIC_EPS_CONT_OPS","FQ4 2023","FQ4 2023","Currency=USD","Period=FQ","BEST_FPERIOD_OVERRIDE=FQ","FILING_STATUS=MR","Sort=A","Dates=H","DateFormat=P","Fill=—","Direction=H","UseDPDF=Y")</f>
        <v>1.8904000000000001</v>
      </c>
      <c r="V53" s="20">
        <f>_xll.BDH("AMGN US Equity","IS_BASIC_EPS_CONT_OPS","FQ1 2024","FQ1 2024","Currency=USD","Period=FQ","BEST_FPERIOD_OVERRIDE=FQ","FILING_STATUS=MR","Sort=A","Dates=H","DateFormat=P","Fill=—","Direction=H","UseDPDF=Y")</f>
        <v>0.80589999999999995</v>
      </c>
      <c r="W53" s="20">
        <f>_xll.BDH("AMGN US Equity","IS_BASIC_EPS_CONT_OPS","FQ2 2024","FQ2 2024","Currency=USD","Period=FQ","BEST_FPERIOD_OVERRIDE=FQ","FILING_STATUS=MR","Sort=A","Dates=H","DateFormat=P","Fill=—","Direction=H","UseDPDF=Y")</f>
        <v>2.2488000000000001</v>
      </c>
      <c r="X53" s="20">
        <f>_xll.BDH("AMGN US Equity","IS_BASIC_EPS_CONT_OPS","FQ3 2024","FQ3 2024","Currency=USD","Period=FQ","BEST_FPERIOD_OVERRIDE=FQ","FILING_STATUS=MR","Sort=A","Dates=H","DateFormat=P","Fill=—","Direction=H","UseDPDF=Y")</f>
        <v>3.8056000000000001</v>
      </c>
      <c r="Y53" s="20">
        <f>_xll.BDH("AMGN US Equity","IS_BASIC_EPS_CONT_OPS","FQ4 2024","FQ4 2024","Currency=USD","Period=FQ","BEST_FPERIOD_OVERRIDE=FQ","FILING_STATUS=MR","Sort=A","Dates=H","DateFormat=P","Fill=—","Direction=H","UseDPDF=Y")</f>
        <v>2.4342999999999999</v>
      </c>
      <c r="Z53" s="20">
        <v>4.2480000000000002</v>
      </c>
      <c r="AA53" s="20">
        <v>5.3029999999999999</v>
      </c>
    </row>
    <row r="54" spans="1:27" x14ac:dyDescent="0.25">
      <c r="A54" s="6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x14ac:dyDescent="0.25">
      <c r="A55" s="10" t="s">
        <v>253</v>
      </c>
      <c r="B55" s="10" t="s">
        <v>108</v>
      </c>
      <c r="C55" s="13">
        <f>_xll.BDH("AMGN US Equity","IS_SH_FOR_DILUTED_EPS","FQ2 2019","FQ2 2019","Currency=USD","Period=FQ","BEST_FPERIOD_OVERRIDE=FQ","FILING_STATUS=MR","Sort=A","Dates=H","DateFormat=P","Fill=—","Direction=H","UseDPDF=Y")</f>
        <v>610</v>
      </c>
      <c r="D55" s="13">
        <f>_xll.BDH("AMGN US Equity","IS_SH_FOR_DILUTED_EPS","FQ3 2019","FQ3 2019","Currency=USD","Period=FQ","BEST_FPERIOD_OVERRIDE=FQ","FILING_STATUS=MR","Sort=A","Dates=H","DateFormat=P","Fill=—","Direction=H","UseDPDF=Y")</f>
        <v>602</v>
      </c>
      <c r="E55" s="13">
        <f>_xll.BDH("AMGN US Equity","IS_SH_FOR_DILUTED_EPS","FQ4 2019","FQ4 2019","Currency=USD","Period=FQ","BEST_FPERIOD_OVERRIDE=FQ","FILING_STATUS=MR","Sort=A","Dates=H","DateFormat=P","Fill=—","Direction=H","UseDPDF=Y")</f>
        <v>598</v>
      </c>
      <c r="F55" s="13">
        <f>_xll.BDH("AMGN US Equity","IS_SH_FOR_DILUTED_EPS","FQ1 2020","FQ1 2020","Currency=USD","Period=FQ","BEST_FPERIOD_OVERRIDE=FQ","FILING_STATUS=MR","Sort=A","Dates=H","DateFormat=P","Fill=—","Direction=H","UseDPDF=Y")</f>
        <v>594</v>
      </c>
      <c r="G55" s="13">
        <f>_xll.BDH("AMGN US Equity","IS_SH_FOR_DILUTED_EPS","FQ2 2020","FQ2 2020","Currency=USD","Period=FQ","BEST_FPERIOD_OVERRIDE=FQ","FILING_STATUS=MR","Sort=A","Dates=H","DateFormat=P","Fill=—","Direction=H","UseDPDF=Y")</f>
        <v>592</v>
      </c>
      <c r="H55" s="13">
        <f>_xll.BDH("AMGN US Equity","IS_SH_FOR_DILUTED_EPS","FQ3 2020","FQ3 2020","Currency=USD","Period=FQ","BEST_FPERIOD_OVERRIDE=FQ","FILING_STATUS=MR","Sort=A","Dates=H","DateFormat=P","Fill=—","Direction=H","UseDPDF=Y")</f>
        <v>589</v>
      </c>
      <c r="I55" s="13">
        <f>_xll.BDH("AMGN US Equity","IS_SH_FOR_DILUTED_EPS","FQ4 2020","FQ4 2020","Currency=USD","Period=FQ","BEST_FPERIOD_OVERRIDE=FQ","FILING_STATUS=MR","Sort=A","Dates=H","DateFormat=P","Fill=—","Direction=H","UseDPDF=Y")</f>
        <v>585</v>
      </c>
      <c r="J55" s="13">
        <f>_xll.BDH("AMGN US Equity","IS_SH_FOR_DILUTED_EPS","FQ1 2021","FQ1 2021","Currency=USD","Period=FQ","BEST_FPERIOD_OVERRIDE=FQ","FILING_STATUS=MR","Sort=A","Dates=H","DateFormat=P","Fill=—","Direction=H","UseDPDF=Y")</f>
        <v>581</v>
      </c>
      <c r="K55" s="13">
        <f>_xll.BDH("AMGN US Equity","IS_SH_FOR_DILUTED_EPS","FQ2 2021","FQ2 2021","Currency=USD","Period=FQ","BEST_FPERIOD_OVERRIDE=FQ","FILING_STATUS=MR","Sort=A","Dates=H","DateFormat=P","Fill=—","Direction=H","UseDPDF=Y")</f>
        <v>576</v>
      </c>
      <c r="L55" s="13">
        <f>_xll.BDH("AMGN US Equity","IS_SH_FOR_DILUTED_EPS","FQ3 2021","FQ3 2021","Currency=USD","Period=FQ","BEST_FPERIOD_OVERRIDE=FQ","FILING_STATUS=MR","Sort=A","Dates=H","DateFormat=P","Fill=—","Direction=H","UseDPDF=Y")</f>
        <v>570</v>
      </c>
      <c r="M55" s="13">
        <f>_xll.BDH("AMGN US Equity","IS_SH_FOR_DILUTED_EPS","FQ4 2021","FQ4 2021","Currency=USD","Period=FQ","BEST_FPERIOD_OVERRIDE=FQ","FILING_STATUS=MR","Sort=A","Dates=H","DateFormat=P","Fill=—","Direction=H","UseDPDF=Y")</f>
        <v>565</v>
      </c>
      <c r="N55" s="13">
        <f>_xll.BDH("AMGN US Equity","IS_SH_FOR_DILUTED_EPS","FQ1 2022","FQ1 2022","Currency=USD","Period=FQ","BEST_FPERIOD_OVERRIDE=FQ","FILING_STATUS=MR","Sort=A","Dates=H","DateFormat=P","Fill=—","Direction=H","UseDPDF=Y")</f>
        <v>551</v>
      </c>
      <c r="O55" s="13">
        <f>_xll.BDH("AMGN US Equity","IS_SH_FOR_DILUTED_EPS","FQ2 2022","FQ2 2022","Currency=USD","Period=FQ","BEST_FPERIOD_OVERRIDE=FQ","FILING_STATUS=MR","Sort=A","Dates=H","DateFormat=P","Fill=—","Direction=H","UseDPDF=Y")</f>
        <v>537</v>
      </c>
      <c r="P55" s="13">
        <f>_xll.BDH("AMGN US Equity","IS_SH_FOR_DILUTED_EPS","FQ3 2022","FQ3 2022","Currency=USD","Period=FQ","BEST_FPERIOD_OVERRIDE=FQ","FILING_STATUS=MR","Sort=A","Dates=H","DateFormat=P","Fill=—","Direction=H","UseDPDF=Y")</f>
        <v>538</v>
      </c>
      <c r="Q55" s="13">
        <f>_xll.BDH("AMGN US Equity","IS_SH_FOR_DILUTED_EPS","FQ4 2022","FQ4 2022","Currency=USD","Period=FQ","BEST_FPERIOD_OVERRIDE=FQ","FILING_STATUS=MR","Sort=A","Dates=H","DateFormat=P","Fill=—","Direction=H","UseDPDF=Y")</f>
        <v>539</v>
      </c>
      <c r="R55" s="13">
        <f>_xll.BDH("AMGN US Equity","IS_SH_FOR_DILUTED_EPS","FQ1 2023","FQ1 2023","Currency=USD","Period=FQ","BEST_FPERIOD_OVERRIDE=FQ","FILING_STATUS=MR","Sort=A","Dates=H","DateFormat=P","Fill=—","Direction=H","UseDPDF=Y")</f>
        <v>538</v>
      </c>
      <c r="S55" s="13">
        <f>_xll.BDH("AMGN US Equity","IS_SH_FOR_DILUTED_EPS","FQ2 2023","FQ2 2023","Currency=USD","Period=FQ","BEST_FPERIOD_OVERRIDE=FQ","FILING_STATUS=MR","Sort=A","Dates=H","DateFormat=P","Fill=—","Direction=H","UseDPDF=Y")</f>
        <v>537</v>
      </c>
      <c r="T55" s="13">
        <f>_xll.BDH("AMGN US Equity","IS_SH_FOR_DILUTED_EPS","FQ3 2023","FQ3 2023","Currency=USD","Period=FQ","BEST_FPERIOD_OVERRIDE=FQ","FILING_STATUS=MR","Sort=A","Dates=H","DateFormat=P","Fill=—","Direction=H","UseDPDF=Y")</f>
        <v>538</v>
      </c>
      <c r="U55" s="13">
        <f>_xll.BDH("AMGN US Equity","IS_SH_FOR_DILUTED_EPS","FQ4 2023","FQ4 2023","Currency=USD","Period=FQ","BEST_FPERIOD_OVERRIDE=FQ","FILING_STATUS=MR","Sort=A","Dates=H","DateFormat=P","Fill=—","Direction=H","UseDPDF=Y")</f>
        <v>540</v>
      </c>
      <c r="V55" s="13">
        <f>_xll.BDH("AMGN US Equity","IS_SH_FOR_DILUTED_EPS","FQ1 2024","FQ1 2024","Currency=USD","Period=FQ","BEST_FPERIOD_OVERRIDE=FQ","FILING_STATUS=MR","Sort=A","Dates=H","DateFormat=P","Fill=—","Direction=H","UseDPDF=Y")</f>
        <v>536</v>
      </c>
      <c r="W55" s="13">
        <f>_xll.BDH("AMGN US Equity","IS_SH_FOR_DILUTED_EPS","FQ2 2024","FQ2 2024","Currency=USD","Period=FQ","BEST_FPERIOD_OVERRIDE=FQ","FILING_STATUS=MR","Sort=A","Dates=H","DateFormat=P","Fill=—","Direction=H","UseDPDF=Y")</f>
        <v>541</v>
      </c>
      <c r="X55" s="13">
        <f>_xll.BDH("AMGN US Equity","IS_SH_FOR_DILUTED_EPS","FQ3 2024","FQ3 2024","Currency=USD","Period=FQ","BEST_FPERIOD_OVERRIDE=FQ","FILING_STATUS=MR","Sort=A","Dates=H","DateFormat=P","Fill=—","Direction=H","UseDPDF=Y")</f>
        <v>542</v>
      </c>
      <c r="Y55" s="13">
        <f>_xll.BDH("AMGN US Equity","IS_SH_FOR_DILUTED_EPS","FQ4 2024","FQ4 2024","Currency=USD","Period=FQ","BEST_FPERIOD_OVERRIDE=FQ","FILING_STATUS=MR","Sort=A","Dates=H","DateFormat=P","Fill=—","Direction=H","UseDPDF=Y")</f>
        <v>542</v>
      </c>
      <c r="Z55" s="13"/>
      <c r="AA55" s="13"/>
    </row>
    <row r="56" spans="1:27" x14ac:dyDescent="0.25">
      <c r="A56" s="6" t="s">
        <v>103</v>
      </c>
      <c r="B56" s="6" t="s">
        <v>104</v>
      </c>
      <c r="C56" s="20">
        <f>_xll.BDH("AMGN US Equity","IS_DILUTED_EPS","FQ2 2019","FQ2 2019","Currency=USD","Period=FQ","BEST_FPERIOD_OVERRIDE=FQ","FILING_STATUS=MR","FA_ADJUSTED=GAAP","Sort=A","Dates=H","DateFormat=P","Fill=—","Direction=H","UseDPDF=Y")</f>
        <v>3.57</v>
      </c>
      <c r="D56" s="20">
        <f>_xll.BDH("AMGN US Equity","IS_DILUTED_EPS","FQ3 2019","FQ3 2019","Currency=USD","Period=FQ","BEST_FPERIOD_OVERRIDE=FQ","FILING_STATUS=MR","FA_ADJUSTED=GAAP","Sort=A","Dates=H","DateFormat=P","Fill=—","Direction=H","UseDPDF=Y")</f>
        <v>3.27</v>
      </c>
      <c r="E56" s="20">
        <f>_xll.BDH("AMGN US Equity","IS_DILUTED_EPS","FQ4 2019","FQ4 2019","Currency=USD","Period=FQ","BEST_FPERIOD_OVERRIDE=FQ","FILING_STATUS=MR","FA_ADJUSTED=GAAP","Sort=A","Dates=H","DateFormat=P","Fill=—","Direction=H","UseDPDF=Y")</f>
        <v>2.85</v>
      </c>
      <c r="F56" s="20">
        <f>_xll.BDH("AMGN US Equity","IS_DILUTED_EPS","FQ1 2020","FQ1 2020","Currency=USD","Period=FQ","BEST_FPERIOD_OVERRIDE=FQ","FILING_STATUS=MR","FA_ADJUSTED=GAAP","Sort=A","Dates=H","DateFormat=P","Fill=—","Direction=H","UseDPDF=Y")</f>
        <v>3.07</v>
      </c>
      <c r="G56" s="20">
        <f>_xll.BDH("AMGN US Equity","IS_DILUTED_EPS","FQ2 2020","FQ2 2020","Currency=USD","Period=FQ","BEST_FPERIOD_OVERRIDE=FQ","FILING_STATUS=MR","FA_ADJUSTED=GAAP","Sort=A","Dates=H","DateFormat=P","Fill=—","Direction=H","UseDPDF=Y")</f>
        <v>3.05</v>
      </c>
      <c r="H56" s="20">
        <f>_xll.BDH("AMGN US Equity","IS_DILUTED_EPS","FQ3 2020","FQ3 2020","Currency=USD","Period=FQ","BEST_FPERIOD_OVERRIDE=FQ","FILING_STATUS=MR","FA_ADJUSTED=GAAP","Sort=A","Dates=H","DateFormat=P","Fill=—","Direction=H","UseDPDF=Y")</f>
        <v>3.43</v>
      </c>
      <c r="I56" s="20">
        <f>_xll.BDH("AMGN US Equity","IS_DILUTED_EPS","FQ4 2020","FQ4 2020","Currency=USD","Period=FQ","BEST_FPERIOD_OVERRIDE=FQ","FILING_STATUS=MR","FA_ADJUSTED=GAAP","Sort=A","Dates=H","DateFormat=P","Fill=—","Direction=H","UseDPDF=Y")</f>
        <v>2.76</v>
      </c>
      <c r="J56" s="20">
        <f>_xll.BDH("AMGN US Equity","IS_DILUTED_EPS","FQ1 2021","FQ1 2021","Currency=USD","Period=FQ","BEST_FPERIOD_OVERRIDE=FQ","FILING_STATUS=MR","FA_ADJUSTED=GAAP","Sort=A","Dates=H","DateFormat=P","Fill=—","Direction=H","UseDPDF=Y")</f>
        <v>2.83</v>
      </c>
      <c r="K56" s="20">
        <f>_xll.BDH("AMGN US Equity","IS_DILUTED_EPS","FQ2 2021","FQ2 2021","Currency=USD","Period=FQ","BEST_FPERIOD_OVERRIDE=FQ","FILING_STATUS=MR","FA_ADJUSTED=GAAP","Sort=A","Dates=H","DateFormat=P","Fill=—","Direction=H","UseDPDF=Y")</f>
        <v>0.81</v>
      </c>
      <c r="L56" s="20">
        <f>_xll.BDH("AMGN US Equity","IS_DILUTED_EPS","FQ3 2021","FQ3 2021","Currency=USD","Period=FQ","BEST_FPERIOD_OVERRIDE=FQ","FILING_STATUS=MR","FA_ADJUSTED=GAAP","Sort=A","Dates=H","DateFormat=P","Fill=—","Direction=H","UseDPDF=Y")</f>
        <v>3.31</v>
      </c>
      <c r="M56" s="20">
        <f>_xll.BDH("AMGN US Equity","IS_DILUTED_EPS","FQ4 2021","FQ4 2021","Currency=USD","Period=FQ","BEST_FPERIOD_OVERRIDE=FQ","FILING_STATUS=MR","FA_ADJUSTED=GAAP","Sort=A","Dates=H","DateFormat=P","Fill=—","Direction=H","UseDPDF=Y")</f>
        <v>3.36</v>
      </c>
      <c r="N56" s="20">
        <f>_xll.BDH("AMGN US Equity","IS_DILUTED_EPS","FQ1 2022","FQ1 2022","Currency=USD","Period=FQ","BEST_FPERIOD_OVERRIDE=FQ","FILING_STATUS=MR","FA_ADJUSTED=GAAP","Sort=A","Dates=H","DateFormat=P","Fill=—","Direction=H","UseDPDF=Y")</f>
        <v>2.68</v>
      </c>
      <c r="O56" s="20">
        <f>_xll.BDH("AMGN US Equity","IS_DILUTED_EPS","FQ2 2022","FQ2 2022","Currency=USD","Period=FQ","BEST_FPERIOD_OVERRIDE=FQ","FILING_STATUS=MR","FA_ADJUSTED=GAAP","Sort=A","Dates=H","DateFormat=P","Fill=—","Direction=H","UseDPDF=Y")</f>
        <v>2.4500000000000002</v>
      </c>
      <c r="P56" s="20">
        <f>_xll.BDH("AMGN US Equity","IS_DILUTED_EPS","FQ3 2022","FQ3 2022","Currency=USD","Period=FQ","BEST_FPERIOD_OVERRIDE=FQ","FILING_STATUS=MR","FA_ADJUSTED=GAAP","Sort=A","Dates=H","DateFormat=P","Fill=—","Direction=H","UseDPDF=Y")</f>
        <v>3.98</v>
      </c>
      <c r="Q56" s="20">
        <f>_xll.BDH("AMGN US Equity","IS_DILUTED_EPS","FQ4 2022","FQ4 2022","Currency=USD","Period=FQ","BEST_FPERIOD_OVERRIDE=FQ","FILING_STATUS=MR","FA_ADJUSTED=GAAP","Sort=A","Dates=H","DateFormat=P","Fill=—","Direction=H","UseDPDF=Y")</f>
        <v>3</v>
      </c>
      <c r="R56" s="20">
        <f>_xll.BDH("AMGN US Equity","IS_DILUTED_EPS","FQ1 2023","FQ1 2023","Currency=USD","Period=FQ","BEST_FPERIOD_OVERRIDE=FQ","FILING_STATUS=MR","FA_ADJUSTED=GAAP","Sort=A","Dates=H","DateFormat=P","Fill=—","Direction=H","UseDPDF=Y")</f>
        <v>5.28</v>
      </c>
      <c r="S56" s="20">
        <f>_xll.BDH("AMGN US Equity","IS_DILUTED_EPS","FQ2 2023","FQ2 2023","Currency=USD","Period=FQ","BEST_FPERIOD_OVERRIDE=FQ","FILING_STATUS=MR","FA_ADJUSTED=GAAP","Sort=A","Dates=H","DateFormat=P","Fill=—","Direction=H","UseDPDF=Y")</f>
        <v>2.57</v>
      </c>
      <c r="T56" s="20">
        <f>_xll.BDH("AMGN US Equity","IS_DILUTED_EPS","FQ3 2023","FQ3 2023","Currency=USD","Period=FQ","BEST_FPERIOD_OVERRIDE=FQ","FILING_STATUS=MR","FA_ADJUSTED=GAAP","Sort=A","Dates=H","DateFormat=P","Fill=—","Direction=H","UseDPDF=Y")</f>
        <v>3.22</v>
      </c>
      <c r="U56" s="20">
        <f>_xll.BDH("AMGN US Equity","IS_DILUTED_EPS","FQ4 2023","FQ4 2023","Currency=USD","Period=FQ","BEST_FPERIOD_OVERRIDE=FQ","FILING_STATUS=MR","FA_ADJUSTED=GAAP","Sort=A","Dates=H","DateFormat=P","Fill=—","Direction=H","UseDPDF=Y")</f>
        <v>1.42</v>
      </c>
      <c r="V56" s="20">
        <f>_xll.BDH("AMGN US Equity","IS_DILUTED_EPS","FQ1 2024","FQ1 2024","Currency=USD","Period=FQ","BEST_FPERIOD_OVERRIDE=FQ","FILING_STATUS=MR","FA_ADJUSTED=GAAP","Sort=A","Dates=H","DateFormat=P","Fill=—","Direction=H","UseDPDF=Y")</f>
        <v>-0.21</v>
      </c>
      <c r="W56" s="20">
        <f>_xll.BDH("AMGN US Equity","IS_DILUTED_EPS","FQ2 2024","FQ2 2024","Currency=USD","Period=FQ","BEST_FPERIOD_OVERRIDE=FQ","FILING_STATUS=MR","FA_ADJUSTED=GAAP","Sort=A","Dates=H","DateFormat=P","Fill=—","Direction=H","UseDPDF=Y")</f>
        <v>1.38</v>
      </c>
      <c r="X56" s="20">
        <f>_xll.BDH("AMGN US Equity","IS_DILUTED_EPS","FQ3 2024","FQ3 2024","Currency=USD","Period=FQ","BEST_FPERIOD_OVERRIDE=FQ","FILING_STATUS=MR","FA_ADJUSTED=GAAP","Sort=A","Dates=H","DateFormat=P","Fill=—","Direction=H","UseDPDF=Y")</f>
        <v>5.22</v>
      </c>
      <c r="Y56" s="20">
        <f>_xll.BDH("AMGN US Equity","IS_DILUTED_EPS","FQ4 2024","FQ4 2024","Currency=USD","Period=FQ","BEST_FPERIOD_OVERRIDE=FQ","FILING_STATUS=MR","FA_ADJUSTED=GAAP","Sort=A","Dates=H","DateFormat=P","Fill=—","Direction=H","UseDPDF=Y")</f>
        <v>1.1599999999999999</v>
      </c>
      <c r="Z56" s="20">
        <v>1.9430000000000001</v>
      </c>
      <c r="AA56" s="20">
        <v>3.23</v>
      </c>
    </row>
    <row r="57" spans="1:27" x14ac:dyDescent="0.25">
      <c r="A57" s="6" t="s">
        <v>384</v>
      </c>
      <c r="B57" s="6" t="s">
        <v>266</v>
      </c>
      <c r="C57" s="20">
        <f>_xll.BDH("AMGN US Equity","IS_DIL_EPS_BEF_XO","FQ2 2019","FQ2 2019","Currency=USD","Period=FQ","BEST_FPERIOD_OVERRIDE=FQ","FILING_STATUS=MR","Sort=A","Dates=H","DateFormat=P","Fill=—","Direction=H","UseDPDF=Y")</f>
        <v>3.57</v>
      </c>
      <c r="D57" s="20">
        <f>_xll.BDH("AMGN US Equity","IS_DIL_EPS_BEF_XO","FQ3 2019","FQ3 2019","Currency=USD","Period=FQ","BEST_FPERIOD_OVERRIDE=FQ","FILING_STATUS=MR","Sort=A","Dates=H","DateFormat=P","Fill=—","Direction=H","UseDPDF=Y")</f>
        <v>3.27</v>
      </c>
      <c r="E57" s="20">
        <f>_xll.BDH("AMGN US Equity","IS_DIL_EPS_BEF_XO","FQ4 2019","FQ4 2019","Currency=USD","Period=FQ","BEST_FPERIOD_OVERRIDE=FQ","FILING_STATUS=MR","Sort=A","Dates=H","DateFormat=P","Fill=—","Direction=H","UseDPDF=Y")</f>
        <v>2.85</v>
      </c>
      <c r="F57" s="20">
        <f>_xll.BDH("AMGN US Equity","IS_DIL_EPS_BEF_XO","FQ1 2020","FQ1 2020","Currency=USD","Period=FQ","BEST_FPERIOD_OVERRIDE=FQ","FILING_STATUS=MR","Sort=A","Dates=H","DateFormat=P","Fill=—","Direction=H","UseDPDF=Y")</f>
        <v>3.07</v>
      </c>
      <c r="G57" s="20">
        <f>_xll.BDH("AMGN US Equity","IS_DIL_EPS_BEF_XO","FQ2 2020","FQ2 2020","Currency=USD","Period=FQ","BEST_FPERIOD_OVERRIDE=FQ","FILING_STATUS=MR","Sort=A","Dates=H","DateFormat=P","Fill=—","Direction=H","UseDPDF=Y")</f>
        <v>3.05</v>
      </c>
      <c r="H57" s="20">
        <f>_xll.BDH("AMGN US Equity","IS_DIL_EPS_BEF_XO","FQ3 2020","FQ3 2020","Currency=USD","Period=FQ","BEST_FPERIOD_OVERRIDE=FQ","FILING_STATUS=MR","Sort=A","Dates=H","DateFormat=P","Fill=—","Direction=H","UseDPDF=Y")</f>
        <v>3.43</v>
      </c>
      <c r="I57" s="20">
        <f>_xll.BDH("AMGN US Equity","IS_DIL_EPS_BEF_XO","FQ4 2020","FQ4 2020","Currency=USD","Period=FQ","BEST_FPERIOD_OVERRIDE=FQ","FILING_STATUS=MR","Sort=A","Dates=H","DateFormat=P","Fill=—","Direction=H","UseDPDF=Y")</f>
        <v>2.76</v>
      </c>
      <c r="J57" s="20">
        <f>_xll.BDH("AMGN US Equity","IS_DIL_EPS_BEF_XO","FQ1 2021","FQ1 2021","Currency=USD","Period=FQ","BEST_FPERIOD_OVERRIDE=FQ","FILING_STATUS=MR","Sort=A","Dates=H","DateFormat=P","Fill=—","Direction=H","UseDPDF=Y")</f>
        <v>2.83</v>
      </c>
      <c r="K57" s="20">
        <f>_xll.BDH("AMGN US Equity","IS_DIL_EPS_BEF_XO","FQ2 2021","FQ2 2021","Currency=USD","Period=FQ","BEST_FPERIOD_OVERRIDE=FQ","FILING_STATUS=MR","Sort=A","Dates=H","DateFormat=P","Fill=—","Direction=H","UseDPDF=Y")</f>
        <v>0.81</v>
      </c>
      <c r="L57" s="20">
        <f>_xll.BDH("AMGN US Equity","IS_DIL_EPS_BEF_XO","FQ3 2021","FQ3 2021","Currency=USD","Period=FQ","BEST_FPERIOD_OVERRIDE=FQ","FILING_STATUS=MR","Sort=A","Dates=H","DateFormat=P","Fill=—","Direction=H","UseDPDF=Y")</f>
        <v>3.31</v>
      </c>
      <c r="M57" s="20">
        <f>_xll.BDH("AMGN US Equity","IS_DIL_EPS_BEF_XO","FQ4 2021","FQ4 2021","Currency=USD","Period=FQ","BEST_FPERIOD_OVERRIDE=FQ","FILING_STATUS=MR","Sort=A","Dates=H","DateFormat=P","Fill=—","Direction=H","UseDPDF=Y")</f>
        <v>3.36</v>
      </c>
      <c r="N57" s="20">
        <f>_xll.BDH("AMGN US Equity","IS_DIL_EPS_BEF_XO","FQ1 2022","FQ1 2022","Currency=USD","Period=FQ","BEST_FPERIOD_OVERRIDE=FQ","FILING_STATUS=MR","Sort=A","Dates=H","DateFormat=P","Fill=—","Direction=H","UseDPDF=Y")</f>
        <v>2.68</v>
      </c>
      <c r="O57" s="20">
        <f>_xll.BDH("AMGN US Equity","IS_DIL_EPS_BEF_XO","FQ2 2022","FQ2 2022","Currency=USD","Period=FQ","BEST_FPERIOD_OVERRIDE=FQ","FILING_STATUS=MR","Sort=A","Dates=H","DateFormat=P","Fill=—","Direction=H","UseDPDF=Y")</f>
        <v>2.4500000000000002</v>
      </c>
      <c r="P57" s="20">
        <f>_xll.BDH("AMGN US Equity","IS_DIL_EPS_BEF_XO","FQ3 2022","FQ3 2022","Currency=USD","Period=FQ","BEST_FPERIOD_OVERRIDE=FQ","FILING_STATUS=MR","Sort=A","Dates=H","DateFormat=P","Fill=—","Direction=H","UseDPDF=Y")</f>
        <v>3.98</v>
      </c>
      <c r="Q57" s="20">
        <f>_xll.BDH("AMGN US Equity","IS_DIL_EPS_BEF_XO","FQ4 2022","FQ4 2022","Currency=USD","Period=FQ","BEST_FPERIOD_OVERRIDE=FQ","FILING_STATUS=MR","Sort=A","Dates=H","DateFormat=P","Fill=—","Direction=H","UseDPDF=Y")</f>
        <v>3</v>
      </c>
      <c r="R57" s="20">
        <f>_xll.BDH("AMGN US Equity","IS_DIL_EPS_BEF_XO","FQ1 2023","FQ1 2023","Currency=USD","Period=FQ","BEST_FPERIOD_OVERRIDE=FQ","FILING_STATUS=MR","Sort=A","Dates=H","DateFormat=P","Fill=—","Direction=H","UseDPDF=Y")</f>
        <v>5.28</v>
      </c>
      <c r="S57" s="20">
        <f>_xll.BDH("AMGN US Equity","IS_DIL_EPS_BEF_XO","FQ2 2023","FQ2 2023","Currency=USD","Period=FQ","BEST_FPERIOD_OVERRIDE=FQ","FILING_STATUS=MR","Sort=A","Dates=H","DateFormat=P","Fill=—","Direction=H","UseDPDF=Y")</f>
        <v>2.57</v>
      </c>
      <c r="T57" s="20">
        <f>_xll.BDH("AMGN US Equity","IS_DIL_EPS_BEF_XO","FQ3 2023","FQ3 2023","Currency=USD","Period=FQ","BEST_FPERIOD_OVERRIDE=FQ","FILING_STATUS=MR","Sort=A","Dates=H","DateFormat=P","Fill=—","Direction=H","UseDPDF=Y")</f>
        <v>3.22</v>
      </c>
      <c r="U57" s="20">
        <f>_xll.BDH("AMGN US Equity","IS_DIL_EPS_BEF_XO","FQ4 2023","FQ4 2023","Currency=USD","Period=FQ","BEST_FPERIOD_OVERRIDE=FQ","FILING_STATUS=MR","Sort=A","Dates=H","DateFormat=P","Fill=—","Direction=H","UseDPDF=Y")</f>
        <v>1.42</v>
      </c>
      <c r="V57" s="20">
        <f>_xll.BDH("AMGN US Equity","IS_DIL_EPS_BEF_XO","FQ1 2024","FQ1 2024","Currency=USD","Period=FQ","BEST_FPERIOD_OVERRIDE=FQ","FILING_STATUS=MR","Sort=A","Dates=H","DateFormat=P","Fill=—","Direction=H","UseDPDF=Y")</f>
        <v>-0.21</v>
      </c>
      <c r="W57" s="20">
        <f>_xll.BDH("AMGN US Equity","IS_DIL_EPS_BEF_XO","FQ2 2024","FQ2 2024","Currency=USD","Period=FQ","BEST_FPERIOD_OVERRIDE=FQ","FILING_STATUS=MR","Sort=A","Dates=H","DateFormat=P","Fill=—","Direction=H","UseDPDF=Y")</f>
        <v>1.38</v>
      </c>
      <c r="X57" s="20">
        <f>_xll.BDH("AMGN US Equity","IS_DIL_EPS_BEF_XO","FQ3 2024","FQ3 2024","Currency=USD","Period=FQ","BEST_FPERIOD_OVERRIDE=FQ","FILING_STATUS=MR","Sort=A","Dates=H","DateFormat=P","Fill=—","Direction=H","UseDPDF=Y")</f>
        <v>5.22</v>
      </c>
      <c r="Y57" s="20">
        <f>_xll.BDH("AMGN US Equity","IS_DIL_EPS_BEF_XO","FQ4 2024","FQ4 2024","Currency=USD","Period=FQ","BEST_FPERIOD_OVERRIDE=FQ","FILING_STATUS=MR","Sort=A","Dates=H","DateFormat=P","Fill=—","Direction=H","UseDPDF=Y")</f>
        <v>1.1599999999999999</v>
      </c>
      <c r="Z57" s="20">
        <v>1.9430000000000001</v>
      </c>
      <c r="AA57" s="20">
        <v>3.23</v>
      </c>
    </row>
    <row r="58" spans="1:27" x14ac:dyDescent="0.25">
      <c r="A58" s="6" t="s">
        <v>385</v>
      </c>
      <c r="B58" s="6" t="s">
        <v>82</v>
      </c>
      <c r="C58" s="20">
        <f>_xll.BDH("AMGN US Equity","IS_DIL_EPS_CONT_OPS","FQ2 2019","FQ2 2019","Currency=USD","Period=FQ","BEST_FPERIOD_OVERRIDE=FQ","FILING_STATUS=MR","Sort=A","Dates=H","DateFormat=P","Fill=—","Direction=H","UseDPDF=Y")</f>
        <v>3.5973999999999999</v>
      </c>
      <c r="D58" s="20">
        <f>_xll.BDH("AMGN US Equity","IS_DIL_EPS_CONT_OPS","FQ3 2019","FQ3 2019","Currency=USD","Period=FQ","BEST_FPERIOD_OVERRIDE=FQ","FILING_STATUS=MR","Sort=A","Dates=H","DateFormat=P","Fill=—","Direction=H","UseDPDF=Y")</f>
        <v>3.2833000000000001</v>
      </c>
      <c r="E58" s="20">
        <f>_xll.BDH("AMGN US Equity","IS_DIL_EPS_CONT_OPS","FQ4 2019","FQ4 2019","Currency=USD","Period=FQ","BEST_FPERIOD_OVERRIDE=FQ","FILING_STATUS=MR","Sort=A","Dates=H","DateFormat=P","Fill=—","Direction=H","UseDPDF=Y")</f>
        <v>2.9460000000000002</v>
      </c>
      <c r="F58" s="20">
        <f>_xll.BDH("AMGN US Equity","IS_DIL_EPS_CONT_OPS","FQ1 2020","FQ1 2020","Currency=USD","Period=FQ","BEST_FPERIOD_OVERRIDE=FQ","FILING_STATUS=MR","Sort=A","Dates=H","DateFormat=P","Fill=—","Direction=H","UseDPDF=Y")</f>
        <v>3.105</v>
      </c>
      <c r="G58" s="20">
        <f>_xll.BDH("AMGN US Equity","IS_DIL_EPS_CONT_OPS","FQ2 2020","FQ2 2020","Currency=USD","Period=FQ","BEST_FPERIOD_OVERRIDE=FQ","FILING_STATUS=MR","Sort=A","Dates=H","DateFormat=P","Fill=—","Direction=H","UseDPDF=Y")</f>
        <v>3.1724999999999999</v>
      </c>
      <c r="H58" s="20">
        <f>_xll.BDH("AMGN US Equity","IS_DIL_EPS_CONT_OPS","FQ3 2020","FQ3 2020","Currency=USD","Period=FQ","BEST_FPERIOD_OVERRIDE=FQ","FILING_STATUS=MR","Sort=A","Dates=H","DateFormat=P","Fill=—","Direction=H","UseDPDF=Y")</f>
        <v>4.3620000000000001</v>
      </c>
      <c r="I58" s="20">
        <f>_xll.BDH("AMGN US Equity","IS_DIL_EPS_CONT_OPS","FQ4 2020","FQ4 2020","Currency=USD","Period=FQ","BEST_FPERIOD_OVERRIDE=FQ","FILING_STATUS=MR","Sort=A","Dates=H","DateFormat=P","Fill=—","Direction=H","UseDPDF=Y")</f>
        <v>2.8439000000000001</v>
      </c>
      <c r="J58" s="20">
        <f>_xll.BDH("AMGN US Equity","IS_DIL_EPS_CONT_OPS","FQ1 2021","FQ1 2021","Currency=USD","Period=FQ","BEST_FPERIOD_OVERRIDE=FQ","FILING_STATUS=MR","Sort=A","Dates=H","DateFormat=P","Fill=—","Direction=H","UseDPDF=Y")</f>
        <v>3.6297999999999999</v>
      </c>
      <c r="K58" s="20">
        <f>_xll.BDH("AMGN US Equity","IS_DIL_EPS_CONT_OPS","FQ2 2021","FQ2 2021","Currency=USD","Period=FQ","BEST_FPERIOD_OVERRIDE=FQ","FILING_STATUS=MR","Sort=A","Dates=H","DateFormat=P","Fill=—","Direction=H","UseDPDF=Y")</f>
        <v>4.3186999999999998</v>
      </c>
      <c r="L58" s="20">
        <f>_xll.BDH("AMGN US Equity","IS_DIL_EPS_CONT_OPS","FQ3 2021","FQ3 2021","Currency=USD","Period=FQ","BEST_FPERIOD_OVERRIDE=FQ","FILING_STATUS=MR","Sort=A","Dates=H","DateFormat=P","Fill=—","Direction=H","UseDPDF=Y")</f>
        <v>3.0030999999999999</v>
      </c>
      <c r="M58" s="20">
        <f>_xll.BDH("AMGN US Equity","IS_DIL_EPS_CONT_OPS","FQ4 2021","FQ4 2021","Currency=USD","Period=FQ","BEST_FPERIOD_OVERRIDE=FQ","FILING_STATUS=MR","Sort=A","Dates=H","DateFormat=P","Fill=—","Direction=H","UseDPDF=Y")</f>
        <v>3.2985000000000002</v>
      </c>
      <c r="N58" s="20">
        <f>_xll.BDH("AMGN US Equity","IS_DIL_EPS_CONT_OPS","FQ1 2022","FQ1 2022","Currency=USD","Period=FQ","BEST_FPERIOD_OVERRIDE=FQ","FILING_STATUS=MR","Sort=A","Dates=H","DateFormat=P","Fill=—","Direction=H","UseDPDF=Y")</f>
        <v>4.1835000000000004</v>
      </c>
      <c r="O58" s="20">
        <f>_xll.BDH("AMGN US Equity","IS_DIL_EPS_CONT_OPS","FQ2 2022","FQ2 2022","Currency=USD","Period=FQ","BEST_FPERIOD_OVERRIDE=FQ","FILING_STATUS=MR","Sort=A","Dates=H","DateFormat=P","Fill=—","Direction=H","UseDPDF=Y")</f>
        <v>4.5666000000000002</v>
      </c>
      <c r="P58" s="20">
        <f>_xll.BDH("AMGN US Equity","IS_DIL_EPS_CONT_OPS","FQ3 2022","FQ3 2022","Currency=USD","Period=FQ","BEST_FPERIOD_OVERRIDE=FQ","FILING_STATUS=MR","Sort=A","Dates=H","DateFormat=P","Fill=—","Direction=H","UseDPDF=Y")</f>
        <v>3.7652000000000001</v>
      </c>
      <c r="Q58" s="20">
        <f>_xll.BDH("AMGN US Equity","IS_DIL_EPS_CONT_OPS","FQ4 2022","FQ4 2022","Currency=USD","Period=FQ","BEST_FPERIOD_OVERRIDE=FQ","FILING_STATUS=MR","Sort=A","Dates=H","DateFormat=P","Fill=—","Direction=H","UseDPDF=Y")</f>
        <v>2.8090999999999999</v>
      </c>
      <c r="R58" s="20">
        <f>_xll.BDH("AMGN US Equity","IS_DIL_EPS_CONT_OPS","FQ1 2023","FQ1 2023","Currency=USD","Period=FQ","BEST_FPERIOD_OVERRIDE=FQ","FILING_STATUS=MR","Sort=A","Dates=H","DateFormat=P","Fill=—","Direction=H","UseDPDF=Y")</f>
        <v>3.7614000000000001</v>
      </c>
      <c r="S58" s="20">
        <f>_xll.BDH("AMGN US Equity","IS_DIL_EPS_CONT_OPS","FQ2 2023","FQ2 2023","Currency=USD","Period=FQ","BEST_FPERIOD_OVERRIDE=FQ","FILING_STATUS=MR","Sort=A","Dates=H","DateFormat=P","Fill=—","Direction=H","UseDPDF=Y")</f>
        <v>3.4506999999999999</v>
      </c>
      <c r="T58" s="20">
        <f>_xll.BDH("AMGN US Equity","IS_DIL_EPS_CONT_OPS","FQ3 2023","FQ3 2023","Currency=USD","Period=FQ","BEST_FPERIOD_OVERRIDE=FQ","FILING_STATUS=MR","Sort=A","Dates=H","DateFormat=P","Fill=—","Direction=H","UseDPDF=Y")</f>
        <v>3.8685</v>
      </c>
      <c r="U58" s="20">
        <f>_xll.BDH("AMGN US Equity","IS_DIL_EPS_CONT_OPS","FQ4 2023","FQ4 2023","Currency=USD","Period=FQ","BEST_FPERIOD_OVERRIDE=FQ","FILING_STATUS=MR","Sort=A","Dates=H","DateFormat=P","Fill=—","Direction=H","UseDPDF=Y")</f>
        <v>1.8725000000000001</v>
      </c>
      <c r="V58" s="20">
        <f>_xll.BDH("AMGN US Equity","IS_DIL_EPS_CONT_OPS","FQ1 2024","FQ1 2024","Currency=USD","Period=FQ","BEST_FPERIOD_OVERRIDE=FQ","FILING_STATUS=MR","Sort=A","Dates=H","DateFormat=P","Fill=—","Direction=H","UseDPDF=Y")</f>
        <v>0.80589999999999995</v>
      </c>
      <c r="W58" s="20">
        <f>_xll.BDH("AMGN US Equity","IS_DIL_EPS_CONT_OPS","FQ2 2024","FQ2 2024","Currency=USD","Period=FQ","BEST_FPERIOD_OVERRIDE=FQ","FILING_STATUS=MR","Sort=A","Dates=H","DateFormat=P","Fill=—","Direction=H","UseDPDF=Y")</f>
        <v>2.2332000000000001</v>
      </c>
      <c r="X58" s="20">
        <f>_xll.BDH("AMGN US Equity","IS_DIL_EPS_CONT_OPS","FQ3 2024","FQ3 2024","Currency=USD","Period=FQ","BEST_FPERIOD_OVERRIDE=FQ","FILING_STATUS=MR","Sort=A","Dates=H","DateFormat=P","Fill=—","Direction=H","UseDPDF=Y")</f>
        <v>3.7690999999999999</v>
      </c>
      <c r="Y58" s="20">
        <f>_xll.BDH("AMGN US Equity","IS_DIL_EPS_CONT_OPS","FQ4 2024","FQ4 2024","Currency=USD","Period=FQ","BEST_FPERIOD_OVERRIDE=FQ","FILING_STATUS=MR","Sort=A","Dates=H","DateFormat=P","Fill=—","Direction=H","UseDPDF=Y")</f>
        <v>2.415</v>
      </c>
      <c r="Z58" s="20">
        <v>4.2480000000000002</v>
      </c>
      <c r="AA58" s="20">
        <v>5.3029999999999999</v>
      </c>
    </row>
    <row r="59" spans="1:27" x14ac:dyDescent="0.25">
      <c r="A59" s="6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 x14ac:dyDescent="0.25">
      <c r="A60" s="6" t="s">
        <v>4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 x14ac:dyDescent="0.25">
      <c r="A61" s="10" t="s">
        <v>386</v>
      </c>
      <c r="B61" s="10" t="s">
        <v>387</v>
      </c>
      <c r="C61" s="12" t="s">
        <v>388</v>
      </c>
      <c r="D61" s="12" t="s">
        <v>388</v>
      </c>
      <c r="E61" s="12" t="s">
        <v>388</v>
      </c>
      <c r="F61" s="12" t="s">
        <v>388</v>
      </c>
      <c r="G61" s="12" t="s">
        <v>388</v>
      </c>
      <c r="H61" s="12" t="s">
        <v>388</v>
      </c>
      <c r="I61" s="12" t="s">
        <v>388</v>
      </c>
      <c r="J61" s="12" t="s">
        <v>388</v>
      </c>
      <c r="K61" s="12" t="s">
        <v>388</v>
      </c>
      <c r="L61" s="12" t="s">
        <v>388</v>
      </c>
      <c r="M61" s="12" t="s">
        <v>388</v>
      </c>
      <c r="N61" s="12" t="s">
        <v>388</v>
      </c>
      <c r="O61" s="12" t="s">
        <v>388</v>
      </c>
      <c r="P61" s="12" t="s">
        <v>388</v>
      </c>
      <c r="Q61" s="12" t="s">
        <v>388</v>
      </c>
      <c r="R61" s="12" t="s">
        <v>388</v>
      </c>
      <c r="S61" s="12" t="s">
        <v>388</v>
      </c>
      <c r="T61" s="12" t="s">
        <v>388</v>
      </c>
      <c r="U61" s="12" t="s">
        <v>388</v>
      </c>
      <c r="V61" s="12" t="s">
        <v>388</v>
      </c>
      <c r="W61" s="12" t="s">
        <v>388</v>
      </c>
      <c r="X61" s="12" t="s">
        <v>388</v>
      </c>
      <c r="Y61" s="12" t="s">
        <v>388</v>
      </c>
      <c r="Z61" s="12"/>
      <c r="AA61" s="12"/>
    </row>
    <row r="62" spans="1:27" x14ac:dyDescent="0.25">
      <c r="A62" s="10" t="s">
        <v>78</v>
      </c>
      <c r="B62" s="10" t="s">
        <v>78</v>
      </c>
      <c r="C62" s="13">
        <f>_xll.BDH("AMGN US Equity","EBITDA","FQ2 2019","FQ2 2019","Currency=USD","Period=FQ","BEST_FPERIOD_OVERRIDE=FQ","FILING_STATUS=MR","SCALING_FORMAT=MLN","FA_ADJUSTED=Adjusted","Sort=A","Dates=H","DateFormat=P","Fill=—","Direction=H","UseDPDF=Y")</f>
        <v>3218</v>
      </c>
      <c r="D62" s="13">
        <f>_xll.BDH("AMGN US Equity","EBITDA","FQ3 2019","FQ3 2019","Currency=USD","Period=FQ","BEST_FPERIOD_OVERRIDE=FQ","FILING_STATUS=MR","SCALING_FORMAT=MLN","FA_ADJUSTED=Adjusted","Sort=A","Dates=H","DateFormat=P","Fill=—","Direction=H","UseDPDF=Y")</f>
        <v>3026</v>
      </c>
      <c r="E62" s="13">
        <f>_xll.BDH("AMGN US Equity","EBITDA","FQ4 2019","FQ4 2019","Currency=USD","Period=FQ","BEST_FPERIOD_OVERRIDE=FQ","FILING_STATUS=MR","SCALING_FORMAT=MLN","FA_ADJUSTED=Adjusted","Sort=A","Dates=H","DateFormat=P","Fill=—","Direction=H","UseDPDF=Y")</f>
        <v>2870</v>
      </c>
      <c r="F62" s="13">
        <f>_xll.BDH("AMGN US Equity","EBITDA","FQ1 2020","FQ1 2020","Currency=USD","Period=FQ","BEST_FPERIOD_OVERRIDE=FQ","FILING_STATUS=MR","SCALING_FORMAT=MLN","FA_ADJUSTED=Adjusted","Sort=A","Dates=H","DateFormat=P","Fill=—","Direction=H","UseDPDF=Y")</f>
        <v>3277</v>
      </c>
      <c r="G62" s="13">
        <f>_xll.BDH("AMGN US Equity","EBITDA","FQ2 2020","FQ2 2020","Currency=USD","Period=FQ","BEST_FPERIOD_OVERRIDE=FQ","FILING_STATUS=MR","SCALING_FORMAT=MLN","FA_ADJUSTED=Adjusted","Sort=A","Dates=H","DateFormat=P","Fill=—","Direction=H","UseDPDF=Y")</f>
        <v>3353</v>
      </c>
      <c r="H62" s="13">
        <f>_xll.BDH("AMGN US Equity","EBITDA","FQ3 2020","FQ3 2020","Currency=USD","Period=FQ","BEST_FPERIOD_OVERRIDE=FQ","FILING_STATUS=MR","SCALING_FORMAT=MLN","FA_ADJUSTED=Adjusted","Sort=A","Dates=H","DateFormat=P","Fill=—","Direction=H","UseDPDF=Y")</f>
        <v>4083</v>
      </c>
      <c r="I62" s="13">
        <f>_xll.BDH("AMGN US Equity","EBITDA","FQ4 2020","FQ4 2020","Currency=USD","Period=FQ","BEST_FPERIOD_OVERRIDE=FQ","FILING_STATUS=MR","SCALING_FORMAT=MLN","FA_ADJUSTED=Adjusted","Sort=A","Dates=H","DateFormat=P","Fill=—","Direction=H","UseDPDF=Y")</f>
        <v>2946</v>
      </c>
      <c r="J62" s="13">
        <f>_xll.BDH("AMGN US Equity","EBITDA","FQ1 2021","FQ1 2021","Currency=USD","Period=FQ","BEST_FPERIOD_OVERRIDE=FQ","FILING_STATUS=MR","SCALING_FORMAT=MLN","FA_ADJUSTED=Adjusted","Sort=A","Dates=H","DateFormat=P","Fill=—","Direction=H","UseDPDF=Y")</f>
        <v>3705</v>
      </c>
      <c r="K62" s="13">
        <f>_xll.BDH("AMGN US Equity","EBITDA","FQ2 2021","FQ2 2021","Currency=USD","Period=FQ","BEST_FPERIOD_OVERRIDE=FQ","FILING_STATUS=MR","SCALING_FORMAT=MLN","FA_ADJUSTED=Adjusted","Sort=A","Dates=H","DateFormat=P","Fill=—","Direction=H","UseDPDF=Y")</f>
        <v>3966</v>
      </c>
      <c r="L62" s="13">
        <f>_xll.BDH("AMGN US Equity","EBITDA","FQ3 2021","FQ3 2021","Currency=USD","Period=FQ","BEST_FPERIOD_OVERRIDE=FQ","FILING_STATUS=MR","SCALING_FORMAT=MLN","FA_ADJUSTED=Adjusted","Sort=A","Dates=H","DateFormat=P","Fill=—","Direction=H","UseDPDF=Y")</f>
        <v>3255</v>
      </c>
      <c r="M62" s="13">
        <f>_xll.BDH("AMGN US Equity","EBITDA","FQ4 2021","FQ4 2021","Currency=USD","Period=FQ","BEST_FPERIOD_OVERRIDE=FQ","FILING_STATUS=MR","SCALING_FORMAT=MLN","FA_ADJUSTED=Adjusted","Sort=A","Dates=H","DateFormat=P","Fill=—","Direction=H","UseDPDF=Y")</f>
        <v>3098</v>
      </c>
      <c r="N62" s="13">
        <f>_xll.BDH("AMGN US Equity","EBITDA","FQ1 2022","FQ1 2022","Currency=USD","Period=FQ","BEST_FPERIOD_OVERRIDE=FQ","FILING_STATUS=MR","SCALING_FORMAT=MLN","FA_ADJUSTED=Adjusted","Sort=A","Dates=H","DateFormat=P","Fill=—","Direction=H","UseDPDF=Y")</f>
        <v>3981</v>
      </c>
      <c r="O62" s="13">
        <f>_xll.BDH("AMGN US Equity","EBITDA","FQ2 2022","FQ2 2022","Currency=USD","Period=FQ","BEST_FPERIOD_OVERRIDE=FQ","FILING_STATUS=MR","SCALING_FORMAT=MLN","FA_ADJUSTED=Adjusted","Sort=A","Dates=H","DateFormat=P","Fill=—","Direction=H","UseDPDF=Y")</f>
        <v>4163</v>
      </c>
      <c r="P62" s="13">
        <f>_xll.BDH("AMGN US Equity","EBITDA","FQ3 2022","FQ3 2022","Currency=USD","Period=FQ","BEST_FPERIOD_OVERRIDE=FQ","FILING_STATUS=MR","SCALING_FORMAT=MLN","FA_ADJUSTED=Adjusted","Sort=A","Dates=H","DateFormat=P","Fill=—","Direction=H","UseDPDF=Y")</f>
        <v>3502</v>
      </c>
      <c r="Q62" s="13">
        <f>_xll.BDH("AMGN US Equity","EBITDA","FQ4 2022","FQ4 2022","Currency=USD","Period=FQ","BEST_FPERIOD_OVERRIDE=FQ","FILING_STATUS=MR","SCALING_FORMAT=MLN","FA_ADJUSTED=Adjusted","Sort=A","Dates=H","DateFormat=P","Fill=—","Direction=H","UseDPDF=Y")</f>
        <v>3107</v>
      </c>
      <c r="R62" s="13">
        <f>_xll.BDH("AMGN US Equity","EBITDA","FQ1 2023","FQ1 2023","Currency=USD","Period=FQ","BEST_FPERIOD_OVERRIDE=FQ","FILING_STATUS=MR","SCALING_FORMAT=MLN","FA_ADJUSTED=Adjusted","Sort=A","Dates=H","DateFormat=P","Fill=—","Direction=H","UseDPDF=Y")</f>
        <v>3721</v>
      </c>
      <c r="S62" s="13">
        <f>_xll.BDH("AMGN US Equity","EBITDA","FQ2 2023","FQ2 2023","Currency=USD","Period=FQ","BEST_FPERIOD_OVERRIDE=FQ","FILING_STATUS=MR","SCALING_FORMAT=MLN","FA_ADJUSTED=Adjusted","Sort=A","Dates=H","DateFormat=P","Fill=—","Direction=H","UseDPDF=Y")</f>
        <v>3622</v>
      </c>
      <c r="T62" s="13">
        <f>_xll.BDH("AMGN US Equity","EBITDA","FQ3 2023","FQ3 2023","Currency=USD","Period=FQ","BEST_FPERIOD_OVERRIDE=FQ","FILING_STATUS=MR","SCALING_FORMAT=MLN","FA_ADJUSTED=Adjusted","Sort=A","Dates=H","DateFormat=P","Fill=—","Direction=H","UseDPDF=Y")</f>
        <v>3579</v>
      </c>
      <c r="U62" s="13">
        <f>_xll.BDH("AMGN US Equity","EBITDA","FQ4 2023","FQ4 2023","Currency=USD","Period=FQ","BEST_FPERIOD_OVERRIDE=FQ","FILING_STATUS=MR","SCALING_FORMAT=MLN","FA_ADJUSTED=Adjusted","Sort=A","Dates=H","DateFormat=P","Fill=—","Direction=H","UseDPDF=Y")</f>
        <v>3178</v>
      </c>
      <c r="V62" s="13">
        <f>_xll.BDH("AMGN US Equity","EBITDA","FQ1 2024","FQ1 2024","Currency=USD","Period=FQ","BEST_FPERIOD_OVERRIDE=FQ","FILING_STATUS=MR","SCALING_FORMAT=MLN","FA_ADJUSTED=Adjusted","Sort=A","Dates=H","DateFormat=P","Fill=—","Direction=H","UseDPDF=Y")</f>
        <v>2495</v>
      </c>
      <c r="W62" s="13">
        <f>_xll.BDH("AMGN US Equity","EBITDA","FQ2 2024","FQ2 2024","Currency=USD","Period=FQ","BEST_FPERIOD_OVERRIDE=FQ","FILING_STATUS=MR","SCALING_FORMAT=MLN","FA_ADJUSTED=Adjusted","Sort=A","Dates=H","DateFormat=P","Fill=—","Direction=H","UseDPDF=Y")</f>
        <v>3443</v>
      </c>
      <c r="X62" s="13">
        <f>_xll.BDH("AMGN US Equity","EBITDA","FQ3 2024","FQ3 2024","Currency=USD","Period=FQ","BEST_FPERIOD_OVERRIDE=FQ","FILING_STATUS=MR","SCALING_FORMAT=MLN","FA_ADJUSTED=Adjusted","Sort=A","Dates=H","DateFormat=P","Fill=—","Direction=H","UseDPDF=Y")</f>
        <v>3584</v>
      </c>
      <c r="Y62" s="13">
        <f>_xll.BDH("AMGN US Equity","EBITDA","FQ4 2024","FQ4 2024","Currency=USD","Period=FQ","BEST_FPERIOD_OVERRIDE=FQ","FILING_STATUS=MR","SCALING_FORMAT=MLN","FA_ADJUSTED=Adjusted","Sort=A","Dates=H","DateFormat=P","Fill=—","Direction=H","UseDPDF=Y")</f>
        <v>3854</v>
      </c>
      <c r="Z62" s="13">
        <v>3909.375</v>
      </c>
      <c r="AA62" s="13">
        <v>4794.625</v>
      </c>
    </row>
    <row r="63" spans="1:27" x14ac:dyDescent="0.25">
      <c r="A63" s="10" t="s">
        <v>389</v>
      </c>
      <c r="B63" s="10" t="s">
        <v>390</v>
      </c>
      <c r="C63" s="14">
        <f>_xll.BDH("AMGN US Equity","EBITDA_MARGIN","FQ2 2019","FQ2 2019","Currency=USD","Period=FQ","BEST_FPERIOD_OVERRIDE=FQ","FILING_STATUS=MR","FA_ADJUSTED=Adjusted","Sort=A","Dates=H","DateFormat=P","Fill=—","Direction=H","UseDPDF=Y")</f>
        <v>52.109299999999998</v>
      </c>
      <c r="D63" s="14">
        <f>_xll.BDH("AMGN US Equity","EBITDA_MARGIN","FQ3 2019","FQ3 2019","Currency=USD","Period=FQ","BEST_FPERIOD_OVERRIDE=FQ","FILING_STATUS=MR","FA_ADJUSTED=Adjusted","Sort=A","Dates=H","DateFormat=P","Fill=—","Direction=H","UseDPDF=Y")</f>
        <v>51.9</v>
      </c>
      <c r="E63" s="14">
        <f>_xll.BDH("AMGN US Equity","EBITDA_MARGIN","FQ4 2019","FQ4 2019","Currency=USD","Period=FQ","BEST_FPERIOD_OVERRIDE=FQ","FILING_STATUS=MR","FA_ADJUSTED=Adjusted","Sort=A","Dates=H","DateFormat=P","Fill=—","Direction=H","UseDPDF=Y")</f>
        <v>51.8748</v>
      </c>
      <c r="F63" s="14">
        <f>_xll.BDH("AMGN US Equity","EBITDA_MARGIN","FQ1 2020","FQ1 2020","Currency=USD","Period=FQ","BEST_FPERIOD_OVERRIDE=FQ","FILING_STATUS=MR","FA_ADJUSTED=Adjusted","Sort=A","Dates=H","DateFormat=P","Fill=—","Direction=H","UseDPDF=Y")</f>
        <v>51.702399999999997</v>
      </c>
      <c r="G63" s="14">
        <f>_xll.BDH("AMGN US Equity","EBITDA_MARGIN","FQ2 2020","FQ2 2020","Currency=USD","Period=FQ","BEST_FPERIOD_OVERRIDE=FQ","FILING_STATUS=MR","FA_ADJUSTED=Adjusted","Sort=A","Dates=H","DateFormat=P","Fill=—","Direction=H","UseDPDF=Y")</f>
        <v>51.545200000000001</v>
      </c>
      <c r="H63" s="14">
        <f>_xll.BDH("AMGN US Equity","EBITDA_MARGIN","FQ3 2020","FQ3 2020","Currency=USD","Period=FQ","BEST_FPERIOD_OVERRIDE=FQ","FILING_STATUS=MR","FA_ADJUSTED=Adjusted","Sort=A","Dates=H","DateFormat=P","Fill=—","Direction=H","UseDPDF=Y")</f>
        <v>54.360300000000002</v>
      </c>
      <c r="I63" s="14">
        <f>_xll.BDH("AMGN US Equity","EBITDA_MARGIN","FQ4 2020","FQ4 2020","Currency=USD","Period=FQ","BEST_FPERIOD_OVERRIDE=FQ","FILING_STATUS=MR","FA_ADJUSTED=Adjusted","Sort=A","Dates=H","DateFormat=P","Fill=—","Direction=H","UseDPDF=Y")</f>
        <v>53.724800000000002</v>
      </c>
      <c r="J63" s="14">
        <f>_xll.BDH("AMGN US Equity","EBITDA_MARGIN","FQ1 2021","FQ1 2021","Currency=USD","Period=FQ","BEST_FPERIOD_OVERRIDE=FQ","FILING_STATUS=MR","FA_ADJUSTED=Adjusted","Sort=A","Dates=H","DateFormat=P","Fill=—","Direction=H","UseDPDF=Y")</f>
        <v>55.980800000000002</v>
      </c>
      <c r="K63" s="14">
        <f>_xll.BDH("AMGN US Equity","EBITDA_MARGIN","FQ2 2021","FQ2 2021","Currency=USD","Period=FQ","BEST_FPERIOD_OVERRIDE=FQ","FILING_STATUS=MR","FA_ADJUSTED=Adjusted","Sort=A","Dates=H","DateFormat=P","Fill=—","Direction=H","UseDPDF=Y")</f>
        <v>57.683300000000003</v>
      </c>
      <c r="L63" s="14">
        <f>_xll.BDH("AMGN US Equity","EBITDA_MARGIN","FQ3 2021","FQ3 2021","Currency=USD","Period=FQ","BEST_FPERIOD_OVERRIDE=FQ","FILING_STATUS=MR","FA_ADJUSTED=Adjusted","Sort=A","Dates=H","DateFormat=P","Fill=—","Direction=H","UseDPDF=Y")</f>
        <v>53.836300000000001</v>
      </c>
      <c r="M63" s="14">
        <f>_xll.BDH("AMGN US Equity","EBITDA_MARGIN","FQ4 2021","FQ4 2021","Currency=USD","Period=FQ","BEST_FPERIOD_OVERRIDE=FQ","FILING_STATUS=MR","FA_ADJUSTED=Adjusted","Sort=A","Dates=H","DateFormat=P","Fill=—","Direction=H","UseDPDF=Y")</f>
        <v>53.982100000000003</v>
      </c>
      <c r="N63" s="14">
        <f>_xll.BDH("AMGN US Equity","EBITDA_MARGIN","FQ1 2022","FQ1 2022","Currency=USD","Period=FQ","BEST_FPERIOD_OVERRIDE=FQ","FILING_STATUS=MR","FA_ADJUSTED=Adjusted","Sort=A","Dates=H","DateFormat=P","Fill=—","Direction=H","UseDPDF=Y")</f>
        <v>54.339599999999997</v>
      </c>
      <c r="O63" s="14">
        <f>_xll.BDH("AMGN US Equity","EBITDA_MARGIN","FQ2 2022","FQ2 2022","Currency=USD","Period=FQ","BEST_FPERIOD_OVERRIDE=FQ","FILING_STATUS=MR","FA_ADJUSTED=Adjusted","Sort=A","Dates=H","DateFormat=P","Fill=—","Direction=H","UseDPDF=Y")</f>
        <v>54.946199999999997</v>
      </c>
      <c r="P63" s="14">
        <f>_xll.BDH("AMGN US Equity","EBITDA_MARGIN","FQ3 2022","FQ3 2022","Currency=USD","Period=FQ","BEST_FPERIOD_OVERRIDE=FQ","FILING_STATUS=MR","FA_ADJUSTED=Adjusted","Sort=A","Dates=H","DateFormat=P","Fill=—","Direction=H","UseDPDF=Y")</f>
        <v>55.997</v>
      </c>
      <c r="Q63" s="14">
        <f>_xll.BDH("AMGN US Equity","EBITDA_MARGIN","FQ4 2022","FQ4 2022","Currency=USD","Period=FQ","BEST_FPERIOD_OVERRIDE=FQ","FILING_STATUS=MR","FA_ADJUSTED=Adjusted","Sort=A","Dates=H","DateFormat=P","Fill=—","Direction=H","UseDPDF=Y")</f>
        <v>56.045999999999999</v>
      </c>
      <c r="R63" s="14">
        <f>_xll.BDH("AMGN US Equity","EBITDA_MARGIN","FQ1 2023","FQ1 2023","Currency=USD","Period=FQ","BEST_FPERIOD_OVERRIDE=FQ","FILING_STATUS=MR","FA_ADJUSTED=Adjusted","Sort=A","Dates=H","DateFormat=P","Fill=—","Direction=H","UseDPDF=Y")</f>
        <v>55.337899999999998</v>
      </c>
      <c r="S63" s="14">
        <f>_xll.BDH("AMGN US Equity","EBITDA_MARGIN","FQ2 2023","FQ2 2023","Currency=USD","Period=FQ","BEST_FPERIOD_OVERRIDE=FQ","FILING_STATUS=MR","FA_ADJUSTED=Adjusted","Sort=A","Dates=H","DateFormat=P","Fill=—","Direction=H","UseDPDF=Y")</f>
        <v>52.486600000000003</v>
      </c>
      <c r="T63" s="14">
        <f>_xll.BDH("AMGN US Equity","EBITDA_MARGIN","FQ3 2023","FQ3 2023","Currency=USD","Period=FQ","BEST_FPERIOD_OVERRIDE=FQ","FILING_STATUS=MR","FA_ADJUSTED=Adjusted","Sort=A","Dates=H","DateFormat=P","Fill=—","Direction=H","UseDPDF=Y")</f>
        <v>52.282600000000002</v>
      </c>
      <c r="U63" s="14">
        <f>_xll.BDH("AMGN US Equity","EBITDA_MARGIN","FQ4 2023","FQ4 2023","Currency=USD","Period=FQ","BEST_FPERIOD_OVERRIDE=FQ","FILING_STATUS=MR","FA_ADJUSTED=Adjusted","Sort=A","Dates=H","DateFormat=P","Fill=—","Direction=H","UseDPDF=Y")</f>
        <v>50.017699999999998</v>
      </c>
      <c r="V63" s="14">
        <f>_xll.BDH("AMGN US Equity","EBITDA_MARGIN","FQ1 2024","FQ1 2024","Currency=USD","Period=FQ","BEST_FPERIOD_OVERRIDE=FQ","FILING_STATUS=MR","FA_ADJUSTED=Adjusted","Sort=A","Dates=H","DateFormat=P","Fill=—","Direction=H","UseDPDF=Y")</f>
        <v>43.593400000000003</v>
      </c>
      <c r="W63" s="14">
        <f>_xll.BDH("AMGN US Equity","EBITDA_MARGIN","FQ2 2024","FQ2 2024","Currency=USD","Period=FQ","BEST_FPERIOD_OVERRIDE=FQ","FILING_STATUS=MR","FA_ADJUSTED=Adjusted","Sort=A","Dates=H","DateFormat=P","Fill=—","Direction=H","UseDPDF=Y")</f>
        <v>41.039000000000001</v>
      </c>
      <c r="X63" s="14">
        <f>_xll.BDH("AMGN US Equity","EBITDA_MARGIN","FQ3 2024","FQ3 2024","Currency=USD","Period=FQ","BEST_FPERIOD_OVERRIDE=FQ","FILING_STATUS=MR","FA_ADJUSTED=Adjusted","Sort=A","Dates=H","DateFormat=P","Fill=—","Direction=H","UseDPDF=Y")</f>
        <v>39.036099999999998</v>
      </c>
      <c r="Y63" s="14">
        <f>_xll.BDH("AMGN US Equity","EBITDA_MARGIN","FQ4 2024","FQ4 2024","Currency=USD","Period=FQ","BEST_FPERIOD_OVERRIDE=FQ","FILING_STATUS=MR","FA_ADJUSTED=Adjusted","Sort=A","Dates=H","DateFormat=P","Fill=—","Direction=H","UseDPDF=Y")</f>
        <v>40.019100000000002</v>
      </c>
      <c r="Z63" s="14">
        <v>54.461624355307798</v>
      </c>
      <c r="AA63" s="14">
        <v>55.481872516429497</v>
      </c>
    </row>
    <row r="64" spans="1:27" x14ac:dyDescent="0.25">
      <c r="A64" s="10" t="s">
        <v>391</v>
      </c>
      <c r="B64" s="10" t="s">
        <v>391</v>
      </c>
      <c r="C64" s="13">
        <f>_xll.BDH("AMGN US Equity","EBITA","FQ2 2019","FQ2 2019","Currency=USD","Period=FQ","BEST_FPERIOD_OVERRIDE=FQ","FILING_STATUS=MR","SCALING_FORMAT=MLN","FA_ADJUSTED=Adjusted","Sort=A","Dates=H","DateFormat=P","Fill=—","Direction=H","UseDPDF=Y")</f>
        <v>3032</v>
      </c>
      <c r="D64" s="13">
        <f>_xll.BDH("AMGN US Equity","EBITA","FQ3 2019","FQ3 2019","Currency=USD","Period=FQ","BEST_FPERIOD_OVERRIDE=FQ","FILING_STATUS=MR","SCALING_FORMAT=MLN","FA_ADJUSTED=Adjusted","Sort=A","Dates=H","DateFormat=P","Fill=—","Direction=H","UseDPDF=Y")</f>
        <v>2835</v>
      </c>
      <c r="E64" s="13">
        <f>_xll.BDH("AMGN US Equity","EBITA","FQ4 2019","FQ4 2019","Currency=USD","Period=FQ","BEST_FPERIOD_OVERRIDE=FQ","FILING_STATUS=MR","SCALING_FORMAT=MLN","FA_ADJUSTED=Adjusted","Sort=A","Dates=H","DateFormat=P","Fill=—","Direction=H","UseDPDF=Y")</f>
        <v>2620</v>
      </c>
      <c r="F64" s="13">
        <f>_xll.BDH("AMGN US Equity","EBITA","FQ1 2020","FQ1 2020","Currency=USD","Period=FQ","BEST_FPERIOD_OVERRIDE=FQ","FILING_STATUS=MR","SCALING_FORMAT=MLN","FA_ADJUSTED=Adjusted","Sort=A","Dates=H","DateFormat=P","Fill=—","Direction=H","UseDPDF=Y")</f>
        <v>3089</v>
      </c>
      <c r="G64" s="13">
        <f>_xll.BDH("AMGN US Equity","EBITA","FQ2 2020","FQ2 2020","Currency=USD","Period=FQ","BEST_FPERIOD_OVERRIDE=FQ","FILING_STATUS=MR","SCALING_FORMAT=MLN","FA_ADJUSTED=Adjusted","Sort=A","Dates=H","DateFormat=P","Fill=—","Direction=H","UseDPDF=Y")</f>
        <v>3136</v>
      </c>
      <c r="H64" s="13">
        <f>_xll.BDH("AMGN US Equity","EBITA","FQ3 2020","FQ3 2020","Currency=USD","Period=FQ","BEST_FPERIOD_OVERRIDE=FQ","FILING_STATUS=MR","SCALING_FORMAT=MLN","FA_ADJUSTED=Adjusted","Sort=A","Dates=H","DateFormat=P","Fill=—","Direction=H","UseDPDF=Y")</f>
        <v>3908</v>
      </c>
      <c r="I64" s="13">
        <f>_xll.BDH("AMGN US Equity","EBITA","FQ4 2020","FQ4 2020","Currency=USD","Period=FQ","BEST_FPERIOD_OVERRIDE=FQ","FILING_STATUS=MR","SCALING_FORMAT=MLN","FA_ADJUSTED=Adjusted","Sort=A","Dates=H","DateFormat=P","Fill=—","Direction=H","UseDPDF=Y")</f>
        <v>2765</v>
      </c>
      <c r="J64" s="13">
        <f>_xll.BDH("AMGN US Equity","EBITA","FQ1 2021","FQ1 2021","Currency=USD","Period=FQ","BEST_FPERIOD_OVERRIDE=FQ","FILING_STATUS=MR","SCALING_FORMAT=MLN","FA_ADJUSTED=Adjusted","Sort=A","Dates=H","DateFormat=P","Fill=—","Direction=H","UseDPDF=Y")</f>
        <v>3518</v>
      </c>
      <c r="K64" s="13">
        <f>_xll.BDH("AMGN US Equity","EBITA","FQ2 2021","FQ2 2021","Currency=USD","Period=FQ","BEST_FPERIOD_OVERRIDE=FQ","FILING_STATUS=MR","SCALING_FORMAT=MLN","FA_ADJUSTED=Adjusted","Sort=A","Dates=H","DateFormat=P","Fill=—","Direction=H","UseDPDF=Y")</f>
        <v>3763</v>
      </c>
      <c r="L64" s="13">
        <f>_xll.BDH("AMGN US Equity","EBITA","FQ3 2021","FQ3 2021","Currency=USD","Period=FQ","BEST_FPERIOD_OVERRIDE=FQ","FILING_STATUS=MR","SCALING_FORMAT=MLN","FA_ADJUSTED=Adjusted","Sort=A","Dates=H","DateFormat=P","Fill=—","Direction=H","UseDPDF=Y")</f>
        <v>3047</v>
      </c>
      <c r="M64" s="13">
        <f>_xll.BDH("AMGN US Equity","EBITA","FQ4 2021","FQ4 2021","Currency=USD","Period=FQ","BEST_FPERIOD_OVERRIDE=FQ","FILING_STATUS=MR","SCALING_FORMAT=MLN","FA_ADJUSTED=Adjusted","Sort=A","Dates=H","DateFormat=P","Fill=—","Direction=H","UseDPDF=Y")</f>
        <v>2911</v>
      </c>
      <c r="N64" s="13">
        <f>_xll.BDH("AMGN US Equity","EBITA","FQ1 2022","FQ1 2022","Currency=USD","Period=FQ","BEST_FPERIOD_OVERRIDE=FQ","FILING_STATUS=MR","SCALING_FORMAT=MLN","FA_ADJUSTED=Adjusted","Sort=A","Dates=H","DateFormat=P","Fill=—","Direction=H","UseDPDF=Y")</f>
        <v>3777</v>
      </c>
      <c r="O64" s="13">
        <f>_xll.BDH("AMGN US Equity","EBITA","FQ2 2022","FQ2 2022","Currency=USD","Period=FQ","BEST_FPERIOD_OVERRIDE=FQ","FILING_STATUS=MR","SCALING_FORMAT=MLN","FA_ADJUSTED=Adjusted","Sort=A","Dates=H","DateFormat=P","Fill=—","Direction=H","UseDPDF=Y")</f>
        <v>3964</v>
      </c>
      <c r="P64" s="13">
        <f>_xll.BDH("AMGN US Equity","EBITA","FQ3 2022","FQ3 2022","Currency=USD","Period=FQ","BEST_FPERIOD_OVERRIDE=FQ","FILING_STATUS=MR","SCALING_FORMAT=MLN","FA_ADJUSTED=Adjusted","Sort=A","Dates=H","DateFormat=P","Fill=—","Direction=H","UseDPDF=Y")</f>
        <v>3293</v>
      </c>
      <c r="Q64" s="13">
        <f>_xll.BDH("AMGN US Equity","EBITA","FQ4 2022","FQ4 2022","Currency=USD","Period=FQ","BEST_FPERIOD_OVERRIDE=FQ","FILING_STATUS=MR","SCALING_FORMAT=MLN","FA_ADJUSTED=Adjusted","Sort=A","Dates=H","DateFormat=P","Fill=—","Direction=H","UseDPDF=Y")</f>
        <v>3058</v>
      </c>
      <c r="R64" s="13">
        <f>_xll.BDH("AMGN US Equity","EBITA","FQ1 2023","FQ1 2023","Currency=USD","Period=FQ","BEST_FPERIOD_OVERRIDE=FQ","FILING_STATUS=MR","SCALING_FORMAT=MLN","FA_ADJUSTED=Adjusted","Sort=A","Dates=H","DateFormat=P","Fill=—","Direction=H","UseDPDF=Y")</f>
        <v>3514</v>
      </c>
      <c r="S64" s="13">
        <f>_xll.BDH("AMGN US Equity","EBITA","FQ2 2023","FQ2 2023","Currency=USD","Period=FQ","BEST_FPERIOD_OVERRIDE=FQ","FILING_STATUS=MR","SCALING_FORMAT=MLN","FA_ADJUSTED=Adjusted","Sort=A","Dates=H","DateFormat=P","Fill=—","Direction=H","UseDPDF=Y")</f>
        <v>3458</v>
      </c>
      <c r="T64" s="13">
        <f>_xll.BDH("AMGN US Equity","EBITA","FQ3 2023","FQ3 2023","Currency=USD","Period=FQ","BEST_FPERIOD_OVERRIDE=FQ","FILING_STATUS=MR","SCALING_FORMAT=MLN","FA_ADJUSTED=Adjusted","Sort=A","Dates=H","DateFormat=P","Fill=—","Direction=H","UseDPDF=Y")</f>
        <v>3377</v>
      </c>
      <c r="U64" s="13">
        <f>_xll.BDH("AMGN US Equity","EBITA","FQ4 2023","FQ4 2023","Currency=USD","Period=FQ","BEST_FPERIOD_OVERRIDE=FQ","FILING_STATUS=MR","SCALING_FORMAT=MLN","FA_ADJUSTED=Adjusted","Sort=A","Dates=H","DateFormat=P","Fill=—","Direction=H","UseDPDF=Y")</f>
        <v>3084</v>
      </c>
      <c r="V64" s="13">
        <f>_xll.BDH("AMGN US Equity","EBITA","FQ1 2024","FQ1 2024","Currency=USD","Period=FQ","BEST_FPERIOD_OVERRIDE=FQ","FILING_STATUS=MR","SCALING_FORMAT=MLN","FA_ADJUSTED=Adjusted","Sort=A","Dates=H","DateFormat=P","Fill=—","Direction=H","UseDPDF=Y")</f>
        <v>2296</v>
      </c>
      <c r="W64" s="13">
        <f>_xll.BDH("AMGN US Equity","EBITA","FQ2 2024","FQ2 2024","Currency=USD","Period=FQ","BEST_FPERIOD_OVERRIDE=FQ","FILING_STATUS=MR","SCALING_FORMAT=MLN","FA_ADJUSTED=Adjusted","Sort=A","Dates=H","DateFormat=P","Fill=—","Direction=H","UseDPDF=Y")</f>
        <v>3243</v>
      </c>
      <c r="X64" s="13">
        <f>_xll.BDH("AMGN US Equity","EBITA","FQ3 2024","FQ3 2024","Currency=USD","Period=FQ","BEST_FPERIOD_OVERRIDE=FQ","FILING_STATUS=MR","SCALING_FORMAT=MLN","FA_ADJUSTED=Adjusted","Sort=A","Dates=H","DateFormat=P","Fill=—","Direction=H","UseDPDF=Y")</f>
        <v>3388</v>
      </c>
      <c r="Y64" s="13">
        <f>_xll.BDH("AMGN US Equity","EBITA","FQ4 2024","FQ4 2024","Currency=USD","Period=FQ","BEST_FPERIOD_OVERRIDE=FQ","FILING_STATUS=MR","SCALING_FORMAT=MLN","FA_ADJUSTED=Adjusted","Sort=A","Dates=H","DateFormat=P","Fill=—","Direction=H","UseDPDF=Y")</f>
        <v>3755</v>
      </c>
      <c r="Z64" s="13"/>
      <c r="AA64" s="13"/>
    </row>
    <row r="65" spans="1:27" x14ac:dyDescent="0.25">
      <c r="A65" s="10" t="s">
        <v>141</v>
      </c>
      <c r="B65" s="10" t="s">
        <v>141</v>
      </c>
      <c r="C65" s="13">
        <f>_xll.BDH("AMGN US Equity","EBIT","FQ2 2019","FQ2 2019","Currency=USD","Period=FQ","BEST_FPERIOD_OVERRIDE=FQ","FILING_STATUS=MR","SCALING_FORMAT=MLN","FA_ADJUSTED=Adjusted","Sort=A","Dates=H","DateFormat=P","Fill=—","Direction=H","UseDPDF=Y")</f>
        <v>2675</v>
      </c>
      <c r="D65" s="13">
        <f>_xll.BDH("AMGN US Equity","EBIT","FQ3 2019","FQ3 2019","Currency=USD","Period=FQ","BEST_FPERIOD_OVERRIDE=FQ","FILING_STATUS=MR","SCALING_FORMAT=MLN","FA_ADJUSTED=Adjusted","Sort=A","Dates=H","DateFormat=P","Fill=—","Direction=H","UseDPDF=Y")</f>
        <v>2476</v>
      </c>
      <c r="E65" s="13">
        <f>_xll.BDH("AMGN US Equity","EBIT","FQ4 2019","FQ4 2019","Currency=USD","Period=FQ","BEST_FPERIOD_OVERRIDE=FQ","FILING_STATUS=MR","SCALING_FORMAT=MLN","FA_ADJUSTED=Adjusted","Sort=A","Dates=H","DateFormat=P","Fill=—","Direction=H","UseDPDF=Y")</f>
        <v>2121</v>
      </c>
      <c r="F65" s="13">
        <f>_xll.BDH("AMGN US Equity","EBIT","FQ1 2020","FQ1 2020","Currency=USD","Period=FQ","BEST_FPERIOD_OVERRIDE=FQ","FILING_STATUS=MR","SCALING_FORMAT=MLN","FA_ADJUSTED=Adjusted","Sort=A","Dates=H","DateFormat=P","Fill=—","Direction=H","UseDPDF=Y")</f>
        <v>2380</v>
      </c>
      <c r="G65" s="13">
        <f>_xll.BDH("AMGN US Equity","EBIT","FQ2 2020","FQ2 2020","Currency=USD","Period=FQ","BEST_FPERIOD_OVERRIDE=FQ","FILING_STATUS=MR","SCALING_FORMAT=MLN","FA_ADJUSTED=Adjusted","Sort=A","Dates=H","DateFormat=P","Fill=—","Direction=H","UseDPDF=Y")</f>
        <v>2423</v>
      </c>
      <c r="H65" s="13">
        <f>_xll.BDH("AMGN US Equity","EBIT","FQ3 2020","FQ3 2020","Currency=USD","Period=FQ","BEST_FPERIOD_OVERRIDE=FQ","FILING_STATUS=MR","SCALING_FORMAT=MLN","FA_ADJUSTED=Adjusted","Sort=A","Dates=H","DateFormat=P","Fill=—","Direction=H","UseDPDF=Y")</f>
        <v>3182</v>
      </c>
      <c r="I65" s="13">
        <f>_xll.BDH("AMGN US Equity","EBIT","FQ4 2020","FQ4 2020","Currency=USD","Period=FQ","BEST_FPERIOD_OVERRIDE=FQ","FILING_STATUS=MR","SCALING_FORMAT=MLN","FA_ADJUSTED=Adjusted","Sort=A","Dates=H","DateFormat=P","Fill=—","Direction=H","UseDPDF=Y")</f>
        <v>2073</v>
      </c>
      <c r="J65" s="13">
        <f>_xll.BDH("AMGN US Equity","EBIT","FQ1 2021","FQ1 2021","Currency=USD","Period=FQ","BEST_FPERIOD_OVERRIDE=FQ","FILING_STATUS=MR","SCALING_FORMAT=MLN","FA_ADJUSTED=Adjusted","Sort=A","Dates=H","DateFormat=P","Fill=—","Direction=H","UseDPDF=Y")</f>
        <v>2864</v>
      </c>
      <c r="K65" s="13">
        <f>_xll.BDH("AMGN US Equity","EBIT","FQ2 2021","FQ2 2021","Currency=USD","Period=FQ","BEST_FPERIOD_OVERRIDE=FQ","FILING_STATUS=MR","SCALING_FORMAT=MLN","FA_ADJUSTED=Adjusted","Sort=A","Dates=H","DateFormat=P","Fill=—","Direction=H","UseDPDF=Y")</f>
        <v>3111</v>
      </c>
      <c r="L65" s="13">
        <f>_xll.BDH("AMGN US Equity","EBIT","FQ3 2021","FQ3 2021","Currency=USD","Period=FQ","BEST_FPERIOD_OVERRIDE=FQ","FILING_STATUS=MR","SCALING_FORMAT=MLN","FA_ADJUSTED=Adjusted","Sort=A","Dates=H","DateFormat=P","Fill=—","Direction=H","UseDPDF=Y")</f>
        <v>2405</v>
      </c>
      <c r="M65" s="13">
        <f>_xll.BDH("AMGN US Equity","EBIT","FQ4 2021","FQ4 2021","Currency=USD","Period=FQ","BEST_FPERIOD_OVERRIDE=FQ","FILING_STATUS=MR","SCALING_FORMAT=MLN","FA_ADJUSTED=Adjusted","Sort=A","Dates=H","DateFormat=P","Fill=—","Direction=H","UseDPDF=Y")</f>
        <v>2246</v>
      </c>
      <c r="N65" s="13">
        <f>_xll.BDH("AMGN US Equity","EBIT","FQ1 2022","FQ1 2022","Currency=USD","Period=FQ","BEST_FPERIOD_OVERRIDE=FQ","FILING_STATUS=MR","SCALING_FORMAT=MLN","FA_ADJUSTED=Adjusted","Sort=A","Dates=H","DateFormat=P","Fill=—","Direction=H","UseDPDF=Y")</f>
        <v>3140</v>
      </c>
      <c r="O65" s="13">
        <f>_xll.BDH("AMGN US Equity","EBIT","FQ2 2022","FQ2 2022","Currency=USD","Period=FQ","BEST_FPERIOD_OVERRIDE=FQ","FILING_STATUS=MR","SCALING_FORMAT=MLN","FA_ADJUSTED=Adjusted","Sort=A","Dates=H","DateFormat=P","Fill=—","Direction=H","UseDPDF=Y")</f>
        <v>3335</v>
      </c>
      <c r="P65" s="13">
        <f>_xll.BDH("AMGN US Equity","EBIT","FQ3 2022","FQ3 2022","Currency=USD","Period=FQ","BEST_FPERIOD_OVERRIDE=FQ","FILING_STATUS=MR","SCALING_FORMAT=MLN","FA_ADJUSTED=Adjusted","Sort=A","Dates=H","DateFormat=P","Fill=—","Direction=H","UseDPDF=Y")</f>
        <v>2665</v>
      </c>
      <c r="Q65" s="13">
        <f>_xll.BDH("AMGN US Equity","EBIT","FQ4 2022","FQ4 2022","Currency=USD","Period=FQ","BEST_FPERIOD_OVERRIDE=FQ","FILING_STATUS=MR","SCALING_FORMAT=MLN","FA_ADJUSTED=Adjusted","Sort=A","Dates=H","DateFormat=P","Fill=—","Direction=H","UseDPDF=Y")</f>
        <v>2196</v>
      </c>
      <c r="R65" s="13">
        <f>_xll.BDH("AMGN US Equity","EBIT","FQ1 2023","FQ1 2023","Currency=USD","Period=FQ","BEST_FPERIOD_OVERRIDE=FQ","FILING_STATUS=MR","SCALING_FORMAT=MLN","FA_ADJUSTED=Adjusted","Sort=A","Dates=H","DateFormat=P","Fill=—","Direction=H","UseDPDF=Y")</f>
        <v>2821</v>
      </c>
      <c r="S65" s="13">
        <f>_xll.BDH("AMGN US Equity","EBIT","FQ2 2023","FQ2 2023","Currency=USD","Period=FQ","BEST_FPERIOD_OVERRIDE=FQ","FILING_STATUS=MR","SCALING_FORMAT=MLN","FA_ADJUSTED=Adjusted","Sort=A","Dates=H","DateFormat=P","Fill=—","Direction=H","UseDPDF=Y")</f>
        <v>2726</v>
      </c>
      <c r="T65" s="13">
        <f>_xll.BDH("AMGN US Equity","EBIT","FQ3 2023","FQ3 2023","Currency=USD","Period=FQ","BEST_FPERIOD_OVERRIDE=FQ","FILING_STATUS=MR","SCALING_FORMAT=MLN","FA_ADJUSTED=Adjusted","Sort=A","Dates=H","DateFormat=P","Fill=—","Direction=H","UseDPDF=Y")</f>
        <v>2684</v>
      </c>
      <c r="U65" s="13">
        <f>_xll.BDH("AMGN US Equity","EBIT","FQ4 2023","FQ4 2023","Currency=USD","Period=FQ","BEST_FPERIOD_OVERRIDE=FQ","FILING_STATUS=MR","SCALING_FORMAT=MLN","FA_ADJUSTED=Adjusted","Sort=A","Dates=H","DateFormat=P","Fill=—","Direction=H","UseDPDF=Y")</f>
        <v>1798</v>
      </c>
      <c r="V65" s="13">
        <f>_xll.BDH("AMGN US Equity","EBIT","FQ1 2024","FQ1 2024","Currency=USD","Period=FQ","BEST_FPERIOD_OVERRIDE=FQ","FILING_STATUS=MR","SCALING_FORMAT=MLN","FA_ADJUSTED=Adjusted","Sort=A","Dates=H","DateFormat=P","Fill=—","Direction=H","UseDPDF=Y")</f>
        <v>1096</v>
      </c>
      <c r="W65" s="13">
        <f>_xll.BDH("AMGN US Equity","EBIT","FQ2 2024","FQ2 2024","Currency=USD","Period=FQ","BEST_FPERIOD_OVERRIDE=FQ","FILING_STATUS=MR","SCALING_FORMAT=MLN","FA_ADJUSTED=Adjusted","Sort=A","Dates=H","DateFormat=P","Fill=—","Direction=H","UseDPDF=Y")</f>
        <v>2043</v>
      </c>
      <c r="X65" s="13">
        <f>_xll.BDH("AMGN US Equity","EBIT","FQ3 2024","FQ3 2024","Currency=USD","Period=FQ","BEST_FPERIOD_OVERRIDE=FQ","FILING_STATUS=MR","SCALING_FORMAT=MLN","FA_ADJUSTED=Adjusted","Sort=A","Dates=H","DateFormat=P","Fill=—","Direction=H","UseDPDF=Y")</f>
        <v>2188</v>
      </c>
      <c r="Y65" s="13">
        <f>_xll.BDH("AMGN US Equity","EBIT","FQ4 2024","FQ4 2024","Currency=USD","Period=FQ","BEST_FPERIOD_OVERRIDE=FQ","FILING_STATUS=MR","SCALING_FORMAT=MLN","FA_ADJUSTED=Adjusted","Sort=A","Dates=H","DateFormat=P","Fill=—","Direction=H","UseDPDF=Y")</f>
        <v>2457</v>
      </c>
      <c r="Z65" s="13">
        <v>3326.6959999999999</v>
      </c>
      <c r="AA65" s="13">
        <v>3984.3910000000001</v>
      </c>
    </row>
    <row r="66" spans="1:27" x14ac:dyDescent="0.25">
      <c r="A66" s="10" t="s">
        <v>392</v>
      </c>
      <c r="B66" s="10" t="s">
        <v>153</v>
      </c>
      <c r="C66" s="14">
        <f>_xll.BDH("AMGN US Equity","GROSS_MARGIN","FQ2 2019","FQ2 2019","Currency=USD","Period=FQ","BEST_FPERIOD_OVERRIDE=FQ","FILING_STATUS=MR","FA_ADJUSTED=Adjusted","Sort=A","Dates=H","DateFormat=P","Fill=—","Direction=H","UseDPDF=Y")</f>
        <v>82.762699999999995</v>
      </c>
      <c r="D66" s="14">
        <f>_xll.BDH("AMGN US Equity","GROSS_MARGIN","FQ3 2019","FQ3 2019","Currency=USD","Period=FQ","BEST_FPERIOD_OVERRIDE=FQ","FILING_STATUS=MR","FA_ADJUSTED=Adjusted","Sort=A","Dates=H","DateFormat=P","Fill=—","Direction=H","UseDPDF=Y")</f>
        <v>81.941800000000001</v>
      </c>
      <c r="E66" s="14">
        <f>_xll.BDH("AMGN US Equity","GROSS_MARGIN","FQ4 2019","FQ4 2019","Currency=USD","Period=FQ","BEST_FPERIOD_OVERRIDE=FQ","FILING_STATUS=MR","FA_ADJUSTED=Adjusted","Sort=A","Dates=H","DateFormat=P","Fill=—","Direction=H","UseDPDF=Y")</f>
        <v>79.780500000000004</v>
      </c>
      <c r="F66" s="14">
        <f>_xll.BDH("AMGN US Equity","GROSS_MARGIN","FQ1 2020","FQ1 2020","Currency=USD","Period=FQ","BEST_FPERIOD_OVERRIDE=FQ","FILING_STATUS=MR","FA_ADJUSTED=Adjusted","Sort=A","Dates=H","DateFormat=P","Fill=—","Direction=H","UseDPDF=Y")</f>
        <v>75.442300000000003</v>
      </c>
      <c r="G66" s="14">
        <f>_xll.BDH("AMGN US Equity","GROSS_MARGIN","FQ2 2020","FQ2 2020","Currency=USD","Period=FQ","BEST_FPERIOD_OVERRIDE=FQ","FILING_STATUS=MR","FA_ADJUSTED=Adjusted","Sort=A","Dates=H","DateFormat=P","Fill=—","Direction=H","UseDPDF=Y")</f>
        <v>76.023200000000003</v>
      </c>
      <c r="H66" s="14">
        <f>_xll.BDH("AMGN US Equity","GROSS_MARGIN","FQ3 2020","FQ3 2020","Currency=USD","Period=FQ","BEST_FPERIOD_OVERRIDE=FQ","FILING_STATUS=MR","FA_ADJUSTED=Adjusted","Sort=A","Dates=H","DateFormat=P","Fill=—","Direction=H","UseDPDF=Y")</f>
        <v>86.392700000000005</v>
      </c>
      <c r="I66" s="14">
        <f>_xll.BDH("AMGN US Equity","GROSS_MARGIN","FQ4 2020","FQ4 2020","Currency=USD","Period=FQ","BEST_FPERIOD_OVERRIDE=FQ","FILING_STATUS=MR","FA_ADJUSTED=Adjusted","Sort=A","Dates=H","DateFormat=P","Fill=—","Direction=H","UseDPDF=Y")</f>
        <v>75.927000000000007</v>
      </c>
      <c r="J66" s="14">
        <f>_xll.BDH("AMGN US Equity","GROSS_MARGIN","FQ1 2021","FQ1 2021","Currency=USD","Period=FQ","BEST_FPERIOD_OVERRIDE=FQ","FILING_STATUS=MR","FA_ADJUSTED=Adjusted","Sort=A","Dates=H","DateFormat=P","Fill=—","Direction=H","UseDPDF=Y")</f>
        <v>74.75</v>
      </c>
      <c r="K66" s="14">
        <f>_xll.BDH("AMGN US Equity","GROSS_MARGIN","FQ2 2021","FQ2 2021","Currency=USD","Period=FQ","BEST_FPERIOD_OVERRIDE=FQ","FILING_STATUS=MR","FA_ADJUSTED=Adjusted","Sort=A","Dates=H","DateFormat=P","Fill=—","Direction=H","UseDPDF=Y")</f>
        <v>84.155699999999996</v>
      </c>
      <c r="L66" s="14">
        <f>_xll.BDH("AMGN US Equity","GROSS_MARGIN","FQ3 2021","FQ3 2021","Currency=USD","Period=FQ","BEST_FPERIOD_OVERRIDE=FQ","FILING_STATUS=MR","FA_ADJUSTED=Adjusted","Sort=A","Dates=H","DateFormat=P","Fill=—","Direction=H","UseDPDF=Y")</f>
        <v>76.006600000000006</v>
      </c>
      <c r="M66" s="14">
        <f>_xll.BDH("AMGN US Equity","GROSS_MARGIN","FQ4 2021","FQ4 2021","Currency=USD","Period=FQ","BEST_FPERIOD_OVERRIDE=FQ","FILING_STATUS=MR","FA_ADJUSTED=Adjusted","Sort=A","Dates=H","DateFormat=P","Fill=—","Direction=H","UseDPDF=Y")</f>
        <v>74.992699999999999</v>
      </c>
      <c r="N66" s="14">
        <f>_xll.BDH("AMGN US Equity","GROSS_MARGIN","FQ1 2022","FQ1 2022","Currency=USD","Period=FQ","BEST_FPERIOD_OVERRIDE=FQ","FILING_STATUS=MR","FA_ADJUSTED=Adjusted","Sort=A","Dates=H","DateFormat=P","Fill=—","Direction=H","UseDPDF=Y")</f>
        <v>74.975999999999999</v>
      </c>
      <c r="O66" s="14">
        <f>_xll.BDH("AMGN US Equity","GROSS_MARGIN","FQ2 2022","FQ2 2022","Currency=USD","Period=FQ","BEST_FPERIOD_OVERRIDE=FQ","FILING_STATUS=MR","FA_ADJUSTED=Adjusted","Sort=A","Dates=H","DateFormat=P","Fill=—","Direction=H","UseDPDF=Y")</f>
        <v>85.956900000000005</v>
      </c>
      <c r="P66" s="14">
        <f>_xll.BDH("AMGN US Equity","GROSS_MARGIN","FQ3 2022","FQ3 2022","Currency=USD","Period=FQ","BEST_FPERIOD_OVERRIDE=FQ","FILING_STATUS=MR","FA_ADJUSTED=Adjusted","Sort=A","Dates=H","DateFormat=P","Fill=—","Direction=H","UseDPDF=Y")</f>
        <v>76.127499999999998</v>
      </c>
      <c r="Q66" s="14">
        <f>_xll.BDH("AMGN US Equity","GROSS_MARGIN","FQ4 2022","FQ4 2022","Currency=USD","Period=FQ","BEST_FPERIOD_OVERRIDE=FQ","FILING_STATUS=MR","FA_ADJUSTED=Adjusted","Sort=A","Dates=H","DateFormat=P","Fill=—","Direction=H","UseDPDF=Y")</f>
        <v>74.455299999999994</v>
      </c>
      <c r="R66" s="14">
        <f>_xll.BDH("AMGN US Equity","GROSS_MARGIN","FQ1 2023","FQ1 2023","Currency=USD","Period=FQ","BEST_FPERIOD_OVERRIDE=FQ","FILING_STATUS=MR","FA_ADJUSTED=Adjusted","Sort=A","Dates=H","DateFormat=P","Fill=—","Direction=H","UseDPDF=Y")</f>
        <v>82.784599999999998</v>
      </c>
      <c r="S66" s="14">
        <f>_xll.BDH("AMGN US Equity","GROSS_MARGIN","FQ2 2023","FQ2 2023","Currency=USD","Period=FQ","BEST_FPERIOD_OVERRIDE=FQ","FILING_STATUS=MR","FA_ADJUSTED=Adjusted","Sort=A","Dates=H","DateFormat=P","Fill=—","Direction=H","UseDPDF=Y")</f>
        <v>74.048100000000005</v>
      </c>
      <c r="T66" s="14">
        <f>_xll.BDH("AMGN US Equity","GROSS_MARGIN","FQ3 2023","FQ3 2023","Currency=USD","Period=FQ","BEST_FPERIOD_OVERRIDE=FQ","FILING_STATUS=MR","FA_ADJUSTED=Adjusted","Sort=A","Dates=H","DateFormat=P","Fill=—","Direction=H","UseDPDF=Y")</f>
        <v>73.837500000000006</v>
      </c>
      <c r="U66" s="14">
        <f>_xll.BDH("AMGN US Equity","GROSS_MARGIN","FQ4 2023","FQ4 2023","Currency=USD","Period=FQ","BEST_FPERIOD_OVERRIDE=FQ","FILING_STATUS=MR","FA_ADJUSTED=Adjusted","Sort=A","Dates=H","DateFormat=P","Fill=—","Direction=H","UseDPDF=Y")</f>
        <v>84.406999999999996</v>
      </c>
      <c r="V66" s="14">
        <f>_xll.BDH("AMGN US Equity","GROSS_MARGIN","FQ1 2024","FQ1 2024","Currency=USD","Period=FQ","BEST_FPERIOD_OVERRIDE=FQ","FILING_STATUS=MR","FA_ADJUSTED=Adjusted","Sort=A","Dates=H","DateFormat=P","Fill=—","Direction=H","UseDPDF=Y")</f>
        <v>57.029699999999998</v>
      </c>
      <c r="W66" s="14">
        <f>_xll.BDH("AMGN US Equity","GROSS_MARGIN","FQ2 2024","FQ2 2024","Currency=USD","Period=FQ","BEST_FPERIOD_OVERRIDE=FQ","FILING_STATUS=MR","FA_ADJUSTED=Adjusted","Sort=A","Dates=H","DateFormat=P","Fill=—","Direction=H","UseDPDF=Y")</f>
        <v>61.421100000000003</v>
      </c>
      <c r="X66" s="14">
        <f>_xll.BDH("AMGN US Equity","GROSS_MARGIN","FQ3 2024","FQ3 2024","Currency=USD","Period=FQ","BEST_FPERIOD_OVERRIDE=FQ","FILING_STATUS=MR","FA_ADJUSTED=Adjusted","Sort=A","Dates=H","DateFormat=P","Fill=—","Direction=H","UseDPDF=Y")</f>
        <v>61.072600000000001</v>
      </c>
      <c r="Y66" s="14">
        <f>_xll.BDH("AMGN US Equity","GROSS_MARGIN","FQ4 2024","FQ4 2024","Currency=USD","Period=FQ","BEST_FPERIOD_OVERRIDE=FQ","FILING_STATUS=MR","FA_ADJUSTED=Adjusted","Sort=A","Dates=H","DateFormat=P","Fill=—","Direction=H","UseDPDF=Y")</f>
        <v>65.749499999999998</v>
      </c>
      <c r="Z66" s="14">
        <v>81.783000000000001</v>
      </c>
      <c r="AA66" s="14">
        <v>82.64</v>
      </c>
    </row>
    <row r="67" spans="1:27" x14ac:dyDescent="0.25">
      <c r="A67" s="10" t="s">
        <v>393</v>
      </c>
      <c r="B67" s="10" t="s">
        <v>394</v>
      </c>
      <c r="C67" s="14">
        <f>_xll.BDH("AMGN US Equity","OPER_MARGIN","FQ2 2019","FQ2 2019","Currency=USD","Period=FQ","BEST_FPERIOD_OVERRIDE=FQ","FILING_STATUS=MR","FA_ADJUSTED=Adjusted","Sort=A","Dates=H","DateFormat=P","Fill=—","Direction=H","UseDPDF=Y")</f>
        <v>45.562899999999999</v>
      </c>
      <c r="D67" s="14">
        <f>_xll.BDH("AMGN US Equity","OPER_MARGIN","FQ3 2019","FQ3 2019","Currency=USD","Period=FQ","BEST_FPERIOD_OVERRIDE=FQ","FILING_STATUS=MR","FA_ADJUSTED=Adjusted","Sort=A","Dates=H","DateFormat=P","Fill=—","Direction=H","UseDPDF=Y")</f>
        <v>43.1584</v>
      </c>
      <c r="E67" s="14">
        <f>_xll.BDH("AMGN US Equity","OPER_MARGIN","FQ4 2019","FQ4 2019","Currency=USD","Period=FQ","BEST_FPERIOD_OVERRIDE=FQ","FILING_STATUS=MR","FA_ADJUSTED=Adjusted","Sort=A","Dates=H","DateFormat=P","Fill=—","Direction=H","UseDPDF=Y")</f>
        <v>34.226199999999999</v>
      </c>
      <c r="F67" s="14">
        <f>_xll.BDH("AMGN US Equity","OPER_MARGIN","FQ1 2020","FQ1 2020","Currency=USD","Period=FQ","BEST_FPERIOD_OVERRIDE=FQ","FILING_STATUS=MR","FA_ADJUSTED=Adjusted","Sort=A","Dates=H","DateFormat=P","Fill=—","Direction=H","UseDPDF=Y")</f>
        <v>38.630099999999999</v>
      </c>
      <c r="G67" s="14">
        <f>_xll.BDH("AMGN US Equity","OPER_MARGIN","FQ2 2020","FQ2 2020","Currency=USD","Period=FQ","BEST_FPERIOD_OVERRIDE=FQ","FILING_STATUS=MR","FA_ADJUSTED=Adjusted","Sort=A","Dates=H","DateFormat=P","Fill=—","Direction=H","UseDPDF=Y")</f>
        <v>39.042900000000003</v>
      </c>
      <c r="H67" s="14">
        <f>_xll.BDH("AMGN US Equity","OPER_MARGIN","FQ3 2020","FQ3 2020","Currency=USD","Period=FQ","BEST_FPERIOD_OVERRIDE=FQ","FILING_STATUS=MR","FA_ADJUSTED=Adjusted","Sort=A","Dates=H","DateFormat=P","Fill=—","Direction=H","UseDPDF=Y")</f>
        <v>49.540700000000001</v>
      </c>
      <c r="I67" s="14">
        <f>_xll.BDH("AMGN US Equity","OPER_MARGIN","FQ4 2020","FQ4 2020","Currency=USD","Period=FQ","BEST_FPERIOD_OVERRIDE=FQ","FILING_STATUS=MR","FA_ADJUSTED=Adjusted","Sort=A","Dates=H","DateFormat=P","Fill=—","Direction=H","UseDPDF=Y")</f>
        <v>31.248100000000001</v>
      </c>
      <c r="J67" s="14">
        <f>_xll.BDH("AMGN US Equity","OPER_MARGIN","FQ1 2021","FQ1 2021","Currency=USD","Period=FQ","BEST_FPERIOD_OVERRIDE=FQ","FILING_STATUS=MR","FA_ADJUSTED=Adjusted","Sort=A","Dates=H","DateFormat=P","Fill=—","Direction=H","UseDPDF=Y")</f>
        <v>48.534100000000002</v>
      </c>
      <c r="K67" s="14">
        <f>_xll.BDH("AMGN US Equity","OPER_MARGIN","FQ2 2021","FQ2 2021","Currency=USD","Period=FQ","BEST_FPERIOD_OVERRIDE=FQ","FILING_STATUS=MR","FA_ADJUSTED=Adjusted","Sort=A","Dates=H","DateFormat=P","Fill=—","Direction=H","UseDPDF=Y")</f>
        <v>47.670900000000003</v>
      </c>
      <c r="L67" s="14">
        <f>_xll.BDH("AMGN US Equity","OPER_MARGIN","FQ3 2021","FQ3 2021","Currency=USD","Period=FQ","BEST_FPERIOD_OVERRIDE=FQ","FILING_STATUS=MR","FA_ADJUSTED=Adjusted","Sort=A","Dates=H","DateFormat=P","Fill=—","Direction=H","UseDPDF=Y")</f>
        <v>35.863399999999999</v>
      </c>
      <c r="M67" s="14">
        <f>_xll.BDH("AMGN US Equity","OPER_MARGIN","FQ4 2021","FQ4 2021","Currency=USD","Period=FQ","BEST_FPERIOD_OVERRIDE=FQ","FILING_STATUS=MR","FA_ADJUSTED=Adjusted","Sort=A","Dates=H","DateFormat=P","Fill=—","Direction=H","UseDPDF=Y")</f>
        <v>32.807499999999997</v>
      </c>
      <c r="N67" s="14">
        <f>_xll.BDH("AMGN US Equity","OPER_MARGIN","FQ1 2022","FQ1 2022","Currency=USD","Period=FQ","BEST_FPERIOD_OVERRIDE=FQ","FILING_STATUS=MR","FA_ADJUSTED=Adjusted","Sort=A","Dates=H","DateFormat=P","Fill=—","Direction=H","UseDPDF=Y")</f>
        <v>50.336599999999997</v>
      </c>
      <c r="O67" s="14">
        <f>_xll.BDH("AMGN US Equity","OPER_MARGIN","FQ2 2022","FQ2 2022","Currency=USD","Period=FQ","BEST_FPERIOD_OVERRIDE=FQ","FILING_STATUS=MR","FA_ADJUSTED=Adjusted","Sort=A","Dates=H","DateFormat=P","Fill=—","Direction=H","UseDPDF=Y")</f>
        <v>50.576300000000003</v>
      </c>
      <c r="P67" s="14">
        <f>_xll.BDH("AMGN US Equity","OPER_MARGIN","FQ3 2022","FQ3 2022","Currency=USD","Period=FQ","BEST_FPERIOD_OVERRIDE=FQ","FILING_STATUS=MR","FA_ADJUSTED=Adjusted","Sort=A","Dates=H","DateFormat=P","Fill=—","Direction=H","UseDPDF=Y")</f>
        <v>40.063099999999999</v>
      </c>
      <c r="Q67" s="14">
        <f>_xll.BDH("AMGN US Equity","OPER_MARGIN","FQ4 2022","FQ4 2022","Currency=USD","Period=FQ","BEST_FPERIOD_OVERRIDE=FQ","FILING_STATUS=MR","FA_ADJUSTED=Adjusted","Sort=A","Dates=H","DateFormat=P","Fill=—","Direction=H","UseDPDF=Y")</f>
        <v>32.11</v>
      </c>
      <c r="R67" s="14">
        <f>_xll.BDH("AMGN US Equity","OPER_MARGIN","FQ1 2023","FQ1 2023","Currency=USD","Period=FQ","BEST_FPERIOD_OVERRIDE=FQ","FILING_STATUS=MR","FA_ADJUSTED=Adjusted","Sort=A","Dates=H","DateFormat=P","Fill=—","Direction=H","UseDPDF=Y")</f>
        <v>46.207999999999998</v>
      </c>
      <c r="S67" s="14">
        <f>_xll.BDH("AMGN US Equity","OPER_MARGIN","FQ2 2023","FQ2 2023","Currency=USD","Period=FQ","BEST_FPERIOD_OVERRIDE=FQ","FILING_STATUS=MR","FA_ADJUSTED=Adjusted","Sort=A","Dates=H","DateFormat=P","Fill=—","Direction=H","UseDPDF=Y")</f>
        <v>39.020899999999997</v>
      </c>
      <c r="T67" s="14">
        <f>_xll.BDH("AMGN US Equity","OPER_MARGIN","FQ3 2023","FQ3 2023","Currency=USD","Period=FQ","BEST_FPERIOD_OVERRIDE=FQ","FILING_STATUS=MR","FA_ADJUSTED=Adjusted","Sort=A","Dates=H","DateFormat=P","Fill=—","Direction=H","UseDPDF=Y")</f>
        <v>38.881599999999999</v>
      </c>
      <c r="U67" s="14">
        <f>_xll.BDH("AMGN US Equity","OPER_MARGIN","FQ4 2023","FQ4 2023","Currency=USD","Period=FQ","BEST_FPERIOD_OVERRIDE=FQ","FILING_STATUS=MR","FA_ADJUSTED=Adjusted","Sort=A","Dates=H","DateFormat=P","Fill=—","Direction=H","UseDPDF=Y")</f>
        <v>21.9375</v>
      </c>
      <c r="V67" s="14">
        <f>_xll.BDH("AMGN US Equity","OPER_MARGIN","FQ1 2024","FQ1 2024","Currency=USD","Period=FQ","BEST_FPERIOD_OVERRIDE=FQ","FILING_STATUS=MR","FA_ADJUSTED=Adjusted","Sort=A","Dates=H","DateFormat=P","Fill=—","Direction=H","UseDPDF=Y")</f>
        <v>14.7173</v>
      </c>
      <c r="W67" s="14">
        <f>_xll.BDH("AMGN US Equity","OPER_MARGIN","FQ2 2024","FQ2 2024","Currency=USD","Period=FQ","BEST_FPERIOD_OVERRIDE=FQ","FILING_STATUS=MR","FA_ADJUSTED=Adjusted","Sort=A","Dates=H","DateFormat=P","Fill=—","Direction=H","UseDPDF=Y")</f>
        <v>24.356200000000001</v>
      </c>
      <c r="X67" s="14">
        <f>_xll.BDH("AMGN US Equity","OPER_MARGIN","FQ3 2024","FQ3 2024","Currency=USD","Period=FQ","BEST_FPERIOD_OVERRIDE=FQ","FILING_STATUS=MR","FA_ADJUSTED=Adjusted","Sort=A","Dates=H","DateFormat=P","Fill=—","Direction=H","UseDPDF=Y")</f>
        <v>25.732099999999999</v>
      </c>
      <c r="Y67" s="14">
        <f>_xll.BDH("AMGN US Equity","OPER_MARGIN","FQ4 2024","FQ4 2024","Currency=USD","Period=FQ","BEST_FPERIOD_OVERRIDE=FQ","FILING_STATUS=MR","FA_ADJUSTED=Adjusted","Sort=A","Dates=H","DateFormat=P","Fill=—","Direction=H","UseDPDF=Y")</f>
        <v>27.041599999999999</v>
      </c>
      <c r="Z67" s="14">
        <v>41.230238320656802</v>
      </c>
      <c r="AA67" s="14">
        <v>44.9401195578615</v>
      </c>
    </row>
    <row r="68" spans="1:27" x14ac:dyDescent="0.25">
      <c r="A68" s="10" t="s">
        <v>395</v>
      </c>
      <c r="B68" s="10" t="s">
        <v>396</v>
      </c>
      <c r="C68" s="14">
        <f>_xll.BDH("AMGN US Equity","PROF_MARGIN","FQ2 2019","FQ2 2019","Currency=USD","Period=FQ","BEST_FPERIOD_OVERRIDE=FQ","FILING_STATUS=MR","FA_ADJUSTED=Adjusted","Sort=A","Dates=H","DateFormat=P","Fill=—","Direction=H","UseDPDF=Y")</f>
        <v>37.3992</v>
      </c>
      <c r="D68" s="14">
        <f>_xll.BDH("AMGN US Equity","PROF_MARGIN","FQ3 2019","FQ3 2019","Currency=USD","Period=FQ","BEST_FPERIOD_OVERRIDE=FQ","FILING_STATUS=MR","FA_ADJUSTED=Adjusted","Sort=A","Dates=H","DateFormat=P","Fill=—","Direction=H","UseDPDF=Y")</f>
        <v>34.443100000000001</v>
      </c>
      <c r="E68" s="14">
        <f>_xll.BDH("AMGN US Equity","PROF_MARGIN","FQ4 2019","FQ4 2019","Currency=USD","Period=FQ","BEST_FPERIOD_OVERRIDE=FQ","FILING_STATUS=MR","FA_ADJUSTED=Adjusted","Sort=A","Dates=H","DateFormat=P","Fill=—","Direction=H","UseDPDF=Y")</f>
        <v>28.4071</v>
      </c>
      <c r="F68" s="14">
        <f>_xll.BDH("AMGN US Equity","PROF_MARGIN","FQ1 2020","FQ1 2020","Currency=USD","Period=FQ","BEST_FPERIOD_OVERRIDE=FQ","FILING_STATUS=MR","FA_ADJUSTED=Adjusted","Sort=A","Dates=H","DateFormat=P","Fill=—","Direction=H","UseDPDF=Y")</f>
        <v>29.959399999999999</v>
      </c>
      <c r="G68" s="14">
        <f>_xll.BDH("AMGN US Equity","PROF_MARGIN","FQ2 2020","FQ2 2020","Currency=USD","Period=FQ","BEST_FPERIOD_OVERRIDE=FQ","FILING_STATUS=MR","FA_ADJUSTED=Adjusted","Sort=A","Dates=H","DateFormat=P","Fill=—","Direction=H","UseDPDF=Y")</f>
        <v>30.221299999999999</v>
      </c>
      <c r="H68" s="14">
        <f>_xll.BDH("AMGN US Equity","PROF_MARGIN","FQ3 2020","FQ3 2020","Currency=USD","Period=FQ","BEST_FPERIOD_OVERRIDE=FQ","FILING_STATUS=MR","FA_ADJUSTED=Adjusted","Sort=A","Dates=H","DateFormat=P","Fill=—","Direction=H","UseDPDF=Y")</f>
        <v>40.011899999999997</v>
      </c>
      <c r="I68" s="14">
        <f>_xll.BDH("AMGN US Equity","PROF_MARGIN","FQ4 2020","FQ4 2020","Currency=USD","Period=FQ","BEST_FPERIOD_OVERRIDE=FQ","FILING_STATUS=MR","FA_ADJUSTED=Adjusted","Sort=A","Dates=H","DateFormat=P","Fill=—","Direction=H","UseDPDF=Y")</f>
        <v>25.0839</v>
      </c>
      <c r="J68" s="14">
        <f>_xll.BDH("AMGN US Equity","PROF_MARGIN","FQ1 2021","FQ1 2021","Currency=USD","Period=FQ","BEST_FPERIOD_OVERRIDE=FQ","FILING_STATUS=MR","FA_ADJUSTED=Adjusted","Sort=A","Dates=H","DateFormat=P","Fill=—","Direction=H","UseDPDF=Y")</f>
        <v>35.768599999999999</v>
      </c>
      <c r="K68" s="14">
        <f>_xll.BDH("AMGN US Equity","PROF_MARGIN","FQ2 2021","FQ2 2021","Currency=USD","Period=FQ","BEST_FPERIOD_OVERRIDE=FQ","FILING_STATUS=MR","FA_ADJUSTED=Adjusted","Sort=A","Dates=H","DateFormat=P","Fill=—","Direction=H","UseDPDF=Y")</f>
        <v>38.078499999999998</v>
      </c>
      <c r="L68" s="14">
        <f>_xll.BDH("AMGN US Equity","PROF_MARGIN","FQ3 2021","FQ3 2021","Currency=USD","Period=FQ","BEST_FPERIOD_OVERRIDE=FQ","FILING_STATUS=MR","FA_ADJUSTED=Adjusted","Sort=A","Dates=H","DateFormat=P","Fill=—","Direction=H","UseDPDF=Y")</f>
        <v>25.485399999999998</v>
      </c>
      <c r="M68" s="14">
        <f>_xll.BDH("AMGN US Equity","PROF_MARGIN","FQ4 2021","FQ4 2021","Currency=USD","Period=FQ","BEST_FPERIOD_OVERRIDE=FQ","FILING_STATUS=MR","FA_ADJUSTED=Adjusted","Sort=A","Dates=H","DateFormat=P","Fill=—","Direction=H","UseDPDF=Y")</f>
        <v>27.231300000000001</v>
      </c>
      <c r="N68" s="14">
        <f>_xll.BDH("AMGN US Equity","PROF_MARGIN","FQ1 2022","FQ1 2022","Currency=USD","Period=FQ","BEST_FPERIOD_OVERRIDE=FQ","FILING_STATUS=MR","FA_ADJUSTED=Adjusted","Sort=A","Dates=H","DateFormat=P","Fill=—","Direction=H","UseDPDF=Y")</f>
        <v>36.942</v>
      </c>
      <c r="O68" s="14">
        <f>_xll.BDH("AMGN US Equity","PROF_MARGIN","FQ2 2022","FQ2 2022","Currency=USD","Period=FQ","BEST_FPERIOD_OVERRIDE=FQ","FILING_STATUS=MR","FA_ADJUSTED=Adjusted","Sort=A","Dates=H","DateFormat=P","Fill=—","Direction=H","UseDPDF=Y")</f>
        <v>37.209499999999998</v>
      </c>
      <c r="P68" s="14">
        <f>_xll.BDH("AMGN US Equity","PROF_MARGIN","FQ3 2022","FQ3 2022","Currency=USD","Period=FQ","BEST_FPERIOD_OVERRIDE=FQ","FILING_STATUS=MR","FA_ADJUSTED=Adjusted","Sort=A","Dates=H","DateFormat=P","Fill=—","Direction=H","UseDPDF=Y")</f>
        <v>30.478300000000001</v>
      </c>
      <c r="Q68" s="14">
        <f>_xll.BDH("AMGN US Equity","PROF_MARGIN","FQ4 2022","FQ4 2022","Currency=USD","Period=FQ","BEST_FPERIOD_OVERRIDE=FQ","FILING_STATUS=MR","FA_ADJUSTED=Adjusted","Sort=A","Dates=H","DateFormat=P","Fill=—","Direction=H","UseDPDF=Y")</f>
        <v>22.124300000000002</v>
      </c>
      <c r="R68" s="14">
        <f>_xll.BDH("AMGN US Equity","PROF_MARGIN","FQ1 2023","FQ1 2023","Currency=USD","Period=FQ","BEST_FPERIOD_OVERRIDE=FQ","FILING_STATUS=MR","FA_ADJUSTED=Adjusted","Sort=A","Dates=H","DateFormat=P","Fill=—","Direction=H","UseDPDF=Y")</f>
        <v>33.153199999999998</v>
      </c>
      <c r="S68" s="14">
        <f>_xll.BDH("AMGN US Equity","PROF_MARGIN","FQ2 2023","FQ2 2023","Currency=USD","Period=FQ","BEST_FPERIOD_OVERRIDE=FQ","FILING_STATUS=MR","FA_ADJUSTED=Adjusted","Sort=A","Dates=H","DateFormat=P","Fill=—","Direction=H","UseDPDF=Y")</f>
        <v>26.5093</v>
      </c>
      <c r="T68" s="14">
        <f>_xll.BDH("AMGN US Equity","PROF_MARGIN","FQ3 2023","FQ3 2023","Currency=USD","Period=FQ","BEST_FPERIOD_OVERRIDE=FQ","FILING_STATUS=MR","FA_ADJUSTED=Adjusted","Sort=A","Dates=H","DateFormat=P","Fill=—","Direction=H","UseDPDF=Y")</f>
        <v>30.116099999999999</v>
      </c>
      <c r="U68" s="14">
        <f>_xll.BDH("AMGN US Equity","PROF_MARGIN","FQ4 2023","FQ4 2023","Currency=USD","Period=FQ","BEST_FPERIOD_OVERRIDE=FQ","FILING_STATUS=MR","FA_ADJUSTED=Adjusted","Sort=A","Dates=H","DateFormat=P","Fill=—","Direction=H","UseDPDF=Y")</f>
        <v>12.3398</v>
      </c>
      <c r="V68" s="14">
        <f>_xll.BDH("AMGN US Equity","PROF_MARGIN","FQ1 2024","FQ1 2024","Currency=USD","Period=FQ","BEST_FPERIOD_OVERRIDE=FQ","FILING_STATUS=MR","FA_ADJUSTED=Adjusted","Sort=A","Dates=H","DateFormat=P","Fill=—","Direction=H","UseDPDF=Y")</f>
        <v>5.8007999999999997</v>
      </c>
      <c r="W68" s="14">
        <f>_xll.BDH("AMGN US Equity","PROF_MARGIN","FQ2 2024","FQ2 2024","Currency=USD","Period=FQ","BEST_FPERIOD_OVERRIDE=FQ","FILING_STATUS=MR","FA_ADJUSTED=Adjusted","Sort=A","Dates=H","DateFormat=P","Fill=—","Direction=H","UseDPDF=Y")</f>
        <v>14.396599999999999</v>
      </c>
      <c r="X68" s="14">
        <f>_xll.BDH("AMGN US Equity","PROF_MARGIN","FQ3 2024","FQ3 2024","Currency=USD","Period=FQ","BEST_FPERIOD_OVERRIDE=FQ","FILING_STATUS=MR","FA_ADJUSTED=Adjusted","Sort=A","Dates=H","DateFormat=P","Fill=—","Direction=H","UseDPDF=Y")</f>
        <v>24.033999999999999</v>
      </c>
      <c r="Y68" s="14">
        <f>_xll.BDH("AMGN US Equity","PROF_MARGIN","FQ4 2024","FQ4 2024","Currency=USD","Period=FQ","BEST_FPERIOD_OVERRIDE=FQ","FILING_STATUS=MR","FA_ADJUSTED=Adjusted","Sort=A","Dates=H","DateFormat=P","Fill=—","Direction=H","UseDPDF=Y")</f>
        <v>14.3871</v>
      </c>
      <c r="Z68" s="14">
        <v>27.4586256347614</v>
      </c>
      <c r="AA68" s="14">
        <v>31.278750281976102</v>
      </c>
    </row>
    <row r="69" spans="1:27" x14ac:dyDescent="0.25">
      <c r="A69" s="10" t="s">
        <v>397</v>
      </c>
      <c r="B69" s="10" t="s">
        <v>398</v>
      </c>
      <c r="C69" s="14" t="str">
        <f>_xll.BDH("AMGN US Equity","ACTUAL_SALES_PER_EMPL","FQ2 2019","FQ2 2019","Currency=USD","Period=FQ","BEST_FPERIOD_OVERRIDE=FQ","FILING_STATUS=MR","FA_ADJUSTED=Adjusted","Sort=A","Dates=H","DateFormat=P","Fill=—","Direction=H","UseDPDF=Y")</f>
        <v>—</v>
      </c>
      <c r="D69" s="14" t="str">
        <f>_xll.BDH("AMGN US Equity","ACTUAL_SALES_PER_EMPL","FQ3 2019","FQ3 2019","Currency=USD","Period=FQ","BEST_FPERIOD_OVERRIDE=FQ","FILING_STATUS=MR","FA_ADJUSTED=Adjusted","Sort=A","Dates=H","DateFormat=P","Fill=—","Direction=H","UseDPDF=Y")</f>
        <v>—</v>
      </c>
      <c r="E69" s="14">
        <f>_xll.BDH("AMGN US Equity","ACTUAL_SALES_PER_EMPL","FQ4 2019","FQ4 2019","Currency=USD","Period=FQ","BEST_FPERIOD_OVERRIDE=FQ","FILING_STATUS=MR","FA_ADJUSTED=Adjusted","Sort=A","Dates=H","DateFormat=P","Fill=—","Direction=H","UseDPDF=Y")</f>
        <v>264829.05979999999</v>
      </c>
      <c r="F69" s="14" t="str">
        <f>_xll.BDH("AMGN US Equity","ACTUAL_SALES_PER_EMPL","FQ1 2020","FQ1 2020","Currency=USD","Period=FQ","BEST_FPERIOD_OVERRIDE=FQ","FILING_STATUS=MR","FA_ADJUSTED=Adjusted","Sort=A","Dates=H","DateFormat=P","Fill=—","Direction=H","UseDPDF=Y")</f>
        <v>—</v>
      </c>
      <c r="G69" s="14" t="str">
        <f>_xll.BDH("AMGN US Equity","ACTUAL_SALES_PER_EMPL","FQ2 2020","FQ2 2020","Currency=USD","Period=FQ","BEST_FPERIOD_OVERRIDE=FQ","FILING_STATUS=MR","FA_ADJUSTED=Adjusted","Sort=A","Dates=H","DateFormat=P","Fill=—","Direction=H","UseDPDF=Y")</f>
        <v>—</v>
      </c>
      <c r="H69" s="14" t="str">
        <f>_xll.BDH("AMGN US Equity","ACTUAL_SALES_PER_EMPL","FQ3 2020","FQ3 2020","Currency=USD","Period=FQ","BEST_FPERIOD_OVERRIDE=FQ","FILING_STATUS=MR","FA_ADJUSTED=Adjusted","Sort=A","Dates=H","DateFormat=P","Fill=—","Direction=H","UseDPDF=Y")</f>
        <v>—</v>
      </c>
      <c r="I69" s="14">
        <f>_xll.BDH("AMGN US Equity","ACTUAL_SALES_PER_EMPL","FQ4 2020","FQ4 2020","Currency=USD","Period=FQ","BEST_FPERIOD_OVERRIDE=FQ","FILING_STATUS=MR","FA_ADJUSTED=Adjusted","Sort=A","Dates=H","DateFormat=P","Fill=—","Direction=H","UseDPDF=Y")</f>
        <v>274132.23139999999</v>
      </c>
      <c r="J69" s="14" t="str">
        <f>_xll.BDH("AMGN US Equity","ACTUAL_SALES_PER_EMPL","FQ1 2021","FQ1 2021","Currency=USD","Period=FQ","BEST_FPERIOD_OVERRIDE=FQ","FILING_STATUS=MR","FA_ADJUSTED=Adjusted","Sort=A","Dates=H","DateFormat=P","Fill=—","Direction=H","UseDPDF=Y")</f>
        <v>—</v>
      </c>
      <c r="K69" s="14" t="str">
        <f>_xll.BDH("AMGN US Equity","ACTUAL_SALES_PER_EMPL","FQ2 2021","FQ2 2021","Currency=USD","Period=FQ","BEST_FPERIOD_OVERRIDE=FQ","FILING_STATUS=MR","FA_ADJUSTED=Adjusted","Sort=A","Dates=H","DateFormat=P","Fill=—","Direction=H","UseDPDF=Y")</f>
        <v>—</v>
      </c>
      <c r="L69" s="14" t="str">
        <f>_xll.BDH("AMGN US Equity","ACTUAL_SALES_PER_EMPL","FQ3 2021","FQ3 2021","Currency=USD","Period=FQ","BEST_FPERIOD_OVERRIDE=FQ","FILING_STATUS=MR","FA_ADJUSTED=Adjusted","Sort=A","Dates=H","DateFormat=P","Fill=—","Direction=H","UseDPDF=Y")</f>
        <v>—</v>
      </c>
      <c r="M69" s="14">
        <f>_xll.BDH("AMGN US Equity","ACTUAL_SALES_PER_EMPL","FQ4 2021","FQ4 2021","Currency=USD","Period=FQ","BEST_FPERIOD_OVERRIDE=FQ","FILING_STATUS=MR","FA_ADJUSTED=Adjusted","Sort=A","Dates=H","DateFormat=P","Fill=—","Direction=H","UseDPDF=Y")</f>
        <v>282892.56199999998</v>
      </c>
      <c r="N69" s="14" t="str">
        <f>_xll.BDH("AMGN US Equity","ACTUAL_SALES_PER_EMPL","FQ1 2022","FQ1 2022","Currency=USD","Period=FQ","BEST_FPERIOD_OVERRIDE=FQ","FILING_STATUS=MR","FA_ADJUSTED=Adjusted","Sort=A","Dates=H","DateFormat=P","Fill=—","Direction=H","UseDPDF=Y")</f>
        <v>—</v>
      </c>
      <c r="O69" s="14" t="str">
        <f>_xll.BDH("AMGN US Equity","ACTUAL_SALES_PER_EMPL","FQ2 2022","FQ2 2022","Currency=USD","Period=FQ","BEST_FPERIOD_OVERRIDE=FQ","FILING_STATUS=MR","FA_ADJUSTED=Adjusted","Sort=A","Dates=H","DateFormat=P","Fill=—","Direction=H","UseDPDF=Y")</f>
        <v>—</v>
      </c>
      <c r="P69" s="14" t="str">
        <f>_xll.BDH("AMGN US Equity","ACTUAL_SALES_PER_EMPL","FQ3 2022","FQ3 2022","Currency=USD","Period=FQ","BEST_FPERIOD_OVERRIDE=FQ","FILING_STATUS=MR","FA_ADJUSTED=Adjusted","Sort=A","Dates=H","DateFormat=P","Fill=—","Direction=H","UseDPDF=Y")</f>
        <v>—</v>
      </c>
      <c r="Q69" s="14">
        <f>_xll.BDH("AMGN US Equity","ACTUAL_SALES_PER_EMPL","FQ4 2022","FQ4 2022","Currency=USD","Period=FQ","BEST_FPERIOD_OVERRIDE=FQ","FILING_STATUS=MR","FA_ADJUSTED=Adjusted","Sort=A","Dates=H","DateFormat=P","Fill=—","Direction=H","UseDPDF=Y")</f>
        <v>271388.88890000002</v>
      </c>
      <c r="R69" s="14" t="str">
        <f>_xll.BDH("AMGN US Equity","ACTUAL_SALES_PER_EMPL","FQ1 2023","FQ1 2023","Currency=USD","Period=FQ","BEST_FPERIOD_OVERRIDE=FQ","FILING_STATUS=MR","FA_ADJUSTED=Adjusted","Sort=A","Dates=H","DateFormat=P","Fill=—","Direction=H","UseDPDF=Y")</f>
        <v>—</v>
      </c>
      <c r="S69" s="14" t="str">
        <f>_xll.BDH("AMGN US Equity","ACTUAL_SALES_PER_EMPL","FQ2 2023","FQ2 2023","Currency=USD","Period=FQ","BEST_FPERIOD_OVERRIDE=FQ","FILING_STATUS=MR","FA_ADJUSTED=Adjusted","Sort=A","Dates=H","DateFormat=P","Fill=—","Direction=H","UseDPDF=Y")</f>
        <v>—</v>
      </c>
      <c r="T69" s="14" t="str">
        <f>_xll.BDH("AMGN US Equity","ACTUAL_SALES_PER_EMPL","FQ3 2023","FQ3 2023","Currency=USD","Period=FQ","BEST_FPERIOD_OVERRIDE=FQ","FILING_STATUS=MR","FA_ADJUSTED=Adjusted","Sort=A","Dates=H","DateFormat=P","Fill=—","Direction=H","UseDPDF=Y")</f>
        <v>—</v>
      </c>
      <c r="U69" s="14">
        <f>_xll.BDH("AMGN US Equity","ACTUAL_SALES_PER_EMPL","FQ4 2023","FQ4 2023","Currency=USD","Period=FQ","BEST_FPERIOD_OVERRIDE=FQ","FILING_STATUS=MR","FA_ADJUSTED=Adjusted","Sort=A","Dates=H","DateFormat=P","Fill=—","Direction=H","UseDPDF=Y")</f>
        <v>306966.29210000002</v>
      </c>
      <c r="V69" s="14" t="str">
        <f>_xll.BDH("AMGN US Equity","ACTUAL_SALES_PER_EMPL","FQ1 2024","FQ1 2024","Currency=USD","Period=FQ","BEST_FPERIOD_OVERRIDE=FQ","FILING_STATUS=MR","FA_ADJUSTED=Adjusted","Sort=A","Dates=H","DateFormat=P","Fill=—","Direction=H","UseDPDF=Y")</f>
        <v>—</v>
      </c>
      <c r="W69" s="14" t="str">
        <f>_xll.BDH("AMGN US Equity","ACTUAL_SALES_PER_EMPL","FQ2 2024","FQ2 2024","Currency=USD","Period=FQ","BEST_FPERIOD_OVERRIDE=FQ","FILING_STATUS=MR","FA_ADJUSTED=Adjusted","Sort=A","Dates=H","DateFormat=P","Fill=—","Direction=H","UseDPDF=Y")</f>
        <v>—</v>
      </c>
      <c r="X69" s="14" t="str">
        <f>_xll.BDH("AMGN US Equity","ACTUAL_SALES_PER_EMPL","FQ3 2024","FQ3 2024","Currency=USD","Period=FQ","BEST_FPERIOD_OVERRIDE=FQ","FILING_STATUS=MR","FA_ADJUSTED=Adjusted","Sort=A","Dates=H","DateFormat=P","Fill=—","Direction=H","UseDPDF=Y")</f>
        <v>—</v>
      </c>
      <c r="Y69" s="14">
        <f>_xll.BDH("AMGN US Equity","ACTUAL_SALES_PER_EMPL","FQ4 2024","FQ4 2024","Currency=USD","Period=FQ","BEST_FPERIOD_OVERRIDE=FQ","FILING_STATUS=MR","FA_ADJUSTED=Adjusted","Sort=A","Dates=H","DateFormat=P","Fill=—","Direction=H","UseDPDF=Y")</f>
        <v>324500</v>
      </c>
      <c r="Z69" s="14"/>
      <c r="AA69" s="14"/>
    </row>
    <row r="70" spans="1:27" x14ac:dyDescent="0.25">
      <c r="A70" s="10" t="s">
        <v>399</v>
      </c>
      <c r="B70" s="10" t="s">
        <v>269</v>
      </c>
      <c r="C70" s="14">
        <f>_xll.BDH("AMGN US Equity","EQY_DPS","FQ2 2019","FQ2 2019","Currency=USD","Period=FQ","BEST_FPERIOD_OVERRIDE=FQ","FILING_STATUS=MR","Sort=A","Dates=H","DateFormat=P","Fill=—","Direction=H","UseDPDF=Y")</f>
        <v>1.45</v>
      </c>
      <c r="D70" s="14">
        <f>_xll.BDH("AMGN US Equity","EQY_DPS","FQ3 2019","FQ3 2019","Currency=USD","Period=FQ","BEST_FPERIOD_OVERRIDE=FQ","FILING_STATUS=MR","Sort=A","Dates=H","DateFormat=P","Fill=—","Direction=H","UseDPDF=Y")</f>
        <v>1.45</v>
      </c>
      <c r="E70" s="14">
        <f>_xll.BDH("AMGN US Equity","EQY_DPS","FQ4 2019","FQ4 2019","Currency=USD","Period=FQ","BEST_FPERIOD_OVERRIDE=FQ","FILING_STATUS=MR","Sort=A","Dates=H","DateFormat=P","Fill=—","Direction=H","UseDPDF=Y")</f>
        <v>1.45</v>
      </c>
      <c r="F70" s="14">
        <f>_xll.BDH("AMGN US Equity","EQY_DPS","FQ1 2020","FQ1 2020","Currency=USD","Period=FQ","BEST_FPERIOD_OVERRIDE=FQ","FILING_STATUS=MR","Sort=A","Dates=H","DateFormat=P","Fill=—","Direction=H","UseDPDF=Y")</f>
        <v>1.6</v>
      </c>
      <c r="G70" s="14">
        <f>_xll.BDH("AMGN US Equity","EQY_DPS","FQ2 2020","FQ2 2020","Currency=USD","Period=FQ","BEST_FPERIOD_OVERRIDE=FQ","FILING_STATUS=MR","Sort=A","Dates=H","DateFormat=P","Fill=—","Direction=H","UseDPDF=Y")</f>
        <v>1.6</v>
      </c>
      <c r="H70" s="14">
        <f>_xll.BDH("AMGN US Equity","EQY_DPS","FQ3 2020","FQ3 2020","Currency=USD","Period=FQ","BEST_FPERIOD_OVERRIDE=FQ","FILING_STATUS=MR","Sort=A","Dates=H","DateFormat=P","Fill=—","Direction=H","UseDPDF=Y")</f>
        <v>1.6</v>
      </c>
      <c r="I70" s="14">
        <f>_xll.BDH("AMGN US Equity","EQY_DPS","FQ4 2020","FQ4 2020","Currency=USD","Period=FQ","BEST_FPERIOD_OVERRIDE=FQ","FILING_STATUS=MR","Sort=A","Dates=H","DateFormat=P","Fill=—","Direction=H","UseDPDF=Y")</f>
        <v>1.6</v>
      </c>
      <c r="J70" s="14">
        <f>_xll.BDH("AMGN US Equity","EQY_DPS","FQ1 2021","FQ1 2021","Currency=USD","Period=FQ","BEST_FPERIOD_OVERRIDE=FQ","FILING_STATUS=MR","Sort=A","Dates=H","DateFormat=P","Fill=—","Direction=H","UseDPDF=Y")</f>
        <v>1.76</v>
      </c>
      <c r="K70" s="14">
        <f>_xll.BDH("AMGN US Equity","EQY_DPS","FQ2 2021","FQ2 2021","Currency=USD","Period=FQ","BEST_FPERIOD_OVERRIDE=FQ","FILING_STATUS=MR","Sort=A","Dates=H","DateFormat=P","Fill=—","Direction=H","UseDPDF=Y")</f>
        <v>1.76</v>
      </c>
      <c r="L70" s="14">
        <f>_xll.BDH("AMGN US Equity","EQY_DPS","FQ3 2021","FQ3 2021","Currency=USD","Period=FQ","BEST_FPERIOD_OVERRIDE=FQ","FILING_STATUS=MR","Sort=A","Dates=H","DateFormat=P","Fill=—","Direction=H","UseDPDF=Y")</f>
        <v>1.76</v>
      </c>
      <c r="M70" s="14">
        <f>_xll.BDH("AMGN US Equity","EQY_DPS","FQ4 2021","FQ4 2021","Currency=USD","Period=FQ","BEST_FPERIOD_OVERRIDE=FQ","FILING_STATUS=MR","Sort=A","Dates=H","DateFormat=P","Fill=—","Direction=H","UseDPDF=Y")</f>
        <v>1.76</v>
      </c>
      <c r="N70" s="14">
        <f>_xll.BDH("AMGN US Equity","EQY_DPS","FQ1 2022","FQ1 2022","Currency=USD","Period=FQ","BEST_FPERIOD_OVERRIDE=FQ","FILING_STATUS=MR","Sort=A","Dates=H","DateFormat=P","Fill=—","Direction=H","UseDPDF=Y")</f>
        <v>1.94</v>
      </c>
      <c r="O70" s="14">
        <f>_xll.BDH("AMGN US Equity","EQY_DPS","FQ2 2022","FQ2 2022","Currency=USD","Period=FQ","BEST_FPERIOD_OVERRIDE=FQ","FILING_STATUS=MR","Sort=A","Dates=H","DateFormat=P","Fill=—","Direction=H","UseDPDF=Y")</f>
        <v>1.94</v>
      </c>
      <c r="P70" s="14">
        <f>_xll.BDH("AMGN US Equity","EQY_DPS","FQ3 2022","FQ3 2022","Currency=USD","Period=FQ","BEST_FPERIOD_OVERRIDE=FQ","FILING_STATUS=MR","Sort=A","Dates=H","DateFormat=P","Fill=—","Direction=H","UseDPDF=Y")</f>
        <v>1.94</v>
      </c>
      <c r="Q70" s="14">
        <f>_xll.BDH("AMGN US Equity","EQY_DPS","FQ4 2022","FQ4 2022","Currency=USD","Period=FQ","BEST_FPERIOD_OVERRIDE=FQ","FILING_STATUS=MR","Sort=A","Dates=H","DateFormat=P","Fill=—","Direction=H","UseDPDF=Y")</f>
        <v>1.94</v>
      </c>
      <c r="R70" s="14">
        <f>_xll.BDH("AMGN US Equity","EQY_DPS","FQ1 2023","FQ1 2023","Currency=USD","Period=FQ","BEST_FPERIOD_OVERRIDE=FQ","FILING_STATUS=MR","Sort=A","Dates=H","DateFormat=P","Fill=—","Direction=H","UseDPDF=Y")</f>
        <v>2.13</v>
      </c>
      <c r="S70" s="14">
        <f>_xll.BDH("AMGN US Equity","EQY_DPS","FQ2 2023","FQ2 2023","Currency=USD","Period=FQ","BEST_FPERIOD_OVERRIDE=FQ","FILING_STATUS=MR","Sort=A","Dates=H","DateFormat=P","Fill=—","Direction=H","UseDPDF=Y")</f>
        <v>2.13</v>
      </c>
      <c r="T70" s="14">
        <f>_xll.BDH("AMGN US Equity","EQY_DPS","FQ3 2023","FQ3 2023","Currency=USD","Period=FQ","BEST_FPERIOD_OVERRIDE=FQ","FILING_STATUS=MR","Sort=A","Dates=H","DateFormat=P","Fill=—","Direction=H","UseDPDF=Y")</f>
        <v>2.13</v>
      </c>
      <c r="U70" s="14">
        <f>_xll.BDH("AMGN US Equity","EQY_DPS","FQ4 2023","FQ4 2023","Currency=USD","Period=FQ","BEST_FPERIOD_OVERRIDE=FQ","FILING_STATUS=MR","Sort=A","Dates=H","DateFormat=P","Fill=—","Direction=H","UseDPDF=Y")</f>
        <v>2.13</v>
      </c>
      <c r="V70" s="14">
        <f>_xll.BDH("AMGN US Equity","EQY_DPS","FQ1 2024","FQ1 2024","Currency=USD","Period=FQ","BEST_FPERIOD_OVERRIDE=FQ","FILING_STATUS=MR","Sort=A","Dates=H","DateFormat=P","Fill=—","Direction=H","UseDPDF=Y")</f>
        <v>2.25</v>
      </c>
      <c r="W70" s="14">
        <f>_xll.BDH("AMGN US Equity","EQY_DPS","FQ2 2024","FQ2 2024","Currency=USD","Period=FQ","BEST_FPERIOD_OVERRIDE=FQ","FILING_STATUS=MR","Sort=A","Dates=H","DateFormat=P","Fill=—","Direction=H","UseDPDF=Y")</f>
        <v>2.25</v>
      </c>
      <c r="X70" s="14">
        <f>_xll.BDH("AMGN US Equity","EQY_DPS","FQ3 2024","FQ3 2024","Currency=USD","Period=FQ","BEST_FPERIOD_OVERRIDE=FQ","FILING_STATUS=MR","Sort=A","Dates=H","DateFormat=P","Fill=—","Direction=H","UseDPDF=Y")</f>
        <v>2.25</v>
      </c>
      <c r="Y70" s="14">
        <f>_xll.BDH("AMGN US Equity","EQY_DPS","FQ4 2024","FQ4 2024","Currency=USD","Period=FQ","BEST_FPERIOD_OVERRIDE=FQ","FILING_STATUS=MR","Sort=A","Dates=H","DateFormat=P","Fill=—","Direction=H","UseDPDF=Y")</f>
        <v>2.25</v>
      </c>
      <c r="Z70" s="14">
        <v>2.4359999999999999</v>
      </c>
      <c r="AA70" s="14">
        <v>2.3820000000000001</v>
      </c>
    </row>
    <row r="71" spans="1:27" x14ac:dyDescent="0.25">
      <c r="A71" s="10" t="s">
        <v>400</v>
      </c>
      <c r="B71" s="10" t="s">
        <v>401</v>
      </c>
      <c r="C71" s="13">
        <f>_xll.BDH("AMGN US Equity","IS_TOT_CASH_COM_DVD","FQ2 2019","FQ2 2019","Currency=USD","Period=FQ","BEST_FPERIOD_OVERRIDE=FQ","FILING_STATUS=MR","SCALING_FORMAT=MLN","Sort=A","Dates=H","DateFormat=P","Fill=—","Direction=H","UseDPDF=Y")</f>
        <v>900</v>
      </c>
      <c r="D71" s="13">
        <f>_xll.BDH("AMGN US Equity","IS_TOT_CASH_COM_DVD","FQ3 2019","FQ3 2019","Currency=USD","Period=FQ","BEST_FPERIOD_OVERRIDE=FQ","FILING_STATUS=MR","SCALING_FORMAT=MLN","Sort=A","Dates=H","DateFormat=P","Fill=—","Direction=H","UseDPDF=Y")</f>
        <v>900</v>
      </c>
      <c r="E71" s="13">
        <f>_xll.BDH("AMGN US Equity","IS_TOT_CASH_COM_DVD","FQ4 2019","FQ4 2019","Currency=USD","Period=FQ","BEST_FPERIOD_OVERRIDE=FQ","FILING_STATUS=MR","SCALING_FORMAT=MLN","Sort=A","Dates=H","DateFormat=P","Fill=—","Direction=H","UseDPDF=Y")</f>
        <v>900</v>
      </c>
      <c r="F71" s="13">
        <f>_xll.BDH("AMGN US Equity","IS_TOT_CASH_COM_DVD","FQ1 2020","FQ1 2020","Currency=USD","Period=FQ","BEST_FPERIOD_OVERRIDE=FQ","FILING_STATUS=MR","SCALING_FORMAT=MLN","Sort=A","Dates=H","DateFormat=P","Fill=—","Direction=H","UseDPDF=Y")</f>
        <v>945</v>
      </c>
      <c r="G71" s="13">
        <f>_xll.BDH("AMGN US Equity","IS_TOT_CASH_COM_DVD","FQ2 2020","FQ2 2020","Currency=USD","Period=FQ","BEST_FPERIOD_OVERRIDE=FQ","FILING_STATUS=MR","SCALING_FORMAT=MLN","Sort=A","Dates=H","DateFormat=P","Fill=—","Direction=H","UseDPDF=Y")</f>
        <v>900</v>
      </c>
      <c r="H71" s="13">
        <f>_xll.BDH("AMGN US Equity","IS_TOT_CASH_COM_DVD","FQ3 2020","FQ3 2020","Currency=USD","Period=FQ","BEST_FPERIOD_OVERRIDE=FQ","FILING_STATUS=MR","SCALING_FORMAT=MLN","Sort=A","Dates=H","DateFormat=P","Fill=—","Direction=H","UseDPDF=Y")</f>
        <v>936</v>
      </c>
      <c r="I71" s="13">
        <f>_xll.BDH("AMGN US Equity","IS_TOT_CASH_COM_DVD","FQ4 2020","FQ4 2020","Currency=USD","Period=FQ","BEST_FPERIOD_OVERRIDE=FQ","FILING_STATUS=MR","SCALING_FORMAT=MLN","Sort=A","Dates=H","DateFormat=P","Fill=—","Direction=H","UseDPDF=Y")</f>
        <v>900</v>
      </c>
      <c r="J71" s="13">
        <f>_xll.BDH("AMGN US Equity","IS_TOT_CASH_COM_DVD","FQ1 2021","FQ1 2021","Currency=USD","Period=FQ","BEST_FPERIOD_OVERRIDE=FQ","FILING_STATUS=MR","SCALING_FORMAT=MLN","Sort=A","Dates=H","DateFormat=P","Fill=—","Direction=H","UseDPDF=Y")</f>
        <v>1000</v>
      </c>
      <c r="K71" s="13">
        <f>_xll.BDH("AMGN US Equity","IS_TOT_CASH_COM_DVD","FQ2 2021","FQ2 2021","Currency=USD","Period=FQ","BEST_FPERIOD_OVERRIDE=FQ","FILING_STATUS=MR","SCALING_FORMAT=MLN","Sort=A","Dates=H","DateFormat=P","Fill=—","Direction=H","UseDPDF=Y")</f>
        <v>1000</v>
      </c>
      <c r="L71" s="13">
        <f>_xll.BDH("AMGN US Equity","IS_TOT_CASH_COM_DVD","FQ3 2021","FQ3 2021","Currency=USD","Period=FQ","BEST_FPERIOD_OVERRIDE=FQ","FILING_STATUS=MR","SCALING_FORMAT=MLN","Sort=A","Dates=H","DateFormat=P","Fill=—","Direction=H","UseDPDF=Y")</f>
        <v>997.92</v>
      </c>
      <c r="M71" s="13">
        <f>_xll.BDH("AMGN US Equity","IS_TOT_CASH_COM_DVD","FQ4 2021","FQ4 2021","Currency=USD","Period=FQ","BEST_FPERIOD_OVERRIDE=FQ","FILING_STATUS=MR","SCALING_FORMAT=MLN","Sort=A","Dates=H","DateFormat=P","Fill=—","Direction=H","UseDPDF=Y")</f>
        <v>1000</v>
      </c>
      <c r="N71" s="13">
        <f>_xll.BDH("AMGN US Equity","IS_TOT_CASH_COM_DVD","FQ1 2022","FQ1 2022","Currency=USD","Period=FQ","BEST_FPERIOD_OVERRIDE=FQ","FILING_STATUS=MR","SCALING_FORMAT=MLN","Sort=A","Dates=H","DateFormat=P","Fill=—","Direction=H","UseDPDF=Y")</f>
        <v>1100</v>
      </c>
      <c r="O71" s="13">
        <f>_xll.BDH("AMGN US Equity","IS_TOT_CASH_COM_DVD","FQ2 2022","FQ2 2022","Currency=USD","Period=FQ","BEST_FPERIOD_OVERRIDE=FQ","FILING_STATUS=MR","SCALING_FORMAT=MLN","Sort=A","Dates=H","DateFormat=P","Fill=—","Direction=H","UseDPDF=Y")</f>
        <v>1038</v>
      </c>
      <c r="P71" s="13">
        <f>_xll.BDH("AMGN US Equity","IS_TOT_CASH_COM_DVD","FQ3 2022","FQ3 2022","Currency=USD","Period=FQ","BEST_FPERIOD_OVERRIDE=FQ","FILING_STATUS=MR","SCALING_FORMAT=MLN","Sort=A","Dates=H","DateFormat=P","Fill=—","Direction=H","UseDPDF=Y")</f>
        <v>1037.9000000000001</v>
      </c>
      <c r="Q71" s="13">
        <f>_xll.BDH("AMGN US Equity","IS_TOT_CASH_COM_DVD","FQ4 2022","FQ4 2022","Currency=USD","Period=FQ","BEST_FPERIOD_OVERRIDE=FQ","FILING_STATUS=MR","SCALING_FORMAT=MLN","Sort=A","Dates=H","DateFormat=P","Fill=—","Direction=H","UseDPDF=Y")</f>
        <v>1000</v>
      </c>
      <c r="R71" s="13">
        <f>_xll.BDH("AMGN US Equity","IS_TOT_CASH_COM_DVD","FQ1 2023","FQ1 2023","Currency=USD","Period=FQ","BEST_FPERIOD_OVERRIDE=FQ","FILING_STATUS=MR","SCALING_FORMAT=MLN","Sort=A","Dates=H","DateFormat=P","Fill=—","Direction=H","UseDPDF=Y")</f>
        <v>1100</v>
      </c>
      <c r="S71" s="13">
        <f>_xll.BDH("AMGN US Equity","IS_TOT_CASH_COM_DVD","FQ2 2023","FQ2 2023","Currency=USD","Period=FQ","BEST_FPERIOD_OVERRIDE=FQ","FILING_STATUS=MR","SCALING_FORMAT=MLN","Sort=A","Dates=H","DateFormat=P","Fill=—","Direction=H","UseDPDF=Y")</f>
        <v>1100</v>
      </c>
      <c r="T71" s="13">
        <f>_xll.BDH("AMGN US Equity","IS_TOT_CASH_COM_DVD","FQ3 2023","FQ3 2023","Currency=USD","Period=FQ","BEST_FPERIOD_OVERRIDE=FQ","FILING_STATUS=MR","SCALING_FORMAT=MLN","Sort=A","Dates=H","DateFormat=P","Fill=—","Direction=H","UseDPDF=Y")</f>
        <v>1139.55</v>
      </c>
      <c r="U71" s="13">
        <f>_xll.BDH("AMGN US Equity","IS_TOT_CASH_COM_DVD","FQ4 2023","FQ4 2023","Currency=USD","Period=FQ","BEST_FPERIOD_OVERRIDE=FQ","FILING_STATUS=MR","SCALING_FORMAT=MLN","Sort=A","Dates=H","DateFormat=P","Fill=—","Direction=H","UseDPDF=Y")</f>
        <v>1100</v>
      </c>
      <c r="V71" s="13">
        <f>_xll.BDH("AMGN US Equity","IS_TOT_CASH_COM_DVD","FQ1 2024","FQ1 2024","Currency=USD","Period=FQ","BEST_FPERIOD_OVERRIDE=FQ","FILING_STATUS=MR","SCALING_FORMAT=MLN","Sort=A","Dates=H","DateFormat=P","Fill=—","Direction=H","UseDPDF=Y")</f>
        <v>1208</v>
      </c>
      <c r="W71" s="13">
        <f>_xll.BDH("AMGN US Equity","IS_TOT_CASH_COM_DVD","FQ2 2024","FQ2 2024","Currency=USD","Period=FQ","BEST_FPERIOD_OVERRIDE=FQ","FILING_STATUS=MR","SCALING_FORMAT=MLN","Sort=A","Dates=H","DateFormat=P","Fill=—","Direction=H","UseDPDF=Y")</f>
        <v>1200</v>
      </c>
      <c r="X71" s="13">
        <f>_xll.BDH("AMGN US Equity","IS_TOT_CASH_COM_DVD","FQ3 2024","FQ3 2024","Currency=USD","Period=FQ","BEST_FPERIOD_OVERRIDE=FQ","FILING_STATUS=MR","SCALING_FORMAT=MLN","Sort=A","Dates=H","DateFormat=P","Fill=—","Direction=H","UseDPDF=Y")</f>
        <v>1200</v>
      </c>
      <c r="Y71" s="13">
        <f>_xll.BDH("AMGN US Equity","IS_TOT_CASH_COM_DVD","FQ4 2024","FQ4 2024","Currency=USD","Period=FQ","BEST_FPERIOD_OVERRIDE=FQ","FILING_STATUS=MR","SCALING_FORMAT=MLN","Sort=A","Dates=H","DateFormat=P","Fill=—","Direction=H","UseDPDF=Y")</f>
        <v>1200</v>
      </c>
      <c r="Z71" s="13"/>
      <c r="AA71" s="13"/>
    </row>
    <row r="72" spans="1:27" x14ac:dyDescent="0.25">
      <c r="A72" s="10" t="s">
        <v>402</v>
      </c>
      <c r="B72" s="10" t="s">
        <v>403</v>
      </c>
      <c r="C72" s="13">
        <f>_xll.BDH("AMGN US Equity","IS_DEPR_EXP","FQ2 2019","FQ2 2019","Currency=USD","Period=FQ","BEST_FPERIOD_OVERRIDE=FQ","FILING_STATUS=MR","SCALING_FORMAT=MLN","Sort=A","Dates=H","DateFormat=P","Fill=—","Direction=H","UseDPDF=Y")</f>
        <v>186</v>
      </c>
      <c r="D72" s="13">
        <f>_xll.BDH("AMGN US Equity","IS_DEPR_EXP","FQ3 2019","FQ3 2019","Currency=USD","Period=FQ","BEST_FPERIOD_OVERRIDE=FQ","FILING_STATUS=MR","SCALING_FORMAT=MLN","Sort=A","Dates=H","DateFormat=P","Fill=—","Direction=H","UseDPDF=Y")</f>
        <v>191</v>
      </c>
      <c r="E72" s="13">
        <f>_xll.BDH("AMGN US Equity","IS_DEPR_EXP","FQ4 2019","FQ4 2019","Currency=USD","Period=FQ","BEST_FPERIOD_OVERRIDE=FQ","FILING_STATUS=MR","SCALING_FORMAT=MLN","Sort=A","Dates=H","DateFormat=P","Fill=—","Direction=H","UseDPDF=Y")</f>
        <v>250</v>
      </c>
      <c r="F72" s="13">
        <f>_xll.BDH("AMGN US Equity","IS_DEPR_EXP","FQ1 2020","FQ1 2020","Currency=USD","Period=FQ","BEST_FPERIOD_OVERRIDE=FQ","FILING_STATUS=MR","SCALING_FORMAT=MLN","Sort=A","Dates=H","DateFormat=P","Fill=—","Direction=H","UseDPDF=Y")</f>
        <v>188</v>
      </c>
      <c r="G72" s="13">
        <f>_xll.BDH("AMGN US Equity","IS_DEPR_EXP","FQ2 2020","FQ2 2020","Currency=USD","Period=FQ","BEST_FPERIOD_OVERRIDE=FQ","FILING_STATUS=MR","SCALING_FORMAT=MLN","Sort=A","Dates=H","DateFormat=P","Fill=—","Direction=H","UseDPDF=Y")</f>
        <v>217</v>
      </c>
      <c r="H72" s="13">
        <f>_xll.BDH("AMGN US Equity","IS_DEPR_EXP","FQ3 2020","FQ3 2020","Currency=USD","Period=FQ","BEST_FPERIOD_OVERRIDE=FQ","FILING_STATUS=MR","SCALING_FORMAT=MLN","Sort=A","Dates=H","DateFormat=P","Fill=—","Direction=H","UseDPDF=Y")</f>
        <v>175</v>
      </c>
      <c r="I72" s="13">
        <f>_xll.BDH("AMGN US Equity","IS_DEPR_EXP","FQ4 2020","FQ4 2020","Currency=USD","Period=FQ","BEST_FPERIOD_OVERRIDE=FQ","FILING_STATUS=MR","SCALING_FORMAT=MLN","Sort=A","Dates=H","DateFormat=P","Fill=—","Direction=H","UseDPDF=Y")</f>
        <v>181</v>
      </c>
      <c r="J72" s="13">
        <f>_xll.BDH("AMGN US Equity","IS_DEPR_EXP","FQ1 2021","FQ1 2021","Currency=USD","Period=FQ","BEST_FPERIOD_OVERRIDE=FQ","FILING_STATUS=MR","SCALING_FORMAT=MLN","Sort=A","Dates=H","DateFormat=P","Fill=—","Direction=H","UseDPDF=Y")</f>
        <v>187</v>
      </c>
      <c r="K72" s="13">
        <f>_xll.BDH("AMGN US Equity","IS_DEPR_EXP","FQ2 2021","FQ2 2021","Currency=USD","Period=FQ","BEST_FPERIOD_OVERRIDE=FQ","FILING_STATUS=MR","SCALING_FORMAT=MLN","Sort=A","Dates=H","DateFormat=P","Fill=—","Direction=H","UseDPDF=Y")</f>
        <v>203</v>
      </c>
      <c r="L72" s="13">
        <f>_xll.BDH("AMGN US Equity","IS_DEPR_EXP","FQ3 2021","FQ3 2021","Currency=USD","Period=FQ","BEST_FPERIOD_OVERRIDE=FQ","FILING_STATUS=MR","SCALING_FORMAT=MLN","Sort=A","Dates=H","DateFormat=P","Fill=—","Direction=H","UseDPDF=Y")</f>
        <v>208</v>
      </c>
      <c r="M72" s="13">
        <f>_xll.BDH("AMGN US Equity","IS_DEPR_EXP","FQ4 2021","FQ4 2021","Currency=USD","Period=FQ","BEST_FPERIOD_OVERRIDE=FQ","FILING_STATUS=MR","SCALING_FORMAT=MLN","Sort=A","Dates=H","DateFormat=P","Fill=—","Direction=H","UseDPDF=Y")</f>
        <v>187</v>
      </c>
      <c r="N72" s="13">
        <f>_xll.BDH("AMGN US Equity","IS_DEPR_EXP","FQ1 2022","FQ1 2022","Currency=USD","Period=FQ","BEST_FPERIOD_OVERRIDE=FQ","FILING_STATUS=MR","SCALING_FORMAT=MLN","Sort=A","Dates=H","DateFormat=P","Fill=—","Direction=H","UseDPDF=Y")</f>
        <v>204</v>
      </c>
      <c r="O72" s="13">
        <f>_xll.BDH("AMGN US Equity","IS_DEPR_EXP","FQ2 2022","FQ2 2022","Currency=USD","Period=FQ","BEST_FPERIOD_OVERRIDE=FQ","FILING_STATUS=MR","SCALING_FORMAT=MLN","Sort=A","Dates=H","DateFormat=P","Fill=—","Direction=H","UseDPDF=Y")</f>
        <v>199</v>
      </c>
      <c r="P72" s="13">
        <f>_xll.BDH("AMGN US Equity","IS_DEPR_EXP","FQ3 2022","FQ3 2022","Currency=USD","Period=FQ","BEST_FPERIOD_OVERRIDE=FQ","FILING_STATUS=MR","SCALING_FORMAT=MLN","Sort=A","Dates=H","DateFormat=P","Fill=—","Direction=H","UseDPDF=Y")</f>
        <v>209</v>
      </c>
      <c r="Q72" s="13">
        <f>_xll.BDH("AMGN US Equity","IS_DEPR_EXP","FQ4 2022","FQ4 2022","Currency=USD","Period=FQ","BEST_FPERIOD_OVERRIDE=FQ","FILING_STATUS=MR","SCALING_FORMAT=MLN","Sort=A","Dates=H","DateFormat=P","Fill=—","Direction=H","UseDPDF=Y")</f>
        <v>49</v>
      </c>
      <c r="R72" s="13">
        <f>_xll.BDH("AMGN US Equity","IS_DEPR_EXP","FQ1 2023","FQ1 2023","Currency=USD","Period=FQ","BEST_FPERIOD_OVERRIDE=FQ","FILING_STATUS=MR","SCALING_FORMAT=MLN","Sort=A","Dates=H","DateFormat=P","Fill=—","Direction=H","UseDPDF=Y")</f>
        <v>207</v>
      </c>
      <c r="S72" s="13">
        <f>_xll.BDH("AMGN US Equity","IS_DEPR_EXP","FQ2 2023","FQ2 2023","Currency=USD","Period=FQ","BEST_FPERIOD_OVERRIDE=FQ","FILING_STATUS=MR","SCALING_FORMAT=MLN","Sort=A","Dates=H","DateFormat=P","Fill=—","Direction=H","UseDPDF=Y")</f>
        <v>164</v>
      </c>
      <c r="T72" s="13">
        <f>_xll.BDH("AMGN US Equity","IS_DEPR_EXP","FQ3 2023","FQ3 2023","Currency=USD","Period=FQ","BEST_FPERIOD_OVERRIDE=FQ","FILING_STATUS=MR","SCALING_FORMAT=MLN","Sort=A","Dates=H","DateFormat=P","Fill=—","Direction=H","UseDPDF=Y")</f>
        <v>202</v>
      </c>
      <c r="U72" s="13">
        <f>_xll.BDH("AMGN US Equity","IS_DEPR_EXP","FQ4 2023","FQ4 2023","Currency=USD","Period=FQ","BEST_FPERIOD_OVERRIDE=FQ","FILING_STATUS=MR","SCALING_FORMAT=MLN","Sort=A","Dates=H","DateFormat=P","Fill=—","Direction=H","UseDPDF=Y")</f>
        <v>94</v>
      </c>
      <c r="V72" s="13">
        <f>_xll.BDH("AMGN US Equity","IS_DEPR_EXP","FQ1 2024","FQ1 2024","Currency=USD","Period=FQ","BEST_FPERIOD_OVERRIDE=FQ","FILING_STATUS=MR","SCALING_FORMAT=MLN","Sort=A","Dates=H","DateFormat=P","Fill=—","Direction=H","UseDPDF=Y")</f>
        <v>199</v>
      </c>
      <c r="W72" s="13">
        <f>_xll.BDH("AMGN US Equity","IS_DEPR_EXP","FQ2 2024","FQ2 2024","Currency=USD","Period=FQ","BEST_FPERIOD_OVERRIDE=FQ","FILING_STATUS=MR","SCALING_FORMAT=MLN","Sort=A","Dates=H","DateFormat=P","Fill=—","Direction=H","UseDPDF=Y")</f>
        <v>200</v>
      </c>
      <c r="X72" s="13">
        <f>_xll.BDH("AMGN US Equity","IS_DEPR_EXP","FQ3 2024","FQ3 2024","Currency=USD","Period=FQ","BEST_FPERIOD_OVERRIDE=FQ","FILING_STATUS=MR","SCALING_FORMAT=MLN","Sort=A","Dates=H","DateFormat=P","Fill=—","Direction=H","UseDPDF=Y")</f>
        <v>196</v>
      </c>
      <c r="Y72" s="13">
        <f>_xll.BDH("AMGN US Equity","IS_DEPR_EXP","FQ4 2024","FQ4 2024","Currency=USD","Period=FQ","BEST_FPERIOD_OVERRIDE=FQ","FILING_STATUS=MR","SCALING_FORMAT=MLN","Sort=A","Dates=H","DateFormat=P","Fill=—","Direction=H","UseDPDF=Y")</f>
        <v>99</v>
      </c>
      <c r="Z72" s="13"/>
      <c r="AA72" s="13"/>
    </row>
    <row r="73" spans="1:27" x14ac:dyDescent="0.25">
      <c r="A73" s="10" t="s">
        <v>404</v>
      </c>
      <c r="B73" s="10" t="s">
        <v>405</v>
      </c>
      <c r="C73" s="13">
        <f>_xll.BDH("AMGN US Equity","BS_CURR_RENTAL_EXPENSE","FQ2 2019","FQ2 2019","Currency=USD","Period=FQ","BEST_FPERIOD_OVERRIDE=FQ","FILING_STATUS=MR","SCALING_FORMAT=MLN","Sort=A","Dates=H","DateFormat=P","Fill=—","Direction=H","UseDPDF=Y")</f>
        <v>42</v>
      </c>
      <c r="D73" s="13">
        <f>_xll.BDH("AMGN US Equity","BS_CURR_RENTAL_EXPENSE","FQ3 2019","FQ3 2019","Currency=USD","Period=FQ","BEST_FPERIOD_OVERRIDE=FQ","FILING_STATUS=MR","SCALING_FORMAT=MLN","Sort=A","Dates=H","DateFormat=P","Fill=—","Direction=H","UseDPDF=Y")</f>
        <v>42</v>
      </c>
      <c r="E73" s="13">
        <f>_xll.BDH("AMGN US Equity","BS_CURR_RENTAL_EXPENSE","FQ4 2019","FQ4 2019","Currency=USD","Period=FQ","BEST_FPERIOD_OVERRIDE=FQ","FILING_STATUS=MR","SCALING_FORMAT=MLN","Sort=A","Dates=H","DateFormat=P","Fill=—","Direction=H","UseDPDF=Y")</f>
        <v>47</v>
      </c>
      <c r="F73" s="13" t="str">
        <f>_xll.BDH("AMGN US Equity","BS_CURR_RENTAL_EXPENSE","FQ1 2020","FQ1 2020","Currency=USD","Period=FQ","BEST_FPERIOD_OVERRIDE=FQ","FILING_STATUS=MR","SCALING_FORMAT=MLN","Sort=A","Dates=H","DateFormat=P","Fill=—","Direction=H","UseDPDF=Y")</f>
        <v>—</v>
      </c>
      <c r="G73" s="13" t="str">
        <f>_xll.BDH("AMGN US Equity","BS_CURR_RENTAL_EXPENSE","FQ2 2020","FQ2 2020","Currency=USD","Period=FQ","BEST_FPERIOD_OVERRIDE=FQ","FILING_STATUS=MR","SCALING_FORMAT=MLN","Sort=A","Dates=H","DateFormat=P","Fill=—","Direction=H","UseDPDF=Y")</f>
        <v>—</v>
      </c>
      <c r="H73" s="13" t="str">
        <f>_xll.BDH("AMGN US Equity","BS_CURR_RENTAL_EXPENSE","FQ3 2020","FQ3 2020","Currency=USD","Period=FQ","BEST_FPERIOD_OVERRIDE=FQ","FILING_STATUS=MR","SCALING_FORMAT=MLN","Sort=A","Dates=H","DateFormat=P","Fill=—","Direction=H","UseDPDF=Y")</f>
        <v>—</v>
      </c>
      <c r="I73" s="13" t="str">
        <f>_xll.BDH("AMGN US Equity","BS_CURR_RENTAL_EXPENSE","FQ4 2020","FQ4 2020","Currency=USD","Period=FQ","BEST_FPERIOD_OVERRIDE=FQ","FILING_STATUS=MR","SCALING_FORMAT=MLN","Sort=A","Dates=H","DateFormat=P","Fill=—","Direction=H","UseDPDF=Y")</f>
        <v>—</v>
      </c>
      <c r="J73" s="13" t="str">
        <f>_xll.BDH("AMGN US Equity","BS_CURR_RENTAL_EXPENSE","FQ1 2021","FQ1 2021","Currency=USD","Period=FQ","BEST_FPERIOD_OVERRIDE=FQ","FILING_STATUS=MR","SCALING_FORMAT=MLN","Sort=A","Dates=H","DateFormat=P","Fill=—","Direction=H","UseDPDF=Y")</f>
        <v>—</v>
      </c>
      <c r="K73" s="13" t="str">
        <f>_xll.BDH("AMGN US Equity","BS_CURR_RENTAL_EXPENSE","FQ2 2021","FQ2 2021","Currency=USD","Period=FQ","BEST_FPERIOD_OVERRIDE=FQ","FILING_STATUS=MR","SCALING_FORMAT=MLN","Sort=A","Dates=H","DateFormat=P","Fill=—","Direction=H","UseDPDF=Y")</f>
        <v>—</v>
      </c>
      <c r="L73" s="13" t="str">
        <f>_xll.BDH("AMGN US Equity","BS_CURR_RENTAL_EXPENSE","FQ3 2021","FQ3 2021","Currency=USD","Period=FQ","BEST_FPERIOD_OVERRIDE=FQ","FILING_STATUS=MR","SCALING_FORMAT=MLN","Sort=A","Dates=H","DateFormat=P","Fill=—","Direction=H","UseDPDF=Y")</f>
        <v>—</v>
      </c>
      <c r="M73" s="13" t="str">
        <f>_xll.BDH("AMGN US Equity","BS_CURR_RENTAL_EXPENSE","FQ4 2021","FQ4 2021","Currency=USD","Period=FQ","BEST_FPERIOD_OVERRIDE=FQ","FILING_STATUS=MR","SCALING_FORMAT=MLN","Sort=A","Dates=H","DateFormat=P","Fill=—","Direction=H","UseDPDF=Y")</f>
        <v>—</v>
      </c>
      <c r="N73" s="13" t="str">
        <f>_xll.BDH("AMGN US Equity","BS_CURR_RENTAL_EXPENSE","FQ1 2022","FQ1 2022","Currency=USD","Period=FQ","BEST_FPERIOD_OVERRIDE=FQ","FILING_STATUS=MR","SCALING_FORMAT=MLN","Sort=A","Dates=H","DateFormat=P","Fill=—","Direction=H","UseDPDF=Y")</f>
        <v>—</v>
      </c>
      <c r="O73" s="13" t="str">
        <f>_xll.BDH("AMGN US Equity","BS_CURR_RENTAL_EXPENSE","FQ2 2022","FQ2 2022","Currency=USD","Period=FQ","BEST_FPERIOD_OVERRIDE=FQ","FILING_STATUS=MR","SCALING_FORMAT=MLN","Sort=A","Dates=H","DateFormat=P","Fill=—","Direction=H","UseDPDF=Y")</f>
        <v>—</v>
      </c>
      <c r="P73" s="13" t="str">
        <f>_xll.BDH("AMGN US Equity","BS_CURR_RENTAL_EXPENSE","FQ3 2022","FQ3 2022","Currency=USD","Period=FQ","BEST_FPERIOD_OVERRIDE=FQ","FILING_STATUS=MR","SCALING_FORMAT=MLN","Sort=A","Dates=H","DateFormat=P","Fill=—","Direction=H","UseDPDF=Y")</f>
        <v>—</v>
      </c>
      <c r="Q73" s="13" t="str">
        <f>_xll.BDH("AMGN US Equity","BS_CURR_RENTAL_EXPENSE","FQ4 2022","FQ4 2022","Currency=USD","Period=FQ","BEST_FPERIOD_OVERRIDE=FQ","FILING_STATUS=MR","SCALING_FORMAT=MLN","Sort=A","Dates=H","DateFormat=P","Fill=—","Direction=H","UseDPDF=Y")</f>
        <v>—</v>
      </c>
      <c r="R73" s="13" t="str">
        <f>_xll.BDH("AMGN US Equity","BS_CURR_RENTAL_EXPENSE","FQ1 2023","FQ1 2023","Currency=USD","Period=FQ","BEST_FPERIOD_OVERRIDE=FQ","FILING_STATUS=MR","SCALING_FORMAT=MLN","Sort=A","Dates=H","DateFormat=P","Fill=—","Direction=H","UseDPDF=Y")</f>
        <v>—</v>
      </c>
      <c r="S73" s="13" t="str">
        <f>_xll.BDH("AMGN US Equity","BS_CURR_RENTAL_EXPENSE","FQ2 2023","FQ2 2023","Currency=USD","Period=FQ","BEST_FPERIOD_OVERRIDE=FQ","FILING_STATUS=MR","SCALING_FORMAT=MLN","Sort=A","Dates=H","DateFormat=P","Fill=—","Direction=H","UseDPDF=Y")</f>
        <v>—</v>
      </c>
      <c r="T73" s="13" t="str">
        <f>_xll.BDH("AMGN US Equity","BS_CURR_RENTAL_EXPENSE","FQ3 2023","FQ3 2023","Currency=USD","Period=FQ","BEST_FPERIOD_OVERRIDE=FQ","FILING_STATUS=MR","SCALING_FORMAT=MLN","Sort=A","Dates=H","DateFormat=P","Fill=—","Direction=H","UseDPDF=Y")</f>
        <v>—</v>
      </c>
      <c r="U73" s="13" t="str">
        <f>_xll.BDH("AMGN US Equity","BS_CURR_RENTAL_EXPENSE","FQ4 2023","FQ4 2023","Currency=USD","Period=FQ","BEST_FPERIOD_OVERRIDE=FQ","FILING_STATUS=MR","SCALING_FORMAT=MLN","Sort=A","Dates=H","DateFormat=P","Fill=—","Direction=H","UseDPDF=Y")</f>
        <v>—</v>
      </c>
      <c r="V73" s="13" t="str">
        <f>_xll.BDH("AMGN US Equity","BS_CURR_RENTAL_EXPENSE","FQ1 2024","FQ1 2024","Currency=USD","Period=FQ","BEST_FPERIOD_OVERRIDE=FQ","FILING_STATUS=MR","SCALING_FORMAT=MLN","Sort=A","Dates=H","DateFormat=P","Fill=—","Direction=H","UseDPDF=Y")</f>
        <v>—</v>
      </c>
      <c r="W73" s="13" t="str">
        <f>_xll.BDH("AMGN US Equity","BS_CURR_RENTAL_EXPENSE","FQ2 2024","FQ2 2024","Currency=USD","Period=FQ","BEST_FPERIOD_OVERRIDE=FQ","FILING_STATUS=MR","SCALING_FORMAT=MLN","Sort=A","Dates=H","DateFormat=P","Fill=—","Direction=H","UseDPDF=Y")</f>
        <v>—</v>
      </c>
      <c r="X73" s="13" t="str">
        <f>_xll.BDH("AMGN US Equity","BS_CURR_RENTAL_EXPENSE","FQ3 2024","FQ3 2024","Currency=USD","Period=FQ","BEST_FPERIOD_OVERRIDE=FQ","FILING_STATUS=MR","SCALING_FORMAT=MLN","Sort=A","Dates=H","DateFormat=P","Fill=—","Direction=H","UseDPDF=Y")</f>
        <v>—</v>
      </c>
      <c r="Y73" s="13" t="str">
        <f>_xll.BDH("AMGN US Equity","BS_CURR_RENTAL_EXPENSE","FQ4 2024","FQ4 2024","Currency=USD","Period=FQ","BEST_FPERIOD_OVERRIDE=FQ","FILING_STATUS=MR","SCALING_FORMAT=MLN","Sort=A","Dates=H","DateFormat=P","Fill=—","Direction=H","UseDPDF=Y")</f>
        <v>—</v>
      </c>
      <c r="Z73" s="13"/>
      <c r="AA73" s="13"/>
    </row>
    <row r="74" spans="1:27" x14ac:dyDescent="0.25">
      <c r="A74" s="7" t="s">
        <v>90</v>
      </c>
      <c r="B74" s="7"/>
      <c r="C74" s="7" t="s">
        <v>5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Adj Highlights</vt:lpstr>
      <vt:lpstr>GAAP Highlights</vt:lpstr>
      <vt:lpstr>Earnings</vt:lpstr>
      <vt:lpstr>Enterprise Value</vt:lpstr>
      <vt:lpstr>Multiples</vt:lpstr>
      <vt:lpstr>Per Share</vt:lpstr>
      <vt:lpstr>Stock Value</vt:lpstr>
      <vt:lpstr>EV Ex Operating Leases</vt:lpstr>
      <vt:lpstr>Income - Adjusted</vt:lpstr>
      <vt:lpstr>Income - GAAP</vt:lpstr>
      <vt:lpstr>Income - As Reported</vt:lpstr>
      <vt:lpstr>Reconciliation</vt:lpstr>
      <vt:lpstr>SBC &amp; Amort</vt:lpstr>
      <vt:lpstr>Adj %</vt:lpstr>
      <vt:lpstr>GAAP %</vt:lpstr>
      <vt:lpstr>Bal Sheet - Standardized</vt:lpstr>
      <vt:lpstr>Bal Sheet - As Reported</vt:lpstr>
      <vt:lpstr>Bal Sheet - Common Size</vt:lpstr>
      <vt:lpstr>Fair Value Analysis</vt:lpstr>
      <vt:lpstr>Cash Flow - Standardized</vt:lpstr>
      <vt:lpstr>Cash Flow - As Reported</vt:lpstr>
      <vt:lpstr>Profitability</vt:lpstr>
      <vt:lpstr>Growth</vt:lpstr>
      <vt:lpstr>Credit</vt:lpstr>
      <vt:lpstr>Credit Ex Operating Leases</vt:lpstr>
      <vt:lpstr>Liquidity</vt:lpstr>
      <vt:lpstr>Working Capital</vt:lpstr>
      <vt:lpstr>Yield Analysis</vt:lpstr>
      <vt:lpstr>DuPont Analysis</vt:lpstr>
      <vt:lpstr>By Measure</vt:lpstr>
      <vt:lpstr>By Geography</vt:lpstr>
      <vt:lpstr>By Segment</vt:lpstr>
      <vt:lpstr>ESG 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Student1</cp:lastModifiedBy>
  <dcterms:created xsi:type="dcterms:W3CDTF">2013-04-03T15:49:21Z</dcterms:created>
  <dcterms:modified xsi:type="dcterms:W3CDTF">2025-03-28T18:28:01Z</dcterms:modified>
</cp:coreProperties>
</file>